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bGren\Work Folders\Documents\TransportElModellSthlm\SimpleModel\City_TRA_STHLM\"/>
    </mc:Choice>
  </mc:AlternateContent>
  <xr:revisionPtr revIDLastSave="0" documentId="13_ncr:1_{4275DF02-CF88-472E-A70F-F7980B7A40D8}" xr6:coauthVersionLast="47" xr6:coauthVersionMax="47" xr10:uidLastSave="{00000000-0000-0000-0000-000000000000}"/>
  <bookViews>
    <workbookView xWindow="4665" yWindow="2805" windowWidth="28800" windowHeight="15375" tabRatio="928" firstSheet="7" activeTab="7" xr2:uid="{00000000-000D-0000-FFFF-FFFF00000000}"/>
  </bookViews>
  <sheets>
    <sheet name="INFO" sheetId="24" r:id="rId1"/>
    <sheet name="Short-Cuts" sheetId="49" r:id="rId2"/>
    <sheet name="References" sheetId="47" r:id="rId3"/>
    <sheet name="T_Stock_TOTAL_&amp;_City" sheetId="45" r:id="rId4"/>
    <sheet name="STAT_TRA_Mileage" sheetId="6" r:id="rId5"/>
    <sheet name="Pkm_Age_Gender" sheetId="58" r:id="rId6"/>
    <sheet name="T_Stock_Private" sheetId="35" r:id="rId7"/>
    <sheet name="STAT_TRA_Survey_Pkm" sheetId="51" r:id="rId8"/>
    <sheet name="STAT_TRA_Survey_Tkm" sheetId="54" r:id="rId9"/>
    <sheet name="STAT_TRA_Shares" sheetId="53" r:id="rId10"/>
    <sheet name="T_ACTFLO" sheetId="36" r:id="rId11"/>
    <sheet name="T_NCAP_AF" sheetId="46" r:id="rId12"/>
    <sheet name="DEMAND_Pkm_Tkm" sheetId="5" r:id="rId13"/>
    <sheet name="T_CEFF" sheetId="38" r:id="rId14"/>
    <sheet name="~Processes" sheetId="14" r:id="rId15"/>
    <sheet name="TRA_Comm" sheetId="13" r:id="rId16"/>
    <sheet name="TRA_Fuel" sheetId="34" r:id="rId17"/>
    <sheet name="TC_Private" sheetId="26" r:id="rId18"/>
    <sheet name="TB" sheetId="28" r:id="rId19"/>
    <sheet name="TF_Private" sheetId="31" r:id="rId20"/>
    <sheet name="BALANCE" sheetId="50" r:id="rId21"/>
    <sheet name="TYW" sheetId="1" r:id="rId22"/>
    <sheet name="TNO" sheetId="56" r:id="rId23"/>
    <sheet name="TC_City" sheetId="25" r:id="rId24"/>
    <sheet name="TC_Pool" sheetId="55" r:id="rId25"/>
    <sheet name="TMO" sheetId="4" r:id="rId26"/>
    <sheet name="TT" sheetId="7" r:id="rId27"/>
    <sheet name="TNA" sheetId="32" r:id="rId28"/>
    <sheet name="TF_City" sheetId="29" r:id="rId29"/>
    <sheet name="TAV" sheetId="23" r:id="rId30"/>
    <sheet name="TOV" sheetId="57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4" hidden="1">STAT_TRA_Mileage!#REF!</definedName>
    <definedName name="Cars_12" localSheetId="11">'[1]TechRep-Doc'!#REF!</definedName>
    <definedName name="Cars_12" localSheetId="3">'[1]TechRep-Doc'!#REF!</definedName>
    <definedName name="Cars_12" localSheetId="17">'[1]TechRep-Doc'!#REF!</definedName>
    <definedName name="Cars_12" localSheetId="28">'[1]TechRep-Doc'!#REF!</definedName>
    <definedName name="Cars_12" localSheetId="19">'[1]TechRep-Doc'!#REF!</definedName>
    <definedName name="Cars_12" localSheetId="27">'[1]TechRep-Doc'!#REF!</definedName>
    <definedName name="Cars_12">'[1]TechRep-Doc'!#REF!</definedName>
    <definedName name="ddddd">[2]AGR_Fuels!$A$2</definedName>
    <definedName name="DISCRATE" localSheetId="11">'[1]TechRep-Doc'!#REF!</definedName>
    <definedName name="DISCRATE" localSheetId="3">'[1]TechRep-Doc'!#REF!</definedName>
    <definedName name="DISCRATE" localSheetId="17">'[1]TechRep-Doc'!#REF!</definedName>
    <definedName name="DISCRATE" localSheetId="28">'[1]TechRep-Doc'!#REF!</definedName>
    <definedName name="DISCRATE" localSheetId="19">'[1]TechRep-Doc'!#REF!</definedName>
    <definedName name="DISCRATE" localSheetId="27">'[1]TechRep-Doc'!#REF!</definedName>
    <definedName name="DISCRATE">'[1]TechRep-Doc'!#REF!</definedName>
    <definedName name="FID_1">[3]AGR_Fuels!$A$2</definedName>
    <definedName name="GROWTH" localSheetId="11">'[1]TechRep-Doc'!#REF!</definedName>
    <definedName name="GROWTH" localSheetId="3">'[1]TechRep-Doc'!#REF!</definedName>
    <definedName name="GROWTH" localSheetId="17">'[1]TechRep-Doc'!#REF!</definedName>
    <definedName name="GROWTH" localSheetId="28">'[1]TechRep-Doc'!#REF!</definedName>
    <definedName name="GROWTH" localSheetId="19">'[1]TechRep-Doc'!#REF!</definedName>
    <definedName name="GROWTH" localSheetId="27">'[1]TechRep-Doc'!#REF!</definedName>
    <definedName name="GROWTH">'[1]TechRep-Doc'!#REF!</definedName>
    <definedName name="GROWTH_TID" localSheetId="11">'[1]TechRep-Doc'!#REF!</definedName>
    <definedName name="GROWTH_TID" localSheetId="3">'[1]TechRep-Doc'!#REF!</definedName>
    <definedName name="GROWTH_TID" localSheetId="17">'[1]TechRep-Doc'!#REF!</definedName>
    <definedName name="GROWTH_TID" localSheetId="28">'[1]TechRep-Doc'!#REF!</definedName>
    <definedName name="GROWTH_TID" localSheetId="19">'[1]TechRep-Doc'!#REF!</definedName>
    <definedName name="GROWTH_TID" localSheetId="27">'[1]TechRep-Doc'!#REF!</definedName>
    <definedName name="GROWTH_TID">'[1]TechRep-Doc'!#REF!</definedName>
    <definedName name="HTML1_1" hidden="1">"'[internet 98q4.xls]xcontact'!$A$1:$F$114"</definedName>
    <definedName name="HTML1_10" hidden="1">""</definedName>
    <definedName name="HTML1_11" hidden="1">1</definedName>
    <definedName name="HTML1_12" hidden="1">"D:\data\xl\MyHTML.htm"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"internet 98q4.xls"</definedName>
    <definedName name="HTML1_4" hidden="1">"xcontact"</definedName>
    <definedName name="HTML1_5" hidden="1">""</definedName>
    <definedName name="HTML1_6" hidden="1">-4146</definedName>
    <definedName name="HTML1_7" hidden="1">-4146</definedName>
    <definedName name="HTML1_8" hidden="1">"15/10/1998"</definedName>
    <definedName name="HTML1_9" hidden="1">"GEORGIADES"</definedName>
    <definedName name="HTML2_1" hidden="1">"'[internet 98q4.xls]xcontact'!$A$2:$F$114"</definedName>
    <definedName name="HTML2_10" hidden="1">""</definedName>
    <definedName name="HTML2_11" hidden="1">1</definedName>
    <definedName name="HTML2_12" hidden="1">"D:\data\xl\MyHTML.htm"</definedName>
    <definedName name="HTML2_13" hidden="1">#N/A</definedName>
    <definedName name="HTML2_14" hidden="1">#N/A</definedName>
    <definedName name="HTML2_15" hidden="1">#N/A</definedName>
    <definedName name="HTML2_2" hidden="1">1</definedName>
    <definedName name="HTML2_3" hidden="1">"internet 98q4.xls"</definedName>
    <definedName name="HTML2_4" hidden="1">"xcontact"</definedName>
    <definedName name="HTML2_5" hidden="1">""</definedName>
    <definedName name="HTML2_6" hidden="1">-4146</definedName>
    <definedName name="HTML2_7" hidden="1">-4146</definedName>
    <definedName name="HTML2_8" hidden="1">"15/10/1998"</definedName>
    <definedName name="HTML2_9" hidden="1">"GEORGIADES"</definedName>
    <definedName name="HTML3_1" hidden="1">"'[internet 98q4.xls]xlist3'!$A$3:$E$175"</definedName>
    <definedName name="HTML3_10" hidden="1">""</definedName>
    <definedName name="HTML3_11" hidden="1">-4146</definedName>
    <definedName name="HTML3_12" hidden="1">"D:\data\aaa html\national2.htm"</definedName>
    <definedName name="HTML3_13" hidden="1">#N/A</definedName>
    <definedName name="HTML3_14" hidden="1">#N/A</definedName>
    <definedName name="HTML3_15" hidden="1">#N/A</definedName>
    <definedName name="HTML3_2" hidden="1">1</definedName>
    <definedName name="HTML3_3" hidden="1">"internet 98q4.xls"</definedName>
    <definedName name="HTML3_4" hidden="1">"xlist3"</definedName>
    <definedName name="HTML3_5" hidden="1">""</definedName>
    <definedName name="HTML3_6" hidden="1">-4146</definedName>
    <definedName name="HTML3_7" hidden="1">-4146</definedName>
    <definedName name="HTML3_8" hidden="1">"15/10/1998"</definedName>
    <definedName name="HTML3_9" hidden="1">"GEORGIADES"</definedName>
    <definedName name="HTML4_1" hidden="1">"'[internet 98q4.xls]x1.2'!$B$5:$C$25"</definedName>
    <definedName name="HTML4_10" hidden="1">""</definedName>
    <definedName name="HTML4_11" hidden="1">1</definedName>
    <definedName name="HTML4_12" hidden="1">"D:\data\aaa html\test1.htm"</definedName>
    <definedName name="HTML4_13" hidden="1">#N/A</definedName>
    <definedName name="HTML4_14" hidden="1">#N/A</definedName>
    <definedName name="HTML4_15" hidden="1">#N/A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Count" hidden="1">4</definedName>
    <definedName name="INVCOST" localSheetId="11">'[1]TechRep-Doc'!#REF!</definedName>
    <definedName name="INVCOST" localSheetId="3">'[1]TechRep-Doc'!#REF!</definedName>
    <definedName name="INVCOST" localSheetId="17">'[1]TechRep-Doc'!#REF!</definedName>
    <definedName name="INVCOST" localSheetId="28">'[1]TechRep-Doc'!#REF!</definedName>
    <definedName name="INVCOST" localSheetId="19">'[1]TechRep-Doc'!#REF!</definedName>
    <definedName name="INVCOST" localSheetId="27">'[1]TechRep-Doc'!#REF!</definedName>
    <definedName name="INVCOST">'[1]TechRep-Doc'!#REF!</definedName>
    <definedName name="LIFE" localSheetId="11">'[1]TechRep-Doc'!#REF!</definedName>
    <definedName name="LIFE" localSheetId="3">'[1]TechRep-Doc'!#REF!</definedName>
    <definedName name="LIFE" localSheetId="17">'[1]TechRep-Doc'!#REF!</definedName>
    <definedName name="LIFE" localSheetId="28">'[1]TechRep-Doc'!#REF!</definedName>
    <definedName name="LIFE" localSheetId="19">'[1]TechRep-Doc'!#REF!</definedName>
    <definedName name="LIFE" localSheetId="27">'[1]TechRep-Doc'!#REF!</definedName>
    <definedName name="LIFE">'[1]TechRep-Doc'!#REF!</definedName>
    <definedName name="NAs_CCAR" localSheetId="11">'[1]TechRep-Doc'!#REF!</definedName>
    <definedName name="NAs_CCAR" localSheetId="3">'[1]TechRep-Doc'!#REF!</definedName>
    <definedName name="NAs_CCAR" localSheetId="17">'[1]TechRep-Doc'!#REF!</definedName>
    <definedName name="NAs_CCAR" localSheetId="28">'[1]TechRep-Doc'!#REF!</definedName>
    <definedName name="NAs_CCAR" localSheetId="19">'[1]TechRep-Doc'!#REF!</definedName>
    <definedName name="NAs_CCAR" localSheetId="27">'[1]TechRep-Doc'!#REF!</definedName>
    <definedName name="NAs_CCAR">'[1]TechRep-Doc'!#REF!</definedName>
    <definedName name="SETS" localSheetId="11">'[1]TechRep-Doc'!#REF!</definedName>
    <definedName name="SETS" localSheetId="3">'[1]TechRep-Doc'!#REF!</definedName>
    <definedName name="SETS" localSheetId="17">'[1]TechRep-Doc'!#REF!</definedName>
    <definedName name="SETS" localSheetId="28">'[1]TechRep-Doc'!#REF!</definedName>
    <definedName name="SETS" localSheetId="19">'[1]TechRep-Doc'!#REF!</definedName>
    <definedName name="SETS" localSheetId="27">'[1]TechRep-Doc'!#REF!</definedName>
    <definedName name="SETS">'[1]TechRep-Doc'!#REF!</definedName>
    <definedName name="TRTGAB005" localSheetId="11">'[1]TechRep-Doc'!#REF!</definedName>
    <definedName name="TRTGAB005" localSheetId="3">'[1]TechRep-Doc'!#REF!</definedName>
    <definedName name="TRTGAB005" localSheetId="17">'[1]TechRep-Doc'!#REF!</definedName>
    <definedName name="TRTGAB005" localSheetId="28">'[1]TechRep-Doc'!#REF!</definedName>
    <definedName name="TRTGAB005" localSheetId="19">'[1]TechRep-Doc'!#REF!</definedName>
    <definedName name="TRTGAB005" localSheetId="27">'[1]TechRep-Doc'!#REF!</definedName>
    <definedName name="TRTGAB005">'[1]TechRep-Doc'!#REF!</definedName>
    <definedName name="TRTGAC005" localSheetId="11">'[1]TechRep-Doc'!#REF!</definedName>
    <definedName name="TRTGAC005" localSheetId="3">'[1]TechRep-Doc'!#REF!</definedName>
    <definedName name="TRTGAC005" localSheetId="17">'[1]TechRep-Doc'!#REF!</definedName>
    <definedName name="TRTGAC005" localSheetId="28">'[1]TechRep-Doc'!#REF!</definedName>
    <definedName name="TRTGAC005" localSheetId="19">'[1]TechRep-Doc'!#REF!</definedName>
    <definedName name="TRTGAC005" localSheetId="27">'[1]TechRep-Doc'!#REF!</definedName>
    <definedName name="TRTGAC005">'[1]TechRep-Doc'!#REF!</definedName>
    <definedName name="Trucks_15" localSheetId="11">'[1]TechRep-Doc'!#REF!</definedName>
    <definedName name="Trucks_15" localSheetId="3">'[1]TechRep-Doc'!#REF!</definedName>
    <definedName name="Trucks_15" localSheetId="17">'[1]TechRep-Doc'!#REF!</definedName>
    <definedName name="Trucks_15" localSheetId="28">'[1]TechRep-Doc'!#REF!</definedName>
    <definedName name="Trucks_15" localSheetId="19">'[1]TechRep-Doc'!#REF!</definedName>
    <definedName name="Trucks_15" localSheetId="27">'[1]TechRep-Doc'!#REF!</definedName>
    <definedName name="Trucks_15">'[1]TechRep-Doc'!#REF!</definedName>
    <definedName name="TSUB_COST" localSheetId="11">'[1]TechRep-Doc'!#REF!</definedName>
    <definedName name="TSUB_COST" localSheetId="3">'[1]TechRep-Doc'!#REF!</definedName>
    <definedName name="TSUB_COST" localSheetId="17">'[1]TechRep-Doc'!#REF!</definedName>
    <definedName name="TSUB_COST" localSheetId="28">'[1]TechRep-Doc'!#REF!</definedName>
    <definedName name="TSUB_COST" localSheetId="19">'[1]TechRep-Doc'!#REF!</definedName>
    <definedName name="TSUB_COST" localSheetId="27">'[1]TechRep-Doc'!#REF!</definedName>
    <definedName name="TSUB_COST">'[1]TechRep-Doc'!#REF!</definedName>
    <definedName name="x">[4]AGR_Fuels!$A$2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1" i="34" l="1"/>
  <c r="AG30" i="34"/>
  <c r="AG29" i="34"/>
  <c r="AG28" i="34"/>
  <c r="AG27" i="34"/>
  <c r="AG26" i="34"/>
  <c r="AG25" i="34"/>
  <c r="AG24" i="34"/>
  <c r="AG23" i="34"/>
  <c r="AG22" i="34"/>
  <c r="AG21" i="34"/>
  <c r="AG20" i="34"/>
  <c r="AG19" i="34"/>
  <c r="AG18" i="34"/>
  <c r="AG17" i="34"/>
  <c r="AG16" i="34"/>
  <c r="AG15" i="34"/>
  <c r="AG14" i="34"/>
  <c r="AG13" i="34"/>
  <c r="AG12" i="34"/>
  <c r="AG11" i="34"/>
  <c r="D135" i="46"/>
  <c r="D134" i="46"/>
  <c r="D133" i="46"/>
  <c r="D132" i="46"/>
  <c r="D131" i="46"/>
  <c r="N214" i="28"/>
  <c r="AF9" i="28"/>
  <c r="AF6" i="28"/>
  <c r="AF9" i="31"/>
  <c r="AF6" i="31"/>
  <c r="AF5" i="31"/>
  <c r="AF9" i="26"/>
  <c r="AF6" i="26"/>
  <c r="AF5" i="26"/>
  <c r="I40" i="26" s="1"/>
  <c r="I39" i="26"/>
  <c r="D13" i="51"/>
  <c r="D12" i="51"/>
  <c r="I11" i="1"/>
  <c r="BO52" i="34"/>
  <c r="Y115" i="38"/>
  <c r="Y114" i="38"/>
  <c r="Y214" i="38"/>
  <c r="G62" i="38" l="1"/>
  <c r="G38" i="38"/>
  <c r="H38" i="38"/>
  <c r="D130" i="46"/>
  <c r="D129" i="46"/>
  <c r="D128" i="46"/>
  <c r="D127" i="46"/>
  <c r="D126" i="46"/>
  <c r="D102" i="35"/>
  <c r="D141" i="46" l="1"/>
  <c r="D142" i="46"/>
  <c r="D143" i="46"/>
  <c r="D144" i="46"/>
  <c r="D145" i="46"/>
  <c r="U34" i="36"/>
  <c r="AW127" i="31"/>
  <c r="AV127" i="31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BL23" i="28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AY23" i="28"/>
  <c r="AX23" i="28"/>
  <c r="BL22" i="28"/>
  <c r="BK22" i="28"/>
  <c r="BJ22" i="28"/>
  <c r="BI22" i="28"/>
  <c r="BH22" i="28"/>
  <c r="BG22" i="28"/>
  <c r="BF22" i="28"/>
  <c r="BE22" i="28"/>
  <c r="BD22" i="28"/>
  <c r="BC22" i="28"/>
  <c r="BB22" i="28"/>
  <c r="BA22" i="28"/>
  <c r="AZ22" i="28"/>
  <c r="AY22" i="28"/>
  <c r="AX22" i="28"/>
  <c r="BL21" i="28"/>
  <c r="BK21" i="28"/>
  <c r="BJ21" i="28"/>
  <c r="BI21" i="28"/>
  <c r="BH21" i="28"/>
  <c r="BG21" i="28"/>
  <c r="BF21" i="28"/>
  <c r="BE21" i="28"/>
  <c r="BD21" i="28"/>
  <c r="BC21" i="28"/>
  <c r="BB21" i="28"/>
  <c r="BA21" i="28"/>
  <c r="AZ21" i="28"/>
  <c r="AY21" i="28"/>
  <c r="AX21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BL19" i="28"/>
  <c r="BK19" i="28"/>
  <c r="BJ19" i="28"/>
  <c r="BI19" i="28"/>
  <c r="BH19" i="28"/>
  <c r="BG19" i="28"/>
  <c r="BF19" i="28"/>
  <c r="BE19" i="28"/>
  <c r="BD19" i="28"/>
  <c r="BC19" i="28"/>
  <c r="BB19" i="28"/>
  <c r="BA19" i="28"/>
  <c r="AZ19" i="28"/>
  <c r="AY19" i="28"/>
  <c r="AX19" i="28"/>
  <c r="BL18" i="28"/>
  <c r="BK18" i="28"/>
  <c r="BJ18" i="28"/>
  <c r="BI18" i="28"/>
  <c r="BH18" i="28"/>
  <c r="BG18" i="28"/>
  <c r="BF18" i="28"/>
  <c r="BE18" i="28"/>
  <c r="BD18" i="28"/>
  <c r="BC18" i="28"/>
  <c r="BB18" i="28"/>
  <c r="BA18" i="28"/>
  <c r="AZ18" i="28"/>
  <c r="AY18" i="28"/>
  <c r="AX18" i="28"/>
  <c r="BL17" i="28"/>
  <c r="BK17" i="28"/>
  <c r="BJ17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BL23" i="26"/>
  <c r="BK23" i="26"/>
  <c r="BJ23" i="26"/>
  <c r="BI23" i="26"/>
  <c r="BH23" i="26"/>
  <c r="BG23" i="26"/>
  <c r="BF23" i="26"/>
  <c r="BE23" i="26"/>
  <c r="BD23" i="26"/>
  <c r="BC23" i="26"/>
  <c r="BB23" i="26"/>
  <c r="BA23" i="26"/>
  <c r="AZ23" i="26"/>
  <c r="AY23" i="26"/>
  <c r="AX23" i="26"/>
  <c r="BL21" i="26"/>
  <c r="BK21" i="26"/>
  <c r="BJ21" i="26"/>
  <c r="BI21" i="26"/>
  <c r="BH21" i="26"/>
  <c r="BG21" i="26"/>
  <c r="BF21" i="26"/>
  <c r="BE21" i="26"/>
  <c r="BD21" i="26"/>
  <c r="BC21" i="26"/>
  <c r="BB21" i="26"/>
  <c r="BA21" i="26"/>
  <c r="AZ21" i="26"/>
  <c r="AY21" i="26"/>
  <c r="AX21" i="26"/>
  <c r="BL20" i="26"/>
  <c r="BK20" i="26"/>
  <c r="BJ20" i="26"/>
  <c r="BI20" i="26"/>
  <c r="BH20" i="26"/>
  <c r="BG20" i="26"/>
  <c r="BF20" i="26"/>
  <c r="BE20" i="26"/>
  <c r="BD20" i="26"/>
  <c r="BC20" i="26"/>
  <c r="BB20" i="26"/>
  <c r="BA20" i="26"/>
  <c r="AZ20" i="26"/>
  <c r="AY20" i="26"/>
  <c r="AX20" i="26"/>
  <c r="BL19" i="26"/>
  <c r="BK19" i="26"/>
  <c r="BJ19" i="26"/>
  <c r="BI19" i="26"/>
  <c r="BH19" i="26"/>
  <c r="BG19" i="26"/>
  <c r="BF19" i="26"/>
  <c r="BE19" i="26"/>
  <c r="BD19" i="26"/>
  <c r="BC19" i="26"/>
  <c r="BB19" i="26"/>
  <c r="BA19" i="26"/>
  <c r="AZ19" i="26"/>
  <c r="AY19" i="26"/>
  <c r="AX19" i="26"/>
  <c r="BL18" i="26"/>
  <c r="BK18" i="26"/>
  <c r="BJ18" i="26"/>
  <c r="BI18" i="26"/>
  <c r="BH18" i="26"/>
  <c r="BG18" i="26"/>
  <c r="BF18" i="26"/>
  <c r="BE18" i="26"/>
  <c r="BD18" i="26"/>
  <c r="BC18" i="26"/>
  <c r="BB18" i="26"/>
  <c r="BA18" i="26"/>
  <c r="AZ18" i="26"/>
  <c r="AY18" i="26"/>
  <c r="AX18" i="26"/>
  <c r="BL17" i="26"/>
  <c r="BK17" i="26"/>
  <c r="BJ17" i="26"/>
  <c r="BI17" i="26"/>
  <c r="BH17" i="26"/>
  <c r="BG17" i="26"/>
  <c r="BF17" i="26"/>
  <c r="BE17" i="26"/>
  <c r="BD17" i="26"/>
  <c r="BC17" i="26"/>
  <c r="BB17" i="26"/>
  <c r="BA17" i="26"/>
  <c r="AZ17" i="26"/>
  <c r="AY17" i="26"/>
  <c r="AX17" i="26"/>
  <c r="BL11" i="26"/>
  <c r="BK11" i="26"/>
  <c r="BJ11" i="26"/>
  <c r="BI11" i="26"/>
  <c r="BH11" i="26"/>
  <c r="BG11" i="26"/>
  <c r="BF11" i="26"/>
  <c r="BE11" i="26"/>
  <c r="BD11" i="26"/>
  <c r="BC11" i="26"/>
  <c r="BB11" i="26"/>
  <c r="BA11" i="26"/>
  <c r="AZ11" i="26"/>
  <c r="AY11" i="26"/>
  <c r="AX11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X10" i="26"/>
  <c r="BL4" i="26"/>
  <c r="BK4" i="26"/>
  <c r="BJ4" i="26"/>
  <c r="BI4" i="26"/>
  <c r="BH4" i="26"/>
  <c r="BG4" i="26"/>
  <c r="BF4" i="26"/>
  <c r="BE4" i="26"/>
  <c r="BD4" i="26"/>
  <c r="BC4" i="26"/>
  <c r="BB4" i="26"/>
  <c r="BA4" i="26"/>
  <c r="AZ4" i="26"/>
  <c r="AY4" i="26"/>
  <c r="AX4" i="26"/>
  <c r="S1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R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D19" i="45"/>
  <c r="R18" i="45"/>
  <c r="Q18" i="45"/>
  <c r="P18" i="45"/>
  <c r="O18" i="45"/>
  <c r="N18" i="45"/>
  <c r="M18" i="45"/>
  <c r="L18" i="45"/>
  <c r="K18" i="45"/>
  <c r="J18" i="45"/>
  <c r="I18" i="45"/>
  <c r="H18" i="45"/>
  <c r="G18" i="45"/>
  <c r="F18" i="45"/>
  <c r="E18" i="45"/>
  <c r="D18" i="45"/>
  <c r="R17" i="45"/>
  <c r="Q17" i="45"/>
  <c r="P17" i="45"/>
  <c r="O17" i="45"/>
  <c r="N17" i="45"/>
  <c r="M17" i="45"/>
  <c r="L17" i="45"/>
  <c r="K17" i="45"/>
  <c r="J17" i="45"/>
  <c r="I17" i="45"/>
  <c r="H17" i="45"/>
  <c r="G17" i="45"/>
  <c r="F17" i="45"/>
  <c r="E17" i="45"/>
  <c r="D17" i="45"/>
  <c r="R16" i="45"/>
  <c r="Q16" i="45"/>
  <c r="P16" i="45"/>
  <c r="O16" i="45"/>
  <c r="N16" i="45"/>
  <c r="M16" i="45"/>
  <c r="L16" i="45"/>
  <c r="K16" i="45"/>
  <c r="J16" i="45"/>
  <c r="I16" i="45"/>
  <c r="H16" i="45"/>
  <c r="G16" i="45"/>
  <c r="F16" i="45"/>
  <c r="E16" i="45"/>
  <c r="D16" i="45"/>
  <c r="R15" i="45"/>
  <c r="Q15" i="45"/>
  <c r="P15" i="45"/>
  <c r="O15" i="45"/>
  <c r="N15" i="45"/>
  <c r="M15" i="45"/>
  <c r="L15" i="45"/>
  <c r="K15" i="45"/>
  <c r="J15" i="45"/>
  <c r="I15" i="45"/>
  <c r="H15" i="45"/>
  <c r="G15" i="45"/>
  <c r="F15" i="45"/>
  <c r="E15" i="45"/>
  <c r="D15" i="45"/>
  <c r="R14" i="45"/>
  <c r="Q14" i="45"/>
  <c r="P14" i="45"/>
  <c r="O14" i="45"/>
  <c r="N14" i="45"/>
  <c r="M14" i="45"/>
  <c r="L14" i="45"/>
  <c r="K14" i="45"/>
  <c r="J14" i="45"/>
  <c r="I14" i="45"/>
  <c r="H14" i="45"/>
  <c r="G14" i="45"/>
  <c r="F14" i="45"/>
  <c r="E14" i="45"/>
  <c r="D14" i="45"/>
  <c r="R13" i="45"/>
  <c r="Q13" i="45"/>
  <c r="P13" i="45"/>
  <c r="O13" i="45"/>
  <c r="N13" i="45"/>
  <c r="M13" i="45"/>
  <c r="L13" i="45"/>
  <c r="K13" i="45"/>
  <c r="J13" i="45"/>
  <c r="I13" i="45"/>
  <c r="H13" i="45"/>
  <c r="G13" i="45"/>
  <c r="F13" i="45"/>
  <c r="E13" i="45"/>
  <c r="D13" i="45"/>
  <c r="R12" i="45"/>
  <c r="Q12" i="45"/>
  <c r="P12" i="45"/>
  <c r="O12" i="45"/>
  <c r="N12" i="45"/>
  <c r="M12" i="45"/>
  <c r="L12" i="45"/>
  <c r="K12" i="45"/>
  <c r="J12" i="45"/>
  <c r="I12" i="45"/>
  <c r="H12" i="45"/>
  <c r="G12" i="45"/>
  <c r="F12" i="45"/>
  <c r="E12" i="45"/>
  <c r="D12" i="45"/>
  <c r="R11" i="45"/>
  <c r="Q11" i="45"/>
  <c r="P11" i="45"/>
  <c r="O11" i="45"/>
  <c r="N11" i="45"/>
  <c r="M11" i="45"/>
  <c r="L11" i="45"/>
  <c r="K11" i="45"/>
  <c r="J11" i="45"/>
  <c r="I11" i="45"/>
  <c r="H11" i="45"/>
  <c r="G11" i="45"/>
  <c r="F11" i="45"/>
  <c r="E11" i="45"/>
  <c r="D11" i="45"/>
  <c r="D24" i="51" l="1"/>
  <c r="M3" i="25"/>
  <c r="AW23" i="25"/>
  <c r="AW21" i="25"/>
  <c r="AW20" i="25"/>
  <c r="AW19" i="25"/>
  <c r="AW18" i="25"/>
  <c r="AW17" i="25"/>
  <c r="AW11" i="25"/>
  <c r="AW10" i="25"/>
  <c r="AV155" i="25"/>
  <c r="AV154" i="25"/>
  <c r="AV153" i="25"/>
  <c r="AV152" i="25"/>
  <c r="AV151" i="25"/>
  <c r="AV150" i="25"/>
  <c r="AV149" i="25"/>
  <c r="AV148" i="25"/>
  <c r="AV147" i="25"/>
  <c r="AV146" i="25"/>
  <c r="AV145" i="25"/>
  <c r="AV144" i="25"/>
  <c r="AV143" i="25"/>
  <c r="AV142" i="25"/>
  <c r="AV141" i="25"/>
  <c r="AV140" i="25"/>
  <c r="AV139" i="25"/>
  <c r="AV138" i="25"/>
  <c r="AV137" i="25"/>
  <c r="AV136" i="25"/>
  <c r="AV135" i="25"/>
  <c r="AV134" i="25"/>
  <c r="AV133" i="25"/>
  <c r="AV132" i="25"/>
  <c r="AV131" i="25"/>
  <c r="AV130" i="25"/>
  <c r="AV129" i="25"/>
  <c r="AV128" i="25"/>
  <c r="AV127" i="25"/>
  <c r="AV126" i="25"/>
  <c r="AV125" i="25"/>
  <c r="AV124" i="25"/>
  <c r="AV123" i="25"/>
  <c r="AV122" i="25"/>
  <c r="AV121" i="25"/>
  <c r="AV120" i="25"/>
  <c r="AV119" i="25"/>
  <c r="AV118" i="25"/>
  <c r="AV117" i="25"/>
  <c r="AV116" i="25"/>
  <c r="AV115" i="25"/>
  <c r="AV114" i="25"/>
  <c r="AV113" i="25"/>
  <c r="AV112" i="25"/>
  <c r="AV111" i="25"/>
  <c r="AV110" i="25"/>
  <c r="AV109" i="25"/>
  <c r="AV108" i="25"/>
  <c r="AV107" i="25"/>
  <c r="AV106" i="25"/>
  <c r="AV105" i="25"/>
  <c r="AV104" i="25"/>
  <c r="AV103" i="25"/>
  <c r="AV102" i="25"/>
  <c r="AV101" i="25"/>
  <c r="AV100" i="25"/>
  <c r="AV99" i="25"/>
  <c r="AV98" i="25"/>
  <c r="AV97" i="25"/>
  <c r="AV96" i="25"/>
  <c r="AV95" i="25"/>
  <c r="AV94" i="25"/>
  <c r="AV93" i="25"/>
  <c r="AV92" i="25"/>
  <c r="AV91" i="25"/>
  <c r="AV90" i="25"/>
  <c r="AV89" i="25"/>
  <c r="AV88" i="25"/>
  <c r="AV87" i="25"/>
  <c r="AV86" i="25"/>
  <c r="AV85" i="25"/>
  <c r="AV84" i="25"/>
  <c r="AV83" i="25"/>
  <c r="AV82" i="25"/>
  <c r="AV81" i="25"/>
  <c r="AV80" i="25"/>
  <c r="AV79" i="25"/>
  <c r="AV78" i="25"/>
  <c r="AV77" i="25"/>
  <c r="AV76" i="25"/>
  <c r="AV75" i="25"/>
  <c r="AV74" i="25"/>
  <c r="AV73" i="25"/>
  <c r="AV72" i="25"/>
  <c r="AV71" i="25"/>
  <c r="AV70" i="25"/>
  <c r="AV69" i="25"/>
  <c r="AV68" i="25"/>
  <c r="AV67" i="25"/>
  <c r="AV66" i="25"/>
  <c r="AV65" i="25"/>
  <c r="AV64" i="25"/>
  <c r="AV63" i="25"/>
  <c r="AV62" i="25"/>
  <c r="AV61" i="25"/>
  <c r="AV60" i="25"/>
  <c r="AV59" i="25"/>
  <c r="AV58" i="25"/>
  <c r="AV57" i="25"/>
  <c r="AV56" i="25"/>
  <c r="AV55" i="25"/>
  <c r="AV54" i="25"/>
  <c r="AV53" i="25"/>
  <c r="AV52" i="25"/>
  <c r="AV51" i="25"/>
  <c r="AV50" i="25"/>
  <c r="AV49" i="25"/>
  <c r="AV48" i="25"/>
  <c r="AV47" i="25"/>
  <c r="AV46" i="25"/>
  <c r="AV45" i="25"/>
  <c r="AV44" i="25"/>
  <c r="AV43" i="25"/>
  <c r="AV42" i="25"/>
  <c r="AV41" i="25"/>
  <c r="AV40" i="25"/>
  <c r="AV39" i="25"/>
  <c r="AV38" i="25"/>
  <c r="AV37" i="25"/>
  <c r="AV36" i="25"/>
  <c r="AV35" i="25"/>
  <c r="AV34" i="25"/>
  <c r="AV33" i="25"/>
  <c r="AV32" i="25"/>
  <c r="D131" i="34" l="1"/>
  <c r="D253" i="34" s="1"/>
  <c r="D59" i="34"/>
  <c r="C253" i="34"/>
  <c r="B253" i="34" s="1"/>
  <c r="H136" i="34"/>
  <c r="C131" i="34"/>
  <c r="B131" i="34" s="1"/>
  <c r="B132" i="34" s="1"/>
  <c r="B136" i="34" s="1"/>
  <c r="B255" i="34" l="1"/>
  <c r="B254" i="34"/>
  <c r="B133" i="34"/>
  <c r="B134" i="34" s="1"/>
  <c r="B135" i="34" s="1"/>
  <c r="E205" i="34"/>
  <c r="E196" i="34"/>
  <c r="D196" i="34"/>
  <c r="D200" i="14" l="1"/>
  <c r="Z27" i="34" l="1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H28" i="34"/>
  <c r="Z28" i="34" s="1"/>
  <c r="D23" i="34"/>
  <c r="C23" i="34"/>
  <c r="C199" i="34"/>
  <c r="B199" i="34" s="1"/>
  <c r="B201" i="34" s="1"/>
  <c r="S28" i="34" l="1"/>
  <c r="L28" i="34"/>
  <c r="T28" i="34"/>
  <c r="O28" i="34"/>
  <c r="W28" i="34"/>
  <c r="P28" i="34"/>
  <c r="X28" i="34"/>
  <c r="B200" i="34"/>
  <c r="M28" i="34"/>
  <c r="Q28" i="34"/>
  <c r="U28" i="34"/>
  <c r="Y28" i="34"/>
  <c r="N28" i="34"/>
  <c r="R28" i="34"/>
  <c r="V28" i="34"/>
  <c r="B23" i="34"/>
  <c r="B24" i="34" s="1"/>
  <c r="B25" i="34" s="1"/>
  <c r="B26" i="34" s="1"/>
  <c r="B27" i="34" s="1"/>
  <c r="B28" i="34" s="1"/>
  <c r="AW141" i="31" l="1"/>
  <c r="AW181" i="31"/>
  <c r="AV181" i="31"/>
  <c r="AV141" i="31"/>
  <c r="AW113" i="31"/>
  <c r="AV113" i="31"/>
  <c r="AW9" i="28"/>
  <c r="AV155" i="26"/>
  <c r="AV115" i="26"/>
  <c r="AV87" i="26"/>
  <c r="AW12" i="34"/>
  <c r="C205" i="34" l="1"/>
  <c r="AW28" i="34" l="1"/>
  <c r="H40" i="34"/>
  <c r="AW27" i="34"/>
  <c r="AW26" i="34"/>
  <c r="AW25" i="34"/>
  <c r="AW24" i="34"/>
  <c r="AW23" i="34"/>
  <c r="D35" i="34"/>
  <c r="D205" i="34" s="1"/>
  <c r="C35" i="34"/>
  <c r="B35" i="34" s="1"/>
  <c r="B40" i="34" l="1"/>
  <c r="B36" i="34"/>
  <c r="B37" i="34" s="1"/>
  <c r="B38" i="34" s="1"/>
  <c r="B39" i="34" s="1"/>
  <c r="D182" i="14"/>
  <c r="D160" i="14"/>
  <c r="D165" i="14"/>
  <c r="D166" i="14" s="1"/>
  <c r="N31" i="31" l="1"/>
  <c r="AB31" i="31" s="1"/>
  <c r="AB415" i="31" s="1"/>
  <c r="M31" i="31"/>
  <c r="N23" i="28"/>
  <c r="AB23" i="28" s="1"/>
  <c r="M23" i="28"/>
  <c r="N20" i="25"/>
  <c r="AB20" i="25" s="1"/>
  <c r="AB87" i="25" s="1"/>
  <c r="M20" i="25"/>
  <c r="N20" i="26"/>
  <c r="N155" i="26" s="1"/>
  <c r="M20" i="26"/>
  <c r="Y20" i="25" l="1"/>
  <c r="Y115" i="25" s="1"/>
  <c r="N113" i="31"/>
  <c r="N115" i="25"/>
  <c r="Q20" i="25"/>
  <c r="Q155" i="25" s="1"/>
  <c r="N115" i="26"/>
  <c r="N87" i="25"/>
  <c r="AB155" i="25"/>
  <c r="AB115" i="25"/>
  <c r="Y155" i="25"/>
  <c r="Y87" i="25"/>
  <c r="U20" i="25"/>
  <c r="N155" i="25"/>
  <c r="N181" i="31"/>
  <c r="N141" i="31"/>
  <c r="AB181" i="31"/>
  <c r="Y31" i="31"/>
  <c r="Y181" i="31" s="1"/>
  <c r="AB113" i="31"/>
  <c r="AB141" i="31"/>
  <c r="N415" i="31"/>
  <c r="Q31" i="31"/>
  <c r="Q181" i="31" s="1"/>
  <c r="U31" i="31"/>
  <c r="U181" i="31" s="1"/>
  <c r="R31" i="31"/>
  <c r="R181" i="31" s="1"/>
  <c r="V31" i="31"/>
  <c r="V181" i="31" s="1"/>
  <c r="Z31" i="31"/>
  <c r="Z181" i="31" s="1"/>
  <c r="O31" i="31"/>
  <c r="O181" i="31" s="1"/>
  <c r="S31" i="31"/>
  <c r="S181" i="31" s="1"/>
  <c r="W31" i="31"/>
  <c r="W181" i="31" s="1"/>
  <c r="AA31" i="31"/>
  <c r="AA181" i="31" s="1"/>
  <c r="P31" i="31"/>
  <c r="P181" i="31" s="1"/>
  <c r="T31" i="31"/>
  <c r="T181" i="31" s="1"/>
  <c r="X31" i="31"/>
  <c r="X181" i="31" s="1"/>
  <c r="Q23" i="28"/>
  <c r="U23" i="28"/>
  <c r="Y23" i="28"/>
  <c r="R23" i="28"/>
  <c r="V23" i="28"/>
  <c r="Z23" i="28"/>
  <c r="O23" i="28"/>
  <c r="S23" i="28"/>
  <c r="W23" i="28"/>
  <c r="AA23" i="28"/>
  <c r="P23" i="28"/>
  <c r="T23" i="28"/>
  <c r="X23" i="28"/>
  <c r="R20" i="25"/>
  <c r="V20" i="25"/>
  <c r="Z20" i="25"/>
  <c r="O20" i="25"/>
  <c r="S20" i="25"/>
  <c r="W20" i="25"/>
  <c r="AA20" i="25"/>
  <c r="P20" i="25"/>
  <c r="T20" i="25"/>
  <c r="X20" i="25"/>
  <c r="R20" i="26"/>
  <c r="R115" i="26" s="1"/>
  <c r="V20" i="26"/>
  <c r="V115" i="26" s="1"/>
  <c r="Z20" i="26"/>
  <c r="Z115" i="26" s="1"/>
  <c r="O20" i="26"/>
  <c r="O115" i="26" s="1"/>
  <c r="S20" i="26"/>
  <c r="S115" i="26" s="1"/>
  <c r="W20" i="26"/>
  <c r="W115" i="26" s="1"/>
  <c r="AA20" i="26"/>
  <c r="AA115" i="26" s="1"/>
  <c r="P20" i="26"/>
  <c r="P115" i="26" s="1"/>
  <c r="T20" i="26"/>
  <c r="T115" i="26" s="1"/>
  <c r="X20" i="26"/>
  <c r="X115" i="26" s="1"/>
  <c r="AB20" i="26"/>
  <c r="AB115" i="26" s="1"/>
  <c r="Q20" i="26"/>
  <c r="Q115" i="26" s="1"/>
  <c r="U20" i="26"/>
  <c r="U115" i="26" s="1"/>
  <c r="Y20" i="26"/>
  <c r="Y115" i="26" s="1"/>
  <c r="N87" i="26"/>
  <c r="AV364" i="31"/>
  <c r="AV215" i="31"/>
  <c r="AV60" i="31"/>
  <c r="AV199" i="28"/>
  <c r="AV49" i="28"/>
  <c r="N28" i="31"/>
  <c r="Z28" i="31" s="1"/>
  <c r="Z215" i="31" s="1"/>
  <c r="M28" i="31"/>
  <c r="AB263" i="28"/>
  <c r="AA263" i="28"/>
  <c r="Z263" i="28"/>
  <c r="Y263" i="28"/>
  <c r="X263" i="28"/>
  <c r="W263" i="28"/>
  <c r="V263" i="28"/>
  <c r="U263" i="28"/>
  <c r="T263" i="28"/>
  <c r="S263" i="28"/>
  <c r="R263" i="28"/>
  <c r="Q263" i="28"/>
  <c r="P263" i="28"/>
  <c r="O263" i="28"/>
  <c r="N263" i="28"/>
  <c r="AB302" i="28"/>
  <c r="AA302" i="28"/>
  <c r="Z302" i="28"/>
  <c r="Y302" i="28"/>
  <c r="X302" i="28"/>
  <c r="W302" i="28"/>
  <c r="V302" i="28"/>
  <c r="U302" i="28"/>
  <c r="T302" i="28"/>
  <c r="S302" i="28"/>
  <c r="R302" i="28"/>
  <c r="Q302" i="28"/>
  <c r="P302" i="28"/>
  <c r="O302" i="28"/>
  <c r="N302" i="28"/>
  <c r="AB199" i="28"/>
  <c r="AA199" i="28"/>
  <c r="Z199" i="28"/>
  <c r="Y199" i="28"/>
  <c r="X199" i="28"/>
  <c r="W199" i="28"/>
  <c r="V199" i="28"/>
  <c r="U199" i="28"/>
  <c r="T199" i="28"/>
  <c r="S199" i="28"/>
  <c r="R199" i="28"/>
  <c r="Q199" i="28"/>
  <c r="P199" i="28"/>
  <c r="O199" i="28"/>
  <c r="N199" i="28"/>
  <c r="AB152" i="28"/>
  <c r="AA152" i="28"/>
  <c r="Z152" i="28"/>
  <c r="Y152" i="28"/>
  <c r="X152" i="28"/>
  <c r="W152" i="28"/>
  <c r="V152" i="28"/>
  <c r="U152" i="28"/>
  <c r="T152" i="28"/>
  <c r="S152" i="28"/>
  <c r="R152" i="28"/>
  <c r="Q152" i="28"/>
  <c r="P152" i="28"/>
  <c r="O152" i="28"/>
  <c r="N152" i="28"/>
  <c r="AB113" i="28"/>
  <c r="AA113" i="28"/>
  <c r="Z113" i="28"/>
  <c r="Y113" i="28"/>
  <c r="X113" i="28"/>
  <c r="W113" i="28"/>
  <c r="V113" i="28"/>
  <c r="U113" i="28"/>
  <c r="T113" i="28"/>
  <c r="S113" i="28"/>
  <c r="R113" i="28"/>
  <c r="Q113" i="28"/>
  <c r="P113" i="28"/>
  <c r="O113" i="28"/>
  <c r="N113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20" i="28"/>
  <c r="Q115" i="25" l="1"/>
  <c r="Q87" i="25"/>
  <c r="Z155" i="25"/>
  <c r="Z87" i="25"/>
  <c r="Z115" i="25"/>
  <c r="X87" i="25"/>
  <c r="X115" i="25"/>
  <c r="X155" i="25"/>
  <c r="W87" i="25"/>
  <c r="W115" i="25"/>
  <c r="W155" i="25"/>
  <c r="V155" i="25"/>
  <c r="V115" i="25"/>
  <c r="V87" i="25"/>
  <c r="AA87" i="25"/>
  <c r="AA155" i="25"/>
  <c r="AA115" i="25"/>
  <c r="U115" i="25"/>
  <c r="U155" i="25"/>
  <c r="U87" i="25"/>
  <c r="T87" i="25"/>
  <c r="T115" i="25"/>
  <c r="T155" i="25"/>
  <c r="S87" i="25"/>
  <c r="S155" i="25"/>
  <c r="S115" i="25"/>
  <c r="R155" i="25"/>
  <c r="R87" i="25"/>
  <c r="R115" i="25"/>
  <c r="P87" i="25"/>
  <c r="P115" i="25"/>
  <c r="P155" i="25"/>
  <c r="O155" i="25"/>
  <c r="O87" i="25"/>
  <c r="O115" i="25"/>
  <c r="X415" i="31"/>
  <c r="X141" i="31"/>
  <c r="X113" i="31"/>
  <c r="W415" i="31"/>
  <c r="W141" i="31"/>
  <c r="W113" i="31"/>
  <c r="V415" i="31"/>
  <c r="V141" i="31"/>
  <c r="V113" i="31"/>
  <c r="T415" i="31"/>
  <c r="T141" i="31"/>
  <c r="T113" i="31"/>
  <c r="S415" i="31"/>
  <c r="S141" i="31"/>
  <c r="S113" i="31"/>
  <c r="R415" i="31"/>
  <c r="R141" i="31"/>
  <c r="R113" i="31"/>
  <c r="P415" i="31"/>
  <c r="P141" i="31"/>
  <c r="P113" i="31"/>
  <c r="O415" i="31"/>
  <c r="O141" i="31"/>
  <c r="O113" i="31"/>
  <c r="U415" i="31"/>
  <c r="U141" i="31"/>
  <c r="U113" i="31"/>
  <c r="AA415" i="31"/>
  <c r="AA141" i="31"/>
  <c r="AA113" i="31"/>
  <c r="Z415" i="31"/>
  <c r="Z141" i="31"/>
  <c r="Z113" i="31"/>
  <c r="Q415" i="31"/>
  <c r="Q141" i="31"/>
  <c r="Q113" i="31"/>
  <c r="Y415" i="31"/>
  <c r="Y141" i="31"/>
  <c r="Y113" i="31"/>
  <c r="Y155" i="26"/>
  <c r="Y87" i="26"/>
  <c r="X155" i="26"/>
  <c r="X87" i="26"/>
  <c r="W155" i="26"/>
  <c r="W87" i="26"/>
  <c r="V155" i="26"/>
  <c r="V87" i="26"/>
  <c r="U155" i="26"/>
  <c r="U87" i="26"/>
  <c r="T155" i="26"/>
  <c r="T87" i="26"/>
  <c r="S155" i="26"/>
  <c r="S87" i="26"/>
  <c r="R155" i="26"/>
  <c r="R87" i="26"/>
  <c r="Q155" i="26"/>
  <c r="Q87" i="26"/>
  <c r="P155" i="26"/>
  <c r="P87" i="26"/>
  <c r="O155" i="26"/>
  <c r="O87" i="26"/>
  <c r="AB155" i="26"/>
  <c r="AB87" i="26"/>
  <c r="AA155" i="26"/>
  <c r="AA87" i="26"/>
  <c r="Z155" i="26"/>
  <c r="Z87" i="26"/>
  <c r="N468" i="31"/>
  <c r="Z468" i="31"/>
  <c r="N429" i="31"/>
  <c r="Z429" i="31"/>
  <c r="Z317" i="31"/>
  <c r="N364" i="31"/>
  <c r="Z364" i="31"/>
  <c r="N317" i="31"/>
  <c r="N279" i="31"/>
  <c r="Z279" i="31"/>
  <c r="W28" i="31"/>
  <c r="W468" i="31" s="1"/>
  <c r="Z167" i="31"/>
  <c r="O28" i="31"/>
  <c r="O468" i="31" s="1"/>
  <c r="Y28" i="31"/>
  <c r="Y468" i="31" s="1"/>
  <c r="N167" i="31"/>
  <c r="N215" i="31"/>
  <c r="Q28" i="31"/>
  <c r="Q468" i="31" s="1"/>
  <c r="AA28" i="31"/>
  <c r="AA468" i="31" s="1"/>
  <c r="S28" i="31"/>
  <c r="S468" i="31" s="1"/>
  <c r="U28" i="31"/>
  <c r="U468" i="31" s="1"/>
  <c r="N60" i="31"/>
  <c r="Z60" i="31"/>
  <c r="Z127" i="31"/>
  <c r="P28" i="31"/>
  <c r="P468" i="31" s="1"/>
  <c r="T28" i="31"/>
  <c r="T468" i="31" s="1"/>
  <c r="X28" i="31"/>
  <c r="X468" i="31" s="1"/>
  <c r="AB28" i="31"/>
  <c r="AB468" i="31" s="1"/>
  <c r="N127" i="31"/>
  <c r="O127" i="31"/>
  <c r="R28" i="31"/>
  <c r="R468" i="31" s="1"/>
  <c r="V28" i="31"/>
  <c r="V468" i="31" s="1"/>
  <c r="AV34" i="26"/>
  <c r="AV101" i="26"/>
  <c r="AV141" i="26"/>
  <c r="N18" i="25"/>
  <c r="N17" i="25"/>
  <c r="AB17" i="25" s="1"/>
  <c r="AB101" i="25" s="1"/>
  <c r="M17" i="25"/>
  <c r="N17" i="26"/>
  <c r="AB17" i="26" s="1"/>
  <c r="AB141" i="26" s="1"/>
  <c r="M18" i="26"/>
  <c r="M17" i="26"/>
  <c r="AA127" i="31" l="1"/>
  <c r="AB141" i="25"/>
  <c r="N34" i="25"/>
  <c r="N33" i="25"/>
  <c r="N101" i="25"/>
  <c r="N101" i="26"/>
  <c r="N140" i="25"/>
  <c r="N100" i="25"/>
  <c r="Y17" i="26"/>
  <c r="Y34" i="26" s="1"/>
  <c r="X364" i="31"/>
  <c r="X429" i="31"/>
  <c r="AA364" i="31"/>
  <c r="AA429" i="31"/>
  <c r="Y364" i="31"/>
  <c r="Y429" i="31"/>
  <c r="T364" i="31"/>
  <c r="T429" i="31"/>
  <c r="Q364" i="31"/>
  <c r="Q429" i="31"/>
  <c r="O364" i="31"/>
  <c r="O429" i="31"/>
  <c r="V364" i="31"/>
  <c r="V429" i="31"/>
  <c r="P364" i="31"/>
  <c r="P429" i="31"/>
  <c r="U364" i="31"/>
  <c r="U429" i="31"/>
  <c r="R364" i="31"/>
  <c r="R429" i="31"/>
  <c r="AB364" i="31"/>
  <c r="AB429" i="31"/>
  <c r="S364" i="31"/>
  <c r="S429" i="31"/>
  <c r="W364" i="31"/>
  <c r="W429" i="31"/>
  <c r="Q127" i="31"/>
  <c r="X317" i="31"/>
  <c r="X279" i="31"/>
  <c r="U215" i="31"/>
  <c r="U279" i="31"/>
  <c r="U317" i="31"/>
  <c r="AA279" i="31"/>
  <c r="AA317" i="31"/>
  <c r="Y279" i="31"/>
  <c r="Y317" i="31"/>
  <c r="T317" i="31"/>
  <c r="T279" i="31"/>
  <c r="AA167" i="31"/>
  <c r="Q279" i="31"/>
  <c r="Q317" i="31"/>
  <c r="O279" i="31"/>
  <c r="O317" i="31"/>
  <c r="V279" i="31"/>
  <c r="V317" i="31"/>
  <c r="P317" i="31"/>
  <c r="P279" i="31"/>
  <c r="O167" i="31"/>
  <c r="R279" i="31"/>
  <c r="R317" i="31"/>
  <c r="AB317" i="31"/>
  <c r="AB279" i="31"/>
  <c r="Y127" i="31"/>
  <c r="S279" i="31"/>
  <c r="S317" i="31"/>
  <c r="W279" i="31"/>
  <c r="W317" i="31"/>
  <c r="R167" i="31"/>
  <c r="R215" i="31"/>
  <c r="T167" i="31"/>
  <c r="T215" i="31"/>
  <c r="P167" i="31"/>
  <c r="P215" i="31"/>
  <c r="S60" i="31"/>
  <c r="S215" i="31"/>
  <c r="W60" i="31"/>
  <c r="W215" i="31"/>
  <c r="W127" i="31"/>
  <c r="AB167" i="31"/>
  <c r="AB215" i="31"/>
  <c r="W167" i="31"/>
  <c r="AA60" i="31"/>
  <c r="AA215" i="31"/>
  <c r="Y60" i="31"/>
  <c r="Y167" i="31"/>
  <c r="Y215" i="31"/>
  <c r="V167" i="31"/>
  <c r="V215" i="31"/>
  <c r="S127" i="31"/>
  <c r="X167" i="31"/>
  <c r="X215" i="31"/>
  <c r="U127" i="31"/>
  <c r="S167" i="31"/>
  <c r="Q60" i="31"/>
  <c r="Q167" i="31"/>
  <c r="Q215" i="31"/>
  <c r="O60" i="31"/>
  <c r="O215" i="31"/>
  <c r="U60" i="31"/>
  <c r="U167" i="31"/>
  <c r="X127" i="31"/>
  <c r="X60" i="31"/>
  <c r="R60" i="31"/>
  <c r="R127" i="31"/>
  <c r="T127" i="31"/>
  <c r="T60" i="31"/>
  <c r="V60" i="31"/>
  <c r="V127" i="31"/>
  <c r="P127" i="31"/>
  <c r="P60" i="31"/>
  <c r="AB127" i="31"/>
  <c r="AB60" i="31"/>
  <c r="AB34" i="25"/>
  <c r="N141" i="25"/>
  <c r="Q17" i="25"/>
  <c r="U17" i="25"/>
  <c r="Y17" i="25"/>
  <c r="R17" i="25"/>
  <c r="V17" i="25"/>
  <c r="Z17" i="25"/>
  <c r="O17" i="25"/>
  <c r="S17" i="25"/>
  <c r="W17" i="25"/>
  <c r="AA17" i="25"/>
  <c r="P17" i="25"/>
  <c r="T17" i="25"/>
  <c r="X17" i="25"/>
  <c r="N34" i="26"/>
  <c r="N141" i="26"/>
  <c r="Q17" i="26"/>
  <c r="AB101" i="26"/>
  <c r="U17" i="26"/>
  <c r="AB34" i="26"/>
  <c r="R17" i="26"/>
  <c r="V17" i="26"/>
  <c r="Z17" i="26"/>
  <c r="O17" i="26"/>
  <c r="S17" i="26"/>
  <c r="W17" i="26"/>
  <c r="AA17" i="26"/>
  <c r="P17" i="26"/>
  <c r="T17" i="26"/>
  <c r="X17" i="26"/>
  <c r="H22" i="34"/>
  <c r="D17" i="34"/>
  <c r="D199" i="34" s="1"/>
  <c r="C17" i="34"/>
  <c r="B17" i="34" s="1"/>
  <c r="B18" i="34" s="1"/>
  <c r="B19" i="34" s="1"/>
  <c r="B20" i="34" s="1"/>
  <c r="B21" i="34" s="1"/>
  <c r="B22" i="34" s="1"/>
  <c r="AW11" i="34"/>
  <c r="AW13" i="34"/>
  <c r="AW14" i="34"/>
  <c r="AW15" i="34"/>
  <c r="AW16" i="34"/>
  <c r="Y101" i="26" l="1"/>
  <c r="AA141" i="25"/>
  <c r="Z141" i="25"/>
  <c r="U141" i="25"/>
  <c r="X141" i="25"/>
  <c r="W141" i="25"/>
  <c r="V141" i="25"/>
  <c r="Q141" i="25"/>
  <c r="T141" i="25"/>
  <c r="S141" i="25"/>
  <c r="R141" i="25"/>
  <c r="Y141" i="26"/>
  <c r="P141" i="25"/>
  <c r="O141" i="25"/>
  <c r="Y141" i="25"/>
  <c r="P101" i="25"/>
  <c r="P34" i="25"/>
  <c r="O34" i="25"/>
  <c r="O101" i="25"/>
  <c r="Y34" i="25"/>
  <c r="Y101" i="25"/>
  <c r="AA34" i="25"/>
  <c r="AA101" i="25"/>
  <c r="Z34" i="25"/>
  <c r="Z101" i="25"/>
  <c r="U34" i="25"/>
  <c r="U101" i="25"/>
  <c r="X101" i="25"/>
  <c r="X34" i="25"/>
  <c r="W34" i="25"/>
  <c r="W101" i="25"/>
  <c r="V34" i="25"/>
  <c r="V101" i="25"/>
  <c r="Q34" i="25"/>
  <c r="Q101" i="25"/>
  <c r="T101" i="25"/>
  <c r="T34" i="25"/>
  <c r="S34" i="25"/>
  <c r="S101" i="25"/>
  <c r="R34" i="25"/>
  <c r="R101" i="25"/>
  <c r="P141" i="26"/>
  <c r="P34" i="26"/>
  <c r="P101" i="26"/>
  <c r="O141" i="26"/>
  <c r="O34" i="26"/>
  <c r="O101" i="26"/>
  <c r="AA141" i="26"/>
  <c r="AA34" i="26"/>
  <c r="AA101" i="26"/>
  <c r="Z141" i="26"/>
  <c r="Z34" i="26"/>
  <c r="Z101" i="26"/>
  <c r="X141" i="26"/>
  <c r="X34" i="26"/>
  <c r="X101" i="26"/>
  <c r="W141" i="26"/>
  <c r="W34" i="26"/>
  <c r="W101" i="26"/>
  <c r="V141" i="26"/>
  <c r="V34" i="26"/>
  <c r="V101" i="26"/>
  <c r="Q101" i="26"/>
  <c r="Q141" i="26"/>
  <c r="Q34" i="26"/>
  <c r="T141" i="26"/>
  <c r="T34" i="26"/>
  <c r="T101" i="26"/>
  <c r="S141" i="26"/>
  <c r="S34" i="26"/>
  <c r="S101" i="26"/>
  <c r="R141" i="26"/>
  <c r="R34" i="26"/>
  <c r="R101" i="26"/>
  <c r="U101" i="26"/>
  <c r="U141" i="26"/>
  <c r="U34" i="26"/>
  <c r="C196" i="34" l="1"/>
  <c r="B196" i="34" s="1"/>
  <c r="C217" i="34"/>
  <c r="B217" i="34" s="1"/>
  <c r="C59" i="34"/>
  <c r="B59" i="34" s="1"/>
  <c r="B64" i="34" s="1"/>
  <c r="H64" i="34"/>
  <c r="D217" i="34"/>
  <c r="B198" i="34" l="1"/>
  <c r="B197" i="34"/>
  <c r="B219" i="34"/>
  <c r="B218" i="34"/>
  <c r="B60" i="34"/>
  <c r="B61" i="34" s="1"/>
  <c r="B62" i="34" s="1"/>
  <c r="B63" i="34" s="1"/>
  <c r="N151" i="28"/>
  <c r="N112" i="28"/>
  <c r="N48" i="28"/>
  <c r="I48" i="58" l="1"/>
  <c r="I23" i="58"/>
  <c r="I6" i="58"/>
  <c r="I31" i="58"/>
  <c r="I15" i="58"/>
  <c r="I39" i="58"/>
  <c r="S84" i="35"/>
  <c r="S81" i="35"/>
  <c r="S79" i="35"/>
  <c r="S78" i="35"/>
  <c r="S77" i="35"/>
  <c r="S76" i="35"/>
  <c r="G85" i="58" l="1"/>
  <c r="I53" i="58" s="1"/>
  <c r="F85" i="58"/>
  <c r="H35" i="58" s="1"/>
  <c r="E85" i="58"/>
  <c r="D85" i="58"/>
  <c r="G84" i="58"/>
  <c r="I30" i="58" s="1"/>
  <c r="F84" i="58"/>
  <c r="H46" i="58" s="1"/>
  <c r="E84" i="58"/>
  <c r="D84" i="58"/>
  <c r="C55" i="58" s="1"/>
  <c r="G83" i="58"/>
  <c r="I54" i="58" s="1"/>
  <c r="F83" i="58"/>
  <c r="H29" i="58" s="1"/>
  <c r="E83" i="58"/>
  <c r="D83" i="58"/>
  <c r="C54" i="58" s="1"/>
  <c r="H82" i="58"/>
  <c r="G82" i="58"/>
  <c r="I44" i="58" s="1"/>
  <c r="F82" i="58"/>
  <c r="E82" i="58"/>
  <c r="G44" i="58" s="1"/>
  <c r="D82" i="58"/>
  <c r="C11" i="58" s="1"/>
  <c r="G81" i="58"/>
  <c r="F81" i="58"/>
  <c r="E81" i="58"/>
  <c r="D81" i="58"/>
  <c r="C43" i="58" s="1"/>
  <c r="G80" i="58"/>
  <c r="F80" i="58"/>
  <c r="E80" i="58"/>
  <c r="H80" i="58" s="1"/>
  <c r="D80" i="58"/>
  <c r="G79" i="58"/>
  <c r="F79" i="58"/>
  <c r="H50" i="58" s="1"/>
  <c r="E79" i="58"/>
  <c r="G41" i="58" s="1"/>
  <c r="D79" i="58"/>
  <c r="C41" i="58" s="1"/>
  <c r="H78" i="58"/>
  <c r="H77" i="58"/>
  <c r="H76" i="58"/>
  <c r="H75" i="58"/>
  <c r="H74" i="58"/>
  <c r="H73" i="58"/>
  <c r="H72" i="58"/>
  <c r="H71" i="58"/>
  <c r="H70" i="58"/>
  <c r="H69" i="58"/>
  <c r="H68" i="58"/>
  <c r="H67" i="58"/>
  <c r="H66" i="58"/>
  <c r="H65" i="58"/>
  <c r="H64" i="58"/>
  <c r="H63" i="58"/>
  <c r="H62" i="58"/>
  <c r="H61" i="58"/>
  <c r="H60" i="58"/>
  <c r="I51" i="58"/>
  <c r="H51" i="58"/>
  <c r="C50" i="58"/>
  <c r="F49" i="58"/>
  <c r="E49" i="58"/>
  <c r="D49" i="58"/>
  <c r="J48" i="58"/>
  <c r="M47" i="58"/>
  <c r="F47" i="58" s="1"/>
  <c r="J47" i="58"/>
  <c r="K47" i="58" s="1"/>
  <c r="D47" i="58" s="1"/>
  <c r="C46" i="58"/>
  <c r="H45" i="58"/>
  <c r="C45" i="58"/>
  <c r="I43" i="58"/>
  <c r="H41" i="58"/>
  <c r="F40" i="58"/>
  <c r="E40" i="58"/>
  <c r="D40" i="58"/>
  <c r="J39" i="58"/>
  <c r="H38" i="58"/>
  <c r="G38" i="58"/>
  <c r="G37" i="58"/>
  <c r="C37" i="58"/>
  <c r="G36" i="58"/>
  <c r="C36" i="58"/>
  <c r="I34" i="58"/>
  <c r="C33" i="58"/>
  <c r="F32" i="58"/>
  <c r="E32" i="58"/>
  <c r="D32" i="58"/>
  <c r="J31" i="58"/>
  <c r="G29" i="58"/>
  <c r="C29" i="58"/>
  <c r="H27" i="58"/>
  <c r="C27" i="58"/>
  <c r="H25" i="58"/>
  <c r="C25" i="58"/>
  <c r="F24" i="58"/>
  <c r="E24" i="58"/>
  <c r="D24" i="58"/>
  <c r="J23" i="58"/>
  <c r="K23" i="58" s="1"/>
  <c r="D23" i="58" s="1"/>
  <c r="H19" i="58"/>
  <c r="H18" i="58"/>
  <c r="C18" i="58"/>
  <c r="F16" i="58"/>
  <c r="E16" i="58"/>
  <c r="D16" i="58"/>
  <c r="J15" i="58"/>
  <c r="M15" i="58" s="1"/>
  <c r="F15" i="58" s="1"/>
  <c r="J14" i="58"/>
  <c r="I13" i="58"/>
  <c r="C13" i="58"/>
  <c r="I11" i="58"/>
  <c r="H11" i="58"/>
  <c r="H10" i="58"/>
  <c r="G10" i="58"/>
  <c r="H8" i="58"/>
  <c r="C8" i="58"/>
  <c r="F7" i="58"/>
  <c r="E7" i="58"/>
  <c r="D7" i="58"/>
  <c r="J6" i="58"/>
  <c r="M6" i="58" s="1"/>
  <c r="F6" i="58" s="1"/>
  <c r="M5" i="58"/>
  <c r="F5" i="58" s="1"/>
  <c r="J5" i="58"/>
  <c r="L5" i="58" s="1"/>
  <c r="E5" i="58" s="1"/>
  <c r="J4" i="58"/>
  <c r="K4" i="58" s="1"/>
  <c r="D4" i="58" s="1"/>
  <c r="C35" i="58" l="1"/>
  <c r="H37" i="58"/>
  <c r="I38" i="58"/>
  <c r="H42" i="58"/>
  <c r="C44" i="58"/>
  <c r="C52" i="58"/>
  <c r="H34" i="58"/>
  <c r="H12" i="58"/>
  <c r="I20" i="58"/>
  <c r="G50" i="58"/>
  <c r="I8" i="58"/>
  <c r="I12" i="58"/>
  <c r="C17" i="58"/>
  <c r="I18" i="58"/>
  <c r="C22" i="58"/>
  <c r="H26" i="58"/>
  <c r="I28" i="58"/>
  <c r="C30" i="58"/>
  <c r="I36" i="58"/>
  <c r="C38" i="58"/>
  <c r="I42" i="58"/>
  <c r="L47" i="58"/>
  <c r="E47" i="58" s="1"/>
  <c r="I9" i="58"/>
  <c r="C10" i="58"/>
  <c r="I17" i="58"/>
  <c r="C19" i="58"/>
  <c r="I22" i="58"/>
  <c r="I26" i="58"/>
  <c r="I35" i="58"/>
  <c r="I46" i="58"/>
  <c r="I55" i="58"/>
  <c r="H54" i="58"/>
  <c r="K6" i="58"/>
  <c r="D6" i="58" s="1"/>
  <c r="L6" i="58"/>
  <c r="E6" i="58" s="1"/>
  <c r="M23" i="58"/>
  <c r="F23" i="58" s="1"/>
  <c r="K15" i="58"/>
  <c r="D15" i="58" s="1"/>
  <c r="L15" i="58"/>
  <c r="E15" i="58" s="1"/>
  <c r="M14" i="58"/>
  <c r="F14" i="58" s="1"/>
  <c r="L14" i="58"/>
  <c r="E14" i="58" s="1"/>
  <c r="K14" i="58"/>
  <c r="D14" i="58" s="1"/>
  <c r="J38" i="58"/>
  <c r="K38" i="58" s="1"/>
  <c r="D38" i="58" s="1"/>
  <c r="L48" i="58"/>
  <c r="E48" i="58" s="1"/>
  <c r="M48" i="58"/>
  <c r="F48" i="58" s="1"/>
  <c r="H85" i="58"/>
  <c r="G55" i="58"/>
  <c r="G51" i="58"/>
  <c r="G46" i="58"/>
  <c r="G45" i="58"/>
  <c r="G26" i="58"/>
  <c r="G12" i="58"/>
  <c r="G54" i="58"/>
  <c r="G53" i="58"/>
  <c r="G52" i="58"/>
  <c r="G34" i="58"/>
  <c r="G22" i="58"/>
  <c r="G21" i="58"/>
  <c r="G20" i="58"/>
  <c r="G13" i="58"/>
  <c r="G9" i="58"/>
  <c r="L4" i="58"/>
  <c r="E4" i="58" s="1"/>
  <c r="G11" i="58"/>
  <c r="G28" i="58"/>
  <c r="G30" i="58"/>
  <c r="K31" i="58"/>
  <c r="D31" i="58" s="1"/>
  <c r="M31" i="58"/>
  <c r="F31" i="58" s="1"/>
  <c r="L31" i="58"/>
  <c r="E31" i="58" s="1"/>
  <c r="K39" i="58"/>
  <c r="D39" i="58" s="1"/>
  <c r="M39" i="58"/>
  <c r="F39" i="58" s="1"/>
  <c r="G42" i="58"/>
  <c r="K48" i="58"/>
  <c r="D48" i="58" s="1"/>
  <c r="C51" i="58"/>
  <c r="C34" i="58"/>
  <c r="C42" i="58"/>
  <c r="C9" i="58"/>
  <c r="I52" i="58"/>
  <c r="I19" i="58"/>
  <c r="I10" i="58"/>
  <c r="J10" i="58" s="1"/>
  <c r="K10" i="58" s="1"/>
  <c r="D10" i="58" s="1"/>
  <c r="I27" i="58"/>
  <c r="H84" i="58"/>
  <c r="H55" i="58"/>
  <c r="H22" i="58"/>
  <c r="H13" i="58"/>
  <c r="H30" i="58"/>
  <c r="M4" i="58"/>
  <c r="F4" i="58" s="1"/>
  <c r="K5" i="58"/>
  <c r="D5" i="58" s="1"/>
  <c r="G18" i="58"/>
  <c r="C26" i="58"/>
  <c r="L39" i="58"/>
  <c r="E39" i="58" s="1"/>
  <c r="H79" i="58"/>
  <c r="G25" i="58"/>
  <c r="G8" i="58"/>
  <c r="G33" i="58"/>
  <c r="G17" i="58"/>
  <c r="C53" i="58"/>
  <c r="C20" i="58"/>
  <c r="C28" i="58"/>
  <c r="I45" i="58"/>
  <c r="I37" i="58"/>
  <c r="J37" i="58" s="1"/>
  <c r="L37" i="58" s="1"/>
  <c r="E37" i="58" s="1"/>
  <c r="I29" i="58"/>
  <c r="I21" i="58"/>
  <c r="H83" i="58"/>
  <c r="I41" i="58"/>
  <c r="J41" i="58" s="1"/>
  <c r="L41" i="58" s="1"/>
  <c r="E41" i="58" s="1"/>
  <c r="I33" i="58"/>
  <c r="I25" i="58"/>
  <c r="H81" i="58"/>
  <c r="G43" i="58"/>
  <c r="G35" i="58"/>
  <c r="G27" i="58"/>
  <c r="G19" i="58"/>
  <c r="H9" i="58"/>
  <c r="C12" i="58"/>
  <c r="H17" i="58"/>
  <c r="C21" i="58"/>
  <c r="H21" i="58"/>
  <c r="L23" i="58"/>
  <c r="E23" i="58" s="1"/>
  <c r="H33" i="58"/>
  <c r="H43" i="58"/>
  <c r="I50" i="58"/>
  <c r="H53" i="58"/>
  <c r="H52" i="58"/>
  <c r="H44" i="58"/>
  <c r="H36" i="58"/>
  <c r="J36" i="58" s="1"/>
  <c r="K36" i="58" s="1"/>
  <c r="D36" i="58" s="1"/>
  <c r="H28" i="58"/>
  <c r="H20" i="58"/>
  <c r="M36" i="58" l="1"/>
  <c r="F36" i="58" s="1"/>
  <c r="J27" i="58"/>
  <c r="L27" i="58" s="1"/>
  <c r="E27" i="58" s="1"/>
  <c r="J17" i="58"/>
  <c r="M17" i="58" s="1"/>
  <c r="F17" i="58" s="1"/>
  <c r="J18" i="58"/>
  <c r="K18" i="58" s="1"/>
  <c r="D18" i="58" s="1"/>
  <c r="J42" i="58"/>
  <c r="K42" i="58" s="1"/>
  <c r="D42" i="58" s="1"/>
  <c r="J28" i="58"/>
  <c r="M28" i="58" s="1"/>
  <c r="F28" i="58" s="1"/>
  <c r="J20" i="58"/>
  <c r="M20" i="58" s="1"/>
  <c r="F20" i="58" s="1"/>
  <c r="J52" i="58"/>
  <c r="K52" i="58" s="1"/>
  <c r="D52" i="58" s="1"/>
  <c r="J26" i="58"/>
  <c r="K26" i="58" s="1"/>
  <c r="D26" i="58" s="1"/>
  <c r="J55" i="58"/>
  <c r="M55" i="58" s="1"/>
  <c r="F55" i="58" s="1"/>
  <c r="J35" i="58"/>
  <c r="J33" i="58"/>
  <c r="M33" i="58" s="1"/>
  <c r="F33" i="58" s="1"/>
  <c r="J11" i="58"/>
  <c r="J21" i="58"/>
  <c r="M21" i="58" s="1"/>
  <c r="F21" i="58" s="1"/>
  <c r="J53" i="58"/>
  <c r="M53" i="58" s="1"/>
  <c r="F53" i="58" s="1"/>
  <c r="J45" i="58"/>
  <c r="L45" i="58" s="1"/>
  <c r="E45" i="58" s="1"/>
  <c r="K37" i="58"/>
  <c r="D37" i="58" s="1"/>
  <c r="L21" i="58"/>
  <c r="E21" i="58" s="1"/>
  <c r="J43" i="58"/>
  <c r="M43" i="58" s="1"/>
  <c r="F43" i="58" s="1"/>
  <c r="M41" i="58"/>
  <c r="F41" i="58" s="1"/>
  <c r="J8" i="58"/>
  <c r="J44" i="58"/>
  <c r="J30" i="58"/>
  <c r="M30" i="58" s="1"/>
  <c r="F30" i="58" s="1"/>
  <c r="J9" i="58"/>
  <c r="M9" i="58" s="1"/>
  <c r="F9" i="58" s="1"/>
  <c r="J22" i="58"/>
  <c r="M22" i="58" s="1"/>
  <c r="F22" i="58" s="1"/>
  <c r="J54" i="58"/>
  <c r="K54" i="58" s="1"/>
  <c r="D54" i="58" s="1"/>
  <c r="J46" i="58"/>
  <c r="K46" i="58" s="1"/>
  <c r="D46" i="58" s="1"/>
  <c r="L36" i="58"/>
  <c r="E36" i="58" s="1"/>
  <c r="J19" i="58"/>
  <c r="L19" i="58" s="1"/>
  <c r="E19" i="58" s="1"/>
  <c r="M37" i="58"/>
  <c r="F37" i="58" s="1"/>
  <c r="J25" i="58"/>
  <c r="L25" i="58" s="1"/>
  <c r="E25" i="58" s="1"/>
  <c r="K41" i="58"/>
  <c r="D41" i="58" s="1"/>
  <c r="M10" i="58"/>
  <c r="F10" i="58" s="1"/>
  <c r="J13" i="58"/>
  <c r="M13" i="58" s="1"/>
  <c r="F13" i="58" s="1"/>
  <c r="J34" i="58"/>
  <c r="K34" i="58" s="1"/>
  <c r="D34" i="58" s="1"/>
  <c r="J12" i="58"/>
  <c r="J51" i="58"/>
  <c r="M38" i="58"/>
  <c r="F38" i="58" s="1"/>
  <c r="L38" i="58"/>
  <c r="E38" i="58" s="1"/>
  <c r="L10" i="58"/>
  <c r="E10" i="58" s="1"/>
  <c r="J50" i="58"/>
  <c r="J29" i="58"/>
  <c r="K30" i="58" l="1"/>
  <c r="D30" i="58" s="1"/>
  <c r="L52" i="58"/>
  <c r="E52" i="58" s="1"/>
  <c r="M52" i="58"/>
  <c r="F52" i="58" s="1"/>
  <c r="M45" i="58"/>
  <c r="F45" i="58" s="1"/>
  <c r="L30" i="58"/>
  <c r="E30" i="58" s="1"/>
  <c r="L13" i="58"/>
  <c r="E13" i="58" s="1"/>
  <c r="L53" i="58"/>
  <c r="E53" i="58" s="1"/>
  <c r="K53" i="58"/>
  <c r="D53" i="58" s="1"/>
  <c r="K55" i="58"/>
  <c r="D55" i="58" s="1"/>
  <c r="M25" i="58"/>
  <c r="F25" i="58" s="1"/>
  <c r="L22" i="58"/>
  <c r="E22" i="58" s="1"/>
  <c r="K22" i="58"/>
  <c r="D22" i="58" s="1"/>
  <c r="L17" i="58"/>
  <c r="E17" i="58" s="1"/>
  <c r="L50" i="58"/>
  <c r="E50" i="58" s="1"/>
  <c r="K50" i="58"/>
  <c r="D50" i="58" s="1"/>
  <c r="M51" i="58"/>
  <c r="F51" i="58" s="1"/>
  <c r="L51" i="58"/>
  <c r="E51" i="58" s="1"/>
  <c r="L11" i="58"/>
  <c r="E11" i="58" s="1"/>
  <c r="M11" i="58"/>
  <c r="F11" i="58" s="1"/>
  <c r="M35" i="58"/>
  <c r="F35" i="58" s="1"/>
  <c r="L35" i="58"/>
  <c r="E35" i="58" s="1"/>
  <c r="K51" i="58"/>
  <c r="D51" i="58" s="1"/>
  <c r="L34" i="58"/>
  <c r="E34" i="58" s="1"/>
  <c r="M34" i="58"/>
  <c r="F34" i="58" s="1"/>
  <c r="K19" i="58"/>
  <c r="D19" i="58" s="1"/>
  <c r="M54" i="58"/>
  <c r="F54" i="58" s="1"/>
  <c r="L54" i="58"/>
  <c r="E54" i="58" s="1"/>
  <c r="K9" i="58"/>
  <c r="D9" i="58" s="1"/>
  <c r="M44" i="58"/>
  <c r="F44" i="58" s="1"/>
  <c r="K44" i="58"/>
  <c r="D44" i="58" s="1"/>
  <c r="L43" i="58"/>
  <c r="E43" i="58" s="1"/>
  <c r="K35" i="58"/>
  <c r="D35" i="58" s="1"/>
  <c r="M18" i="58"/>
  <c r="F18" i="58" s="1"/>
  <c r="L18" i="58"/>
  <c r="E18" i="58" s="1"/>
  <c r="L33" i="58"/>
  <c r="E33" i="58" s="1"/>
  <c r="M12" i="58"/>
  <c r="F12" i="58" s="1"/>
  <c r="L12" i="58"/>
  <c r="E12" i="58" s="1"/>
  <c r="M8" i="58"/>
  <c r="F8" i="58" s="1"/>
  <c r="L8" i="58"/>
  <c r="E8" i="58" s="1"/>
  <c r="K43" i="58"/>
  <c r="D43" i="58" s="1"/>
  <c r="K45" i="58"/>
  <c r="D45" i="58" s="1"/>
  <c r="K21" i="58"/>
  <c r="D21" i="58" s="1"/>
  <c r="K33" i="58"/>
  <c r="D33" i="58" s="1"/>
  <c r="L20" i="58"/>
  <c r="E20" i="58" s="1"/>
  <c r="M26" i="58"/>
  <c r="F26" i="58" s="1"/>
  <c r="L26" i="58"/>
  <c r="E26" i="58" s="1"/>
  <c r="K20" i="58"/>
  <c r="D20" i="58" s="1"/>
  <c r="M42" i="58"/>
  <c r="F42" i="58" s="1"/>
  <c r="L42" i="58"/>
  <c r="E42" i="58" s="1"/>
  <c r="M19" i="58"/>
  <c r="F19" i="58" s="1"/>
  <c r="M50" i="58"/>
  <c r="F50" i="58" s="1"/>
  <c r="L29" i="58"/>
  <c r="E29" i="58" s="1"/>
  <c r="K29" i="58"/>
  <c r="D29" i="58" s="1"/>
  <c r="K12" i="58"/>
  <c r="D12" i="58" s="1"/>
  <c r="K13" i="58"/>
  <c r="D13" i="58" s="1"/>
  <c r="K25" i="58"/>
  <c r="D25" i="58" s="1"/>
  <c r="M46" i="58"/>
  <c r="F46" i="58" s="1"/>
  <c r="L46" i="58"/>
  <c r="E46" i="58" s="1"/>
  <c r="M27" i="58"/>
  <c r="F27" i="58" s="1"/>
  <c r="K8" i="58"/>
  <c r="D8" i="58" s="1"/>
  <c r="M29" i="58"/>
  <c r="F29" i="58" s="1"/>
  <c r="L9" i="58"/>
  <c r="E9" i="58" s="1"/>
  <c r="L28" i="58"/>
  <c r="E28" i="58" s="1"/>
  <c r="K11" i="58"/>
  <c r="D11" i="58" s="1"/>
  <c r="K28" i="58"/>
  <c r="D28" i="58" s="1"/>
  <c r="L55" i="58"/>
  <c r="E55" i="58" s="1"/>
  <c r="K17" i="58"/>
  <c r="D17" i="58" s="1"/>
  <c r="K27" i="58"/>
  <c r="D27" i="58" s="1"/>
  <c r="L44" i="58"/>
  <c r="E44" i="58" s="1"/>
  <c r="D205" i="14" l="1"/>
  <c r="B205" i="34" l="1"/>
  <c r="AX67" i="34"/>
  <c r="B207" i="34" l="1"/>
  <c r="B206" i="34"/>
  <c r="N236" i="28"/>
  <c r="N262" i="28"/>
  <c r="N301" i="28"/>
  <c r="N198" i="28"/>
  <c r="AJ118" i="38"/>
  <c r="AE127" i="38"/>
  <c r="AD127" i="38"/>
  <c r="AE126" i="38"/>
  <c r="AD126" i="38"/>
  <c r="AE125" i="38"/>
  <c r="AD125" i="38"/>
  <c r="AE124" i="38"/>
  <c r="AD124" i="38"/>
  <c r="AE123" i="38"/>
  <c r="AD123" i="38"/>
  <c r="AE122" i="38"/>
  <c r="AD122" i="38"/>
  <c r="AE121" i="38"/>
  <c r="AD121" i="38"/>
  <c r="AE120" i="38"/>
  <c r="AD120" i="38"/>
  <c r="AF119" i="38"/>
  <c r="AG119" i="38" s="1"/>
  <c r="AI119" i="38" s="1"/>
  <c r="AJ119" i="38" s="1"/>
  <c r="AE119" i="38"/>
  <c r="AD119" i="38"/>
  <c r="AF118" i="38"/>
  <c r="AG118" i="38" s="1"/>
  <c r="AI118" i="38" s="1"/>
  <c r="AE118" i="38"/>
  <c r="AD118" i="38"/>
  <c r="AG117" i="38"/>
  <c r="AI117" i="38" s="1"/>
  <c r="AJ117" i="38" s="1"/>
  <c r="AE117" i="38"/>
  <c r="AD117" i="38"/>
  <c r="AG116" i="38"/>
  <c r="AI116" i="38" s="1"/>
  <c r="AJ116" i="38" s="1"/>
  <c r="AE116" i="38"/>
  <c r="AD116" i="38"/>
  <c r="AG115" i="38"/>
  <c r="AI115" i="38" s="1"/>
  <c r="AJ115" i="38" s="1"/>
  <c r="AE115" i="38"/>
  <c r="AD115" i="38"/>
  <c r="AG114" i="38"/>
  <c r="AI114" i="38" s="1"/>
  <c r="AJ114" i="38" s="1"/>
  <c r="AE114" i="38"/>
  <c r="AD114" i="38"/>
  <c r="AE113" i="38"/>
  <c r="AD113" i="38"/>
  <c r="AE112" i="38"/>
  <c r="AD112" i="38"/>
  <c r="AG111" i="38"/>
  <c r="AI111" i="38" s="1"/>
  <c r="AJ111" i="38" s="1"/>
  <c r="AE111" i="38"/>
  <c r="AD111" i="38"/>
  <c r="AG110" i="38"/>
  <c r="AI110" i="38" s="1"/>
  <c r="AJ110" i="38" s="1"/>
  <c r="AE110" i="38"/>
  <c r="AD110" i="38"/>
  <c r="AE109" i="38"/>
  <c r="AD109" i="38"/>
  <c r="AE108" i="38"/>
  <c r="AD108" i="38"/>
  <c r="AW8" i="7"/>
  <c r="X40" i="36"/>
  <c r="E40" i="36"/>
  <c r="AA25" i="7" s="1"/>
  <c r="AA55" i="7" s="1"/>
  <c r="G304" i="38"/>
  <c r="N24" i="28"/>
  <c r="M24" i="28"/>
  <c r="M25" i="7" l="1"/>
  <c r="M55" i="7" s="1"/>
  <c r="Q25" i="7"/>
  <c r="Q55" i="7" s="1"/>
  <c r="Y25" i="7"/>
  <c r="Y55" i="7" s="1"/>
  <c r="N25" i="7"/>
  <c r="N55" i="7" s="1"/>
  <c r="P25" i="7"/>
  <c r="P55" i="7" s="1"/>
  <c r="T25" i="7"/>
  <c r="T55" i="7" s="1"/>
  <c r="X25" i="7"/>
  <c r="X55" i="7" s="1"/>
  <c r="V25" i="7"/>
  <c r="V55" i="7" s="1"/>
  <c r="Z25" i="7"/>
  <c r="Z55" i="7" s="1"/>
  <c r="U25" i="7"/>
  <c r="U55" i="7" s="1"/>
  <c r="R25" i="7"/>
  <c r="R55" i="7" s="1"/>
  <c r="O25" i="7"/>
  <c r="O55" i="7" s="1"/>
  <c r="S25" i="7"/>
  <c r="S55" i="7" s="1"/>
  <c r="W25" i="7"/>
  <c r="W55" i="7" s="1"/>
  <c r="D172" i="14" l="1"/>
  <c r="C229" i="34" l="1"/>
  <c r="B229" i="34" s="1"/>
  <c r="H88" i="34"/>
  <c r="D83" i="34"/>
  <c r="D229" i="34" s="1"/>
  <c r="C83" i="34"/>
  <c r="B83" i="34" s="1"/>
  <c r="B231" i="34" l="1"/>
  <c r="B230" i="34"/>
  <c r="B88" i="34"/>
  <c r="B84" i="34"/>
  <c r="B85" i="34" s="1"/>
  <c r="B86" i="34" s="1"/>
  <c r="B87" i="34" s="1"/>
  <c r="D202" i="14"/>
  <c r="D198" i="14"/>
  <c r="D196" i="14"/>
  <c r="D194" i="14"/>
  <c r="D192" i="14"/>
  <c r="D190" i="14"/>
  <c r="D188" i="14"/>
  <c r="D184" i="14"/>
  <c r="D180" i="14"/>
  <c r="D178" i="14"/>
  <c r="D176" i="14"/>
  <c r="D174" i="14"/>
  <c r="D170" i="14"/>
  <c r="D168" i="14"/>
  <c r="D158" i="14"/>
  <c r="AX66" i="34" l="1"/>
  <c r="AX65" i="34"/>
  <c r="AX64" i="34"/>
  <c r="AX63" i="34"/>
  <c r="AX62" i="34"/>
  <c r="AW31" i="34" l="1"/>
  <c r="AW30" i="34"/>
  <c r="AW29" i="34"/>
  <c r="AW22" i="34"/>
  <c r="AW21" i="34"/>
  <c r="AW20" i="34"/>
  <c r="AW19" i="34"/>
  <c r="AW18" i="34"/>
  <c r="AW17" i="34"/>
  <c r="AC83" i="7"/>
  <c r="T94" i="46" l="1"/>
  <c r="T109" i="46"/>
  <c r="S14" i="51"/>
  <c r="S10" i="5" l="1"/>
  <c r="G139" i="38"/>
  <c r="N39" i="28"/>
  <c r="G130" i="38"/>
  <c r="H130" i="38" s="1"/>
  <c r="R203" i="28" l="1"/>
  <c r="Z203" i="28"/>
  <c r="AL6" i="35"/>
  <c r="BB21" i="35"/>
  <c r="BA21" i="35"/>
  <c r="AZ21" i="35"/>
  <c r="AY21" i="35"/>
  <c r="AX21" i="35"/>
  <c r="AW21" i="35"/>
  <c r="AV21" i="35"/>
  <c r="AU21" i="35"/>
  <c r="AT21" i="35"/>
  <c r="AS21" i="35"/>
  <c r="AR21" i="35"/>
  <c r="AQ21" i="35"/>
  <c r="AP21" i="35"/>
  <c r="AO21" i="35"/>
  <c r="AN21" i="35"/>
  <c r="BC20" i="35"/>
  <c r="BC19" i="35"/>
  <c r="BC18" i="35"/>
  <c r="BC17" i="35"/>
  <c r="BC16" i="35"/>
  <c r="BC15" i="35"/>
  <c r="BC14" i="35"/>
  <c r="BC13" i="35"/>
  <c r="BC12" i="35"/>
  <c r="BC11" i="35"/>
  <c r="BC21" i="35" s="1"/>
  <c r="S20" i="45"/>
  <c r="S19" i="45"/>
  <c r="S18" i="45"/>
  <c r="S17" i="45"/>
  <c r="S16" i="45"/>
  <c r="S15" i="45"/>
  <c r="S14" i="45"/>
  <c r="U13" i="5" l="1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3" i="5"/>
  <c r="G11" i="5"/>
  <c r="M282" i="34" l="1"/>
  <c r="N282" i="34" s="1"/>
  <c r="O282" i="34" s="1"/>
  <c r="P282" i="34" s="1"/>
  <c r="Q282" i="34" s="1"/>
  <c r="R282" i="34" s="1"/>
  <c r="S282" i="34" s="1"/>
  <c r="T282" i="34" s="1"/>
  <c r="U282" i="34" s="1"/>
  <c r="V282" i="34" s="1"/>
  <c r="W282" i="34" s="1"/>
  <c r="X282" i="34" s="1"/>
  <c r="Y282" i="34" s="1"/>
  <c r="Z282" i="34" s="1"/>
  <c r="M281" i="34"/>
  <c r="N281" i="34" s="1"/>
  <c r="O281" i="34" s="1"/>
  <c r="P281" i="34" s="1"/>
  <c r="Q281" i="34" s="1"/>
  <c r="R281" i="34" s="1"/>
  <c r="S281" i="34" s="1"/>
  <c r="T281" i="34" s="1"/>
  <c r="U281" i="34" s="1"/>
  <c r="V281" i="34" s="1"/>
  <c r="W281" i="34" s="1"/>
  <c r="X281" i="34" s="1"/>
  <c r="Y281" i="34" s="1"/>
  <c r="Z281" i="34" s="1"/>
  <c r="B281" i="34"/>
  <c r="B282" i="34" s="1"/>
  <c r="B283" i="34" s="1"/>
  <c r="H273" i="34"/>
  <c r="M268" i="34"/>
  <c r="N268" i="34" s="1"/>
  <c r="O268" i="34" s="1"/>
  <c r="P268" i="34" s="1"/>
  <c r="Q268" i="34" s="1"/>
  <c r="R268" i="34" s="1"/>
  <c r="S268" i="34" s="1"/>
  <c r="T268" i="34" s="1"/>
  <c r="U268" i="34" s="1"/>
  <c r="V268" i="34" s="1"/>
  <c r="W268" i="34" s="1"/>
  <c r="X268" i="34" s="1"/>
  <c r="Y268" i="34" s="1"/>
  <c r="Z268" i="34" s="1"/>
  <c r="B268" i="34"/>
  <c r="B269" i="34" s="1"/>
  <c r="B270" i="34" s="1"/>
  <c r="B271" i="34" s="1"/>
  <c r="B272" i="34" s="1"/>
  <c r="B273" i="34" s="1"/>
  <c r="AA32" i="7" l="1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M30" i="7"/>
  <c r="AJ175" i="38" l="1"/>
  <c r="AJ171" i="38"/>
  <c r="AJ167" i="38"/>
  <c r="AJ163" i="38"/>
  <c r="AJ161" i="38"/>
  <c r="AJ160" i="38"/>
  <c r="AJ216" i="38"/>
  <c r="AJ212" i="38"/>
  <c r="AD222" i="38"/>
  <c r="AE222" i="38"/>
  <c r="AF222" i="38"/>
  <c r="AG222" i="38"/>
  <c r="AI222" i="38" s="1"/>
  <c r="AJ222" i="38" s="1"/>
  <c r="AD223" i="38"/>
  <c r="AE223" i="38"/>
  <c r="AF223" i="38"/>
  <c r="AG223" i="38"/>
  <c r="AI223" i="38" s="1"/>
  <c r="AJ223" i="38" s="1"/>
  <c r="AE221" i="38"/>
  <c r="AD221" i="38"/>
  <c r="AE220" i="38"/>
  <c r="AD220" i="38"/>
  <c r="AE219" i="38"/>
  <c r="AD219" i="38"/>
  <c r="AE218" i="38"/>
  <c r="AD218" i="38"/>
  <c r="AE217" i="38"/>
  <c r="AD217" i="38"/>
  <c r="AF216" i="38"/>
  <c r="AG216" i="38" s="1"/>
  <c r="AI216" i="38" s="1"/>
  <c r="AE216" i="38"/>
  <c r="AD216" i="38"/>
  <c r="AE215" i="38"/>
  <c r="AD215" i="38"/>
  <c r="AF214" i="38"/>
  <c r="AG214" i="38" s="1"/>
  <c r="AI214" i="38" s="1"/>
  <c r="AJ214" i="38" s="1"/>
  <c r="AE214" i="38"/>
  <c r="AD214" i="38"/>
  <c r="AE213" i="38"/>
  <c r="AD213" i="38"/>
  <c r="AF212" i="38"/>
  <c r="AG212" i="38" s="1"/>
  <c r="AI212" i="38" s="1"/>
  <c r="AE212" i="38"/>
  <c r="AD212" i="38"/>
  <c r="AE211" i="38"/>
  <c r="AD211" i="38"/>
  <c r="AF210" i="38"/>
  <c r="AG210" i="38" s="1"/>
  <c r="AI210" i="38" s="1"/>
  <c r="AJ210" i="38" s="1"/>
  <c r="AE210" i="38"/>
  <c r="AD210" i="38"/>
  <c r="AE209" i="38"/>
  <c r="AD209" i="38"/>
  <c r="AE208" i="38"/>
  <c r="AD208" i="38"/>
  <c r="AF207" i="38"/>
  <c r="AG207" i="38" s="1"/>
  <c r="AE207" i="38"/>
  <c r="AD207" i="38"/>
  <c r="AF206" i="38"/>
  <c r="AG206" i="38" s="1"/>
  <c r="AE206" i="38"/>
  <c r="AD206" i="38"/>
  <c r="AE205" i="38"/>
  <c r="AD205" i="38"/>
  <c r="AF204" i="38"/>
  <c r="AG204" i="38" s="1"/>
  <c r="AI204" i="38" s="1"/>
  <c r="AJ204" i="38" s="1"/>
  <c r="AE204" i="38"/>
  <c r="AD204" i="38"/>
  <c r="AE203" i="38"/>
  <c r="AD203" i="38"/>
  <c r="AE202" i="38"/>
  <c r="AD202" i="38"/>
  <c r="AE177" i="38"/>
  <c r="AE176" i="38"/>
  <c r="AE175" i="38"/>
  <c r="AE174" i="38"/>
  <c r="AE173" i="38"/>
  <c r="AE172" i="38"/>
  <c r="AE171" i="38"/>
  <c r="AE170" i="38"/>
  <c r="AE169" i="38"/>
  <c r="AE168" i="38"/>
  <c r="AE167" i="38"/>
  <c r="AE166" i="38"/>
  <c r="AE165" i="38"/>
  <c r="AE164" i="38"/>
  <c r="AE163" i="38"/>
  <c r="AE162" i="38"/>
  <c r="AE161" i="38"/>
  <c r="AE160" i="38"/>
  <c r="AE159" i="38"/>
  <c r="AE158" i="38"/>
  <c r="AF177" i="38"/>
  <c r="AG177" i="38" s="1"/>
  <c r="AI177" i="38" s="1"/>
  <c r="AJ177" i="38" s="1"/>
  <c r="AD177" i="38"/>
  <c r="AF176" i="38"/>
  <c r="AG176" i="38" s="1"/>
  <c r="AI176" i="38" s="1"/>
  <c r="AJ176" i="38" s="1"/>
  <c r="AD176" i="38"/>
  <c r="AF175" i="38"/>
  <c r="AG175" i="38" s="1"/>
  <c r="AI175" i="38" s="1"/>
  <c r="AD175" i="38"/>
  <c r="AF174" i="38"/>
  <c r="AG174" i="38" s="1"/>
  <c r="AI174" i="38" s="1"/>
  <c r="AJ174" i="38" s="1"/>
  <c r="AD174" i="38"/>
  <c r="AF173" i="38"/>
  <c r="AG173" i="38" s="1"/>
  <c r="AI173" i="38" s="1"/>
  <c r="AJ173" i="38" s="1"/>
  <c r="AD173" i="38"/>
  <c r="AF172" i="38"/>
  <c r="AG172" i="38" s="1"/>
  <c r="AI172" i="38" s="1"/>
  <c r="AJ172" i="38" s="1"/>
  <c r="AD172" i="38"/>
  <c r="AF171" i="38"/>
  <c r="AG171" i="38" s="1"/>
  <c r="AI171" i="38" s="1"/>
  <c r="AD171" i="38"/>
  <c r="AF170" i="38"/>
  <c r="AG170" i="38" s="1"/>
  <c r="AI170" i="38" s="1"/>
  <c r="AJ170" i="38" s="1"/>
  <c r="AD170" i="38"/>
  <c r="AF169" i="38"/>
  <c r="AG169" i="38" s="1"/>
  <c r="AI169" i="38" s="1"/>
  <c r="AJ169" i="38" s="1"/>
  <c r="AD169" i="38"/>
  <c r="AF168" i="38"/>
  <c r="AG168" i="38" s="1"/>
  <c r="AI168" i="38" s="1"/>
  <c r="AJ168" i="38" s="1"/>
  <c r="AD168" i="38"/>
  <c r="AF167" i="38"/>
  <c r="AG167" i="38" s="1"/>
  <c r="AI167" i="38" s="1"/>
  <c r="AD167" i="38"/>
  <c r="AF166" i="38"/>
  <c r="AG166" i="38" s="1"/>
  <c r="AI166" i="38" s="1"/>
  <c r="AJ166" i="38" s="1"/>
  <c r="AD166" i="38"/>
  <c r="AF165" i="38"/>
  <c r="AG165" i="38" s="1"/>
  <c r="AI165" i="38" s="1"/>
  <c r="AJ165" i="38" s="1"/>
  <c r="AD165" i="38"/>
  <c r="AF164" i="38"/>
  <c r="AG164" i="38" s="1"/>
  <c r="AI164" i="38" s="1"/>
  <c r="AJ164" i="38" s="1"/>
  <c r="AD164" i="38"/>
  <c r="AF163" i="38"/>
  <c r="AG163" i="38" s="1"/>
  <c r="AI163" i="38" s="1"/>
  <c r="AD163" i="38"/>
  <c r="AF162" i="38"/>
  <c r="AG162" i="38" s="1"/>
  <c r="AI162" i="38" s="1"/>
  <c r="AJ162" i="38" s="1"/>
  <c r="AD162" i="38"/>
  <c r="AF161" i="38"/>
  <c r="AG161" i="38" s="1"/>
  <c r="AD161" i="38"/>
  <c r="AF160" i="38"/>
  <c r="AG160" i="38" s="1"/>
  <c r="AD160" i="38"/>
  <c r="AD159" i="38"/>
  <c r="AD158" i="38"/>
  <c r="AG52" i="38"/>
  <c r="AI52" i="38" s="1"/>
  <c r="AJ52" i="38" s="1"/>
  <c r="AG51" i="38"/>
  <c r="AI51" i="38" s="1"/>
  <c r="AJ51" i="38" s="1"/>
  <c r="AG48" i="38"/>
  <c r="AI48" i="38" s="1"/>
  <c r="AJ48" i="38" s="1"/>
  <c r="AG47" i="38"/>
  <c r="AI47" i="38" s="1"/>
  <c r="AJ47" i="38" s="1"/>
  <c r="AG44" i="38"/>
  <c r="AI44" i="38" s="1"/>
  <c r="AJ44" i="38" s="1"/>
  <c r="AG40" i="38"/>
  <c r="AI40" i="38" s="1"/>
  <c r="AJ40" i="38" s="1"/>
  <c r="AG39" i="38"/>
  <c r="AI39" i="38" s="1"/>
  <c r="AJ39" i="38" s="1"/>
  <c r="AG36" i="38"/>
  <c r="AF36" i="38"/>
  <c r="AF37" i="38"/>
  <c r="AG37" i="38" s="1"/>
  <c r="AF38" i="38"/>
  <c r="AG38" i="38" s="1"/>
  <c r="AI38" i="38" s="1"/>
  <c r="AJ38" i="38" s="1"/>
  <c r="AF39" i="38"/>
  <c r="AF40" i="38"/>
  <c r="AF41" i="38"/>
  <c r="AG41" i="38" s="1"/>
  <c r="AI41" i="38" s="1"/>
  <c r="AJ41" i="38" s="1"/>
  <c r="AF42" i="38"/>
  <c r="AG42" i="38" s="1"/>
  <c r="AI42" i="38" s="1"/>
  <c r="AJ42" i="38" s="1"/>
  <c r="AF43" i="38"/>
  <c r="AG43" i="38" s="1"/>
  <c r="AI43" i="38" s="1"/>
  <c r="AJ43" i="38" s="1"/>
  <c r="AF44" i="38"/>
  <c r="AF45" i="38"/>
  <c r="AG45" i="38" s="1"/>
  <c r="AI45" i="38" s="1"/>
  <c r="AJ45" i="38" s="1"/>
  <c r="AF46" i="38"/>
  <c r="AG46" i="38" s="1"/>
  <c r="AI46" i="38" s="1"/>
  <c r="AJ46" i="38" s="1"/>
  <c r="AF47" i="38"/>
  <c r="AF48" i="38"/>
  <c r="AF49" i="38"/>
  <c r="AG49" i="38" s="1"/>
  <c r="AI49" i="38" s="1"/>
  <c r="AJ49" i="38" s="1"/>
  <c r="AF50" i="38"/>
  <c r="AG50" i="38" s="1"/>
  <c r="AI50" i="38" s="1"/>
  <c r="AJ50" i="38" s="1"/>
  <c r="AF51" i="38"/>
  <c r="AF52" i="38"/>
  <c r="AF53" i="38"/>
  <c r="AG53" i="38" s="1"/>
  <c r="AI53" i="38" s="1"/>
  <c r="AJ53" i="38" s="1"/>
  <c r="AE53" i="38"/>
  <c r="AE52" i="38"/>
  <c r="AE51" i="38"/>
  <c r="AE50" i="38"/>
  <c r="AE49" i="38"/>
  <c r="AE48" i="38"/>
  <c r="AE47" i="38"/>
  <c r="AE46" i="38"/>
  <c r="AE45" i="38"/>
  <c r="AE44" i="38"/>
  <c r="AE43" i="38"/>
  <c r="AE42" i="38"/>
  <c r="AE41" i="38"/>
  <c r="AE40" i="38"/>
  <c r="AE39" i="38"/>
  <c r="AE38" i="38"/>
  <c r="AE37" i="38"/>
  <c r="AE36" i="38"/>
  <c r="AE35" i="38"/>
  <c r="AE34" i="38"/>
  <c r="AD53" i="38"/>
  <c r="AD52" i="38"/>
  <c r="AD51" i="38"/>
  <c r="AD50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6" i="38"/>
  <c r="AD35" i="38"/>
  <c r="AD34" i="38"/>
  <c r="AF35" i="38"/>
  <c r="AF34" i="38"/>
  <c r="AG34" i="38" s="1"/>
  <c r="AI34" i="38" s="1"/>
  <c r="AJ34" i="38" s="1"/>
  <c r="AG35" i="38" l="1"/>
  <c r="AI35" i="38" s="1"/>
  <c r="AJ35" i="38" s="1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7" i="38"/>
  <c r="G36" i="38"/>
  <c r="G35" i="38"/>
  <c r="G34" i="38"/>
  <c r="G119" i="38"/>
  <c r="G118" i="38"/>
  <c r="G117" i="38"/>
  <c r="G116" i="38"/>
  <c r="G111" i="38"/>
  <c r="G110" i="38"/>
  <c r="G223" i="38"/>
  <c r="G222" i="38"/>
  <c r="G216" i="38"/>
  <c r="G214" i="38"/>
  <c r="G212" i="38"/>
  <c r="G210" i="38"/>
  <c r="G207" i="38"/>
  <c r="G206" i="38"/>
  <c r="G204" i="38"/>
  <c r="G179" i="38"/>
  <c r="G178" i="38"/>
  <c r="G177" i="38"/>
  <c r="G176" i="38"/>
  <c r="G175" i="38"/>
  <c r="G174" i="38"/>
  <c r="G173" i="38"/>
  <c r="G172" i="38"/>
  <c r="G171" i="38"/>
  <c r="G170" i="38"/>
  <c r="G169" i="38"/>
  <c r="G168" i="38"/>
  <c r="G167" i="38"/>
  <c r="G166" i="38"/>
  <c r="G165" i="38"/>
  <c r="G164" i="38"/>
  <c r="G163" i="38"/>
  <c r="G162" i="38"/>
  <c r="G161" i="38"/>
  <c r="G160" i="38"/>
  <c r="G200" i="38"/>
  <c r="G201" i="38"/>
  <c r="G49" i="5" l="1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G48" i="5"/>
  <c r="E68" i="5" l="1"/>
  <c r="E56" i="5"/>
  <c r="E50" i="5"/>
  <c r="E70" i="5"/>
  <c r="E54" i="5"/>
  <c r="E64" i="5"/>
  <c r="E69" i="5"/>
  <c r="E65" i="5"/>
  <c r="E61" i="5"/>
  <c r="E57" i="5"/>
  <c r="E53" i="5"/>
  <c r="E49" i="5"/>
  <c r="E71" i="5"/>
  <c r="E67" i="5"/>
  <c r="E63" i="5"/>
  <c r="E59" i="5"/>
  <c r="E55" i="5"/>
  <c r="E51" i="5"/>
  <c r="S12" i="54"/>
  <c r="S8" i="54"/>
  <c r="T184" i="46"/>
  <c r="S129" i="35"/>
  <c r="S127" i="35"/>
  <c r="S126" i="35"/>
  <c r="S125" i="35"/>
  <c r="S124" i="35"/>
  <c r="S123" i="35"/>
  <c r="S122" i="35"/>
  <c r="S100" i="35"/>
  <c r="S97" i="35"/>
  <c r="S95" i="35"/>
  <c r="S94" i="35"/>
  <c r="S93" i="35"/>
  <c r="S92" i="35"/>
  <c r="S91" i="35"/>
  <c r="S10" i="54" l="1"/>
  <c r="S11" i="54" l="1"/>
  <c r="S7" i="54"/>
  <c r="J60" i="5" l="1"/>
  <c r="K52" i="5"/>
  <c r="J52" i="5"/>
  <c r="S6" i="54"/>
  <c r="K60" i="5"/>
  <c r="L60" i="5"/>
  <c r="H60" i="5"/>
  <c r="P62" i="5"/>
  <c r="P66" i="5"/>
  <c r="P58" i="5"/>
  <c r="R62" i="5"/>
  <c r="R58" i="5"/>
  <c r="R66" i="5"/>
  <c r="L62" i="5"/>
  <c r="L66" i="5"/>
  <c r="L58" i="5"/>
  <c r="M62" i="5"/>
  <c r="M66" i="5"/>
  <c r="M58" i="5"/>
  <c r="R60" i="5"/>
  <c r="U60" i="5"/>
  <c r="T62" i="5"/>
  <c r="T58" i="5"/>
  <c r="T66" i="5"/>
  <c r="S60" i="5"/>
  <c r="J62" i="5"/>
  <c r="J66" i="5"/>
  <c r="J58" i="5"/>
  <c r="I60" i="5"/>
  <c r="G52" i="5"/>
  <c r="N11" i="31" s="1"/>
  <c r="S62" i="5"/>
  <c r="S58" i="5"/>
  <c r="S66" i="5"/>
  <c r="Q62" i="5"/>
  <c r="Q58" i="5"/>
  <c r="Q66" i="5"/>
  <c r="N60" i="5"/>
  <c r="P60" i="5"/>
  <c r="O62" i="5"/>
  <c r="O66" i="5"/>
  <c r="O58" i="5"/>
  <c r="N62" i="5"/>
  <c r="N66" i="5"/>
  <c r="N58" i="5"/>
  <c r="H62" i="5"/>
  <c r="H66" i="5"/>
  <c r="H58" i="5"/>
  <c r="K62" i="5"/>
  <c r="K66" i="5"/>
  <c r="K58" i="5"/>
  <c r="T60" i="5"/>
  <c r="M60" i="5"/>
  <c r="I62" i="5"/>
  <c r="I66" i="5"/>
  <c r="I58" i="5"/>
  <c r="Q60" i="5"/>
  <c r="O60" i="5"/>
  <c r="U62" i="5"/>
  <c r="U58" i="5"/>
  <c r="U66" i="5"/>
  <c r="G66" i="5" l="1"/>
  <c r="E66" i="5" s="1"/>
  <c r="S15" i="54"/>
  <c r="G62" i="5"/>
  <c r="E62" i="5" s="1"/>
  <c r="S16" i="54"/>
  <c r="S14" i="54"/>
  <c r="G58" i="5"/>
  <c r="E58" i="5" s="1"/>
  <c r="G17" i="54"/>
  <c r="R17" i="54"/>
  <c r="U52" i="5"/>
  <c r="Q17" i="54"/>
  <c r="T52" i="5"/>
  <c r="P17" i="54"/>
  <c r="S52" i="5"/>
  <c r="O17" i="54"/>
  <c r="R52" i="5"/>
  <c r="N17" i="54"/>
  <c r="Q52" i="5"/>
  <c r="M17" i="54"/>
  <c r="P52" i="5"/>
  <c r="L17" i="54"/>
  <c r="O52" i="5"/>
  <c r="K17" i="54"/>
  <c r="N52" i="5"/>
  <c r="J17" i="54"/>
  <c r="M52" i="5"/>
  <c r="I17" i="54"/>
  <c r="L52" i="5"/>
  <c r="H17" i="54"/>
  <c r="F17" i="54"/>
  <c r="I52" i="5"/>
  <c r="E17" i="54"/>
  <c r="H52" i="5"/>
  <c r="S13" i="54"/>
  <c r="G60" i="5"/>
  <c r="E60" i="5" s="1"/>
  <c r="S9" i="54"/>
  <c r="D17" i="54"/>
  <c r="E52" i="5" l="1"/>
  <c r="S17" i="54"/>
  <c r="S10" i="51" l="1"/>
  <c r="S11" i="51"/>
  <c r="S16" i="51"/>
  <c r="S17" i="51"/>
  <c r="S18" i="51"/>
  <c r="S22" i="51"/>
  <c r="S23" i="51"/>
  <c r="S20" i="35" l="1"/>
  <c r="S17" i="35"/>
  <c r="S15" i="35"/>
  <c r="S14" i="35"/>
  <c r="S38" i="26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K36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G7" i="5"/>
  <c r="G8" i="5"/>
  <c r="G9" i="5"/>
  <c r="G15" i="5"/>
  <c r="G16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7" i="5"/>
  <c r="G39" i="5"/>
  <c r="G40" i="5"/>
  <c r="G41" i="5"/>
  <c r="G43" i="5"/>
  <c r="G6" i="5"/>
  <c r="U36" i="5"/>
  <c r="L36" i="5"/>
  <c r="AC36" i="7" l="1"/>
  <c r="B21" i="5"/>
  <c r="Q36" i="5" l="1"/>
  <c r="J36" i="5"/>
  <c r="N36" i="5"/>
  <c r="R36" i="5"/>
  <c r="H36" i="5"/>
  <c r="O36" i="5"/>
  <c r="S36" i="5"/>
  <c r="M36" i="5"/>
  <c r="H14" i="5"/>
  <c r="H17" i="5"/>
  <c r="G12" i="5"/>
  <c r="N10" i="28" s="1"/>
  <c r="D186" i="14"/>
  <c r="H79" i="32"/>
  <c r="H78" i="32"/>
  <c r="M71" i="32"/>
  <c r="V71" i="32" s="1"/>
  <c r="B71" i="32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H37" i="32"/>
  <c r="H36" i="32"/>
  <c r="AA30" i="32"/>
  <c r="Z30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8" i="32"/>
  <c r="S28" i="32" s="1"/>
  <c r="B28" i="32"/>
  <c r="B31" i="32" s="1"/>
  <c r="B29" i="32" s="1"/>
  <c r="B30" i="32" s="1"/>
  <c r="B32" i="32" s="1"/>
  <c r="H58" i="32"/>
  <c r="H57" i="32"/>
  <c r="M50" i="32"/>
  <c r="X50" i="32" s="1"/>
  <c r="B50" i="32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T50" i="32" l="1"/>
  <c r="R28" i="32"/>
  <c r="G14" i="5"/>
  <c r="H12" i="5"/>
  <c r="G17" i="5"/>
  <c r="I17" i="5"/>
  <c r="I14" i="5"/>
  <c r="Y50" i="32"/>
  <c r="P50" i="32"/>
  <c r="Q50" i="32"/>
  <c r="Q71" i="32"/>
  <c r="B34" i="32"/>
  <c r="B35" i="32" s="1"/>
  <c r="B36" i="32" s="1"/>
  <c r="B37" i="32" s="1"/>
  <c r="B38" i="32" s="1"/>
  <c r="B39" i="32" s="1"/>
  <c r="B40" i="32" s="1"/>
  <c r="B41" i="32" s="1"/>
  <c r="B33" i="32"/>
  <c r="X28" i="32"/>
  <c r="T28" i="32"/>
  <c r="P28" i="32"/>
  <c r="AA28" i="32"/>
  <c r="V28" i="32"/>
  <c r="Q28" i="32"/>
  <c r="Z28" i="32"/>
  <c r="U28" i="32"/>
  <c r="O28" i="32"/>
  <c r="W28" i="32"/>
  <c r="AA50" i="32"/>
  <c r="W50" i="32"/>
  <c r="S50" i="32"/>
  <c r="O50" i="32"/>
  <c r="Z50" i="32"/>
  <c r="V50" i="32"/>
  <c r="R50" i="32"/>
  <c r="N50" i="32"/>
  <c r="U50" i="32"/>
  <c r="N28" i="32"/>
  <c r="Y28" i="32"/>
  <c r="AA71" i="32"/>
  <c r="W71" i="32"/>
  <c r="S71" i="32"/>
  <c r="O71" i="32"/>
  <c r="R71" i="32"/>
  <c r="X71" i="32"/>
  <c r="N71" i="32"/>
  <c r="T71" i="32"/>
  <c r="Y71" i="32"/>
  <c r="P71" i="32"/>
  <c r="U71" i="32"/>
  <c r="Z71" i="32"/>
  <c r="J12" i="5" l="1"/>
  <c r="G42" i="5"/>
  <c r="H10" i="5"/>
  <c r="H42" i="5"/>
  <c r="I42" i="5"/>
  <c r="K17" i="5"/>
  <c r="I12" i="5"/>
  <c r="I10" i="5"/>
  <c r="J14" i="5"/>
  <c r="J316" i="31"/>
  <c r="J278" i="31"/>
  <c r="J166" i="31"/>
  <c r="J126" i="31"/>
  <c r="J467" i="31"/>
  <c r="J428" i="31"/>
  <c r="J301" i="28"/>
  <c r="J262" i="28"/>
  <c r="J151" i="28"/>
  <c r="J112" i="28"/>
  <c r="J100" i="26"/>
  <c r="J140" i="26"/>
  <c r="J10" i="5" l="1"/>
  <c r="L10" i="5"/>
  <c r="L14" i="5"/>
  <c r="K10" i="5"/>
  <c r="H38" i="5"/>
  <c r="I36" i="5"/>
  <c r="G38" i="5"/>
  <c r="K42" i="5"/>
  <c r="J17" i="5"/>
  <c r="K14" i="5"/>
  <c r="J42" i="5"/>
  <c r="H185" i="34"/>
  <c r="D183" i="34"/>
  <c r="C183" i="34"/>
  <c r="B183" i="34" s="1"/>
  <c r="B184" i="34" s="1"/>
  <c r="B185" i="34" s="1"/>
  <c r="H182" i="34"/>
  <c r="D180" i="34"/>
  <c r="C180" i="34"/>
  <c r="B180" i="34" s="1"/>
  <c r="B181" i="34" s="1"/>
  <c r="B182" i="34" s="1"/>
  <c r="H179" i="34"/>
  <c r="D177" i="34"/>
  <c r="C177" i="34"/>
  <c r="B177" i="34" s="1"/>
  <c r="B178" i="34" s="1"/>
  <c r="B179" i="34" s="1"/>
  <c r="H176" i="34"/>
  <c r="D174" i="34"/>
  <c r="C174" i="34"/>
  <c r="B174" i="34" s="1"/>
  <c r="B175" i="34" s="1"/>
  <c r="B176" i="34" s="1"/>
  <c r="H173" i="34"/>
  <c r="D171" i="34"/>
  <c r="C171" i="34"/>
  <c r="B171" i="34" s="1"/>
  <c r="B172" i="34" s="1"/>
  <c r="B173" i="34" s="1"/>
  <c r="H170" i="34"/>
  <c r="D168" i="34"/>
  <c r="C168" i="34"/>
  <c r="B168" i="34" s="1"/>
  <c r="H167" i="34"/>
  <c r="D165" i="34"/>
  <c r="C165" i="34"/>
  <c r="B165" i="34" s="1"/>
  <c r="H164" i="34"/>
  <c r="D162" i="34"/>
  <c r="C162" i="34"/>
  <c r="B162" i="34" s="1"/>
  <c r="B163" i="34" s="1"/>
  <c r="B164" i="34" s="1"/>
  <c r="H161" i="34"/>
  <c r="D159" i="34"/>
  <c r="C159" i="34"/>
  <c r="B159" i="34" s="1"/>
  <c r="B160" i="34" s="1"/>
  <c r="B161" i="34" s="1"/>
  <c r="H158" i="34"/>
  <c r="D156" i="34"/>
  <c r="C156" i="34"/>
  <c r="B156" i="34" s="1"/>
  <c r="B157" i="34" s="1"/>
  <c r="B158" i="34" s="1"/>
  <c r="H155" i="34"/>
  <c r="D153" i="34"/>
  <c r="C153" i="34"/>
  <c r="B153" i="34" s="1"/>
  <c r="H152" i="34"/>
  <c r="D150" i="34"/>
  <c r="B150" i="34"/>
  <c r="B151" i="34" s="1"/>
  <c r="H149" i="34"/>
  <c r="D147" i="34"/>
  <c r="B147" i="34"/>
  <c r="B149" i="34" s="1"/>
  <c r="H146" i="34"/>
  <c r="D144" i="34"/>
  <c r="C144" i="34"/>
  <c r="B144" i="34" s="1"/>
  <c r="B145" i="34" s="1"/>
  <c r="H143" i="34"/>
  <c r="D141" i="34"/>
  <c r="C141" i="34"/>
  <c r="B141" i="34" s="1"/>
  <c r="B142" i="34" s="1"/>
  <c r="B143" i="34" s="1"/>
  <c r="L17" i="5" l="1"/>
  <c r="K12" i="5"/>
  <c r="L12" i="5"/>
  <c r="I38" i="5"/>
  <c r="L42" i="5"/>
  <c r="B170" i="34"/>
  <c r="B169" i="34"/>
  <c r="B148" i="34"/>
  <c r="B154" i="34"/>
  <c r="B155" i="34"/>
  <c r="B166" i="34"/>
  <c r="B167" i="34"/>
  <c r="B146" i="34"/>
  <c r="B152" i="34"/>
  <c r="M279" i="34"/>
  <c r="N279" i="34" s="1"/>
  <c r="O279" i="34" s="1"/>
  <c r="P279" i="34" s="1"/>
  <c r="Q279" i="34" s="1"/>
  <c r="R279" i="34" s="1"/>
  <c r="S279" i="34" s="1"/>
  <c r="T279" i="34" s="1"/>
  <c r="U279" i="34" s="1"/>
  <c r="V279" i="34" s="1"/>
  <c r="W279" i="34" s="1"/>
  <c r="X279" i="34" s="1"/>
  <c r="Y279" i="34" s="1"/>
  <c r="Z279" i="34" s="1"/>
  <c r="M278" i="34"/>
  <c r="N278" i="34" s="1"/>
  <c r="O278" i="34" s="1"/>
  <c r="P278" i="34" s="1"/>
  <c r="Q278" i="34" s="1"/>
  <c r="R278" i="34" s="1"/>
  <c r="S278" i="34" s="1"/>
  <c r="T278" i="34" s="1"/>
  <c r="U278" i="34" s="1"/>
  <c r="V278" i="34" s="1"/>
  <c r="W278" i="34" s="1"/>
  <c r="X278" i="34" s="1"/>
  <c r="Y278" i="34" s="1"/>
  <c r="Z278" i="34" s="1"/>
  <c r="B278" i="34"/>
  <c r="B279" i="34" s="1"/>
  <c r="B280" i="34" s="1"/>
  <c r="H267" i="34"/>
  <c r="M262" i="34"/>
  <c r="N262" i="34" s="1"/>
  <c r="O262" i="34" s="1"/>
  <c r="P262" i="34" s="1"/>
  <c r="Q262" i="34" s="1"/>
  <c r="R262" i="34" s="1"/>
  <c r="S262" i="34" s="1"/>
  <c r="T262" i="34" s="1"/>
  <c r="U262" i="34" s="1"/>
  <c r="V262" i="34" s="1"/>
  <c r="W262" i="34" s="1"/>
  <c r="X262" i="34" s="1"/>
  <c r="Y262" i="34" s="1"/>
  <c r="Z262" i="34" s="1"/>
  <c r="C262" i="34"/>
  <c r="B262" i="34" s="1"/>
  <c r="B263" i="34" s="1"/>
  <c r="B264" i="34" s="1"/>
  <c r="B265" i="34" s="1"/>
  <c r="B266" i="34" s="1"/>
  <c r="B267" i="34" s="1"/>
  <c r="M12" i="5" l="1"/>
  <c r="K38" i="5"/>
  <c r="J38" i="5"/>
  <c r="M14" i="5"/>
  <c r="C11" i="34"/>
  <c r="N10" i="5" l="1"/>
  <c r="L38" i="5"/>
  <c r="M17" i="5"/>
  <c r="M42" i="5"/>
  <c r="N17" i="5"/>
  <c r="AW23" i="23"/>
  <c r="AW22" i="23"/>
  <c r="AW20" i="23"/>
  <c r="AW19" i="23"/>
  <c r="AW17" i="23"/>
  <c r="AW16" i="23"/>
  <c r="AW15" i="23"/>
  <c r="AW14" i="23"/>
  <c r="AW13" i="23"/>
  <c r="AW12" i="23"/>
  <c r="AW11" i="23"/>
  <c r="AW10" i="23"/>
  <c r="AW9" i="23"/>
  <c r="AW8" i="23"/>
  <c r="AW7" i="23"/>
  <c r="AW6" i="23"/>
  <c r="AW22" i="32"/>
  <c r="AW21" i="32"/>
  <c r="AW20" i="32"/>
  <c r="AW18" i="32"/>
  <c r="AW17" i="32"/>
  <c r="AW15" i="32"/>
  <c r="AW14" i="32"/>
  <c r="AW13" i="32"/>
  <c r="AW12" i="32"/>
  <c r="AW11" i="32"/>
  <c r="AW10" i="32"/>
  <c r="AW9" i="32"/>
  <c r="AW8" i="32"/>
  <c r="AW7" i="32"/>
  <c r="AW6" i="32"/>
  <c r="AW26" i="7"/>
  <c r="AW25" i="7"/>
  <c r="AW24" i="7"/>
  <c r="AW23" i="7"/>
  <c r="AW22" i="7"/>
  <c r="AW21" i="7"/>
  <c r="AW20" i="7"/>
  <c r="AW19" i="7"/>
  <c r="AW18" i="7"/>
  <c r="AW17" i="7"/>
  <c r="AW16" i="7"/>
  <c r="AW11" i="7"/>
  <c r="AW10" i="7"/>
  <c r="AW9" i="7"/>
  <c r="AW315" i="28"/>
  <c r="AV315" i="28"/>
  <c r="AW314" i="28"/>
  <c r="AV314" i="28"/>
  <c r="AW301" i="28"/>
  <c r="AV301" i="28"/>
  <c r="AW300" i="28"/>
  <c r="AV300" i="28"/>
  <c r="AV289" i="28"/>
  <c r="AW288" i="28"/>
  <c r="AV288" i="28"/>
  <c r="AW276" i="28"/>
  <c r="AV276" i="28"/>
  <c r="AW275" i="28"/>
  <c r="AV275" i="28"/>
  <c r="AW262" i="28"/>
  <c r="AV262" i="28"/>
  <c r="AW261" i="28"/>
  <c r="AV261" i="28"/>
  <c r="AW249" i="28"/>
  <c r="AV249" i="28"/>
  <c r="AW248" i="28"/>
  <c r="AV248" i="28"/>
  <c r="AV236" i="28"/>
  <c r="AV235" i="28"/>
  <c r="AV223" i="28"/>
  <c r="AV212" i="28"/>
  <c r="AV211" i="28"/>
  <c r="AV198" i="28"/>
  <c r="AV197" i="28"/>
  <c r="AV186" i="28"/>
  <c r="AV185" i="28"/>
  <c r="AW23" i="28"/>
  <c r="AW22" i="28"/>
  <c r="AW21" i="28"/>
  <c r="AW20" i="28"/>
  <c r="AW19" i="28"/>
  <c r="AW18" i="28"/>
  <c r="AW17" i="28"/>
  <c r="AW11" i="28"/>
  <c r="AW10" i="28"/>
  <c r="AW23" i="26"/>
  <c r="AW21" i="26"/>
  <c r="AW20" i="26"/>
  <c r="AW19" i="26"/>
  <c r="AW18" i="26"/>
  <c r="AW17" i="26"/>
  <c r="AW11" i="26"/>
  <c r="AW10" i="26"/>
  <c r="AW24" i="1"/>
  <c r="AW23" i="1"/>
  <c r="AW22" i="1"/>
  <c r="AW21" i="1"/>
  <c r="AW20" i="1"/>
  <c r="AW18" i="1"/>
  <c r="AW17" i="1"/>
  <c r="AW16" i="1"/>
  <c r="AW15" i="1"/>
  <c r="AW14" i="1"/>
  <c r="AW12" i="1"/>
  <c r="AW11" i="1"/>
  <c r="AW10" i="1"/>
  <c r="AW9" i="1"/>
  <c r="AW8" i="1"/>
  <c r="AV482" i="31"/>
  <c r="AW481" i="31"/>
  <c r="AV481" i="31"/>
  <c r="AW480" i="31"/>
  <c r="AV480" i="31"/>
  <c r="AV469" i="31"/>
  <c r="AW467" i="31"/>
  <c r="AV467" i="31"/>
  <c r="AW466" i="31"/>
  <c r="AV466" i="31"/>
  <c r="AV456" i="31"/>
  <c r="AV455" i="31"/>
  <c r="AW454" i="31"/>
  <c r="AV454" i="31"/>
  <c r="AV443" i="31"/>
  <c r="AW442" i="31"/>
  <c r="AV442" i="31"/>
  <c r="AW441" i="31"/>
  <c r="AV441" i="31"/>
  <c r="AV428" i="31"/>
  <c r="AV427" i="31"/>
  <c r="AV416" i="31"/>
  <c r="AV414" i="31"/>
  <c r="AV413" i="31"/>
  <c r="AV400" i="31"/>
  <c r="AV331" i="31"/>
  <c r="AW330" i="31"/>
  <c r="AV330" i="31"/>
  <c r="AW329" i="31"/>
  <c r="AV329" i="31"/>
  <c r="AV318" i="31"/>
  <c r="AW316" i="31"/>
  <c r="AV316" i="31"/>
  <c r="AW315" i="31"/>
  <c r="AV315" i="31"/>
  <c r="AV305" i="31"/>
  <c r="AV304" i="31"/>
  <c r="AW303" i="31"/>
  <c r="AV303" i="31"/>
  <c r="AV292" i="31"/>
  <c r="AW291" i="31"/>
  <c r="AV291" i="31"/>
  <c r="AW290" i="31"/>
  <c r="AV290" i="31"/>
  <c r="AW278" i="31"/>
  <c r="AV278" i="31"/>
  <c r="AW277" i="31"/>
  <c r="AV277" i="31"/>
  <c r="AV266" i="31"/>
  <c r="AW265" i="31"/>
  <c r="AV265" i="31"/>
  <c r="AW264" i="31"/>
  <c r="AV264" i="31"/>
  <c r="AV251" i="31"/>
  <c r="AV253" i="31"/>
  <c r="AV254" i="31"/>
  <c r="AV484" i="31"/>
  <c r="AV483" i="31"/>
  <c r="AV471" i="31"/>
  <c r="AV470" i="31"/>
  <c r="AV458" i="31"/>
  <c r="AV457" i="31"/>
  <c r="AV445" i="31"/>
  <c r="AV444" i="31"/>
  <c r="AV432" i="31"/>
  <c r="AV431" i="31"/>
  <c r="AV430" i="31"/>
  <c r="AV418" i="31"/>
  <c r="AV417" i="31"/>
  <c r="AV403" i="31"/>
  <c r="AV402" i="31"/>
  <c r="AV401" i="31"/>
  <c r="AV390" i="31"/>
  <c r="AV389" i="31"/>
  <c r="AW388" i="31"/>
  <c r="AV388" i="31"/>
  <c r="AV378" i="31"/>
  <c r="AV377" i="31"/>
  <c r="AW376" i="31"/>
  <c r="AV376" i="31"/>
  <c r="AV365" i="31"/>
  <c r="AV363" i="31"/>
  <c r="AV362" i="31"/>
  <c r="AV351" i="31"/>
  <c r="AW350" i="31"/>
  <c r="AV350" i="31"/>
  <c r="AV333" i="31"/>
  <c r="AV332" i="31"/>
  <c r="AV320" i="31"/>
  <c r="AV319" i="31"/>
  <c r="AV307" i="31"/>
  <c r="AV306" i="31"/>
  <c r="AV294" i="31"/>
  <c r="AV293" i="31"/>
  <c r="AV281" i="31"/>
  <c r="AV280" i="31"/>
  <c r="AV268" i="31"/>
  <c r="AV267" i="31"/>
  <c r="AV252" i="31"/>
  <c r="AV241" i="31"/>
  <c r="AV240" i="31"/>
  <c r="AW239" i="31"/>
  <c r="AV239" i="31"/>
  <c r="AV229" i="31"/>
  <c r="AV228" i="31"/>
  <c r="AW227" i="31"/>
  <c r="AV227" i="31"/>
  <c r="AV216" i="31"/>
  <c r="AV214" i="31"/>
  <c r="AV213" i="31"/>
  <c r="AV202" i="31"/>
  <c r="AW201" i="31"/>
  <c r="AV201" i="31"/>
  <c r="AV182" i="31"/>
  <c r="AW180" i="31"/>
  <c r="AV180" i="31"/>
  <c r="AW179" i="31"/>
  <c r="AV179" i="31"/>
  <c r="AV168" i="31"/>
  <c r="AW166" i="31"/>
  <c r="AV166" i="31"/>
  <c r="AW165" i="31"/>
  <c r="AV165" i="31"/>
  <c r="AV155" i="31"/>
  <c r="AV154" i="31"/>
  <c r="AW153" i="31"/>
  <c r="AV153" i="31"/>
  <c r="AV142" i="31"/>
  <c r="AW140" i="31"/>
  <c r="AV140" i="31"/>
  <c r="AW139" i="31"/>
  <c r="AV139" i="31"/>
  <c r="AV128" i="31"/>
  <c r="AW126" i="31"/>
  <c r="AV126" i="31"/>
  <c r="AW125" i="31"/>
  <c r="AV125" i="31"/>
  <c r="AV114" i="31"/>
  <c r="AV112" i="31"/>
  <c r="AV111" i="31"/>
  <c r="AV99" i="31"/>
  <c r="AV98" i="31"/>
  <c r="AV97" i="31"/>
  <c r="AV86" i="31"/>
  <c r="AV85" i="31"/>
  <c r="AV84" i="31"/>
  <c r="AV74" i="31"/>
  <c r="AV73" i="31"/>
  <c r="AV72" i="31"/>
  <c r="AV61" i="31"/>
  <c r="AV59" i="31"/>
  <c r="AV58" i="31"/>
  <c r="AV47" i="31"/>
  <c r="AV46" i="31"/>
  <c r="AV526" i="31"/>
  <c r="AV525" i="31"/>
  <c r="AV524" i="31"/>
  <c r="AV514" i="31"/>
  <c r="AV513" i="31"/>
  <c r="AV504" i="31"/>
  <c r="AV503" i="31"/>
  <c r="AV502" i="31"/>
  <c r="AV48" i="23"/>
  <c r="AV29" i="23"/>
  <c r="AV28" i="23"/>
  <c r="AV29" i="32"/>
  <c r="AV28" i="32"/>
  <c r="AV99" i="7"/>
  <c r="AV98" i="7"/>
  <c r="AV97" i="7"/>
  <c r="AV96" i="7"/>
  <c r="AV95" i="7"/>
  <c r="AV94" i="7"/>
  <c r="AV93" i="7"/>
  <c r="AV92" i="7"/>
  <c r="AV91" i="7"/>
  <c r="AV90" i="7"/>
  <c r="AV89" i="7"/>
  <c r="AV88" i="7"/>
  <c r="AV87" i="7"/>
  <c r="AV86" i="7"/>
  <c r="AV85" i="7"/>
  <c r="AV83" i="7"/>
  <c r="AV64" i="7"/>
  <c r="AV51" i="7"/>
  <c r="AV43" i="7"/>
  <c r="AV42" i="7"/>
  <c r="AV41" i="7"/>
  <c r="AV40" i="7"/>
  <c r="AV39" i="7"/>
  <c r="AV138" i="7"/>
  <c r="AV137" i="7"/>
  <c r="AV136" i="7"/>
  <c r="AV135" i="7"/>
  <c r="AV134" i="7"/>
  <c r="AV133" i="7"/>
  <c r="AV132" i="7"/>
  <c r="AV131" i="7"/>
  <c r="AV130" i="7"/>
  <c r="AV129" i="7"/>
  <c r="AV128" i="7"/>
  <c r="AV127" i="7"/>
  <c r="AV126" i="7"/>
  <c r="AV125" i="7"/>
  <c r="AV124" i="7"/>
  <c r="AV123" i="7"/>
  <c r="AV122" i="7"/>
  <c r="AV121" i="7"/>
  <c r="AV120" i="7"/>
  <c r="AV119" i="7"/>
  <c r="AV118" i="7"/>
  <c r="AV117" i="7"/>
  <c r="AV116" i="7"/>
  <c r="AV115" i="7"/>
  <c r="AW165" i="28"/>
  <c r="AW164" i="28"/>
  <c r="AW151" i="28"/>
  <c r="AW150" i="28"/>
  <c r="AW138" i="28"/>
  <c r="AW126" i="28"/>
  <c r="AW125" i="28"/>
  <c r="AW112" i="28"/>
  <c r="AW111" i="28"/>
  <c r="AV166" i="28"/>
  <c r="AV165" i="28"/>
  <c r="AV164" i="28"/>
  <c r="AV163" i="28"/>
  <c r="AV162" i="28"/>
  <c r="AV161" i="28"/>
  <c r="AV160" i="28"/>
  <c r="AV159" i="28"/>
  <c r="AV158" i="28"/>
  <c r="AV157" i="28"/>
  <c r="AV156" i="28"/>
  <c r="AV155" i="28"/>
  <c r="AV154" i="28"/>
  <c r="AV153" i="28"/>
  <c r="AV151" i="28"/>
  <c r="AV150" i="28"/>
  <c r="AV149" i="28"/>
  <c r="AV148" i="28"/>
  <c r="AV147" i="28"/>
  <c r="AV146" i="28"/>
  <c r="AV145" i="28"/>
  <c r="AV144" i="28"/>
  <c r="AV143" i="28"/>
  <c r="AV142" i="28"/>
  <c r="AV141" i="28"/>
  <c r="AV140" i="28"/>
  <c r="AV139" i="28"/>
  <c r="AV138" i="28"/>
  <c r="AV137" i="28"/>
  <c r="AV136" i="28"/>
  <c r="AV135" i="28"/>
  <c r="AV134" i="28"/>
  <c r="AV133" i="28"/>
  <c r="AV132" i="28"/>
  <c r="AV131" i="28"/>
  <c r="AV130" i="28"/>
  <c r="AV129" i="28"/>
  <c r="AV128" i="28"/>
  <c r="AV127" i="28"/>
  <c r="AV126" i="28"/>
  <c r="AV125" i="28"/>
  <c r="AV124" i="28"/>
  <c r="AV123" i="28"/>
  <c r="AV122" i="28"/>
  <c r="AV121" i="28"/>
  <c r="AV120" i="28"/>
  <c r="AV119" i="28"/>
  <c r="AV118" i="28"/>
  <c r="AV117" i="28"/>
  <c r="AV116" i="28"/>
  <c r="AV115" i="28"/>
  <c r="AV114" i="28"/>
  <c r="AV112" i="28"/>
  <c r="AV111" i="28"/>
  <c r="AV110" i="28"/>
  <c r="AV109" i="28"/>
  <c r="AV108" i="28"/>
  <c r="AV107" i="28"/>
  <c r="AV106" i="28"/>
  <c r="AV105" i="28"/>
  <c r="AV104" i="28"/>
  <c r="AV103" i="28"/>
  <c r="AV102" i="28"/>
  <c r="AV101" i="28"/>
  <c r="AV100" i="28"/>
  <c r="AV99" i="28"/>
  <c r="AV98" i="28"/>
  <c r="AV97" i="28"/>
  <c r="AV96" i="28"/>
  <c r="AV95" i="28"/>
  <c r="AV94" i="28"/>
  <c r="AV93" i="28"/>
  <c r="AV92" i="28"/>
  <c r="AV91" i="28"/>
  <c r="AV90" i="28"/>
  <c r="AV89" i="28"/>
  <c r="AV88" i="28"/>
  <c r="AV87" i="28"/>
  <c r="AV86" i="28"/>
  <c r="AV85" i="28"/>
  <c r="AV84" i="28"/>
  <c r="AV83" i="28"/>
  <c r="AV82" i="28"/>
  <c r="AV81" i="28"/>
  <c r="AV80" i="28"/>
  <c r="AV79" i="28"/>
  <c r="AV78" i="28"/>
  <c r="AV77" i="28"/>
  <c r="AV76" i="28"/>
  <c r="AV75" i="28"/>
  <c r="AV74" i="28"/>
  <c r="AV73" i="28"/>
  <c r="AV72" i="28"/>
  <c r="AV71" i="28"/>
  <c r="AV70" i="28"/>
  <c r="AV69" i="28"/>
  <c r="AV68" i="28"/>
  <c r="AV67" i="28"/>
  <c r="AV66" i="28"/>
  <c r="AV65" i="28"/>
  <c r="AV64" i="28"/>
  <c r="AV63" i="28"/>
  <c r="AV62" i="28"/>
  <c r="AV61" i="28"/>
  <c r="AV60" i="28"/>
  <c r="AV59" i="28"/>
  <c r="AV58" i="28"/>
  <c r="AV57" i="28"/>
  <c r="AV56" i="28"/>
  <c r="AV55" i="28"/>
  <c r="AV54" i="28"/>
  <c r="AV53" i="28"/>
  <c r="AV52" i="28"/>
  <c r="AV51" i="28"/>
  <c r="AV50" i="28"/>
  <c r="AV48" i="28"/>
  <c r="AV47" i="28"/>
  <c r="AV46" i="28"/>
  <c r="AV45" i="28"/>
  <c r="AV44" i="28"/>
  <c r="AV43" i="28"/>
  <c r="AV42" i="28"/>
  <c r="AV41" i="28"/>
  <c r="AV40" i="28"/>
  <c r="AV39" i="28"/>
  <c r="AV38" i="28"/>
  <c r="AV37" i="28"/>
  <c r="AV36" i="28"/>
  <c r="AV35" i="28"/>
  <c r="AV35" i="26"/>
  <c r="AV36" i="26"/>
  <c r="AV37" i="26"/>
  <c r="AV38" i="26"/>
  <c r="AV39" i="26"/>
  <c r="AV40" i="26"/>
  <c r="AV41" i="26"/>
  <c r="AV42" i="26"/>
  <c r="AV43" i="26"/>
  <c r="AV44" i="26"/>
  <c r="AV45" i="26"/>
  <c r="AV46" i="26"/>
  <c r="AV47" i="26"/>
  <c r="AV48" i="26"/>
  <c r="AV49" i="26"/>
  <c r="AV50" i="26"/>
  <c r="AV51" i="26"/>
  <c r="AV52" i="26"/>
  <c r="AV53" i="26"/>
  <c r="AV54" i="26"/>
  <c r="AV55" i="26"/>
  <c r="AV56" i="26"/>
  <c r="AV57" i="26"/>
  <c r="AV58" i="26"/>
  <c r="AV59" i="26"/>
  <c r="AV60" i="26"/>
  <c r="AV61" i="26"/>
  <c r="AV62" i="26"/>
  <c r="AV63" i="26"/>
  <c r="AV64" i="26"/>
  <c r="AV65" i="26"/>
  <c r="AV66" i="26"/>
  <c r="AV67" i="26"/>
  <c r="AV68" i="26"/>
  <c r="AV69" i="26"/>
  <c r="AV70" i="26"/>
  <c r="AV71" i="26"/>
  <c r="AV72" i="26"/>
  <c r="AV73" i="26"/>
  <c r="AV74" i="26"/>
  <c r="AV75" i="26"/>
  <c r="AV76" i="26"/>
  <c r="AV77" i="26"/>
  <c r="AV78" i="26"/>
  <c r="AV79" i="26"/>
  <c r="AV80" i="26"/>
  <c r="AV81" i="26"/>
  <c r="AV82" i="26"/>
  <c r="AV83" i="26"/>
  <c r="AV84" i="26"/>
  <c r="AV85" i="26"/>
  <c r="AV86" i="26"/>
  <c r="AV88" i="26"/>
  <c r="AV89" i="26"/>
  <c r="AV90" i="26"/>
  <c r="AV91" i="26"/>
  <c r="AV92" i="26"/>
  <c r="AV93" i="26"/>
  <c r="AV94" i="26"/>
  <c r="AV95" i="26"/>
  <c r="AV96" i="26"/>
  <c r="AV97" i="26"/>
  <c r="AV98" i="26"/>
  <c r="AV99" i="26"/>
  <c r="AV100" i="26"/>
  <c r="AV102" i="26"/>
  <c r="AV103" i="26"/>
  <c r="AV104" i="26"/>
  <c r="AV105" i="26"/>
  <c r="AV106" i="26"/>
  <c r="AV107" i="26"/>
  <c r="AV108" i="26"/>
  <c r="AV109" i="26"/>
  <c r="AV110" i="26"/>
  <c r="AV111" i="26"/>
  <c r="AV112" i="26"/>
  <c r="AV113" i="26"/>
  <c r="AV114" i="26"/>
  <c r="AV116" i="26"/>
  <c r="AV117" i="26"/>
  <c r="AV118" i="26"/>
  <c r="AV119" i="26"/>
  <c r="AV120" i="26"/>
  <c r="AV121" i="26"/>
  <c r="AV122" i="26"/>
  <c r="AV123" i="26"/>
  <c r="AV124" i="26"/>
  <c r="AV125" i="26"/>
  <c r="AV126" i="26"/>
  <c r="AV127" i="26"/>
  <c r="AV128" i="26"/>
  <c r="AV129" i="26"/>
  <c r="AV130" i="26"/>
  <c r="AV131" i="26"/>
  <c r="AV132" i="26"/>
  <c r="AV133" i="26"/>
  <c r="AV134" i="26"/>
  <c r="AV135" i="26"/>
  <c r="AV136" i="26"/>
  <c r="AV137" i="26"/>
  <c r="AV138" i="26"/>
  <c r="AV139" i="26"/>
  <c r="AV140" i="26"/>
  <c r="AV142" i="26"/>
  <c r="AV143" i="26"/>
  <c r="AV144" i="26"/>
  <c r="AV145" i="26"/>
  <c r="AV146" i="26"/>
  <c r="AV147" i="26"/>
  <c r="AV148" i="26"/>
  <c r="AV149" i="26"/>
  <c r="AV150" i="26"/>
  <c r="AV151" i="26"/>
  <c r="AV152" i="26"/>
  <c r="AV153" i="26"/>
  <c r="AV154" i="26"/>
  <c r="AV156" i="26"/>
  <c r="AV157" i="26"/>
  <c r="AV158" i="26"/>
  <c r="AV159" i="26"/>
  <c r="AV160" i="26"/>
  <c r="AV161" i="26"/>
  <c r="AV162" i="26"/>
  <c r="AV163" i="26"/>
  <c r="AV164" i="26"/>
  <c r="AV165" i="26"/>
  <c r="AV166" i="26"/>
  <c r="AV33" i="26"/>
  <c r="AV32" i="26"/>
  <c r="AW66" i="1"/>
  <c r="AW55" i="1"/>
  <c r="AW44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4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2" i="1"/>
  <c r="AV31" i="1"/>
  <c r="AW119" i="1"/>
  <c r="AW108" i="1"/>
  <c r="AW97" i="1"/>
  <c r="AW85" i="1"/>
  <c r="AW86" i="1"/>
  <c r="AW84" i="1"/>
  <c r="AV128" i="1"/>
  <c r="AV127" i="1"/>
  <c r="AV126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V75" i="1"/>
  <c r="AV74" i="1"/>
  <c r="AV73" i="1"/>
  <c r="BJ28" i="31" l="1"/>
  <c r="AS30" i="34" s="1"/>
  <c r="BK30" i="34" s="1"/>
  <c r="BB28" i="31"/>
  <c r="AK30" i="34" s="1"/>
  <c r="BC30" i="34" s="1"/>
  <c r="BI27" i="31"/>
  <c r="BA27" i="31"/>
  <c r="BH26" i="31"/>
  <c r="AQ28" i="34" s="1"/>
  <c r="AZ26" i="31"/>
  <c r="AI28" i="34" s="1"/>
  <c r="BG25" i="31"/>
  <c r="AP27" i="34" s="1"/>
  <c r="AY25" i="31"/>
  <c r="AH27" i="34" s="1"/>
  <c r="BF23" i="31"/>
  <c r="AO25" i="34" s="1"/>
  <c r="AX23" i="31"/>
  <c r="BE22" i="31"/>
  <c r="AN24" i="34" s="1"/>
  <c r="BF24" i="34" s="1"/>
  <c r="BF51" i="34" s="1"/>
  <c r="BL16" i="31"/>
  <c r="AU16" i="34" s="1"/>
  <c r="BM16" i="34" s="1"/>
  <c r="BD16" i="31"/>
  <c r="AM16" i="34" s="1"/>
  <c r="BE16" i="34" s="1"/>
  <c r="BK15" i="31"/>
  <c r="AT15" i="34" s="1"/>
  <c r="BL15" i="34" s="1"/>
  <c r="BI28" i="31"/>
  <c r="AR30" i="34" s="1"/>
  <c r="BJ30" i="34" s="1"/>
  <c r="BA28" i="31"/>
  <c r="AJ30" i="34" s="1"/>
  <c r="BB30" i="34" s="1"/>
  <c r="BH27" i="31"/>
  <c r="AZ27" i="31"/>
  <c r="BG26" i="31"/>
  <c r="AP28" i="34" s="1"/>
  <c r="AY26" i="31"/>
  <c r="AH28" i="34" s="1"/>
  <c r="BF25" i="31"/>
  <c r="AO27" i="34" s="1"/>
  <c r="AX25" i="31"/>
  <c r="BE23" i="31"/>
  <c r="AN25" i="34" s="1"/>
  <c r="BL22" i="31"/>
  <c r="AU24" i="34" s="1"/>
  <c r="BM24" i="34" s="1"/>
  <c r="BM51" i="34" s="1"/>
  <c r="BD22" i="31"/>
  <c r="AM24" i="34" s="1"/>
  <c r="BE24" i="34" s="1"/>
  <c r="BE51" i="34" s="1"/>
  <c r="BK16" i="31"/>
  <c r="AT16" i="34" s="1"/>
  <c r="BL16" i="34" s="1"/>
  <c r="BC16" i="31"/>
  <c r="AL16" i="34" s="1"/>
  <c r="BD16" i="34" s="1"/>
  <c r="BJ15" i="31"/>
  <c r="AS15" i="34" s="1"/>
  <c r="BK15" i="34" s="1"/>
  <c r="BB15" i="31"/>
  <c r="AK15" i="34" s="1"/>
  <c r="BC15" i="34" s="1"/>
  <c r="BI14" i="31"/>
  <c r="BA14" i="31"/>
  <c r="BE16" i="31"/>
  <c r="AN16" i="34" s="1"/>
  <c r="BF16" i="34" s="1"/>
  <c r="BC15" i="31"/>
  <c r="AL15" i="34" s="1"/>
  <c r="BD15" i="34" s="1"/>
  <c r="BH28" i="31"/>
  <c r="AQ30" i="34" s="1"/>
  <c r="BI30" i="34" s="1"/>
  <c r="AZ28" i="31"/>
  <c r="AI30" i="34" s="1"/>
  <c r="BA30" i="34" s="1"/>
  <c r="BG27" i="31"/>
  <c r="AY27" i="31"/>
  <c r="BF26" i="31"/>
  <c r="AO28" i="34" s="1"/>
  <c r="AX26" i="31"/>
  <c r="BE25" i="31"/>
  <c r="AN27" i="34" s="1"/>
  <c r="BL23" i="31"/>
  <c r="AU25" i="34" s="1"/>
  <c r="BD23" i="31"/>
  <c r="AM25" i="34" s="1"/>
  <c r="BK22" i="31"/>
  <c r="AT24" i="34" s="1"/>
  <c r="BL24" i="34" s="1"/>
  <c r="BL51" i="34" s="1"/>
  <c r="BC22" i="31"/>
  <c r="AL24" i="34" s="1"/>
  <c r="BD24" i="34" s="1"/>
  <c r="BD51" i="34" s="1"/>
  <c r="BJ16" i="31"/>
  <c r="AS16" i="34" s="1"/>
  <c r="BK16" i="34" s="1"/>
  <c r="BB16" i="31"/>
  <c r="AK16" i="34" s="1"/>
  <c r="BC16" i="34" s="1"/>
  <c r="BI15" i="31"/>
  <c r="AR15" i="34" s="1"/>
  <c r="BJ15" i="34" s="1"/>
  <c r="BA15" i="31"/>
  <c r="AJ15" i="34" s="1"/>
  <c r="BB15" i="34" s="1"/>
  <c r="BH14" i="31"/>
  <c r="AZ14" i="31"/>
  <c r="BK28" i="31"/>
  <c r="AT30" i="34" s="1"/>
  <c r="BL30" i="34" s="1"/>
  <c r="BJ27" i="31"/>
  <c r="BI26" i="31"/>
  <c r="AR28" i="34" s="1"/>
  <c r="BH25" i="31"/>
  <c r="AQ27" i="34" s="1"/>
  <c r="BG23" i="31"/>
  <c r="AP25" i="34" s="1"/>
  <c r="BF22" i="31"/>
  <c r="AO24" i="34" s="1"/>
  <c r="BG24" i="34" s="1"/>
  <c r="BG51" i="34" s="1"/>
  <c r="BL15" i="31"/>
  <c r="AU15" i="34" s="1"/>
  <c r="BM15" i="34" s="1"/>
  <c r="BJ14" i="31"/>
  <c r="BG28" i="31"/>
  <c r="AP30" i="34" s="1"/>
  <c r="BH30" i="34" s="1"/>
  <c r="AY28" i="31"/>
  <c r="AH30" i="34" s="1"/>
  <c r="AZ30" i="34" s="1"/>
  <c r="BF27" i="31"/>
  <c r="AX27" i="31"/>
  <c r="BE26" i="31"/>
  <c r="AN28" i="34" s="1"/>
  <c r="BL25" i="31"/>
  <c r="AU27" i="34" s="1"/>
  <c r="BD25" i="31"/>
  <c r="AM27" i="34" s="1"/>
  <c r="BK23" i="31"/>
  <c r="AT25" i="34" s="1"/>
  <c r="BC23" i="31"/>
  <c r="AL25" i="34" s="1"/>
  <c r="BJ22" i="31"/>
  <c r="AS24" i="34" s="1"/>
  <c r="BK24" i="34" s="1"/>
  <c r="BK51" i="34" s="1"/>
  <c r="BB22" i="31"/>
  <c r="AK24" i="34" s="1"/>
  <c r="BC24" i="34" s="1"/>
  <c r="BC51" i="34" s="1"/>
  <c r="BI16" i="31"/>
  <c r="AR16" i="34" s="1"/>
  <c r="BJ16" i="34" s="1"/>
  <c r="BA16" i="31"/>
  <c r="AJ16" i="34" s="1"/>
  <c r="BB16" i="34" s="1"/>
  <c r="BH15" i="31"/>
  <c r="AQ15" i="34" s="1"/>
  <c r="BI15" i="34" s="1"/>
  <c r="AZ15" i="31"/>
  <c r="AI15" i="34" s="1"/>
  <c r="BA15" i="34" s="1"/>
  <c r="BG14" i="31"/>
  <c r="AY14" i="31"/>
  <c r="BF28" i="31"/>
  <c r="AO30" i="34" s="1"/>
  <c r="BG30" i="34" s="1"/>
  <c r="AX28" i="31"/>
  <c r="BE27" i="31"/>
  <c r="BL26" i="31"/>
  <c r="AU28" i="34" s="1"/>
  <c r="BD26" i="31"/>
  <c r="AM28" i="34" s="1"/>
  <c r="BK25" i="31"/>
  <c r="AT27" i="34" s="1"/>
  <c r="BC25" i="31"/>
  <c r="AL27" i="34" s="1"/>
  <c r="BJ23" i="31"/>
  <c r="AS25" i="34" s="1"/>
  <c r="BB23" i="31"/>
  <c r="AK25" i="34" s="1"/>
  <c r="BI22" i="31"/>
  <c r="AR24" i="34" s="1"/>
  <c r="BJ24" i="34" s="1"/>
  <c r="BJ51" i="34" s="1"/>
  <c r="BA22" i="31"/>
  <c r="AJ24" i="34" s="1"/>
  <c r="BB24" i="34" s="1"/>
  <c r="BB51" i="34" s="1"/>
  <c r="BH16" i="31"/>
  <c r="AQ16" i="34" s="1"/>
  <c r="BI16" i="34" s="1"/>
  <c r="AZ16" i="31"/>
  <c r="AI16" i="34" s="1"/>
  <c r="BA16" i="34" s="1"/>
  <c r="BG15" i="31"/>
  <c r="AP15" i="34" s="1"/>
  <c r="BH15" i="34" s="1"/>
  <c r="AY15" i="31"/>
  <c r="AH15" i="34" s="1"/>
  <c r="AZ15" i="34" s="1"/>
  <c r="BF14" i="31"/>
  <c r="AX14" i="31"/>
  <c r="BK14" i="31"/>
  <c r="BB14" i="31"/>
  <c r="BE28" i="31"/>
  <c r="AN30" i="34" s="1"/>
  <c r="BF30" i="34" s="1"/>
  <c r="BL27" i="31"/>
  <c r="BD27" i="31"/>
  <c r="BK26" i="31"/>
  <c r="AT28" i="34" s="1"/>
  <c r="BC26" i="31"/>
  <c r="AL28" i="34" s="1"/>
  <c r="BJ25" i="31"/>
  <c r="AS27" i="34" s="1"/>
  <c r="BB25" i="31"/>
  <c r="AK27" i="34" s="1"/>
  <c r="BI23" i="31"/>
  <c r="AR25" i="34" s="1"/>
  <c r="BA23" i="31"/>
  <c r="AJ25" i="34" s="1"/>
  <c r="BH22" i="31"/>
  <c r="AQ24" i="34" s="1"/>
  <c r="BI24" i="34" s="1"/>
  <c r="BI51" i="34" s="1"/>
  <c r="AZ22" i="31"/>
  <c r="AI24" i="34" s="1"/>
  <c r="BA24" i="34" s="1"/>
  <c r="BA51" i="34" s="1"/>
  <c r="BG16" i="31"/>
  <c r="AP16" i="34" s="1"/>
  <c r="BH16" i="34" s="1"/>
  <c r="AY16" i="31"/>
  <c r="AH16" i="34" s="1"/>
  <c r="AZ16" i="34" s="1"/>
  <c r="BF15" i="31"/>
  <c r="AO15" i="34" s="1"/>
  <c r="BG15" i="34" s="1"/>
  <c r="AX15" i="31"/>
  <c r="BE14" i="31"/>
  <c r="BD14" i="31"/>
  <c r="BC28" i="31"/>
  <c r="AL30" i="34" s="1"/>
  <c r="BD30" i="34" s="1"/>
  <c r="BB27" i="31"/>
  <c r="BA26" i="31"/>
  <c r="AJ28" i="34" s="1"/>
  <c r="AZ25" i="31"/>
  <c r="AI27" i="34" s="1"/>
  <c r="AY23" i="31"/>
  <c r="AH25" i="34" s="1"/>
  <c r="AX22" i="31"/>
  <c r="BD15" i="31"/>
  <c r="AM15" i="34" s="1"/>
  <c r="BE15" i="34" s="1"/>
  <c r="BC14" i="31"/>
  <c r="BL28" i="31"/>
  <c r="AU30" i="34" s="1"/>
  <c r="BM30" i="34" s="1"/>
  <c r="BD28" i="31"/>
  <c r="AM30" i="34" s="1"/>
  <c r="BE30" i="34" s="1"/>
  <c r="BK27" i="31"/>
  <c r="BC27" i="31"/>
  <c r="BJ26" i="31"/>
  <c r="AS28" i="34" s="1"/>
  <c r="BB26" i="31"/>
  <c r="AK28" i="34" s="1"/>
  <c r="BI25" i="31"/>
  <c r="AR27" i="34" s="1"/>
  <c r="BA25" i="31"/>
  <c r="AJ27" i="34" s="1"/>
  <c r="BH23" i="31"/>
  <c r="AQ25" i="34" s="1"/>
  <c r="AZ23" i="31"/>
  <c r="AI25" i="34" s="1"/>
  <c r="BG22" i="31"/>
  <c r="AP24" i="34" s="1"/>
  <c r="BH24" i="34" s="1"/>
  <c r="BH51" i="34" s="1"/>
  <c r="AY22" i="31"/>
  <c r="AH24" i="34" s="1"/>
  <c r="AZ24" i="34" s="1"/>
  <c r="AZ51" i="34" s="1"/>
  <c r="BF16" i="31"/>
  <c r="AO16" i="34" s="1"/>
  <c r="BG16" i="34" s="1"/>
  <c r="AX16" i="31"/>
  <c r="BE15" i="31"/>
  <c r="AN15" i="34" s="1"/>
  <c r="BF15" i="34" s="1"/>
  <c r="BL14" i="31"/>
  <c r="M10" i="5"/>
  <c r="N12" i="5"/>
  <c r="M38" i="5"/>
  <c r="N14" i="5"/>
  <c r="P17" i="5"/>
  <c r="P14" i="5"/>
  <c r="AW46" i="31"/>
  <c r="AW82" i="1"/>
  <c r="AW26" i="31" l="1"/>
  <c r="AW27" i="31"/>
  <c r="AW25" i="31"/>
  <c r="AW16" i="31"/>
  <c r="AW22" i="31"/>
  <c r="AW15" i="31"/>
  <c r="AW28" i="31"/>
  <c r="AW14" i="31"/>
  <c r="AW23" i="31"/>
  <c r="O12" i="5"/>
  <c r="N42" i="5"/>
  <c r="F208" i="34"/>
  <c r="C208" i="34" s="1"/>
  <c r="B208" i="34" s="1"/>
  <c r="E208" i="34"/>
  <c r="H46" i="34"/>
  <c r="D41" i="34"/>
  <c r="D208" i="34" s="1"/>
  <c r="B41" i="34"/>
  <c r="B46" i="34" s="1"/>
  <c r="AY24" i="34" l="1"/>
  <c r="AF24" i="34"/>
  <c r="AY16" i="34"/>
  <c r="AX16" i="34" s="1"/>
  <c r="AF16" i="34"/>
  <c r="AY30" i="34"/>
  <c r="AF30" i="34"/>
  <c r="AY15" i="34"/>
  <c r="AX15" i="34" s="1"/>
  <c r="AF15" i="34"/>
  <c r="O10" i="5"/>
  <c r="S17" i="5"/>
  <c r="Q12" i="5"/>
  <c r="N38" i="5"/>
  <c r="O17" i="5"/>
  <c r="O14" i="5"/>
  <c r="P42" i="5"/>
  <c r="Q17" i="5"/>
  <c r="Q14" i="5"/>
  <c r="P12" i="5"/>
  <c r="P10" i="5"/>
  <c r="O42" i="5"/>
  <c r="B210" i="34"/>
  <c r="B209" i="34"/>
  <c r="B42" i="34"/>
  <c r="B43" i="34" s="1"/>
  <c r="B44" i="34" s="1"/>
  <c r="B45" i="34" s="1"/>
  <c r="AX24" i="34" l="1"/>
  <c r="AY51" i="34"/>
  <c r="AX51" i="34" s="1"/>
  <c r="AX30" i="34"/>
  <c r="Q10" i="5"/>
  <c r="S42" i="5"/>
  <c r="R12" i="5"/>
  <c r="S14" i="5"/>
  <c r="Q42" i="5"/>
  <c r="P36" i="5"/>
  <c r="R17" i="5"/>
  <c r="R14" i="5"/>
  <c r="Y123" i="38"/>
  <c r="Y122" i="38"/>
  <c r="Y121" i="38"/>
  <c r="Y120" i="38"/>
  <c r="Y129" i="38"/>
  <c r="G129" i="38" s="1"/>
  <c r="Y128" i="38"/>
  <c r="G128" i="38" s="1"/>
  <c r="Y127" i="38"/>
  <c r="Y126" i="38"/>
  <c r="G127" i="38" l="1"/>
  <c r="AF127" i="38"/>
  <c r="AG127" i="38" s="1"/>
  <c r="AI127" i="38" s="1"/>
  <c r="AJ127" i="38" s="1"/>
  <c r="G121" i="38"/>
  <c r="AF121" i="38"/>
  <c r="AG121" i="38" s="1"/>
  <c r="AI121" i="38" s="1"/>
  <c r="AJ121" i="38" s="1"/>
  <c r="G122" i="38"/>
  <c r="AF122" i="38"/>
  <c r="AG122" i="38" s="1"/>
  <c r="AI122" i="38" s="1"/>
  <c r="AJ122" i="38" s="1"/>
  <c r="G123" i="38"/>
  <c r="AF123" i="38"/>
  <c r="AG123" i="38" s="1"/>
  <c r="AI123" i="38" s="1"/>
  <c r="AJ123" i="38" s="1"/>
  <c r="G126" i="38"/>
  <c r="AF126" i="38"/>
  <c r="AG126" i="38" s="1"/>
  <c r="AI126" i="38" s="1"/>
  <c r="AJ126" i="38" s="1"/>
  <c r="G120" i="38"/>
  <c r="AF120" i="38"/>
  <c r="AG120" i="38" s="1"/>
  <c r="AI120" i="38" s="1"/>
  <c r="AJ120" i="38" s="1"/>
  <c r="S12" i="5"/>
  <c r="R10" i="5"/>
  <c r="P38" i="5"/>
  <c r="O38" i="5"/>
  <c r="R42" i="5"/>
  <c r="U14" i="5"/>
  <c r="Y185" i="38"/>
  <c r="U12" i="5" l="1"/>
  <c r="S38" i="5"/>
  <c r="Y184" i="38"/>
  <c r="G184" i="38" s="1"/>
  <c r="G185" i="38"/>
  <c r="Q38" i="5"/>
  <c r="U17" i="5"/>
  <c r="T344" i="46"/>
  <c r="T306" i="46"/>
  <c r="R38" i="5" l="1"/>
  <c r="U10" i="5"/>
  <c r="T14" i="5"/>
  <c r="S12" i="51"/>
  <c r="T42" i="5"/>
  <c r="T10" i="5"/>
  <c r="U37" i="35"/>
  <c r="U36" i="35"/>
  <c r="U35" i="35"/>
  <c r="U34" i="35"/>
  <c r="U33" i="35"/>
  <c r="U32" i="35"/>
  <c r="U31" i="35"/>
  <c r="U30" i="35"/>
  <c r="U29" i="35"/>
  <c r="U28" i="35"/>
  <c r="U27" i="35"/>
  <c r="U26" i="35"/>
  <c r="T368" i="46"/>
  <c r="T367" i="46"/>
  <c r="T362" i="46"/>
  <c r="T361" i="46"/>
  <c r="T360" i="46"/>
  <c r="T354" i="46"/>
  <c r="T353" i="46"/>
  <c r="T355" i="46"/>
  <c r="T352" i="46"/>
  <c r="T351" i="46"/>
  <c r="T350" i="46"/>
  <c r="T349" i="46"/>
  <c r="T343" i="46"/>
  <c r="T329" i="46"/>
  <c r="T313" i="46"/>
  <c r="T297" i="46"/>
  <c r="T281" i="46"/>
  <c r="T265" i="46"/>
  <c r="T249" i="46"/>
  <c r="T233" i="46"/>
  <c r="T217" i="46"/>
  <c r="T90" i="46"/>
  <c r="T89" i="46"/>
  <c r="T88" i="46"/>
  <c r="T87" i="46"/>
  <c r="T86" i="46"/>
  <c r="T85" i="46"/>
  <c r="T84" i="46"/>
  <c r="T83" i="46"/>
  <c r="T82" i="46"/>
  <c r="T81" i="46"/>
  <c r="T80" i="46"/>
  <c r="T75" i="46"/>
  <c r="T74" i="46"/>
  <c r="T73" i="46"/>
  <c r="T72" i="46"/>
  <c r="T71" i="46"/>
  <c r="T70" i="46"/>
  <c r="T69" i="46"/>
  <c r="T68" i="46"/>
  <c r="T67" i="46"/>
  <c r="T66" i="46"/>
  <c r="T65" i="46"/>
  <c r="T60" i="46"/>
  <c r="T59" i="46"/>
  <c r="T58" i="46"/>
  <c r="T57" i="46"/>
  <c r="T56" i="46"/>
  <c r="T55" i="46"/>
  <c r="T54" i="46"/>
  <c r="T53" i="46"/>
  <c r="T52" i="46"/>
  <c r="T51" i="46"/>
  <c r="T50" i="46"/>
  <c r="T45" i="46"/>
  <c r="T44" i="46"/>
  <c r="T43" i="46"/>
  <c r="T42" i="46"/>
  <c r="T41" i="46"/>
  <c r="T40" i="46"/>
  <c r="T39" i="46"/>
  <c r="T38" i="46"/>
  <c r="T37" i="46"/>
  <c r="T36" i="46"/>
  <c r="T35" i="46"/>
  <c r="U42" i="5" l="1"/>
  <c r="S9" i="51"/>
  <c r="T36" i="5"/>
  <c r="U38" i="5"/>
  <c r="T17" i="5"/>
  <c r="S13" i="51"/>
  <c r="AG3" i="57"/>
  <c r="AF3" i="57"/>
  <c r="S20" i="51" l="1"/>
  <c r="T12" i="5"/>
  <c r="T38" i="5"/>
  <c r="S8" i="51"/>
  <c r="G321" i="38" l="1"/>
  <c r="G320" i="38"/>
  <c r="G314" i="38"/>
  <c r="G313" i="38"/>
  <c r="G312" i="38"/>
  <c r="G294" i="38"/>
  <c r="G293" i="38"/>
  <c r="G292" i="38"/>
  <c r="G291" i="38"/>
  <c r="G285" i="38"/>
  <c r="G283" i="38"/>
  <c r="G281" i="38"/>
  <c r="G279" i="38"/>
  <c r="G277" i="38"/>
  <c r="G276" i="38"/>
  <c r="G275" i="38"/>
  <c r="G273" i="38"/>
  <c r="G270" i="38"/>
  <c r="G269" i="38"/>
  <c r="G248" i="38"/>
  <c r="G247" i="38"/>
  <c r="G246" i="38"/>
  <c r="G245" i="38"/>
  <c r="G244" i="38"/>
  <c r="G243" i="38"/>
  <c r="G242" i="38"/>
  <c r="G241" i="38"/>
  <c r="G240" i="38"/>
  <c r="G239" i="38"/>
  <c r="G238" i="38"/>
  <c r="G237" i="38"/>
  <c r="G236" i="38"/>
  <c r="G235" i="38"/>
  <c r="G234" i="38"/>
  <c r="G233" i="38"/>
  <c r="G232" i="38"/>
  <c r="G231" i="38"/>
  <c r="G230" i="38"/>
  <c r="G229" i="38"/>
  <c r="G226" i="38"/>
  <c r="G225" i="38"/>
  <c r="G224" i="38"/>
  <c r="G157" i="38"/>
  <c r="G102" i="38"/>
  <c r="G100" i="38"/>
  <c r="G21" i="38"/>
  <c r="G20" i="38"/>
  <c r="G19" i="38"/>
  <c r="G18" i="38"/>
  <c r="G17" i="38"/>
  <c r="G16" i="38"/>
  <c r="G15" i="38"/>
  <c r="G14" i="38"/>
  <c r="G13" i="38"/>
  <c r="G12" i="38"/>
  <c r="AA35" i="57" l="1"/>
  <c r="Z35" i="57"/>
  <c r="Y35" i="57"/>
  <c r="X35" i="57"/>
  <c r="W35" i="57"/>
  <c r="V35" i="57"/>
  <c r="U35" i="57"/>
  <c r="T35" i="57"/>
  <c r="S35" i="57"/>
  <c r="R35" i="57"/>
  <c r="Q35" i="57"/>
  <c r="P35" i="57"/>
  <c r="O35" i="57"/>
  <c r="N35" i="57"/>
  <c r="B32" i="57"/>
  <c r="B33" i="57" s="1"/>
  <c r="B34" i="57" s="1"/>
  <c r="B35" i="57" s="1"/>
  <c r="B28" i="56" l="1"/>
  <c r="B29" i="56" s="1"/>
  <c r="Y113" i="38" l="1"/>
  <c r="Y112" i="38"/>
  <c r="Y208" i="38"/>
  <c r="G115" i="38"/>
  <c r="G114" i="38"/>
  <c r="AB115" i="38"/>
  <c r="AB114" i="38"/>
  <c r="Y220" i="38"/>
  <c r="Y289" i="38"/>
  <c r="G289" i="38" s="1"/>
  <c r="G208" i="38" l="1"/>
  <c r="AF208" i="38"/>
  <c r="AG208" i="38" s="1"/>
  <c r="AI208" i="38" s="1"/>
  <c r="AJ208" i="38" s="1"/>
  <c r="G112" i="38"/>
  <c r="AF112" i="38"/>
  <c r="AG112" i="38" s="1"/>
  <c r="AI112" i="38" s="1"/>
  <c r="AJ112" i="38" s="1"/>
  <c r="Y134" i="38"/>
  <c r="G134" i="38" s="1"/>
  <c r="G220" i="38"/>
  <c r="AF220" i="38"/>
  <c r="AG220" i="38" s="1"/>
  <c r="AI220" i="38" s="1"/>
  <c r="AJ220" i="38" s="1"/>
  <c r="G113" i="38"/>
  <c r="AF113" i="38"/>
  <c r="AG113" i="38" s="1"/>
  <c r="AI113" i="38" s="1"/>
  <c r="AJ113" i="38" s="1"/>
  <c r="Y135" i="38"/>
  <c r="G135" i="38" s="1"/>
  <c r="U53" i="35"/>
  <c r="U52" i="35"/>
  <c r="U51" i="35"/>
  <c r="U50" i="35"/>
  <c r="U49" i="35"/>
  <c r="U48" i="35"/>
  <c r="U47" i="35"/>
  <c r="U46" i="35"/>
  <c r="U45" i="35"/>
  <c r="U44" i="35"/>
  <c r="U43" i="35"/>
  <c r="U42" i="35"/>
  <c r="R306" i="46" l="1"/>
  <c r="Q306" i="46"/>
  <c r="P306" i="46"/>
  <c r="O306" i="46"/>
  <c r="N306" i="46"/>
  <c r="M306" i="46"/>
  <c r="L306" i="46"/>
  <c r="K306" i="46"/>
  <c r="J306" i="46"/>
  <c r="I306" i="46"/>
  <c r="H306" i="46"/>
  <c r="G306" i="46"/>
  <c r="F306" i="46"/>
  <c r="E306" i="46"/>
  <c r="D306" i="46"/>
  <c r="Q297" i="46"/>
  <c r="Q329" i="46"/>
  <c r="P329" i="46"/>
  <c r="O329" i="46"/>
  <c r="N329" i="46"/>
  <c r="M329" i="46"/>
  <c r="L329" i="46"/>
  <c r="K329" i="46"/>
  <c r="J329" i="46"/>
  <c r="I329" i="46"/>
  <c r="H329" i="46"/>
  <c r="G329" i="46"/>
  <c r="F329" i="46"/>
  <c r="E329" i="46"/>
  <c r="D329" i="46"/>
  <c r="R329" i="46"/>
  <c r="F297" i="46" l="1"/>
  <c r="J297" i="46"/>
  <c r="N297" i="46"/>
  <c r="R297" i="46"/>
  <c r="K297" i="46"/>
  <c r="D297" i="46"/>
  <c r="H297" i="46"/>
  <c r="L297" i="46"/>
  <c r="P297" i="46"/>
  <c r="G297" i="46"/>
  <c r="O297" i="46"/>
  <c r="E297" i="46"/>
  <c r="I297" i="46"/>
  <c r="M297" i="46"/>
  <c r="O66" i="29" l="1"/>
  <c r="P66" i="29" s="1"/>
  <c r="Q66" i="29" s="1"/>
  <c r="R66" i="29" s="1"/>
  <c r="S66" i="29" s="1"/>
  <c r="T66" i="29" s="1"/>
  <c r="U66" i="29" s="1"/>
  <c r="V66" i="29" s="1"/>
  <c r="W66" i="29" s="1"/>
  <c r="X66" i="29" s="1"/>
  <c r="Y66" i="29" s="1"/>
  <c r="Z66" i="29" s="1"/>
  <c r="AA66" i="29" s="1"/>
  <c r="AB66" i="29" s="1"/>
  <c r="O54" i="29"/>
  <c r="P54" i="29" s="1"/>
  <c r="Q54" i="29" s="1"/>
  <c r="R54" i="29" s="1"/>
  <c r="S54" i="29" s="1"/>
  <c r="T54" i="29" s="1"/>
  <c r="U54" i="29" s="1"/>
  <c r="V54" i="29" s="1"/>
  <c r="W54" i="29" s="1"/>
  <c r="X54" i="29" s="1"/>
  <c r="Y54" i="29" s="1"/>
  <c r="Z54" i="29" s="1"/>
  <c r="AA54" i="29" s="1"/>
  <c r="AB54" i="29" s="1"/>
  <c r="O525" i="31"/>
  <c r="P525" i="31" s="1"/>
  <c r="Q525" i="31" s="1"/>
  <c r="R525" i="31" s="1"/>
  <c r="S525" i="31" s="1"/>
  <c r="T525" i="31" s="1"/>
  <c r="U525" i="31" s="1"/>
  <c r="V525" i="31" s="1"/>
  <c r="W525" i="31" s="1"/>
  <c r="X525" i="31" s="1"/>
  <c r="Y525" i="31" s="1"/>
  <c r="Z525" i="31" s="1"/>
  <c r="AA525" i="31" s="1"/>
  <c r="AB525" i="31" s="1"/>
  <c r="O514" i="31"/>
  <c r="P514" i="31" s="1"/>
  <c r="Q514" i="31" s="1"/>
  <c r="R514" i="31" s="1"/>
  <c r="S514" i="31" s="1"/>
  <c r="T514" i="31" s="1"/>
  <c r="U514" i="31" s="1"/>
  <c r="V514" i="31" s="1"/>
  <c r="W514" i="31" s="1"/>
  <c r="X514" i="31" s="1"/>
  <c r="Y514" i="31" s="1"/>
  <c r="Z514" i="31" s="1"/>
  <c r="AA514" i="31" s="1"/>
  <c r="AB514" i="31" s="1"/>
  <c r="N108" i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N84" i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N55" i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N31" i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T290" i="46" l="1"/>
  <c r="AD64" i="29" l="1"/>
  <c r="AD65" i="29" s="1"/>
  <c r="O37" i="29"/>
  <c r="P37" i="29" s="1"/>
  <c r="Q37" i="29" s="1"/>
  <c r="R37" i="29" s="1"/>
  <c r="S37" i="29" s="1"/>
  <c r="T37" i="29" s="1"/>
  <c r="U37" i="29" s="1"/>
  <c r="V37" i="29" s="1"/>
  <c r="W37" i="29" s="1"/>
  <c r="X37" i="29" s="1"/>
  <c r="Y37" i="29" s="1"/>
  <c r="Z37" i="29" s="1"/>
  <c r="AA37" i="29" s="1"/>
  <c r="AB37" i="29" s="1"/>
  <c r="O36" i="29"/>
  <c r="P36" i="29" s="1"/>
  <c r="Q36" i="29" s="1"/>
  <c r="R36" i="29" s="1"/>
  <c r="S36" i="29" s="1"/>
  <c r="T36" i="29" s="1"/>
  <c r="U36" i="29" s="1"/>
  <c r="V36" i="29" s="1"/>
  <c r="W36" i="29" s="1"/>
  <c r="X36" i="29" s="1"/>
  <c r="Y36" i="29" s="1"/>
  <c r="Z36" i="29" s="1"/>
  <c r="AA36" i="29" s="1"/>
  <c r="AB36" i="29" s="1"/>
  <c r="AD53" i="29"/>
  <c r="AD54" i="29" s="1"/>
  <c r="AD42" i="29"/>
  <c r="AD43" i="29" s="1"/>
  <c r="AD39" i="29"/>
  <c r="AD524" i="31"/>
  <c r="AD525" i="31" s="1"/>
  <c r="AD513" i="31"/>
  <c r="AD514" i="31" s="1"/>
  <c r="AC83" i="1"/>
  <c r="AC84" i="1" s="1"/>
  <c r="AC116" i="1"/>
  <c r="AC105" i="1"/>
  <c r="AC94" i="1"/>
  <c r="AC80" i="1"/>
  <c r="AC118" i="1"/>
  <c r="AC119" i="1" s="1"/>
  <c r="AC107" i="1"/>
  <c r="AC108" i="1" s="1"/>
  <c r="AC96" i="1"/>
  <c r="AC97" i="1" s="1"/>
  <c r="AC27" i="1"/>
  <c r="AC41" i="1"/>
  <c r="AC52" i="1"/>
  <c r="AC63" i="1"/>
  <c r="AC65" i="1"/>
  <c r="AC66" i="1" s="1"/>
  <c r="AC54" i="1"/>
  <c r="AC55" i="1" s="1"/>
  <c r="AC43" i="1"/>
  <c r="AC44" i="1" s="1"/>
  <c r="AC30" i="1"/>
  <c r="AC31" i="1" s="1"/>
  <c r="AD502" i="31"/>
  <c r="AD503" i="31" s="1"/>
  <c r="AC42" i="23" l="1"/>
  <c r="AC22" i="23"/>
  <c r="AE9" i="32"/>
  <c r="AF9" i="32" s="1"/>
  <c r="AE8" i="32"/>
  <c r="AF8" i="32" s="1"/>
  <c r="AE7" i="32"/>
  <c r="AF7" i="32" s="1"/>
  <c r="AE6" i="32"/>
  <c r="AF6" i="32" s="1"/>
  <c r="AE5" i="32"/>
  <c r="AF5" i="32" s="1"/>
  <c r="AG9" i="57" l="1"/>
  <c r="AG8" i="57"/>
  <c r="AG7" i="57"/>
  <c r="AG6" i="57"/>
  <c r="AE6" i="57"/>
  <c r="AE7" i="57" s="1"/>
  <c r="AE8" i="57" s="1"/>
  <c r="AE9" i="57" s="1"/>
  <c r="AG5" i="57"/>
  <c r="AG4" i="57"/>
  <c r="N13" i="57"/>
  <c r="N14" i="57" s="1"/>
  <c r="N23" i="57" s="1"/>
  <c r="M14" i="57"/>
  <c r="M23" i="57" s="1"/>
  <c r="O13" i="57" l="1"/>
  <c r="B21" i="57"/>
  <c r="B22" i="57" s="1"/>
  <c r="B23" i="57" s="1"/>
  <c r="B24" i="57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P13" i="57" l="1"/>
  <c r="O14" i="57"/>
  <c r="O23" i="57" l="1"/>
  <c r="Q13" i="57"/>
  <c r="P14" i="57"/>
  <c r="AE5" i="56"/>
  <c r="AE6" i="56" s="1"/>
  <c r="AE7" i="56" s="1"/>
  <c r="AE8" i="56" s="1"/>
  <c r="P23" i="57" l="1"/>
  <c r="Q14" i="57"/>
  <c r="R13" i="57"/>
  <c r="O376" i="29"/>
  <c r="O375" i="29"/>
  <c r="O229" i="29"/>
  <c r="P229" i="29" s="1"/>
  <c r="Q229" i="29" s="1"/>
  <c r="R229" i="29" s="1"/>
  <c r="S229" i="29" s="1"/>
  <c r="T229" i="29" s="1"/>
  <c r="U229" i="29" s="1"/>
  <c r="V229" i="29" s="1"/>
  <c r="W229" i="29" s="1"/>
  <c r="X229" i="29" s="1"/>
  <c r="Y229" i="29" s="1"/>
  <c r="Z229" i="29" s="1"/>
  <c r="AA229" i="29" s="1"/>
  <c r="AB229" i="29" s="1"/>
  <c r="O228" i="29"/>
  <c r="O80" i="29"/>
  <c r="P80" i="29" s="1"/>
  <c r="O79" i="29"/>
  <c r="P376" i="29" l="1"/>
  <c r="Q23" i="57"/>
  <c r="R14" i="57"/>
  <c r="S13" i="57"/>
  <c r="P79" i="29"/>
  <c r="P375" i="29"/>
  <c r="P228" i="29"/>
  <c r="Q80" i="29"/>
  <c r="Q376" i="29" l="1"/>
  <c r="T13" i="57"/>
  <c r="S14" i="57"/>
  <c r="R23" i="57"/>
  <c r="Q375" i="29"/>
  <c r="R80" i="29"/>
  <c r="Q228" i="29"/>
  <c r="Q79" i="29"/>
  <c r="U74" i="35"/>
  <c r="R376" i="29" l="1"/>
  <c r="U13" i="57"/>
  <c r="T14" i="57"/>
  <c r="S23" i="57"/>
  <c r="R79" i="29"/>
  <c r="R228" i="29"/>
  <c r="S80" i="29"/>
  <c r="R375" i="29"/>
  <c r="S376" i="29" l="1"/>
  <c r="V13" i="57"/>
  <c r="U14" i="57"/>
  <c r="T23" i="57"/>
  <c r="S375" i="29"/>
  <c r="T80" i="29"/>
  <c r="S228" i="29"/>
  <c r="S79" i="29"/>
  <c r="I68" i="4"/>
  <c r="I67" i="4"/>
  <c r="AD62" i="4"/>
  <c r="AD63" i="4" s="1"/>
  <c r="N62" i="4"/>
  <c r="W62" i="4" s="1"/>
  <c r="B62" i="4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Y101" i="38"/>
  <c r="Y99" i="38"/>
  <c r="G99" i="38" s="1"/>
  <c r="H99" i="38" s="1"/>
  <c r="C44" i="45"/>
  <c r="I37" i="4"/>
  <c r="I36" i="4"/>
  <c r="AD31" i="4"/>
  <c r="AD32" i="4" s="1"/>
  <c r="N31" i="4"/>
  <c r="AA31" i="4" s="1"/>
  <c r="B31" i="4"/>
  <c r="G101" i="38" l="1"/>
  <c r="H101" i="38" s="1"/>
  <c r="T376" i="29"/>
  <c r="V14" i="57"/>
  <c r="W13" i="57"/>
  <c r="U23" i="57"/>
  <c r="T79" i="29"/>
  <c r="T228" i="29"/>
  <c r="U80" i="29"/>
  <c r="T375" i="29"/>
  <c r="N32" i="4"/>
  <c r="I99" i="38"/>
  <c r="O32" i="4" s="1"/>
  <c r="R62" i="4"/>
  <c r="S31" i="4"/>
  <c r="B32" i="4"/>
  <c r="B33" i="4" s="1"/>
  <c r="B34" i="4" s="1"/>
  <c r="B35" i="4" s="1"/>
  <c r="B36" i="4" s="1"/>
  <c r="B37" i="4" s="1"/>
  <c r="B38" i="4" s="1"/>
  <c r="B39" i="4" s="1"/>
  <c r="B40" i="4" s="1"/>
  <c r="B41" i="4" s="1"/>
  <c r="AB62" i="4"/>
  <c r="X62" i="4"/>
  <c r="T62" i="4"/>
  <c r="P62" i="4"/>
  <c r="AA62" i="4"/>
  <c r="S62" i="4"/>
  <c r="Y62" i="4"/>
  <c r="O62" i="4"/>
  <c r="U62" i="4"/>
  <c r="Z62" i="4"/>
  <c r="Q62" i="4"/>
  <c r="V62" i="4"/>
  <c r="V99" i="38"/>
  <c r="AB32" i="4" s="1"/>
  <c r="R99" i="38"/>
  <c r="X32" i="4" s="1"/>
  <c r="N99" i="38"/>
  <c r="T32" i="4" s="1"/>
  <c r="J99" i="38"/>
  <c r="P32" i="4" s="1"/>
  <c r="U99" i="38"/>
  <c r="AA32" i="4" s="1"/>
  <c r="Q99" i="38"/>
  <c r="W32" i="4" s="1"/>
  <c r="M99" i="38"/>
  <c r="S32" i="4" s="1"/>
  <c r="T99" i="38"/>
  <c r="Z32" i="4" s="1"/>
  <c r="P99" i="38"/>
  <c r="V32" i="4" s="1"/>
  <c r="L99" i="38"/>
  <c r="R32" i="4" s="1"/>
  <c r="S99" i="38"/>
  <c r="Y32" i="4" s="1"/>
  <c r="O99" i="38"/>
  <c r="U32" i="4" s="1"/>
  <c r="K99" i="38"/>
  <c r="Q32" i="4" s="1"/>
  <c r="Y31" i="4"/>
  <c r="U31" i="4"/>
  <c r="Q31" i="4"/>
  <c r="AB31" i="4"/>
  <c r="X31" i="4"/>
  <c r="T31" i="4"/>
  <c r="P31" i="4"/>
  <c r="V31" i="4"/>
  <c r="O31" i="4"/>
  <c r="W31" i="4"/>
  <c r="R31" i="4"/>
  <c r="Z31" i="4"/>
  <c r="N63" i="4" l="1"/>
  <c r="I101" i="38"/>
  <c r="O63" i="4" s="1"/>
  <c r="R101" i="38"/>
  <c r="X63" i="4" s="1"/>
  <c r="P101" i="38"/>
  <c r="V63" i="4" s="1"/>
  <c r="J101" i="38"/>
  <c r="P63" i="4" s="1"/>
  <c r="S101" i="38"/>
  <c r="Y63" i="4" s="1"/>
  <c r="Q101" i="38"/>
  <c r="W63" i="4" s="1"/>
  <c r="K101" i="38"/>
  <c r="Q63" i="4" s="1"/>
  <c r="L101" i="38"/>
  <c r="R63" i="4" s="1"/>
  <c r="M101" i="38"/>
  <c r="S63" i="4" s="1"/>
  <c r="N101" i="38"/>
  <c r="T63" i="4" s="1"/>
  <c r="O101" i="38"/>
  <c r="U63" i="4" s="1"/>
  <c r="T101" i="38"/>
  <c r="Z63" i="4" s="1"/>
  <c r="U101" i="38"/>
  <c r="AA63" i="4" s="1"/>
  <c r="V101" i="38"/>
  <c r="AB63" i="4" s="1"/>
  <c r="U376" i="29"/>
  <c r="X13" i="57"/>
  <c r="W14" i="57"/>
  <c r="V23" i="57"/>
  <c r="U375" i="29"/>
  <c r="V80" i="29"/>
  <c r="U228" i="29"/>
  <c r="U79" i="29"/>
  <c r="V376" i="29" l="1"/>
  <c r="Y13" i="57"/>
  <c r="X14" i="57"/>
  <c r="W23" i="57"/>
  <c r="V79" i="29"/>
  <c r="V228" i="29"/>
  <c r="W80" i="29"/>
  <c r="V375" i="29"/>
  <c r="W376" i="29" l="1"/>
  <c r="X23" i="57"/>
  <c r="Z13" i="57"/>
  <c r="Y14" i="57"/>
  <c r="W375" i="29"/>
  <c r="X80" i="29"/>
  <c r="W228" i="29"/>
  <c r="W79" i="29"/>
  <c r="X376" i="29" l="1"/>
  <c r="Y23" i="57"/>
  <c r="Z14" i="57"/>
  <c r="AA13" i="57"/>
  <c r="AA14" i="57" s="1"/>
  <c r="X79" i="29"/>
  <c r="X228" i="29"/>
  <c r="Y80" i="29"/>
  <c r="X375" i="29"/>
  <c r="Y376" i="29" l="1"/>
  <c r="AA23" i="57"/>
  <c r="Z23" i="57"/>
  <c r="Y375" i="29"/>
  <c r="Z80" i="29"/>
  <c r="Y228" i="29"/>
  <c r="Y79" i="29"/>
  <c r="F250" i="34"/>
  <c r="C250" i="34" s="1"/>
  <c r="B250" i="34" s="1"/>
  <c r="E250" i="34"/>
  <c r="C125" i="34"/>
  <c r="B125" i="34" s="1"/>
  <c r="B126" i="34" s="1"/>
  <c r="H130" i="34"/>
  <c r="D125" i="34"/>
  <c r="D250" i="34" s="1"/>
  <c r="B130" i="34" l="1"/>
  <c r="B127" i="34"/>
  <c r="B128" i="34" s="1"/>
  <c r="B129" i="34" s="1"/>
  <c r="Z376" i="29"/>
  <c r="Z79" i="29"/>
  <c r="Z228" i="29"/>
  <c r="AA80" i="29"/>
  <c r="Z375" i="29"/>
  <c r="B252" i="34"/>
  <c r="B251" i="34"/>
  <c r="N18" i="26"/>
  <c r="N33" i="26" l="1"/>
  <c r="N140" i="26"/>
  <c r="N100" i="26"/>
  <c r="AA376" i="29"/>
  <c r="AA375" i="29"/>
  <c r="AB80" i="29"/>
  <c r="AA228" i="29"/>
  <c r="AA79" i="29"/>
  <c r="I11" i="57"/>
  <c r="I10" i="57"/>
  <c r="N5" i="57"/>
  <c r="O5" i="57" s="1"/>
  <c r="P5" i="57" s="1"/>
  <c r="Q5" i="57" s="1"/>
  <c r="R5" i="57" s="1"/>
  <c r="S5" i="57" s="1"/>
  <c r="T5" i="57" s="1"/>
  <c r="U5" i="57" s="1"/>
  <c r="V5" i="57" s="1"/>
  <c r="W5" i="57" s="1"/>
  <c r="X5" i="57" s="1"/>
  <c r="Y5" i="57" s="1"/>
  <c r="Z5" i="57" s="1"/>
  <c r="AA5" i="57" s="1"/>
  <c r="N4" i="57"/>
  <c r="O4" i="57" s="1"/>
  <c r="P4" i="57" s="1"/>
  <c r="Q4" i="57" s="1"/>
  <c r="R4" i="57" s="1"/>
  <c r="S4" i="57" s="1"/>
  <c r="T4" i="57" s="1"/>
  <c r="U4" i="57" s="1"/>
  <c r="V4" i="57" s="1"/>
  <c r="W4" i="57" s="1"/>
  <c r="X4" i="57" s="1"/>
  <c r="Y4" i="57" s="1"/>
  <c r="Z4" i="57" s="1"/>
  <c r="AA4" i="57" s="1"/>
  <c r="N3" i="57"/>
  <c r="O3" i="57" s="1"/>
  <c r="P3" i="57" s="1"/>
  <c r="Q3" i="57" s="1"/>
  <c r="R3" i="57" s="1"/>
  <c r="S3" i="57" s="1"/>
  <c r="T3" i="57" s="1"/>
  <c r="U3" i="57" s="1"/>
  <c r="V3" i="57" s="1"/>
  <c r="W3" i="57" s="1"/>
  <c r="X3" i="57" s="1"/>
  <c r="Y3" i="57" s="1"/>
  <c r="Z3" i="57" s="1"/>
  <c r="AA3" i="57" s="1"/>
  <c r="L3" i="57"/>
  <c r="L4" i="57" s="1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J18" i="29"/>
  <c r="J17" i="29"/>
  <c r="AB376" i="29" l="1"/>
  <c r="O30" i="57"/>
  <c r="AX30" i="57"/>
  <c r="S30" i="57"/>
  <c r="BB30" i="57"/>
  <c r="W30" i="57"/>
  <c r="BF30" i="57"/>
  <c r="AA30" i="57"/>
  <c r="BJ30" i="57"/>
  <c r="AY30" i="57"/>
  <c r="P30" i="57"/>
  <c r="BC30" i="57"/>
  <c r="T30" i="57"/>
  <c r="BG30" i="57"/>
  <c r="X30" i="57"/>
  <c r="M30" i="57"/>
  <c r="AV30" i="57"/>
  <c r="Q30" i="57"/>
  <c r="AZ30" i="57"/>
  <c r="U30" i="57"/>
  <c r="BD30" i="57"/>
  <c r="Y30" i="57"/>
  <c r="BH30" i="57"/>
  <c r="N30" i="57"/>
  <c r="AW30" i="57"/>
  <c r="R30" i="57"/>
  <c r="BA30" i="57"/>
  <c r="V30" i="57"/>
  <c r="BE30" i="57"/>
  <c r="Z30" i="57"/>
  <c r="BI30" i="57"/>
  <c r="AB79" i="29"/>
  <c r="AB228" i="29"/>
  <c r="AB375" i="29"/>
  <c r="M19" i="57"/>
  <c r="AV19" i="57"/>
  <c r="Q19" i="57"/>
  <c r="AZ19" i="57"/>
  <c r="U19" i="57"/>
  <c r="BD19" i="57"/>
  <c r="Y19" i="57"/>
  <c r="BH19" i="57"/>
  <c r="AW19" i="57"/>
  <c r="N19" i="57"/>
  <c r="BA19" i="57"/>
  <c r="R19" i="57"/>
  <c r="BE19" i="57"/>
  <c r="V19" i="57"/>
  <c r="BI19" i="57"/>
  <c r="Z19" i="57"/>
  <c r="O19" i="57"/>
  <c r="AX19" i="57"/>
  <c r="BB19" i="57"/>
  <c r="S19" i="57"/>
  <c r="W19" i="57"/>
  <c r="BF19" i="57"/>
  <c r="AA19" i="57"/>
  <c r="BJ19" i="57"/>
  <c r="P8" i="57"/>
  <c r="P19" i="57"/>
  <c r="AY19" i="57"/>
  <c r="T8" i="57"/>
  <c r="T19" i="57"/>
  <c r="BC19" i="57"/>
  <c r="X8" i="57"/>
  <c r="BG19" i="57"/>
  <c r="X19" i="57"/>
  <c r="M8" i="57"/>
  <c r="Q8" i="57"/>
  <c r="R8" i="57"/>
  <c r="V8" i="57"/>
  <c r="N8" i="57"/>
  <c r="W8" i="57"/>
  <c r="S8" i="57"/>
  <c r="Y8" i="57"/>
  <c r="O8" i="57"/>
  <c r="U8" i="57"/>
  <c r="Z8" i="57"/>
  <c r="AA8" i="57"/>
  <c r="X292" i="38" l="1"/>
  <c r="X291" i="38"/>
  <c r="X288" i="38"/>
  <c r="X287" i="38"/>
  <c r="X286" i="38"/>
  <c r="X285" i="38"/>
  <c r="X284" i="38"/>
  <c r="X283" i="38"/>
  <c r="X282" i="38"/>
  <c r="X281" i="38"/>
  <c r="X280" i="38"/>
  <c r="X279" i="38"/>
  <c r="X278" i="38"/>
  <c r="X277" i="38"/>
  <c r="X276" i="38"/>
  <c r="X275" i="38"/>
  <c r="X274" i="38"/>
  <c r="X273" i="38"/>
  <c r="X272" i="38"/>
  <c r="X271" i="38"/>
  <c r="X270" i="38"/>
  <c r="X269" i="38"/>
  <c r="X266" i="38"/>
  <c r="X265" i="38"/>
  <c r="X264" i="38"/>
  <c r="X263" i="38"/>
  <c r="X262" i="38"/>
  <c r="X261" i="38"/>
  <c r="X260" i="38"/>
  <c r="X259" i="38"/>
  <c r="X258" i="38"/>
  <c r="X257" i="38"/>
  <c r="X256" i="38"/>
  <c r="X255" i="38"/>
  <c r="X254" i="38"/>
  <c r="X253" i="38"/>
  <c r="X252" i="38"/>
  <c r="X251" i="38"/>
  <c r="X250" i="38"/>
  <c r="X249" i="38"/>
  <c r="X248" i="38"/>
  <c r="X247" i="38"/>
  <c r="X246" i="38"/>
  <c r="X245" i="38"/>
  <c r="X244" i="38"/>
  <c r="X243" i="38"/>
  <c r="X242" i="38"/>
  <c r="X241" i="38"/>
  <c r="X240" i="38"/>
  <c r="X239" i="38"/>
  <c r="X238" i="38"/>
  <c r="X237" i="38"/>
  <c r="X236" i="38"/>
  <c r="X235" i="38"/>
  <c r="X234" i="38"/>
  <c r="X233" i="38"/>
  <c r="X232" i="38"/>
  <c r="X231" i="38"/>
  <c r="X230" i="38"/>
  <c r="X229" i="38"/>
  <c r="X228" i="38"/>
  <c r="X227" i="38"/>
  <c r="Y263" i="38"/>
  <c r="Y287" i="38"/>
  <c r="Y286" i="38"/>
  <c r="Y284" i="38"/>
  <c r="G284" i="38" s="1"/>
  <c r="Y282" i="38"/>
  <c r="Y280" i="38"/>
  <c r="Y278" i="38"/>
  <c r="Y274" i="38"/>
  <c r="Y271" i="38"/>
  <c r="Y261" i="38"/>
  <c r="Y259" i="38"/>
  <c r="G259" i="38" s="1"/>
  <c r="Y257" i="38"/>
  <c r="G257" i="38" s="1"/>
  <c r="Y255" i="38"/>
  <c r="G255" i="38" s="1"/>
  <c r="Y253" i="38"/>
  <c r="G253" i="38" s="1"/>
  <c r="Y251" i="38"/>
  <c r="Y194" i="38"/>
  <c r="G194" i="38" s="1"/>
  <c r="Y217" i="38"/>
  <c r="Y202" i="38"/>
  <c r="Y192" i="38"/>
  <c r="G192" i="38" s="1"/>
  <c r="Y190" i="38"/>
  <c r="G190" i="38" s="1"/>
  <c r="Y188" i="38"/>
  <c r="G188" i="38" s="1"/>
  <c r="Y182" i="38"/>
  <c r="G182" i="38" s="1"/>
  <c r="Y228" i="38"/>
  <c r="G228" i="38" s="1"/>
  <c r="Y227" i="38"/>
  <c r="G227" i="38" s="1"/>
  <c r="Y215" i="38"/>
  <c r="Y213" i="38"/>
  <c r="Y211" i="38"/>
  <c r="Y205" i="38"/>
  <c r="G213" i="38" l="1"/>
  <c r="AF213" i="38"/>
  <c r="AG213" i="38" s="1"/>
  <c r="AI213" i="38" s="1"/>
  <c r="AJ213" i="38" s="1"/>
  <c r="G202" i="38"/>
  <c r="AF202" i="38"/>
  <c r="AG202" i="38" s="1"/>
  <c r="AI202" i="38" s="1"/>
  <c r="AJ202" i="38" s="1"/>
  <c r="G215" i="38"/>
  <c r="AF215" i="38"/>
  <c r="AG215" i="38" s="1"/>
  <c r="AI215" i="38" s="1"/>
  <c r="AJ215" i="38" s="1"/>
  <c r="G217" i="38"/>
  <c r="AF217" i="38"/>
  <c r="AG217" i="38" s="1"/>
  <c r="AI217" i="38" s="1"/>
  <c r="AJ217" i="38" s="1"/>
  <c r="G205" i="38"/>
  <c r="AF205" i="38"/>
  <c r="AG205" i="38" s="1"/>
  <c r="AI205" i="38" s="1"/>
  <c r="AJ205" i="38" s="1"/>
  <c r="G211" i="38"/>
  <c r="AF211" i="38"/>
  <c r="AG211" i="38" s="1"/>
  <c r="AI211" i="38" s="1"/>
  <c r="AJ211" i="38" s="1"/>
  <c r="Y198" i="38"/>
  <c r="G198" i="38" s="1"/>
  <c r="Y249" i="38"/>
  <c r="G249" i="38" s="1"/>
  <c r="G251" i="38"/>
  <c r="Y191" i="38"/>
  <c r="G191" i="38" s="1"/>
  <c r="Y180" i="38"/>
  <c r="G180" i="38" s="1"/>
  <c r="Y186" i="38"/>
  <c r="G186" i="38" s="1"/>
  <c r="Y203" i="38"/>
  <c r="G261" i="38"/>
  <c r="Y267" i="38"/>
  <c r="G267" i="38" s="1"/>
  <c r="Y258" i="38"/>
  <c r="G258" i="38" s="1"/>
  <c r="G280" i="38"/>
  <c r="Y265" i="38"/>
  <c r="G265" i="38" s="1"/>
  <c r="G287" i="38"/>
  <c r="Y189" i="38"/>
  <c r="G189" i="38" s="1"/>
  <c r="Y195" i="38"/>
  <c r="G195" i="38" s="1"/>
  <c r="Y272" i="38"/>
  <c r="G272" i="38" s="1"/>
  <c r="G271" i="38"/>
  <c r="Y260" i="38"/>
  <c r="G260" i="38" s="1"/>
  <c r="G282" i="38"/>
  <c r="G263" i="38"/>
  <c r="H263" i="38" s="1"/>
  <c r="Y183" i="38"/>
  <c r="G183" i="38" s="1"/>
  <c r="Y209" i="38"/>
  <c r="Y252" i="38"/>
  <c r="G274" i="38"/>
  <c r="Y256" i="38"/>
  <c r="G256" i="38" s="1"/>
  <c r="G278" i="38"/>
  <c r="Y264" i="38"/>
  <c r="G286" i="38"/>
  <c r="Y193" i="38"/>
  <c r="G193" i="38" s="1"/>
  <c r="Y221" i="38"/>
  <c r="Y262" i="38"/>
  <c r="Y290" i="38"/>
  <c r="G290" i="38" s="1"/>
  <c r="Y288" i="38"/>
  <c r="Y158" i="38"/>
  <c r="Y159" i="38"/>
  <c r="G203" i="38" l="1"/>
  <c r="AF203" i="38"/>
  <c r="AG203" i="38" s="1"/>
  <c r="AI203" i="38" s="1"/>
  <c r="AJ203" i="38" s="1"/>
  <c r="G158" i="38"/>
  <c r="AF158" i="38"/>
  <c r="AG158" i="38" s="1"/>
  <c r="AI158" i="38" s="1"/>
  <c r="AJ158" i="38" s="1"/>
  <c r="G221" i="38"/>
  <c r="AF221" i="38"/>
  <c r="AG221" i="38" s="1"/>
  <c r="AI221" i="38" s="1"/>
  <c r="AJ221" i="38" s="1"/>
  <c r="G209" i="38"/>
  <c r="AF209" i="38"/>
  <c r="AG209" i="38" s="1"/>
  <c r="AI209" i="38" s="1"/>
  <c r="AJ209" i="38" s="1"/>
  <c r="G159" i="38"/>
  <c r="AF159" i="38"/>
  <c r="AG159" i="38" s="1"/>
  <c r="AI159" i="38" s="1"/>
  <c r="AJ159" i="38" s="1"/>
  <c r="P263" i="38"/>
  <c r="V324" i="29" s="1"/>
  <c r="Q263" i="38"/>
  <c r="W324" i="29" s="1"/>
  <c r="N263" i="38"/>
  <c r="T324" i="29" s="1"/>
  <c r="I263" i="38"/>
  <c r="O324" i="29" s="1"/>
  <c r="R263" i="38"/>
  <c r="X324" i="29" s="1"/>
  <c r="T263" i="38"/>
  <c r="Z324" i="29" s="1"/>
  <c r="L263" i="38"/>
  <c r="R324" i="29" s="1"/>
  <c r="J263" i="38"/>
  <c r="P324" i="29" s="1"/>
  <c r="V263" i="38"/>
  <c r="AB324" i="29" s="1"/>
  <c r="Y266" i="38"/>
  <c r="G266" i="38" s="1"/>
  <c r="G288" i="38"/>
  <c r="Y199" i="38"/>
  <c r="G199" i="38" s="1"/>
  <c r="M263" i="38"/>
  <c r="S324" i="29" s="1"/>
  <c r="N324" i="29"/>
  <c r="Y187" i="38"/>
  <c r="G187" i="38" s="1"/>
  <c r="K263" i="38"/>
  <c r="Q324" i="29" s="1"/>
  <c r="O263" i="38"/>
  <c r="U324" i="29" s="1"/>
  <c r="S263" i="38"/>
  <c r="Y324" i="29" s="1"/>
  <c r="U263" i="38"/>
  <c r="AA324" i="29" s="1"/>
  <c r="G262" i="38"/>
  <c r="Y268" i="38"/>
  <c r="G268" i="38" s="1"/>
  <c r="G264" i="38"/>
  <c r="H264" i="38" s="1"/>
  <c r="Y250" i="38"/>
  <c r="G250" i="38" s="1"/>
  <c r="G252" i="38"/>
  <c r="Y254" i="38"/>
  <c r="G254" i="38" s="1"/>
  <c r="D47" i="34"/>
  <c r="D211" i="34" s="1"/>
  <c r="H52" i="34"/>
  <c r="B47" i="34"/>
  <c r="B211" i="34"/>
  <c r="J264" i="38" l="1"/>
  <c r="P325" i="29" s="1"/>
  <c r="Q264" i="38"/>
  <c r="W325" i="29" s="1"/>
  <c r="V264" i="38"/>
  <c r="AB325" i="29" s="1"/>
  <c r="K264" i="38"/>
  <c r="Q325" i="29" s="1"/>
  <c r="M264" i="38"/>
  <c r="S325" i="29" s="1"/>
  <c r="P264" i="38"/>
  <c r="V325" i="29" s="1"/>
  <c r="U264" i="38"/>
  <c r="AA325" i="29" s="1"/>
  <c r="S264" i="38"/>
  <c r="Y325" i="29" s="1"/>
  <c r="I264" i="38"/>
  <c r="O325" i="29" s="1"/>
  <c r="L264" i="38"/>
  <c r="R325" i="29" s="1"/>
  <c r="N264" i="38"/>
  <c r="T325" i="29" s="1"/>
  <c r="N325" i="29"/>
  <c r="T264" i="38"/>
  <c r="Z325" i="29" s="1"/>
  <c r="R264" i="38"/>
  <c r="X325" i="29" s="1"/>
  <c r="O264" i="38"/>
  <c r="U325" i="29" s="1"/>
  <c r="B48" i="34"/>
  <c r="B49" i="34" s="1"/>
  <c r="B50" i="34" s="1"/>
  <c r="B51" i="34" s="1"/>
  <c r="B52" i="34"/>
  <c r="B213" i="34"/>
  <c r="B212" i="34"/>
  <c r="M45" i="23" l="1"/>
  <c r="M25" i="23"/>
  <c r="M115" i="7"/>
  <c r="N64" i="29"/>
  <c r="N53" i="29"/>
  <c r="N42" i="29"/>
  <c r="N213" i="31"/>
  <c r="Z213" i="31" s="1"/>
  <c r="N201" i="31"/>
  <c r="Z201" i="31" s="1"/>
  <c r="N58" i="31"/>
  <c r="AB58" i="31" s="1"/>
  <c r="N46" i="31"/>
  <c r="AB46" i="31" s="1"/>
  <c r="N524" i="31"/>
  <c r="AB524" i="31" s="1"/>
  <c r="N513" i="31"/>
  <c r="AB513" i="31" s="1"/>
  <c r="N502" i="31"/>
  <c r="AB502" i="31" s="1"/>
  <c r="N35" i="28"/>
  <c r="Z35" i="28" s="1"/>
  <c r="N73" i="4"/>
  <c r="AB73" i="4" s="1"/>
  <c r="N42" i="4"/>
  <c r="AB42" i="4" s="1"/>
  <c r="N30" i="55"/>
  <c r="AB30" i="55" s="1"/>
  <c r="N32" i="25"/>
  <c r="AB32" i="26"/>
  <c r="AA32" i="26"/>
  <c r="Z32" i="26"/>
  <c r="Y32" i="26"/>
  <c r="X32" i="26"/>
  <c r="W32" i="26"/>
  <c r="V32" i="26"/>
  <c r="U32" i="26"/>
  <c r="T32" i="26"/>
  <c r="S32" i="26"/>
  <c r="R32" i="26"/>
  <c r="Q32" i="26"/>
  <c r="P32" i="26"/>
  <c r="O32" i="26"/>
  <c r="N32" i="26"/>
  <c r="M83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65" i="1"/>
  <c r="M54" i="1"/>
  <c r="M43" i="1"/>
  <c r="M30" i="1"/>
  <c r="O201" i="31" l="1"/>
  <c r="T201" i="31"/>
  <c r="T213" i="31"/>
  <c r="P213" i="31"/>
  <c r="AA201" i="31"/>
  <c r="AA213" i="31"/>
  <c r="U502" i="31"/>
  <c r="O46" i="31"/>
  <c r="Y201" i="31"/>
  <c r="Q46" i="31"/>
  <c r="W46" i="31"/>
  <c r="P201" i="31"/>
  <c r="Q524" i="31"/>
  <c r="Q58" i="31"/>
  <c r="Q513" i="31"/>
  <c r="U524" i="31"/>
  <c r="U58" i="31"/>
  <c r="U213" i="31"/>
  <c r="Q502" i="31"/>
  <c r="U513" i="31"/>
  <c r="Y46" i="31"/>
  <c r="U201" i="31"/>
  <c r="O213" i="31"/>
  <c r="Y213" i="31"/>
  <c r="S35" i="28"/>
  <c r="N47" i="28"/>
  <c r="Q30" i="55"/>
  <c r="Q42" i="4"/>
  <c r="Q73" i="4"/>
  <c r="O35" i="28"/>
  <c r="T35" i="28"/>
  <c r="Y35" i="28"/>
  <c r="N61" i="28"/>
  <c r="X35" i="28"/>
  <c r="U30" i="55"/>
  <c r="U42" i="4"/>
  <c r="U73" i="4"/>
  <c r="P35" i="28"/>
  <c r="U35" i="28"/>
  <c r="AA35" i="28"/>
  <c r="Y502" i="31"/>
  <c r="Y513" i="31"/>
  <c r="Y524" i="31"/>
  <c r="S46" i="31"/>
  <c r="AA46" i="31"/>
  <c r="Y58" i="31"/>
  <c r="Q201" i="31"/>
  <c r="W201" i="31"/>
  <c r="AB201" i="31"/>
  <c r="Q213" i="31"/>
  <c r="W213" i="31"/>
  <c r="AB213" i="31"/>
  <c r="Y30" i="55"/>
  <c r="Y42" i="4"/>
  <c r="Y73" i="4"/>
  <c r="Q35" i="28"/>
  <c r="W35" i="28"/>
  <c r="AB35" i="28"/>
  <c r="U46" i="31"/>
  <c r="S201" i="31"/>
  <c r="X201" i="31"/>
  <c r="S213" i="31"/>
  <c r="X213" i="31"/>
  <c r="R213" i="31"/>
  <c r="V213" i="31"/>
  <c r="R201" i="31"/>
  <c r="V201" i="31"/>
  <c r="R58" i="31"/>
  <c r="V58" i="31"/>
  <c r="Z58" i="31"/>
  <c r="O58" i="31"/>
  <c r="S58" i="31"/>
  <c r="W58" i="31"/>
  <c r="AA58" i="31"/>
  <c r="P58" i="31"/>
  <c r="T58" i="31"/>
  <c r="X58" i="31"/>
  <c r="R46" i="31"/>
  <c r="V46" i="31"/>
  <c r="Z46" i="31"/>
  <c r="P46" i="31"/>
  <c r="T46" i="31"/>
  <c r="X46" i="31"/>
  <c r="R524" i="31"/>
  <c r="V524" i="31"/>
  <c r="Z524" i="31"/>
  <c r="O524" i="31"/>
  <c r="S524" i="31"/>
  <c r="W524" i="31"/>
  <c r="AA524" i="31"/>
  <c r="P524" i="31"/>
  <c r="T524" i="31"/>
  <c r="X524" i="31"/>
  <c r="R513" i="31"/>
  <c r="V513" i="31"/>
  <c r="Z513" i="31"/>
  <c r="O513" i="31"/>
  <c r="S513" i="31"/>
  <c r="W513" i="31"/>
  <c r="AA513" i="31"/>
  <c r="P513" i="31"/>
  <c r="T513" i="31"/>
  <c r="X513" i="31"/>
  <c r="R502" i="31"/>
  <c r="V502" i="31"/>
  <c r="Z502" i="31"/>
  <c r="O502" i="31"/>
  <c r="S502" i="31"/>
  <c r="W502" i="31"/>
  <c r="AA502" i="31"/>
  <c r="P502" i="31"/>
  <c r="T502" i="31"/>
  <c r="X502" i="31"/>
  <c r="R35" i="28"/>
  <c r="V35" i="28"/>
  <c r="R73" i="4"/>
  <c r="V73" i="4"/>
  <c r="Z73" i="4"/>
  <c r="O73" i="4"/>
  <c r="S73" i="4"/>
  <c r="W73" i="4"/>
  <c r="AA73" i="4"/>
  <c r="P73" i="4"/>
  <c r="T73" i="4"/>
  <c r="X73" i="4"/>
  <c r="R42" i="4"/>
  <c r="V42" i="4"/>
  <c r="Z42" i="4"/>
  <c r="O42" i="4"/>
  <c r="S42" i="4"/>
  <c r="W42" i="4"/>
  <c r="AA42" i="4"/>
  <c r="P42" i="4"/>
  <c r="T42" i="4"/>
  <c r="X42" i="4"/>
  <c r="R30" i="55"/>
  <c r="V30" i="55"/>
  <c r="Z30" i="55"/>
  <c r="O30" i="55"/>
  <c r="S30" i="55"/>
  <c r="W30" i="55"/>
  <c r="AA30" i="55"/>
  <c r="P30" i="55"/>
  <c r="T30" i="55"/>
  <c r="X30" i="55"/>
  <c r="T338" i="46"/>
  <c r="T322" i="46"/>
  <c r="R233" i="46"/>
  <c r="AA121" i="1" s="1"/>
  <c r="N217" i="46"/>
  <c r="W68" i="1" s="1"/>
  <c r="T230" i="46"/>
  <c r="T214" i="46"/>
  <c r="I13" i="23"/>
  <c r="I12" i="23"/>
  <c r="I11" i="23"/>
  <c r="I10" i="23"/>
  <c r="I15" i="32"/>
  <c r="I14" i="32"/>
  <c r="I13" i="32"/>
  <c r="I12" i="32"/>
  <c r="I11" i="32"/>
  <c r="I10" i="32"/>
  <c r="I18" i="7"/>
  <c r="I16" i="7"/>
  <c r="I14" i="7"/>
  <c r="I13" i="7"/>
  <c r="I12" i="7"/>
  <c r="I10" i="7"/>
  <c r="J16" i="29"/>
  <c r="J15" i="29"/>
  <c r="J14" i="29"/>
  <c r="J13" i="29"/>
  <c r="J12" i="29"/>
  <c r="J11" i="29"/>
  <c r="J10" i="29"/>
  <c r="J18" i="31"/>
  <c r="J17" i="31"/>
  <c r="J16" i="31"/>
  <c r="J15" i="31"/>
  <c r="J14" i="31"/>
  <c r="J13" i="31"/>
  <c r="J12" i="31"/>
  <c r="J11" i="31"/>
  <c r="J10" i="31"/>
  <c r="J13" i="28"/>
  <c r="J12" i="28"/>
  <c r="J11" i="28"/>
  <c r="J10" i="28"/>
  <c r="J11" i="55"/>
  <c r="J10" i="55"/>
  <c r="J11" i="26"/>
  <c r="I11" i="56"/>
  <c r="I10" i="56"/>
  <c r="X15" i="36"/>
  <c r="X14" i="36"/>
  <c r="E15" i="36"/>
  <c r="E14" i="36"/>
  <c r="Z24" i="1" s="1"/>
  <c r="Z67" i="1" s="1"/>
  <c r="H124" i="1"/>
  <c r="H123" i="1"/>
  <c r="M118" i="1"/>
  <c r="Z118" i="1" s="1"/>
  <c r="B118" i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H21" i="38"/>
  <c r="M119" i="1" s="1"/>
  <c r="H20" i="38"/>
  <c r="M66" i="1" s="1"/>
  <c r="J10" i="26"/>
  <c r="H71" i="1"/>
  <c r="H70" i="1"/>
  <c r="Y65" i="1"/>
  <c r="B65" i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I10" i="1"/>
  <c r="I17" i="1"/>
  <c r="I16" i="1"/>
  <c r="I15" i="1"/>
  <c r="I14" i="1"/>
  <c r="I13" i="1"/>
  <c r="I12" i="1"/>
  <c r="N33" i="29"/>
  <c r="AB33" i="29" s="1"/>
  <c r="M33" i="29"/>
  <c r="N32" i="29"/>
  <c r="AB32" i="29" s="1"/>
  <c r="M32" i="29"/>
  <c r="N31" i="29"/>
  <c r="M31" i="29"/>
  <c r="N30" i="29"/>
  <c r="AB30" i="29" s="1"/>
  <c r="M30" i="29"/>
  <c r="N29" i="29"/>
  <c r="M29" i="29"/>
  <c r="N28" i="29"/>
  <c r="M28" i="29"/>
  <c r="N27" i="29"/>
  <c r="AB27" i="29" s="1"/>
  <c r="M27" i="29"/>
  <c r="R338" i="46" l="1"/>
  <c r="O338" i="46"/>
  <c r="K338" i="46"/>
  <c r="G338" i="46"/>
  <c r="L338" i="46"/>
  <c r="M338" i="46"/>
  <c r="N338" i="46"/>
  <c r="Q338" i="46"/>
  <c r="E338" i="46"/>
  <c r="J338" i="46"/>
  <c r="P338" i="46"/>
  <c r="D338" i="46"/>
  <c r="F338" i="46"/>
  <c r="I338" i="46"/>
  <c r="H338" i="46"/>
  <c r="U28" i="29"/>
  <c r="U201" i="29" s="1"/>
  <c r="N98" i="29"/>
  <c r="N247" i="29"/>
  <c r="N394" i="29"/>
  <c r="N495" i="29"/>
  <c r="N297" i="29"/>
  <c r="N214" i="29"/>
  <c r="N444" i="29"/>
  <c r="N150" i="29"/>
  <c r="N176" i="29"/>
  <c r="K233" i="46"/>
  <c r="T121" i="1" s="1"/>
  <c r="D233" i="46"/>
  <c r="M121" i="1" s="1"/>
  <c r="P233" i="46"/>
  <c r="Y121" i="1" s="1"/>
  <c r="L233" i="46"/>
  <c r="U121" i="1" s="1"/>
  <c r="H233" i="46"/>
  <c r="Q121" i="1" s="1"/>
  <c r="G233" i="46"/>
  <c r="P121" i="1" s="1"/>
  <c r="O233" i="46"/>
  <c r="X121" i="1" s="1"/>
  <c r="U27" i="29"/>
  <c r="Q28" i="29"/>
  <c r="S24" i="1"/>
  <c r="S67" i="1" s="1"/>
  <c r="Y27" i="29"/>
  <c r="AA24" i="1"/>
  <c r="AA67" i="1" s="1"/>
  <c r="AB31" i="29"/>
  <c r="Y31" i="29"/>
  <c r="U31" i="29"/>
  <c r="Q31" i="29"/>
  <c r="I217" i="46"/>
  <c r="R68" i="1" s="1"/>
  <c r="P217" i="46"/>
  <c r="Y68" i="1" s="1"/>
  <c r="R217" i="46"/>
  <c r="AA68" i="1" s="1"/>
  <c r="M217" i="46"/>
  <c r="V68" i="1" s="1"/>
  <c r="G217" i="46"/>
  <c r="P68" i="1" s="1"/>
  <c r="O217" i="46"/>
  <c r="X68" i="1" s="1"/>
  <c r="J217" i="46"/>
  <c r="S68" i="1" s="1"/>
  <c r="E217" i="46"/>
  <c r="N68" i="1" s="1"/>
  <c r="Q217" i="46"/>
  <c r="Z68" i="1" s="1"/>
  <c r="K217" i="46"/>
  <c r="T68" i="1" s="1"/>
  <c r="F217" i="46"/>
  <c r="O68" i="1" s="1"/>
  <c r="E233" i="46"/>
  <c r="N121" i="1" s="1"/>
  <c r="I233" i="46"/>
  <c r="R121" i="1" s="1"/>
  <c r="M233" i="46"/>
  <c r="V121" i="1" s="1"/>
  <c r="Q233" i="46"/>
  <c r="Z121" i="1" s="1"/>
  <c r="T24" i="1"/>
  <c r="T67" i="1" s="1"/>
  <c r="Y30" i="29"/>
  <c r="Q32" i="29"/>
  <c r="O24" i="1"/>
  <c r="O67" i="1" s="1"/>
  <c r="W24" i="1"/>
  <c r="W67" i="1" s="1"/>
  <c r="Q27" i="29"/>
  <c r="AB28" i="29"/>
  <c r="N457" i="29"/>
  <c r="N348" i="29"/>
  <c r="N201" i="29"/>
  <c r="N163" i="29"/>
  <c r="AB29" i="29"/>
  <c r="N470" i="29"/>
  <c r="N361" i="29"/>
  <c r="N508" i="29"/>
  <c r="N323" i="29"/>
  <c r="U32" i="29"/>
  <c r="P24" i="1"/>
  <c r="P67" i="1" s="1"/>
  <c r="X24" i="1"/>
  <c r="X67" i="1" s="1"/>
  <c r="M24" i="1"/>
  <c r="M67" i="1" s="1"/>
  <c r="F233" i="46"/>
  <c r="O121" i="1" s="1"/>
  <c r="J233" i="46"/>
  <c r="S121" i="1" s="1"/>
  <c r="N233" i="46"/>
  <c r="W121" i="1" s="1"/>
  <c r="P65" i="1"/>
  <c r="S118" i="1"/>
  <c r="V65" i="1"/>
  <c r="AA118" i="1"/>
  <c r="AA65" i="1"/>
  <c r="R65" i="1"/>
  <c r="W65" i="1"/>
  <c r="T118" i="1"/>
  <c r="N65" i="1"/>
  <c r="S65" i="1"/>
  <c r="X65" i="1"/>
  <c r="O118" i="1"/>
  <c r="W118" i="1"/>
  <c r="O65" i="1"/>
  <c r="T65" i="1"/>
  <c r="Z65" i="1"/>
  <c r="P118" i="1"/>
  <c r="X118" i="1"/>
  <c r="D217" i="46"/>
  <c r="M68" i="1" s="1"/>
  <c r="H217" i="46"/>
  <c r="Q68" i="1" s="1"/>
  <c r="L217" i="46"/>
  <c r="U68" i="1" s="1"/>
  <c r="Q24" i="1"/>
  <c r="Q67" i="1" s="1"/>
  <c r="U24" i="1"/>
  <c r="U67" i="1" s="1"/>
  <c r="Y24" i="1"/>
  <c r="Y67" i="1" s="1"/>
  <c r="N24" i="1"/>
  <c r="N67" i="1" s="1"/>
  <c r="R24" i="1"/>
  <c r="R67" i="1" s="1"/>
  <c r="V24" i="1"/>
  <c r="V67" i="1" s="1"/>
  <c r="Y118" i="1"/>
  <c r="Q118" i="1"/>
  <c r="U118" i="1"/>
  <c r="N118" i="1"/>
  <c r="R118" i="1"/>
  <c r="V118" i="1"/>
  <c r="V20" i="38"/>
  <c r="AA66" i="1" s="1"/>
  <c r="R20" i="38"/>
  <c r="W66" i="1" s="1"/>
  <c r="N20" i="38"/>
  <c r="S66" i="1" s="1"/>
  <c r="J20" i="38"/>
  <c r="O66" i="1" s="1"/>
  <c r="U20" i="38"/>
  <c r="Z66" i="1" s="1"/>
  <c r="Q20" i="38"/>
  <c r="V66" i="1" s="1"/>
  <c r="M20" i="38"/>
  <c r="R66" i="1" s="1"/>
  <c r="I20" i="38"/>
  <c r="N66" i="1" s="1"/>
  <c r="T20" i="38"/>
  <c r="Y66" i="1" s="1"/>
  <c r="P20" i="38"/>
  <c r="U66" i="1" s="1"/>
  <c r="L20" i="38"/>
  <c r="Q66" i="1" s="1"/>
  <c r="S20" i="38"/>
  <c r="X66" i="1" s="1"/>
  <c r="O20" i="38"/>
  <c r="T66" i="1" s="1"/>
  <c r="K20" i="38"/>
  <c r="P66" i="1" s="1"/>
  <c r="V21" i="38"/>
  <c r="AA119" i="1" s="1"/>
  <c r="R21" i="38"/>
  <c r="W119" i="1" s="1"/>
  <c r="N21" i="38"/>
  <c r="S119" i="1" s="1"/>
  <c r="J21" i="38"/>
  <c r="O119" i="1" s="1"/>
  <c r="U21" i="38"/>
  <c r="Z119" i="1" s="1"/>
  <c r="Q21" i="38"/>
  <c r="V119" i="1" s="1"/>
  <c r="M21" i="38"/>
  <c r="R119" i="1" s="1"/>
  <c r="I21" i="38"/>
  <c r="N119" i="1" s="1"/>
  <c r="T21" i="38"/>
  <c r="Y119" i="1" s="1"/>
  <c r="P21" i="38"/>
  <c r="U119" i="1" s="1"/>
  <c r="L21" i="38"/>
  <c r="Q119" i="1" s="1"/>
  <c r="S21" i="38"/>
  <c r="X119" i="1" s="1"/>
  <c r="O21" i="38"/>
  <c r="T119" i="1" s="1"/>
  <c r="K21" i="38"/>
  <c r="P119" i="1" s="1"/>
  <c r="Q65" i="1"/>
  <c r="U65" i="1"/>
  <c r="Q29" i="29"/>
  <c r="Q33" i="29"/>
  <c r="Y28" i="29"/>
  <c r="U29" i="29"/>
  <c r="Q30" i="29"/>
  <c r="Y32" i="29"/>
  <c r="U33" i="29"/>
  <c r="Y29" i="29"/>
  <c r="U30" i="29"/>
  <c r="Y33" i="29"/>
  <c r="R27" i="29"/>
  <c r="V27" i="29"/>
  <c r="Z27" i="29"/>
  <c r="R28" i="29"/>
  <c r="V28" i="29"/>
  <c r="Z28" i="29"/>
  <c r="R29" i="29"/>
  <c r="V29" i="29"/>
  <c r="Z29" i="29"/>
  <c r="R30" i="29"/>
  <c r="V30" i="29"/>
  <c r="Z30" i="29"/>
  <c r="R31" i="29"/>
  <c r="V31" i="29"/>
  <c r="Z31" i="29"/>
  <c r="R32" i="29"/>
  <c r="V32" i="29"/>
  <c r="Z32" i="29"/>
  <c r="R33" i="29"/>
  <c r="V33" i="29"/>
  <c r="Z33" i="29"/>
  <c r="O27" i="29"/>
  <c r="S27" i="29"/>
  <c r="W27" i="29"/>
  <c r="AA27" i="29"/>
  <c r="O28" i="29"/>
  <c r="S28" i="29"/>
  <c r="W28" i="29"/>
  <c r="AA28" i="29"/>
  <c r="O29" i="29"/>
  <c r="S29" i="29"/>
  <c r="W29" i="29"/>
  <c r="AA29" i="29"/>
  <c r="O30" i="29"/>
  <c r="S30" i="29"/>
  <c r="W30" i="29"/>
  <c r="AA30" i="29"/>
  <c r="O31" i="29"/>
  <c r="S31" i="29"/>
  <c r="W31" i="29"/>
  <c r="AA31" i="29"/>
  <c r="O32" i="29"/>
  <c r="S32" i="29"/>
  <c r="W32" i="29"/>
  <c r="AA32" i="29"/>
  <c r="O33" i="29"/>
  <c r="S33" i="29"/>
  <c r="W33" i="29"/>
  <c r="AA33" i="29"/>
  <c r="P27" i="29"/>
  <c r="T27" i="29"/>
  <c r="X27" i="29"/>
  <c r="P28" i="29"/>
  <c r="T28" i="29"/>
  <c r="X28" i="29"/>
  <c r="P29" i="29"/>
  <c r="T29" i="29"/>
  <c r="X29" i="29"/>
  <c r="P30" i="29"/>
  <c r="T30" i="29"/>
  <c r="X30" i="29"/>
  <c r="P31" i="29"/>
  <c r="T31" i="29"/>
  <c r="X31" i="29"/>
  <c r="P32" i="29"/>
  <c r="T32" i="29"/>
  <c r="X32" i="29"/>
  <c r="P33" i="29"/>
  <c r="T33" i="29"/>
  <c r="X33" i="29"/>
  <c r="U348" i="29" l="1"/>
  <c r="U457" i="29"/>
  <c r="U163" i="29"/>
  <c r="T394" i="29"/>
  <c r="T495" i="29"/>
  <c r="T98" i="29"/>
  <c r="T247" i="29"/>
  <c r="O297" i="29"/>
  <c r="O444" i="29"/>
  <c r="O150" i="29"/>
  <c r="O176" i="29"/>
  <c r="O214" i="29"/>
  <c r="U297" i="29"/>
  <c r="U176" i="29"/>
  <c r="U214" i="29"/>
  <c r="U444" i="29"/>
  <c r="U150" i="29"/>
  <c r="Q348" i="29"/>
  <c r="Q495" i="29"/>
  <c r="Q98" i="29"/>
  <c r="Q247" i="29"/>
  <c r="Q394" i="29"/>
  <c r="T297" i="29"/>
  <c r="T150" i="29"/>
  <c r="T176" i="29"/>
  <c r="T214" i="29"/>
  <c r="T444" i="29"/>
  <c r="P394" i="29"/>
  <c r="P495" i="29"/>
  <c r="P98" i="29"/>
  <c r="P247" i="29"/>
  <c r="AA297" i="29"/>
  <c r="AA444" i="29"/>
  <c r="AA150" i="29"/>
  <c r="AA176" i="29"/>
  <c r="AA214" i="29"/>
  <c r="AA247" i="29"/>
  <c r="AA394" i="29"/>
  <c r="AA495" i="29"/>
  <c r="AA98" i="29"/>
  <c r="Z297" i="29"/>
  <c r="Z214" i="29"/>
  <c r="Z444" i="29"/>
  <c r="Z150" i="29"/>
  <c r="Z176" i="29"/>
  <c r="V98" i="29"/>
  <c r="V247" i="29"/>
  <c r="V394" i="29"/>
  <c r="V495" i="29"/>
  <c r="Y495" i="29"/>
  <c r="Y98" i="29"/>
  <c r="Y247" i="29"/>
  <c r="Y394" i="29"/>
  <c r="AB297" i="29"/>
  <c r="AB150" i="29"/>
  <c r="AB176" i="29"/>
  <c r="AB214" i="29"/>
  <c r="AB444" i="29"/>
  <c r="X297" i="29"/>
  <c r="X150" i="29"/>
  <c r="X176" i="29"/>
  <c r="X214" i="29"/>
  <c r="X444" i="29"/>
  <c r="Z98" i="29"/>
  <c r="Z247" i="29"/>
  <c r="Z394" i="29"/>
  <c r="Z495" i="29"/>
  <c r="Y297" i="29"/>
  <c r="Y176" i="29"/>
  <c r="Y214" i="29"/>
  <c r="Y444" i="29"/>
  <c r="Y150" i="29"/>
  <c r="P297" i="29"/>
  <c r="P150" i="29"/>
  <c r="P176" i="29"/>
  <c r="P214" i="29"/>
  <c r="P444" i="29"/>
  <c r="W297" i="29"/>
  <c r="W444" i="29"/>
  <c r="W150" i="29"/>
  <c r="W176" i="29"/>
  <c r="W214" i="29"/>
  <c r="W247" i="29"/>
  <c r="W394" i="29"/>
  <c r="W495" i="29"/>
  <c r="W98" i="29"/>
  <c r="V297" i="29"/>
  <c r="V214" i="29"/>
  <c r="V444" i="29"/>
  <c r="V150" i="29"/>
  <c r="V176" i="29"/>
  <c r="R98" i="29"/>
  <c r="R247" i="29"/>
  <c r="R394" i="29"/>
  <c r="R495" i="29"/>
  <c r="AB394" i="29"/>
  <c r="AB495" i="29"/>
  <c r="AB98" i="29"/>
  <c r="AB247" i="29"/>
  <c r="O247" i="29"/>
  <c r="O394" i="29"/>
  <c r="O495" i="29"/>
  <c r="O98" i="29"/>
  <c r="X394" i="29"/>
  <c r="X495" i="29"/>
  <c r="X98" i="29"/>
  <c r="X247" i="29"/>
  <c r="S297" i="29"/>
  <c r="S444" i="29"/>
  <c r="S150" i="29"/>
  <c r="S176" i="29"/>
  <c r="S214" i="29"/>
  <c r="S247" i="29"/>
  <c r="S394" i="29"/>
  <c r="S495" i="29"/>
  <c r="S98" i="29"/>
  <c r="R297" i="29"/>
  <c r="R214" i="29"/>
  <c r="R444" i="29"/>
  <c r="R150" i="29"/>
  <c r="R176" i="29"/>
  <c r="Q297" i="29"/>
  <c r="Q176" i="29"/>
  <c r="Q214" i="29"/>
  <c r="Q444" i="29"/>
  <c r="Q150" i="29"/>
  <c r="U495" i="29"/>
  <c r="U98" i="29"/>
  <c r="U247" i="29"/>
  <c r="U394" i="29"/>
  <c r="Q201" i="29"/>
  <c r="Q457" i="29"/>
  <c r="Q163" i="29"/>
  <c r="S348" i="29"/>
  <c r="S457" i="29"/>
  <c r="S201" i="29"/>
  <c r="S163" i="29"/>
  <c r="T508" i="29"/>
  <c r="T323" i="29"/>
  <c r="T361" i="29"/>
  <c r="T470" i="29"/>
  <c r="P163" i="29"/>
  <c r="P348" i="29"/>
  <c r="P457" i="29"/>
  <c r="P201" i="29"/>
  <c r="AA470" i="29"/>
  <c r="AA361" i="29"/>
  <c r="AA508" i="29"/>
  <c r="AA323" i="29"/>
  <c r="AA348" i="29"/>
  <c r="AA457" i="29"/>
  <c r="AA201" i="29"/>
  <c r="AA163" i="29"/>
  <c r="Z470" i="29"/>
  <c r="Z361" i="29"/>
  <c r="Z508" i="29"/>
  <c r="Z323" i="29"/>
  <c r="V457" i="29"/>
  <c r="V348" i="29"/>
  <c r="V201" i="29"/>
  <c r="V163" i="29"/>
  <c r="Y163" i="29"/>
  <c r="Y457" i="29"/>
  <c r="Y348" i="29"/>
  <c r="Y201" i="29"/>
  <c r="AB508" i="29"/>
  <c r="AB323" i="29"/>
  <c r="AB361" i="29"/>
  <c r="AB470" i="29"/>
  <c r="P508" i="29"/>
  <c r="P323" i="29"/>
  <c r="P470" i="29"/>
  <c r="P361" i="29"/>
  <c r="W470" i="29"/>
  <c r="W361" i="29"/>
  <c r="W508" i="29"/>
  <c r="W323" i="29"/>
  <c r="W457" i="29"/>
  <c r="W201" i="29"/>
  <c r="W163" i="29"/>
  <c r="W348" i="29"/>
  <c r="V470" i="29"/>
  <c r="V361" i="29"/>
  <c r="V508" i="29"/>
  <c r="V323" i="29"/>
  <c r="R457" i="29"/>
  <c r="R348" i="29"/>
  <c r="R201" i="29"/>
  <c r="R163" i="29"/>
  <c r="AB163" i="29"/>
  <c r="AB457" i="29"/>
  <c r="AB201" i="29"/>
  <c r="AB348" i="29"/>
  <c r="X163" i="29"/>
  <c r="X348" i="29"/>
  <c r="X457" i="29"/>
  <c r="X201" i="29"/>
  <c r="S470" i="29"/>
  <c r="S361" i="29"/>
  <c r="S508" i="29"/>
  <c r="S323" i="29"/>
  <c r="R470" i="29"/>
  <c r="R361" i="29"/>
  <c r="R323" i="29"/>
  <c r="R508" i="29"/>
  <c r="Q508" i="29"/>
  <c r="Q361" i="29"/>
  <c r="Q323" i="29"/>
  <c r="Q470" i="29"/>
  <c r="X508" i="29"/>
  <c r="X323" i="29"/>
  <c r="X470" i="29"/>
  <c r="X361" i="29"/>
  <c r="T163" i="29"/>
  <c r="T457" i="29"/>
  <c r="T201" i="29"/>
  <c r="T348" i="29"/>
  <c r="O470" i="29"/>
  <c r="O361" i="29"/>
  <c r="O508" i="29"/>
  <c r="O323" i="29"/>
  <c r="O457" i="29"/>
  <c r="O201" i="29"/>
  <c r="O163" i="29"/>
  <c r="O348" i="29"/>
  <c r="Z457" i="29"/>
  <c r="Z348" i="29"/>
  <c r="Z201" i="29"/>
  <c r="Z163" i="29"/>
  <c r="Y508" i="29"/>
  <c r="Y361" i="29"/>
  <c r="Y323" i="29"/>
  <c r="Y470" i="29"/>
  <c r="U323" i="29"/>
  <c r="U470" i="29"/>
  <c r="U508" i="29"/>
  <c r="U361" i="29"/>
  <c r="AD146" i="55"/>
  <c r="AD147" i="55" s="1"/>
  <c r="AD133" i="55"/>
  <c r="AD134" i="55" s="1"/>
  <c r="AD108" i="55"/>
  <c r="AD109" i="55" s="1"/>
  <c r="AD95" i="55"/>
  <c r="AD96" i="55" s="1"/>
  <c r="AD153" i="26"/>
  <c r="AD154" i="26" s="1"/>
  <c r="AD139" i="26"/>
  <c r="AD140" i="26" s="1"/>
  <c r="AD113" i="26"/>
  <c r="AD114" i="26" s="1"/>
  <c r="AD99" i="26"/>
  <c r="AD100" i="26" s="1"/>
  <c r="N146" i="55"/>
  <c r="N133" i="55"/>
  <c r="N121" i="55"/>
  <c r="N108" i="55"/>
  <c r="N95" i="55"/>
  <c r="N82" i="55"/>
  <c r="N68" i="55"/>
  <c r="N55" i="55"/>
  <c r="N43" i="55"/>
  <c r="N22" i="55"/>
  <c r="X22" i="55" s="1"/>
  <c r="N21" i="55"/>
  <c r="N56" i="55" s="1"/>
  <c r="N20" i="55"/>
  <c r="N19" i="55"/>
  <c r="Y19" i="55" s="1"/>
  <c r="N18" i="55"/>
  <c r="N17" i="55"/>
  <c r="N16" i="55"/>
  <c r="AB16" i="55" s="1"/>
  <c r="M22" i="55"/>
  <c r="M21" i="55"/>
  <c r="M20" i="55"/>
  <c r="M19" i="55"/>
  <c r="M18" i="55"/>
  <c r="M17" i="55"/>
  <c r="M16" i="55"/>
  <c r="I154" i="55"/>
  <c r="I153" i="55"/>
  <c r="B146" i="55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I141" i="55"/>
  <c r="I140" i="55"/>
  <c r="B133" i="55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I128" i="55"/>
  <c r="I127" i="55"/>
  <c r="AD121" i="55"/>
  <c r="AD122" i="55" s="1"/>
  <c r="B121" i="55"/>
  <c r="I116" i="55"/>
  <c r="I115" i="55"/>
  <c r="B108" i="55"/>
  <c r="B109" i="55" s="1"/>
  <c r="B110" i="55" s="1"/>
  <c r="B111" i="55" s="1"/>
  <c r="B112" i="55" s="1"/>
  <c r="B113" i="55" s="1"/>
  <c r="B114" i="55" s="1"/>
  <c r="B115" i="55" s="1"/>
  <c r="B116" i="55" s="1"/>
  <c r="B117" i="55" s="1"/>
  <c r="B118" i="55" s="1"/>
  <c r="B119" i="55" s="1"/>
  <c r="B120" i="55" s="1"/>
  <c r="I103" i="55"/>
  <c r="I102" i="55"/>
  <c r="B95" i="55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I90" i="55"/>
  <c r="I89" i="55"/>
  <c r="AD82" i="55"/>
  <c r="AD83" i="55" s="1"/>
  <c r="B82" i="55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I77" i="55"/>
  <c r="I76" i="55"/>
  <c r="AD68" i="55"/>
  <c r="AD69" i="55" s="1"/>
  <c r="B68" i="55"/>
  <c r="I63" i="55"/>
  <c r="I62" i="55"/>
  <c r="AD55" i="55"/>
  <c r="AD56" i="55" s="1"/>
  <c r="B55" i="55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I50" i="55"/>
  <c r="I49" i="55"/>
  <c r="AD43" i="55"/>
  <c r="AD44" i="55" s="1"/>
  <c r="B43" i="55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I38" i="55"/>
  <c r="I37" i="55"/>
  <c r="AD30" i="55"/>
  <c r="AD31" i="55" s="1"/>
  <c r="B30" i="55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AD27" i="55"/>
  <c r="N24" i="25"/>
  <c r="AB24" i="25" s="1"/>
  <c r="M24" i="25"/>
  <c r="N23" i="25"/>
  <c r="M23" i="25"/>
  <c r="N22" i="25"/>
  <c r="M22" i="25"/>
  <c r="N21" i="25"/>
  <c r="M21" i="25"/>
  <c r="N19" i="25"/>
  <c r="M19" i="25"/>
  <c r="AB18" i="25"/>
  <c r="M18" i="25"/>
  <c r="N16" i="25"/>
  <c r="AB16" i="25" s="1"/>
  <c r="M16" i="25"/>
  <c r="AB21" i="25" l="1"/>
  <c r="AB33" i="25"/>
  <c r="AB100" i="25"/>
  <c r="AB140" i="25"/>
  <c r="N147" i="55"/>
  <c r="N83" i="55"/>
  <c r="N109" i="55"/>
  <c r="B122" i="55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AB19" i="25"/>
  <c r="N114" i="25"/>
  <c r="N154" i="25"/>
  <c r="N86" i="25"/>
  <c r="AB22" i="25"/>
  <c r="N73" i="25"/>
  <c r="N72" i="25"/>
  <c r="AB23" i="25"/>
  <c r="AB59" i="25" s="1"/>
  <c r="N59" i="25"/>
  <c r="X20" i="55"/>
  <c r="N69" i="55"/>
  <c r="N70" i="55"/>
  <c r="B69" i="55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AA18" i="55"/>
  <c r="N31" i="55"/>
  <c r="N96" i="55"/>
  <c r="Y22" i="25"/>
  <c r="Q19" i="55"/>
  <c r="T16" i="55"/>
  <c r="AB17" i="55"/>
  <c r="Y17" i="55"/>
  <c r="U17" i="55"/>
  <c r="Q17" i="55"/>
  <c r="R17" i="55"/>
  <c r="Z17" i="55"/>
  <c r="O17" i="55"/>
  <c r="S17" i="55"/>
  <c r="W17" i="55"/>
  <c r="AA17" i="55"/>
  <c r="V17" i="55"/>
  <c r="N134" i="55"/>
  <c r="P17" i="55"/>
  <c r="T17" i="55"/>
  <c r="X17" i="55"/>
  <c r="Q22" i="25"/>
  <c r="Y20" i="55"/>
  <c r="AA22" i="55"/>
  <c r="T19" i="55"/>
  <c r="AA19" i="55"/>
  <c r="P20" i="55"/>
  <c r="Q22" i="55"/>
  <c r="S18" i="55"/>
  <c r="O19" i="55"/>
  <c r="U19" i="55"/>
  <c r="AB19" i="55"/>
  <c r="S20" i="55"/>
  <c r="S22" i="55"/>
  <c r="P19" i="55"/>
  <c r="W19" i="55"/>
  <c r="Z21" i="55"/>
  <c r="Z56" i="55" s="1"/>
  <c r="AA21" i="55"/>
  <c r="AA56" i="55" s="1"/>
  <c r="U21" i="55"/>
  <c r="U56" i="55" s="1"/>
  <c r="P21" i="55"/>
  <c r="P56" i="55" s="1"/>
  <c r="Y21" i="55"/>
  <c r="Y56" i="55" s="1"/>
  <c r="S21" i="55"/>
  <c r="S56" i="55" s="1"/>
  <c r="X21" i="55"/>
  <c r="X56" i="55" s="1"/>
  <c r="Q21" i="55"/>
  <c r="Q56" i="55" s="1"/>
  <c r="W21" i="55"/>
  <c r="W56" i="55" s="1"/>
  <c r="O21" i="55"/>
  <c r="O56" i="55" s="1"/>
  <c r="T21" i="55"/>
  <c r="T56" i="55" s="1"/>
  <c r="AB21" i="55"/>
  <c r="AB56" i="55" s="1"/>
  <c r="Z16" i="55"/>
  <c r="R16" i="55"/>
  <c r="V16" i="55"/>
  <c r="Z18" i="55"/>
  <c r="Y18" i="55"/>
  <c r="T18" i="55"/>
  <c r="O18" i="55"/>
  <c r="U18" i="55"/>
  <c r="AB18" i="55"/>
  <c r="O16" i="55"/>
  <c r="W16" i="55"/>
  <c r="P18" i="55"/>
  <c r="W18" i="55"/>
  <c r="Z20" i="55"/>
  <c r="AB20" i="55"/>
  <c r="W20" i="55"/>
  <c r="Q20" i="55"/>
  <c r="T20" i="55"/>
  <c r="AA20" i="55"/>
  <c r="Y22" i="55"/>
  <c r="T22" i="55"/>
  <c r="O22" i="55"/>
  <c r="U22" i="55"/>
  <c r="AB22" i="55"/>
  <c r="P16" i="55"/>
  <c r="AA16" i="55"/>
  <c r="Q18" i="55"/>
  <c r="X18" i="55"/>
  <c r="O20" i="55"/>
  <c r="U20" i="55"/>
  <c r="P22" i="55"/>
  <c r="W22" i="55"/>
  <c r="S19" i="55"/>
  <c r="X19" i="55"/>
  <c r="Y16" i="55"/>
  <c r="U16" i="55"/>
  <c r="Q16" i="55"/>
  <c r="S16" i="55"/>
  <c r="X16" i="55"/>
  <c r="R18" i="55"/>
  <c r="V18" i="55"/>
  <c r="R19" i="55"/>
  <c r="V19" i="55"/>
  <c r="Z19" i="55"/>
  <c r="R20" i="55"/>
  <c r="V20" i="55"/>
  <c r="R21" i="55"/>
  <c r="R56" i="55" s="1"/>
  <c r="V21" i="55"/>
  <c r="V56" i="55" s="1"/>
  <c r="R22" i="55"/>
  <c r="V22" i="55"/>
  <c r="Z22" i="55"/>
  <c r="Q16" i="25"/>
  <c r="U21" i="25"/>
  <c r="Y16" i="25"/>
  <c r="U16" i="25"/>
  <c r="Y19" i="25"/>
  <c r="Y21" i="25"/>
  <c r="U22" i="25"/>
  <c r="Q18" i="25"/>
  <c r="Q23" i="25"/>
  <c r="Q59" i="25" s="1"/>
  <c r="U18" i="25"/>
  <c r="Q19" i="25"/>
  <c r="U23" i="25"/>
  <c r="U59" i="25" s="1"/>
  <c r="Q24" i="25"/>
  <c r="Y18" i="25"/>
  <c r="U19" i="25"/>
  <c r="Q21" i="25"/>
  <c r="Y23" i="25"/>
  <c r="Y59" i="25" s="1"/>
  <c r="U24" i="25"/>
  <c r="Y24" i="25"/>
  <c r="R16" i="25"/>
  <c r="V16" i="25"/>
  <c r="Z16" i="25"/>
  <c r="R18" i="25"/>
  <c r="R19" i="25"/>
  <c r="Z19" i="25"/>
  <c r="R21" i="25"/>
  <c r="V21" i="25"/>
  <c r="Z21" i="25"/>
  <c r="V23" i="25"/>
  <c r="V59" i="25" s="1"/>
  <c r="R24" i="25"/>
  <c r="V24" i="25"/>
  <c r="Z24" i="25"/>
  <c r="V18" i="25"/>
  <c r="Z18" i="25"/>
  <c r="V19" i="25"/>
  <c r="R22" i="25"/>
  <c r="V22" i="25"/>
  <c r="Z22" i="25"/>
  <c r="R23" i="25"/>
  <c r="R59" i="25" s="1"/>
  <c r="Z23" i="25"/>
  <c r="Z59" i="25" s="1"/>
  <c r="O16" i="25"/>
  <c r="S16" i="25"/>
  <c r="W16" i="25"/>
  <c r="AA16" i="25"/>
  <c r="O18" i="25"/>
  <c r="S18" i="25"/>
  <c r="W18" i="25"/>
  <c r="AA18" i="25"/>
  <c r="O19" i="25"/>
  <c r="S19" i="25"/>
  <c r="W19" i="25"/>
  <c r="AA19" i="25"/>
  <c r="O21" i="25"/>
  <c r="S21" i="25"/>
  <c r="W21" i="25"/>
  <c r="AA21" i="25"/>
  <c r="O22" i="25"/>
  <c r="S22" i="25"/>
  <c r="W22" i="25"/>
  <c r="AA22" i="25"/>
  <c r="O23" i="25"/>
  <c r="O59" i="25" s="1"/>
  <c r="S23" i="25"/>
  <c r="S59" i="25" s="1"/>
  <c r="W23" i="25"/>
  <c r="W59" i="25" s="1"/>
  <c r="AA23" i="25"/>
  <c r="AA59" i="25" s="1"/>
  <c r="O24" i="25"/>
  <c r="S24" i="25"/>
  <c r="W24" i="25"/>
  <c r="AA24" i="25"/>
  <c r="P16" i="25"/>
  <c r="T16" i="25"/>
  <c r="X16" i="25"/>
  <c r="P18" i="25"/>
  <c r="T18" i="25"/>
  <c r="X18" i="25"/>
  <c r="P19" i="25"/>
  <c r="T19" i="25"/>
  <c r="X19" i="25"/>
  <c r="P21" i="25"/>
  <c r="T21" i="25"/>
  <c r="X21" i="25"/>
  <c r="P22" i="25"/>
  <c r="T22" i="25"/>
  <c r="X22" i="25"/>
  <c r="P23" i="25"/>
  <c r="P59" i="25" s="1"/>
  <c r="T23" i="25"/>
  <c r="T59" i="25" s="1"/>
  <c r="X23" i="25"/>
  <c r="X59" i="25" s="1"/>
  <c r="P24" i="25"/>
  <c r="T24" i="25"/>
  <c r="X24" i="25"/>
  <c r="T33" i="25" l="1"/>
  <c r="T100" i="25"/>
  <c r="T140" i="25"/>
  <c r="O33" i="25"/>
  <c r="O100" i="25"/>
  <c r="O140" i="25"/>
  <c r="V33" i="25"/>
  <c r="V100" i="25"/>
  <c r="V140" i="25"/>
  <c r="P33" i="25"/>
  <c r="P100" i="25"/>
  <c r="P140" i="25"/>
  <c r="AA33" i="25"/>
  <c r="AA140" i="25"/>
  <c r="AA100" i="25"/>
  <c r="Q33" i="25"/>
  <c r="Q140" i="25"/>
  <c r="Q100" i="25"/>
  <c r="W33" i="25"/>
  <c r="W140" i="25"/>
  <c r="W100" i="25"/>
  <c r="R33" i="25"/>
  <c r="R100" i="25"/>
  <c r="R140" i="25"/>
  <c r="X33" i="25"/>
  <c r="X100" i="25"/>
  <c r="X140" i="25"/>
  <c r="S33" i="25"/>
  <c r="S100" i="25"/>
  <c r="S140" i="25"/>
  <c r="Z33" i="25"/>
  <c r="Z100" i="25"/>
  <c r="Z140" i="25"/>
  <c r="Y33" i="25"/>
  <c r="Y100" i="25"/>
  <c r="Y140" i="25"/>
  <c r="U33" i="25"/>
  <c r="U140" i="25"/>
  <c r="U100" i="25"/>
  <c r="V147" i="55"/>
  <c r="V83" i="55"/>
  <c r="V109" i="55"/>
  <c r="Q109" i="55"/>
  <c r="Q147" i="55"/>
  <c r="Q83" i="55"/>
  <c r="O83" i="55"/>
  <c r="O109" i="55"/>
  <c r="O147" i="55"/>
  <c r="R147" i="55"/>
  <c r="R83" i="55"/>
  <c r="R109" i="55"/>
  <c r="T83" i="55"/>
  <c r="T109" i="55"/>
  <c r="T147" i="55"/>
  <c r="W83" i="55"/>
  <c r="W109" i="55"/>
  <c r="W147" i="55"/>
  <c r="AB83" i="55"/>
  <c r="AB109" i="55"/>
  <c r="AB147" i="55"/>
  <c r="Y109" i="55"/>
  <c r="Y147" i="55"/>
  <c r="Y83" i="55"/>
  <c r="S83" i="55"/>
  <c r="S109" i="55"/>
  <c r="S147" i="55"/>
  <c r="X83" i="55"/>
  <c r="X109" i="55"/>
  <c r="X147" i="55"/>
  <c r="P83" i="55"/>
  <c r="P109" i="55"/>
  <c r="P147" i="55"/>
  <c r="U109" i="55"/>
  <c r="U147" i="55"/>
  <c r="U83" i="55"/>
  <c r="Z147" i="55"/>
  <c r="Z83" i="55"/>
  <c r="Z109" i="55"/>
  <c r="AA83" i="55"/>
  <c r="AA109" i="55"/>
  <c r="AA147" i="55"/>
  <c r="T73" i="25"/>
  <c r="T72" i="25"/>
  <c r="X154" i="25"/>
  <c r="X86" i="25"/>
  <c r="X114" i="25"/>
  <c r="Z114" i="25"/>
  <c r="Z154" i="25"/>
  <c r="Z86" i="25"/>
  <c r="Y154" i="25"/>
  <c r="Y114" i="25"/>
  <c r="Y86" i="25"/>
  <c r="Q72" i="25"/>
  <c r="Q73" i="25"/>
  <c r="S72" i="25"/>
  <c r="S73" i="25"/>
  <c r="S86" i="25"/>
  <c r="S154" i="25"/>
  <c r="S114" i="25"/>
  <c r="P73" i="25"/>
  <c r="P72" i="25"/>
  <c r="O86" i="25"/>
  <c r="O114" i="25"/>
  <c r="O154" i="25"/>
  <c r="T86" i="25"/>
  <c r="T154" i="25"/>
  <c r="T114" i="25"/>
  <c r="AA72" i="25"/>
  <c r="AA73" i="25"/>
  <c r="AA86" i="25"/>
  <c r="AA114" i="25"/>
  <c r="AA154" i="25"/>
  <c r="R72" i="25"/>
  <c r="R73" i="25"/>
  <c r="R114" i="25"/>
  <c r="R86" i="25"/>
  <c r="R154" i="25"/>
  <c r="Z72" i="25"/>
  <c r="Z73" i="25"/>
  <c r="O72" i="25"/>
  <c r="O73" i="25"/>
  <c r="V73" i="25"/>
  <c r="V72" i="25"/>
  <c r="X73" i="25"/>
  <c r="X72" i="25"/>
  <c r="P154" i="25"/>
  <c r="P114" i="25"/>
  <c r="P86" i="25"/>
  <c r="W72" i="25"/>
  <c r="W73" i="25"/>
  <c r="W86" i="25"/>
  <c r="W114" i="25"/>
  <c r="W154" i="25"/>
  <c r="V114" i="25"/>
  <c r="V86" i="25"/>
  <c r="V154" i="25"/>
  <c r="U154" i="25"/>
  <c r="U114" i="25"/>
  <c r="U86" i="25"/>
  <c r="Q154" i="25"/>
  <c r="Q114" i="25"/>
  <c r="Q86" i="25"/>
  <c r="U73" i="25"/>
  <c r="U72" i="25"/>
  <c r="Y72" i="25"/>
  <c r="Y73" i="25"/>
  <c r="AB73" i="25"/>
  <c r="AB72" i="25"/>
  <c r="AB154" i="25"/>
  <c r="AB114" i="25"/>
  <c r="AB86" i="25"/>
  <c r="V69" i="55"/>
  <c r="V70" i="55"/>
  <c r="W69" i="55"/>
  <c r="W70" i="55"/>
  <c r="R69" i="55"/>
  <c r="R70" i="55"/>
  <c r="AA69" i="55"/>
  <c r="AA70" i="55"/>
  <c r="AB70" i="55"/>
  <c r="AB69" i="55"/>
  <c r="P70" i="55"/>
  <c r="P69" i="55"/>
  <c r="Y69" i="55"/>
  <c r="Y70" i="55"/>
  <c r="O69" i="55"/>
  <c r="O70" i="55"/>
  <c r="Q69" i="55"/>
  <c r="Q70" i="55"/>
  <c r="S69" i="55"/>
  <c r="S70" i="55"/>
  <c r="U69" i="55"/>
  <c r="U70" i="55"/>
  <c r="T70" i="55"/>
  <c r="T69" i="55"/>
  <c r="Z69" i="55"/>
  <c r="Z70" i="55"/>
  <c r="X70" i="55"/>
  <c r="X69" i="55"/>
  <c r="S31" i="55"/>
  <c r="S96" i="55"/>
  <c r="Q31" i="55"/>
  <c r="Q96" i="55"/>
  <c r="X31" i="55"/>
  <c r="X96" i="55"/>
  <c r="V31" i="55"/>
  <c r="V96" i="55"/>
  <c r="O31" i="55"/>
  <c r="O96" i="55"/>
  <c r="U31" i="55"/>
  <c r="U96" i="55"/>
  <c r="T31" i="55"/>
  <c r="T96" i="55"/>
  <c r="AA31" i="55"/>
  <c r="AA96" i="55"/>
  <c r="Z31" i="55"/>
  <c r="Z96" i="55"/>
  <c r="Y31" i="55"/>
  <c r="Y96" i="55"/>
  <c r="P31" i="55"/>
  <c r="P96" i="55"/>
  <c r="W31" i="55"/>
  <c r="W96" i="55"/>
  <c r="R31" i="55"/>
  <c r="R96" i="55"/>
  <c r="AB134" i="55"/>
  <c r="AB31" i="55"/>
  <c r="AB96" i="55"/>
  <c r="U134" i="55"/>
  <c r="Q134" i="55"/>
  <c r="Y134" i="55"/>
  <c r="O134" i="55"/>
  <c r="T134" i="55"/>
  <c r="W134" i="55"/>
  <c r="Z134" i="55"/>
  <c r="X134" i="55"/>
  <c r="V134" i="55"/>
  <c r="AA134" i="55"/>
  <c r="P134" i="55"/>
  <c r="S134" i="55"/>
  <c r="R134" i="55"/>
  <c r="X46" i="36" l="1"/>
  <c r="X45" i="36"/>
  <c r="X44" i="36"/>
  <c r="X43" i="36"/>
  <c r="X42" i="36"/>
  <c r="X41" i="36"/>
  <c r="X39" i="36"/>
  <c r="X38" i="36"/>
  <c r="X37" i="36"/>
  <c r="X35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7" i="36"/>
  <c r="X16" i="36"/>
  <c r="X13" i="36"/>
  <c r="X12" i="36"/>
  <c r="X11" i="36"/>
  <c r="X10" i="36"/>
  <c r="X9" i="36"/>
  <c r="X8" i="36"/>
  <c r="J11" i="4" l="1"/>
  <c r="J10" i="4"/>
  <c r="AF7" i="55" l="1"/>
  <c r="O5" i="55"/>
  <c r="P5" i="55" s="1"/>
  <c r="Q5" i="55" s="1"/>
  <c r="R5" i="55" s="1"/>
  <c r="S5" i="55" s="1"/>
  <c r="T5" i="55" s="1"/>
  <c r="U5" i="55" s="1"/>
  <c r="V5" i="55" s="1"/>
  <c r="W5" i="55" s="1"/>
  <c r="X5" i="55" s="1"/>
  <c r="Y5" i="55" s="1"/>
  <c r="Z5" i="55" s="1"/>
  <c r="AA5" i="55" s="1"/>
  <c r="AB5" i="55" s="1"/>
  <c r="O4" i="55"/>
  <c r="P4" i="55" s="1"/>
  <c r="Q4" i="55" s="1"/>
  <c r="R4" i="55" s="1"/>
  <c r="S4" i="55" s="1"/>
  <c r="T4" i="55" s="1"/>
  <c r="U4" i="55" s="1"/>
  <c r="V4" i="55" s="1"/>
  <c r="W4" i="55" s="1"/>
  <c r="X4" i="55" s="1"/>
  <c r="Y4" i="55" s="1"/>
  <c r="Z4" i="55" s="1"/>
  <c r="AA4" i="55" s="1"/>
  <c r="AB4" i="55" s="1"/>
  <c r="O3" i="55"/>
  <c r="P3" i="55" s="1"/>
  <c r="Q3" i="55" s="1"/>
  <c r="R3" i="55" s="1"/>
  <c r="S3" i="55" s="1"/>
  <c r="T3" i="55" s="1"/>
  <c r="U3" i="55" s="1"/>
  <c r="V3" i="55" s="1"/>
  <c r="W3" i="55" s="1"/>
  <c r="X3" i="55" s="1"/>
  <c r="Y3" i="55" s="1"/>
  <c r="Z3" i="55" s="1"/>
  <c r="AA3" i="55" s="1"/>
  <c r="AB3" i="55" s="1"/>
  <c r="M3" i="55"/>
  <c r="AB2" i="55"/>
  <c r="AA2" i="55"/>
  <c r="Z2" i="55"/>
  <c r="Y2" i="55"/>
  <c r="X2" i="55"/>
  <c r="W2" i="55"/>
  <c r="V2" i="55"/>
  <c r="U2" i="55"/>
  <c r="T2" i="55"/>
  <c r="S2" i="55"/>
  <c r="R2" i="55"/>
  <c r="Q2" i="55"/>
  <c r="P2" i="55"/>
  <c r="O2" i="55"/>
  <c r="N2" i="55"/>
  <c r="M2" i="55"/>
  <c r="Q8" i="55" l="1"/>
  <c r="AI28" i="55" s="1"/>
  <c r="Q28" i="55"/>
  <c r="U13" i="55"/>
  <c r="U28" i="55"/>
  <c r="Y8" i="55"/>
  <c r="AQ28" i="55" s="1"/>
  <c r="Y28" i="55"/>
  <c r="M4" i="55"/>
  <c r="I126" i="55"/>
  <c r="I61" i="55"/>
  <c r="I48" i="55"/>
  <c r="I36" i="55"/>
  <c r="I152" i="55"/>
  <c r="I139" i="55"/>
  <c r="I114" i="55"/>
  <c r="I88" i="55"/>
  <c r="I101" i="55"/>
  <c r="I75" i="55"/>
  <c r="N13" i="55"/>
  <c r="N28" i="55"/>
  <c r="R13" i="55"/>
  <c r="R28" i="55"/>
  <c r="V13" i="55"/>
  <c r="V28" i="55"/>
  <c r="Z13" i="55"/>
  <c r="Z28" i="55"/>
  <c r="AF8" i="55"/>
  <c r="I39" i="55"/>
  <c r="I155" i="55"/>
  <c r="I142" i="55"/>
  <c r="I129" i="55"/>
  <c r="I104" i="55"/>
  <c r="I91" i="55"/>
  <c r="I64" i="55"/>
  <c r="I51" i="55"/>
  <c r="I78" i="55"/>
  <c r="O13" i="55"/>
  <c r="O28" i="55"/>
  <c r="S13" i="55"/>
  <c r="S28" i="55"/>
  <c r="W13" i="55"/>
  <c r="W28" i="55"/>
  <c r="AA13" i="55"/>
  <c r="AA28" i="55"/>
  <c r="P13" i="55"/>
  <c r="P28" i="55"/>
  <c r="T13" i="55"/>
  <c r="T28" i="55"/>
  <c r="X13" i="55"/>
  <c r="X28" i="55"/>
  <c r="AB13" i="55"/>
  <c r="AB28" i="55"/>
  <c r="P8" i="55"/>
  <c r="AH28" i="55" s="1"/>
  <c r="T8" i="55"/>
  <c r="AL28" i="55" s="1"/>
  <c r="X8" i="55"/>
  <c r="AP28" i="55" s="1"/>
  <c r="AB8" i="55"/>
  <c r="AT28" i="55" s="1"/>
  <c r="U8" i="55"/>
  <c r="AM28" i="55" s="1"/>
  <c r="Q13" i="55"/>
  <c r="Y13" i="55"/>
  <c r="O8" i="55"/>
  <c r="AG28" i="55" s="1"/>
  <c r="S8" i="55"/>
  <c r="AK28" i="55" s="1"/>
  <c r="W8" i="55"/>
  <c r="AO28" i="55" s="1"/>
  <c r="AA8" i="55"/>
  <c r="AS28" i="55" s="1"/>
  <c r="N8" i="55"/>
  <c r="AF28" i="55" s="1"/>
  <c r="R8" i="55"/>
  <c r="AJ28" i="55" s="1"/>
  <c r="V8" i="55"/>
  <c r="AN28" i="55" s="1"/>
  <c r="Z8" i="55"/>
  <c r="AR28" i="55" s="1"/>
  <c r="AF9" i="55" l="1"/>
  <c r="I156" i="55"/>
  <c r="I105" i="55"/>
  <c r="I118" i="55"/>
  <c r="I65" i="55"/>
  <c r="I40" i="55"/>
  <c r="I130" i="55"/>
  <c r="I79" i="55"/>
  <c r="I52" i="55"/>
  <c r="I143" i="55"/>
  <c r="I92" i="55"/>
  <c r="U108" i="55" l="1"/>
  <c r="R108" i="55"/>
  <c r="Z108" i="55"/>
  <c r="S108" i="55"/>
  <c r="Q108" i="55"/>
  <c r="AA108" i="55"/>
  <c r="T108" i="55"/>
  <c r="AB108" i="55"/>
  <c r="V108" i="55"/>
  <c r="O108" i="55"/>
  <c r="Y108" i="55"/>
  <c r="W108" i="55"/>
  <c r="P108" i="55"/>
  <c r="X108" i="55"/>
  <c r="V82" i="55"/>
  <c r="T82" i="55"/>
  <c r="S82" i="55"/>
  <c r="U82" i="55"/>
  <c r="R82" i="55"/>
  <c r="P82" i="55"/>
  <c r="O82" i="55"/>
  <c r="AB82" i="55"/>
  <c r="AA82" i="55"/>
  <c r="Q82" i="55"/>
  <c r="Z82" i="55"/>
  <c r="X82" i="55"/>
  <c r="W82" i="55"/>
  <c r="Y82" i="55"/>
  <c r="O133" i="55"/>
  <c r="Y133" i="55"/>
  <c r="Q133" i="55"/>
  <c r="AA133" i="55"/>
  <c r="Z133" i="55"/>
  <c r="T133" i="55"/>
  <c r="X133" i="55"/>
  <c r="W133" i="55"/>
  <c r="U133" i="55"/>
  <c r="V133" i="55"/>
  <c r="R133" i="55"/>
  <c r="S133" i="55"/>
  <c r="P133" i="55"/>
  <c r="AB133" i="55"/>
  <c r="Y146" i="55"/>
  <c r="W146" i="55"/>
  <c r="V146" i="55"/>
  <c r="X146" i="55"/>
  <c r="U146" i="55"/>
  <c r="S146" i="55"/>
  <c r="R146" i="55"/>
  <c r="T146" i="55"/>
  <c r="Q146" i="55"/>
  <c r="O146" i="55"/>
  <c r="P146" i="55"/>
  <c r="AA146" i="55"/>
  <c r="Z146" i="55"/>
  <c r="AB146" i="55"/>
  <c r="AA43" i="55"/>
  <c r="Z43" i="55"/>
  <c r="U43" i="55"/>
  <c r="X43" i="55"/>
  <c r="W43" i="55"/>
  <c r="V43" i="55"/>
  <c r="Q43" i="55"/>
  <c r="T43" i="55"/>
  <c r="S43" i="55"/>
  <c r="R43" i="55"/>
  <c r="P43" i="55"/>
  <c r="O43" i="55"/>
  <c r="Y43" i="55"/>
  <c r="AB43" i="55"/>
  <c r="Z68" i="55"/>
  <c r="X68" i="55"/>
  <c r="Q68" i="55"/>
  <c r="S68" i="55"/>
  <c r="V68" i="55"/>
  <c r="T68" i="55"/>
  <c r="W68" i="55"/>
  <c r="AA68" i="55"/>
  <c r="R68" i="55"/>
  <c r="P68" i="55"/>
  <c r="O68" i="55"/>
  <c r="AB68" i="55"/>
  <c r="Y68" i="55"/>
  <c r="U68" i="55"/>
  <c r="S55" i="55"/>
  <c r="AB55" i="55"/>
  <c r="U55" i="55"/>
  <c r="O55" i="55"/>
  <c r="V55" i="55"/>
  <c r="P55" i="55"/>
  <c r="AA55" i="55"/>
  <c r="X55" i="55"/>
  <c r="Q55" i="55"/>
  <c r="T55" i="55"/>
  <c r="W55" i="55"/>
  <c r="R55" i="55"/>
  <c r="Z55" i="55"/>
  <c r="Y55" i="55"/>
  <c r="R95" i="55"/>
  <c r="AB95" i="55"/>
  <c r="S95" i="55"/>
  <c r="Y95" i="55"/>
  <c r="X95" i="55"/>
  <c r="AA95" i="55"/>
  <c r="Z95" i="55"/>
  <c r="U95" i="55"/>
  <c r="T95" i="55"/>
  <c r="W95" i="55"/>
  <c r="V95" i="55"/>
  <c r="Q95" i="55"/>
  <c r="P95" i="55"/>
  <c r="O95" i="55"/>
  <c r="R121" i="55"/>
  <c r="Y121" i="55"/>
  <c r="S121" i="55"/>
  <c r="AB121" i="55"/>
  <c r="T121" i="55"/>
  <c r="AA121" i="55"/>
  <c r="Z121" i="55"/>
  <c r="W121" i="55"/>
  <c r="O121" i="55"/>
  <c r="U121" i="55"/>
  <c r="V121" i="55"/>
  <c r="Q121" i="55"/>
  <c r="X121" i="55"/>
  <c r="P121" i="55"/>
  <c r="AF10" i="55"/>
  <c r="I144" i="55"/>
  <c r="I131" i="55"/>
  <c r="I93" i="55"/>
  <c r="I80" i="55"/>
  <c r="I66" i="55"/>
  <c r="I41" i="55"/>
  <c r="I53" i="55"/>
  <c r="I106" i="55"/>
  <c r="I157" i="55"/>
  <c r="I119" i="55"/>
  <c r="I54" i="55" l="1"/>
  <c r="I132" i="55"/>
  <c r="I107" i="55"/>
  <c r="I81" i="55"/>
  <c r="I158" i="55"/>
  <c r="I145" i="55"/>
  <c r="I120" i="55"/>
  <c r="I94" i="55"/>
  <c r="I67" i="55"/>
  <c r="I42" i="55"/>
  <c r="V89" i="45"/>
  <c r="U41" i="35"/>
  <c r="U25" i="35"/>
  <c r="V179" i="45"/>
  <c r="V159" i="45"/>
  <c r="B155" i="35"/>
  <c r="B150" i="35"/>
  <c r="V151" i="45"/>
  <c r="U151" i="45"/>
  <c r="AL150" i="45"/>
  <c r="AK150" i="45"/>
  <c r="AJ150" i="45"/>
  <c r="AI150" i="45"/>
  <c r="AH150" i="45"/>
  <c r="AG150" i="45"/>
  <c r="AF150" i="45"/>
  <c r="AE150" i="45"/>
  <c r="AD150" i="45"/>
  <c r="AC150" i="45"/>
  <c r="AB150" i="45"/>
  <c r="AA150" i="45"/>
  <c r="Z150" i="45"/>
  <c r="Y150" i="45"/>
  <c r="X150" i="45"/>
  <c r="V149" i="45"/>
  <c r="AK150" i="35"/>
  <c r="AJ150" i="35"/>
  <c r="AI150" i="35"/>
  <c r="AH150" i="35"/>
  <c r="AG150" i="35"/>
  <c r="AF150" i="35"/>
  <c r="AE150" i="35"/>
  <c r="AD150" i="35"/>
  <c r="AC150" i="35"/>
  <c r="AB150" i="35"/>
  <c r="AA150" i="35"/>
  <c r="Z150" i="35"/>
  <c r="Y150" i="35"/>
  <c r="X150" i="35"/>
  <c r="W150" i="35"/>
  <c r="U150" i="35"/>
  <c r="U149" i="35"/>
  <c r="B65" i="5"/>
  <c r="B64" i="5"/>
  <c r="AK185" i="35"/>
  <c r="AJ185" i="35"/>
  <c r="AI185" i="35"/>
  <c r="AH185" i="35"/>
  <c r="AG185" i="35"/>
  <c r="AF185" i="35"/>
  <c r="AE185" i="35"/>
  <c r="AD185" i="35"/>
  <c r="AC185" i="35"/>
  <c r="AB185" i="35"/>
  <c r="AA185" i="35"/>
  <c r="Z185" i="35"/>
  <c r="Y185" i="35"/>
  <c r="X185" i="35"/>
  <c r="W185" i="35"/>
  <c r="U185" i="35"/>
  <c r="V186" i="45"/>
  <c r="U186" i="45"/>
  <c r="AL185" i="45"/>
  <c r="AK185" i="45"/>
  <c r="AJ185" i="45"/>
  <c r="AI185" i="45"/>
  <c r="AH185" i="45"/>
  <c r="AG185" i="45"/>
  <c r="AF185" i="45"/>
  <c r="AE185" i="45"/>
  <c r="AD185" i="45"/>
  <c r="AC185" i="45"/>
  <c r="AB185" i="45"/>
  <c r="AA185" i="45"/>
  <c r="Z185" i="45"/>
  <c r="Y185" i="45"/>
  <c r="E185" i="45" s="1"/>
  <c r="X185" i="45"/>
  <c r="D185" i="45" s="1"/>
  <c r="AK180" i="35"/>
  <c r="AJ180" i="35"/>
  <c r="AI180" i="35"/>
  <c r="AH180" i="35"/>
  <c r="AG180" i="35"/>
  <c r="AF180" i="35"/>
  <c r="AE180" i="35"/>
  <c r="AD180" i="35"/>
  <c r="AC180" i="35"/>
  <c r="AB180" i="35"/>
  <c r="AA180" i="35"/>
  <c r="Z180" i="35"/>
  <c r="Y180" i="35"/>
  <c r="X180" i="35"/>
  <c r="W180" i="35"/>
  <c r="AK175" i="35"/>
  <c r="AJ175" i="35"/>
  <c r="AI175" i="35"/>
  <c r="AH175" i="35"/>
  <c r="AG175" i="35"/>
  <c r="AF175" i="35"/>
  <c r="AE175" i="35"/>
  <c r="AD175" i="35"/>
  <c r="AC175" i="35"/>
  <c r="AB175" i="35"/>
  <c r="AA175" i="35"/>
  <c r="Z175" i="35"/>
  <c r="Y175" i="35"/>
  <c r="X175" i="35"/>
  <c r="W175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AK173" i="35"/>
  <c r="AJ173" i="35"/>
  <c r="AI173" i="35"/>
  <c r="AH173" i="35"/>
  <c r="AG173" i="35"/>
  <c r="AF173" i="35"/>
  <c r="AE173" i="35"/>
  <c r="AD173" i="35"/>
  <c r="AC173" i="35"/>
  <c r="AB173" i="35"/>
  <c r="AA173" i="35"/>
  <c r="Z173" i="35"/>
  <c r="Y173" i="35"/>
  <c r="X173" i="35"/>
  <c r="W173" i="35"/>
  <c r="AK172" i="35"/>
  <c r="AJ172" i="35"/>
  <c r="AI172" i="35"/>
  <c r="AH172" i="35"/>
  <c r="AG172" i="35"/>
  <c r="AF172" i="35"/>
  <c r="AE172" i="35"/>
  <c r="AD172" i="35"/>
  <c r="AC172" i="35"/>
  <c r="AB172" i="35"/>
  <c r="AA172" i="35"/>
  <c r="Z172" i="35"/>
  <c r="Y172" i="35"/>
  <c r="X172" i="35"/>
  <c r="W172" i="35"/>
  <c r="AK171" i="35"/>
  <c r="AJ171" i="35"/>
  <c r="AI171" i="35"/>
  <c r="AH171" i="35"/>
  <c r="AG171" i="35"/>
  <c r="AF171" i="35"/>
  <c r="AE171" i="35"/>
  <c r="AD171" i="35"/>
  <c r="AC171" i="35"/>
  <c r="AB171" i="35"/>
  <c r="AA171" i="35"/>
  <c r="Z171" i="35"/>
  <c r="Y171" i="35"/>
  <c r="X171" i="35"/>
  <c r="W171" i="35"/>
  <c r="AK170" i="35"/>
  <c r="AJ170" i="35"/>
  <c r="AI170" i="35"/>
  <c r="AH170" i="35"/>
  <c r="AG170" i="35"/>
  <c r="AF170" i="35"/>
  <c r="AE170" i="35"/>
  <c r="AD170" i="35"/>
  <c r="AC170" i="35"/>
  <c r="AB170" i="35"/>
  <c r="AA170" i="35"/>
  <c r="Z170" i="35"/>
  <c r="Y170" i="35"/>
  <c r="X170" i="35"/>
  <c r="W170" i="35"/>
  <c r="AK169" i="35"/>
  <c r="AJ169" i="35"/>
  <c r="AI169" i="35"/>
  <c r="AH169" i="35"/>
  <c r="AG169" i="35"/>
  <c r="AF169" i="35"/>
  <c r="AE169" i="35"/>
  <c r="AD169" i="35"/>
  <c r="AC169" i="35"/>
  <c r="AB169" i="35"/>
  <c r="AA169" i="35"/>
  <c r="Z169" i="35"/>
  <c r="Y169" i="35"/>
  <c r="X169" i="35"/>
  <c r="W169" i="35"/>
  <c r="AK168" i="35"/>
  <c r="AJ168" i="35"/>
  <c r="AI168" i="35"/>
  <c r="AH168" i="35"/>
  <c r="AG168" i="35"/>
  <c r="AF168" i="35"/>
  <c r="AE168" i="35"/>
  <c r="AD168" i="35"/>
  <c r="AC168" i="35"/>
  <c r="AB168" i="35"/>
  <c r="AA168" i="35"/>
  <c r="Z168" i="35"/>
  <c r="Y168" i="35"/>
  <c r="X168" i="35"/>
  <c r="W168" i="35"/>
  <c r="AK167" i="35"/>
  <c r="AJ167" i="35"/>
  <c r="AI167" i="35"/>
  <c r="AH167" i="35"/>
  <c r="AG167" i="35"/>
  <c r="AF167" i="35"/>
  <c r="AE167" i="35"/>
  <c r="AD167" i="35"/>
  <c r="AC167" i="35"/>
  <c r="AB167" i="35"/>
  <c r="AA167" i="35"/>
  <c r="Z167" i="35"/>
  <c r="Y167" i="35"/>
  <c r="X167" i="35"/>
  <c r="W167" i="35"/>
  <c r="AK166" i="35"/>
  <c r="AJ166" i="35"/>
  <c r="AI166" i="35"/>
  <c r="AH166" i="35"/>
  <c r="AG166" i="35"/>
  <c r="AF166" i="35"/>
  <c r="AE166" i="35"/>
  <c r="AD166" i="35"/>
  <c r="AC166" i="35"/>
  <c r="AB166" i="35"/>
  <c r="AA166" i="35"/>
  <c r="Z166" i="35"/>
  <c r="Y166" i="35"/>
  <c r="X166" i="35"/>
  <c r="W166" i="35"/>
  <c r="AK165" i="35"/>
  <c r="AJ165" i="35"/>
  <c r="AI165" i="35"/>
  <c r="AH165" i="35"/>
  <c r="AG165" i="35"/>
  <c r="AF165" i="35"/>
  <c r="AE165" i="35"/>
  <c r="AD165" i="35"/>
  <c r="AC165" i="35"/>
  <c r="AB165" i="35"/>
  <c r="AA165" i="35"/>
  <c r="Z165" i="35"/>
  <c r="Y165" i="35"/>
  <c r="X165" i="35"/>
  <c r="W165" i="35"/>
  <c r="AK160" i="35"/>
  <c r="AJ160" i="35"/>
  <c r="AI160" i="35"/>
  <c r="AH160" i="35"/>
  <c r="AG160" i="35"/>
  <c r="AF160" i="35"/>
  <c r="AE160" i="35"/>
  <c r="AD160" i="35"/>
  <c r="AC160" i="35"/>
  <c r="AB160" i="35"/>
  <c r="AA160" i="35"/>
  <c r="Z160" i="35"/>
  <c r="Y160" i="35"/>
  <c r="X160" i="35"/>
  <c r="W160" i="35"/>
  <c r="AK155" i="35"/>
  <c r="AJ155" i="35"/>
  <c r="AI155" i="35"/>
  <c r="AH155" i="35"/>
  <c r="AG155" i="35"/>
  <c r="AF155" i="35"/>
  <c r="AE155" i="35"/>
  <c r="AD155" i="35"/>
  <c r="AC155" i="35"/>
  <c r="AB155" i="35"/>
  <c r="AA155" i="35"/>
  <c r="Z155" i="35"/>
  <c r="Y155" i="35"/>
  <c r="X155" i="35"/>
  <c r="W155" i="35"/>
  <c r="AK145" i="35"/>
  <c r="AJ145" i="35"/>
  <c r="AI145" i="35"/>
  <c r="AH145" i="35"/>
  <c r="AG145" i="35"/>
  <c r="AF145" i="35"/>
  <c r="AE145" i="35"/>
  <c r="AD145" i="35"/>
  <c r="AC145" i="35"/>
  <c r="AB145" i="35"/>
  <c r="AA145" i="35"/>
  <c r="Z145" i="35"/>
  <c r="Y145" i="35"/>
  <c r="X145" i="35"/>
  <c r="W145" i="35"/>
  <c r="AK144" i="35"/>
  <c r="AJ144" i="35"/>
  <c r="AI144" i="35"/>
  <c r="AH144" i="35"/>
  <c r="AG144" i="35"/>
  <c r="AF144" i="35"/>
  <c r="AE144" i="35"/>
  <c r="AD144" i="35"/>
  <c r="AC144" i="35"/>
  <c r="AB144" i="35"/>
  <c r="AA144" i="35"/>
  <c r="Z144" i="35"/>
  <c r="Y144" i="35"/>
  <c r="X144" i="35"/>
  <c r="W144" i="35"/>
  <c r="AK139" i="35"/>
  <c r="AJ139" i="35"/>
  <c r="AI139" i="35"/>
  <c r="AH139" i="35"/>
  <c r="AG139" i="35"/>
  <c r="AF139" i="35"/>
  <c r="AE139" i="35"/>
  <c r="AD139" i="35"/>
  <c r="AC139" i="35"/>
  <c r="AB139" i="35"/>
  <c r="AA139" i="35"/>
  <c r="Z139" i="35"/>
  <c r="Y139" i="35"/>
  <c r="X139" i="35"/>
  <c r="W139" i="35"/>
  <c r="AK138" i="35"/>
  <c r="AJ138" i="35"/>
  <c r="AI138" i="35"/>
  <c r="AH138" i="35"/>
  <c r="AG138" i="35"/>
  <c r="AF138" i="35"/>
  <c r="AE138" i="35"/>
  <c r="AD138" i="35"/>
  <c r="AC138" i="35"/>
  <c r="AB138" i="35"/>
  <c r="AA138" i="35"/>
  <c r="Z138" i="35"/>
  <c r="Y138" i="35"/>
  <c r="X138" i="35"/>
  <c r="W138" i="35"/>
  <c r="AK133" i="35"/>
  <c r="AJ133" i="35"/>
  <c r="AI133" i="35"/>
  <c r="AH133" i="35"/>
  <c r="AG133" i="35"/>
  <c r="AF133" i="35"/>
  <c r="AE133" i="35"/>
  <c r="AD133" i="35"/>
  <c r="AC133" i="35"/>
  <c r="AB133" i="35"/>
  <c r="AA133" i="35"/>
  <c r="Z133" i="35"/>
  <c r="Y133" i="35"/>
  <c r="X133" i="35"/>
  <c r="W133" i="35"/>
  <c r="AK132" i="35"/>
  <c r="AJ132" i="35"/>
  <c r="AI132" i="35"/>
  <c r="AH132" i="35"/>
  <c r="AG132" i="35"/>
  <c r="AF132" i="35"/>
  <c r="AE132" i="35"/>
  <c r="AD132" i="35"/>
  <c r="AC132" i="35"/>
  <c r="AB132" i="35"/>
  <c r="AA132" i="35"/>
  <c r="Z132" i="35"/>
  <c r="Y132" i="35"/>
  <c r="X132" i="35"/>
  <c r="W132" i="35"/>
  <c r="AK131" i="35"/>
  <c r="AJ131" i="35"/>
  <c r="AI131" i="35"/>
  <c r="AH131" i="35"/>
  <c r="AG131" i="35"/>
  <c r="AF131" i="35"/>
  <c r="AE131" i="35"/>
  <c r="AD131" i="35"/>
  <c r="AC131" i="35"/>
  <c r="AB131" i="35"/>
  <c r="AA131" i="35"/>
  <c r="Z131" i="35"/>
  <c r="Y131" i="35"/>
  <c r="X131" i="35"/>
  <c r="W131" i="35"/>
  <c r="AK130" i="35"/>
  <c r="AJ130" i="35"/>
  <c r="AI130" i="35"/>
  <c r="AH130" i="35"/>
  <c r="AG130" i="35"/>
  <c r="AF130" i="35"/>
  <c r="AE130" i="35"/>
  <c r="AD130" i="35"/>
  <c r="AC130" i="35"/>
  <c r="AB130" i="35"/>
  <c r="AA130" i="35"/>
  <c r="Z130" i="35"/>
  <c r="Y130" i="35"/>
  <c r="X130" i="35"/>
  <c r="W130" i="35"/>
  <c r="AK129" i="35"/>
  <c r="AJ129" i="35"/>
  <c r="AI129" i="35"/>
  <c r="AH129" i="35"/>
  <c r="AG129" i="35"/>
  <c r="AF129" i="35"/>
  <c r="AE129" i="35"/>
  <c r="AD129" i="35"/>
  <c r="AC129" i="35"/>
  <c r="AB129" i="35"/>
  <c r="AA129" i="35"/>
  <c r="Z129" i="35"/>
  <c r="Y129" i="35"/>
  <c r="X129" i="35"/>
  <c r="W129" i="35"/>
  <c r="AK128" i="35"/>
  <c r="AJ128" i="35"/>
  <c r="AI128" i="35"/>
  <c r="AH128" i="35"/>
  <c r="AG128" i="35"/>
  <c r="AF128" i="35"/>
  <c r="AE128" i="35"/>
  <c r="AD128" i="35"/>
  <c r="AC128" i="35"/>
  <c r="AB128" i="35"/>
  <c r="AA128" i="35"/>
  <c r="Z128" i="35"/>
  <c r="Y128" i="35"/>
  <c r="X128" i="35"/>
  <c r="W128" i="35"/>
  <c r="AK127" i="35"/>
  <c r="AJ127" i="35"/>
  <c r="AI127" i="35"/>
  <c r="AH127" i="35"/>
  <c r="AG127" i="35"/>
  <c r="AF127" i="35"/>
  <c r="AE127" i="35"/>
  <c r="AD127" i="35"/>
  <c r="AC127" i="35"/>
  <c r="AB127" i="35"/>
  <c r="AA127" i="35"/>
  <c r="Z127" i="35"/>
  <c r="Y127" i="35"/>
  <c r="X127" i="35"/>
  <c r="W127" i="35"/>
  <c r="AK126" i="35"/>
  <c r="AJ126" i="35"/>
  <c r="AI126" i="35"/>
  <c r="AH126" i="35"/>
  <c r="AG126" i="35"/>
  <c r="AF126" i="35"/>
  <c r="AE126" i="35"/>
  <c r="AD126" i="35"/>
  <c r="AC126" i="35"/>
  <c r="AB126" i="35"/>
  <c r="AA126" i="35"/>
  <c r="Z126" i="35"/>
  <c r="Y126" i="35"/>
  <c r="X126" i="35"/>
  <c r="W126" i="35"/>
  <c r="AK125" i="35"/>
  <c r="AJ125" i="35"/>
  <c r="AI125" i="35"/>
  <c r="AH125" i="35"/>
  <c r="AG125" i="35"/>
  <c r="AF125" i="35"/>
  <c r="AE125" i="35"/>
  <c r="AD125" i="35"/>
  <c r="AC125" i="35"/>
  <c r="AB125" i="35"/>
  <c r="AA125" i="35"/>
  <c r="Z125" i="35"/>
  <c r="Y125" i="35"/>
  <c r="X125" i="35"/>
  <c r="W125" i="35"/>
  <c r="AK124" i="35"/>
  <c r="AJ124" i="35"/>
  <c r="AI124" i="35"/>
  <c r="AH124" i="35"/>
  <c r="AG124" i="35"/>
  <c r="AF124" i="35"/>
  <c r="AE124" i="35"/>
  <c r="AD124" i="35"/>
  <c r="AC124" i="35"/>
  <c r="AB124" i="35"/>
  <c r="AA124" i="35"/>
  <c r="Z124" i="35"/>
  <c r="Y124" i="35"/>
  <c r="X124" i="35"/>
  <c r="W124" i="35"/>
  <c r="AK123" i="35"/>
  <c r="AJ123" i="35"/>
  <c r="AI123" i="35"/>
  <c r="AH123" i="35"/>
  <c r="AG123" i="35"/>
  <c r="AF123" i="35"/>
  <c r="AE123" i="35"/>
  <c r="AD123" i="35"/>
  <c r="AC123" i="35"/>
  <c r="AB123" i="35"/>
  <c r="AA123" i="35"/>
  <c r="Z123" i="35"/>
  <c r="Y123" i="35"/>
  <c r="X123" i="35"/>
  <c r="W123" i="35"/>
  <c r="AK122" i="35"/>
  <c r="AJ122" i="35"/>
  <c r="AI122" i="35"/>
  <c r="AH122" i="35"/>
  <c r="AG122" i="35"/>
  <c r="AF122" i="35"/>
  <c r="AE122" i="35"/>
  <c r="AD122" i="35"/>
  <c r="AC122" i="35"/>
  <c r="AB122" i="35"/>
  <c r="AA122" i="35"/>
  <c r="Z122" i="35"/>
  <c r="Y122" i="35"/>
  <c r="X122" i="35"/>
  <c r="W122" i="35"/>
  <c r="B144" i="35"/>
  <c r="B138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43" i="45"/>
  <c r="B43" i="35" s="1"/>
  <c r="B37" i="45"/>
  <c r="B36" i="45"/>
  <c r="B52" i="45" s="1"/>
  <c r="B35" i="45"/>
  <c r="B51" i="45" s="1"/>
  <c r="B34" i="45"/>
  <c r="B34" i="35" s="1"/>
  <c r="B33" i="45"/>
  <c r="B33" i="35" s="1"/>
  <c r="B32" i="45"/>
  <c r="B32" i="35" s="1"/>
  <c r="B31" i="45"/>
  <c r="B47" i="45" s="1"/>
  <c r="B30" i="45"/>
  <c r="B30" i="35" s="1"/>
  <c r="B29" i="45"/>
  <c r="B28" i="45"/>
  <c r="B28" i="35" s="1"/>
  <c r="B27" i="45"/>
  <c r="B27" i="35" s="1"/>
  <c r="B26" i="45"/>
  <c r="B26" i="35" s="1"/>
  <c r="AK117" i="35"/>
  <c r="AJ117" i="35"/>
  <c r="AI117" i="35"/>
  <c r="AH117" i="35"/>
  <c r="AG117" i="35"/>
  <c r="AF117" i="35"/>
  <c r="AE117" i="35"/>
  <c r="AD117" i="35"/>
  <c r="AC117" i="35"/>
  <c r="AB117" i="35"/>
  <c r="AA117" i="35"/>
  <c r="Z117" i="35"/>
  <c r="Y117" i="35"/>
  <c r="X117" i="35"/>
  <c r="W117" i="35"/>
  <c r="AK116" i="35"/>
  <c r="AJ116" i="35"/>
  <c r="AI116" i="35"/>
  <c r="AH116" i="35"/>
  <c r="AG116" i="35"/>
  <c r="AF116" i="35"/>
  <c r="AE116" i="35"/>
  <c r="AD116" i="35"/>
  <c r="AC116" i="35"/>
  <c r="AB116" i="35"/>
  <c r="AA116" i="35"/>
  <c r="Z116" i="35"/>
  <c r="Y116" i="35"/>
  <c r="X116" i="35"/>
  <c r="W116" i="35"/>
  <c r="AK115" i="35"/>
  <c r="AJ115" i="35"/>
  <c r="AI115" i="35"/>
  <c r="AH115" i="35"/>
  <c r="AG115" i="35"/>
  <c r="AF115" i="35"/>
  <c r="AE115" i="35"/>
  <c r="AD115" i="35"/>
  <c r="AC115" i="35"/>
  <c r="AB115" i="35"/>
  <c r="AA115" i="35"/>
  <c r="Z115" i="35"/>
  <c r="Y115" i="35"/>
  <c r="X115" i="35"/>
  <c r="W115" i="35"/>
  <c r="AK114" i="35"/>
  <c r="AJ114" i="35"/>
  <c r="AI114" i="35"/>
  <c r="AH114" i="35"/>
  <c r="AG114" i="35"/>
  <c r="AF114" i="35"/>
  <c r="AE114" i="35"/>
  <c r="AD114" i="35"/>
  <c r="AC114" i="35"/>
  <c r="AB114" i="35"/>
  <c r="AA114" i="35"/>
  <c r="Z114" i="35"/>
  <c r="Y114" i="35"/>
  <c r="X114" i="35"/>
  <c r="W114" i="35"/>
  <c r="AK113" i="35"/>
  <c r="AJ113" i="35"/>
  <c r="AI113" i="35"/>
  <c r="AH113" i="35"/>
  <c r="AG113" i="35"/>
  <c r="AF113" i="35"/>
  <c r="AE113" i="35"/>
  <c r="AD113" i="35"/>
  <c r="AC113" i="35"/>
  <c r="AB113" i="35"/>
  <c r="AA113" i="35"/>
  <c r="Z113" i="35"/>
  <c r="Y113" i="35"/>
  <c r="X113" i="35"/>
  <c r="W113" i="35"/>
  <c r="AK112" i="35"/>
  <c r="AJ112" i="35"/>
  <c r="AI112" i="35"/>
  <c r="AH112" i="35"/>
  <c r="AG112" i="35"/>
  <c r="AF112" i="35"/>
  <c r="AE112" i="35"/>
  <c r="AD112" i="35"/>
  <c r="AC112" i="35"/>
  <c r="AB112" i="35"/>
  <c r="AA112" i="35"/>
  <c r="Z112" i="35"/>
  <c r="Y112" i="35"/>
  <c r="X112" i="35"/>
  <c r="W112" i="35"/>
  <c r="AK111" i="35"/>
  <c r="AJ111" i="35"/>
  <c r="AI111" i="35"/>
  <c r="AH111" i="35"/>
  <c r="AG111" i="35"/>
  <c r="AF111" i="35"/>
  <c r="AE111" i="35"/>
  <c r="AD111" i="35"/>
  <c r="AC111" i="35"/>
  <c r="AB111" i="35"/>
  <c r="AA111" i="35"/>
  <c r="Z111" i="35"/>
  <c r="Y111" i="35"/>
  <c r="X111" i="35"/>
  <c r="W111" i="35"/>
  <c r="AK110" i="35"/>
  <c r="AJ110" i="35"/>
  <c r="AI110" i="35"/>
  <c r="AH110" i="35"/>
  <c r="AG110" i="35"/>
  <c r="AF110" i="35"/>
  <c r="AE110" i="35"/>
  <c r="AD110" i="35"/>
  <c r="AC110" i="35"/>
  <c r="AB110" i="35"/>
  <c r="AA110" i="35"/>
  <c r="Z110" i="35"/>
  <c r="Y110" i="35"/>
  <c r="X110" i="35"/>
  <c r="W110" i="35"/>
  <c r="AK109" i="35"/>
  <c r="AJ109" i="35"/>
  <c r="AI109" i="35"/>
  <c r="AH109" i="35"/>
  <c r="AG109" i="35"/>
  <c r="AF109" i="35"/>
  <c r="AE109" i="35"/>
  <c r="AD109" i="35"/>
  <c r="AC109" i="35"/>
  <c r="AB109" i="35"/>
  <c r="AA109" i="35"/>
  <c r="Z109" i="35"/>
  <c r="Y109" i="35"/>
  <c r="X109" i="35"/>
  <c r="W109" i="35"/>
  <c r="AK108" i="35"/>
  <c r="AJ108" i="35"/>
  <c r="AI108" i="35"/>
  <c r="AH108" i="35"/>
  <c r="AG108" i="35"/>
  <c r="AF108" i="35"/>
  <c r="AE108" i="35"/>
  <c r="AD108" i="35"/>
  <c r="AC108" i="35"/>
  <c r="AB108" i="35"/>
  <c r="AA108" i="35"/>
  <c r="Z108" i="35"/>
  <c r="Y108" i="35"/>
  <c r="X108" i="35"/>
  <c r="W108" i="35"/>
  <c r="AK107" i="35"/>
  <c r="AJ107" i="35"/>
  <c r="AI107" i="35"/>
  <c r="AH107" i="35"/>
  <c r="AG107" i="35"/>
  <c r="AF107" i="35"/>
  <c r="AE107" i="35"/>
  <c r="AD107" i="35"/>
  <c r="AC107" i="35"/>
  <c r="AB107" i="35"/>
  <c r="AA107" i="35"/>
  <c r="Z107" i="35"/>
  <c r="Y107" i="35"/>
  <c r="X107" i="35"/>
  <c r="W107" i="35"/>
  <c r="AK106" i="35"/>
  <c r="AJ106" i="35"/>
  <c r="AI106" i="35"/>
  <c r="AH106" i="35"/>
  <c r="AG106" i="35"/>
  <c r="AF106" i="35"/>
  <c r="AE106" i="35"/>
  <c r="AD106" i="35"/>
  <c r="AC106" i="35"/>
  <c r="AB106" i="35"/>
  <c r="AA106" i="35"/>
  <c r="Z106" i="35"/>
  <c r="Y106" i="35"/>
  <c r="X106" i="35"/>
  <c r="W106" i="35"/>
  <c r="AK101" i="35"/>
  <c r="R101" i="35" s="1"/>
  <c r="AJ101" i="35"/>
  <c r="Q101" i="35" s="1"/>
  <c r="AI101" i="35"/>
  <c r="P101" i="35" s="1"/>
  <c r="AH101" i="35"/>
  <c r="O101" i="35" s="1"/>
  <c r="AG101" i="35"/>
  <c r="N101" i="35" s="1"/>
  <c r="AF101" i="35"/>
  <c r="M101" i="35" s="1"/>
  <c r="AE101" i="35"/>
  <c r="L101" i="35" s="1"/>
  <c r="AD101" i="35"/>
  <c r="K101" i="35" s="1"/>
  <c r="AC101" i="35"/>
  <c r="J101" i="35" s="1"/>
  <c r="AB101" i="35"/>
  <c r="I101" i="35" s="1"/>
  <c r="AA101" i="35"/>
  <c r="H101" i="35" s="1"/>
  <c r="Z101" i="35"/>
  <c r="G101" i="35" s="1"/>
  <c r="Y101" i="35"/>
  <c r="F101" i="35" s="1"/>
  <c r="X101" i="35"/>
  <c r="E101" i="35" s="1"/>
  <c r="W101" i="35"/>
  <c r="AK100" i="35"/>
  <c r="AJ100" i="35"/>
  <c r="AI100" i="35"/>
  <c r="AH100" i="35"/>
  <c r="AG100" i="35"/>
  <c r="AF100" i="35"/>
  <c r="AE100" i="35"/>
  <c r="AD100" i="35"/>
  <c r="AC100" i="35"/>
  <c r="AB100" i="35"/>
  <c r="AA100" i="35"/>
  <c r="Z100" i="35"/>
  <c r="Y100" i="35"/>
  <c r="X100" i="35"/>
  <c r="W100" i="35"/>
  <c r="AK99" i="35"/>
  <c r="AJ99" i="35"/>
  <c r="AI99" i="35"/>
  <c r="AH99" i="35"/>
  <c r="AG99" i="35"/>
  <c r="AF99" i="35"/>
  <c r="AE99" i="35"/>
  <c r="AD99" i="35"/>
  <c r="AC99" i="35"/>
  <c r="AB99" i="35"/>
  <c r="AA99" i="35"/>
  <c r="Z99" i="35"/>
  <c r="Y99" i="35"/>
  <c r="X99" i="35"/>
  <c r="W99" i="35"/>
  <c r="AK98" i="35"/>
  <c r="AJ98" i="35"/>
  <c r="AI98" i="35"/>
  <c r="AH98" i="35"/>
  <c r="AG98" i="35"/>
  <c r="AF98" i="35"/>
  <c r="AE98" i="35"/>
  <c r="AD98" i="35"/>
  <c r="AC98" i="35"/>
  <c r="AB98" i="35"/>
  <c r="AA98" i="35"/>
  <c r="Z98" i="35"/>
  <c r="Y98" i="35"/>
  <c r="X98" i="35"/>
  <c r="W98" i="35"/>
  <c r="AK97" i="35"/>
  <c r="AJ97" i="35"/>
  <c r="AI97" i="35"/>
  <c r="AH97" i="35"/>
  <c r="AG97" i="35"/>
  <c r="AF97" i="35"/>
  <c r="AE97" i="35"/>
  <c r="AD97" i="35"/>
  <c r="AC97" i="35"/>
  <c r="AB97" i="35"/>
  <c r="AA97" i="35"/>
  <c r="Z97" i="35"/>
  <c r="Y97" i="35"/>
  <c r="X97" i="35"/>
  <c r="W97" i="35"/>
  <c r="AK96" i="35"/>
  <c r="AJ96" i="35"/>
  <c r="AI96" i="35"/>
  <c r="AH96" i="35"/>
  <c r="AG96" i="35"/>
  <c r="AF96" i="35"/>
  <c r="AE96" i="35"/>
  <c r="AD96" i="35"/>
  <c r="AC96" i="35"/>
  <c r="AB96" i="35"/>
  <c r="AA96" i="35"/>
  <c r="Z96" i="35"/>
  <c r="Y96" i="35"/>
  <c r="X96" i="35"/>
  <c r="W96" i="35"/>
  <c r="AK95" i="35"/>
  <c r="AJ95" i="35"/>
  <c r="AI95" i="35"/>
  <c r="AH95" i="35"/>
  <c r="AG95" i="35"/>
  <c r="AF95" i="35"/>
  <c r="AE95" i="35"/>
  <c r="AD95" i="35"/>
  <c r="AC95" i="35"/>
  <c r="AB95" i="35"/>
  <c r="AA95" i="35"/>
  <c r="Z95" i="35"/>
  <c r="Y95" i="35"/>
  <c r="X95" i="35"/>
  <c r="W95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AK93" i="35"/>
  <c r="AJ93" i="35"/>
  <c r="AI93" i="35"/>
  <c r="AH93" i="35"/>
  <c r="AG93" i="35"/>
  <c r="AF93" i="35"/>
  <c r="AE93" i="35"/>
  <c r="AD93" i="35"/>
  <c r="AC93" i="35"/>
  <c r="AB93" i="35"/>
  <c r="AA93" i="35"/>
  <c r="Z93" i="35"/>
  <c r="Y93" i="35"/>
  <c r="X93" i="35"/>
  <c r="W93" i="35"/>
  <c r="AK92" i="35"/>
  <c r="AJ92" i="35"/>
  <c r="AI92" i="35"/>
  <c r="AH92" i="35"/>
  <c r="AG92" i="35"/>
  <c r="AF92" i="35"/>
  <c r="AE92" i="35"/>
  <c r="AD92" i="35"/>
  <c r="AC92" i="35"/>
  <c r="AB92" i="35"/>
  <c r="AA92" i="35"/>
  <c r="Z92" i="35"/>
  <c r="Y92" i="35"/>
  <c r="X92" i="35"/>
  <c r="W92" i="35"/>
  <c r="AK91" i="35"/>
  <c r="AJ91" i="35"/>
  <c r="AI91" i="35"/>
  <c r="AH91" i="35"/>
  <c r="AG91" i="35"/>
  <c r="AF91" i="35"/>
  <c r="AE91" i="35"/>
  <c r="AD91" i="35"/>
  <c r="AC91" i="35"/>
  <c r="AB91" i="35"/>
  <c r="AA91" i="35"/>
  <c r="Z91" i="35"/>
  <c r="Y91" i="35"/>
  <c r="X91" i="35"/>
  <c r="W91" i="35"/>
  <c r="AK90" i="35"/>
  <c r="AJ90" i="35"/>
  <c r="AI90" i="35"/>
  <c r="AH90" i="35"/>
  <c r="AG90" i="35"/>
  <c r="AF90" i="35"/>
  <c r="AE90" i="35"/>
  <c r="AD90" i="35"/>
  <c r="AC90" i="35"/>
  <c r="AB90" i="35"/>
  <c r="AA90" i="35"/>
  <c r="Z90" i="35"/>
  <c r="Y90" i="35"/>
  <c r="X90" i="35"/>
  <c r="W90" i="35"/>
  <c r="AK85" i="35"/>
  <c r="AJ85" i="35"/>
  <c r="AI85" i="35"/>
  <c r="AH85" i="35"/>
  <c r="AG85" i="35"/>
  <c r="AF85" i="35"/>
  <c r="AE85" i="35"/>
  <c r="AD85" i="35"/>
  <c r="AC85" i="35"/>
  <c r="AB85" i="35"/>
  <c r="AA85" i="35"/>
  <c r="Z85" i="35"/>
  <c r="Y85" i="35"/>
  <c r="X85" i="35"/>
  <c r="W85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AK83" i="35"/>
  <c r="AJ83" i="35"/>
  <c r="AI83" i="35"/>
  <c r="AH83" i="35"/>
  <c r="AG83" i="35"/>
  <c r="AF83" i="35"/>
  <c r="AE83" i="35"/>
  <c r="AD83" i="35"/>
  <c r="AC83" i="35"/>
  <c r="AB83" i="35"/>
  <c r="AA83" i="35"/>
  <c r="Z83" i="35"/>
  <c r="Y83" i="35"/>
  <c r="X83" i="35"/>
  <c r="W83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AK77" i="35"/>
  <c r="AJ77" i="35"/>
  <c r="AI77" i="35"/>
  <c r="AH77" i="35"/>
  <c r="AG77" i="35"/>
  <c r="AF77" i="35"/>
  <c r="AE77" i="35"/>
  <c r="AD77" i="35"/>
  <c r="AC77" i="35"/>
  <c r="AB77" i="35"/>
  <c r="AA77" i="35"/>
  <c r="Z77" i="35"/>
  <c r="Y77" i="35"/>
  <c r="X77" i="35"/>
  <c r="W77" i="35"/>
  <c r="AK76" i="35"/>
  <c r="AJ76" i="35"/>
  <c r="AI76" i="35"/>
  <c r="AH76" i="35"/>
  <c r="AG76" i="35"/>
  <c r="AF76" i="35"/>
  <c r="AE76" i="35"/>
  <c r="AD76" i="35"/>
  <c r="AC76" i="35"/>
  <c r="AB76" i="35"/>
  <c r="AA76" i="35"/>
  <c r="Z76" i="35"/>
  <c r="Y76" i="35"/>
  <c r="X76" i="35"/>
  <c r="W76" i="35"/>
  <c r="AK75" i="35"/>
  <c r="AJ75" i="35"/>
  <c r="AI75" i="35"/>
  <c r="AH75" i="35"/>
  <c r="AG75" i="35"/>
  <c r="AF75" i="35"/>
  <c r="AE75" i="35"/>
  <c r="AD75" i="35"/>
  <c r="AC75" i="35"/>
  <c r="AB75" i="35"/>
  <c r="AA75" i="35"/>
  <c r="Z75" i="35"/>
  <c r="Y75" i="35"/>
  <c r="X75" i="35"/>
  <c r="W75" i="35"/>
  <c r="AK74" i="35"/>
  <c r="R74" i="35" s="1"/>
  <c r="AJ74" i="35"/>
  <c r="Q74" i="35" s="1"/>
  <c r="AI74" i="35"/>
  <c r="P74" i="35" s="1"/>
  <c r="AH74" i="35"/>
  <c r="O74" i="35" s="1"/>
  <c r="AG74" i="35"/>
  <c r="N74" i="35" s="1"/>
  <c r="AF74" i="35"/>
  <c r="M74" i="35" s="1"/>
  <c r="AE74" i="35"/>
  <c r="L74" i="35" s="1"/>
  <c r="AD74" i="35"/>
  <c r="K74" i="35" s="1"/>
  <c r="AC74" i="35"/>
  <c r="J74" i="35" s="1"/>
  <c r="AB74" i="35"/>
  <c r="I74" i="35" s="1"/>
  <c r="AA74" i="35"/>
  <c r="H74" i="35" s="1"/>
  <c r="Z74" i="35"/>
  <c r="G74" i="35" s="1"/>
  <c r="Y74" i="35"/>
  <c r="F74" i="35" s="1"/>
  <c r="X74" i="35"/>
  <c r="E74" i="35" s="1"/>
  <c r="W74" i="35"/>
  <c r="D74" i="35" s="1"/>
  <c r="AK69" i="35"/>
  <c r="AJ69" i="35"/>
  <c r="AI69" i="35"/>
  <c r="AH69" i="35"/>
  <c r="AG69" i="35"/>
  <c r="AF69" i="35"/>
  <c r="AE69" i="35"/>
  <c r="AD69" i="35"/>
  <c r="AC69" i="35"/>
  <c r="AB69" i="35"/>
  <c r="AA69" i="35"/>
  <c r="Z69" i="35"/>
  <c r="Y69" i="35"/>
  <c r="X69" i="35"/>
  <c r="W69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AK53" i="35"/>
  <c r="R53" i="35" s="1"/>
  <c r="AJ53" i="35"/>
  <c r="Q53" i="35" s="1"/>
  <c r="AI53" i="35"/>
  <c r="P53" i="35" s="1"/>
  <c r="AH53" i="35"/>
  <c r="O53" i="35" s="1"/>
  <c r="AG53" i="35"/>
  <c r="N53" i="35" s="1"/>
  <c r="AF53" i="35"/>
  <c r="M53" i="35" s="1"/>
  <c r="AE53" i="35"/>
  <c r="L53" i="35" s="1"/>
  <c r="AD53" i="35"/>
  <c r="K53" i="35" s="1"/>
  <c r="AC53" i="35"/>
  <c r="J53" i="35" s="1"/>
  <c r="AB53" i="35"/>
  <c r="I53" i="35" s="1"/>
  <c r="AA53" i="35"/>
  <c r="H53" i="35" s="1"/>
  <c r="Z53" i="35"/>
  <c r="G53" i="35" s="1"/>
  <c r="Y53" i="35"/>
  <c r="F53" i="35" s="1"/>
  <c r="X53" i="35"/>
  <c r="E53" i="35" s="1"/>
  <c r="W53" i="35"/>
  <c r="AK52" i="35"/>
  <c r="R52" i="35" s="1"/>
  <c r="AJ52" i="35"/>
  <c r="Q52" i="35" s="1"/>
  <c r="AI52" i="35"/>
  <c r="P52" i="35" s="1"/>
  <c r="AH52" i="35"/>
  <c r="O52" i="35" s="1"/>
  <c r="AG52" i="35"/>
  <c r="N52" i="35" s="1"/>
  <c r="AF52" i="35"/>
  <c r="M52" i="35" s="1"/>
  <c r="AE52" i="35"/>
  <c r="L52" i="35" s="1"/>
  <c r="AD52" i="35"/>
  <c r="K52" i="35" s="1"/>
  <c r="AC52" i="35"/>
  <c r="J52" i="35" s="1"/>
  <c r="AB52" i="35"/>
  <c r="I52" i="35" s="1"/>
  <c r="AA52" i="35"/>
  <c r="H52" i="35" s="1"/>
  <c r="Z52" i="35"/>
  <c r="G52" i="35" s="1"/>
  <c r="Y52" i="35"/>
  <c r="F52" i="35" s="1"/>
  <c r="X52" i="35"/>
  <c r="E52" i="35" s="1"/>
  <c r="W52" i="35"/>
  <c r="AK51" i="35"/>
  <c r="R51" i="35" s="1"/>
  <c r="AJ51" i="35"/>
  <c r="Q51" i="35" s="1"/>
  <c r="AI51" i="35"/>
  <c r="P51" i="35" s="1"/>
  <c r="AH51" i="35"/>
  <c r="O51" i="35" s="1"/>
  <c r="AG51" i="35"/>
  <c r="N51" i="35" s="1"/>
  <c r="AF51" i="35"/>
  <c r="M51" i="35" s="1"/>
  <c r="AE51" i="35"/>
  <c r="L51" i="35" s="1"/>
  <c r="AD51" i="35"/>
  <c r="K51" i="35" s="1"/>
  <c r="AC51" i="35"/>
  <c r="J51" i="35" s="1"/>
  <c r="AB51" i="35"/>
  <c r="I51" i="35" s="1"/>
  <c r="AA51" i="35"/>
  <c r="H51" i="35" s="1"/>
  <c r="Z51" i="35"/>
  <c r="G51" i="35" s="1"/>
  <c r="Y51" i="35"/>
  <c r="F51" i="35" s="1"/>
  <c r="X51" i="35"/>
  <c r="E51" i="35" s="1"/>
  <c r="W51" i="35"/>
  <c r="AK50" i="35"/>
  <c r="R50" i="35" s="1"/>
  <c r="AJ50" i="35"/>
  <c r="Q50" i="35" s="1"/>
  <c r="AI50" i="35"/>
  <c r="P50" i="35" s="1"/>
  <c r="AH50" i="35"/>
  <c r="O50" i="35" s="1"/>
  <c r="AG50" i="35"/>
  <c r="N50" i="35" s="1"/>
  <c r="AF50" i="35"/>
  <c r="M50" i="35" s="1"/>
  <c r="AE50" i="35"/>
  <c r="L50" i="35" s="1"/>
  <c r="AD50" i="35"/>
  <c r="K50" i="35" s="1"/>
  <c r="AC50" i="35"/>
  <c r="J50" i="35" s="1"/>
  <c r="AB50" i="35"/>
  <c r="I50" i="35" s="1"/>
  <c r="AA50" i="35"/>
  <c r="H50" i="35" s="1"/>
  <c r="Z50" i="35"/>
  <c r="G50" i="35" s="1"/>
  <c r="Y50" i="35"/>
  <c r="F50" i="35" s="1"/>
  <c r="X50" i="35"/>
  <c r="E50" i="35" s="1"/>
  <c r="W50" i="35"/>
  <c r="AK49" i="35"/>
  <c r="R49" i="35" s="1"/>
  <c r="AJ49" i="35"/>
  <c r="Q49" i="35" s="1"/>
  <c r="AI49" i="35"/>
  <c r="P49" i="35" s="1"/>
  <c r="AH49" i="35"/>
  <c r="O49" i="35" s="1"/>
  <c r="AG49" i="35"/>
  <c r="N49" i="35" s="1"/>
  <c r="AF49" i="35"/>
  <c r="M49" i="35" s="1"/>
  <c r="AE49" i="35"/>
  <c r="L49" i="35" s="1"/>
  <c r="AD49" i="35"/>
  <c r="K49" i="35" s="1"/>
  <c r="AC49" i="35"/>
  <c r="J49" i="35" s="1"/>
  <c r="AB49" i="35"/>
  <c r="I49" i="35" s="1"/>
  <c r="AA49" i="35"/>
  <c r="H49" i="35" s="1"/>
  <c r="Z49" i="35"/>
  <c r="G49" i="35" s="1"/>
  <c r="Y49" i="35"/>
  <c r="F49" i="35" s="1"/>
  <c r="X49" i="35"/>
  <c r="E49" i="35" s="1"/>
  <c r="W49" i="35"/>
  <c r="AK48" i="35"/>
  <c r="R48" i="35" s="1"/>
  <c r="AJ48" i="35"/>
  <c r="Q48" i="35" s="1"/>
  <c r="AI48" i="35"/>
  <c r="P48" i="35" s="1"/>
  <c r="AH48" i="35"/>
  <c r="O48" i="35" s="1"/>
  <c r="AG48" i="35"/>
  <c r="N48" i="35" s="1"/>
  <c r="AF48" i="35"/>
  <c r="M48" i="35" s="1"/>
  <c r="AE48" i="35"/>
  <c r="L48" i="35" s="1"/>
  <c r="AD48" i="35"/>
  <c r="K48" i="35" s="1"/>
  <c r="AC48" i="35"/>
  <c r="J48" i="35" s="1"/>
  <c r="AB48" i="35"/>
  <c r="I48" i="35" s="1"/>
  <c r="AA48" i="35"/>
  <c r="H48" i="35" s="1"/>
  <c r="Z48" i="35"/>
  <c r="G48" i="35" s="1"/>
  <c r="Y48" i="35"/>
  <c r="F48" i="35" s="1"/>
  <c r="X48" i="35"/>
  <c r="E48" i="35" s="1"/>
  <c r="W48" i="35"/>
  <c r="AK47" i="35"/>
  <c r="R47" i="35" s="1"/>
  <c r="AJ47" i="35"/>
  <c r="Q47" i="35" s="1"/>
  <c r="AI47" i="35"/>
  <c r="P47" i="35" s="1"/>
  <c r="AH47" i="35"/>
  <c r="O47" i="35" s="1"/>
  <c r="AG47" i="35"/>
  <c r="N47" i="35" s="1"/>
  <c r="AF47" i="35"/>
  <c r="M47" i="35" s="1"/>
  <c r="AE47" i="35"/>
  <c r="L47" i="35" s="1"/>
  <c r="AD47" i="35"/>
  <c r="K47" i="35" s="1"/>
  <c r="AC47" i="35"/>
  <c r="J47" i="35" s="1"/>
  <c r="AB47" i="35"/>
  <c r="I47" i="35" s="1"/>
  <c r="AA47" i="35"/>
  <c r="H47" i="35" s="1"/>
  <c r="Z47" i="35"/>
  <c r="G47" i="35" s="1"/>
  <c r="Y47" i="35"/>
  <c r="F47" i="35" s="1"/>
  <c r="X47" i="35"/>
  <c r="E47" i="35" s="1"/>
  <c r="W47" i="35"/>
  <c r="AK46" i="35"/>
  <c r="R46" i="35" s="1"/>
  <c r="AJ46" i="35"/>
  <c r="Q46" i="35" s="1"/>
  <c r="AI46" i="35"/>
  <c r="P46" i="35" s="1"/>
  <c r="AH46" i="35"/>
  <c r="O46" i="35" s="1"/>
  <c r="AG46" i="35"/>
  <c r="N46" i="35" s="1"/>
  <c r="AF46" i="35"/>
  <c r="M46" i="35" s="1"/>
  <c r="AE46" i="35"/>
  <c r="L46" i="35" s="1"/>
  <c r="AD46" i="35"/>
  <c r="K46" i="35" s="1"/>
  <c r="AC46" i="35"/>
  <c r="J46" i="35" s="1"/>
  <c r="AB46" i="35"/>
  <c r="I46" i="35" s="1"/>
  <c r="AA46" i="35"/>
  <c r="H46" i="35" s="1"/>
  <c r="Z46" i="35"/>
  <c r="G46" i="35" s="1"/>
  <c r="Y46" i="35"/>
  <c r="F46" i="35" s="1"/>
  <c r="X46" i="35"/>
  <c r="E46" i="35" s="1"/>
  <c r="W46" i="35"/>
  <c r="AK45" i="35"/>
  <c r="R45" i="35" s="1"/>
  <c r="AJ45" i="35"/>
  <c r="Q45" i="35" s="1"/>
  <c r="AI45" i="35"/>
  <c r="P45" i="35" s="1"/>
  <c r="AH45" i="35"/>
  <c r="O45" i="35" s="1"/>
  <c r="AG45" i="35"/>
  <c r="N45" i="35" s="1"/>
  <c r="AF45" i="35"/>
  <c r="M45" i="35" s="1"/>
  <c r="AE45" i="35"/>
  <c r="L45" i="35" s="1"/>
  <c r="AD45" i="35"/>
  <c r="K45" i="35" s="1"/>
  <c r="AC45" i="35"/>
  <c r="J45" i="35" s="1"/>
  <c r="AB45" i="35"/>
  <c r="I45" i="35" s="1"/>
  <c r="AA45" i="35"/>
  <c r="H45" i="35" s="1"/>
  <c r="Z45" i="35"/>
  <c r="G45" i="35" s="1"/>
  <c r="Y45" i="35"/>
  <c r="F45" i="35" s="1"/>
  <c r="X45" i="35"/>
  <c r="E45" i="35" s="1"/>
  <c r="W45" i="35"/>
  <c r="AK44" i="35"/>
  <c r="R44" i="35" s="1"/>
  <c r="AJ44" i="35"/>
  <c r="Q44" i="35" s="1"/>
  <c r="AI44" i="35"/>
  <c r="P44" i="35" s="1"/>
  <c r="AH44" i="35"/>
  <c r="O44" i="35" s="1"/>
  <c r="AG44" i="35"/>
  <c r="N44" i="35" s="1"/>
  <c r="AF44" i="35"/>
  <c r="M44" i="35" s="1"/>
  <c r="AE44" i="35"/>
  <c r="L44" i="35" s="1"/>
  <c r="AD44" i="35"/>
  <c r="K44" i="35" s="1"/>
  <c r="AC44" i="35"/>
  <c r="J44" i="35" s="1"/>
  <c r="AB44" i="35"/>
  <c r="I44" i="35" s="1"/>
  <c r="AA44" i="35"/>
  <c r="H44" i="35" s="1"/>
  <c r="Z44" i="35"/>
  <c r="G44" i="35" s="1"/>
  <c r="Y44" i="35"/>
  <c r="F44" i="35" s="1"/>
  <c r="X44" i="35"/>
  <c r="E44" i="35" s="1"/>
  <c r="W44" i="35"/>
  <c r="AK43" i="35"/>
  <c r="R43" i="35" s="1"/>
  <c r="AJ43" i="35"/>
  <c r="Q43" i="35" s="1"/>
  <c r="AI43" i="35"/>
  <c r="P43" i="35" s="1"/>
  <c r="AH43" i="35"/>
  <c r="O43" i="35" s="1"/>
  <c r="AG43" i="35"/>
  <c r="N43" i="35" s="1"/>
  <c r="AF43" i="35"/>
  <c r="M43" i="35" s="1"/>
  <c r="AE43" i="35"/>
  <c r="L43" i="35" s="1"/>
  <c r="AD43" i="35"/>
  <c r="K43" i="35" s="1"/>
  <c r="AC43" i="35"/>
  <c r="J43" i="35" s="1"/>
  <c r="AB43" i="35"/>
  <c r="I43" i="35" s="1"/>
  <c r="AA43" i="35"/>
  <c r="H43" i="35" s="1"/>
  <c r="Z43" i="35"/>
  <c r="G43" i="35" s="1"/>
  <c r="Y43" i="35"/>
  <c r="F43" i="35" s="1"/>
  <c r="X43" i="35"/>
  <c r="E43" i="35" s="1"/>
  <c r="W43" i="35"/>
  <c r="AK42" i="35"/>
  <c r="R42" i="35" s="1"/>
  <c r="AJ42" i="35"/>
  <c r="Q42" i="35" s="1"/>
  <c r="AI42" i="35"/>
  <c r="P42" i="35" s="1"/>
  <c r="AH42" i="35"/>
  <c r="O42" i="35" s="1"/>
  <c r="AG42" i="35"/>
  <c r="N42" i="35" s="1"/>
  <c r="AF42" i="35"/>
  <c r="M42" i="35" s="1"/>
  <c r="AE42" i="35"/>
  <c r="L42" i="35" s="1"/>
  <c r="AD42" i="35"/>
  <c r="K42" i="35" s="1"/>
  <c r="AC42" i="35"/>
  <c r="J42" i="35" s="1"/>
  <c r="AB42" i="35"/>
  <c r="I42" i="35" s="1"/>
  <c r="AA42" i="35"/>
  <c r="H42" i="35" s="1"/>
  <c r="Z42" i="35"/>
  <c r="G42" i="35" s="1"/>
  <c r="Y42" i="35"/>
  <c r="F42" i="35" s="1"/>
  <c r="X42" i="35"/>
  <c r="E42" i="35" s="1"/>
  <c r="W42" i="35"/>
  <c r="AK37" i="35"/>
  <c r="R37" i="35" s="1"/>
  <c r="AJ37" i="35"/>
  <c r="Q37" i="35" s="1"/>
  <c r="AI37" i="35"/>
  <c r="P37" i="35" s="1"/>
  <c r="AH37" i="35"/>
  <c r="O37" i="35" s="1"/>
  <c r="AG37" i="35"/>
  <c r="N37" i="35" s="1"/>
  <c r="AF37" i="35"/>
  <c r="M37" i="35" s="1"/>
  <c r="AE37" i="35"/>
  <c r="L37" i="35" s="1"/>
  <c r="AD37" i="35"/>
  <c r="K37" i="35" s="1"/>
  <c r="AC37" i="35"/>
  <c r="J37" i="35" s="1"/>
  <c r="AB37" i="35"/>
  <c r="I37" i="35" s="1"/>
  <c r="AA37" i="35"/>
  <c r="H37" i="35" s="1"/>
  <c r="Z37" i="35"/>
  <c r="G37" i="35" s="1"/>
  <c r="Y37" i="35"/>
  <c r="F37" i="35" s="1"/>
  <c r="X37" i="35"/>
  <c r="E37" i="35" s="1"/>
  <c r="W37" i="35"/>
  <c r="AK36" i="35"/>
  <c r="R36" i="35" s="1"/>
  <c r="AJ36" i="35"/>
  <c r="Q36" i="35" s="1"/>
  <c r="AI36" i="35"/>
  <c r="P36" i="35" s="1"/>
  <c r="AH36" i="35"/>
  <c r="O36" i="35" s="1"/>
  <c r="AG36" i="35"/>
  <c r="N36" i="35" s="1"/>
  <c r="AF36" i="35"/>
  <c r="M36" i="35" s="1"/>
  <c r="AE36" i="35"/>
  <c r="L36" i="35" s="1"/>
  <c r="AD36" i="35"/>
  <c r="K36" i="35" s="1"/>
  <c r="AC36" i="35"/>
  <c r="J36" i="35" s="1"/>
  <c r="AB36" i="35"/>
  <c r="I36" i="35" s="1"/>
  <c r="AA36" i="35"/>
  <c r="H36" i="35" s="1"/>
  <c r="Z36" i="35"/>
  <c r="G36" i="35" s="1"/>
  <c r="Y36" i="35"/>
  <c r="F36" i="35" s="1"/>
  <c r="X36" i="35"/>
  <c r="E36" i="35" s="1"/>
  <c r="W36" i="35"/>
  <c r="AK35" i="35"/>
  <c r="R35" i="35" s="1"/>
  <c r="AJ35" i="35"/>
  <c r="Q35" i="35" s="1"/>
  <c r="AI35" i="35"/>
  <c r="P35" i="35" s="1"/>
  <c r="AH35" i="35"/>
  <c r="O35" i="35" s="1"/>
  <c r="AG35" i="35"/>
  <c r="N35" i="35" s="1"/>
  <c r="AF35" i="35"/>
  <c r="M35" i="35" s="1"/>
  <c r="AE35" i="35"/>
  <c r="L35" i="35" s="1"/>
  <c r="AD35" i="35"/>
  <c r="K35" i="35" s="1"/>
  <c r="AC35" i="35"/>
  <c r="J35" i="35" s="1"/>
  <c r="AB35" i="35"/>
  <c r="I35" i="35" s="1"/>
  <c r="AA35" i="35"/>
  <c r="H35" i="35" s="1"/>
  <c r="Z35" i="35"/>
  <c r="G35" i="35" s="1"/>
  <c r="Y35" i="35"/>
  <c r="F35" i="35" s="1"/>
  <c r="X35" i="35"/>
  <c r="E35" i="35" s="1"/>
  <c r="W35" i="35"/>
  <c r="AK34" i="35"/>
  <c r="R34" i="35" s="1"/>
  <c r="AJ34" i="35"/>
  <c r="Q34" i="35" s="1"/>
  <c r="AI34" i="35"/>
  <c r="P34" i="35" s="1"/>
  <c r="AH34" i="35"/>
  <c r="O34" i="35" s="1"/>
  <c r="AG34" i="35"/>
  <c r="N34" i="35" s="1"/>
  <c r="AF34" i="35"/>
  <c r="M34" i="35" s="1"/>
  <c r="AE34" i="35"/>
  <c r="L34" i="35" s="1"/>
  <c r="AD34" i="35"/>
  <c r="K34" i="35" s="1"/>
  <c r="AC34" i="35"/>
  <c r="J34" i="35" s="1"/>
  <c r="AB34" i="35"/>
  <c r="I34" i="35" s="1"/>
  <c r="AA34" i="35"/>
  <c r="H34" i="35" s="1"/>
  <c r="Z34" i="35"/>
  <c r="G34" i="35" s="1"/>
  <c r="Y34" i="35"/>
  <c r="F34" i="35" s="1"/>
  <c r="X34" i="35"/>
  <c r="E34" i="35" s="1"/>
  <c r="W34" i="35"/>
  <c r="AK33" i="35"/>
  <c r="R33" i="35" s="1"/>
  <c r="AJ33" i="35"/>
  <c r="Q33" i="35" s="1"/>
  <c r="AI33" i="35"/>
  <c r="P33" i="35" s="1"/>
  <c r="AH33" i="35"/>
  <c r="O33" i="35" s="1"/>
  <c r="AG33" i="35"/>
  <c r="N33" i="35" s="1"/>
  <c r="AF33" i="35"/>
  <c r="M33" i="35" s="1"/>
  <c r="AE33" i="35"/>
  <c r="L33" i="35" s="1"/>
  <c r="AD33" i="35"/>
  <c r="K33" i="35" s="1"/>
  <c r="AC33" i="35"/>
  <c r="J33" i="35" s="1"/>
  <c r="AB33" i="35"/>
  <c r="I33" i="35" s="1"/>
  <c r="AA33" i="35"/>
  <c r="H33" i="35" s="1"/>
  <c r="Z33" i="35"/>
  <c r="G33" i="35" s="1"/>
  <c r="Y33" i="35"/>
  <c r="F33" i="35" s="1"/>
  <c r="X33" i="35"/>
  <c r="E33" i="35" s="1"/>
  <c r="W33" i="35"/>
  <c r="AK32" i="35"/>
  <c r="R32" i="35" s="1"/>
  <c r="AJ32" i="35"/>
  <c r="Q32" i="35" s="1"/>
  <c r="AI32" i="35"/>
  <c r="P32" i="35" s="1"/>
  <c r="AH32" i="35"/>
  <c r="O32" i="35" s="1"/>
  <c r="AG32" i="35"/>
  <c r="N32" i="35" s="1"/>
  <c r="AF32" i="35"/>
  <c r="M32" i="35" s="1"/>
  <c r="AE32" i="35"/>
  <c r="L32" i="35" s="1"/>
  <c r="AD32" i="35"/>
  <c r="K32" i="35" s="1"/>
  <c r="AC32" i="35"/>
  <c r="J32" i="35" s="1"/>
  <c r="AB32" i="35"/>
  <c r="I32" i="35" s="1"/>
  <c r="AA32" i="35"/>
  <c r="H32" i="35" s="1"/>
  <c r="Z32" i="35"/>
  <c r="G32" i="35" s="1"/>
  <c r="Y32" i="35"/>
  <c r="F32" i="35" s="1"/>
  <c r="X32" i="35"/>
  <c r="E32" i="35" s="1"/>
  <c r="W32" i="35"/>
  <c r="AK31" i="35"/>
  <c r="R31" i="35" s="1"/>
  <c r="AJ31" i="35"/>
  <c r="Q31" i="35" s="1"/>
  <c r="AI31" i="35"/>
  <c r="P31" i="35" s="1"/>
  <c r="AH31" i="35"/>
  <c r="O31" i="35" s="1"/>
  <c r="AG31" i="35"/>
  <c r="N31" i="35" s="1"/>
  <c r="AF31" i="35"/>
  <c r="M31" i="35" s="1"/>
  <c r="AE31" i="35"/>
  <c r="L31" i="35" s="1"/>
  <c r="AD31" i="35"/>
  <c r="K31" i="35" s="1"/>
  <c r="AC31" i="35"/>
  <c r="J31" i="35" s="1"/>
  <c r="AB31" i="35"/>
  <c r="I31" i="35" s="1"/>
  <c r="AA31" i="35"/>
  <c r="H31" i="35" s="1"/>
  <c r="Z31" i="35"/>
  <c r="G31" i="35" s="1"/>
  <c r="Y31" i="35"/>
  <c r="F31" i="35" s="1"/>
  <c r="X31" i="35"/>
  <c r="E31" i="35" s="1"/>
  <c r="W31" i="35"/>
  <c r="AK30" i="35"/>
  <c r="R30" i="35" s="1"/>
  <c r="AJ30" i="35"/>
  <c r="Q30" i="35" s="1"/>
  <c r="AI30" i="35"/>
  <c r="P30" i="35" s="1"/>
  <c r="AH30" i="35"/>
  <c r="O30" i="35" s="1"/>
  <c r="AG30" i="35"/>
  <c r="N30" i="35" s="1"/>
  <c r="AF30" i="35"/>
  <c r="M30" i="35" s="1"/>
  <c r="AE30" i="35"/>
  <c r="L30" i="35" s="1"/>
  <c r="AD30" i="35"/>
  <c r="K30" i="35" s="1"/>
  <c r="AC30" i="35"/>
  <c r="J30" i="35" s="1"/>
  <c r="AB30" i="35"/>
  <c r="I30" i="35" s="1"/>
  <c r="AA30" i="35"/>
  <c r="H30" i="35" s="1"/>
  <c r="Z30" i="35"/>
  <c r="G30" i="35" s="1"/>
  <c r="Y30" i="35"/>
  <c r="F30" i="35" s="1"/>
  <c r="X30" i="35"/>
  <c r="E30" i="35" s="1"/>
  <c r="W30" i="35"/>
  <c r="AK29" i="35"/>
  <c r="R29" i="35" s="1"/>
  <c r="AJ29" i="35"/>
  <c r="Q29" i="35" s="1"/>
  <c r="AI29" i="35"/>
  <c r="P29" i="35" s="1"/>
  <c r="AH29" i="35"/>
  <c r="O29" i="35" s="1"/>
  <c r="AG29" i="35"/>
  <c r="N29" i="35" s="1"/>
  <c r="AF29" i="35"/>
  <c r="M29" i="35" s="1"/>
  <c r="AE29" i="35"/>
  <c r="L29" i="35" s="1"/>
  <c r="AD29" i="35"/>
  <c r="K29" i="35" s="1"/>
  <c r="AC29" i="35"/>
  <c r="J29" i="35" s="1"/>
  <c r="AB29" i="35"/>
  <c r="I29" i="35" s="1"/>
  <c r="AA29" i="35"/>
  <c r="H29" i="35" s="1"/>
  <c r="Z29" i="35"/>
  <c r="G29" i="35" s="1"/>
  <c r="Y29" i="35"/>
  <c r="F29" i="35" s="1"/>
  <c r="X29" i="35"/>
  <c r="E29" i="35" s="1"/>
  <c r="W29" i="35"/>
  <c r="AK28" i="35"/>
  <c r="R28" i="35" s="1"/>
  <c r="AJ28" i="35"/>
  <c r="Q28" i="35" s="1"/>
  <c r="AI28" i="35"/>
  <c r="P28" i="35" s="1"/>
  <c r="AH28" i="35"/>
  <c r="O28" i="35" s="1"/>
  <c r="AG28" i="35"/>
  <c r="N28" i="35" s="1"/>
  <c r="AF28" i="35"/>
  <c r="M28" i="35" s="1"/>
  <c r="AE28" i="35"/>
  <c r="L28" i="35" s="1"/>
  <c r="AD28" i="35"/>
  <c r="K28" i="35" s="1"/>
  <c r="AC28" i="35"/>
  <c r="J28" i="35" s="1"/>
  <c r="AB28" i="35"/>
  <c r="I28" i="35" s="1"/>
  <c r="AA28" i="35"/>
  <c r="H28" i="35" s="1"/>
  <c r="Z28" i="35"/>
  <c r="G28" i="35" s="1"/>
  <c r="Y28" i="35"/>
  <c r="F28" i="35" s="1"/>
  <c r="X28" i="35"/>
  <c r="E28" i="35" s="1"/>
  <c r="W28" i="35"/>
  <c r="AK27" i="35"/>
  <c r="R27" i="35" s="1"/>
  <c r="AJ27" i="35"/>
  <c r="Q27" i="35" s="1"/>
  <c r="AI27" i="35"/>
  <c r="P27" i="35" s="1"/>
  <c r="AH27" i="35"/>
  <c r="O27" i="35" s="1"/>
  <c r="AG27" i="35"/>
  <c r="N27" i="35" s="1"/>
  <c r="AF27" i="35"/>
  <c r="M27" i="35" s="1"/>
  <c r="AE27" i="35"/>
  <c r="L27" i="35" s="1"/>
  <c r="AD27" i="35"/>
  <c r="K27" i="35" s="1"/>
  <c r="AC27" i="35"/>
  <c r="J27" i="35" s="1"/>
  <c r="AB27" i="35"/>
  <c r="I27" i="35" s="1"/>
  <c r="AA27" i="35"/>
  <c r="H27" i="35" s="1"/>
  <c r="Z27" i="35"/>
  <c r="G27" i="35" s="1"/>
  <c r="Y27" i="35"/>
  <c r="F27" i="35" s="1"/>
  <c r="X27" i="35"/>
  <c r="E27" i="35" s="1"/>
  <c r="W27" i="35"/>
  <c r="AK26" i="35"/>
  <c r="R26" i="35" s="1"/>
  <c r="AJ26" i="35"/>
  <c r="Q26" i="35" s="1"/>
  <c r="AI26" i="35"/>
  <c r="P26" i="35" s="1"/>
  <c r="AH26" i="35"/>
  <c r="O26" i="35" s="1"/>
  <c r="AG26" i="35"/>
  <c r="N26" i="35" s="1"/>
  <c r="AF26" i="35"/>
  <c r="M26" i="35" s="1"/>
  <c r="AE26" i="35"/>
  <c r="L26" i="35" s="1"/>
  <c r="AD26" i="35"/>
  <c r="K26" i="35" s="1"/>
  <c r="AC26" i="35"/>
  <c r="J26" i="35" s="1"/>
  <c r="AB26" i="35"/>
  <c r="I26" i="35" s="1"/>
  <c r="AA26" i="35"/>
  <c r="H26" i="35" s="1"/>
  <c r="Z26" i="35"/>
  <c r="G26" i="35" s="1"/>
  <c r="Y26" i="35"/>
  <c r="F26" i="35" s="1"/>
  <c r="X26" i="35"/>
  <c r="E26" i="35" s="1"/>
  <c r="W26" i="35"/>
  <c r="D26" i="35" s="1"/>
  <c r="AK21" i="35"/>
  <c r="AJ21" i="35"/>
  <c r="AI21" i="35"/>
  <c r="AH21" i="35"/>
  <c r="AG21" i="35"/>
  <c r="AF21" i="35"/>
  <c r="AE21" i="35"/>
  <c r="AD21" i="35"/>
  <c r="AC21" i="35"/>
  <c r="AB21" i="35"/>
  <c r="AA21" i="35"/>
  <c r="Z21" i="35"/>
  <c r="Y21" i="35"/>
  <c r="X21" i="35"/>
  <c r="W21" i="35"/>
  <c r="AK20" i="35"/>
  <c r="AJ20" i="35"/>
  <c r="AI20" i="35"/>
  <c r="AH20" i="35"/>
  <c r="AG20" i="35"/>
  <c r="AF20" i="35"/>
  <c r="AE20" i="35"/>
  <c r="AD20" i="35"/>
  <c r="AC20" i="35"/>
  <c r="AB20" i="35"/>
  <c r="AA20" i="35"/>
  <c r="Z20" i="35"/>
  <c r="Y20" i="35"/>
  <c r="X20" i="35"/>
  <c r="W20" i="35"/>
  <c r="AK19" i="35"/>
  <c r="AJ19" i="35"/>
  <c r="AI19" i="35"/>
  <c r="AH19" i="35"/>
  <c r="AG19" i="35"/>
  <c r="AF19" i="35"/>
  <c r="AE19" i="35"/>
  <c r="AD19" i="35"/>
  <c r="AC19" i="35"/>
  <c r="AB19" i="35"/>
  <c r="AA19" i="35"/>
  <c r="Z19" i="35"/>
  <c r="Y19" i="35"/>
  <c r="X19" i="35"/>
  <c r="W19" i="35"/>
  <c r="AK18" i="35"/>
  <c r="AJ18" i="35"/>
  <c r="AI18" i="35"/>
  <c r="AH18" i="35"/>
  <c r="AG18" i="35"/>
  <c r="AF18" i="35"/>
  <c r="AE18" i="35"/>
  <c r="AD18" i="35"/>
  <c r="AC18" i="35"/>
  <c r="AB18" i="35"/>
  <c r="AA18" i="35"/>
  <c r="Z18" i="35"/>
  <c r="Y18" i="35"/>
  <c r="X18" i="35"/>
  <c r="W18" i="35"/>
  <c r="AK17" i="35"/>
  <c r="AJ17" i="35"/>
  <c r="AI17" i="35"/>
  <c r="AH17" i="35"/>
  <c r="AG17" i="35"/>
  <c r="AF17" i="35"/>
  <c r="AE17" i="35"/>
  <c r="AD17" i="35"/>
  <c r="AC17" i="35"/>
  <c r="AB17" i="35"/>
  <c r="AA17" i="35"/>
  <c r="Z17" i="35"/>
  <c r="Y17" i="35"/>
  <c r="X17" i="35"/>
  <c r="W17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AK14" i="35"/>
  <c r="AJ14" i="35"/>
  <c r="AI14" i="35"/>
  <c r="AH14" i="35"/>
  <c r="AG14" i="35"/>
  <c r="AF14" i="35"/>
  <c r="AE14" i="35"/>
  <c r="AD14" i="35"/>
  <c r="AC14" i="35"/>
  <c r="AB14" i="35"/>
  <c r="AA14" i="35"/>
  <c r="Z14" i="35"/>
  <c r="Y14" i="35"/>
  <c r="X14" i="35"/>
  <c r="W14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U21" i="35"/>
  <c r="AL180" i="45"/>
  <c r="R180" i="45" s="1"/>
  <c r="AK180" i="45"/>
  <c r="Q180" i="45" s="1"/>
  <c r="AJ180" i="45"/>
  <c r="P180" i="45" s="1"/>
  <c r="AI180" i="45"/>
  <c r="O180" i="45" s="1"/>
  <c r="AH180" i="45"/>
  <c r="N180" i="45" s="1"/>
  <c r="AG180" i="45"/>
  <c r="M180" i="45" s="1"/>
  <c r="AF180" i="45"/>
  <c r="L180" i="45" s="1"/>
  <c r="AE180" i="45"/>
  <c r="K180" i="45" s="1"/>
  <c r="AD180" i="45"/>
  <c r="J180" i="45" s="1"/>
  <c r="AC180" i="45"/>
  <c r="I180" i="45" s="1"/>
  <c r="AB180" i="45"/>
  <c r="H180" i="45" s="1"/>
  <c r="AA180" i="45"/>
  <c r="G180" i="45" s="1"/>
  <c r="Z180" i="45"/>
  <c r="F180" i="45" s="1"/>
  <c r="Y180" i="45"/>
  <c r="E180" i="45" s="1"/>
  <c r="X180" i="45"/>
  <c r="D180" i="45" s="1"/>
  <c r="AL175" i="45"/>
  <c r="R175" i="45" s="1"/>
  <c r="AK175" i="45"/>
  <c r="Q175" i="45" s="1"/>
  <c r="AJ175" i="45"/>
  <c r="P175" i="45" s="1"/>
  <c r="AI175" i="45"/>
  <c r="O175" i="45" s="1"/>
  <c r="AH175" i="45"/>
  <c r="N175" i="45" s="1"/>
  <c r="AG175" i="45"/>
  <c r="M175" i="45" s="1"/>
  <c r="AF175" i="45"/>
  <c r="L175" i="45" s="1"/>
  <c r="AE175" i="45"/>
  <c r="K175" i="45" s="1"/>
  <c r="AD175" i="45"/>
  <c r="J175" i="45" s="1"/>
  <c r="AC175" i="45"/>
  <c r="I175" i="45" s="1"/>
  <c r="AB175" i="45"/>
  <c r="H175" i="45" s="1"/>
  <c r="AA175" i="45"/>
  <c r="G175" i="45" s="1"/>
  <c r="Z175" i="45"/>
  <c r="F175" i="45" s="1"/>
  <c r="Y175" i="45"/>
  <c r="E175" i="45" s="1"/>
  <c r="X175" i="45"/>
  <c r="D175" i="45" s="1"/>
  <c r="AL174" i="45"/>
  <c r="R174" i="45" s="1"/>
  <c r="AK174" i="45"/>
  <c r="Q174" i="45" s="1"/>
  <c r="AJ174" i="45"/>
  <c r="P174" i="45" s="1"/>
  <c r="AI174" i="45"/>
  <c r="O174" i="45" s="1"/>
  <c r="AH174" i="45"/>
  <c r="N174" i="45" s="1"/>
  <c r="AG174" i="45"/>
  <c r="M174" i="45" s="1"/>
  <c r="AF174" i="45"/>
  <c r="L174" i="45" s="1"/>
  <c r="AE174" i="45"/>
  <c r="K174" i="45" s="1"/>
  <c r="AD174" i="45"/>
  <c r="J174" i="45" s="1"/>
  <c r="AC174" i="45"/>
  <c r="I174" i="45" s="1"/>
  <c r="AB174" i="45"/>
  <c r="H174" i="45" s="1"/>
  <c r="AA174" i="45"/>
  <c r="G174" i="45" s="1"/>
  <c r="Z174" i="45"/>
  <c r="F174" i="45" s="1"/>
  <c r="Y174" i="45"/>
  <c r="E174" i="45" s="1"/>
  <c r="X174" i="45"/>
  <c r="D174" i="45" s="1"/>
  <c r="AL173" i="45"/>
  <c r="R173" i="45" s="1"/>
  <c r="AK173" i="45"/>
  <c r="Q173" i="45" s="1"/>
  <c r="AJ173" i="45"/>
  <c r="P173" i="45" s="1"/>
  <c r="AI173" i="45"/>
  <c r="O173" i="45" s="1"/>
  <c r="AH173" i="45"/>
  <c r="N173" i="45" s="1"/>
  <c r="AG173" i="45"/>
  <c r="M173" i="45" s="1"/>
  <c r="AF173" i="45"/>
  <c r="L173" i="45" s="1"/>
  <c r="AE173" i="45"/>
  <c r="K173" i="45" s="1"/>
  <c r="AD173" i="45"/>
  <c r="J173" i="45" s="1"/>
  <c r="AC173" i="45"/>
  <c r="I173" i="45" s="1"/>
  <c r="AB173" i="45"/>
  <c r="H173" i="45" s="1"/>
  <c r="AA173" i="45"/>
  <c r="G173" i="45" s="1"/>
  <c r="Z173" i="45"/>
  <c r="F173" i="45" s="1"/>
  <c r="Y173" i="45"/>
  <c r="E173" i="45" s="1"/>
  <c r="X173" i="45"/>
  <c r="D173" i="45" s="1"/>
  <c r="AL172" i="45"/>
  <c r="R172" i="45" s="1"/>
  <c r="AK172" i="45"/>
  <c r="Q172" i="45" s="1"/>
  <c r="AJ172" i="45"/>
  <c r="P172" i="45" s="1"/>
  <c r="AI172" i="45"/>
  <c r="O172" i="45" s="1"/>
  <c r="AH172" i="45"/>
  <c r="N172" i="45" s="1"/>
  <c r="AG172" i="45"/>
  <c r="M172" i="45" s="1"/>
  <c r="AF172" i="45"/>
  <c r="L172" i="45" s="1"/>
  <c r="AE172" i="45"/>
  <c r="K172" i="45" s="1"/>
  <c r="AD172" i="45"/>
  <c r="J172" i="45" s="1"/>
  <c r="AC172" i="45"/>
  <c r="I172" i="45" s="1"/>
  <c r="AB172" i="45"/>
  <c r="H172" i="45" s="1"/>
  <c r="AA172" i="45"/>
  <c r="G172" i="45" s="1"/>
  <c r="Z172" i="45"/>
  <c r="F172" i="45" s="1"/>
  <c r="Y172" i="45"/>
  <c r="E172" i="45" s="1"/>
  <c r="X172" i="45"/>
  <c r="D172" i="45" s="1"/>
  <c r="AL171" i="45"/>
  <c r="R171" i="45" s="1"/>
  <c r="AK171" i="45"/>
  <c r="Q171" i="45" s="1"/>
  <c r="AJ171" i="45"/>
  <c r="P171" i="45" s="1"/>
  <c r="AI171" i="45"/>
  <c r="O171" i="45" s="1"/>
  <c r="AH171" i="45"/>
  <c r="N171" i="45" s="1"/>
  <c r="AG171" i="45"/>
  <c r="M171" i="45" s="1"/>
  <c r="AF171" i="45"/>
  <c r="L171" i="45" s="1"/>
  <c r="AE171" i="45"/>
  <c r="K171" i="45" s="1"/>
  <c r="AD171" i="45"/>
  <c r="J171" i="45" s="1"/>
  <c r="AC171" i="45"/>
  <c r="I171" i="45" s="1"/>
  <c r="AB171" i="45"/>
  <c r="H171" i="45" s="1"/>
  <c r="AA171" i="45"/>
  <c r="G171" i="45" s="1"/>
  <c r="Z171" i="45"/>
  <c r="F171" i="45" s="1"/>
  <c r="Y171" i="45"/>
  <c r="E171" i="45" s="1"/>
  <c r="X171" i="45"/>
  <c r="D171" i="45" s="1"/>
  <c r="AL170" i="45"/>
  <c r="R170" i="45" s="1"/>
  <c r="AK170" i="45"/>
  <c r="Q170" i="45" s="1"/>
  <c r="AJ170" i="45"/>
  <c r="P170" i="45" s="1"/>
  <c r="AI170" i="45"/>
  <c r="O170" i="45" s="1"/>
  <c r="AH170" i="45"/>
  <c r="N170" i="45" s="1"/>
  <c r="AG170" i="45"/>
  <c r="M170" i="45" s="1"/>
  <c r="AF170" i="45"/>
  <c r="L170" i="45" s="1"/>
  <c r="AE170" i="45"/>
  <c r="K170" i="45" s="1"/>
  <c r="AD170" i="45"/>
  <c r="J170" i="45" s="1"/>
  <c r="AC170" i="45"/>
  <c r="I170" i="45" s="1"/>
  <c r="AB170" i="45"/>
  <c r="H170" i="45" s="1"/>
  <c r="AA170" i="45"/>
  <c r="G170" i="45" s="1"/>
  <c r="Z170" i="45"/>
  <c r="F170" i="45" s="1"/>
  <c r="Y170" i="45"/>
  <c r="E170" i="45" s="1"/>
  <c r="X170" i="45"/>
  <c r="D170" i="45" s="1"/>
  <c r="AL169" i="45"/>
  <c r="R169" i="45" s="1"/>
  <c r="AK169" i="45"/>
  <c r="Q169" i="45" s="1"/>
  <c r="AJ169" i="45"/>
  <c r="P169" i="45" s="1"/>
  <c r="AI169" i="45"/>
  <c r="O169" i="45" s="1"/>
  <c r="AH169" i="45"/>
  <c r="N169" i="45" s="1"/>
  <c r="AG169" i="45"/>
  <c r="M169" i="45" s="1"/>
  <c r="AF169" i="45"/>
  <c r="L169" i="45" s="1"/>
  <c r="AE169" i="45"/>
  <c r="K169" i="45" s="1"/>
  <c r="AD169" i="45"/>
  <c r="J169" i="45" s="1"/>
  <c r="AC169" i="45"/>
  <c r="I169" i="45" s="1"/>
  <c r="AB169" i="45"/>
  <c r="H169" i="45" s="1"/>
  <c r="AA169" i="45"/>
  <c r="G169" i="45" s="1"/>
  <c r="Z169" i="45"/>
  <c r="F169" i="45" s="1"/>
  <c r="Y169" i="45"/>
  <c r="E169" i="45" s="1"/>
  <c r="X169" i="45"/>
  <c r="D169" i="45" s="1"/>
  <c r="AL168" i="45"/>
  <c r="R168" i="45" s="1"/>
  <c r="AK168" i="45"/>
  <c r="Q168" i="45" s="1"/>
  <c r="AJ168" i="45"/>
  <c r="P168" i="45" s="1"/>
  <c r="AI168" i="45"/>
  <c r="O168" i="45" s="1"/>
  <c r="AH168" i="45"/>
  <c r="N168" i="45" s="1"/>
  <c r="AG168" i="45"/>
  <c r="M168" i="45" s="1"/>
  <c r="AF168" i="45"/>
  <c r="L168" i="45" s="1"/>
  <c r="AE168" i="45"/>
  <c r="K168" i="45" s="1"/>
  <c r="AD168" i="45"/>
  <c r="J168" i="45" s="1"/>
  <c r="AC168" i="45"/>
  <c r="I168" i="45" s="1"/>
  <c r="AB168" i="45"/>
  <c r="H168" i="45" s="1"/>
  <c r="AA168" i="45"/>
  <c r="G168" i="45" s="1"/>
  <c r="Z168" i="45"/>
  <c r="F168" i="45" s="1"/>
  <c r="Y168" i="45"/>
  <c r="E168" i="45" s="1"/>
  <c r="X168" i="45"/>
  <c r="D168" i="45" s="1"/>
  <c r="AL167" i="45"/>
  <c r="R167" i="45" s="1"/>
  <c r="AK167" i="45"/>
  <c r="Q167" i="45" s="1"/>
  <c r="AJ167" i="45"/>
  <c r="P167" i="45" s="1"/>
  <c r="AI167" i="45"/>
  <c r="O167" i="45" s="1"/>
  <c r="AH167" i="45"/>
  <c r="N167" i="45" s="1"/>
  <c r="AG167" i="45"/>
  <c r="M167" i="45" s="1"/>
  <c r="AF167" i="45"/>
  <c r="L167" i="45" s="1"/>
  <c r="AE167" i="45"/>
  <c r="K167" i="45" s="1"/>
  <c r="AD167" i="45"/>
  <c r="J167" i="45" s="1"/>
  <c r="AC167" i="45"/>
  <c r="I167" i="45" s="1"/>
  <c r="AB167" i="45"/>
  <c r="H167" i="45" s="1"/>
  <c r="AA167" i="45"/>
  <c r="G167" i="45" s="1"/>
  <c r="Z167" i="45"/>
  <c r="F167" i="45" s="1"/>
  <c r="Y167" i="45"/>
  <c r="E167" i="45" s="1"/>
  <c r="X167" i="45"/>
  <c r="D167" i="45" s="1"/>
  <c r="AL166" i="45"/>
  <c r="R166" i="45" s="1"/>
  <c r="AK166" i="45"/>
  <c r="Q166" i="45" s="1"/>
  <c r="AJ166" i="45"/>
  <c r="P166" i="45" s="1"/>
  <c r="AI166" i="45"/>
  <c r="O166" i="45" s="1"/>
  <c r="AH166" i="45"/>
  <c r="N166" i="45" s="1"/>
  <c r="AG166" i="45"/>
  <c r="M166" i="45" s="1"/>
  <c r="AF166" i="45"/>
  <c r="L166" i="45" s="1"/>
  <c r="AE166" i="45"/>
  <c r="K166" i="45" s="1"/>
  <c r="AD166" i="45"/>
  <c r="J166" i="45" s="1"/>
  <c r="AC166" i="45"/>
  <c r="I166" i="45" s="1"/>
  <c r="AB166" i="45"/>
  <c r="H166" i="45" s="1"/>
  <c r="AA166" i="45"/>
  <c r="G166" i="45" s="1"/>
  <c r="Z166" i="45"/>
  <c r="F166" i="45" s="1"/>
  <c r="Y166" i="45"/>
  <c r="E166" i="45" s="1"/>
  <c r="X166" i="45"/>
  <c r="D166" i="45" s="1"/>
  <c r="AL165" i="45"/>
  <c r="R165" i="45" s="1"/>
  <c r="AK165" i="45"/>
  <c r="Q165" i="45" s="1"/>
  <c r="AJ165" i="45"/>
  <c r="P165" i="45" s="1"/>
  <c r="AI165" i="45"/>
  <c r="O165" i="45" s="1"/>
  <c r="AH165" i="45"/>
  <c r="N165" i="45" s="1"/>
  <c r="AG165" i="45"/>
  <c r="M165" i="45" s="1"/>
  <c r="AF165" i="45"/>
  <c r="L165" i="45" s="1"/>
  <c r="AE165" i="45"/>
  <c r="K165" i="45" s="1"/>
  <c r="AD165" i="45"/>
  <c r="J165" i="45" s="1"/>
  <c r="AC165" i="45"/>
  <c r="I165" i="45" s="1"/>
  <c r="AB165" i="45"/>
  <c r="H165" i="45" s="1"/>
  <c r="AA165" i="45"/>
  <c r="G165" i="45" s="1"/>
  <c r="Z165" i="45"/>
  <c r="F165" i="45" s="1"/>
  <c r="Y165" i="45"/>
  <c r="E165" i="45" s="1"/>
  <c r="X165" i="45"/>
  <c r="D165" i="45" s="1"/>
  <c r="AL160" i="45"/>
  <c r="R160" i="45" s="1"/>
  <c r="AK160" i="45"/>
  <c r="Q160" i="45" s="1"/>
  <c r="AJ160" i="45"/>
  <c r="P160" i="45" s="1"/>
  <c r="AI160" i="45"/>
  <c r="O160" i="45" s="1"/>
  <c r="AH160" i="45"/>
  <c r="N160" i="45" s="1"/>
  <c r="AG160" i="45"/>
  <c r="M160" i="45" s="1"/>
  <c r="AF160" i="45"/>
  <c r="L160" i="45" s="1"/>
  <c r="AE160" i="45"/>
  <c r="K160" i="45" s="1"/>
  <c r="AD160" i="45"/>
  <c r="J160" i="45" s="1"/>
  <c r="AC160" i="45"/>
  <c r="I160" i="45" s="1"/>
  <c r="AB160" i="45"/>
  <c r="H160" i="45" s="1"/>
  <c r="AA160" i="45"/>
  <c r="G160" i="45" s="1"/>
  <c r="Z160" i="45"/>
  <c r="F160" i="45" s="1"/>
  <c r="Y160" i="45"/>
  <c r="E160" i="45" s="1"/>
  <c r="X160" i="45"/>
  <c r="D160" i="45" s="1"/>
  <c r="AL145" i="45"/>
  <c r="R145" i="45" s="1"/>
  <c r="AK145" i="45"/>
  <c r="Q145" i="45" s="1"/>
  <c r="AJ145" i="45"/>
  <c r="P145" i="45" s="1"/>
  <c r="AI145" i="45"/>
  <c r="O145" i="45" s="1"/>
  <c r="AH145" i="45"/>
  <c r="N145" i="45" s="1"/>
  <c r="AG145" i="45"/>
  <c r="M145" i="45" s="1"/>
  <c r="AF145" i="45"/>
  <c r="L145" i="45" s="1"/>
  <c r="AE145" i="45"/>
  <c r="K145" i="45" s="1"/>
  <c r="AD145" i="45"/>
  <c r="J145" i="45" s="1"/>
  <c r="AC145" i="45"/>
  <c r="I145" i="45" s="1"/>
  <c r="AB145" i="45"/>
  <c r="H145" i="45" s="1"/>
  <c r="AA145" i="45"/>
  <c r="G145" i="45" s="1"/>
  <c r="Z145" i="45"/>
  <c r="F145" i="45" s="1"/>
  <c r="Y145" i="45"/>
  <c r="E145" i="45" s="1"/>
  <c r="X145" i="45"/>
  <c r="D145" i="45" s="1"/>
  <c r="AL155" i="45"/>
  <c r="R155" i="45" s="1"/>
  <c r="AB46" i="29" s="1"/>
  <c r="AK155" i="45"/>
  <c r="Q155" i="45" s="1"/>
  <c r="AA46" i="29" s="1"/>
  <c r="AJ155" i="45"/>
  <c r="P155" i="45" s="1"/>
  <c r="Z46" i="29" s="1"/>
  <c r="AI155" i="45"/>
  <c r="O155" i="45" s="1"/>
  <c r="Y46" i="29" s="1"/>
  <c r="AH155" i="45"/>
  <c r="N155" i="45" s="1"/>
  <c r="X46" i="29" s="1"/>
  <c r="AG155" i="45"/>
  <c r="M155" i="45" s="1"/>
  <c r="W46" i="29" s="1"/>
  <c r="AF155" i="45"/>
  <c r="L155" i="45" s="1"/>
  <c r="V46" i="29" s="1"/>
  <c r="AE155" i="45"/>
  <c r="K155" i="45" s="1"/>
  <c r="U46" i="29" s="1"/>
  <c r="AD155" i="45"/>
  <c r="J155" i="45" s="1"/>
  <c r="T46" i="29" s="1"/>
  <c r="AC155" i="45"/>
  <c r="I155" i="45" s="1"/>
  <c r="S46" i="29" s="1"/>
  <c r="AB155" i="45"/>
  <c r="H155" i="45" s="1"/>
  <c r="AA155" i="45"/>
  <c r="G155" i="45" s="1"/>
  <c r="Q46" i="29" s="1"/>
  <c r="Z155" i="45"/>
  <c r="F155" i="45" s="1"/>
  <c r="P46" i="29" s="1"/>
  <c r="Y155" i="45"/>
  <c r="E155" i="45" s="1"/>
  <c r="O46" i="29" s="1"/>
  <c r="X155" i="45"/>
  <c r="D155" i="45" s="1"/>
  <c r="AL144" i="45"/>
  <c r="R144" i="45" s="1"/>
  <c r="AK144" i="45"/>
  <c r="Q144" i="45" s="1"/>
  <c r="AJ144" i="45"/>
  <c r="P144" i="45" s="1"/>
  <c r="AI144" i="45"/>
  <c r="O144" i="45" s="1"/>
  <c r="AH144" i="45"/>
  <c r="N144" i="45" s="1"/>
  <c r="AG144" i="45"/>
  <c r="M144" i="45" s="1"/>
  <c r="AF144" i="45"/>
  <c r="L144" i="45" s="1"/>
  <c r="AE144" i="45"/>
  <c r="K144" i="45" s="1"/>
  <c r="AD144" i="45"/>
  <c r="J144" i="45" s="1"/>
  <c r="AC144" i="45"/>
  <c r="I144" i="45" s="1"/>
  <c r="AB144" i="45"/>
  <c r="H144" i="45" s="1"/>
  <c r="AA144" i="45"/>
  <c r="G144" i="45" s="1"/>
  <c r="Z144" i="45"/>
  <c r="F144" i="45" s="1"/>
  <c r="Y144" i="45"/>
  <c r="E144" i="45" s="1"/>
  <c r="X144" i="45"/>
  <c r="D144" i="45" s="1"/>
  <c r="AL139" i="45"/>
  <c r="R139" i="45" s="1"/>
  <c r="AK139" i="45"/>
  <c r="Q139" i="45" s="1"/>
  <c r="AJ139" i="45"/>
  <c r="P139" i="45" s="1"/>
  <c r="AI139" i="45"/>
  <c r="O139" i="45" s="1"/>
  <c r="AH139" i="45"/>
  <c r="N139" i="45" s="1"/>
  <c r="AG139" i="45"/>
  <c r="M139" i="45" s="1"/>
  <c r="AF139" i="45"/>
  <c r="L139" i="45" s="1"/>
  <c r="AE139" i="45"/>
  <c r="K139" i="45" s="1"/>
  <c r="AD139" i="45"/>
  <c r="J139" i="45" s="1"/>
  <c r="AC139" i="45"/>
  <c r="I139" i="45" s="1"/>
  <c r="AB139" i="45"/>
  <c r="H139" i="45" s="1"/>
  <c r="AA139" i="45"/>
  <c r="G139" i="45" s="1"/>
  <c r="Z139" i="45"/>
  <c r="F139" i="45" s="1"/>
  <c r="Y139" i="45"/>
  <c r="E139" i="45" s="1"/>
  <c r="X139" i="45"/>
  <c r="D139" i="45" s="1"/>
  <c r="AL138" i="45"/>
  <c r="R138" i="45" s="1"/>
  <c r="AK138" i="45"/>
  <c r="Q138" i="45" s="1"/>
  <c r="AJ138" i="45"/>
  <c r="P138" i="45" s="1"/>
  <c r="AI138" i="45"/>
  <c r="O138" i="45" s="1"/>
  <c r="AH138" i="45"/>
  <c r="N138" i="45" s="1"/>
  <c r="AG138" i="45"/>
  <c r="M138" i="45" s="1"/>
  <c r="AF138" i="45"/>
  <c r="L138" i="45" s="1"/>
  <c r="AE138" i="45"/>
  <c r="K138" i="45" s="1"/>
  <c r="AD138" i="45"/>
  <c r="J138" i="45" s="1"/>
  <c r="AC138" i="45"/>
  <c r="I138" i="45" s="1"/>
  <c r="AB138" i="45"/>
  <c r="H138" i="45" s="1"/>
  <c r="AA138" i="45"/>
  <c r="G138" i="45" s="1"/>
  <c r="Z138" i="45"/>
  <c r="F138" i="45" s="1"/>
  <c r="Y138" i="45"/>
  <c r="E138" i="45" s="1"/>
  <c r="X138" i="45"/>
  <c r="D138" i="45" s="1"/>
  <c r="AL133" i="45"/>
  <c r="R133" i="45" s="1"/>
  <c r="AK133" i="45"/>
  <c r="Q133" i="45" s="1"/>
  <c r="AJ133" i="45"/>
  <c r="P133" i="45" s="1"/>
  <c r="AI133" i="45"/>
  <c r="O133" i="45" s="1"/>
  <c r="AH133" i="45"/>
  <c r="N133" i="45" s="1"/>
  <c r="AG133" i="45"/>
  <c r="M133" i="45" s="1"/>
  <c r="AF133" i="45"/>
  <c r="L133" i="45" s="1"/>
  <c r="AE133" i="45"/>
  <c r="K133" i="45" s="1"/>
  <c r="AD133" i="45"/>
  <c r="J133" i="45" s="1"/>
  <c r="AC133" i="45"/>
  <c r="I133" i="45" s="1"/>
  <c r="AB133" i="45"/>
  <c r="H133" i="45" s="1"/>
  <c r="AA133" i="45"/>
  <c r="G133" i="45" s="1"/>
  <c r="Z133" i="45"/>
  <c r="F133" i="45" s="1"/>
  <c r="Y133" i="45"/>
  <c r="E133" i="45" s="1"/>
  <c r="X133" i="45"/>
  <c r="D133" i="45" s="1"/>
  <c r="AL132" i="45"/>
  <c r="R132" i="45" s="1"/>
  <c r="AB513" i="29" s="1"/>
  <c r="AK132" i="45"/>
  <c r="Q132" i="45" s="1"/>
  <c r="AA513" i="29" s="1"/>
  <c r="AJ132" i="45"/>
  <c r="P132" i="45" s="1"/>
  <c r="Z513" i="29" s="1"/>
  <c r="AI132" i="45"/>
  <c r="O132" i="45" s="1"/>
  <c r="Y513" i="29" s="1"/>
  <c r="AH132" i="45"/>
  <c r="N132" i="45" s="1"/>
  <c r="X513" i="29" s="1"/>
  <c r="AG132" i="45"/>
  <c r="M132" i="45" s="1"/>
  <c r="W513" i="29" s="1"/>
  <c r="AF132" i="45"/>
  <c r="L132" i="45" s="1"/>
  <c r="V513" i="29" s="1"/>
  <c r="AE132" i="45"/>
  <c r="K132" i="45" s="1"/>
  <c r="U513" i="29" s="1"/>
  <c r="AD132" i="45"/>
  <c r="J132" i="45" s="1"/>
  <c r="T513" i="29" s="1"/>
  <c r="AC132" i="45"/>
  <c r="I132" i="45" s="1"/>
  <c r="S513" i="29" s="1"/>
  <c r="AB132" i="45"/>
  <c r="H132" i="45" s="1"/>
  <c r="R513" i="29" s="1"/>
  <c r="AA132" i="45"/>
  <c r="G132" i="45" s="1"/>
  <c r="Q513" i="29" s="1"/>
  <c r="Z132" i="45"/>
  <c r="F132" i="45" s="1"/>
  <c r="P513" i="29" s="1"/>
  <c r="Y132" i="45"/>
  <c r="E132" i="45" s="1"/>
  <c r="O513" i="29" s="1"/>
  <c r="X132" i="45"/>
  <c r="D132" i="45" s="1"/>
  <c r="N513" i="29" s="1"/>
  <c r="AL131" i="45"/>
  <c r="R131" i="45" s="1"/>
  <c r="AB500" i="29" s="1"/>
  <c r="AK131" i="45"/>
  <c r="Q131" i="45" s="1"/>
  <c r="AA500" i="29" s="1"/>
  <c r="AJ131" i="45"/>
  <c r="P131" i="45" s="1"/>
  <c r="Z500" i="29" s="1"/>
  <c r="AI131" i="45"/>
  <c r="O131" i="45" s="1"/>
  <c r="Y500" i="29" s="1"/>
  <c r="AH131" i="45"/>
  <c r="N131" i="45" s="1"/>
  <c r="X500" i="29" s="1"/>
  <c r="AG131" i="45"/>
  <c r="M131" i="45" s="1"/>
  <c r="W500" i="29" s="1"/>
  <c r="AF131" i="45"/>
  <c r="L131" i="45" s="1"/>
  <c r="V500" i="29" s="1"/>
  <c r="AE131" i="45"/>
  <c r="K131" i="45" s="1"/>
  <c r="U500" i="29" s="1"/>
  <c r="AD131" i="45"/>
  <c r="J131" i="45" s="1"/>
  <c r="T500" i="29" s="1"/>
  <c r="AC131" i="45"/>
  <c r="I131" i="45" s="1"/>
  <c r="S500" i="29" s="1"/>
  <c r="AB131" i="45"/>
  <c r="H131" i="45" s="1"/>
  <c r="R500" i="29" s="1"/>
  <c r="AA131" i="45"/>
  <c r="G131" i="45" s="1"/>
  <c r="Q500" i="29" s="1"/>
  <c r="Z131" i="45"/>
  <c r="F131" i="45" s="1"/>
  <c r="P500" i="29" s="1"/>
  <c r="Y131" i="45"/>
  <c r="E131" i="45" s="1"/>
  <c r="O500" i="29" s="1"/>
  <c r="X131" i="45"/>
  <c r="D131" i="45" s="1"/>
  <c r="N500" i="29" s="1"/>
  <c r="AL130" i="45"/>
  <c r="R130" i="45" s="1"/>
  <c r="AB487" i="29" s="1"/>
  <c r="AK130" i="45"/>
  <c r="Q130" i="45" s="1"/>
  <c r="AA487" i="29" s="1"/>
  <c r="AJ130" i="45"/>
  <c r="P130" i="45" s="1"/>
  <c r="Z487" i="29" s="1"/>
  <c r="AI130" i="45"/>
  <c r="O130" i="45" s="1"/>
  <c r="Y487" i="29" s="1"/>
  <c r="AH130" i="45"/>
  <c r="N130" i="45" s="1"/>
  <c r="X487" i="29" s="1"/>
  <c r="AG130" i="45"/>
  <c r="M130" i="45" s="1"/>
  <c r="W487" i="29" s="1"/>
  <c r="AF130" i="45"/>
  <c r="L130" i="45" s="1"/>
  <c r="V487" i="29" s="1"/>
  <c r="AE130" i="45"/>
  <c r="K130" i="45" s="1"/>
  <c r="U487" i="29" s="1"/>
  <c r="AD130" i="45"/>
  <c r="J130" i="45" s="1"/>
  <c r="T487" i="29" s="1"/>
  <c r="AC130" i="45"/>
  <c r="I130" i="45" s="1"/>
  <c r="S487" i="29" s="1"/>
  <c r="AB130" i="45"/>
  <c r="H130" i="45" s="1"/>
  <c r="R487" i="29" s="1"/>
  <c r="AA130" i="45"/>
  <c r="G130" i="45" s="1"/>
  <c r="Q487" i="29" s="1"/>
  <c r="Z130" i="45"/>
  <c r="F130" i="45" s="1"/>
  <c r="P487" i="29" s="1"/>
  <c r="Y130" i="45"/>
  <c r="E130" i="45" s="1"/>
  <c r="O487" i="29" s="1"/>
  <c r="X130" i="45"/>
  <c r="D130" i="45" s="1"/>
  <c r="N487" i="29" s="1"/>
  <c r="AL129" i="45"/>
  <c r="R129" i="45" s="1"/>
  <c r="AB475" i="29" s="1"/>
  <c r="AK129" i="45"/>
  <c r="Q129" i="45" s="1"/>
  <c r="AA475" i="29" s="1"/>
  <c r="AJ129" i="45"/>
  <c r="P129" i="45" s="1"/>
  <c r="Z475" i="29" s="1"/>
  <c r="AI129" i="45"/>
  <c r="O129" i="45" s="1"/>
  <c r="Y475" i="29" s="1"/>
  <c r="AH129" i="45"/>
  <c r="N129" i="45" s="1"/>
  <c r="X475" i="29" s="1"/>
  <c r="AG129" i="45"/>
  <c r="M129" i="45" s="1"/>
  <c r="W475" i="29" s="1"/>
  <c r="AF129" i="45"/>
  <c r="L129" i="45" s="1"/>
  <c r="V475" i="29" s="1"/>
  <c r="AE129" i="45"/>
  <c r="K129" i="45" s="1"/>
  <c r="U475" i="29" s="1"/>
  <c r="AD129" i="45"/>
  <c r="J129" i="45" s="1"/>
  <c r="T475" i="29" s="1"/>
  <c r="AC129" i="45"/>
  <c r="I129" i="45" s="1"/>
  <c r="S475" i="29" s="1"/>
  <c r="AB129" i="45"/>
  <c r="H129" i="45" s="1"/>
  <c r="R475" i="29" s="1"/>
  <c r="AA129" i="45"/>
  <c r="G129" i="45" s="1"/>
  <c r="Q475" i="29" s="1"/>
  <c r="Z129" i="45"/>
  <c r="F129" i="45" s="1"/>
  <c r="P475" i="29" s="1"/>
  <c r="Y129" i="45"/>
  <c r="E129" i="45" s="1"/>
  <c r="O475" i="29" s="1"/>
  <c r="X129" i="45"/>
  <c r="D129" i="45" s="1"/>
  <c r="N475" i="29" s="1"/>
  <c r="AL128" i="45"/>
  <c r="R128" i="45" s="1"/>
  <c r="AB462" i="29" s="1"/>
  <c r="AK128" i="45"/>
  <c r="Q128" i="45" s="1"/>
  <c r="AA462" i="29" s="1"/>
  <c r="AJ128" i="45"/>
  <c r="P128" i="45" s="1"/>
  <c r="Z462" i="29" s="1"/>
  <c r="AI128" i="45"/>
  <c r="O128" i="45" s="1"/>
  <c r="Y462" i="29" s="1"/>
  <c r="AH128" i="45"/>
  <c r="N128" i="45" s="1"/>
  <c r="X462" i="29" s="1"/>
  <c r="AG128" i="45"/>
  <c r="M128" i="45" s="1"/>
  <c r="W462" i="29" s="1"/>
  <c r="AF128" i="45"/>
  <c r="L128" i="45" s="1"/>
  <c r="V462" i="29" s="1"/>
  <c r="AE128" i="45"/>
  <c r="K128" i="45" s="1"/>
  <c r="U462" i="29" s="1"/>
  <c r="AD128" i="45"/>
  <c r="J128" i="45" s="1"/>
  <c r="T462" i="29" s="1"/>
  <c r="AC128" i="45"/>
  <c r="I128" i="45" s="1"/>
  <c r="S462" i="29" s="1"/>
  <c r="AB128" i="45"/>
  <c r="H128" i="45" s="1"/>
  <c r="R462" i="29" s="1"/>
  <c r="AA128" i="45"/>
  <c r="G128" i="45" s="1"/>
  <c r="Q462" i="29" s="1"/>
  <c r="Z128" i="45"/>
  <c r="F128" i="45" s="1"/>
  <c r="P462" i="29" s="1"/>
  <c r="Y128" i="45"/>
  <c r="E128" i="45" s="1"/>
  <c r="O462" i="29" s="1"/>
  <c r="X128" i="45"/>
  <c r="D128" i="45" s="1"/>
  <c r="N462" i="29" s="1"/>
  <c r="AL127" i="45"/>
  <c r="R127" i="45" s="1"/>
  <c r="AB449" i="29" s="1"/>
  <c r="AK127" i="45"/>
  <c r="Q127" i="45" s="1"/>
  <c r="AA449" i="29" s="1"/>
  <c r="AJ127" i="45"/>
  <c r="P127" i="45" s="1"/>
  <c r="Z449" i="29" s="1"/>
  <c r="AI127" i="45"/>
  <c r="O127" i="45" s="1"/>
  <c r="Y449" i="29" s="1"/>
  <c r="AH127" i="45"/>
  <c r="N127" i="45" s="1"/>
  <c r="X449" i="29" s="1"/>
  <c r="AG127" i="45"/>
  <c r="M127" i="45" s="1"/>
  <c r="W449" i="29" s="1"/>
  <c r="AF127" i="45"/>
  <c r="L127" i="45" s="1"/>
  <c r="V449" i="29" s="1"/>
  <c r="AE127" i="45"/>
  <c r="K127" i="45" s="1"/>
  <c r="U449" i="29" s="1"/>
  <c r="AD127" i="45"/>
  <c r="J127" i="45" s="1"/>
  <c r="T449" i="29" s="1"/>
  <c r="AC127" i="45"/>
  <c r="I127" i="45" s="1"/>
  <c r="S449" i="29" s="1"/>
  <c r="AB127" i="45"/>
  <c r="H127" i="45" s="1"/>
  <c r="R449" i="29" s="1"/>
  <c r="AA127" i="45"/>
  <c r="G127" i="45" s="1"/>
  <c r="Q449" i="29" s="1"/>
  <c r="Z127" i="45"/>
  <c r="F127" i="45" s="1"/>
  <c r="P449" i="29" s="1"/>
  <c r="Y127" i="45"/>
  <c r="E127" i="45" s="1"/>
  <c r="O449" i="29" s="1"/>
  <c r="X127" i="45"/>
  <c r="D127" i="45" s="1"/>
  <c r="N449" i="29" s="1"/>
  <c r="AL126" i="45"/>
  <c r="R126" i="45" s="1"/>
  <c r="AB436" i="29" s="1"/>
  <c r="AK126" i="45"/>
  <c r="Q126" i="45" s="1"/>
  <c r="AA436" i="29" s="1"/>
  <c r="AJ126" i="45"/>
  <c r="P126" i="45" s="1"/>
  <c r="Z436" i="29" s="1"/>
  <c r="AI126" i="45"/>
  <c r="O126" i="45" s="1"/>
  <c r="Y436" i="29" s="1"/>
  <c r="AH126" i="45"/>
  <c r="N126" i="45" s="1"/>
  <c r="X436" i="29" s="1"/>
  <c r="AG126" i="45"/>
  <c r="M126" i="45" s="1"/>
  <c r="W436" i="29" s="1"/>
  <c r="AF126" i="45"/>
  <c r="L126" i="45" s="1"/>
  <c r="V436" i="29" s="1"/>
  <c r="AE126" i="45"/>
  <c r="K126" i="45" s="1"/>
  <c r="U436" i="29" s="1"/>
  <c r="AD126" i="45"/>
  <c r="J126" i="45" s="1"/>
  <c r="T436" i="29" s="1"/>
  <c r="AC126" i="45"/>
  <c r="I126" i="45" s="1"/>
  <c r="S436" i="29" s="1"/>
  <c r="AB126" i="45"/>
  <c r="H126" i="45" s="1"/>
  <c r="R436" i="29" s="1"/>
  <c r="AA126" i="45"/>
  <c r="G126" i="45" s="1"/>
  <c r="Q436" i="29" s="1"/>
  <c r="Z126" i="45"/>
  <c r="F126" i="45" s="1"/>
  <c r="P436" i="29" s="1"/>
  <c r="Y126" i="45"/>
  <c r="E126" i="45" s="1"/>
  <c r="O436" i="29" s="1"/>
  <c r="X126" i="45"/>
  <c r="D126" i="45" s="1"/>
  <c r="N436" i="29" s="1"/>
  <c r="AL125" i="45"/>
  <c r="R125" i="45" s="1"/>
  <c r="AB423" i="29" s="1"/>
  <c r="AK125" i="45"/>
  <c r="Q125" i="45" s="1"/>
  <c r="AA423" i="29" s="1"/>
  <c r="AJ125" i="45"/>
  <c r="P125" i="45" s="1"/>
  <c r="Z423" i="29" s="1"/>
  <c r="AI125" i="45"/>
  <c r="O125" i="45" s="1"/>
  <c r="Y423" i="29" s="1"/>
  <c r="AH125" i="45"/>
  <c r="N125" i="45" s="1"/>
  <c r="X423" i="29" s="1"/>
  <c r="AG125" i="45"/>
  <c r="M125" i="45" s="1"/>
  <c r="W423" i="29" s="1"/>
  <c r="AF125" i="45"/>
  <c r="L125" i="45" s="1"/>
  <c r="V423" i="29" s="1"/>
  <c r="AE125" i="45"/>
  <c r="K125" i="45" s="1"/>
  <c r="U423" i="29" s="1"/>
  <c r="AD125" i="45"/>
  <c r="J125" i="45" s="1"/>
  <c r="T423" i="29" s="1"/>
  <c r="AC125" i="45"/>
  <c r="I125" i="45" s="1"/>
  <c r="S423" i="29" s="1"/>
  <c r="AB125" i="45"/>
  <c r="H125" i="45" s="1"/>
  <c r="R423" i="29" s="1"/>
  <c r="AA125" i="45"/>
  <c r="G125" i="45" s="1"/>
  <c r="Q423" i="29" s="1"/>
  <c r="Z125" i="45"/>
  <c r="F125" i="45" s="1"/>
  <c r="P423" i="29" s="1"/>
  <c r="Y125" i="45"/>
  <c r="E125" i="45" s="1"/>
  <c r="O423" i="29" s="1"/>
  <c r="X125" i="45"/>
  <c r="D125" i="45" s="1"/>
  <c r="N423" i="29" s="1"/>
  <c r="AL124" i="45"/>
  <c r="R124" i="45" s="1"/>
  <c r="AK124" i="45"/>
  <c r="Q124" i="45" s="1"/>
  <c r="AJ124" i="45"/>
  <c r="P124" i="45" s="1"/>
  <c r="AI124" i="45"/>
  <c r="O124" i="45" s="1"/>
  <c r="AH124" i="45"/>
  <c r="N124" i="45" s="1"/>
  <c r="AG124" i="45"/>
  <c r="M124" i="45" s="1"/>
  <c r="AF124" i="45"/>
  <c r="L124" i="45" s="1"/>
  <c r="AE124" i="45"/>
  <c r="K124" i="45" s="1"/>
  <c r="AD124" i="45"/>
  <c r="J124" i="45" s="1"/>
  <c r="AC124" i="45"/>
  <c r="I124" i="45" s="1"/>
  <c r="AB124" i="45"/>
  <c r="H124" i="45" s="1"/>
  <c r="AA124" i="45"/>
  <c r="G124" i="45" s="1"/>
  <c r="Z124" i="45"/>
  <c r="F124" i="45" s="1"/>
  <c r="Y124" i="45"/>
  <c r="E124" i="45" s="1"/>
  <c r="X124" i="45"/>
  <c r="D124" i="45" s="1"/>
  <c r="N411" i="29" s="1"/>
  <c r="AL123" i="45"/>
  <c r="R123" i="45" s="1"/>
  <c r="AK123" i="45"/>
  <c r="Q123" i="45" s="1"/>
  <c r="AJ123" i="45"/>
  <c r="P123" i="45" s="1"/>
  <c r="AI123" i="45"/>
  <c r="O123" i="45" s="1"/>
  <c r="AH123" i="45"/>
  <c r="N123" i="45" s="1"/>
  <c r="AG123" i="45"/>
  <c r="M123" i="45" s="1"/>
  <c r="AF123" i="45"/>
  <c r="L123" i="45" s="1"/>
  <c r="AE123" i="45"/>
  <c r="K123" i="45" s="1"/>
  <c r="AD123" i="45"/>
  <c r="J123" i="45" s="1"/>
  <c r="AC123" i="45"/>
  <c r="I123" i="45" s="1"/>
  <c r="AB123" i="45"/>
  <c r="H123" i="45" s="1"/>
  <c r="AA123" i="45"/>
  <c r="G123" i="45" s="1"/>
  <c r="Z123" i="45"/>
  <c r="F123" i="45" s="1"/>
  <c r="Y123" i="45"/>
  <c r="E123" i="45" s="1"/>
  <c r="X123" i="45"/>
  <c r="D123" i="45" s="1"/>
  <c r="AL122" i="45"/>
  <c r="R122" i="45" s="1"/>
  <c r="AK122" i="45"/>
  <c r="Q122" i="45" s="1"/>
  <c r="AJ122" i="45"/>
  <c r="P122" i="45" s="1"/>
  <c r="AI122" i="45"/>
  <c r="O122" i="45" s="1"/>
  <c r="AH122" i="45"/>
  <c r="N122" i="45" s="1"/>
  <c r="AG122" i="45"/>
  <c r="M122" i="45" s="1"/>
  <c r="AF122" i="45"/>
  <c r="L122" i="45" s="1"/>
  <c r="AE122" i="45"/>
  <c r="K122" i="45" s="1"/>
  <c r="AD122" i="45"/>
  <c r="J122" i="45" s="1"/>
  <c r="AC122" i="45"/>
  <c r="I122" i="45" s="1"/>
  <c r="AB122" i="45"/>
  <c r="H122" i="45" s="1"/>
  <c r="AA122" i="45"/>
  <c r="G122" i="45" s="1"/>
  <c r="Z122" i="45"/>
  <c r="F122" i="45" s="1"/>
  <c r="Y122" i="45"/>
  <c r="E122" i="45" s="1"/>
  <c r="X122" i="45"/>
  <c r="D122" i="45" s="1"/>
  <c r="AL117" i="45"/>
  <c r="R117" i="45" s="1"/>
  <c r="AK117" i="45"/>
  <c r="Q117" i="45" s="1"/>
  <c r="AJ117" i="45"/>
  <c r="P117" i="45" s="1"/>
  <c r="AI117" i="45"/>
  <c r="O117" i="45" s="1"/>
  <c r="AH117" i="45"/>
  <c r="N117" i="45" s="1"/>
  <c r="AG117" i="45"/>
  <c r="M117" i="45" s="1"/>
  <c r="AF117" i="45"/>
  <c r="L117" i="45" s="1"/>
  <c r="AE117" i="45"/>
  <c r="K117" i="45" s="1"/>
  <c r="AD117" i="45"/>
  <c r="J117" i="45" s="1"/>
  <c r="AC117" i="45"/>
  <c r="I117" i="45" s="1"/>
  <c r="AB117" i="45"/>
  <c r="H117" i="45" s="1"/>
  <c r="AA117" i="45"/>
  <c r="G117" i="45" s="1"/>
  <c r="Z117" i="45"/>
  <c r="F117" i="45" s="1"/>
  <c r="Y117" i="45"/>
  <c r="E117" i="45" s="1"/>
  <c r="X117" i="45"/>
  <c r="D117" i="45" s="1"/>
  <c r="AL116" i="45"/>
  <c r="R116" i="45" s="1"/>
  <c r="AK116" i="45"/>
  <c r="Q116" i="45" s="1"/>
  <c r="AJ116" i="45"/>
  <c r="P116" i="45" s="1"/>
  <c r="AI116" i="45"/>
  <c r="O116" i="45" s="1"/>
  <c r="AH116" i="45"/>
  <c r="N116" i="45" s="1"/>
  <c r="AG116" i="45"/>
  <c r="M116" i="45" s="1"/>
  <c r="AF116" i="45"/>
  <c r="L116" i="45" s="1"/>
  <c r="AE116" i="45"/>
  <c r="K116" i="45" s="1"/>
  <c r="AD116" i="45"/>
  <c r="J116" i="45" s="1"/>
  <c r="AC116" i="45"/>
  <c r="I116" i="45" s="1"/>
  <c r="AB116" i="45"/>
  <c r="H116" i="45" s="1"/>
  <c r="AA116" i="45"/>
  <c r="G116" i="45" s="1"/>
  <c r="Z116" i="45"/>
  <c r="F116" i="45" s="1"/>
  <c r="Y116" i="45"/>
  <c r="E116" i="45" s="1"/>
  <c r="X116" i="45"/>
  <c r="D116" i="45" s="1"/>
  <c r="AL115" i="45"/>
  <c r="R115" i="45" s="1"/>
  <c r="AK115" i="45"/>
  <c r="Q115" i="45" s="1"/>
  <c r="AJ115" i="45"/>
  <c r="P115" i="45" s="1"/>
  <c r="AI115" i="45"/>
  <c r="O115" i="45" s="1"/>
  <c r="AH115" i="45"/>
  <c r="N115" i="45" s="1"/>
  <c r="AG115" i="45"/>
  <c r="M115" i="45" s="1"/>
  <c r="AF115" i="45"/>
  <c r="L115" i="45" s="1"/>
  <c r="AE115" i="45"/>
  <c r="K115" i="45" s="1"/>
  <c r="AD115" i="45"/>
  <c r="J115" i="45" s="1"/>
  <c r="AC115" i="45"/>
  <c r="I115" i="45" s="1"/>
  <c r="AB115" i="45"/>
  <c r="H115" i="45" s="1"/>
  <c r="AA115" i="45"/>
  <c r="G115" i="45" s="1"/>
  <c r="Z115" i="45"/>
  <c r="F115" i="45" s="1"/>
  <c r="Y115" i="45"/>
  <c r="E115" i="45" s="1"/>
  <c r="X115" i="45"/>
  <c r="D115" i="45" s="1"/>
  <c r="AL114" i="45"/>
  <c r="R114" i="45" s="1"/>
  <c r="AK114" i="45"/>
  <c r="Q114" i="45" s="1"/>
  <c r="AJ114" i="45"/>
  <c r="P114" i="45" s="1"/>
  <c r="AI114" i="45"/>
  <c r="O114" i="45" s="1"/>
  <c r="AH114" i="45"/>
  <c r="N114" i="45" s="1"/>
  <c r="AG114" i="45"/>
  <c r="M114" i="45" s="1"/>
  <c r="AF114" i="45"/>
  <c r="L114" i="45" s="1"/>
  <c r="AE114" i="45"/>
  <c r="K114" i="45" s="1"/>
  <c r="AD114" i="45"/>
  <c r="J114" i="45" s="1"/>
  <c r="AC114" i="45"/>
  <c r="I114" i="45" s="1"/>
  <c r="AB114" i="45"/>
  <c r="H114" i="45" s="1"/>
  <c r="AA114" i="45"/>
  <c r="G114" i="45" s="1"/>
  <c r="Z114" i="45"/>
  <c r="F114" i="45" s="1"/>
  <c r="Y114" i="45"/>
  <c r="E114" i="45" s="1"/>
  <c r="X114" i="45"/>
  <c r="D114" i="45" s="1"/>
  <c r="AL113" i="45"/>
  <c r="R113" i="45" s="1"/>
  <c r="AK113" i="45"/>
  <c r="Q113" i="45" s="1"/>
  <c r="AJ113" i="45"/>
  <c r="P113" i="45" s="1"/>
  <c r="AI113" i="45"/>
  <c r="O113" i="45" s="1"/>
  <c r="AH113" i="45"/>
  <c r="N113" i="45" s="1"/>
  <c r="AG113" i="45"/>
  <c r="M113" i="45" s="1"/>
  <c r="AF113" i="45"/>
  <c r="L113" i="45" s="1"/>
  <c r="AE113" i="45"/>
  <c r="K113" i="45" s="1"/>
  <c r="AD113" i="45"/>
  <c r="J113" i="45" s="1"/>
  <c r="AC113" i="45"/>
  <c r="I113" i="45" s="1"/>
  <c r="AB113" i="45"/>
  <c r="H113" i="45" s="1"/>
  <c r="AA113" i="45"/>
  <c r="G113" i="45" s="1"/>
  <c r="Z113" i="45"/>
  <c r="F113" i="45" s="1"/>
  <c r="Y113" i="45"/>
  <c r="E113" i="45" s="1"/>
  <c r="X113" i="45"/>
  <c r="D113" i="45" s="1"/>
  <c r="AL112" i="45"/>
  <c r="R112" i="45" s="1"/>
  <c r="AK112" i="45"/>
  <c r="Q112" i="45" s="1"/>
  <c r="AJ112" i="45"/>
  <c r="P112" i="45" s="1"/>
  <c r="AI112" i="45"/>
  <c r="O112" i="45" s="1"/>
  <c r="AH112" i="45"/>
  <c r="N112" i="45" s="1"/>
  <c r="AG112" i="45"/>
  <c r="M112" i="45" s="1"/>
  <c r="AF112" i="45"/>
  <c r="L112" i="45" s="1"/>
  <c r="AE112" i="45"/>
  <c r="K112" i="45" s="1"/>
  <c r="AD112" i="45"/>
  <c r="J112" i="45" s="1"/>
  <c r="AC112" i="45"/>
  <c r="I112" i="45" s="1"/>
  <c r="AB112" i="45"/>
  <c r="H112" i="45" s="1"/>
  <c r="AA112" i="45"/>
  <c r="G112" i="45" s="1"/>
  <c r="Z112" i="45"/>
  <c r="F112" i="45" s="1"/>
  <c r="Y112" i="45"/>
  <c r="E112" i="45" s="1"/>
  <c r="X112" i="45"/>
  <c r="D112" i="45" s="1"/>
  <c r="AL111" i="45"/>
  <c r="R111" i="45" s="1"/>
  <c r="AK111" i="45"/>
  <c r="Q111" i="45" s="1"/>
  <c r="AJ111" i="45"/>
  <c r="P111" i="45" s="1"/>
  <c r="AI111" i="45"/>
  <c r="O111" i="45" s="1"/>
  <c r="AH111" i="45"/>
  <c r="N111" i="45" s="1"/>
  <c r="AG111" i="45"/>
  <c r="M111" i="45" s="1"/>
  <c r="AF111" i="45"/>
  <c r="L111" i="45" s="1"/>
  <c r="AE111" i="45"/>
  <c r="K111" i="45" s="1"/>
  <c r="AD111" i="45"/>
  <c r="J111" i="45" s="1"/>
  <c r="AC111" i="45"/>
  <c r="I111" i="45" s="1"/>
  <c r="AB111" i="45"/>
  <c r="H111" i="45" s="1"/>
  <c r="AA111" i="45"/>
  <c r="G111" i="45" s="1"/>
  <c r="Z111" i="45"/>
  <c r="F111" i="45" s="1"/>
  <c r="Y111" i="45"/>
  <c r="E111" i="45" s="1"/>
  <c r="X111" i="45"/>
  <c r="D111" i="45" s="1"/>
  <c r="AL110" i="45"/>
  <c r="R110" i="45" s="1"/>
  <c r="AK110" i="45"/>
  <c r="Q110" i="45" s="1"/>
  <c r="AJ110" i="45"/>
  <c r="P110" i="45" s="1"/>
  <c r="AI110" i="45"/>
  <c r="O110" i="45" s="1"/>
  <c r="AH110" i="45"/>
  <c r="N110" i="45" s="1"/>
  <c r="AG110" i="45"/>
  <c r="M110" i="45" s="1"/>
  <c r="AF110" i="45"/>
  <c r="L110" i="45" s="1"/>
  <c r="AE110" i="45"/>
  <c r="K110" i="45" s="1"/>
  <c r="AD110" i="45"/>
  <c r="J110" i="45" s="1"/>
  <c r="AC110" i="45"/>
  <c r="I110" i="45" s="1"/>
  <c r="AB110" i="45"/>
  <c r="H110" i="45" s="1"/>
  <c r="AA110" i="45"/>
  <c r="G110" i="45" s="1"/>
  <c r="Z110" i="45"/>
  <c r="F110" i="45" s="1"/>
  <c r="Y110" i="45"/>
  <c r="E110" i="45" s="1"/>
  <c r="X110" i="45"/>
  <c r="D110" i="45" s="1"/>
  <c r="AL109" i="45"/>
  <c r="R109" i="45" s="1"/>
  <c r="AK109" i="45"/>
  <c r="Q109" i="45" s="1"/>
  <c r="AJ109" i="45"/>
  <c r="P109" i="45" s="1"/>
  <c r="AI109" i="45"/>
  <c r="O109" i="45" s="1"/>
  <c r="AH109" i="45"/>
  <c r="N109" i="45" s="1"/>
  <c r="AG109" i="45"/>
  <c r="M109" i="45" s="1"/>
  <c r="AF109" i="45"/>
  <c r="L109" i="45" s="1"/>
  <c r="AE109" i="45"/>
  <c r="K109" i="45" s="1"/>
  <c r="AD109" i="45"/>
  <c r="J109" i="45" s="1"/>
  <c r="AC109" i="45"/>
  <c r="I109" i="45" s="1"/>
  <c r="AB109" i="45"/>
  <c r="H109" i="45" s="1"/>
  <c r="AA109" i="45"/>
  <c r="G109" i="45" s="1"/>
  <c r="Z109" i="45"/>
  <c r="F109" i="45" s="1"/>
  <c r="Y109" i="45"/>
  <c r="E109" i="45" s="1"/>
  <c r="X109" i="45"/>
  <c r="D109" i="45" s="1"/>
  <c r="AL108" i="45"/>
  <c r="R108" i="45" s="1"/>
  <c r="AK108" i="45"/>
  <c r="Q108" i="45" s="1"/>
  <c r="AJ108" i="45"/>
  <c r="P108" i="45" s="1"/>
  <c r="AI108" i="45"/>
  <c r="O108" i="45" s="1"/>
  <c r="AH108" i="45"/>
  <c r="N108" i="45" s="1"/>
  <c r="AG108" i="45"/>
  <c r="M108" i="45" s="1"/>
  <c r="AF108" i="45"/>
  <c r="L108" i="45" s="1"/>
  <c r="AE108" i="45"/>
  <c r="K108" i="45" s="1"/>
  <c r="AD108" i="45"/>
  <c r="J108" i="45" s="1"/>
  <c r="AC108" i="45"/>
  <c r="I108" i="45" s="1"/>
  <c r="AB108" i="45"/>
  <c r="H108" i="45" s="1"/>
  <c r="AA108" i="45"/>
  <c r="G108" i="45" s="1"/>
  <c r="Z108" i="45"/>
  <c r="F108" i="45" s="1"/>
  <c r="Y108" i="45"/>
  <c r="E108" i="45" s="1"/>
  <c r="X108" i="45"/>
  <c r="D108" i="45" s="1"/>
  <c r="AL107" i="45"/>
  <c r="R107" i="45" s="1"/>
  <c r="AK107" i="45"/>
  <c r="Q107" i="45" s="1"/>
  <c r="AJ107" i="45"/>
  <c r="P107" i="45" s="1"/>
  <c r="AI107" i="45"/>
  <c r="O107" i="45" s="1"/>
  <c r="AH107" i="45"/>
  <c r="N107" i="45" s="1"/>
  <c r="AG107" i="45"/>
  <c r="M107" i="45" s="1"/>
  <c r="AF107" i="45"/>
  <c r="L107" i="45" s="1"/>
  <c r="AE107" i="45"/>
  <c r="K107" i="45" s="1"/>
  <c r="AD107" i="45"/>
  <c r="J107" i="45" s="1"/>
  <c r="AC107" i="45"/>
  <c r="I107" i="45" s="1"/>
  <c r="AB107" i="45"/>
  <c r="H107" i="45" s="1"/>
  <c r="AA107" i="45"/>
  <c r="G107" i="45" s="1"/>
  <c r="Z107" i="45"/>
  <c r="F107" i="45" s="1"/>
  <c r="Y107" i="45"/>
  <c r="E107" i="45" s="1"/>
  <c r="X107" i="45"/>
  <c r="D107" i="45" s="1"/>
  <c r="AL106" i="45"/>
  <c r="R106" i="45" s="1"/>
  <c r="AK106" i="45"/>
  <c r="Q106" i="45" s="1"/>
  <c r="AJ106" i="45"/>
  <c r="P106" i="45" s="1"/>
  <c r="AI106" i="45"/>
  <c r="O106" i="45" s="1"/>
  <c r="AH106" i="45"/>
  <c r="N106" i="45" s="1"/>
  <c r="AG106" i="45"/>
  <c r="M106" i="45" s="1"/>
  <c r="AF106" i="45"/>
  <c r="L106" i="45" s="1"/>
  <c r="AE106" i="45"/>
  <c r="K106" i="45" s="1"/>
  <c r="AD106" i="45"/>
  <c r="J106" i="45" s="1"/>
  <c r="AC106" i="45"/>
  <c r="I106" i="45" s="1"/>
  <c r="AB106" i="45"/>
  <c r="H106" i="45" s="1"/>
  <c r="AA106" i="45"/>
  <c r="G106" i="45" s="1"/>
  <c r="Z106" i="45"/>
  <c r="F106" i="45" s="1"/>
  <c r="Y106" i="45"/>
  <c r="E106" i="45" s="1"/>
  <c r="X106" i="45"/>
  <c r="D106" i="45" s="1"/>
  <c r="AL101" i="45"/>
  <c r="R101" i="45" s="1"/>
  <c r="AK101" i="45"/>
  <c r="Q101" i="45" s="1"/>
  <c r="AJ101" i="45"/>
  <c r="P101" i="45" s="1"/>
  <c r="AI101" i="45"/>
  <c r="O101" i="45" s="1"/>
  <c r="AH101" i="45"/>
  <c r="N101" i="45" s="1"/>
  <c r="AG101" i="45"/>
  <c r="M101" i="45" s="1"/>
  <c r="AF101" i="45"/>
  <c r="L101" i="45" s="1"/>
  <c r="AE101" i="45"/>
  <c r="K101" i="45" s="1"/>
  <c r="AD101" i="45"/>
  <c r="J101" i="45" s="1"/>
  <c r="AC101" i="45"/>
  <c r="I101" i="45" s="1"/>
  <c r="AB101" i="45"/>
  <c r="H101" i="45" s="1"/>
  <c r="AA101" i="45"/>
  <c r="G101" i="45" s="1"/>
  <c r="Z101" i="45"/>
  <c r="F101" i="45" s="1"/>
  <c r="Y101" i="45"/>
  <c r="E101" i="45" s="1"/>
  <c r="X101" i="45"/>
  <c r="D101" i="45" s="1"/>
  <c r="AL100" i="45"/>
  <c r="R100" i="45" s="1"/>
  <c r="AB219" i="29" s="1"/>
  <c r="AK100" i="45"/>
  <c r="Q100" i="45" s="1"/>
  <c r="AA219" i="29" s="1"/>
  <c r="AJ100" i="45"/>
  <c r="P100" i="45" s="1"/>
  <c r="Z219" i="29" s="1"/>
  <c r="AI100" i="45"/>
  <c r="O100" i="45" s="1"/>
  <c r="Y219" i="29" s="1"/>
  <c r="AH100" i="45"/>
  <c r="N100" i="45" s="1"/>
  <c r="X219" i="29" s="1"/>
  <c r="AG100" i="45"/>
  <c r="M100" i="45" s="1"/>
  <c r="W219" i="29" s="1"/>
  <c r="AF100" i="45"/>
  <c r="L100" i="45" s="1"/>
  <c r="V219" i="29" s="1"/>
  <c r="AE100" i="45"/>
  <c r="K100" i="45" s="1"/>
  <c r="U219" i="29" s="1"/>
  <c r="AD100" i="45"/>
  <c r="J100" i="45" s="1"/>
  <c r="T219" i="29" s="1"/>
  <c r="AC100" i="45"/>
  <c r="I100" i="45" s="1"/>
  <c r="S219" i="29" s="1"/>
  <c r="AB100" i="45"/>
  <c r="H100" i="45" s="1"/>
  <c r="AA100" i="45"/>
  <c r="G100" i="45" s="1"/>
  <c r="Q219" i="29" s="1"/>
  <c r="Z100" i="45"/>
  <c r="F100" i="45" s="1"/>
  <c r="P219" i="29" s="1"/>
  <c r="Y100" i="45"/>
  <c r="E100" i="45" s="1"/>
  <c r="O219" i="29" s="1"/>
  <c r="X100" i="45"/>
  <c r="D100" i="45" s="1"/>
  <c r="AL99" i="45"/>
  <c r="R99" i="45" s="1"/>
  <c r="AB206" i="29" s="1"/>
  <c r="AK99" i="45"/>
  <c r="Q99" i="45" s="1"/>
  <c r="AA206" i="29" s="1"/>
  <c r="AJ99" i="45"/>
  <c r="P99" i="45" s="1"/>
  <c r="Z206" i="29" s="1"/>
  <c r="AI99" i="45"/>
  <c r="O99" i="45" s="1"/>
  <c r="Y206" i="29" s="1"/>
  <c r="AH99" i="45"/>
  <c r="N99" i="45" s="1"/>
  <c r="X206" i="29" s="1"/>
  <c r="AG99" i="45"/>
  <c r="M99" i="45" s="1"/>
  <c r="W206" i="29" s="1"/>
  <c r="AF99" i="45"/>
  <c r="L99" i="45" s="1"/>
  <c r="V206" i="29" s="1"/>
  <c r="AE99" i="45"/>
  <c r="K99" i="45" s="1"/>
  <c r="U206" i="29" s="1"/>
  <c r="AD99" i="45"/>
  <c r="J99" i="45" s="1"/>
  <c r="T206" i="29" s="1"/>
  <c r="AC99" i="45"/>
  <c r="I99" i="45" s="1"/>
  <c r="S206" i="29" s="1"/>
  <c r="AB99" i="45"/>
  <c r="H99" i="45" s="1"/>
  <c r="AA99" i="45"/>
  <c r="G99" i="45" s="1"/>
  <c r="Q206" i="29" s="1"/>
  <c r="Z99" i="45"/>
  <c r="F99" i="45" s="1"/>
  <c r="P206" i="29" s="1"/>
  <c r="Y99" i="45"/>
  <c r="E99" i="45" s="1"/>
  <c r="O206" i="29" s="1"/>
  <c r="X99" i="45"/>
  <c r="D99" i="45" s="1"/>
  <c r="AL98" i="45"/>
  <c r="R98" i="45" s="1"/>
  <c r="AB193" i="29" s="1"/>
  <c r="AK98" i="45"/>
  <c r="Q98" i="45" s="1"/>
  <c r="AA193" i="29" s="1"/>
  <c r="AJ98" i="45"/>
  <c r="P98" i="45" s="1"/>
  <c r="Z193" i="29" s="1"/>
  <c r="AI98" i="45"/>
  <c r="O98" i="45" s="1"/>
  <c r="Y193" i="29" s="1"/>
  <c r="AH98" i="45"/>
  <c r="N98" i="45" s="1"/>
  <c r="X193" i="29" s="1"/>
  <c r="AG98" i="45"/>
  <c r="M98" i="45" s="1"/>
  <c r="W193" i="29" s="1"/>
  <c r="AF98" i="45"/>
  <c r="L98" i="45" s="1"/>
  <c r="V193" i="29" s="1"/>
  <c r="AE98" i="45"/>
  <c r="K98" i="45" s="1"/>
  <c r="U193" i="29" s="1"/>
  <c r="AD98" i="45"/>
  <c r="J98" i="45" s="1"/>
  <c r="T193" i="29" s="1"/>
  <c r="AC98" i="45"/>
  <c r="I98" i="45" s="1"/>
  <c r="S193" i="29" s="1"/>
  <c r="AB98" i="45"/>
  <c r="H98" i="45" s="1"/>
  <c r="AA98" i="45"/>
  <c r="G98" i="45" s="1"/>
  <c r="Q193" i="29" s="1"/>
  <c r="Z98" i="45"/>
  <c r="F98" i="45" s="1"/>
  <c r="P193" i="29" s="1"/>
  <c r="Y98" i="45"/>
  <c r="E98" i="45" s="1"/>
  <c r="O193" i="29" s="1"/>
  <c r="X98" i="45"/>
  <c r="D98" i="45" s="1"/>
  <c r="AL97" i="45"/>
  <c r="R97" i="45" s="1"/>
  <c r="AB181" i="29" s="1"/>
  <c r="AK97" i="45"/>
  <c r="Q97" i="45" s="1"/>
  <c r="AA181" i="29" s="1"/>
  <c r="AJ97" i="45"/>
  <c r="P97" i="45" s="1"/>
  <c r="Z181" i="29" s="1"/>
  <c r="AI97" i="45"/>
  <c r="O97" i="45" s="1"/>
  <c r="Y181" i="29" s="1"/>
  <c r="AH97" i="45"/>
  <c r="N97" i="45" s="1"/>
  <c r="X181" i="29" s="1"/>
  <c r="AG97" i="45"/>
  <c r="M97" i="45" s="1"/>
  <c r="W181" i="29" s="1"/>
  <c r="AF97" i="45"/>
  <c r="L97" i="45" s="1"/>
  <c r="V181" i="29" s="1"/>
  <c r="AE97" i="45"/>
  <c r="K97" i="45" s="1"/>
  <c r="U181" i="29" s="1"/>
  <c r="AD97" i="45"/>
  <c r="J97" i="45" s="1"/>
  <c r="T181" i="29" s="1"/>
  <c r="AC97" i="45"/>
  <c r="I97" i="45" s="1"/>
  <c r="S181" i="29" s="1"/>
  <c r="AB97" i="45"/>
  <c r="H97" i="45" s="1"/>
  <c r="AA97" i="45"/>
  <c r="G97" i="45" s="1"/>
  <c r="Q181" i="29" s="1"/>
  <c r="Z97" i="45"/>
  <c r="F97" i="45" s="1"/>
  <c r="P181" i="29" s="1"/>
  <c r="Y97" i="45"/>
  <c r="E97" i="45" s="1"/>
  <c r="O181" i="29" s="1"/>
  <c r="X97" i="45"/>
  <c r="D97" i="45" s="1"/>
  <c r="AL96" i="45"/>
  <c r="R96" i="45" s="1"/>
  <c r="AB168" i="29" s="1"/>
  <c r="AK96" i="45"/>
  <c r="Q96" i="45" s="1"/>
  <c r="AA168" i="29" s="1"/>
  <c r="AJ96" i="45"/>
  <c r="P96" i="45" s="1"/>
  <c r="Z168" i="29" s="1"/>
  <c r="AI96" i="45"/>
  <c r="O96" i="45" s="1"/>
  <c r="Y168" i="29" s="1"/>
  <c r="AH96" i="45"/>
  <c r="N96" i="45" s="1"/>
  <c r="X168" i="29" s="1"/>
  <c r="AG96" i="45"/>
  <c r="M96" i="45" s="1"/>
  <c r="W168" i="29" s="1"/>
  <c r="AF96" i="45"/>
  <c r="L96" i="45" s="1"/>
  <c r="V168" i="29" s="1"/>
  <c r="AE96" i="45"/>
  <c r="K96" i="45" s="1"/>
  <c r="U168" i="29" s="1"/>
  <c r="AD96" i="45"/>
  <c r="J96" i="45" s="1"/>
  <c r="T168" i="29" s="1"/>
  <c r="AC96" i="45"/>
  <c r="I96" i="45" s="1"/>
  <c r="S168" i="29" s="1"/>
  <c r="AB96" i="45"/>
  <c r="H96" i="45" s="1"/>
  <c r="AA96" i="45"/>
  <c r="G96" i="45" s="1"/>
  <c r="Q168" i="29" s="1"/>
  <c r="Z96" i="45"/>
  <c r="F96" i="45" s="1"/>
  <c r="P168" i="29" s="1"/>
  <c r="Y96" i="45"/>
  <c r="E96" i="45" s="1"/>
  <c r="O168" i="29" s="1"/>
  <c r="X96" i="45"/>
  <c r="D96" i="45" s="1"/>
  <c r="AL95" i="45"/>
  <c r="R95" i="45" s="1"/>
  <c r="AB155" i="29" s="1"/>
  <c r="AK95" i="45"/>
  <c r="Q95" i="45" s="1"/>
  <c r="AA155" i="29" s="1"/>
  <c r="AJ95" i="45"/>
  <c r="P95" i="45" s="1"/>
  <c r="Z155" i="29" s="1"/>
  <c r="AI95" i="45"/>
  <c r="O95" i="45" s="1"/>
  <c r="Y155" i="29" s="1"/>
  <c r="AH95" i="45"/>
  <c r="N95" i="45" s="1"/>
  <c r="X155" i="29" s="1"/>
  <c r="AG95" i="45"/>
  <c r="M95" i="45" s="1"/>
  <c r="W155" i="29" s="1"/>
  <c r="AF95" i="45"/>
  <c r="L95" i="45" s="1"/>
  <c r="V155" i="29" s="1"/>
  <c r="AE95" i="45"/>
  <c r="K95" i="45" s="1"/>
  <c r="U155" i="29" s="1"/>
  <c r="AD95" i="45"/>
  <c r="J95" i="45" s="1"/>
  <c r="T155" i="29" s="1"/>
  <c r="AC95" i="45"/>
  <c r="I95" i="45" s="1"/>
  <c r="S155" i="29" s="1"/>
  <c r="AB95" i="45"/>
  <c r="H95" i="45" s="1"/>
  <c r="AA95" i="45"/>
  <c r="G95" i="45" s="1"/>
  <c r="Q155" i="29" s="1"/>
  <c r="Z95" i="45"/>
  <c r="F95" i="45" s="1"/>
  <c r="P155" i="29" s="1"/>
  <c r="Y95" i="45"/>
  <c r="E95" i="45" s="1"/>
  <c r="O155" i="29" s="1"/>
  <c r="X95" i="45"/>
  <c r="D95" i="45" s="1"/>
  <c r="AL94" i="45"/>
  <c r="R94" i="45" s="1"/>
  <c r="AB142" i="29" s="1"/>
  <c r="AK94" i="45"/>
  <c r="Q94" i="45" s="1"/>
  <c r="AA142" i="29" s="1"/>
  <c r="AJ94" i="45"/>
  <c r="P94" i="45" s="1"/>
  <c r="Z142" i="29" s="1"/>
  <c r="AI94" i="45"/>
  <c r="O94" i="45" s="1"/>
  <c r="Y142" i="29" s="1"/>
  <c r="AH94" i="45"/>
  <c r="N94" i="45" s="1"/>
  <c r="X142" i="29" s="1"/>
  <c r="AG94" i="45"/>
  <c r="M94" i="45" s="1"/>
  <c r="W142" i="29" s="1"/>
  <c r="AF94" i="45"/>
  <c r="L94" i="45" s="1"/>
  <c r="V142" i="29" s="1"/>
  <c r="AE94" i="45"/>
  <c r="K94" i="45" s="1"/>
  <c r="U142" i="29" s="1"/>
  <c r="AD94" i="45"/>
  <c r="J94" i="45" s="1"/>
  <c r="T142" i="29" s="1"/>
  <c r="AC94" i="45"/>
  <c r="I94" i="45" s="1"/>
  <c r="S142" i="29" s="1"/>
  <c r="AB94" i="45"/>
  <c r="H94" i="45" s="1"/>
  <c r="AA94" i="45"/>
  <c r="G94" i="45" s="1"/>
  <c r="Q142" i="29" s="1"/>
  <c r="Z94" i="45"/>
  <c r="F94" i="45" s="1"/>
  <c r="P142" i="29" s="1"/>
  <c r="Y94" i="45"/>
  <c r="E94" i="45" s="1"/>
  <c r="O142" i="29" s="1"/>
  <c r="X94" i="45"/>
  <c r="D94" i="45" s="1"/>
  <c r="AL93" i="45"/>
  <c r="R93" i="45" s="1"/>
  <c r="AB128" i="29" s="1"/>
  <c r="AK93" i="45"/>
  <c r="Q93" i="45" s="1"/>
  <c r="AA128" i="29" s="1"/>
  <c r="AJ93" i="45"/>
  <c r="P93" i="45" s="1"/>
  <c r="Z128" i="29" s="1"/>
  <c r="AI93" i="45"/>
  <c r="O93" i="45" s="1"/>
  <c r="Y128" i="29" s="1"/>
  <c r="AH93" i="45"/>
  <c r="N93" i="45" s="1"/>
  <c r="X128" i="29" s="1"/>
  <c r="AG93" i="45"/>
  <c r="M93" i="45" s="1"/>
  <c r="W128" i="29" s="1"/>
  <c r="AF93" i="45"/>
  <c r="L93" i="45" s="1"/>
  <c r="V128" i="29" s="1"/>
  <c r="AE93" i="45"/>
  <c r="K93" i="45" s="1"/>
  <c r="U128" i="29" s="1"/>
  <c r="AD93" i="45"/>
  <c r="J93" i="45" s="1"/>
  <c r="T128" i="29" s="1"/>
  <c r="AC93" i="45"/>
  <c r="I93" i="45" s="1"/>
  <c r="S128" i="29" s="1"/>
  <c r="AB93" i="45"/>
  <c r="H93" i="45" s="1"/>
  <c r="AA93" i="45"/>
  <c r="G93" i="45" s="1"/>
  <c r="Q128" i="29" s="1"/>
  <c r="Z93" i="45"/>
  <c r="F93" i="45" s="1"/>
  <c r="P128" i="29" s="1"/>
  <c r="Y93" i="45"/>
  <c r="E93" i="45" s="1"/>
  <c r="O128" i="29" s="1"/>
  <c r="X93" i="45"/>
  <c r="D93" i="45" s="1"/>
  <c r="AL92" i="45"/>
  <c r="R92" i="45" s="1"/>
  <c r="AB115" i="29" s="1"/>
  <c r="AK92" i="45"/>
  <c r="Q92" i="45" s="1"/>
  <c r="AA115" i="29" s="1"/>
  <c r="AJ92" i="45"/>
  <c r="P92" i="45" s="1"/>
  <c r="Z115" i="29" s="1"/>
  <c r="AI92" i="45"/>
  <c r="O92" i="45" s="1"/>
  <c r="Y115" i="29" s="1"/>
  <c r="AH92" i="45"/>
  <c r="N92" i="45" s="1"/>
  <c r="X115" i="29" s="1"/>
  <c r="AG92" i="45"/>
  <c r="M92" i="45" s="1"/>
  <c r="W115" i="29" s="1"/>
  <c r="AF92" i="45"/>
  <c r="L92" i="45" s="1"/>
  <c r="V115" i="29" s="1"/>
  <c r="AE92" i="45"/>
  <c r="K92" i="45" s="1"/>
  <c r="U115" i="29" s="1"/>
  <c r="AD92" i="45"/>
  <c r="J92" i="45" s="1"/>
  <c r="T115" i="29" s="1"/>
  <c r="AC92" i="45"/>
  <c r="I92" i="45" s="1"/>
  <c r="S115" i="29" s="1"/>
  <c r="AB92" i="45"/>
  <c r="H92" i="45" s="1"/>
  <c r="AA92" i="45"/>
  <c r="G92" i="45" s="1"/>
  <c r="Q115" i="29" s="1"/>
  <c r="Z92" i="45"/>
  <c r="F92" i="45" s="1"/>
  <c r="P115" i="29" s="1"/>
  <c r="Y92" i="45"/>
  <c r="E92" i="45" s="1"/>
  <c r="O115" i="29" s="1"/>
  <c r="X92" i="45"/>
  <c r="D92" i="45" s="1"/>
  <c r="AL91" i="45"/>
  <c r="R91" i="45" s="1"/>
  <c r="AK91" i="45"/>
  <c r="Q91" i="45" s="1"/>
  <c r="AJ91" i="45"/>
  <c r="P91" i="45" s="1"/>
  <c r="AI91" i="45"/>
  <c r="O91" i="45" s="1"/>
  <c r="AH91" i="45"/>
  <c r="N91" i="45" s="1"/>
  <c r="AG91" i="45"/>
  <c r="M91" i="45" s="1"/>
  <c r="AF91" i="45"/>
  <c r="L91" i="45" s="1"/>
  <c r="AE91" i="45"/>
  <c r="K91" i="45" s="1"/>
  <c r="AD91" i="45"/>
  <c r="J91" i="45" s="1"/>
  <c r="AC91" i="45"/>
  <c r="I91" i="45" s="1"/>
  <c r="AB91" i="45"/>
  <c r="H91" i="45" s="1"/>
  <c r="AA91" i="45"/>
  <c r="G91" i="45" s="1"/>
  <c r="Z91" i="45"/>
  <c r="F91" i="45" s="1"/>
  <c r="Y91" i="45"/>
  <c r="E91" i="45" s="1"/>
  <c r="X91" i="45"/>
  <c r="D91" i="45" s="1"/>
  <c r="AL90" i="45"/>
  <c r="R90" i="45" s="1"/>
  <c r="AB90" i="29" s="1"/>
  <c r="AK90" i="45"/>
  <c r="Q90" i="45" s="1"/>
  <c r="AA90" i="29" s="1"/>
  <c r="AJ90" i="45"/>
  <c r="P90" i="45" s="1"/>
  <c r="Z90" i="29" s="1"/>
  <c r="AI90" i="45"/>
  <c r="O90" i="45" s="1"/>
  <c r="Y90" i="29" s="1"/>
  <c r="AH90" i="45"/>
  <c r="N90" i="45" s="1"/>
  <c r="X90" i="29" s="1"/>
  <c r="AG90" i="45"/>
  <c r="M90" i="45" s="1"/>
  <c r="W90" i="29" s="1"/>
  <c r="AF90" i="45"/>
  <c r="L90" i="45" s="1"/>
  <c r="V90" i="29" s="1"/>
  <c r="AE90" i="45"/>
  <c r="K90" i="45" s="1"/>
  <c r="U90" i="29" s="1"/>
  <c r="AD90" i="45"/>
  <c r="J90" i="45" s="1"/>
  <c r="T90" i="29" s="1"/>
  <c r="AC90" i="45"/>
  <c r="I90" i="45" s="1"/>
  <c r="S90" i="29" s="1"/>
  <c r="AB90" i="45"/>
  <c r="H90" i="45" s="1"/>
  <c r="AA90" i="45"/>
  <c r="G90" i="45" s="1"/>
  <c r="Q90" i="29" s="1"/>
  <c r="Z90" i="45"/>
  <c r="F90" i="45" s="1"/>
  <c r="P90" i="29" s="1"/>
  <c r="Y90" i="45"/>
  <c r="E90" i="45" s="1"/>
  <c r="O90" i="29" s="1"/>
  <c r="X90" i="45"/>
  <c r="D90" i="45" s="1"/>
  <c r="AL85" i="45"/>
  <c r="R85" i="45" s="1"/>
  <c r="AK85" i="45"/>
  <c r="Q85" i="45" s="1"/>
  <c r="AJ85" i="45"/>
  <c r="P85" i="45" s="1"/>
  <c r="AI85" i="45"/>
  <c r="O85" i="45" s="1"/>
  <c r="AH85" i="45"/>
  <c r="N85" i="45" s="1"/>
  <c r="AG85" i="45"/>
  <c r="M85" i="45" s="1"/>
  <c r="AF85" i="45"/>
  <c r="L85" i="45" s="1"/>
  <c r="AE85" i="45"/>
  <c r="K85" i="45" s="1"/>
  <c r="AD85" i="45"/>
  <c r="J85" i="45" s="1"/>
  <c r="AC85" i="45"/>
  <c r="I85" i="45" s="1"/>
  <c r="AB85" i="45"/>
  <c r="H85" i="45" s="1"/>
  <c r="AA85" i="45"/>
  <c r="G85" i="45" s="1"/>
  <c r="Z85" i="45"/>
  <c r="F85" i="45" s="1"/>
  <c r="Y85" i="45"/>
  <c r="E85" i="45" s="1"/>
  <c r="X85" i="45"/>
  <c r="D85" i="45" s="1"/>
  <c r="AL84" i="45"/>
  <c r="R84" i="45" s="1"/>
  <c r="AK84" i="45"/>
  <c r="Q84" i="45" s="1"/>
  <c r="AJ84" i="45"/>
  <c r="P84" i="45" s="1"/>
  <c r="AI84" i="45"/>
  <c r="O84" i="45" s="1"/>
  <c r="AH84" i="45"/>
  <c r="N84" i="45" s="1"/>
  <c r="AG84" i="45"/>
  <c r="M84" i="45" s="1"/>
  <c r="AF84" i="45"/>
  <c r="L84" i="45" s="1"/>
  <c r="AE84" i="45"/>
  <c r="K84" i="45" s="1"/>
  <c r="AD84" i="45"/>
  <c r="J84" i="45" s="1"/>
  <c r="AC84" i="45"/>
  <c r="I84" i="45" s="1"/>
  <c r="AB84" i="45"/>
  <c r="H84" i="45" s="1"/>
  <c r="AA84" i="45"/>
  <c r="G84" i="45" s="1"/>
  <c r="Z84" i="45"/>
  <c r="F84" i="45" s="1"/>
  <c r="Y84" i="45"/>
  <c r="E84" i="45" s="1"/>
  <c r="X84" i="45"/>
  <c r="D84" i="45" s="1"/>
  <c r="AL83" i="45"/>
  <c r="R83" i="45" s="1"/>
  <c r="AK83" i="45"/>
  <c r="Q83" i="45" s="1"/>
  <c r="AJ83" i="45"/>
  <c r="P83" i="45" s="1"/>
  <c r="AI83" i="45"/>
  <c r="O83" i="45" s="1"/>
  <c r="AH83" i="45"/>
  <c r="N83" i="45" s="1"/>
  <c r="AG83" i="45"/>
  <c r="M83" i="45" s="1"/>
  <c r="AF83" i="45"/>
  <c r="L83" i="45" s="1"/>
  <c r="AE83" i="45"/>
  <c r="K83" i="45" s="1"/>
  <c r="AD83" i="45"/>
  <c r="J83" i="45" s="1"/>
  <c r="AC83" i="45"/>
  <c r="I83" i="45" s="1"/>
  <c r="AB83" i="45"/>
  <c r="H83" i="45" s="1"/>
  <c r="AA83" i="45"/>
  <c r="G83" i="45" s="1"/>
  <c r="Z83" i="45"/>
  <c r="F83" i="45" s="1"/>
  <c r="Y83" i="45"/>
  <c r="E83" i="45" s="1"/>
  <c r="X83" i="45"/>
  <c r="D83" i="45" s="1"/>
  <c r="AL82" i="45"/>
  <c r="R82" i="45" s="1"/>
  <c r="AK82" i="45"/>
  <c r="Q82" i="45" s="1"/>
  <c r="AJ82" i="45"/>
  <c r="P82" i="45" s="1"/>
  <c r="AI82" i="45"/>
  <c r="O82" i="45" s="1"/>
  <c r="AH82" i="45"/>
  <c r="N82" i="45" s="1"/>
  <c r="AG82" i="45"/>
  <c r="M82" i="45" s="1"/>
  <c r="AF82" i="45"/>
  <c r="L82" i="45" s="1"/>
  <c r="AE82" i="45"/>
  <c r="K82" i="45" s="1"/>
  <c r="AD82" i="45"/>
  <c r="J82" i="45" s="1"/>
  <c r="AC82" i="45"/>
  <c r="I82" i="45" s="1"/>
  <c r="AB82" i="45"/>
  <c r="H82" i="45" s="1"/>
  <c r="AA82" i="45"/>
  <c r="G82" i="45" s="1"/>
  <c r="Z82" i="45"/>
  <c r="F82" i="45" s="1"/>
  <c r="Y82" i="45"/>
  <c r="E82" i="45" s="1"/>
  <c r="X82" i="45"/>
  <c r="D82" i="45" s="1"/>
  <c r="AL81" i="45"/>
  <c r="R81" i="45" s="1"/>
  <c r="AK81" i="45"/>
  <c r="Q81" i="45" s="1"/>
  <c r="AJ81" i="45"/>
  <c r="P81" i="45" s="1"/>
  <c r="AI81" i="45"/>
  <c r="O81" i="45" s="1"/>
  <c r="AH81" i="45"/>
  <c r="N81" i="45" s="1"/>
  <c r="AG81" i="45"/>
  <c r="M81" i="45" s="1"/>
  <c r="AF81" i="45"/>
  <c r="L81" i="45" s="1"/>
  <c r="AE81" i="45"/>
  <c r="K81" i="45" s="1"/>
  <c r="AD81" i="45"/>
  <c r="J81" i="45" s="1"/>
  <c r="AC81" i="45"/>
  <c r="I81" i="45" s="1"/>
  <c r="AB81" i="45"/>
  <c r="H81" i="45" s="1"/>
  <c r="AA81" i="45"/>
  <c r="G81" i="45" s="1"/>
  <c r="Z81" i="45"/>
  <c r="F81" i="45" s="1"/>
  <c r="Y81" i="45"/>
  <c r="E81" i="45" s="1"/>
  <c r="X81" i="45"/>
  <c r="D81" i="45" s="1"/>
  <c r="AL80" i="45"/>
  <c r="R80" i="45" s="1"/>
  <c r="AK80" i="45"/>
  <c r="Q80" i="45" s="1"/>
  <c r="AJ80" i="45"/>
  <c r="P80" i="45" s="1"/>
  <c r="AI80" i="45"/>
  <c r="O80" i="45" s="1"/>
  <c r="AH80" i="45"/>
  <c r="N80" i="45" s="1"/>
  <c r="AG80" i="45"/>
  <c r="M80" i="45" s="1"/>
  <c r="AF80" i="45"/>
  <c r="L80" i="45" s="1"/>
  <c r="AE80" i="45"/>
  <c r="K80" i="45" s="1"/>
  <c r="AD80" i="45"/>
  <c r="J80" i="45" s="1"/>
  <c r="AC80" i="45"/>
  <c r="I80" i="45" s="1"/>
  <c r="AB80" i="45"/>
  <c r="H80" i="45" s="1"/>
  <c r="AA80" i="45"/>
  <c r="G80" i="45" s="1"/>
  <c r="Z80" i="45"/>
  <c r="F80" i="45" s="1"/>
  <c r="Y80" i="45"/>
  <c r="E80" i="45" s="1"/>
  <c r="X80" i="45"/>
  <c r="D80" i="45" s="1"/>
  <c r="AL79" i="45"/>
  <c r="R79" i="45" s="1"/>
  <c r="AK79" i="45"/>
  <c r="Q79" i="45" s="1"/>
  <c r="AJ79" i="45"/>
  <c r="P79" i="45" s="1"/>
  <c r="AI79" i="45"/>
  <c r="O79" i="45" s="1"/>
  <c r="AH79" i="45"/>
  <c r="N79" i="45" s="1"/>
  <c r="AG79" i="45"/>
  <c r="M79" i="45" s="1"/>
  <c r="AF79" i="45"/>
  <c r="L79" i="45" s="1"/>
  <c r="AE79" i="45"/>
  <c r="K79" i="45" s="1"/>
  <c r="AD79" i="45"/>
  <c r="J79" i="45" s="1"/>
  <c r="AC79" i="45"/>
  <c r="I79" i="45" s="1"/>
  <c r="AB79" i="45"/>
  <c r="H79" i="45" s="1"/>
  <c r="AA79" i="45"/>
  <c r="G79" i="45" s="1"/>
  <c r="Z79" i="45"/>
  <c r="F79" i="45" s="1"/>
  <c r="Y79" i="45"/>
  <c r="E79" i="45" s="1"/>
  <c r="X79" i="45"/>
  <c r="D79" i="45" s="1"/>
  <c r="AL78" i="45"/>
  <c r="R78" i="45" s="1"/>
  <c r="AK78" i="45"/>
  <c r="Q78" i="45" s="1"/>
  <c r="AJ78" i="45"/>
  <c r="P78" i="45" s="1"/>
  <c r="AI78" i="45"/>
  <c r="O78" i="45" s="1"/>
  <c r="AH78" i="45"/>
  <c r="N78" i="45" s="1"/>
  <c r="AG78" i="45"/>
  <c r="M78" i="45" s="1"/>
  <c r="AF78" i="45"/>
  <c r="L78" i="45" s="1"/>
  <c r="AE78" i="45"/>
  <c r="K78" i="45" s="1"/>
  <c r="AD78" i="45"/>
  <c r="J78" i="45" s="1"/>
  <c r="AC78" i="45"/>
  <c r="I78" i="45" s="1"/>
  <c r="AB78" i="45"/>
  <c r="H78" i="45" s="1"/>
  <c r="AA78" i="45"/>
  <c r="G78" i="45" s="1"/>
  <c r="Z78" i="45"/>
  <c r="F78" i="45" s="1"/>
  <c r="Y78" i="45"/>
  <c r="E78" i="45" s="1"/>
  <c r="X78" i="45"/>
  <c r="D78" i="45" s="1"/>
  <c r="AL77" i="45"/>
  <c r="R77" i="45" s="1"/>
  <c r="AK77" i="45"/>
  <c r="Q77" i="45" s="1"/>
  <c r="AJ77" i="45"/>
  <c r="P77" i="45" s="1"/>
  <c r="AI77" i="45"/>
  <c r="O77" i="45" s="1"/>
  <c r="AH77" i="45"/>
  <c r="N77" i="45" s="1"/>
  <c r="AG77" i="45"/>
  <c r="M77" i="45" s="1"/>
  <c r="AF77" i="45"/>
  <c r="L77" i="45" s="1"/>
  <c r="AE77" i="45"/>
  <c r="K77" i="45" s="1"/>
  <c r="AD77" i="45"/>
  <c r="J77" i="45" s="1"/>
  <c r="AC77" i="45"/>
  <c r="I77" i="45" s="1"/>
  <c r="AB77" i="45"/>
  <c r="H77" i="45" s="1"/>
  <c r="AA77" i="45"/>
  <c r="G77" i="45" s="1"/>
  <c r="Z77" i="45"/>
  <c r="F77" i="45" s="1"/>
  <c r="Y77" i="45"/>
  <c r="E77" i="45" s="1"/>
  <c r="X77" i="45"/>
  <c r="D77" i="45" s="1"/>
  <c r="AL76" i="45"/>
  <c r="R76" i="45" s="1"/>
  <c r="AK76" i="45"/>
  <c r="Q76" i="45" s="1"/>
  <c r="AJ76" i="45"/>
  <c r="P76" i="45" s="1"/>
  <c r="AI76" i="45"/>
  <c r="O76" i="45" s="1"/>
  <c r="AH76" i="45"/>
  <c r="N76" i="45" s="1"/>
  <c r="AG76" i="45"/>
  <c r="M76" i="45" s="1"/>
  <c r="AF76" i="45"/>
  <c r="L76" i="45" s="1"/>
  <c r="AE76" i="45"/>
  <c r="K76" i="45" s="1"/>
  <c r="AD76" i="45"/>
  <c r="J76" i="45" s="1"/>
  <c r="AC76" i="45"/>
  <c r="I76" i="45" s="1"/>
  <c r="AB76" i="45"/>
  <c r="H76" i="45" s="1"/>
  <c r="AA76" i="45"/>
  <c r="G76" i="45" s="1"/>
  <c r="Z76" i="45"/>
  <c r="F76" i="45" s="1"/>
  <c r="Y76" i="45"/>
  <c r="E76" i="45" s="1"/>
  <c r="X76" i="45"/>
  <c r="D76" i="45" s="1"/>
  <c r="AL75" i="45"/>
  <c r="R75" i="45" s="1"/>
  <c r="AK75" i="45"/>
  <c r="Q75" i="45" s="1"/>
  <c r="AJ75" i="45"/>
  <c r="P75" i="45" s="1"/>
  <c r="AI75" i="45"/>
  <c r="O75" i="45" s="1"/>
  <c r="AH75" i="45"/>
  <c r="N75" i="45" s="1"/>
  <c r="AG75" i="45"/>
  <c r="M75" i="45" s="1"/>
  <c r="AF75" i="45"/>
  <c r="L75" i="45" s="1"/>
  <c r="AE75" i="45"/>
  <c r="K75" i="45" s="1"/>
  <c r="AD75" i="45"/>
  <c r="J75" i="45" s="1"/>
  <c r="AC75" i="45"/>
  <c r="I75" i="45" s="1"/>
  <c r="AB75" i="45"/>
  <c r="H75" i="45" s="1"/>
  <c r="AA75" i="45"/>
  <c r="G75" i="45" s="1"/>
  <c r="Z75" i="45"/>
  <c r="F75" i="45" s="1"/>
  <c r="Y75" i="45"/>
  <c r="E75" i="45" s="1"/>
  <c r="X75" i="45"/>
  <c r="D75" i="45" s="1"/>
  <c r="AL74" i="45"/>
  <c r="R74" i="45" s="1"/>
  <c r="AK74" i="45"/>
  <c r="Q74" i="45" s="1"/>
  <c r="AJ74" i="45"/>
  <c r="P74" i="45" s="1"/>
  <c r="AI74" i="45"/>
  <c r="O74" i="45" s="1"/>
  <c r="AH74" i="45"/>
  <c r="N74" i="45" s="1"/>
  <c r="AG74" i="45"/>
  <c r="M74" i="45" s="1"/>
  <c r="AF74" i="45"/>
  <c r="L74" i="45" s="1"/>
  <c r="AE74" i="45"/>
  <c r="K74" i="45" s="1"/>
  <c r="AD74" i="45"/>
  <c r="J74" i="45" s="1"/>
  <c r="AC74" i="45"/>
  <c r="I74" i="45" s="1"/>
  <c r="AB74" i="45"/>
  <c r="H74" i="45" s="1"/>
  <c r="AA74" i="45"/>
  <c r="G74" i="45" s="1"/>
  <c r="Z74" i="45"/>
  <c r="F74" i="45" s="1"/>
  <c r="Y74" i="45"/>
  <c r="E74" i="45" s="1"/>
  <c r="X74" i="45"/>
  <c r="D74" i="45" s="1"/>
  <c r="AL69" i="45"/>
  <c r="R69" i="45" s="1"/>
  <c r="AK69" i="45"/>
  <c r="Q69" i="45" s="1"/>
  <c r="AJ69" i="45"/>
  <c r="P69" i="45" s="1"/>
  <c r="AI69" i="45"/>
  <c r="O69" i="45" s="1"/>
  <c r="AH69" i="45"/>
  <c r="N69" i="45" s="1"/>
  <c r="AG69" i="45"/>
  <c r="M69" i="45" s="1"/>
  <c r="AF69" i="45"/>
  <c r="L69" i="45" s="1"/>
  <c r="AE69" i="45"/>
  <c r="K69" i="45" s="1"/>
  <c r="AD69" i="45"/>
  <c r="J69" i="45" s="1"/>
  <c r="AC69" i="45"/>
  <c r="I69" i="45" s="1"/>
  <c r="AB69" i="45"/>
  <c r="H69" i="45" s="1"/>
  <c r="AA69" i="45"/>
  <c r="G69" i="45" s="1"/>
  <c r="Z69" i="45"/>
  <c r="F69" i="45" s="1"/>
  <c r="Y69" i="45"/>
  <c r="E69" i="45" s="1"/>
  <c r="X69" i="45"/>
  <c r="D69" i="45" s="1"/>
  <c r="AL68" i="45"/>
  <c r="R68" i="45" s="1"/>
  <c r="AK68" i="45"/>
  <c r="Q68" i="45" s="1"/>
  <c r="AJ68" i="45"/>
  <c r="P68" i="45" s="1"/>
  <c r="AI68" i="45"/>
  <c r="O68" i="45" s="1"/>
  <c r="AH68" i="45"/>
  <c r="N68" i="45" s="1"/>
  <c r="AG68" i="45"/>
  <c r="M68" i="45" s="1"/>
  <c r="AF68" i="45"/>
  <c r="L68" i="45" s="1"/>
  <c r="AE68" i="45"/>
  <c r="K68" i="45" s="1"/>
  <c r="AD68" i="45"/>
  <c r="J68" i="45" s="1"/>
  <c r="AC68" i="45"/>
  <c r="I68" i="45" s="1"/>
  <c r="AB68" i="45"/>
  <c r="H68" i="45" s="1"/>
  <c r="AA68" i="45"/>
  <c r="G68" i="45" s="1"/>
  <c r="Z68" i="45"/>
  <c r="F68" i="45" s="1"/>
  <c r="Y68" i="45"/>
  <c r="E68" i="45" s="1"/>
  <c r="X68" i="45"/>
  <c r="D68" i="45" s="1"/>
  <c r="AL67" i="45"/>
  <c r="R67" i="45" s="1"/>
  <c r="AK67" i="45"/>
  <c r="Q67" i="45" s="1"/>
  <c r="AJ67" i="45"/>
  <c r="P67" i="45" s="1"/>
  <c r="AI67" i="45"/>
  <c r="O67" i="45" s="1"/>
  <c r="AH67" i="45"/>
  <c r="N67" i="45" s="1"/>
  <c r="AG67" i="45"/>
  <c r="M67" i="45" s="1"/>
  <c r="AF67" i="45"/>
  <c r="L67" i="45" s="1"/>
  <c r="AE67" i="45"/>
  <c r="K67" i="45" s="1"/>
  <c r="AD67" i="45"/>
  <c r="J67" i="45" s="1"/>
  <c r="AC67" i="45"/>
  <c r="I67" i="45" s="1"/>
  <c r="AB67" i="45"/>
  <c r="H67" i="45" s="1"/>
  <c r="AA67" i="45"/>
  <c r="G67" i="45" s="1"/>
  <c r="Z67" i="45"/>
  <c r="F67" i="45" s="1"/>
  <c r="Y67" i="45"/>
  <c r="E67" i="45" s="1"/>
  <c r="X67" i="45"/>
  <c r="D67" i="45" s="1"/>
  <c r="AL66" i="45"/>
  <c r="R66" i="45" s="1"/>
  <c r="AK66" i="45"/>
  <c r="Q66" i="45" s="1"/>
  <c r="AJ66" i="45"/>
  <c r="P66" i="45" s="1"/>
  <c r="AI66" i="45"/>
  <c r="O66" i="45" s="1"/>
  <c r="AH66" i="45"/>
  <c r="N66" i="45" s="1"/>
  <c r="AG66" i="45"/>
  <c r="M66" i="45" s="1"/>
  <c r="AF66" i="45"/>
  <c r="L66" i="45" s="1"/>
  <c r="AE66" i="45"/>
  <c r="K66" i="45" s="1"/>
  <c r="AD66" i="45"/>
  <c r="J66" i="45" s="1"/>
  <c r="AC66" i="45"/>
  <c r="I66" i="45" s="1"/>
  <c r="AB66" i="45"/>
  <c r="H66" i="45" s="1"/>
  <c r="AA66" i="45"/>
  <c r="G66" i="45" s="1"/>
  <c r="Z66" i="45"/>
  <c r="F66" i="45" s="1"/>
  <c r="Y66" i="45"/>
  <c r="E66" i="45" s="1"/>
  <c r="X66" i="45"/>
  <c r="D66" i="45" s="1"/>
  <c r="AL65" i="45"/>
  <c r="R65" i="45" s="1"/>
  <c r="AK65" i="45"/>
  <c r="Q65" i="45" s="1"/>
  <c r="AJ65" i="45"/>
  <c r="P65" i="45" s="1"/>
  <c r="AI65" i="45"/>
  <c r="O65" i="45" s="1"/>
  <c r="AH65" i="45"/>
  <c r="N65" i="45" s="1"/>
  <c r="AG65" i="45"/>
  <c r="M65" i="45" s="1"/>
  <c r="AF65" i="45"/>
  <c r="L65" i="45" s="1"/>
  <c r="AE65" i="45"/>
  <c r="K65" i="45" s="1"/>
  <c r="AD65" i="45"/>
  <c r="J65" i="45" s="1"/>
  <c r="AC65" i="45"/>
  <c r="I65" i="45" s="1"/>
  <c r="AB65" i="45"/>
  <c r="H65" i="45" s="1"/>
  <c r="AA65" i="45"/>
  <c r="G65" i="45" s="1"/>
  <c r="Z65" i="45"/>
  <c r="F65" i="45" s="1"/>
  <c r="Y65" i="45"/>
  <c r="E65" i="45" s="1"/>
  <c r="X65" i="45"/>
  <c r="D65" i="45" s="1"/>
  <c r="AL64" i="45"/>
  <c r="R64" i="45" s="1"/>
  <c r="AK64" i="45"/>
  <c r="Q64" i="45" s="1"/>
  <c r="AJ64" i="45"/>
  <c r="P64" i="45" s="1"/>
  <c r="AI64" i="45"/>
  <c r="O64" i="45" s="1"/>
  <c r="AH64" i="45"/>
  <c r="N64" i="45" s="1"/>
  <c r="AG64" i="45"/>
  <c r="M64" i="45" s="1"/>
  <c r="AF64" i="45"/>
  <c r="L64" i="45" s="1"/>
  <c r="AE64" i="45"/>
  <c r="K64" i="45" s="1"/>
  <c r="AD64" i="45"/>
  <c r="J64" i="45" s="1"/>
  <c r="AC64" i="45"/>
  <c r="I64" i="45" s="1"/>
  <c r="AB64" i="45"/>
  <c r="H64" i="45" s="1"/>
  <c r="AA64" i="45"/>
  <c r="G64" i="45" s="1"/>
  <c r="Z64" i="45"/>
  <c r="F64" i="45" s="1"/>
  <c r="Y64" i="45"/>
  <c r="E64" i="45" s="1"/>
  <c r="X64" i="45"/>
  <c r="D64" i="45" s="1"/>
  <c r="AL63" i="45"/>
  <c r="R63" i="45" s="1"/>
  <c r="AK63" i="45"/>
  <c r="Q63" i="45" s="1"/>
  <c r="AJ63" i="45"/>
  <c r="P63" i="45" s="1"/>
  <c r="AI63" i="45"/>
  <c r="O63" i="45" s="1"/>
  <c r="AH63" i="45"/>
  <c r="N63" i="45" s="1"/>
  <c r="AG63" i="45"/>
  <c r="M63" i="45" s="1"/>
  <c r="AF63" i="45"/>
  <c r="L63" i="45" s="1"/>
  <c r="AE63" i="45"/>
  <c r="K63" i="45" s="1"/>
  <c r="AD63" i="45"/>
  <c r="J63" i="45" s="1"/>
  <c r="AC63" i="45"/>
  <c r="I63" i="45" s="1"/>
  <c r="AB63" i="45"/>
  <c r="H63" i="45" s="1"/>
  <c r="AA63" i="45"/>
  <c r="G63" i="45" s="1"/>
  <c r="Z63" i="45"/>
  <c r="F63" i="45" s="1"/>
  <c r="Y63" i="45"/>
  <c r="E63" i="45" s="1"/>
  <c r="X63" i="45"/>
  <c r="D63" i="45" s="1"/>
  <c r="AL62" i="45"/>
  <c r="R62" i="45" s="1"/>
  <c r="AK62" i="45"/>
  <c r="Q62" i="45" s="1"/>
  <c r="AJ62" i="45"/>
  <c r="P62" i="45" s="1"/>
  <c r="AI62" i="45"/>
  <c r="O62" i="45" s="1"/>
  <c r="AH62" i="45"/>
  <c r="N62" i="45" s="1"/>
  <c r="AG62" i="45"/>
  <c r="M62" i="45" s="1"/>
  <c r="AF62" i="45"/>
  <c r="L62" i="45" s="1"/>
  <c r="AE62" i="45"/>
  <c r="K62" i="45" s="1"/>
  <c r="AD62" i="45"/>
  <c r="J62" i="45" s="1"/>
  <c r="AC62" i="45"/>
  <c r="I62" i="45" s="1"/>
  <c r="AB62" i="45"/>
  <c r="H62" i="45" s="1"/>
  <c r="AA62" i="45"/>
  <c r="G62" i="45" s="1"/>
  <c r="Z62" i="45"/>
  <c r="F62" i="45" s="1"/>
  <c r="Y62" i="45"/>
  <c r="E62" i="45" s="1"/>
  <c r="X62" i="45"/>
  <c r="D62" i="45" s="1"/>
  <c r="AL61" i="45"/>
  <c r="R61" i="45" s="1"/>
  <c r="AK61" i="45"/>
  <c r="Q61" i="45" s="1"/>
  <c r="AJ61" i="45"/>
  <c r="P61" i="45" s="1"/>
  <c r="AI61" i="45"/>
  <c r="O61" i="45" s="1"/>
  <c r="AH61" i="45"/>
  <c r="N61" i="45" s="1"/>
  <c r="AG61" i="45"/>
  <c r="M61" i="45" s="1"/>
  <c r="AF61" i="45"/>
  <c r="L61" i="45" s="1"/>
  <c r="AE61" i="45"/>
  <c r="K61" i="45" s="1"/>
  <c r="AD61" i="45"/>
  <c r="J61" i="45" s="1"/>
  <c r="AC61" i="45"/>
  <c r="I61" i="45" s="1"/>
  <c r="AB61" i="45"/>
  <c r="H61" i="45" s="1"/>
  <c r="AA61" i="45"/>
  <c r="G61" i="45" s="1"/>
  <c r="Z61" i="45"/>
  <c r="F61" i="45" s="1"/>
  <c r="Y61" i="45"/>
  <c r="E61" i="45" s="1"/>
  <c r="X61" i="45"/>
  <c r="D61" i="45" s="1"/>
  <c r="AL60" i="45"/>
  <c r="R60" i="45" s="1"/>
  <c r="AK60" i="45"/>
  <c r="Q60" i="45" s="1"/>
  <c r="AJ60" i="45"/>
  <c r="P60" i="45" s="1"/>
  <c r="AI60" i="45"/>
  <c r="O60" i="45" s="1"/>
  <c r="AH60" i="45"/>
  <c r="N60" i="45" s="1"/>
  <c r="AG60" i="45"/>
  <c r="M60" i="45" s="1"/>
  <c r="AF60" i="45"/>
  <c r="L60" i="45" s="1"/>
  <c r="AE60" i="45"/>
  <c r="K60" i="45" s="1"/>
  <c r="AD60" i="45"/>
  <c r="J60" i="45" s="1"/>
  <c r="AC60" i="45"/>
  <c r="I60" i="45" s="1"/>
  <c r="AB60" i="45"/>
  <c r="H60" i="45" s="1"/>
  <c r="AA60" i="45"/>
  <c r="G60" i="45" s="1"/>
  <c r="Z60" i="45"/>
  <c r="F60" i="45" s="1"/>
  <c r="Y60" i="45"/>
  <c r="E60" i="45" s="1"/>
  <c r="X60" i="45"/>
  <c r="D60" i="45" s="1"/>
  <c r="AL59" i="45"/>
  <c r="R59" i="45" s="1"/>
  <c r="AK59" i="45"/>
  <c r="Q59" i="45" s="1"/>
  <c r="AJ59" i="45"/>
  <c r="P59" i="45" s="1"/>
  <c r="AI59" i="45"/>
  <c r="O59" i="45" s="1"/>
  <c r="AH59" i="45"/>
  <c r="N59" i="45" s="1"/>
  <c r="AG59" i="45"/>
  <c r="M59" i="45" s="1"/>
  <c r="AF59" i="45"/>
  <c r="L59" i="45" s="1"/>
  <c r="AE59" i="45"/>
  <c r="K59" i="45" s="1"/>
  <c r="AD59" i="45"/>
  <c r="J59" i="45" s="1"/>
  <c r="AC59" i="45"/>
  <c r="I59" i="45" s="1"/>
  <c r="AB59" i="45"/>
  <c r="H59" i="45" s="1"/>
  <c r="AA59" i="45"/>
  <c r="G59" i="45" s="1"/>
  <c r="Z59" i="45"/>
  <c r="F59" i="45" s="1"/>
  <c r="Y59" i="45"/>
  <c r="E59" i="45" s="1"/>
  <c r="X59" i="45"/>
  <c r="D59" i="45" s="1"/>
  <c r="AL58" i="45"/>
  <c r="R58" i="45" s="1"/>
  <c r="AK58" i="45"/>
  <c r="Q58" i="45" s="1"/>
  <c r="AJ58" i="45"/>
  <c r="P58" i="45" s="1"/>
  <c r="AI58" i="45"/>
  <c r="O58" i="45" s="1"/>
  <c r="AH58" i="45"/>
  <c r="N58" i="45" s="1"/>
  <c r="AG58" i="45"/>
  <c r="M58" i="45" s="1"/>
  <c r="AF58" i="45"/>
  <c r="L58" i="45" s="1"/>
  <c r="AE58" i="45"/>
  <c r="K58" i="45" s="1"/>
  <c r="AD58" i="45"/>
  <c r="J58" i="45" s="1"/>
  <c r="AC58" i="45"/>
  <c r="I58" i="45" s="1"/>
  <c r="AB58" i="45"/>
  <c r="H58" i="45" s="1"/>
  <c r="AA58" i="45"/>
  <c r="G58" i="45" s="1"/>
  <c r="Z58" i="45"/>
  <c r="F58" i="45" s="1"/>
  <c r="Y58" i="45"/>
  <c r="E58" i="45" s="1"/>
  <c r="X58" i="45"/>
  <c r="D58" i="45" s="1"/>
  <c r="AL53" i="45"/>
  <c r="R53" i="45" s="1"/>
  <c r="AK53" i="45"/>
  <c r="Q53" i="45" s="1"/>
  <c r="AJ53" i="45"/>
  <c r="P53" i="45" s="1"/>
  <c r="AI53" i="45"/>
  <c r="O53" i="45" s="1"/>
  <c r="AH53" i="45"/>
  <c r="N53" i="45" s="1"/>
  <c r="AG53" i="45"/>
  <c r="M53" i="45" s="1"/>
  <c r="AF53" i="45"/>
  <c r="L53" i="45" s="1"/>
  <c r="AE53" i="45"/>
  <c r="K53" i="45" s="1"/>
  <c r="AD53" i="45"/>
  <c r="J53" i="45" s="1"/>
  <c r="AC53" i="45"/>
  <c r="I53" i="45" s="1"/>
  <c r="AB53" i="45"/>
  <c r="H53" i="45" s="1"/>
  <c r="AA53" i="45"/>
  <c r="G53" i="45" s="1"/>
  <c r="Z53" i="45"/>
  <c r="F53" i="45" s="1"/>
  <c r="Y53" i="45"/>
  <c r="E53" i="45" s="1"/>
  <c r="X53" i="45"/>
  <c r="D53" i="45" s="1"/>
  <c r="AL52" i="45"/>
  <c r="R52" i="45" s="1"/>
  <c r="AK52" i="45"/>
  <c r="Q52" i="45" s="1"/>
  <c r="AJ52" i="45"/>
  <c r="P52" i="45" s="1"/>
  <c r="AI52" i="45"/>
  <c r="O52" i="45" s="1"/>
  <c r="AH52" i="45"/>
  <c r="N52" i="45" s="1"/>
  <c r="AG52" i="45"/>
  <c r="M52" i="45" s="1"/>
  <c r="AF52" i="45"/>
  <c r="L52" i="45" s="1"/>
  <c r="AE52" i="45"/>
  <c r="K52" i="45" s="1"/>
  <c r="AD52" i="45"/>
  <c r="J52" i="45" s="1"/>
  <c r="AC52" i="45"/>
  <c r="I52" i="45" s="1"/>
  <c r="AB52" i="45"/>
  <c r="H52" i="45" s="1"/>
  <c r="AA52" i="45"/>
  <c r="G52" i="45" s="1"/>
  <c r="Z52" i="45"/>
  <c r="F52" i="45" s="1"/>
  <c r="Y52" i="45"/>
  <c r="E52" i="45" s="1"/>
  <c r="X52" i="45"/>
  <c r="D52" i="45" s="1"/>
  <c r="AL51" i="45"/>
  <c r="R51" i="45" s="1"/>
  <c r="AK51" i="45"/>
  <c r="Q51" i="45" s="1"/>
  <c r="AJ51" i="45"/>
  <c r="P51" i="45" s="1"/>
  <c r="AI51" i="45"/>
  <c r="O51" i="45" s="1"/>
  <c r="AH51" i="45"/>
  <c r="N51" i="45" s="1"/>
  <c r="AG51" i="45"/>
  <c r="M51" i="45" s="1"/>
  <c r="AF51" i="45"/>
  <c r="L51" i="45" s="1"/>
  <c r="AE51" i="45"/>
  <c r="K51" i="45" s="1"/>
  <c r="AD51" i="45"/>
  <c r="J51" i="45" s="1"/>
  <c r="AC51" i="45"/>
  <c r="I51" i="45" s="1"/>
  <c r="AB51" i="45"/>
  <c r="H51" i="45" s="1"/>
  <c r="AA51" i="45"/>
  <c r="G51" i="45" s="1"/>
  <c r="Z51" i="45"/>
  <c r="F51" i="45" s="1"/>
  <c r="Y51" i="45"/>
  <c r="E51" i="45" s="1"/>
  <c r="X51" i="45"/>
  <c r="D51" i="45" s="1"/>
  <c r="AL50" i="45"/>
  <c r="R50" i="45" s="1"/>
  <c r="AK50" i="45"/>
  <c r="Q50" i="45" s="1"/>
  <c r="AJ50" i="45"/>
  <c r="P50" i="45" s="1"/>
  <c r="AI50" i="45"/>
  <c r="O50" i="45" s="1"/>
  <c r="AH50" i="45"/>
  <c r="N50" i="45" s="1"/>
  <c r="AG50" i="45"/>
  <c r="M50" i="45" s="1"/>
  <c r="AF50" i="45"/>
  <c r="L50" i="45" s="1"/>
  <c r="AE50" i="45"/>
  <c r="K50" i="45" s="1"/>
  <c r="AD50" i="45"/>
  <c r="J50" i="45" s="1"/>
  <c r="AC50" i="45"/>
  <c r="I50" i="45" s="1"/>
  <c r="AB50" i="45"/>
  <c r="H50" i="45" s="1"/>
  <c r="AA50" i="45"/>
  <c r="G50" i="45" s="1"/>
  <c r="Z50" i="45"/>
  <c r="F50" i="45" s="1"/>
  <c r="Y50" i="45"/>
  <c r="E50" i="45" s="1"/>
  <c r="X50" i="45"/>
  <c r="D50" i="45" s="1"/>
  <c r="AL49" i="45"/>
  <c r="R49" i="45" s="1"/>
  <c r="AK49" i="45"/>
  <c r="Q49" i="45" s="1"/>
  <c r="AJ49" i="45"/>
  <c r="P49" i="45" s="1"/>
  <c r="AI49" i="45"/>
  <c r="O49" i="45" s="1"/>
  <c r="AH49" i="45"/>
  <c r="N49" i="45" s="1"/>
  <c r="AG49" i="45"/>
  <c r="M49" i="45" s="1"/>
  <c r="AF49" i="45"/>
  <c r="L49" i="45" s="1"/>
  <c r="AE49" i="45"/>
  <c r="K49" i="45" s="1"/>
  <c r="AD49" i="45"/>
  <c r="J49" i="45" s="1"/>
  <c r="AC49" i="45"/>
  <c r="I49" i="45" s="1"/>
  <c r="AB49" i="45"/>
  <c r="H49" i="45" s="1"/>
  <c r="AA49" i="45"/>
  <c r="G49" i="45" s="1"/>
  <c r="Z49" i="45"/>
  <c r="F49" i="45" s="1"/>
  <c r="Y49" i="45"/>
  <c r="E49" i="45" s="1"/>
  <c r="X49" i="45"/>
  <c r="D49" i="45" s="1"/>
  <c r="AL48" i="45"/>
  <c r="R48" i="45" s="1"/>
  <c r="AK48" i="45"/>
  <c r="Q48" i="45" s="1"/>
  <c r="AJ48" i="45"/>
  <c r="P48" i="45" s="1"/>
  <c r="AI48" i="45"/>
  <c r="O48" i="45" s="1"/>
  <c r="AH48" i="45"/>
  <c r="N48" i="45" s="1"/>
  <c r="AG48" i="45"/>
  <c r="M48" i="45" s="1"/>
  <c r="AF48" i="45"/>
  <c r="L48" i="45" s="1"/>
  <c r="AE48" i="45"/>
  <c r="K48" i="45" s="1"/>
  <c r="AD48" i="45"/>
  <c r="J48" i="45" s="1"/>
  <c r="AC48" i="45"/>
  <c r="I48" i="45" s="1"/>
  <c r="AB48" i="45"/>
  <c r="H48" i="45" s="1"/>
  <c r="AA48" i="45"/>
  <c r="G48" i="45" s="1"/>
  <c r="Z48" i="45"/>
  <c r="F48" i="45" s="1"/>
  <c r="Y48" i="45"/>
  <c r="E48" i="45" s="1"/>
  <c r="X48" i="45"/>
  <c r="D48" i="45" s="1"/>
  <c r="AL47" i="45"/>
  <c r="R47" i="45" s="1"/>
  <c r="AK47" i="45"/>
  <c r="Q47" i="45" s="1"/>
  <c r="AJ47" i="45"/>
  <c r="P47" i="45" s="1"/>
  <c r="AI47" i="45"/>
  <c r="O47" i="45" s="1"/>
  <c r="AH47" i="45"/>
  <c r="N47" i="45" s="1"/>
  <c r="AG47" i="45"/>
  <c r="M47" i="45" s="1"/>
  <c r="AF47" i="45"/>
  <c r="L47" i="45" s="1"/>
  <c r="AE47" i="45"/>
  <c r="K47" i="45" s="1"/>
  <c r="AD47" i="45"/>
  <c r="J47" i="45" s="1"/>
  <c r="AC47" i="45"/>
  <c r="I47" i="45" s="1"/>
  <c r="AB47" i="45"/>
  <c r="H47" i="45" s="1"/>
  <c r="AA47" i="45"/>
  <c r="G47" i="45" s="1"/>
  <c r="Z47" i="45"/>
  <c r="F47" i="45" s="1"/>
  <c r="Y47" i="45"/>
  <c r="E47" i="45" s="1"/>
  <c r="X47" i="45"/>
  <c r="D47" i="45" s="1"/>
  <c r="AL46" i="45"/>
  <c r="R46" i="45" s="1"/>
  <c r="AK46" i="45"/>
  <c r="Q46" i="45" s="1"/>
  <c r="AJ46" i="45"/>
  <c r="P46" i="45" s="1"/>
  <c r="AI46" i="45"/>
  <c r="O46" i="45" s="1"/>
  <c r="AH46" i="45"/>
  <c r="N46" i="45" s="1"/>
  <c r="AG46" i="45"/>
  <c r="M46" i="45" s="1"/>
  <c r="AF46" i="45"/>
  <c r="L46" i="45" s="1"/>
  <c r="AE46" i="45"/>
  <c r="K46" i="45" s="1"/>
  <c r="AD46" i="45"/>
  <c r="J46" i="45" s="1"/>
  <c r="AC46" i="45"/>
  <c r="I46" i="45" s="1"/>
  <c r="AB46" i="45"/>
  <c r="H46" i="45" s="1"/>
  <c r="AA46" i="45"/>
  <c r="G46" i="45" s="1"/>
  <c r="Z46" i="45"/>
  <c r="F46" i="45" s="1"/>
  <c r="Y46" i="45"/>
  <c r="E46" i="45" s="1"/>
  <c r="X46" i="45"/>
  <c r="D46" i="45" s="1"/>
  <c r="AL45" i="45"/>
  <c r="R45" i="45" s="1"/>
  <c r="AK45" i="45"/>
  <c r="Q45" i="45" s="1"/>
  <c r="AJ45" i="45"/>
  <c r="P45" i="45" s="1"/>
  <c r="AI45" i="45"/>
  <c r="O45" i="45" s="1"/>
  <c r="AH45" i="45"/>
  <c r="N45" i="45" s="1"/>
  <c r="AG45" i="45"/>
  <c r="M45" i="45" s="1"/>
  <c r="AF45" i="45"/>
  <c r="L45" i="45" s="1"/>
  <c r="AE45" i="45"/>
  <c r="K45" i="45" s="1"/>
  <c r="AD45" i="45"/>
  <c r="J45" i="45" s="1"/>
  <c r="AC45" i="45"/>
  <c r="I45" i="45" s="1"/>
  <c r="AB45" i="45"/>
  <c r="H45" i="45" s="1"/>
  <c r="AA45" i="45"/>
  <c r="G45" i="45" s="1"/>
  <c r="Z45" i="45"/>
  <c r="F45" i="45" s="1"/>
  <c r="Y45" i="45"/>
  <c r="E45" i="45" s="1"/>
  <c r="X45" i="45"/>
  <c r="D45" i="45" s="1"/>
  <c r="AL44" i="45"/>
  <c r="R44" i="45" s="1"/>
  <c r="AK44" i="45"/>
  <c r="Q44" i="45" s="1"/>
  <c r="AJ44" i="45"/>
  <c r="P44" i="45" s="1"/>
  <c r="AI44" i="45"/>
  <c r="O44" i="45" s="1"/>
  <c r="AH44" i="45"/>
  <c r="N44" i="45" s="1"/>
  <c r="AG44" i="45"/>
  <c r="M44" i="45" s="1"/>
  <c r="AF44" i="45"/>
  <c r="L44" i="45" s="1"/>
  <c r="AE44" i="45"/>
  <c r="K44" i="45" s="1"/>
  <c r="AD44" i="45"/>
  <c r="J44" i="45" s="1"/>
  <c r="AC44" i="45"/>
  <c r="I44" i="45" s="1"/>
  <c r="AB44" i="45"/>
  <c r="H44" i="45" s="1"/>
  <c r="AA44" i="45"/>
  <c r="G44" i="45" s="1"/>
  <c r="Z44" i="45"/>
  <c r="F44" i="45" s="1"/>
  <c r="Y44" i="45"/>
  <c r="E44" i="45" s="1"/>
  <c r="X44" i="45"/>
  <c r="D44" i="45" s="1"/>
  <c r="AL43" i="45"/>
  <c r="R43" i="45" s="1"/>
  <c r="AK43" i="45"/>
  <c r="Q43" i="45" s="1"/>
  <c r="AJ43" i="45"/>
  <c r="P43" i="45" s="1"/>
  <c r="AI43" i="45"/>
  <c r="O43" i="45" s="1"/>
  <c r="AH43" i="45"/>
  <c r="N43" i="45" s="1"/>
  <c r="AG43" i="45"/>
  <c r="M43" i="45" s="1"/>
  <c r="AF43" i="45"/>
  <c r="L43" i="45" s="1"/>
  <c r="AE43" i="45"/>
  <c r="K43" i="45" s="1"/>
  <c r="AD43" i="45"/>
  <c r="J43" i="45" s="1"/>
  <c r="AC43" i="45"/>
  <c r="I43" i="45" s="1"/>
  <c r="AB43" i="45"/>
  <c r="H43" i="45" s="1"/>
  <c r="AA43" i="45"/>
  <c r="G43" i="45" s="1"/>
  <c r="Z43" i="45"/>
  <c r="F43" i="45" s="1"/>
  <c r="Y43" i="45"/>
  <c r="E43" i="45" s="1"/>
  <c r="X43" i="45"/>
  <c r="D43" i="45" s="1"/>
  <c r="AL42" i="45"/>
  <c r="R42" i="45" s="1"/>
  <c r="AK42" i="45"/>
  <c r="Q42" i="45" s="1"/>
  <c r="AJ42" i="45"/>
  <c r="P42" i="45" s="1"/>
  <c r="AI42" i="45"/>
  <c r="O42" i="45" s="1"/>
  <c r="AH42" i="45"/>
  <c r="N42" i="45" s="1"/>
  <c r="AG42" i="45"/>
  <c r="M42" i="45" s="1"/>
  <c r="AF42" i="45"/>
  <c r="L42" i="45" s="1"/>
  <c r="AE42" i="45"/>
  <c r="K42" i="45" s="1"/>
  <c r="AD42" i="45"/>
  <c r="J42" i="45" s="1"/>
  <c r="AC42" i="45"/>
  <c r="I42" i="45" s="1"/>
  <c r="AB42" i="45"/>
  <c r="H42" i="45" s="1"/>
  <c r="AA42" i="45"/>
  <c r="G42" i="45" s="1"/>
  <c r="Z42" i="45"/>
  <c r="F42" i="45" s="1"/>
  <c r="Y42" i="45"/>
  <c r="E42" i="45" s="1"/>
  <c r="X42" i="45"/>
  <c r="D42" i="45" s="1"/>
  <c r="AD37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AL26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AK27" i="45"/>
  <c r="AL27" i="45"/>
  <c r="Y28" i="45"/>
  <c r="Z28" i="45"/>
  <c r="AA28" i="45"/>
  <c r="AB28" i="45"/>
  <c r="AC28" i="45"/>
  <c r="AD28" i="45"/>
  <c r="AE28" i="45"/>
  <c r="AF28" i="45"/>
  <c r="AG28" i="45"/>
  <c r="AH28" i="45"/>
  <c r="AI28" i="45"/>
  <c r="AJ28" i="45"/>
  <c r="AK28" i="45"/>
  <c r="AL28" i="45"/>
  <c r="Y29" i="45"/>
  <c r="Z29" i="45"/>
  <c r="AA29" i="45"/>
  <c r="AB29" i="45"/>
  <c r="AC29" i="45"/>
  <c r="AD29" i="45"/>
  <c r="AE29" i="45"/>
  <c r="AF29" i="45"/>
  <c r="AG29" i="45"/>
  <c r="AH29" i="45"/>
  <c r="AI29" i="45"/>
  <c r="AJ29" i="45"/>
  <c r="AK29" i="45"/>
  <c r="AL29" i="45"/>
  <c r="Y30" i="45"/>
  <c r="Z30" i="45"/>
  <c r="AA30" i="45"/>
  <c r="AB30" i="45"/>
  <c r="AC30" i="45"/>
  <c r="AD30" i="45"/>
  <c r="AE30" i="45"/>
  <c r="AF30" i="45"/>
  <c r="AG30" i="45"/>
  <c r="AH30" i="45"/>
  <c r="AI30" i="45"/>
  <c r="AJ30" i="45"/>
  <c r="AK30" i="45"/>
  <c r="AL30" i="45"/>
  <c r="Y31" i="45"/>
  <c r="Z31" i="45"/>
  <c r="AA31" i="45"/>
  <c r="AB31" i="45"/>
  <c r="AC31" i="45"/>
  <c r="AD31" i="45"/>
  <c r="AE31" i="45"/>
  <c r="AF31" i="45"/>
  <c r="AG31" i="45"/>
  <c r="AH31" i="45"/>
  <c r="AI31" i="45"/>
  <c r="AJ31" i="45"/>
  <c r="AK31" i="45"/>
  <c r="AL31" i="45"/>
  <c r="Y32" i="45"/>
  <c r="Z32" i="45"/>
  <c r="AA32" i="45"/>
  <c r="AB32" i="45"/>
  <c r="AC32" i="45"/>
  <c r="AD32" i="45"/>
  <c r="AE32" i="45"/>
  <c r="AF32" i="45"/>
  <c r="AG32" i="45"/>
  <c r="AH32" i="45"/>
  <c r="AI32" i="45"/>
  <c r="AJ32" i="45"/>
  <c r="AK32" i="45"/>
  <c r="AL32" i="45"/>
  <c r="Y33" i="45"/>
  <c r="Z33" i="45"/>
  <c r="AA33" i="45"/>
  <c r="AB33" i="45"/>
  <c r="AC33" i="45"/>
  <c r="AD33" i="45"/>
  <c r="AE33" i="45"/>
  <c r="AF33" i="45"/>
  <c r="AG33" i="45"/>
  <c r="AH33" i="45"/>
  <c r="AI33" i="45"/>
  <c r="AJ33" i="45"/>
  <c r="AK33" i="45"/>
  <c r="AL33" i="45"/>
  <c r="Y34" i="45"/>
  <c r="Z34" i="45"/>
  <c r="AA34" i="45"/>
  <c r="AB34" i="45"/>
  <c r="AC34" i="45"/>
  <c r="AD34" i="45"/>
  <c r="AE34" i="45"/>
  <c r="AF34" i="45"/>
  <c r="AG34" i="45"/>
  <c r="AH34" i="45"/>
  <c r="AI34" i="45"/>
  <c r="AJ34" i="45"/>
  <c r="AK34" i="45"/>
  <c r="AL34" i="45"/>
  <c r="Y35" i="45"/>
  <c r="Z35" i="45"/>
  <c r="AA35" i="45"/>
  <c r="AB35" i="45"/>
  <c r="AC35" i="45"/>
  <c r="AD35" i="45"/>
  <c r="AE35" i="45"/>
  <c r="AF35" i="45"/>
  <c r="AG35" i="45"/>
  <c r="AH35" i="45"/>
  <c r="AI35" i="45"/>
  <c r="AJ35" i="45"/>
  <c r="AK35" i="45"/>
  <c r="AL35" i="45"/>
  <c r="Y36" i="45"/>
  <c r="Z36" i="45"/>
  <c r="AA36" i="45"/>
  <c r="AB36" i="45"/>
  <c r="AC36" i="45"/>
  <c r="AD36" i="45"/>
  <c r="AE36" i="45"/>
  <c r="AF36" i="45"/>
  <c r="AG36" i="45"/>
  <c r="AH36" i="45"/>
  <c r="AI36" i="45"/>
  <c r="AJ36" i="45"/>
  <c r="AK36" i="45"/>
  <c r="AL36" i="45"/>
  <c r="Y37" i="45"/>
  <c r="Z37" i="45"/>
  <c r="AA37" i="45"/>
  <c r="AB37" i="45"/>
  <c r="AC37" i="45"/>
  <c r="AE37" i="45"/>
  <c r="AF37" i="45"/>
  <c r="AG37" i="45"/>
  <c r="AH37" i="45"/>
  <c r="AI37" i="45"/>
  <c r="AJ37" i="45"/>
  <c r="AK37" i="45"/>
  <c r="AL37" i="45"/>
  <c r="X27" i="45"/>
  <c r="X28" i="45"/>
  <c r="X29" i="45"/>
  <c r="X30" i="45"/>
  <c r="X31" i="45"/>
  <c r="X32" i="45"/>
  <c r="X33" i="45"/>
  <c r="X34" i="45"/>
  <c r="X35" i="45"/>
  <c r="X36" i="45"/>
  <c r="X37" i="45"/>
  <c r="X26" i="45"/>
  <c r="AL21" i="45"/>
  <c r="R21" i="45" s="1"/>
  <c r="AK21" i="45"/>
  <c r="Q21" i="45" s="1"/>
  <c r="AJ21" i="45"/>
  <c r="P21" i="45" s="1"/>
  <c r="AI21" i="45"/>
  <c r="O21" i="45" s="1"/>
  <c r="AH21" i="45"/>
  <c r="N21" i="45" s="1"/>
  <c r="AG21" i="45"/>
  <c r="M21" i="45" s="1"/>
  <c r="AF21" i="45"/>
  <c r="L21" i="45" s="1"/>
  <c r="AE21" i="45"/>
  <c r="K21" i="45" s="1"/>
  <c r="AD21" i="45"/>
  <c r="J21" i="45" s="1"/>
  <c r="AC21" i="45"/>
  <c r="I21" i="45" s="1"/>
  <c r="AB21" i="45"/>
  <c r="H21" i="45" s="1"/>
  <c r="AA21" i="45"/>
  <c r="G21" i="45" s="1"/>
  <c r="Z21" i="45"/>
  <c r="F21" i="45" s="1"/>
  <c r="Y21" i="45"/>
  <c r="E21" i="45" s="1"/>
  <c r="AL20" i="45"/>
  <c r="AK20" i="45"/>
  <c r="AJ20" i="45"/>
  <c r="AI20" i="45"/>
  <c r="AH20" i="45"/>
  <c r="AG20" i="45"/>
  <c r="AF20" i="45"/>
  <c r="AE20" i="45"/>
  <c r="AD20" i="45"/>
  <c r="AC20" i="45"/>
  <c r="AB20" i="45"/>
  <c r="AA20" i="45"/>
  <c r="Z20" i="45"/>
  <c r="Y20" i="45"/>
  <c r="AL19" i="45"/>
  <c r="AK19" i="45"/>
  <c r="AJ19" i="45"/>
  <c r="AI19" i="45"/>
  <c r="AH19" i="45"/>
  <c r="AG19" i="45"/>
  <c r="AF19" i="45"/>
  <c r="AE19" i="45"/>
  <c r="AD19" i="45"/>
  <c r="AC19" i="45"/>
  <c r="AA19" i="45"/>
  <c r="Z19" i="45"/>
  <c r="Y19" i="45"/>
  <c r="AL18" i="45"/>
  <c r="AK18" i="45"/>
  <c r="AJ18" i="45"/>
  <c r="AI18" i="45"/>
  <c r="AH18" i="45"/>
  <c r="AG18" i="45"/>
  <c r="AF18" i="45"/>
  <c r="AE18" i="45"/>
  <c r="AD18" i="45"/>
  <c r="AC18" i="45"/>
  <c r="AB18" i="45"/>
  <c r="AA18" i="45"/>
  <c r="Z18" i="45"/>
  <c r="Y18" i="45"/>
  <c r="AL17" i="45"/>
  <c r="AK17" i="45"/>
  <c r="AJ17" i="45"/>
  <c r="AI17" i="45"/>
  <c r="AH17" i="45"/>
  <c r="AG17" i="45"/>
  <c r="AF17" i="45"/>
  <c r="AE17" i="45"/>
  <c r="AD17" i="45"/>
  <c r="AC17" i="45"/>
  <c r="AA17" i="45"/>
  <c r="Z17" i="45"/>
  <c r="Y17" i="45"/>
  <c r="AL16" i="45"/>
  <c r="AK16" i="45"/>
  <c r="AJ16" i="45"/>
  <c r="AI16" i="45"/>
  <c r="AH16" i="45"/>
  <c r="AG16" i="45"/>
  <c r="AF16" i="45"/>
  <c r="AE16" i="45"/>
  <c r="AD16" i="45"/>
  <c r="AC16" i="45"/>
  <c r="AB16" i="45"/>
  <c r="AA16" i="45"/>
  <c r="Z16" i="45"/>
  <c r="Y16" i="45"/>
  <c r="AL15" i="45"/>
  <c r="AK15" i="45"/>
  <c r="AJ15" i="45"/>
  <c r="AI15" i="45"/>
  <c r="AH15" i="45"/>
  <c r="AG15" i="45"/>
  <c r="AF15" i="45"/>
  <c r="AE15" i="45"/>
  <c r="AD15" i="45"/>
  <c r="AC15" i="45"/>
  <c r="AA15" i="45"/>
  <c r="Z15" i="45"/>
  <c r="Y15" i="45"/>
  <c r="AL14" i="45"/>
  <c r="AK14" i="45"/>
  <c r="AJ14" i="45"/>
  <c r="AI14" i="45"/>
  <c r="AH14" i="45"/>
  <c r="AG14" i="45"/>
  <c r="AF14" i="45"/>
  <c r="AE14" i="45"/>
  <c r="AD14" i="45"/>
  <c r="AC14" i="45"/>
  <c r="AB14" i="45"/>
  <c r="AA14" i="45"/>
  <c r="Z14" i="45"/>
  <c r="Y14" i="45"/>
  <c r="AL13" i="45"/>
  <c r="AK13" i="45"/>
  <c r="AJ13" i="45"/>
  <c r="AI13" i="45"/>
  <c r="AH13" i="45"/>
  <c r="AG13" i="45"/>
  <c r="AF13" i="45"/>
  <c r="AE13" i="45"/>
  <c r="AD13" i="45"/>
  <c r="AC13" i="45"/>
  <c r="AA13" i="45"/>
  <c r="Z13" i="45"/>
  <c r="Y13" i="45"/>
  <c r="AL12" i="45"/>
  <c r="AK12" i="45"/>
  <c r="AJ12" i="45"/>
  <c r="AI12" i="45"/>
  <c r="AH12" i="45"/>
  <c r="AG12" i="45"/>
  <c r="AF12" i="45"/>
  <c r="AE12" i="45"/>
  <c r="AD12" i="45"/>
  <c r="AC12" i="45"/>
  <c r="AB12" i="45"/>
  <c r="AA12" i="45"/>
  <c r="Z12" i="45"/>
  <c r="Y12" i="45"/>
  <c r="AL11" i="45"/>
  <c r="AK11" i="45"/>
  <c r="AJ11" i="45"/>
  <c r="AI11" i="45"/>
  <c r="AH11" i="45"/>
  <c r="AG11" i="45"/>
  <c r="AF11" i="45"/>
  <c r="AE11" i="45"/>
  <c r="AD11" i="45"/>
  <c r="AC11" i="45"/>
  <c r="AA11" i="45"/>
  <c r="Z11" i="45"/>
  <c r="Y11" i="45"/>
  <c r="AL10" i="45"/>
  <c r="R10" i="45" s="1"/>
  <c r="AK10" i="45"/>
  <c r="Q10" i="45" s="1"/>
  <c r="AJ10" i="45"/>
  <c r="P10" i="45" s="1"/>
  <c r="AI10" i="45"/>
  <c r="O10" i="45" s="1"/>
  <c r="AH10" i="45"/>
  <c r="N10" i="45" s="1"/>
  <c r="AG10" i="45"/>
  <c r="M10" i="45" s="1"/>
  <c r="AF10" i="45"/>
  <c r="L10" i="45" s="1"/>
  <c r="AE10" i="45"/>
  <c r="K10" i="45" s="1"/>
  <c r="AD10" i="45"/>
  <c r="J10" i="45" s="1"/>
  <c r="AC10" i="45"/>
  <c r="I10" i="45" s="1"/>
  <c r="AB10" i="45"/>
  <c r="H10" i="45" s="1"/>
  <c r="AA10" i="45"/>
  <c r="G10" i="45" s="1"/>
  <c r="Z10" i="45"/>
  <c r="F10" i="45" s="1"/>
  <c r="Y10" i="45"/>
  <c r="E10" i="45" s="1"/>
  <c r="X21" i="45"/>
  <c r="D21" i="45" s="1"/>
  <c r="X20" i="45"/>
  <c r="X19" i="45"/>
  <c r="X18" i="45"/>
  <c r="X17" i="45"/>
  <c r="X16" i="45"/>
  <c r="X15" i="45"/>
  <c r="X14" i="45"/>
  <c r="X13" i="45"/>
  <c r="X12" i="45"/>
  <c r="X11" i="45"/>
  <c r="X10" i="45"/>
  <c r="D10" i="45" s="1"/>
  <c r="AM6" i="45"/>
  <c r="S12" i="35" l="1"/>
  <c r="S12" i="45"/>
  <c r="S13" i="45"/>
  <c r="S13" i="35"/>
  <c r="AL10" i="35"/>
  <c r="AL14" i="35"/>
  <c r="AL18" i="35"/>
  <c r="AL78" i="35"/>
  <c r="AL82" i="35"/>
  <c r="AL94" i="35"/>
  <c r="AL98" i="35"/>
  <c r="AL106" i="35"/>
  <c r="AL110" i="35"/>
  <c r="AL114" i="35"/>
  <c r="AL125" i="35"/>
  <c r="AL129" i="35"/>
  <c r="AL133" i="35"/>
  <c r="AL145" i="35"/>
  <c r="S61" i="35"/>
  <c r="S65" i="35"/>
  <c r="S60" i="35"/>
  <c r="S64" i="35"/>
  <c r="S68" i="35"/>
  <c r="S59" i="35"/>
  <c r="S63" i="35"/>
  <c r="S67" i="35"/>
  <c r="S75" i="35"/>
  <c r="AL66" i="35"/>
  <c r="S66" i="35"/>
  <c r="AL58" i="35"/>
  <c r="AL62" i="35"/>
  <c r="S62" i="35"/>
  <c r="AL90" i="35"/>
  <c r="D46" i="35"/>
  <c r="AL46" i="35"/>
  <c r="S46" i="35" s="1"/>
  <c r="AL74" i="35"/>
  <c r="S74" i="35" s="1"/>
  <c r="AL13" i="35"/>
  <c r="AL17" i="35"/>
  <c r="AL21" i="35"/>
  <c r="D29" i="35"/>
  <c r="AL29" i="35"/>
  <c r="S29" i="35" s="1"/>
  <c r="D33" i="35"/>
  <c r="AL33" i="35"/>
  <c r="S33" i="35" s="1"/>
  <c r="D37" i="35"/>
  <c r="AL37" i="35"/>
  <c r="S37" i="35" s="1"/>
  <c r="D45" i="35"/>
  <c r="AL45" i="35"/>
  <c r="S45" i="35" s="1"/>
  <c r="D49" i="35"/>
  <c r="AL49" i="35"/>
  <c r="S49" i="35" s="1"/>
  <c r="D53" i="35"/>
  <c r="AL53" i="35"/>
  <c r="S53" i="35" s="1"/>
  <c r="AL61" i="35"/>
  <c r="AL65" i="35"/>
  <c r="AL69" i="35"/>
  <c r="AL77" i="35"/>
  <c r="AL81" i="35"/>
  <c r="AL85" i="35"/>
  <c r="AL93" i="35"/>
  <c r="AL97" i="35"/>
  <c r="D101" i="35"/>
  <c r="S101" i="35" s="1"/>
  <c r="AL101" i="35"/>
  <c r="AL109" i="35"/>
  <c r="AL113" i="35"/>
  <c r="AL117" i="35"/>
  <c r="AL124" i="35"/>
  <c r="AL128" i="35"/>
  <c r="AL132" i="35"/>
  <c r="AL144" i="35"/>
  <c r="AL20" i="35"/>
  <c r="D32" i="35"/>
  <c r="AL32" i="35"/>
  <c r="S32" i="35" s="1"/>
  <c r="AL26" i="35"/>
  <c r="S26" i="35" s="1"/>
  <c r="D30" i="35"/>
  <c r="AL30" i="35"/>
  <c r="S30" i="35" s="1"/>
  <c r="D34" i="35"/>
  <c r="AL34" i="35"/>
  <c r="S34" i="35" s="1"/>
  <c r="D42" i="35"/>
  <c r="AL42" i="35"/>
  <c r="S42" i="35" s="1"/>
  <c r="D50" i="35"/>
  <c r="AL50" i="35"/>
  <c r="S50" i="35" s="1"/>
  <c r="AL12" i="35"/>
  <c r="AL16" i="35"/>
  <c r="D28" i="35"/>
  <c r="AL28" i="35"/>
  <c r="S28" i="35" s="1"/>
  <c r="D36" i="35"/>
  <c r="AL36" i="35"/>
  <c r="S36" i="35" s="1"/>
  <c r="D44" i="35"/>
  <c r="AL44" i="35"/>
  <c r="S44" i="35" s="1"/>
  <c r="D48" i="35"/>
  <c r="AL48" i="35"/>
  <c r="S48" i="35" s="1"/>
  <c r="D52" i="35"/>
  <c r="AL52" i="35"/>
  <c r="S52" i="35" s="1"/>
  <c r="AL60" i="35"/>
  <c r="AL64" i="35"/>
  <c r="AL68" i="35"/>
  <c r="AL76" i="35"/>
  <c r="AL80" i="35"/>
  <c r="AL84" i="35"/>
  <c r="AL92" i="35"/>
  <c r="AL96" i="35"/>
  <c r="AL100" i="35"/>
  <c r="AL108" i="35"/>
  <c r="AL112" i="35"/>
  <c r="AL116" i="35"/>
  <c r="AL123" i="35"/>
  <c r="AL127" i="35"/>
  <c r="AL131" i="35"/>
  <c r="AL139" i="35"/>
  <c r="AL160" i="35"/>
  <c r="AL150" i="35"/>
  <c r="S150" i="35" s="1"/>
  <c r="AL11" i="35"/>
  <c r="AL15" i="35"/>
  <c r="AL19" i="35"/>
  <c r="D27" i="35"/>
  <c r="AL27" i="35"/>
  <c r="S27" i="35" s="1"/>
  <c r="D31" i="35"/>
  <c r="AL31" i="35"/>
  <c r="S31" i="35" s="1"/>
  <c r="D35" i="35"/>
  <c r="AL35" i="35"/>
  <c r="S35" i="35" s="1"/>
  <c r="D43" i="35"/>
  <c r="AL43" i="35"/>
  <c r="S43" i="35" s="1"/>
  <c r="D47" i="35"/>
  <c r="AL47" i="35"/>
  <c r="S47" i="35" s="1"/>
  <c r="D51" i="35"/>
  <c r="AL51" i="35"/>
  <c r="S51" i="35" s="1"/>
  <c r="AL59" i="35"/>
  <c r="AL63" i="35"/>
  <c r="AL67" i="35"/>
  <c r="AL75" i="35"/>
  <c r="AL79" i="35"/>
  <c r="AL83" i="35"/>
  <c r="AL91" i="35"/>
  <c r="AL95" i="35"/>
  <c r="AL99" i="35"/>
  <c r="AL107" i="35"/>
  <c r="AL111" i="35"/>
  <c r="AL115" i="35"/>
  <c r="AL122" i="35"/>
  <c r="AL126" i="35"/>
  <c r="AL130" i="35"/>
  <c r="AL138" i="35"/>
  <c r="AL155" i="35"/>
  <c r="U50" i="29"/>
  <c r="U51" i="29"/>
  <c r="U47" i="29"/>
  <c r="U49" i="29"/>
  <c r="U52" i="29"/>
  <c r="U48" i="29"/>
  <c r="V48" i="29"/>
  <c r="V47" i="29"/>
  <c r="V50" i="29"/>
  <c r="V51" i="29"/>
  <c r="V49" i="29"/>
  <c r="V52" i="29"/>
  <c r="O151" i="45"/>
  <c r="O150" i="45"/>
  <c r="O48" i="29"/>
  <c r="O50" i="29"/>
  <c r="O52" i="29"/>
  <c r="O49" i="29"/>
  <c r="O47" i="29"/>
  <c r="O51" i="29"/>
  <c r="S52" i="29"/>
  <c r="S47" i="29"/>
  <c r="S49" i="29"/>
  <c r="S51" i="29"/>
  <c r="S48" i="29"/>
  <c r="S50" i="29"/>
  <c r="W48" i="29"/>
  <c r="W51" i="29"/>
  <c r="W52" i="29"/>
  <c r="W50" i="29"/>
  <c r="W47" i="29"/>
  <c r="W49" i="29"/>
  <c r="AA48" i="29"/>
  <c r="AA52" i="29"/>
  <c r="AA50" i="29"/>
  <c r="AA47" i="29"/>
  <c r="AA49" i="29"/>
  <c r="AA51" i="29"/>
  <c r="O21" i="35"/>
  <c r="K21" i="35"/>
  <c r="G21" i="35"/>
  <c r="R21" i="35"/>
  <c r="N21" i="35"/>
  <c r="J21" i="35"/>
  <c r="F21" i="35"/>
  <c r="Q21" i="35"/>
  <c r="I21" i="35"/>
  <c r="P21" i="35"/>
  <c r="H21" i="35"/>
  <c r="L21" i="35"/>
  <c r="D21" i="35"/>
  <c r="M21" i="35"/>
  <c r="E21" i="35"/>
  <c r="I185" i="45"/>
  <c r="I186" i="45" s="1"/>
  <c r="M185" i="45"/>
  <c r="M186" i="45" s="1"/>
  <c r="Q185" i="45"/>
  <c r="Q186" i="45" s="1"/>
  <c r="U186" i="35"/>
  <c r="O185" i="35"/>
  <c r="K185" i="35"/>
  <c r="G185" i="35"/>
  <c r="R185" i="35"/>
  <c r="N185" i="35"/>
  <c r="J185" i="35"/>
  <c r="F185" i="35"/>
  <c r="Q185" i="35"/>
  <c r="I185" i="35"/>
  <c r="P185" i="35"/>
  <c r="H185" i="35"/>
  <c r="L185" i="35"/>
  <c r="D185" i="35"/>
  <c r="M185" i="35"/>
  <c r="E185" i="35"/>
  <c r="D150" i="45"/>
  <c r="D151" i="45" s="1"/>
  <c r="H151" i="45"/>
  <c r="H150" i="45"/>
  <c r="L150" i="45"/>
  <c r="L151" i="45" s="1"/>
  <c r="P151" i="45"/>
  <c r="P150" i="45"/>
  <c r="Q50" i="29"/>
  <c r="Q52" i="29"/>
  <c r="Q49" i="29"/>
  <c r="Q48" i="29"/>
  <c r="Q51" i="29"/>
  <c r="Q47" i="29"/>
  <c r="Y52" i="29"/>
  <c r="Y49" i="29"/>
  <c r="Y47" i="29"/>
  <c r="Y48" i="29"/>
  <c r="Y50" i="29"/>
  <c r="Y51" i="29"/>
  <c r="G185" i="45"/>
  <c r="G186" i="45" s="1"/>
  <c r="K185" i="45"/>
  <c r="K186" i="45" s="1"/>
  <c r="O185" i="45"/>
  <c r="O186" i="45" s="1"/>
  <c r="F150" i="45"/>
  <c r="F151" i="45" s="1"/>
  <c r="J150" i="45"/>
  <c r="J151" i="45" s="1"/>
  <c r="N151" i="45"/>
  <c r="N150" i="45"/>
  <c r="R150" i="45"/>
  <c r="R151" i="45" s="1"/>
  <c r="Z47" i="29"/>
  <c r="Z51" i="29"/>
  <c r="Z52" i="29"/>
  <c r="Z49" i="29"/>
  <c r="Z50" i="29"/>
  <c r="Z48" i="29"/>
  <c r="H185" i="45"/>
  <c r="H186" i="45" s="1"/>
  <c r="L185" i="45"/>
  <c r="L186" i="45" s="1"/>
  <c r="P185" i="45"/>
  <c r="P186" i="45" s="1"/>
  <c r="O150" i="35"/>
  <c r="O151" i="35" s="1"/>
  <c r="K150" i="35"/>
  <c r="K151" i="35" s="1"/>
  <c r="G150" i="35"/>
  <c r="G151" i="35" s="1"/>
  <c r="R150" i="35"/>
  <c r="R151" i="35" s="1"/>
  <c r="N150" i="35"/>
  <c r="N151" i="35" s="1"/>
  <c r="J150" i="35"/>
  <c r="J151" i="35" s="1"/>
  <c r="F150" i="35"/>
  <c r="F151" i="35" s="1"/>
  <c r="Q150" i="35"/>
  <c r="Q151" i="35" s="1"/>
  <c r="I150" i="35"/>
  <c r="I151" i="35" s="1"/>
  <c r="E150" i="35"/>
  <c r="E151" i="35" s="1"/>
  <c r="L150" i="35"/>
  <c r="L151" i="35" s="1"/>
  <c r="P150" i="35"/>
  <c r="P151" i="35" s="1"/>
  <c r="H150" i="35"/>
  <c r="H151" i="35" s="1"/>
  <c r="M150" i="35"/>
  <c r="M151" i="35" s="1"/>
  <c r="D150" i="35"/>
  <c r="G151" i="45"/>
  <c r="G150" i="45"/>
  <c r="K150" i="45"/>
  <c r="K151" i="45" s="1"/>
  <c r="P52" i="29"/>
  <c r="P50" i="29"/>
  <c r="P47" i="29"/>
  <c r="P49" i="29"/>
  <c r="P51" i="29"/>
  <c r="P48" i="29"/>
  <c r="T48" i="29"/>
  <c r="T50" i="29"/>
  <c r="T52" i="29"/>
  <c r="T49" i="29"/>
  <c r="T47" i="29"/>
  <c r="T51" i="29"/>
  <c r="X48" i="29"/>
  <c r="X50" i="29"/>
  <c r="X52" i="29"/>
  <c r="X49" i="29"/>
  <c r="X47" i="29"/>
  <c r="X51" i="29"/>
  <c r="AB52" i="29"/>
  <c r="AB49" i="29"/>
  <c r="AB47" i="29"/>
  <c r="AB51" i="29"/>
  <c r="AB48" i="29"/>
  <c r="AB50" i="29"/>
  <c r="F186" i="45"/>
  <c r="F185" i="45"/>
  <c r="J185" i="45"/>
  <c r="J186" i="45" s="1"/>
  <c r="N185" i="45"/>
  <c r="N186" i="45" s="1"/>
  <c r="R185" i="45"/>
  <c r="R186" i="45" s="1"/>
  <c r="E150" i="45"/>
  <c r="E151" i="45" s="1"/>
  <c r="I150" i="45"/>
  <c r="I151" i="45" s="1"/>
  <c r="M151" i="45"/>
  <c r="M150" i="45"/>
  <c r="Q150" i="45"/>
  <c r="Q151" i="45" s="1"/>
  <c r="B36" i="35"/>
  <c r="B44" i="45"/>
  <c r="B44" i="35" s="1"/>
  <c r="B35" i="35"/>
  <c r="B48" i="45"/>
  <c r="B48" i="35" s="1"/>
  <c r="B49" i="45"/>
  <c r="B49" i="35" s="1"/>
  <c r="D186" i="45"/>
  <c r="B29" i="35"/>
  <c r="B45" i="45"/>
  <c r="B45" i="35" s="1"/>
  <c r="B37" i="35"/>
  <c r="B53" i="45"/>
  <c r="B53" i="35" s="1"/>
  <c r="AM144" i="45"/>
  <c r="S144" i="45" s="1"/>
  <c r="AM165" i="45"/>
  <c r="S165" i="45" s="1"/>
  <c r="AM169" i="45"/>
  <c r="S169" i="45" s="1"/>
  <c r="AM173" i="45"/>
  <c r="S173" i="45" s="1"/>
  <c r="AL185" i="35"/>
  <c r="S185" i="35" s="1"/>
  <c r="AM150" i="45"/>
  <c r="S150" i="45" s="1"/>
  <c r="S151" i="45" s="1"/>
  <c r="AM155" i="45"/>
  <c r="S155" i="45" s="1"/>
  <c r="AL168" i="35"/>
  <c r="AL172" i="35"/>
  <c r="AL180" i="35"/>
  <c r="U151" i="35"/>
  <c r="AL165" i="35"/>
  <c r="AL169" i="35"/>
  <c r="AL173" i="35"/>
  <c r="AL167" i="35"/>
  <c r="AL171" i="35"/>
  <c r="AL175" i="35"/>
  <c r="AL166" i="35"/>
  <c r="AL170" i="35"/>
  <c r="AL174" i="35"/>
  <c r="B52" i="35"/>
  <c r="B68" i="45"/>
  <c r="B47" i="35"/>
  <c r="B63" i="45"/>
  <c r="B67" i="45"/>
  <c r="B51" i="35"/>
  <c r="B59" i="45"/>
  <c r="AM91" i="45"/>
  <c r="S91" i="45" s="1"/>
  <c r="AM95" i="45"/>
  <c r="S95" i="45" s="1"/>
  <c r="AM99" i="45"/>
  <c r="S99" i="45" s="1"/>
  <c r="AM107" i="45"/>
  <c r="S107" i="45" s="1"/>
  <c r="AM111" i="45"/>
  <c r="S111" i="45" s="1"/>
  <c r="AM115" i="45"/>
  <c r="S115" i="45" s="1"/>
  <c r="AM123" i="45"/>
  <c r="S123" i="45" s="1"/>
  <c r="AM127" i="45"/>
  <c r="S127" i="45" s="1"/>
  <c r="AM131" i="45"/>
  <c r="S131" i="45" s="1"/>
  <c r="AM139" i="45"/>
  <c r="S139" i="45" s="1"/>
  <c r="AM160" i="45"/>
  <c r="S160" i="45" s="1"/>
  <c r="AM168" i="45"/>
  <c r="S168" i="45" s="1"/>
  <c r="AM172" i="45"/>
  <c r="S172" i="45" s="1"/>
  <c r="AM180" i="45"/>
  <c r="S180" i="45" s="1"/>
  <c r="B31" i="35"/>
  <c r="AM90" i="45"/>
  <c r="S90" i="45" s="1"/>
  <c r="AM94" i="45"/>
  <c r="S94" i="45" s="1"/>
  <c r="AM98" i="45"/>
  <c r="S98" i="45" s="1"/>
  <c r="AM106" i="45"/>
  <c r="S106" i="45" s="1"/>
  <c r="AM110" i="45"/>
  <c r="S110" i="45" s="1"/>
  <c r="AM114" i="45"/>
  <c r="S114" i="45" s="1"/>
  <c r="AM122" i="45"/>
  <c r="S122" i="45" s="1"/>
  <c r="AM126" i="45"/>
  <c r="S126" i="45" s="1"/>
  <c r="AM130" i="45"/>
  <c r="S130" i="45" s="1"/>
  <c r="AM138" i="45"/>
  <c r="S138" i="45" s="1"/>
  <c r="AM145" i="45"/>
  <c r="S145" i="45" s="1"/>
  <c r="AM167" i="45"/>
  <c r="S167" i="45" s="1"/>
  <c r="AM171" i="45"/>
  <c r="S171" i="45" s="1"/>
  <c r="AM175" i="45"/>
  <c r="S175" i="45" s="1"/>
  <c r="AM185" i="45"/>
  <c r="S185" i="45" s="1"/>
  <c r="AM166" i="45"/>
  <c r="S166" i="45" s="1"/>
  <c r="AM170" i="45"/>
  <c r="S170" i="45" s="1"/>
  <c r="AM174" i="45"/>
  <c r="S174" i="45" s="1"/>
  <c r="B42" i="45"/>
  <c r="B46" i="45"/>
  <c r="B50" i="45"/>
  <c r="E186" i="45"/>
  <c r="AM93" i="45"/>
  <c r="S93" i="45" s="1"/>
  <c r="AM97" i="45"/>
  <c r="S97" i="45" s="1"/>
  <c r="AM101" i="45"/>
  <c r="S101" i="45" s="1"/>
  <c r="AM109" i="45"/>
  <c r="S109" i="45" s="1"/>
  <c r="AM113" i="45"/>
  <c r="S113" i="45" s="1"/>
  <c r="AM117" i="45"/>
  <c r="S117" i="45" s="1"/>
  <c r="AM125" i="45"/>
  <c r="S125" i="45" s="1"/>
  <c r="AM129" i="45"/>
  <c r="S129" i="45" s="1"/>
  <c r="AM133" i="45"/>
  <c r="S133" i="45" s="1"/>
  <c r="AM92" i="45"/>
  <c r="S92" i="45" s="1"/>
  <c r="AM96" i="45"/>
  <c r="S96" i="45" s="1"/>
  <c r="AM100" i="45"/>
  <c r="S100" i="45" s="1"/>
  <c r="AM108" i="45"/>
  <c r="S108" i="45" s="1"/>
  <c r="AM112" i="45"/>
  <c r="S112" i="45" s="1"/>
  <c r="AM116" i="45"/>
  <c r="S116" i="45" s="1"/>
  <c r="AM124" i="45"/>
  <c r="S124" i="45" s="1"/>
  <c r="AM128" i="45"/>
  <c r="S128" i="45" s="1"/>
  <c r="AM132" i="45"/>
  <c r="S132" i="45" s="1"/>
  <c r="AB11" i="45"/>
  <c r="AB13" i="45"/>
  <c r="AB15" i="45"/>
  <c r="AB17" i="45"/>
  <c r="AB19" i="45"/>
  <c r="S11" i="45" l="1"/>
  <c r="S11" i="35"/>
  <c r="B65" i="45"/>
  <c r="B60" i="45"/>
  <c r="B69" i="45"/>
  <c r="B85" i="45" s="1"/>
  <c r="B64" i="45"/>
  <c r="B64" i="35" s="1"/>
  <c r="S186" i="45"/>
  <c r="B61" i="45"/>
  <c r="B61" i="35" s="1"/>
  <c r="D151" i="35"/>
  <c r="S151" i="35"/>
  <c r="B42" i="35"/>
  <c r="B58" i="45"/>
  <c r="B68" i="35"/>
  <c r="B84" i="45"/>
  <c r="B65" i="35"/>
  <c r="B81" i="45"/>
  <c r="B67" i="35"/>
  <c r="B83" i="45"/>
  <c r="B50" i="35"/>
  <c r="B66" i="45"/>
  <c r="B76" i="45"/>
  <c r="B60" i="35"/>
  <c r="B63" i="35"/>
  <c r="B79" i="45"/>
  <c r="B46" i="35"/>
  <c r="B62" i="45"/>
  <c r="B75" i="45"/>
  <c r="B59" i="35"/>
  <c r="B77" i="45" l="1"/>
  <c r="B80" i="45"/>
  <c r="B96" i="45" s="1"/>
  <c r="B69" i="35"/>
  <c r="B75" i="35"/>
  <c r="B91" i="45"/>
  <c r="B76" i="35"/>
  <c r="B92" i="45"/>
  <c r="B62" i="35"/>
  <c r="B78" i="45"/>
  <c r="B80" i="35"/>
  <c r="B66" i="35"/>
  <c r="B82" i="45"/>
  <c r="B85" i="35"/>
  <c r="B101" i="45"/>
  <c r="B77" i="35"/>
  <c r="B93" i="45"/>
  <c r="B58" i="35"/>
  <c r="B74" i="45"/>
  <c r="B79" i="35"/>
  <c r="B95" i="45"/>
  <c r="B83" i="35"/>
  <c r="B99" i="45"/>
  <c r="B81" i="35"/>
  <c r="B97" i="45"/>
  <c r="B84" i="35"/>
  <c r="B100" i="45"/>
  <c r="B97" i="35" l="1"/>
  <c r="B113" i="45"/>
  <c r="B95" i="35"/>
  <c r="B111" i="45"/>
  <c r="B93" i="35"/>
  <c r="B109" i="45"/>
  <c r="B82" i="35"/>
  <c r="B98" i="45"/>
  <c r="B78" i="35"/>
  <c r="B94" i="45"/>
  <c r="B91" i="35"/>
  <c r="B107" i="45"/>
  <c r="B100" i="35"/>
  <c r="B116" i="45"/>
  <c r="B99" i="35"/>
  <c r="B115" i="45"/>
  <c r="B74" i="35"/>
  <c r="B90" i="45"/>
  <c r="B101" i="35"/>
  <c r="B117" i="45"/>
  <c r="B96" i="35"/>
  <c r="B112" i="45"/>
  <c r="B92" i="35"/>
  <c r="B108" i="45"/>
  <c r="B108" i="35" l="1"/>
  <c r="B124" i="45"/>
  <c r="B124" i="35" s="1"/>
  <c r="B117" i="35"/>
  <c r="B133" i="45"/>
  <c r="B133" i="35" s="1"/>
  <c r="B115" i="35"/>
  <c r="B131" i="45"/>
  <c r="B131" i="35" s="1"/>
  <c r="B107" i="35"/>
  <c r="B123" i="45"/>
  <c r="B123" i="35" s="1"/>
  <c r="B98" i="35"/>
  <c r="B114" i="45"/>
  <c r="B111" i="35"/>
  <c r="B127" i="45"/>
  <c r="B127" i="35" s="1"/>
  <c r="B112" i="35"/>
  <c r="B128" i="45"/>
  <c r="B128" i="35" s="1"/>
  <c r="B90" i="35"/>
  <c r="B106" i="45"/>
  <c r="B116" i="35"/>
  <c r="B132" i="45"/>
  <c r="B132" i="35" s="1"/>
  <c r="B94" i="35"/>
  <c r="B110" i="45"/>
  <c r="B109" i="35"/>
  <c r="B125" i="45"/>
  <c r="B125" i="35" s="1"/>
  <c r="B113" i="35"/>
  <c r="B129" i="45"/>
  <c r="B129" i="35" s="1"/>
  <c r="B110" i="35" l="1"/>
  <c r="B126" i="45"/>
  <c r="B126" i="35" s="1"/>
  <c r="B106" i="35"/>
  <c r="B122" i="45"/>
  <c r="B122" i="35" s="1"/>
  <c r="B114" i="35"/>
  <c r="B130" i="45"/>
  <c r="B130" i="35" s="1"/>
  <c r="AC45" i="23" l="1"/>
  <c r="AC25" i="23"/>
  <c r="AC50" i="32"/>
  <c r="AC51" i="32" s="1"/>
  <c r="AC71" i="32"/>
  <c r="AC72" i="32" s="1"/>
  <c r="AC28" i="32"/>
  <c r="AC29" i="32" s="1"/>
  <c r="AC115" i="7"/>
  <c r="B83" i="7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M83" i="7"/>
  <c r="P83" i="7" s="1"/>
  <c r="AE83" i="29"/>
  <c r="W83" i="7" l="1"/>
  <c r="S83" i="7"/>
  <c r="R83" i="7"/>
  <c r="Y83" i="7"/>
  <c r="N83" i="7"/>
  <c r="AA83" i="7"/>
  <c r="V83" i="7"/>
  <c r="Q83" i="7"/>
  <c r="Z83" i="7"/>
  <c r="U83" i="7"/>
  <c r="O83" i="7"/>
  <c r="X83" i="7"/>
  <c r="T83" i="7"/>
  <c r="N35" i="31" l="1"/>
  <c r="AB35" i="31" s="1"/>
  <c r="N34" i="31"/>
  <c r="N33" i="31"/>
  <c r="N32" i="31"/>
  <c r="N30" i="31"/>
  <c r="N29" i="31"/>
  <c r="N27" i="31"/>
  <c r="M35" i="31"/>
  <c r="M34" i="31"/>
  <c r="M33" i="31"/>
  <c r="M32" i="31"/>
  <c r="M30" i="31"/>
  <c r="M29" i="31"/>
  <c r="M27" i="31"/>
  <c r="N27" i="28"/>
  <c r="AB27" i="28" s="1"/>
  <c r="N26" i="28"/>
  <c r="Z26" i="28" s="1"/>
  <c r="N25" i="28"/>
  <c r="Q25" i="28" s="1"/>
  <c r="N22" i="28"/>
  <c r="N249" i="28" s="1"/>
  <c r="N86" i="28"/>
  <c r="M27" i="28"/>
  <c r="M26" i="28"/>
  <c r="M25" i="28"/>
  <c r="M22" i="28"/>
  <c r="M21" i="28"/>
  <c r="M19" i="28"/>
  <c r="AD211" i="28"/>
  <c r="N23" i="4"/>
  <c r="AB23" i="4" s="1"/>
  <c r="N22" i="4"/>
  <c r="AB22" i="4" s="1"/>
  <c r="N21" i="4"/>
  <c r="N20" i="4"/>
  <c r="Y20" i="4" s="1"/>
  <c r="N19" i="4"/>
  <c r="N18" i="4"/>
  <c r="AB18" i="4" s="1"/>
  <c r="N17" i="4"/>
  <c r="AB17" i="4" s="1"/>
  <c r="M23" i="4"/>
  <c r="M22" i="4"/>
  <c r="M21" i="4"/>
  <c r="M20" i="4"/>
  <c r="M19" i="4"/>
  <c r="M18" i="4"/>
  <c r="M17" i="4"/>
  <c r="AB21" i="4"/>
  <c r="N24" i="26"/>
  <c r="AA24" i="26" s="1"/>
  <c r="N23" i="26"/>
  <c r="N59" i="26" s="1"/>
  <c r="N22" i="26"/>
  <c r="N72" i="26" s="1"/>
  <c r="N21" i="26"/>
  <c r="N19" i="26"/>
  <c r="N16" i="26"/>
  <c r="Y16" i="26" s="1"/>
  <c r="M24" i="26"/>
  <c r="M23" i="26"/>
  <c r="M22" i="26"/>
  <c r="M21" i="26"/>
  <c r="M19" i="26"/>
  <c r="M16" i="26"/>
  <c r="D249" i="46"/>
  <c r="N505" i="31" s="1"/>
  <c r="R265" i="46"/>
  <c r="AB45" i="29" s="1"/>
  <c r="Q265" i="46"/>
  <c r="AA45" i="29" s="1"/>
  <c r="P265" i="46"/>
  <c r="Z45" i="29" s="1"/>
  <c r="O265" i="46"/>
  <c r="Y45" i="29" s="1"/>
  <c r="N265" i="46"/>
  <c r="X45" i="29" s="1"/>
  <c r="M265" i="46"/>
  <c r="W45" i="29" s="1"/>
  <c r="L265" i="46"/>
  <c r="V45" i="29" s="1"/>
  <c r="K265" i="46"/>
  <c r="U45" i="29" s="1"/>
  <c r="J265" i="46"/>
  <c r="T45" i="29" s="1"/>
  <c r="I265" i="46"/>
  <c r="S45" i="29" s="1"/>
  <c r="H265" i="46"/>
  <c r="R45" i="29" s="1"/>
  <c r="G265" i="46"/>
  <c r="Q45" i="29" s="1"/>
  <c r="F265" i="46"/>
  <c r="P45" i="29" s="1"/>
  <c r="E265" i="46"/>
  <c r="O45" i="29" s="1"/>
  <c r="D265" i="46"/>
  <c r="N45" i="29" s="1"/>
  <c r="T262" i="46"/>
  <c r="R249" i="46"/>
  <c r="AB505" i="31" s="1"/>
  <c r="Q249" i="46"/>
  <c r="AA505" i="31" s="1"/>
  <c r="P249" i="46"/>
  <c r="Z505" i="31" s="1"/>
  <c r="O249" i="46"/>
  <c r="Y505" i="31" s="1"/>
  <c r="N249" i="46"/>
  <c r="X505" i="31" s="1"/>
  <c r="M249" i="46"/>
  <c r="W505" i="31" s="1"/>
  <c r="L249" i="46"/>
  <c r="V505" i="31" s="1"/>
  <c r="K249" i="46"/>
  <c r="U505" i="31" s="1"/>
  <c r="J249" i="46"/>
  <c r="T505" i="31" s="1"/>
  <c r="I249" i="46"/>
  <c r="S505" i="31" s="1"/>
  <c r="H249" i="46"/>
  <c r="R505" i="31" s="1"/>
  <c r="G249" i="46"/>
  <c r="Q505" i="31" s="1"/>
  <c r="F249" i="46"/>
  <c r="P505" i="31" s="1"/>
  <c r="E249" i="46"/>
  <c r="O505" i="31" s="1"/>
  <c r="T246" i="46"/>
  <c r="Z32" i="31" l="1"/>
  <c r="N428" i="31"/>
  <c r="N467" i="31"/>
  <c r="N316" i="31"/>
  <c r="N363" i="31"/>
  <c r="N166" i="31"/>
  <c r="N214" i="31"/>
  <c r="N278" i="31"/>
  <c r="N59" i="31"/>
  <c r="N126" i="31"/>
  <c r="U35" i="31"/>
  <c r="T33" i="31"/>
  <c r="N98" i="31"/>
  <c r="N86" i="26"/>
  <c r="N154" i="26"/>
  <c r="N114" i="26"/>
  <c r="O34" i="31"/>
  <c r="O85" i="31" s="1"/>
  <c r="N85" i="31"/>
  <c r="Y19" i="4"/>
  <c r="N43" i="4"/>
  <c r="N74" i="4"/>
  <c r="N401" i="31"/>
  <c r="N252" i="31"/>
  <c r="N330" i="31"/>
  <c r="N140" i="31"/>
  <c r="N481" i="31"/>
  <c r="N414" i="31"/>
  <c r="N180" i="31"/>
  <c r="N442" i="31"/>
  <c r="N265" i="31"/>
  <c r="N291" i="31"/>
  <c r="N112" i="31"/>
  <c r="N99" i="28"/>
  <c r="N126" i="28"/>
  <c r="N165" i="28"/>
  <c r="Z22" i="26"/>
  <c r="N73" i="26"/>
  <c r="Z30" i="31"/>
  <c r="Z35" i="31"/>
  <c r="U30" i="31"/>
  <c r="V35" i="31"/>
  <c r="AA35" i="31"/>
  <c r="P30" i="31"/>
  <c r="W30" i="31"/>
  <c r="R35" i="31"/>
  <c r="W35" i="31"/>
  <c r="T30" i="31"/>
  <c r="AB30" i="31"/>
  <c r="O35" i="31"/>
  <c r="Q35" i="31"/>
  <c r="Q30" i="31"/>
  <c r="Y30" i="31"/>
  <c r="S35" i="31"/>
  <c r="Y35" i="31"/>
  <c r="S30" i="31"/>
  <c r="X30" i="31"/>
  <c r="AA30" i="31"/>
  <c r="W26" i="28"/>
  <c r="Y34" i="31"/>
  <c r="Y85" i="31" s="1"/>
  <c r="Q32" i="31"/>
  <c r="Y22" i="4"/>
  <c r="U33" i="31"/>
  <c r="O32" i="31"/>
  <c r="P23" i="26"/>
  <c r="P59" i="26" s="1"/>
  <c r="O26" i="28"/>
  <c r="Z27" i="28"/>
  <c r="AB26" i="28"/>
  <c r="Y33" i="31"/>
  <c r="Q27" i="28"/>
  <c r="R16" i="26"/>
  <c r="T26" i="28"/>
  <c r="R27" i="28"/>
  <c r="R30" i="31"/>
  <c r="V30" i="31"/>
  <c r="Y32" i="31"/>
  <c r="P35" i="31"/>
  <c r="T35" i="31"/>
  <c r="X35" i="31"/>
  <c r="V27" i="28"/>
  <c r="Q34" i="31"/>
  <c r="Q85" i="31" s="1"/>
  <c r="Z25" i="28"/>
  <c r="Y27" i="28"/>
  <c r="V16" i="26"/>
  <c r="AB16" i="26"/>
  <c r="W16" i="26"/>
  <c r="U24" i="26"/>
  <c r="W22" i="26"/>
  <c r="Y24" i="26"/>
  <c r="P16" i="26"/>
  <c r="AA16" i="26"/>
  <c r="AB22" i="26"/>
  <c r="V24" i="26"/>
  <c r="Q22" i="26"/>
  <c r="R24" i="26"/>
  <c r="S22" i="26"/>
  <c r="X22" i="26"/>
  <c r="S16" i="26"/>
  <c r="X16" i="26"/>
  <c r="O22" i="26"/>
  <c r="T22" i="26"/>
  <c r="Y22" i="26"/>
  <c r="X23" i="26"/>
  <c r="X59" i="26" s="1"/>
  <c r="O16" i="26"/>
  <c r="T16" i="26"/>
  <c r="Z16" i="26"/>
  <c r="P22" i="26"/>
  <c r="U22" i="26"/>
  <c r="AA22" i="26"/>
  <c r="Q24" i="26"/>
  <c r="Z24" i="26"/>
  <c r="S32" i="31"/>
  <c r="AA32" i="31"/>
  <c r="U32" i="31"/>
  <c r="P33" i="31"/>
  <c r="AB33" i="31"/>
  <c r="W32" i="31"/>
  <c r="W24" i="28"/>
  <c r="X24" i="28"/>
  <c r="P24" i="28"/>
  <c r="Y23" i="26"/>
  <c r="Y59" i="26" s="1"/>
  <c r="V23" i="26"/>
  <c r="V59" i="26" s="1"/>
  <c r="AB23" i="26"/>
  <c r="AB59" i="26" s="1"/>
  <c r="R23" i="26"/>
  <c r="R59" i="26" s="1"/>
  <c r="T23" i="26"/>
  <c r="T59" i="26" s="1"/>
  <c r="U19" i="4"/>
  <c r="AB19" i="4"/>
  <c r="U23" i="4"/>
  <c r="Y23" i="4"/>
  <c r="AA33" i="31"/>
  <c r="W33" i="31"/>
  <c r="S33" i="31"/>
  <c r="Z33" i="31"/>
  <c r="O24" i="26"/>
  <c r="S24" i="26"/>
  <c r="W24" i="26"/>
  <c r="AB24" i="26"/>
  <c r="P26" i="28"/>
  <c r="X26" i="28"/>
  <c r="Q33" i="31"/>
  <c r="V33" i="31"/>
  <c r="AB34" i="31"/>
  <c r="AB85" i="31" s="1"/>
  <c r="U34" i="31"/>
  <c r="U85" i="31" s="1"/>
  <c r="AA34" i="31"/>
  <c r="AA85" i="31" s="1"/>
  <c r="S34" i="31"/>
  <c r="S85" i="31" s="1"/>
  <c r="P24" i="26"/>
  <c r="T24" i="26"/>
  <c r="X24" i="26"/>
  <c r="Y25" i="28"/>
  <c r="S26" i="28"/>
  <c r="AA26" i="28"/>
  <c r="U27" i="28"/>
  <c r="O33" i="31"/>
  <c r="R33" i="31"/>
  <c r="X33" i="31"/>
  <c r="W34" i="31"/>
  <c r="W85" i="31" s="1"/>
  <c r="Z24" i="28"/>
  <c r="V24" i="28"/>
  <c r="R24" i="28"/>
  <c r="Y24" i="28"/>
  <c r="U24" i="28"/>
  <c r="Q24" i="28"/>
  <c r="AB24" i="28"/>
  <c r="T24" i="28"/>
  <c r="AA24" i="28"/>
  <c r="S24" i="28"/>
  <c r="O24" i="28"/>
  <c r="AB25" i="28"/>
  <c r="X25" i="28"/>
  <c r="T25" i="28"/>
  <c r="P25" i="28"/>
  <c r="AA25" i="28"/>
  <c r="W25" i="28"/>
  <c r="S25" i="28"/>
  <c r="O25" i="28"/>
  <c r="V25" i="28"/>
  <c r="U25" i="28"/>
  <c r="R25" i="28"/>
  <c r="Q26" i="28"/>
  <c r="U26" i="28"/>
  <c r="Y26" i="28"/>
  <c r="O27" i="28"/>
  <c r="S27" i="28"/>
  <c r="W27" i="28"/>
  <c r="AA27" i="28"/>
  <c r="R26" i="28"/>
  <c r="V26" i="28"/>
  <c r="P27" i="28"/>
  <c r="T27" i="28"/>
  <c r="X27" i="28"/>
  <c r="Y18" i="4"/>
  <c r="AB20" i="4"/>
  <c r="P32" i="31"/>
  <c r="T32" i="31"/>
  <c r="X32" i="31"/>
  <c r="AB32" i="31"/>
  <c r="R34" i="31"/>
  <c r="R85" i="31" s="1"/>
  <c r="V34" i="31"/>
  <c r="V85" i="31" s="1"/>
  <c r="Z34" i="31"/>
  <c r="Z85" i="31" s="1"/>
  <c r="R32" i="31"/>
  <c r="V32" i="31"/>
  <c r="P34" i="31"/>
  <c r="P85" i="31" s="1"/>
  <c r="T34" i="31"/>
  <c r="T85" i="31" s="1"/>
  <c r="X34" i="31"/>
  <c r="X85" i="31" s="1"/>
  <c r="Q20" i="4"/>
  <c r="U20" i="4"/>
  <c r="Q17" i="4"/>
  <c r="Q21" i="4"/>
  <c r="U17" i="4"/>
  <c r="Q18" i="4"/>
  <c r="U21" i="4"/>
  <c r="Q22" i="4"/>
  <c r="Y17" i="4"/>
  <c r="U18" i="4"/>
  <c r="Q19" i="4"/>
  <c r="Y21" i="4"/>
  <c r="U22" i="4"/>
  <c r="Q23" i="4"/>
  <c r="R17" i="4"/>
  <c r="V17" i="4"/>
  <c r="Z17" i="4"/>
  <c r="R18" i="4"/>
  <c r="V18" i="4"/>
  <c r="Z18" i="4"/>
  <c r="R19" i="4"/>
  <c r="V19" i="4"/>
  <c r="Z19" i="4"/>
  <c r="R20" i="4"/>
  <c r="V20" i="4"/>
  <c r="Z20" i="4"/>
  <c r="R21" i="4"/>
  <c r="V21" i="4"/>
  <c r="Z21" i="4"/>
  <c r="R22" i="4"/>
  <c r="V22" i="4"/>
  <c r="Z22" i="4"/>
  <c r="R23" i="4"/>
  <c r="V23" i="4"/>
  <c r="Z23" i="4"/>
  <c r="O17" i="4"/>
  <c r="S17" i="4"/>
  <c r="W17" i="4"/>
  <c r="AA17" i="4"/>
  <c r="O18" i="4"/>
  <c r="S18" i="4"/>
  <c r="W18" i="4"/>
  <c r="AA18" i="4"/>
  <c r="O19" i="4"/>
  <c r="S19" i="4"/>
  <c r="W19" i="4"/>
  <c r="AA19" i="4"/>
  <c r="O20" i="4"/>
  <c r="S20" i="4"/>
  <c r="W20" i="4"/>
  <c r="AA20" i="4"/>
  <c r="O21" i="4"/>
  <c r="S21" i="4"/>
  <c r="W21" i="4"/>
  <c r="AA21" i="4"/>
  <c r="O22" i="4"/>
  <c r="S22" i="4"/>
  <c r="W22" i="4"/>
  <c r="AA22" i="4"/>
  <c r="O23" i="4"/>
  <c r="S23" i="4"/>
  <c r="W23" i="4"/>
  <c r="AA23" i="4"/>
  <c r="P17" i="4"/>
  <c r="T17" i="4"/>
  <c r="X17" i="4"/>
  <c r="P18" i="4"/>
  <c r="T18" i="4"/>
  <c r="X18" i="4"/>
  <c r="P19" i="4"/>
  <c r="T19" i="4"/>
  <c r="X19" i="4"/>
  <c r="P20" i="4"/>
  <c r="T20" i="4"/>
  <c r="X20" i="4"/>
  <c r="P21" i="4"/>
  <c r="T21" i="4"/>
  <c r="X21" i="4"/>
  <c r="P22" i="4"/>
  <c r="T22" i="4"/>
  <c r="X22" i="4"/>
  <c r="P23" i="4"/>
  <c r="T23" i="4"/>
  <c r="X23" i="4"/>
  <c r="Z23" i="26"/>
  <c r="Z59" i="26" s="1"/>
  <c r="O23" i="26"/>
  <c r="O59" i="26" s="1"/>
  <c r="S23" i="26"/>
  <c r="S59" i="26" s="1"/>
  <c r="W23" i="26"/>
  <c r="W59" i="26" s="1"/>
  <c r="AA23" i="26"/>
  <c r="AA59" i="26" s="1"/>
  <c r="Q23" i="26"/>
  <c r="Q59" i="26" s="1"/>
  <c r="U23" i="26"/>
  <c r="U59" i="26" s="1"/>
  <c r="R22" i="26"/>
  <c r="V22" i="26"/>
  <c r="Q16" i="26"/>
  <c r="U16" i="26"/>
  <c r="H294" i="38"/>
  <c r="H293" i="38"/>
  <c r="N65" i="29" s="1"/>
  <c r="H225" i="38"/>
  <c r="K225" i="38" s="1"/>
  <c r="H224" i="38"/>
  <c r="N526" i="31" s="1"/>
  <c r="B71" i="5"/>
  <c r="B70" i="5"/>
  <c r="B69" i="5"/>
  <c r="B68" i="5"/>
  <c r="B67" i="5"/>
  <c r="B66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H292" i="38"/>
  <c r="H291" i="38"/>
  <c r="N291" i="38" s="1"/>
  <c r="H290" i="38"/>
  <c r="N290" i="38" s="1"/>
  <c r="H289" i="38"/>
  <c r="R289" i="38" s="1"/>
  <c r="H288" i="38"/>
  <c r="H287" i="38"/>
  <c r="H286" i="38"/>
  <c r="H285" i="38"/>
  <c r="H276" i="38"/>
  <c r="H275" i="38"/>
  <c r="H272" i="38"/>
  <c r="S272" i="38" s="1"/>
  <c r="H271" i="38"/>
  <c r="H270" i="38"/>
  <c r="N363" i="29" s="1"/>
  <c r="H269" i="38"/>
  <c r="N362" i="29" s="1"/>
  <c r="H268" i="38"/>
  <c r="N350" i="29" s="1"/>
  <c r="H267" i="38"/>
  <c r="N349" i="29" s="1"/>
  <c r="E27" i="36"/>
  <c r="E26" i="36"/>
  <c r="E33" i="36"/>
  <c r="E32" i="36"/>
  <c r="H242" i="38"/>
  <c r="N178" i="29" s="1"/>
  <c r="H241" i="38"/>
  <c r="N177" i="29" s="1"/>
  <c r="H240" i="38"/>
  <c r="N165" i="29" s="1"/>
  <c r="H239" i="38"/>
  <c r="N164" i="29" s="1"/>
  <c r="H228" i="38"/>
  <c r="H227" i="38"/>
  <c r="N86" i="29" s="1"/>
  <c r="H226" i="38"/>
  <c r="H157" i="38"/>
  <c r="I59" i="29"/>
  <c r="I58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B53" i="29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I72" i="29"/>
  <c r="I71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B64" i="29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T326" i="46"/>
  <c r="H322" i="46"/>
  <c r="L313" i="46"/>
  <c r="V529" i="31" s="1"/>
  <c r="T310" i="46"/>
  <c r="H93" i="38"/>
  <c r="N149" i="55" s="1"/>
  <c r="H92" i="38"/>
  <c r="N148" i="55" s="1"/>
  <c r="H91" i="38"/>
  <c r="N136" i="55" s="1"/>
  <c r="H90" i="38"/>
  <c r="N135" i="55" s="1"/>
  <c r="H89" i="38"/>
  <c r="N123" i="55" s="1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G28" i="38"/>
  <c r="H28" i="38" s="1"/>
  <c r="I28" i="38" s="1"/>
  <c r="J28" i="38" s="1"/>
  <c r="K28" i="38" s="1"/>
  <c r="L28" i="38" s="1"/>
  <c r="M28" i="38" s="1"/>
  <c r="N28" i="38" s="1"/>
  <c r="O28" i="38" s="1"/>
  <c r="P28" i="38" s="1"/>
  <c r="Q28" i="38" s="1"/>
  <c r="R28" i="38" s="1"/>
  <c r="S28" i="38" s="1"/>
  <c r="T28" i="38" s="1"/>
  <c r="U28" i="38" s="1"/>
  <c r="V28" i="38" s="1"/>
  <c r="G27" i="38"/>
  <c r="H27" i="38" s="1"/>
  <c r="I27" i="38" s="1"/>
  <c r="J27" i="38" s="1"/>
  <c r="K27" i="38" s="1"/>
  <c r="L27" i="38" s="1"/>
  <c r="M27" i="38" s="1"/>
  <c r="N27" i="38" s="1"/>
  <c r="O27" i="38" s="1"/>
  <c r="P27" i="38" s="1"/>
  <c r="Q27" i="38" s="1"/>
  <c r="R27" i="38" s="1"/>
  <c r="S27" i="38" s="1"/>
  <c r="T27" i="38" s="1"/>
  <c r="U27" i="38" s="1"/>
  <c r="V27" i="38" s="1"/>
  <c r="K58" i="46"/>
  <c r="K57" i="46"/>
  <c r="O56" i="46"/>
  <c r="R55" i="46"/>
  <c r="R54" i="46"/>
  <c r="R53" i="46"/>
  <c r="G52" i="46"/>
  <c r="R50" i="46"/>
  <c r="G45" i="46"/>
  <c r="Q151" i="55" s="1"/>
  <c r="R44" i="46"/>
  <c r="AB138" i="55" s="1"/>
  <c r="Q43" i="46"/>
  <c r="AA125" i="55" s="1"/>
  <c r="M41" i="46"/>
  <c r="W100" i="55" s="1"/>
  <c r="R40" i="46"/>
  <c r="AB87" i="55" s="1"/>
  <c r="G39" i="46"/>
  <c r="Q74" i="55" s="1"/>
  <c r="R37" i="46"/>
  <c r="AB47" i="55" s="1"/>
  <c r="L36" i="46"/>
  <c r="V35" i="55" s="1"/>
  <c r="U180" i="35"/>
  <c r="U179" i="35"/>
  <c r="V181" i="45"/>
  <c r="U181" i="45"/>
  <c r="R181" i="45"/>
  <c r="Q181" i="45"/>
  <c r="P181" i="45"/>
  <c r="O181" i="45"/>
  <c r="N181" i="45"/>
  <c r="M181" i="45"/>
  <c r="L181" i="45"/>
  <c r="K181" i="45"/>
  <c r="J181" i="45"/>
  <c r="I181" i="45"/>
  <c r="G181" i="45"/>
  <c r="F181" i="45"/>
  <c r="R25" i="45"/>
  <c r="AL25" i="45" s="1"/>
  <c r="Q25" i="45"/>
  <c r="AK25" i="45" s="1"/>
  <c r="P25" i="45"/>
  <c r="AJ25" i="45" s="1"/>
  <c r="O25" i="45"/>
  <c r="AI25" i="45" s="1"/>
  <c r="N25" i="45"/>
  <c r="AH25" i="45" s="1"/>
  <c r="M25" i="45"/>
  <c r="AG25" i="45" s="1"/>
  <c r="L25" i="45"/>
  <c r="AF25" i="45" s="1"/>
  <c r="K25" i="45"/>
  <c r="AE25" i="45" s="1"/>
  <c r="J25" i="45"/>
  <c r="AD25" i="45" s="1"/>
  <c r="I25" i="45"/>
  <c r="AC25" i="45" s="1"/>
  <c r="H25" i="45"/>
  <c r="AB25" i="45" s="1"/>
  <c r="G25" i="45"/>
  <c r="AA25" i="45" s="1"/>
  <c r="F25" i="45"/>
  <c r="Z25" i="45" s="1"/>
  <c r="E25" i="45"/>
  <c r="Y25" i="45" s="1"/>
  <c r="D25" i="45"/>
  <c r="X25" i="45" s="1"/>
  <c r="V38" i="45"/>
  <c r="U38" i="45"/>
  <c r="U155" i="35"/>
  <c r="U144" i="35"/>
  <c r="C139" i="45"/>
  <c r="C138" i="45"/>
  <c r="V156" i="45"/>
  <c r="U156" i="45"/>
  <c r="AB57" i="29"/>
  <c r="AA57" i="29"/>
  <c r="Z57" i="29"/>
  <c r="Y57" i="29"/>
  <c r="X57" i="29"/>
  <c r="W57" i="29"/>
  <c r="V57" i="29"/>
  <c r="U57" i="29"/>
  <c r="T57" i="29"/>
  <c r="S57" i="29"/>
  <c r="Q57" i="29"/>
  <c r="P57" i="29"/>
  <c r="O57" i="29"/>
  <c r="V154" i="45"/>
  <c r="V146" i="45"/>
  <c r="U146" i="45"/>
  <c r="AB70" i="29"/>
  <c r="AA70" i="29"/>
  <c r="Z70" i="29"/>
  <c r="Y70" i="29"/>
  <c r="X70" i="29"/>
  <c r="W70" i="29"/>
  <c r="V70" i="29"/>
  <c r="U70" i="29"/>
  <c r="T70" i="29"/>
  <c r="S70" i="29"/>
  <c r="Q70" i="29"/>
  <c r="P70" i="29"/>
  <c r="O70" i="29"/>
  <c r="V143" i="45"/>
  <c r="U154" i="35"/>
  <c r="U143" i="35"/>
  <c r="I519" i="31"/>
  <c r="I518" i="31"/>
  <c r="B513" i="3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I532" i="31"/>
  <c r="I531" i="31"/>
  <c r="B524" i="31"/>
  <c r="B525" i="31" s="1"/>
  <c r="E17" i="36"/>
  <c r="E16" i="36"/>
  <c r="B19" i="56"/>
  <c r="B20" i="56" s="1"/>
  <c r="N5" i="56"/>
  <c r="O5" i="56" s="1"/>
  <c r="P5" i="56" s="1"/>
  <c r="Q5" i="56" s="1"/>
  <c r="R5" i="56" s="1"/>
  <c r="S5" i="56" s="1"/>
  <c r="T5" i="56" s="1"/>
  <c r="U5" i="56" s="1"/>
  <c r="V5" i="56" s="1"/>
  <c r="W5" i="56" s="1"/>
  <c r="X5" i="56" s="1"/>
  <c r="Y5" i="56" s="1"/>
  <c r="Z5" i="56" s="1"/>
  <c r="AA5" i="56" s="1"/>
  <c r="N4" i="56"/>
  <c r="O4" i="56" s="1"/>
  <c r="P4" i="56" s="1"/>
  <c r="Q4" i="56" s="1"/>
  <c r="R4" i="56" s="1"/>
  <c r="S4" i="56" s="1"/>
  <c r="T4" i="56" s="1"/>
  <c r="U4" i="56" s="1"/>
  <c r="V4" i="56" s="1"/>
  <c r="W4" i="56" s="1"/>
  <c r="X4" i="56" s="1"/>
  <c r="Y4" i="56" s="1"/>
  <c r="Z4" i="56" s="1"/>
  <c r="AA4" i="56" s="1"/>
  <c r="N3" i="56"/>
  <c r="O3" i="56" s="1"/>
  <c r="P3" i="56" s="1"/>
  <c r="Q3" i="56" s="1"/>
  <c r="R3" i="56" s="1"/>
  <c r="S3" i="56" s="1"/>
  <c r="T3" i="56" s="1"/>
  <c r="U3" i="56" s="1"/>
  <c r="V3" i="56" s="1"/>
  <c r="W3" i="56" s="1"/>
  <c r="X3" i="56" s="1"/>
  <c r="Y3" i="56" s="1"/>
  <c r="Z3" i="56" s="1"/>
  <c r="AA3" i="56" s="1"/>
  <c r="L3" i="56"/>
  <c r="L4" i="56" s="1"/>
  <c r="AA2" i="56"/>
  <c r="Z2" i="56"/>
  <c r="Y2" i="56"/>
  <c r="X2" i="56"/>
  <c r="W2" i="56"/>
  <c r="V2" i="56"/>
  <c r="V26" i="56" s="1"/>
  <c r="U2" i="56"/>
  <c r="T2" i="56"/>
  <c r="T26" i="56" s="1"/>
  <c r="S2" i="56"/>
  <c r="R2" i="56"/>
  <c r="Q2" i="56"/>
  <c r="P2" i="56"/>
  <c r="P26" i="56" s="1"/>
  <c r="O2" i="56"/>
  <c r="N2" i="56"/>
  <c r="M2" i="56"/>
  <c r="L2" i="56"/>
  <c r="S180" i="35" l="1"/>
  <c r="O180" i="35"/>
  <c r="K180" i="35"/>
  <c r="K181" i="35" s="1"/>
  <c r="G180" i="35"/>
  <c r="G181" i="35" s="1"/>
  <c r="R180" i="35"/>
  <c r="R181" i="35" s="1"/>
  <c r="N180" i="35"/>
  <c r="N181" i="35" s="1"/>
  <c r="J180" i="35"/>
  <c r="J181" i="35" s="1"/>
  <c r="F180" i="35"/>
  <c r="F181" i="35" s="1"/>
  <c r="Q180" i="35"/>
  <c r="I180" i="35"/>
  <c r="P180" i="35"/>
  <c r="P181" i="35" s="1"/>
  <c r="H180" i="35"/>
  <c r="L180" i="35"/>
  <c r="L181" i="35" s="1"/>
  <c r="D180" i="35"/>
  <c r="M180" i="35"/>
  <c r="M181" i="35" s="1"/>
  <c r="E180" i="35"/>
  <c r="E181" i="35" s="1"/>
  <c r="S43" i="4"/>
  <c r="S74" i="4"/>
  <c r="R43" i="4"/>
  <c r="R74" i="4"/>
  <c r="Y481" i="31"/>
  <c r="Y291" i="31"/>
  <c r="Y112" i="31"/>
  <c r="Y180" i="31"/>
  <c r="Y265" i="31"/>
  <c r="Y330" i="31"/>
  <c r="Y140" i="31"/>
  <c r="Y414" i="31"/>
  <c r="Y442" i="31"/>
  <c r="W414" i="31"/>
  <c r="W180" i="31"/>
  <c r="W291" i="31"/>
  <c r="W112" i="31"/>
  <c r="W442" i="31"/>
  <c r="W265" i="31"/>
  <c r="W481" i="31"/>
  <c r="W330" i="31"/>
  <c r="W140" i="31"/>
  <c r="X74" i="4"/>
  <c r="X43" i="4"/>
  <c r="S414" i="31"/>
  <c r="S180" i="31"/>
  <c r="S330" i="31"/>
  <c r="S442" i="31"/>
  <c r="S265" i="31"/>
  <c r="S481" i="31"/>
  <c r="S291" i="31"/>
  <c r="S112" i="31"/>
  <c r="S140" i="31"/>
  <c r="Q481" i="31"/>
  <c r="Q291" i="31"/>
  <c r="Q112" i="31"/>
  <c r="Q180" i="31"/>
  <c r="Q265" i="31"/>
  <c r="Q330" i="31"/>
  <c r="Q140" i="31"/>
  <c r="Q414" i="31"/>
  <c r="Q442" i="31"/>
  <c r="T442" i="31"/>
  <c r="T265" i="31"/>
  <c r="T414" i="31"/>
  <c r="T481" i="31"/>
  <c r="T291" i="31"/>
  <c r="T112" i="31"/>
  <c r="T330" i="31"/>
  <c r="T140" i="31"/>
  <c r="T180" i="31"/>
  <c r="P442" i="31"/>
  <c r="P265" i="31"/>
  <c r="P330" i="31"/>
  <c r="P140" i="31"/>
  <c r="P481" i="31"/>
  <c r="P291" i="31"/>
  <c r="P112" i="31"/>
  <c r="P414" i="31"/>
  <c r="P180" i="31"/>
  <c r="Y43" i="4"/>
  <c r="Y74" i="4"/>
  <c r="S144" i="35"/>
  <c r="O144" i="35"/>
  <c r="Y530" i="31" s="1"/>
  <c r="K144" i="35"/>
  <c r="U530" i="31" s="1"/>
  <c r="G144" i="35"/>
  <c r="Q530" i="31" s="1"/>
  <c r="R144" i="35"/>
  <c r="AB530" i="31" s="1"/>
  <c r="N144" i="35"/>
  <c r="X530" i="31" s="1"/>
  <c r="J144" i="35"/>
  <c r="F144" i="35"/>
  <c r="P530" i="31" s="1"/>
  <c r="Q144" i="35"/>
  <c r="AA530" i="31" s="1"/>
  <c r="I144" i="35"/>
  <c r="S530" i="31" s="1"/>
  <c r="L144" i="35"/>
  <c r="V530" i="31" s="1"/>
  <c r="BF525" i="31" s="1"/>
  <c r="P144" i="35"/>
  <c r="Z530" i="31" s="1"/>
  <c r="H144" i="35"/>
  <c r="M144" i="35"/>
  <c r="W530" i="31" s="1"/>
  <c r="E144" i="35"/>
  <c r="D144" i="35"/>
  <c r="N530" i="31" s="1"/>
  <c r="T74" i="4"/>
  <c r="T43" i="4"/>
  <c r="AA43" i="4"/>
  <c r="AA74" i="4"/>
  <c r="Z43" i="4"/>
  <c r="Z74" i="4"/>
  <c r="Q43" i="4"/>
  <c r="Q74" i="4"/>
  <c r="AB74" i="4"/>
  <c r="AB43" i="4"/>
  <c r="V330" i="31"/>
  <c r="V140" i="31"/>
  <c r="V265" i="31"/>
  <c r="V481" i="31"/>
  <c r="V414" i="31"/>
  <c r="V180" i="31"/>
  <c r="V442" i="31"/>
  <c r="V291" i="31"/>
  <c r="V112" i="31"/>
  <c r="Z330" i="31"/>
  <c r="Z140" i="31"/>
  <c r="Z291" i="31"/>
  <c r="Z414" i="31"/>
  <c r="Z180" i="31"/>
  <c r="Z442" i="31"/>
  <c r="Z265" i="31"/>
  <c r="Z481" i="31"/>
  <c r="Z112" i="31"/>
  <c r="X442" i="31"/>
  <c r="X265" i="31"/>
  <c r="X330" i="31"/>
  <c r="X140" i="31"/>
  <c r="X180" i="31"/>
  <c r="X481" i="31"/>
  <c r="X291" i="31"/>
  <c r="X112" i="31"/>
  <c r="X414" i="31"/>
  <c r="AB442" i="31"/>
  <c r="AB265" i="31"/>
  <c r="AB414" i="31"/>
  <c r="AB481" i="31"/>
  <c r="AB291" i="31"/>
  <c r="AB112" i="31"/>
  <c r="AB330" i="31"/>
  <c r="AB140" i="31"/>
  <c r="AB180" i="31"/>
  <c r="U481" i="31"/>
  <c r="U291" i="31"/>
  <c r="U112" i="31"/>
  <c r="U414" i="31"/>
  <c r="U442" i="31"/>
  <c r="U330" i="31"/>
  <c r="U140" i="31"/>
  <c r="U180" i="31"/>
  <c r="U265" i="31"/>
  <c r="O43" i="4"/>
  <c r="O74" i="4"/>
  <c r="S155" i="35"/>
  <c r="O155" i="35"/>
  <c r="Y506" i="31" s="1"/>
  <c r="K155" i="35"/>
  <c r="G155" i="35"/>
  <c r="R155" i="35"/>
  <c r="AB506" i="31" s="1"/>
  <c r="N155" i="35"/>
  <c r="X506" i="31" s="1"/>
  <c r="J155" i="35"/>
  <c r="F155" i="35"/>
  <c r="Q155" i="35"/>
  <c r="AA506" i="31" s="1"/>
  <c r="I155" i="35"/>
  <c r="L155" i="35"/>
  <c r="V506" i="31" s="1"/>
  <c r="P155" i="35"/>
  <c r="Z506" i="31" s="1"/>
  <c r="H155" i="35"/>
  <c r="M155" i="35"/>
  <c r="W506" i="31" s="1"/>
  <c r="E155" i="35"/>
  <c r="D155" i="35"/>
  <c r="N506" i="31" s="1"/>
  <c r="P74" i="4"/>
  <c r="P43" i="4"/>
  <c r="W43" i="4"/>
  <c r="W74" i="4"/>
  <c r="V74" i="4"/>
  <c r="V43" i="4"/>
  <c r="U43" i="4"/>
  <c r="U74" i="4"/>
  <c r="R330" i="31"/>
  <c r="R140" i="31"/>
  <c r="R265" i="31"/>
  <c r="R291" i="31"/>
  <c r="R414" i="31"/>
  <c r="R180" i="31"/>
  <c r="R442" i="31"/>
  <c r="R481" i="31"/>
  <c r="R112" i="31"/>
  <c r="AA414" i="31"/>
  <c r="AA180" i="31"/>
  <c r="AA481" i="31"/>
  <c r="AA330" i="31"/>
  <c r="AA442" i="31"/>
  <c r="AA265" i="31"/>
  <c r="AA291" i="31"/>
  <c r="AA112" i="31"/>
  <c r="AA140" i="31"/>
  <c r="Y73" i="26"/>
  <c r="Y72" i="26"/>
  <c r="Q73" i="26"/>
  <c r="Q72" i="26"/>
  <c r="AA73" i="26"/>
  <c r="AA72" i="26"/>
  <c r="T73" i="26"/>
  <c r="T72" i="26"/>
  <c r="X73" i="26"/>
  <c r="X72" i="26"/>
  <c r="V73" i="26"/>
  <c r="V72" i="26"/>
  <c r="U73" i="26"/>
  <c r="U72" i="26"/>
  <c r="O73" i="26"/>
  <c r="O72" i="26"/>
  <c r="S73" i="26"/>
  <c r="S72" i="26"/>
  <c r="AB73" i="26"/>
  <c r="AB72" i="26"/>
  <c r="W73" i="26"/>
  <c r="W72" i="26"/>
  <c r="R73" i="26"/>
  <c r="R72" i="26"/>
  <c r="P73" i="26"/>
  <c r="P72" i="26"/>
  <c r="Z73" i="26"/>
  <c r="Z72" i="26"/>
  <c r="B528" i="31"/>
  <c r="B529" i="31" s="1"/>
  <c r="B530" i="31" s="1"/>
  <c r="B531" i="31" s="1"/>
  <c r="B532" i="31" s="1"/>
  <c r="B533" i="31" s="1"/>
  <c r="B534" i="31" s="1"/>
  <c r="B535" i="31" s="1"/>
  <c r="B536" i="31" s="1"/>
  <c r="B526" i="31"/>
  <c r="B527" i="31" s="1"/>
  <c r="X26" i="56"/>
  <c r="M26" i="56"/>
  <c r="Q26" i="56"/>
  <c r="U26" i="56"/>
  <c r="Y26" i="56"/>
  <c r="N26" i="56"/>
  <c r="R26" i="56"/>
  <c r="Z26" i="56"/>
  <c r="O26" i="56"/>
  <c r="S26" i="56"/>
  <c r="W26" i="56"/>
  <c r="AA26" i="56"/>
  <c r="V17" i="56"/>
  <c r="P8" i="56"/>
  <c r="T17" i="56"/>
  <c r="V226" i="38"/>
  <c r="AB43" i="29" s="1"/>
  <c r="N43" i="29"/>
  <c r="AA22" i="31"/>
  <c r="N22" i="31"/>
  <c r="AA22" i="29"/>
  <c r="N22" i="29"/>
  <c r="T22" i="29"/>
  <c r="S73" i="29"/>
  <c r="S75" i="29"/>
  <c r="S76" i="29"/>
  <c r="S71" i="29"/>
  <c r="S72" i="29"/>
  <c r="S74" i="29"/>
  <c r="W73" i="29"/>
  <c r="W74" i="29"/>
  <c r="W75" i="29"/>
  <c r="W76" i="29"/>
  <c r="W71" i="29"/>
  <c r="W72" i="29"/>
  <c r="Q62" i="29"/>
  <c r="Q58" i="29"/>
  <c r="Q61" i="29"/>
  <c r="Q63" i="29"/>
  <c r="Q60" i="29"/>
  <c r="Q59" i="29"/>
  <c r="V63" i="29"/>
  <c r="V59" i="29"/>
  <c r="V61" i="29"/>
  <c r="V62" i="29"/>
  <c r="V58" i="29"/>
  <c r="V60" i="29"/>
  <c r="O73" i="29"/>
  <c r="O76" i="29"/>
  <c r="O71" i="29"/>
  <c r="O72" i="29"/>
  <c r="O75" i="29"/>
  <c r="O74" i="29"/>
  <c r="T74" i="29"/>
  <c r="T76" i="29"/>
  <c r="T71" i="29"/>
  <c r="T72" i="29"/>
  <c r="T73" i="29"/>
  <c r="T75" i="29"/>
  <c r="X74" i="29"/>
  <c r="X75" i="29"/>
  <c r="X76" i="29"/>
  <c r="X71" i="29"/>
  <c r="X73" i="29"/>
  <c r="X72" i="29"/>
  <c r="AB74" i="29"/>
  <c r="AB73" i="29"/>
  <c r="AB75" i="29"/>
  <c r="AB72" i="29"/>
  <c r="AB76" i="29"/>
  <c r="AB71" i="29"/>
  <c r="S60" i="29"/>
  <c r="S63" i="29"/>
  <c r="S58" i="29"/>
  <c r="S59" i="29"/>
  <c r="S62" i="29"/>
  <c r="S61" i="29"/>
  <c r="W60" i="29"/>
  <c r="W62" i="29"/>
  <c r="W63" i="29"/>
  <c r="W58" i="29"/>
  <c r="W59" i="29"/>
  <c r="W61" i="29"/>
  <c r="AA60" i="29"/>
  <c r="AA61" i="29"/>
  <c r="AA62" i="29"/>
  <c r="AA63" i="29"/>
  <c r="AA58" i="29"/>
  <c r="AA59" i="29"/>
  <c r="Q75" i="29"/>
  <c r="Q71" i="29"/>
  <c r="Q73" i="29"/>
  <c r="Q74" i="29"/>
  <c r="Q72" i="29"/>
  <c r="Q76" i="29"/>
  <c r="V76" i="29"/>
  <c r="V72" i="29"/>
  <c r="V73" i="29"/>
  <c r="V74" i="29"/>
  <c r="V71" i="29"/>
  <c r="V75" i="29"/>
  <c r="Z76" i="29"/>
  <c r="Z72" i="29"/>
  <c r="Z71" i="29"/>
  <c r="Z73" i="29"/>
  <c r="Z75" i="29"/>
  <c r="Z74" i="29"/>
  <c r="P61" i="29"/>
  <c r="P60" i="29"/>
  <c r="P62" i="29"/>
  <c r="P63" i="29"/>
  <c r="P58" i="29"/>
  <c r="P59" i="29"/>
  <c r="U62" i="29"/>
  <c r="U58" i="29"/>
  <c r="U60" i="29"/>
  <c r="U61" i="29"/>
  <c r="U59" i="29"/>
  <c r="U63" i="29"/>
  <c r="Y62" i="29"/>
  <c r="Y58" i="29"/>
  <c r="Y59" i="29"/>
  <c r="Y60" i="29"/>
  <c r="Y61" i="29"/>
  <c r="Y63" i="29"/>
  <c r="AA73" i="29"/>
  <c r="AA72" i="29"/>
  <c r="AA74" i="29"/>
  <c r="AA75" i="29"/>
  <c r="AA76" i="29"/>
  <c r="AA71" i="29"/>
  <c r="Z63" i="29"/>
  <c r="Z59" i="29"/>
  <c r="Z60" i="29"/>
  <c r="Z61" i="29"/>
  <c r="Z58" i="29"/>
  <c r="Z62" i="29"/>
  <c r="P74" i="29"/>
  <c r="P72" i="29"/>
  <c r="P73" i="29"/>
  <c r="P75" i="29"/>
  <c r="P76" i="29"/>
  <c r="P71" i="29"/>
  <c r="U75" i="29"/>
  <c r="U71" i="29"/>
  <c r="U72" i="29"/>
  <c r="U73" i="29"/>
  <c r="U74" i="29"/>
  <c r="U76" i="29"/>
  <c r="Y75" i="29"/>
  <c r="Y71" i="29"/>
  <c r="Y76" i="29"/>
  <c r="Y72" i="29"/>
  <c r="Y73" i="29"/>
  <c r="Y74" i="29"/>
  <c r="O60" i="29"/>
  <c r="O59" i="29"/>
  <c r="O61" i="29"/>
  <c r="O63" i="29"/>
  <c r="O58" i="29"/>
  <c r="O62" i="29"/>
  <c r="T61" i="29"/>
  <c r="T59" i="29"/>
  <c r="T60" i="29"/>
  <c r="T62" i="29"/>
  <c r="T63" i="29"/>
  <c r="T58" i="29"/>
  <c r="X61" i="29"/>
  <c r="X63" i="29"/>
  <c r="X58" i="29"/>
  <c r="X59" i="29"/>
  <c r="X60" i="29"/>
  <c r="X62" i="29"/>
  <c r="AB61" i="29"/>
  <c r="AB62" i="29"/>
  <c r="AB63" i="29"/>
  <c r="AB58" i="29"/>
  <c r="AB60" i="29"/>
  <c r="AB59" i="29"/>
  <c r="R58" i="46"/>
  <c r="I146" i="45"/>
  <c r="M146" i="45"/>
  <c r="Q146" i="45"/>
  <c r="R313" i="46"/>
  <c r="AB529" i="31" s="1"/>
  <c r="Q22" i="29"/>
  <c r="S228" i="38"/>
  <c r="Y87" i="29" s="1"/>
  <c r="N87" i="29"/>
  <c r="Y22" i="31"/>
  <c r="R56" i="46"/>
  <c r="D313" i="46"/>
  <c r="N529" i="31" s="1"/>
  <c r="Q41" i="46"/>
  <c r="AA100" i="55" s="1"/>
  <c r="Q22" i="31"/>
  <c r="G146" i="45"/>
  <c r="L146" i="45"/>
  <c r="P146" i="45"/>
  <c r="T22" i="31"/>
  <c r="O57" i="46"/>
  <c r="Y22" i="29"/>
  <c r="U79" i="38"/>
  <c r="AA58" i="55" s="1"/>
  <c r="N58" i="55"/>
  <c r="U76" i="38"/>
  <c r="AA44" i="55" s="1"/>
  <c r="N44" i="55"/>
  <c r="U84" i="38"/>
  <c r="AA97" i="55" s="1"/>
  <c r="N97" i="55"/>
  <c r="H313" i="46"/>
  <c r="R529" i="31" s="1"/>
  <c r="U77" i="38"/>
  <c r="AA45" i="55" s="1"/>
  <c r="N45" i="55"/>
  <c r="U81" i="38"/>
  <c r="AA72" i="55" s="1"/>
  <c r="N72" i="55"/>
  <c r="U85" i="38"/>
  <c r="AA98" i="55" s="1"/>
  <c r="N98" i="55"/>
  <c r="J313" i="46"/>
  <c r="T529" i="31" s="1"/>
  <c r="AB22" i="29"/>
  <c r="AB22" i="31"/>
  <c r="U75" i="38"/>
  <c r="AA33" i="55" s="1"/>
  <c r="N33" i="55"/>
  <c r="U83" i="38"/>
  <c r="AA85" i="55" s="1"/>
  <c r="N85" i="55"/>
  <c r="U87" i="38"/>
  <c r="AA111" i="55" s="1"/>
  <c r="N111" i="55"/>
  <c r="U80" i="38"/>
  <c r="AA71" i="55" s="1"/>
  <c r="N71" i="55"/>
  <c r="U88" i="38"/>
  <c r="AA122" i="55" s="1"/>
  <c r="N122" i="55"/>
  <c r="F146" i="45"/>
  <c r="K146" i="45"/>
  <c r="O146" i="45"/>
  <c r="E38" i="45"/>
  <c r="J38" i="45"/>
  <c r="N38" i="45"/>
  <c r="R38" i="45"/>
  <c r="U74" i="38"/>
  <c r="AA32" i="55" s="1"/>
  <c r="N32" i="55"/>
  <c r="U78" i="38"/>
  <c r="AA57" i="55" s="1"/>
  <c r="N57" i="55"/>
  <c r="U82" i="38"/>
  <c r="AA84" i="55" s="1"/>
  <c r="N84" i="55"/>
  <c r="U86" i="38"/>
  <c r="AA110" i="55" s="1"/>
  <c r="N110" i="55"/>
  <c r="O313" i="46"/>
  <c r="Y529" i="31" s="1"/>
  <c r="L45" i="46"/>
  <c r="V151" i="55" s="1"/>
  <c r="O38" i="45"/>
  <c r="L38" i="45"/>
  <c r="P38" i="45"/>
  <c r="Q37" i="46"/>
  <c r="AA47" i="55" s="1"/>
  <c r="L41" i="46"/>
  <c r="V100" i="55" s="1"/>
  <c r="R45" i="46"/>
  <c r="AB151" i="55" s="1"/>
  <c r="U22" i="29"/>
  <c r="U22" i="31"/>
  <c r="D181" i="45"/>
  <c r="K38" i="45"/>
  <c r="H37" i="46"/>
  <c r="R47" i="55" s="1"/>
  <c r="D41" i="46"/>
  <c r="N100" i="55" s="1"/>
  <c r="Q45" i="46"/>
  <c r="AA151" i="55" s="1"/>
  <c r="E146" i="45"/>
  <c r="J146" i="45"/>
  <c r="N146" i="45"/>
  <c r="R146" i="45"/>
  <c r="I38" i="45"/>
  <c r="M38" i="45"/>
  <c r="Q38" i="45"/>
  <c r="P22" i="29"/>
  <c r="X22" i="29"/>
  <c r="P22" i="31"/>
  <c r="X22" i="31"/>
  <c r="O186" i="35"/>
  <c r="K186" i="35"/>
  <c r="G186" i="35"/>
  <c r="R186" i="35"/>
  <c r="N186" i="35"/>
  <c r="J186" i="35"/>
  <c r="F186" i="35"/>
  <c r="Q186" i="35"/>
  <c r="M186" i="35"/>
  <c r="I186" i="35"/>
  <c r="E186" i="35"/>
  <c r="P186" i="35"/>
  <c r="L186" i="35"/>
  <c r="H186" i="35"/>
  <c r="Q38" i="46"/>
  <c r="AA60" i="55" s="1"/>
  <c r="R38" i="46"/>
  <c r="AB60" i="55" s="1"/>
  <c r="Q42" i="46"/>
  <c r="AA113" i="55" s="1"/>
  <c r="R42" i="46"/>
  <c r="AB113" i="55" s="1"/>
  <c r="Q322" i="46"/>
  <c r="M322" i="46"/>
  <c r="I322" i="46"/>
  <c r="E322" i="46"/>
  <c r="P322" i="46"/>
  <c r="K322" i="46"/>
  <c r="F322" i="46"/>
  <c r="O322" i="46"/>
  <c r="J322" i="46"/>
  <c r="D322" i="46"/>
  <c r="L322" i="46"/>
  <c r="R52" i="46"/>
  <c r="K52" i="46"/>
  <c r="Y69" i="29"/>
  <c r="AB69" i="29"/>
  <c r="V69" i="29"/>
  <c r="O69" i="29"/>
  <c r="Q313" i="46"/>
  <c r="AA529" i="31" s="1"/>
  <c r="M313" i="46"/>
  <c r="W529" i="31" s="1"/>
  <c r="I313" i="46"/>
  <c r="S529" i="31" s="1"/>
  <c r="E313" i="46"/>
  <c r="O529" i="31" s="1"/>
  <c r="AA69" i="29"/>
  <c r="R69" i="29"/>
  <c r="P313" i="46"/>
  <c r="Z529" i="31" s="1"/>
  <c r="K313" i="46"/>
  <c r="U529" i="31" s="1"/>
  <c r="F313" i="46"/>
  <c r="P529" i="31" s="1"/>
  <c r="Z69" i="29"/>
  <c r="P69" i="29"/>
  <c r="N322" i="46"/>
  <c r="T69" i="29"/>
  <c r="M37" i="46"/>
  <c r="W47" i="55" s="1"/>
  <c r="L37" i="46"/>
  <c r="V47" i="55" s="1"/>
  <c r="G37" i="46"/>
  <c r="Q47" i="55" s="1"/>
  <c r="O41" i="46"/>
  <c r="Y100" i="55" s="1"/>
  <c r="R41" i="46"/>
  <c r="AB100" i="55" s="1"/>
  <c r="I41" i="46"/>
  <c r="S100" i="55" s="1"/>
  <c r="G41" i="46"/>
  <c r="Q100" i="55" s="1"/>
  <c r="O45" i="46"/>
  <c r="Y151" i="55" s="1"/>
  <c r="M45" i="46"/>
  <c r="W151" i="55" s="1"/>
  <c r="D45" i="46"/>
  <c r="N151" i="55" s="1"/>
  <c r="I45" i="46"/>
  <c r="S151" i="55" s="1"/>
  <c r="G313" i="46"/>
  <c r="Q529" i="31" s="1"/>
  <c r="N313" i="46"/>
  <c r="X529" i="31" s="1"/>
  <c r="G322" i="46"/>
  <c r="R322" i="46"/>
  <c r="W69" i="29"/>
  <c r="D42" i="46"/>
  <c r="N113" i="55" s="1"/>
  <c r="H38" i="46"/>
  <c r="R60" i="55" s="1"/>
  <c r="L42" i="46"/>
  <c r="V113" i="55" s="1"/>
  <c r="O58" i="46"/>
  <c r="N69" i="29"/>
  <c r="S69" i="29"/>
  <c r="X69" i="29"/>
  <c r="J291" i="38"/>
  <c r="R291" i="38"/>
  <c r="V293" i="38"/>
  <c r="AB65" i="29" s="1"/>
  <c r="R293" i="38"/>
  <c r="X65" i="29" s="1"/>
  <c r="N293" i="38"/>
  <c r="T65" i="29" s="1"/>
  <c r="J293" i="38"/>
  <c r="P65" i="29" s="1"/>
  <c r="T293" i="38"/>
  <c r="Z65" i="29" s="1"/>
  <c r="P293" i="38"/>
  <c r="V65" i="29" s="1"/>
  <c r="U293" i="38"/>
  <c r="AA65" i="29" s="1"/>
  <c r="Q293" i="38"/>
  <c r="W65" i="29" s="1"/>
  <c r="M293" i="38"/>
  <c r="S65" i="29" s="1"/>
  <c r="I293" i="38"/>
  <c r="O65" i="29" s="1"/>
  <c r="L293" i="38"/>
  <c r="R65" i="29" s="1"/>
  <c r="S293" i="38"/>
  <c r="Y65" i="29" s="1"/>
  <c r="O293" i="38"/>
  <c r="U65" i="29" s="1"/>
  <c r="K293" i="38"/>
  <c r="Q65" i="29" s="1"/>
  <c r="V294" i="38"/>
  <c r="R294" i="38"/>
  <c r="N294" i="38"/>
  <c r="J294" i="38"/>
  <c r="T294" i="38"/>
  <c r="L294" i="38"/>
  <c r="O294" i="38"/>
  <c r="U294" i="38"/>
  <c r="Q294" i="38"/>
  <c r="M294" i="38"/>
  <c r="I294" i="38"/>
  <c r="P294" i="38"/>
  <c r="S294" i="38"/>
  <c r="K294" i="38"/>
  <c r="P287" i="38"/>
  <c r="L287" i="38"/>
  <c r="T287" i="38"/>
  <c r="U285" i="38"/>
  <c r="M285" i="38"/>
  <c r="T286" i="38"/>
  <c r="P286" i="38"/>
  <c r="R290" i="38"/>
  <c r="V224" i="38"/>
  <c r="AB526" i="31" s="1"/>
  <c r="R224" i="38"/>
  <c r="X526" i="31" s="1"/>
  <c r="N224" i="38"/>
  <c r="T526" i="31" s="1"/>
  <c r="J224" i="38"/>
  <c r="P526" i="31" s="1"/>
  <c r="U224" i="38"/>
  <c r="AA526" i="31" s="1"/>
  <c r="Q224" i="38"/>
  <c r="W526" i="31" s="1"/>
  <c r="M224" i="38"/>
  <c r="S526" i="31" s="1"/>
  <c r="I224" i="38"/>
  <c r="O526" i="31" s="1"/>
  <c r="T224" i="38"/>
  <c r="Z526" i="31" s="1"/>
  <c r="P224" i="38"/>
  <c r="V526" i="31" s="1"/>
  <c r="L224" i="38"/>
  <c r="R526" i="31" s="1"/>
  <c r="S224" i="38"/>
  <c r="Y526" i="31" s="1"/>
  <c r="O224" i="38"/>
  <c r="U526" i="31" s="1"/>
  <c r="K224" i="38"/>
  <c r="Q526" i="31" s="1"/>
  <c r="V225" i="38"/>
  <c r="R225" i="38"/>
  <c r="N225" i="38"/>
  <c r="J225" i="38"/>
  <c r="U225" i="38"/>
  <c r="Q225" i="38"/>
  <c r="M225" i="38"/>
  <c r="I225" i="38"/>
  <c r="T225" i="38"/>
  <c r="P225" i="38"/>
  <c r="L225" i="38"/>
  <c r="S225" i="38"/>
  <c r="O225" i="38"/>
  <c r="V288" i="38"/>
  <c r="R288" i="38"/>
  <c r="N288" i="38"/>
  <c r="J288" i="38"/>
  <c r="U288" i="38"/>
  <c r="Q288" i="38"/>
  <c r="M288" i="38"/>
  <c r="I288" i="38"/>
  <c r="T288" i="38"/>
  <c r="P288" i="38"/>
  <c r="L288" i="38"/>
  <c r="U292" i="38"/>
  <c r="Q292" i="38"/>
  <c r="M292" i="38"/>
  <c r="I292" i="38"/>
  <c r="T292" i="38"/>
  <c r="P292" i="38"/>
  <c r="L292" i="38"/>
  <c r="S292" i="38"/>
  <c r="O292" i="38"/>
  <c r="K292" i="38"/>
  <c r="V292" i="38"/>
  <c r="S285" i="38"/>
  <c r="O285" i="38"/>
  <c r="K285" i="38"/>
  <c r="V285" i="38"/>
  <c r="R285" i="38"/>
  <c r="N285" i="38"/>
  <c r="J285" i="38"/>
  <c r="P285" i="38"/>
  <c r="K288" i="38"/>
  <c r="U289" i="38"/>
  <c r="Q289" i="38"/>
  <c r="M289" i="38"/>
  <c r="I289" i="38"/>
  <c r="T289" i="38"/>
  <c r="P289" i="38"/>
  <c r="L289" i="38"/>
  <c r="S289" i="38"/>
  <c r="O289" i="38"/>
  <c r="K289" i="38"/>
  <c r="V289" i="38"/>
  <c r="J292" i="38"/>
  <c r="I285" i="38"/>
  <c r="Q285" i="38"/>
  <c r="S286" i="38"/>
  <c r="O286" i="38"/>
  <c r="K286" i="38"/>
  <c r="V286" i="38"/>
  <c r="R286" i="38"/>
  <c r="N286" i="38"/>
  <c r="J286" i="38"/>
  <c r="U286" i="38"/>
  <c r="Q286" i="38"/>
  <c r="M286" i="38"/>
  <c r="I286" i="38"/>
  <c r="O288" i="38"/>
  <c r="J289" i="38"/>
  <c r="U290" i="38"/>
  <c r="Q290" i="38"/>
  <c r="M290" i="38"/>
  <c r="I290" i="38"/>
  <c r="T290" i="38"/>
  <c r="P290" i="38"/>
  <c r="L290" i="38"/>
  <c r="S290" i="38"/>
  <c r="O290" i="38"/>
  <c r="K290" i="38"/>
  <c r="V290" i="38"/>
  <c r="N292" i="38"/>
  <c r="L285" i="38"/>
  <c r="T285" i="38"/>
  <c r="L286" i="38"/>
  <c r="S287" i="38"/>
  <c r="O287" i="38"/>
  <c r="K287" i="38"/>
  <c r="V287" i="38"/>
  <c r="R287" i="38"/>
  <c r="N287" i="38"/>
  <c r="J287" i="38"/>
  <c r="U287" i="38"/>
  <c r="Q287" i="38"/>
  <c r="M287" i="38"/>
  <c r="I287" i="38"/>
  <c r="S288" i="38"/>
  <c r="N289" i="38"/>
  <c r="J290" i="38"/>
  <c r="U291" i="38"/>
  <c r="Q291" i="38"/>
  <c r="M291" i="38"/>
  <c r="I291" i="38"/>
  <c r="T291" i="38"/>
  <c r="P291" i="38"/>
  <c r="L291" i="38"/>
  <c r="S291" i="38"/>
  <c r="O291" i="38"/>
  <c r="K291" i="38"/>
  <c r="V291" i="38"/>
  <c r="R292" i="38"/>
  <c r="U275" i="38"/>
  <c r="Q275" i="38"/>
  <c r="M275" i="38"/>
  <c r="I275" i="38"/>
  <c r="T275" i="38"/>
  <c r="P275" i="38"/>
  <c r="L275" i="38"/>
  <c r="S275" i="38"/>
  <c r="O275" i="38"/>
  <c r="K275" i="38"/>
  <c r="V275" i="38"/>
  <c r="R275" i="38"/>
  <c r="N275" i="38"/>
  <c r="J275" i="38"/>
  <c r="U276" i="38"/>
  <c r="Q276" i="38"/>
  <c r="M276" i="38"/>
  <c r="I276" i="38"/>
  <c r="T276" i="38"/>
  <c r="P276" i="38"/>
  <c r="L276" i="38"/>
  <c r="S276" i="38"/>
  <c r="O276" i="38"/>
  <c r="K276" i="38"/>
  <c r="V276" i="38"/>
  <c r="R276" i="38"/>
  <c r="N276" i="38"/>
  <c r="J276" i="38"/>
  <c r="T271" i="38"/>
  <c r="P271" i="38"/>
  <c r="L271" i="38"/>
  <c r="S271" i="38"/>
  <c r="O271" i="38"/>
  <c r="K271" i="38"/>
  <c r="V271" i="38"/>
  <c r="R271" i="38"/>
  <c r="N271" i="38"/>
  <c r="J271" i="38"/>
  <c r="U271" i="38"/>
  <c r="Q271" i="38"/>
  <c r="M271" i="38"/>
  <c r="I271" i="38"/>
  <c r="L272" i="38"/>
  <c r="P272" i="38"/>
  <c r="T272" i="38"/>
  <c r="I272" i="38"/>
  <c r="M272" i="38"/>
  <c r="Q272" i="38"/>
  <c r="U272" i="38"/>
  <c r="J272" i="38"/>
  <c r="N272" i="38"/>
  <c r="R272" i="38"/>
  <c r="V272" i="38"/>
  <c r="K272" i="38"/>
  <c r="O272" i="38"/>
  <c r="U270" i="38"/>
  <c r="AA363" i="29" s="1"/>
  <c r="Q270" i="38"/>
  <c r="W363" i="29" s="1"/>
  <c r="M270" i="38"/>
  <c r="S363" i="29" s="1"/>
  <c r="I270" i="38"/>
  <c r="O363" i="29" s="1"/>
  <c r="T270" i="38"/>
  <c r="Z363" i="29" s="1"/>
  <c r="P270" i="38"/>
  <c r="V363" i="29" s="1"/>
  <c r="L270" i="38"/>
  <c r="R363" i="29" s="1"/>
  <c r="S270" i="38"/>
  <c r="Y363" i="29" s="1"/>
  <c r="O270" i="38"/>
  <c r="U363" i="29" s="1"/>
  <c r="K270" i="38"/>
  <c r="Q363" i="29" s="1"/>
  <c r="V270" i="38"/>
  <c r="AB363" i="29" s="1"/>
  <c r="R270" i="38"/>
  <c r="X363" i="29" s="1"/>
  <c r="N270" i="38"/>
  <c r="T363" i="29" s="1"/>
  <c r="J270" i="38"/>
  <c r="P363" i="29" s="1"/>
  <c r="U267" i="38"/>
  <c r="AA349" i="29" s="1"/>
  <c r="Q267" i="38"/>
  <c r="W349" i="29" s="1"/>
  <c r="M267" i="38"/>
  <c r="S349" i="29" s="1"/>
  <c r="I267" i="38"/>
  <c r="O349" i="29" s="1"/>
  <c r="T267" i="38"/>
  <c r="Z349" i="29" s="1"/>
  <c r="P267" i="38"/>
  <c r="V349" i="29" s="1"/>
  <c r="L267" i="38"/>
  <c r="R349" i="29" s="1"/>
  <c r="S267" i="38"/>
  <c r="Y349" i="29" s="1"/>
  <c r="O267" i="38"/>
  <c r="U349" i="29" s="1"/>
  <c r="K267" i="38"/>
  <c r="Q349" i="29" s="1"/>
  <c r="V267" i="38"/>
  <c r="AB349" i="29" s="1"/>
  <c r="R267" i="38"/>
  <c r="X349" i="29" s="1"/>
  <c r="N267" i="38"/>
  <c r="T349" i="29" s="1"/>
  <c r="J267" i="38"/>
  <c r="P349" i="29" s="1"/>
  <c r="U268" i="38"/>
  <c r="AA350" i="29" s="1"/>
  <c r="Q268" i="38"/>
  <c r="W350" i="29" s="1"/>
  <c r="M268" i="38"/>
  <c r="S350" i="29" s="1"/>
  <c r="I268" i="38"/>
  <c r="O350" i="29" s="1"/>
  <c r="T268" i="38"/>
  <c r="Z350" i="29" s="1"/>
  <c r="P268" i="38"/>
  <c r="V350" i="29" s="1"/>
  <c r="L268" i="38"/>
  <c r="R350" i="29" s="1"/>
  <c r="S268" i="38"/>
  <c r="Y350" i="29" s="1"/>
  <c r="O268" i="38"/>
  <c r="U350" i="29" s="1"/>
  <c r="K268" i="38"/>
  <c r="Q350" i="29" s="1"/>
  <c r="V268" i="38"/>
  <c r="AB350" i="29" s="1"/>
  <c r="R268" i="38"/>
  <c r="X350" i="29" s="1"/>
  <c r="N268" i="38"/>
  <c r="T350" i="29" s="1"/>
  <c r="J268" i="38"/>
  <c r="P350" i="29" s="1"/>
  <c r="U269" i="38"/>
  <c r="AA362" i="29" s="1"/>
  <c r="Q269" i="38"/>
  <c r="W362" i="29" s="1"/>
  <c r="M269" i="38"/>
  <c r="S362" i="29" s="1"/>
  <c r="I269" i="38"/>
  <c r="O362" i="29" s="1"/>
  <c r="T269" i="38"/>
  <c r="Z362" i="29" s="1"/>
  <c r="P269" i="38"/>
  <c r="V362" i="29" s="1"/>
  <c r="L269" i="38"/>
  <c r="R362" i="29" s="1"/>
  <c r="S269" i="38"/>
  <c r="Y362" i="29" s="1"/>
  <c r="O269" i="38"/>
  <c r="U362" i="29" s="1"/>
  <c r="K269" i="38"/>
  <c r="Q362" i="29" s="1"/>
  <c r="V269" i="38"/>
  <c r="AB362" i="29" s="1"/>
  <c r="R269" i="38"/>
  <c r="X362" i="29" s="1"/>
  <c r="N269" i="38"/>
  <c r="T362" i="29" s="1"/>
  <c r="J269" i="38"/>
  <c r="P362" i="29" s="1"/>
  <c r="R22" i="31"/>
  <c r="V22" i="31"/>
  <c r="Z22" i="31"/>
  <c r="O22" i="31"/>
  <c r="S22" i="31"/>
  <c r="W22" i="31"/>
  <c r="R22" i="29"/>
  <c r="V22" i="29"/>
  <c r="Z22" i="29"/>
  <c r="O22" i="29"/>
  <c r="S22" i="29"/>
  <c r="W22" i="29"/>
  <c r="V239" i="38"/>
  <c r="AB164" i="29" s="1"/>
  <c r="R239" i="38"/>
  <c r="X164" i="29" s="1"/>
  <c r="N239" i="38"/>
  <c r="T164" i="29" s="1"/>
  <c r="J239" i="38"/>
  <c r="P164" i="29" s="1"/>
  <c r="U239" i="38"/>
  <c r="AA164" i="29" s="1"/>
  <c r="Q239" i="38"/>
  <c r="W164" i="29" s="1"/>
  <c r="M239" i="38"/>
  <c r="S164" i="29" s="1"/>
  <c r="I239" i="38"/>
  <c r="O164" i="29" s="1"/>
  <c r="T239" i="38"/>
  <c r="Z164" i="29" s="1"/>
  <c r="P239" i="38"/>
  <c r="V164" i="29" s="1"/>
  <c r="L239" i="38"/>
  <c r="R164" i="29" s="1"/>
  <c r="S239" i="38"/>
  <c r="Y164" i="29" s="1"/>
  <c r="O239" i="38"/>
  <c r="U164" i="29" s="1"/>
  <c r="K239" i="38"/>
  <c r="Q164" i="29" s="1"/>
  <c r="V240" i="38"/>
  <c r="AB165" i="29" s="1"/>
  <c r="R240" i="38"/>
  <c r="X165" i="29" s="1"/>
  <c r="N240" i="38"/>
  <c r="T165" i="29" s="1"/>
  <c r="J240" i="38"/>
  <c r="P165" i="29" s="1"/>
  <c r="U240" i="38"/>
  <c r="AA165" i="29" s="1"/>
  <c r="Q240" i="38"/>
  <c r="W165" i="29" s="1"/>
  <c r="M240" i="38"/>
  <c r="S165" i="29" s="1"/>
  <c r="I240" i="38"/>
  <c r="O165" i="29" s="1"/>
  <c r="T240" i="38"/>
  <c r="Z165" i="29" s="1"/>
  <c r="P240" i="38"/>
  <c r="V165" i="29" s="1"/>
  <c r="L240" i="38"/>
  <c r="R165" i="29" s="1"/>
  <c r="S240" i="38"/>
  <c r="Y165" i="29" s="1"/>
  <c r="O240" i="38"/>
  <c r="U165" i="29" s="1"/>
  <c r="K240" i="38"/>
  <c r="Q165" i="29" s="1"/>
  <c r="V241" i="38"/>
  <c r="AB177" i="29" s="1"/>
  <c r="R241" i="38"/>
  <c r="X177" i="29" s="1"/>
  <c r="N241" i="38"/>
  <c r="T177" i="29" s="1"/>
  <c r="J241" i="38"/>
  <c r="P177" i="29" s="1"/>
  <c r="U241" i="38"/>
  <c r="AA177" i="29" s="1"/>
  <c r="Q241" i="38"/>
  <c r="W177" i="29" s="1"/>
  <c r="M241" i="38"/>
  <c r="S177" i="29" s="1"/>
  <c r="I241" i="38"/>
  <c r="O177" i="29" s="1"/>
  <c r="T241" i="38"/>
  <c r="Z177" i="29" s="1"/>
  <c r="P241" i="38"/>
  <c r="V177" i="29" s="1"/>
  <c r="L241" i="38"/>
  <c r="R177" i="29" s="1"/>
  <c r="S241" i="38"/>
  <c r="Y177" i="29" s="1"/>
  <c r="O241" i="38"/>
  <c r="U177" i="29" s="1"/>
  <c r="K241" i="38"/>
  <c r="Q177" i="29" s="1"/>
  <c r="V242" i="38"/>
  <c r="AB178" i="29" s="1"/>
  <c r="R242" i="38"/>
  <c r="X178" i="29" s="1"/>
  <c r="N242" i="38"/>
  <c r="T178" i="29" s="1"/>
  <c r="J242" i="38"/>
  <c r="P178" i="29" s="1"/>
  <c r="U242" i="38"/>
  <c r="AA178" i="29" s="1"/>
  <c r="Q242" i="38"/>
  <c r="W178" i="29" s="1"/>
  <c r="M242" i="38"/>
  <c r="S178" i="29" s="1"/>
  <c r="I242" i="38"/>
  <c r="O178" i="29" s="1"/>
  <c r="T242" i="38"/>
  <c r="Z178" i="29" s="1"/>
  <c r="P242" i="38"/>
  <c r="V178" i="29" s="1"/>
  <c r="L242" i="38"/>
  <c r="R178" i="29" s="1"/>
  <c r="S242" i="38"/>
  <c r="Y178" i="29" s="1"/>
  <c r="O242" i="38"/>
  <c r="U178" i="29" s="1"/>
  <c r="K242" i="38"/>
  <c r="Q178" i="29" s="1"/>
  <c r="T227" i="38"/>
  <c r="Z86" i="29" s="1"/>
  <c r="P227" i="38"/>
  <c r="V86" i="29" s="1"/>
  <c r="L227" i="38"/>
  <c r="R86" i="29" s="1"/>
  <c r="S227" i="38"/>
  <c r="Y86" i="29" s="1"/>
  <c r="O227" i="38"/>
  <c r="U86" i="29" s="1"/>
  <c r="K227" i="38"/>
  <c r="Q86" i="29" s="1"/>
  <c r="V227" i="38"/>
  <c r="AB86" i="29" s="1"/>
  <c r="R227" i="38"/>
  <c r="X86" i="29" s="1"/>
  <c r="N227" i="38"/>
  <c r="T86" i="29" s="1"/>
  <c r="J227" i="38"/>
  <c r="P86" i="29" s="1"/>
  <c r="U227" i="38"/>
  <c r="AA86" i="29" s="1"/>
  <c r="Q227" i="38"/>
  <c r="W86" i="29" s="1"/>
  <c r="M227" i="38"/>
  <c r="S86" i="29" s="1"/>
  <c r="I227" i="38"/>
  <c r="O86" i="29" s="1"/>
  <c r="L228" i="38"/>
  <c r="R87" i="29" s="1"/>
  <c r="P228" i="38"/>
  <c r="V87" i="29" s="1"/>
  <c r="T228" i="38"/>
  <c r="Z87" i="29" s="1"/>
  <c r="I228" i="38"/>
  <c r="O87" i="29" s="1"/>
  <c r="M228" i="38"/>
  <c r="S87" i="29" s="1"/>
  <c r="Q228" i="38"/>
  <c r="W87" i="29" s="1"/>
  <c r="U228" i="38"/>
  <c r="AA87" i="29" s="1"/>
  <c r="J228" i="38"/>
  <c r="P87" i="29" s="1"/>
  <c r="N228" i="38"/>
  <c r="T87" i="29" s="1"/>
  <c r="R228" i="38"/>
  <c r="X87" i="29" s="1"/>
  <c r="V228" i="38"/>
  <c r="AB87" i="29" s="1"/>
  <c r="K228" i="38"/>
  <c r="Q87" i="29" s="1"/>
  <c r="O228" i="38"/>
  <c r="U87" i="29" s="1"/>
  <c r="K226" i="38"/>
  <c r="Q43" i="29" s="1"/>
  <c r="O226" i="38"/>
  <c r="U43" i="29" s="1"/>
  <c r="S226" i="38"/>
  <c r="Y43" i="29" s="1"/>
  <c r="L226" i="38"/>
  <c r="R43" i="29" s="1"/>
  <c r="P226" i="38"/>
  <c r="V43" i="29" s="1"/>
  <c r="T226" i="38"/>
  <c r="Z43" i="29" s="1"/>
  <c r="I226" i="38"/>
  <c r="O43" i="29" s="1"/>
  <c r="M226" i="38"/>
  <c r="S43" i="29" s="1"/>
  <c r="Q226" i="38"/>
  <c r="W43" i="29" s="1"/>
  <c r="U226" i="38"/>
  <c r="AA43" i="29" s="1"/>
  <c r="J226" i="38"/>
  <c r="P43" i="29" s="1"/>
  <c r="N226" i="38"/>
  <c r="T43" i="29" s="1"/>
  <c r="R226" i="38"/>
  <c r="X43" i="29" s="1"/>
  <c r="V157" i="38"/>
  <c r="AB503" i="31" s="1"/>
  <c r="S157" i="38"/>
  <c r="Y503" i="31" s="1"/>
  <c r="O157" i="38"/>
  <c r="U503" i="31" s="1"/>
  <c r="K157" i="38"/>
  <c r="Q503" i="31" s="1"/>
  <c r="P157" i="38"/>
  <c r="V503" i="31" s="1"/>
  <c r="N503" i="31"/>
  <c r="I157" i="38"/>
  <c r="O503" i="31" s="1"/>
  <c r="M157" i="38"/>
  <c r="S503" i="31" s="1"/>
  <c r="Q157" i="38"/>
  <c r="W503" i="31" s="1"/>
  <c r="U157" i="38"/>
  <c r="AA503" i="31" s="1"/>
  <c r="L157" i="38"/>
  <c r="R503" i="31" s="1"/>
  <c r="T157" i="38"/>
  <c r="Z503" i="31" s="1"/>
  <c r="J157" i="38"/>
  <c r="P503" i="31" s="1"/>
  <c r="N157" i="38"/>
  <c r="T503" i="31" s="1"/>
  <c r="R157" i="38"/>
  <c r="X503" i="31" s="1"/>
  <c r="K75" i="38"/>
  <c r="Q33" i="55" s="1"/>
  <c r="P88" i="38"/>
  <c r="V122" i="55" s="1"/>
  <c r="P75" i="38"/>
  <c r="V33" i="55" s="1"/>
  <c r="P79" i="38"/>
  <c r="V58" i="55" s="1"/>
  <c r="P84" i="38"/>
  <c r="V97" i="55" s="1"/>
  <c r="K87" i="38"/>
  <c r="Q111" i="55" s="1"/>
  <c r="P80" i="38"/>
  <c r="V71" i="55" s="1"/>
  <c r="K83" i="38"/>
  <c r="Q85" i="55" s="1"/>
  <c r="P87" i="38"/>
  <c r="V111" i="55" s="1"/>
  <c r="P76" i="38"/>
  <c r="V44" i="55" s="1"/>
  <c r="K79" i="38"/>
  <c r="Q58" i="55" s="1"/>
  <c r="P83" i="38"/>
  <c r="V85" i="55" s="1"/>
  <c r="K74" i="38"/>
  <c r="Q32" i="55" s="1"/>
  <c r="K78" i="38"/>
  <c r="Q57" i="55" s="1"/>
  <c r="K82" i="38"/>
  <c r="Q84" i="55" s="1"/>
  <c r="K86" i="38"/>
  <c r="Q110" i="55" s="1"/>
  <c r="P74" i="38"/>
  <c r="V32" i="55" s="1"/>
  <c r="K77" i="38"/>
  <c r="Q45" i="55" s="1"/>
  <c r="P78" i="38"/>
  <c r="V57" i="55" s="1"/>
  <c r="K81" i="38"/>
  <c r="Q72" i="55" s="1"/>
  <c r="P82" i="38"/>
  <c r="V84" i="55" s="1"/>
  <c r="K85" i="38"/>
  <c r="Q98" i="55" s="1"/>
  <c r="P86" i="38"/>
  <c r="V110" i="55" s="1"/>
  <c r="K76" i="38"/>
  <c r="Q44" i="55" s="1"/>
  <c r="P77" i="38"/>
  <c r="V45" i="55" s="1"/>
  <c r="K80" i="38"/>
  <c r="Q71" i="55" s="1"/>
  <c r="P81" i="38"/>
  <c r="V72" i="55" s="1"/>
  <c r="K84" i="38"/>
  <c r="Q97" i="55" s="1"/>
  <c r="P85" i="38"/>
  <c r="V98" i="55" s="1"/>
  <c r="K88" i="38"/>
  <c r="Q122" i="55" s="1"/>
  <c r="L39" i="46"/>
  <c r="V74" i="55" s="1"/>
  <c r="Q39" i="46"/>
  <c r="AA74" i="55" s="1"/>
  <c r="O43" i="46"/>
  <c r="Y125" i="55" s="1"/>
  <c r="L43" i="46"/>
  <c r="V125" i="55" s="1"/>
  <c r="I43" i="46"/>
  <c r="S125" i="55" s="1"/>
  <c r="O51" i="46"/>
  <c r="R51" i="46"/>
  <c r="K51" i="46"/>
  <c r="K59" i="46"/>
  <c r="R59" i="46"/>
  <c r="O59" i="46"/>
  <c r="M39" i="46"/>
  <c r="W74" i="55" s="1"/>
  <c r="R43" i="46"/>
  <c r="AB125" i="55" s="1"/>
  <c r="G59" i="46"/>
  <c r="Q36" i="46"/>
  <c r="AA35" i="55" s="1"/>
  <c r="R36" i="46"/>
  <c r="AB35" i="55" s="1"/>
  <c r="M36" i="46"/>
  <c r="W35" i="55" s="1"/>
  <c r="L40" i="46"/>
  <c r="V87" i="55" s="1"/>
  <c r="Q40" i="46"/>
  <c r="AA87" i="55" s="1"/>
  <c r="G40" i="46"/>
  <c r="Q87" i="55" s="1"/>
  <c r="M40" i="46"/>
  <c r="W87" i="55" s="1"/>
  <c r="M44" i="46"/>
  <c r="W138" i="55" s="1"/>
  <c r="Q44" i="46"/>
  <c r="AA138" i="55" s="1"/>
  <c r="H44" i="46"/>
  <c r="R138" i="55" s="1"/>
  <c r="O44" i="46"/>
  <c r="Y138" i="55" s="1"/>
  <c r="D44" i="46"/>
  <c r="N138" i="55" s="1"/>
  <c r="K56" i="46"/>
  <c r="G56" i="46"/>
  <c r="R60" i="46"/>
  <c r="O60" i="46"/>
  <c r="H40" i="46"/>
  <c r="R87" i="55" s="1"/>
  <c r="I44" i="46"/>
  <c r="S138" i="55" s="1"/>
  <c r="G60" i="46"/>
  <c r="H36" i="46"/>
  <c r="R35" i="55" s="1"/>
  <c r="I40" i="46"/>
  <c r="S87" i="55" s="1"/>
  <c r="D43" i="46"/>
  <c r="N125" i="55" s="1"/>
  <c r="L44" i="46"/>
  <c r="V138" i="55" s="1"/>
  <c r="G51" i="46"/>
  <c r="K60" i="46"/>
  <c r="H41" i="46"/>
  <c r="R100" i="55" s="1"/>
  <c r="H45" i="46"/>
  <c r="R151" i="55" s="1"/>
  <c r="G53" i="46"/>
  <c r="Q69" i="29"/>
  <c r="U69" i="29"/>
  <c r="V90" i="38"/>
  <c r="AB135" i="55" s="1"/>
  <c r="R90" i="38"/>
  <c r="X135" i="55" s="1"/>
  <c r="N90" i="38"/>
  <c r="T135" i="55" s="1"/>
  <c r="J90" i="38"/>
  <c r="P135" i="55" s="1"/>
  <c r="T90" i="38"/>
  <c r="Z135" i="55" s="1"/>
  <c r="O90" i="38"/>
  <c r="U135" i="55" s="1"/>
  <c r="I90" i="38"/>
  <c r="O135" i="55" s="1"/>
  <c r="S90" i="38"/>
  <c r="Y135" i="55" s="1"/>
  <c r="M90" i="38"/>
  <c r="S135" i="55" s="1"/>
  <c r="Q90" i="38"/>
  <c r="W135" i="55" s="1"/>
  <c r="L90" i="38"/>
  <c r="R135" i="55" s="1"/>
  <c r="U90" i="38"/>
  <c r="AA135" i="55" s="1"/>
  <c r="P90" i="38"/>
  <c r="V135" i="55" s="1"/>
  <c r="K90" i="38"/>
  <c r="Q135" i="55" s="1"/>
  <c r="V91" i="38"/>
  <c r="AB136" i="55" s="1"/>
  <c r="R91" i="38"/>
  <c r="X136" i="55" s="1"/>
  <c r="N91" i="38"/>
  <c r="T136" i="55" s="1"/>
  <c r="J91" i="38"/>
  <c r="P136" i="55" s="1"/>
  <c r="T91" i="38"/>
  <c r="Z136" i="55" s="1"/>
  <c r="O91" i="38"/>
  <c r="U136" i="55" s="1"/>
  <c r="I91" i="38"/>
  <c r="O136" i="55" s="1"/>
  <c r="S91" i="38"/>
  <c r="Y136" i="55" s="1"/>
  <c r="M91" i="38"/>
  <c r="S136" i="55" s="1"/>
  <c r="Q91" i="38"/>
  <c r="W136" i="55" s="1"/>
  <c r="L91" i="38"/>
  <c r="R136" i="55" s="1"/>
  <c r="U91" i="38"/>
  <c r="AA136" i="55" s="1"/>
  <c r="P91" i="38"/>
  <c r="V136" i="55" s="1"/>
  <c r="K91" i="38"/>
  <c r="Q136" i="55" s="1"/>
  <c r="V92" i="38"/>
  <c r="AB148" i="55" s="1"/>
  <c r="R92" i="38"/>
  <c r="X148" i="55" s="1"/>
  <c r="N92" i="38"/>
  <c r="T148" i="55" s="1"/>
  <c r="J92" i="38"/>
  <c r="P148" i="55" s="1"/>
  <c r="U92" i="38"/>
  <c r="AA148" i="55" s="1"/>
  <c r="T92" i="38"/>
  <c r="Z148" i="55" s="1"/>
  <c r="O92" i="38"/>
  <c r="U148" i="55" s="1"/>
  <c r="I92" i="38"/>
  <c r="O148" i="55" s="1"/>
  <c r="S92" i="38"/>
  <c r="Y148" i="55" s="1"/>
  <c r="M92" i="38"/>
  <c r="S148" i="55" s="1"/>
  <c r="Q92" i="38"/>
  <c r="W148" i="55" s="1"/>
  <c r="L92" i="38"/>
  <c r="R148" i="55" s="1"/>
  <c r="P92" i="38"/>
  <c r="V148" i="55" s="1"/>
  <c r="K92" i="38"/>
  <c r="Q148" i="55" s="1"/>
  <c r="V74" i="38"/>
  <c r="AB32" i="55" s="1"/>
  <c r="R74" i="38"/>
  <c r="X32" i="55" s="1"/>
  <c r="N74" i="38"/>
  <c r="T32" i="55" s="1"/>
  <c r="J74" i="38"/>
  <c r="P32" i="55" s="1"/>
  <c r="T74" i="38"/>
  <c r="Z32" i="55" s="1"/>
  <c r="O74" i="38"/>
  <c r="U32" i="55" s="1"/>
  <c r="I74" i="38"/>
  <c r="O32" i="55" s="1"/>
  <c r="S74" i="38"/>
  <c r="Y32" i="55" s="1"/>
  <c r="M74" i="38"/>
  <c r="S32" i="55" s="1"/>
  <c r="Q74" i="38"/>
  <c r="W32" i="55" s="1"/>
  <c r="L74" i="38"/>
  <c r="R32" i="55" s="1"/>
  <c r="V75" i="38"/>
  <c r="AB33" i="55" s="1"/>
  <c r="R75" i="38"/>
  <c r="X33" i="55" s="1"/>
  <c r="N75" i="38"/>
  <c r="T33" i="55" s="1"/>
  <c r="J75" i="38"/>
  <c r="P33" i="55" s="1"/>
  <c r="T75" i="38"/>
  <c r="Z33" i="55" s="1"/>
  <c r="O75" i="38"/>
  <c r="U33" i="55" s="1"/>
  <c r="I75" i="38"/>
  <c r="O33" i="55" s="1"/>
  <c r="S75" i="38"/>
  <c r="Y33" i="55" s="1"/>
  <c r="M75" i="38"/>
  <c r="S33" i="55" s="1"/>
  <c r="Q75" i="38"/>
  <c r="W33" i="55" s="1"/>
  <c r="L75" i="38"/>
  <c r="R33" i="55" s="1"/>
  <c r="V76" i="38"/>
  <c r="AB44" i="55" s="1"/>
  <c r="R76" i="38"/>
  <c r="X44" i="55" s="1"/>
  <c r="N76" i="38"/>
  <c r="T44" i="55" s="1"/>
  <c r="J76" i="38"/>
  <c r="P44" i="55" s="1"/>
  <c r="T76" i="38"/>
  <c r="Z44" i="55" s="1"/>
  <c r="O76" i="38"/>
  <c r="U44" i="55" s="1"/>
  <c r="I76" i="38"/>
  <c r="O44" i="55" s="1"/>
  <c r="S76" i="38"/>
  <c r="Y44" i="55" s="1"/>
  <c r="M76" i="38"/>
  <c r="S44" i="55" s="1"/>
  <c r="Q76" i="38"/>
  <c r="W44" i="55" s="1"/>
  <c r="L76" i="38"/>
  <c r="R44" i="55" s="1"/>
  <c r="V77" i="38"/>
  <c r="AB45" i="55" s="1"/>
  <c r="R77" i="38"/>
  <c r="X45" i="55" s="1"/>
  <c r="N77" i="38"/>
  <c r="T45" i="55" s="1"/>
  <c r="J77" i="38"/>
  <c r="P45" i="55" s="1"/>
  <c r="T77" i="38"/>
  <c r="Z45" i="55" s="1"/>
  <c r="O77" i="38"/>
  <c r="U45" i="55" s="1"/>
  <c r="I77" i="38"/>
  <c r="O45" i="55" s="1"/>
  <c r="S77" i="38"/>
  <c r="Y45" i="55" s="1"/>
  <c r="M77" i="38"/>
  <c r="S45" i="55" s="1"/>
  <c r="Q77" i="38"/>
  <c r="W45" i="55" s="1"/>
  <c r="L77" i="38"/>
  <c r="R45" i="55" s="1"/>
  <c r="V78" i="38"/>
  <c r="AB57" i="55" s="1"/>
  <c r="R78" i="38"/>
  <c r="X57" i="55" s="1"/>
  <c r="N78" i="38"/>
  <c r="T57" i="55" s="1"/>
  <c r="J78" i="38"/>
  <c r="P57" i="55" s="1"/>
  <c r="T78" i="38"/>
  <c r="Z57" i="55" s="1"/>
  <c r="O78" i="38"/>
  <c r="U57" i="55" s="1"/>
  <c r="I78" i="38"/>
  <c r="O57" i="55" s="1"/>
  <c r="S78" i="38"/>
  <c r="Y57" i="55" s="1"/>
  <c r="M78" i="38"/>
  <c r="S57" i="55" s="1"/>
  <c r="Q78" i="38"/>
  <c r="W57" i="55" s="1"/>
  <c r="L78" i="38"/>
  <c r="R57" i="55" s="1"/>
  <c r="V79" i="38"/>
  <c r="AB58" i="55" s="1"/>
  <c r="R79" i="38"/>
  <c r="X58" i="55" s="1"/>
  <c r="N79" i="38"/>
  <c r="T58" i="55" s="1"/>
  <c r="J79" i="38"/>
  <c r="P58" i="55" s="1"/>
  <c r="T79" i="38"/>
  <c r="Z58" i="55" s="1"/>
  <c r="O79" i="38"/>
  <c r="U58" i="55" s="1"/>
  <c r="I79" i="38"/>
  <c r="O58" i="55" s="1"/>
  <c r="S79" i="38"/>
  <c r="Y58" i="55" s="1"/>
  <c r="M79" i="38"/>
  <c r="S58" i="55" s="1"/>
  <c r="Q79" i="38"/>
  <c r="W58" i="55" s="1"/>
  <c r="L79" i="38"/>
  <c r="R58" i="55" s="1"/>
  <c r="V80" i="38"/>
  <c r="AB71" i="55" s="1"/>
  <c r="R80" i="38"/>
  <c r="X71" i="55" s="1"/>
  <c r="N80" i="38"/>
  <c r="T71" i="55" s="1"/>
  <c r="J80" i="38"/>
  <c r="P71" i="55" s="1"/>
  <c r="T80" i="38"/>
  <c r="Z71" i="55" s="1"/>
  <c r="O80" i="38"/>
  <c r="U71" i="55" s="1"/>
  <c r="I80" i="38"/>
  <c r="O71" i="55" s="1"/>
  <c r="S80" i="38"/>
  <c r="Y71" i="55" s="1"/>
  <c r="M80" i="38"/>
  <c r="S71" i="55" s="1"/>
  <c r="Q80" i="38"/>
  <c r="W71" i="55" s="1"/>
  <c r="L80" i="38"/>
  <c r="R71" i="55" s="1"/>
  <c r="V81" i="38"/>
  <c r="AB72" i="55" s="1"/>
  <c r="R81" i="38"/>
  <c r="X72" i="55" s="1"/>
  <c r="N81" i="38"/>
  <c r="T72" i="55" s="1"/>
  <c r="J81" i="38"/>
  <c r="P72" i="55" s="1"/>
  <c r="T81" i="38"/>
  <c r="Z72" i="55" s="1"/>
  <c r="O81" i="38"/>
  <c r="U72" i="55" s="1"/>
  <c r="I81" i="38"/>
  <c r="O72" i="55" s="1"/>
  <c r="S81" i="38"/>
  <c r="Y72" i="55" s="1"/>
  <c r="M81" i="38"/>
  <c r="S72" i="55" s="1"/>
  <c r="Q81" i="38"/>
  <c r="W72" i="55" s="1"/>
  <c r="L81" i="38"/>
  <c r="R72" i="55" s="1"/>
  <c r="V82" i="38"/>
  <c r="AB84" i="55" s="1"/>
  <c r="R82" i="38"/>
  <c r="X84" i="55" s="1"/>
  <c r="N82" i="38"/>
  <c r="T84" i="55" s="1"/>
  <c r="J82" i="38"/>
  <c r="P84" i="55" s="1"/>
  <c r="T82" i="38"/>
  <c r="Z84" i="55" s="1"/>
  <c r="O82" i="38"/>
  <c r="U84" i="55" s="1"/>
  <c r="I82" i="38"/>
  <c r="O84" i="55" s="1"/>
  <c r="S82" i="38"/>
  <c r="Y84" i="55" s="1"/>
  <c r="M82" i="38"/>
  <c r="S84" i="55" s="1"/>
  <c r="Q82" i="38"/>
  <c r="W84" i="55" s="1"/>
  <c r="L82" i="38"/>
  <c r="R84" i="55" s="1"/>
  <c r="V83" i="38"/>
  <c r="AB85" i="55" s="1"/>
  <c r="R83" i="38"/>
  <c r="X85" i="55" s="1"/>
  <c r="N83" i="38"/>
  <c r="T85" i="55" s="1"/>
  <c r="J83" i="38"/>
  <c r="P85" i="55" s="1"/>
  <c r="T83" i="38"/>
  <c r="Z85" i="55" s="1"/>
  <c r="O83" i="38"/>
  <c r="U85" i="55" s="1"/>
  <c r="I83" i="38"/>
  <c r="O85" i="55" s="1"/>
  <c r="S83" i="38"/>
  <c r="Y85" i="55" s="1"/>
  <c r="M83" i="38"/>
  <c r="S85" i="55" s="1"/>
  <c r="Q83" i="38"/>
  <c r="W85" i="55" s="1"/>
  <c r="L83" i="38"/>
  <c r="R85" i="55" s="1"/>
  <c r="V84" i="38"/>
  <c r="AB97" i="55" s="1"/>
  <c r="R84" i="38"/>
  <c r="X97" i="55" s="1"/>
  <c r="N84" i="38"/>
  <c r="T97" i="55" s="1"/>
  <c r="J84" i="38"/>
  <c r="P97" i="55" s="1"/>
  <c r="T84" i="38"/>
  <c r="Z97" i="55" s="1"/>
  <c r="O84" i="38"/>
  <c r="U97" i="55" s="1"/>
  <c r="I84" i="38"/>
  <c r="O97" i="55" s="1"/>
  <c r="S84" i="38"/>
  <c r="Y97" i="55" s="1"/>
  <c r="M84" i="38"/>
  <c r="S97" i="55" s="1"/>
  <c r="Q84" i="38"/>
  <c r="W97" i="55" s="1"/>
  <c r="L84" i="38"/>
  <c r="R97" i="55" s="1"/>
  <c r="V85" i="38"/>
  <c r="AB98" i="55" s="1"/>
  <c r="R85" i="38"/>
  <c r="X98" i="55" s="1"/>
  <c r="N85" i="38"/>
  <c r="T98" i="55" s="1"/>
  <c r="J85" i="38"/>
  <c r="P98" i="55" s="1"/>
  <c r="T85" i="38"/>
  <c r="Z98" i="55" s="1"/>
  <c r="O85" i="38"/>
  <c r="U98" i="55" s="1"/>
  <c r="I85" i="38"/>
  <c r="O98" i="55" s="1"/>
  <c r="S85" i="38"/>
  <c r="Y98" i="55" s="1"/>
  <c r="M85" i="38"/>
  <c r="S98" i="55" s="1"/>
  <c r="Q85" i="38"/>
  <c r="W98" i="55" s="1"/>
  <c r="L85" i="38"/>
  <c r="R98" i="55" s="1"/>
  <c r="V86" i="38"/>
  <c r="AB110" i="55" s="1"/>
  <c r="R86" i="38"/>
  <c r="X110" i="55" s="1"/>
  <c r="N86" i="38"/>
  <c r="T110" i="55" s="1"/>
  <c r="J86" i="38"/>
  <c r="P110" i="55" s="1"/>
  <c r="T86" i="38"/>
  <c r="Z110" i="55" s="1"/>
  <c r="O86" i="38"/>
  <c r="U110" i="55" s="1"/>
  <c r="I86" i="38"/>
  <c r="O110" i="55" s="1"/>
  <c r="S86" i="38"/>
  <c r="Y110" i="55" s="1"/>
  <c r="M86" i="38"/>
  <c r="S110" i="55" s="1"/>
  <c r="Q86" i="38"/>
  <c r="W110" i="55" s="1"/>
  <c r="L86" i="38"/>
  <c r="R110" i="55" s="1"/>
  <c r="V87" i="38"/>
  <c r="AB111" i="55" s="1"/>
  <c r="R87" i="38"/>
  <c r="X111" i="55" s="1"/>
  <c r="N87" i="38"/>
  <c r="T111" i="55" s="1"/>
  <c r="J87" i="38"/>
  <c r="P111" i="55" s="1"/>
  <c r="T87" i="38"/>
  <c r="Z111" i="55" s="1"/>
  <c r="O87" i="38"/>
  <c r="U111" i="55" s="1"/>
  <c r="I87" i="38"/>
  <c r="O111" i="55" s="1"/>
  <c r="S87" i="38"/>
  <c r="Y111" i="55" s="1"/>
  <c r="M87" i="38"/>
  <c r="S111" i="55" s="1"/>
  <c r="Q87" i="38"/>
  <c r="W111" i="55" s="1"/>
  <c r="L87" i="38"/>
  <c r="R111" i="55" s="1"/>
  <c r="V88" i="38"/>
  <c r="AB122" i="55" s="1"/>
  <c r="R88" i="38"/>
  <c r="X122" i="55" s="1"/>
  <c r="N88" i="38"/>
  <c r="T122" i="55" s="1"/>
  <c r="J88" i="38"/>
  <c r="P122" i="55" s="1"/>
  <c r="T88" i="38"/>
  <c r="Z122" i="55" s="1"/>
  <c r="O88" i="38"/>
  <c r="U122" i="55" s="1"/>
  <c r="I88" i="38"/>
  <c r="O122" i="55" s="1"/>
  <c r="S88" i="38"/>
  <c r="Y122" i="55" s="1"/>
  <c r="M88" i="38"/>
  <c r="S122" i="55" s="1"/>
  <c r="Q88" i="38"/>
  <c r="W122" i="55" s="1"/>
  <c r="L88" i="38"/>
  <c r="R122" i="55" s="1"/>
  <c r="V89" i="38"/>
  <c r="AB123" i="55" s="1"/>
  <c r="R89" i="38"/>
  <c r="X123" i="55" s="1"/>
  <c r="N89" i="38"/>
  <c r="T123" i="55" s="1"/>
  <c r="J89" i="38"/>
  <c r="P123" i="55" s="1"/>
  <c r="T89" i="38"/>
  <c r="Z123" i="55" s="1"/>
  <c r="O89" i="38"/>
  <c r="U123" i="55" s="1"/>
  <c r="I89" i="38"/>
  <c r="O123" i="55" s="1"/>
  <c r="S89" i="38"/>
  <c r="Y123" i="55" s="1"/>
  <c r="M89" i="38"/>
  <c r="S123" i="55" s="1"/>
  <c r="Q89" i="38"/>
  <c r="W123" i="55" s="1"/>
  <c r="L89" i="38"/>
  <c r="R123" i="55" s="1"/>
  <c r="U89" i="38"/>
  <c r="AA123" i="55" s="1"/>
  <c r="P89" i="38"/>
  <c r="V123" i="55" s="1"/>
  <c r="K89" i="38"/>
  <c r="Q123" i="55" s="1"/>
  <c r="V93" i="38"/>
  <c r="AB149" i="55" s="1"/>
  <c r="R93" i="38"/>
  <c r="X149" i="55" s="1"/>
  <c r="N93" i="38"/>
  <c r="T149" i="55" s="1"/>
  <c r="J93" i="38"/>
  <c r="P149" i="55" s="1"/>
  <c r="U93" i="38"/>
  <c r="AA149" i="55" s="1"/>
  <c r="Q93" i="38"/>
  <c r="W149" i="55" s="1"/>
  <c r="M93" i="38"/>
  <c r="S149" i="55" s="1"/>
  <c r="I93" i="38"/>
  <c r="O149" i="55" s="1"/>
  <c r="T93" i="38"/>
  <c r="Z149" i="55" s="1"/>
  <c r="L93" i="38"/>
  <c r="R149" i="55" s="1"/>
  <c r="S93" i="38"/>
  <c r="Y149" i="55" s="1"/>
  <c r="K93" i="38"/>
  <c r="Q149" i="55" s="1"/>
  <c r="P93" i="38"/>
  <c r="V149" i="55" s="1"/>
  <c r="O93" i="38"/>
  <c r="U149" i="55" s="1"/>
  <c r="K53" i="46"/>
  <c r="R57" i="46"/>
  <c r="O53" i="46"/>
  <c r="G57" i="46"/>
  <c r="G58" i="46"/>
  <c r="L38" i="46"/>
  <c r="V60" i="55" s="1"/>
  <c r="G42" i="46"/>
  <c r="Q113" i="55" s="1"/>
  <c r="M42" i="46"/>
  <c r="W113" i="55" s="1"/>
  <c r="M38" i="46"/>
  <c r="W60" i="55" s="1"/>
  <c r="H39" i="46"/>
  <c r="R74" i="55" s="1"/>
  <c r="R39" i="46"/>
  <c r="AB74" i="55" s="1"/>
  <c r="H42" i="46"/>
  <c r="R113" i="55" s="1"/>
  <c r="O42" i="46"/>
  <c r="Y113" i="55" s="1"/>
  <c r="G43" i="46"/>
  <c r="Q125" i="55" s="1"/>
  <c r="M43" i="46"/>
  <c r="W125" i="55" s="1"/>
  <c r="G36" i="46"/>
  <c r="Q35" i="55" s="1"/>
  <c r="G38" i="46"/>
  <c r="Q60" i="55" s="1"/>
  <c r="D40" i="46"/>
  <c r="N87" i="55" s="1"/>
  <c r="I42" i="46"/>
  <c r="S113" i="55" s="1"/>
  <c r="H43" i="46"/>
  <c r="R125" i="55" s="1"/>
  <c r="G44" i="46"/>
  <c r="Q138" i="55" s="1"/>
  <c r="O52" i="46"/>
  <c r="G55" i="46"/>
  <c r="K55" i="46"/>
  <c r="O55" i="46"/>
  <c r="D50" i="46"/>
  <c r="H50" i="46"/>
  <c r="L50" i="46"/>
  <c r="P50" i="46"/>
  <c r="D51" i="46"/>
  <c r="H51" i="46"/>
  <c r="L51" i="46"/>
  <c r="P51" i="46"/>
  <c r="D52" i="46"/>
  <c r="H52" i="46"/>
  <c r="L52" i="46"/>
  <c r="P52" i="46"/>
  <c r="D53" i="46"/>
  <c r="H53" i="46"/>
  <c r="L53" i="46"/>
  <c r="P53" i="46"/>
  <c r="D54" i="46"/>
  <c r="H54" i="46"/>
  <c r="L54" i="46"/>
  <c r="P54" i="46"/>
  <c r="D55" i="46"/>
  <c r="H55" i="46"/>
  <c r="L55" i="46"/>
  <c r="P55" i="46"/>
  <c r="D56" i="46"/>
  <c r="H56" i="46"/>
  <c r="L56" i="46"/>
  <c r="P56" i="46"/>
  <c r="D57" i="46"/>
  <c r="H57" i="46"/>
  <c r="L57" i="46"/>
  <c r="P57" i="46"/>
  <c r="D58" i="46"/>
  <c r="H58" i="46"/>
  <c r="L58" i="46"/>
  <c r="P58" i="46"/>
  <c r="D59" i="46"/>
  <c r="H59" i="46"/>
  <c r="L59" i="46"/>
  <c r="P59" i="46"/>
  <c r="D60" i="46"/>
  <c r="H60" i="46"/>
  <c r="L60" i="46"/>
  <c r="P60" i="46"/>
  <c r="D36" i="46"/>
  <c r="N35" i="55" s="1"/>
  <c r="I36" i="46"/>
  <c r="S35" i="55" s="1"/>
  <c r="O36" i="46"/>
  <c r="Y35" i="55" s="1"/>
  <c r="D37" i="46"/>
  <c r="N47" i="55" s="1"/>
  <c r="I37" i="46"/>
  <c r="S47" i="55" s="1"/>
  <c r="O37" i="46"/>
  <c r="Y47" i="55" s="1"/>
  <c r="D38" i="46"/>
  <c r="N60" i="55" s="1"/>
  <c r="I38" i="46"/>
  <c r="S60" i="55" s="1"/>
  <c r="O38" i="46"/>
  <c r="Y60" i="55" s="1"/>
  <c r="D39" i="46"/>
  <c r="N74" i="55" s="1"/>
  <c r="I39" i="46"/>
  <c r="S74" i="55" s="1"/>
  <c r="O39" i="46"/>
  <c r="Y74" i="55" s="1"/>
  <c r="O40" i="46"/>
  <c r="Y87" i="55" s="1"/>
  <c r="E50" i="46"/>
  <c r="I50" i="46"/>
  <c r="M50" i="46"/>
  <c r="Q50" i="46"/>
  <c r="E51" i="46"/>
  <c r="I51" i="46"/>
  <c r="M51" i="46"/>
  <c r="Q51" i="46"/>
  <c r="E52" i="46"/>
  <c r="I52" i="46"/>
  <c r="M52" i="46"/>
  <c r="Q52" i="46"/>
  <c r="E53" i="46"/>
  <c r="I53" i="46"/>
  <c r="M53" i="46"/>
  <c r="Q53" i="46"/>
  <c r="E54" i="46"/>
  <c r="I54" i="46"/>
  <c r="M54" i="46"/>
  <c r="Q54" i="46"/>
  <c r="E55" i="46"/>
  <c r="I55" i="46"/>
  <c r="M55" i="46"/>
  <c r="Q55" i="46"/>
  <c r="E56" i="46"/>
  <c r="I56" i="46"/>
  <c r="M56" i="46"/>
  <c r="Q56" i="46"/>
  <c r="E57" i="46"/>
  <c r="I57" i="46"/>
  <c r="M57" i="46"/>
  <c r="Q57" i="46"/>
  <c r="E58" i="46"/>
  <c r="I58" i="46"/>
  <c r="M58" i="46"/>
  <c r="Q58" i="46"/>
  <c r="E59" i="46"/>
  <c r="I59" i="46"/>
  <c r="M59" i="46"/>
  <c r="Q59" i="46"/>
  <c r="E60" i="46"/>
  <c r="I60" i="46"/>
  <c r="M60" i="46"/>
  <c r="Q60" i="46"/>
  <c r="G50" i="46"/>
  <c r="K50" i="46"/>
  <c r="O50" i="46"/>
  <c r="G54" i="46"/>
  <c r="K54" i="46"/>
  <c r="O54" i="46"/>
  <c r="E36" i="46"/>
  <c r="O35" i="55" s="1"/>
  <c r="K36" i="46"/>
  <c r="U35" i="55" s="1"/>
  <c r="P36" i="46"/>
  <c r="Z35" i="55" s="1"/>
  <c r="E37" i="46"/>
  <c r="O47" i="55" s="1"/>
  <c r="K37" i="46"/>
  <c r="U47" i="55" s="1"/>
  <c r="P37" i="46"/>
  <c r="Z47" i="55" s="1"/>
  <c r="E38" i="46"/>
  <c r="O60" i="55" s="1"/>
  <c r="K38" i="46"/>
  <c r="U60" i="55" s="1"/>
  <c r="P38" i="46"/>
  <c r="Z60" i="55" s="1"/>
  <c r="E39" i="46"/>
  <c r="O74" i="55" s="1"/>
  <c r="K39" i="46"/>
  <c r="U74" i="55" s="1"/>
  <c r="P39" i="46"/>
  <c r="Z74" i="55" s="1"/>
  <c r="E40" i="46"/>
  <c r="O87" i="55" s="1"/>
  <c r="K40" i="46"/>
  <c r="U87" i="55" s="1"/>
  <c r="P40" i="46"/>
  <c r="Z87" i="55" s="1"/>
  <c r="E41" i="46"/>
  <c r="O100" i="55" s="1"/>
  <c r="K41" i="46"/>
  <c r="U100" i="55" s="1"/>
  <c r="P41" i="46"/>
  <c r="Z100" i="55" s="1"/>
  <c r="E42" i="46"/>
  <c r="O113" i="55" s="1"/>
  <c r="K42" i="46"/>
  <c r="U113" i="55" s="1"/>
  <c r="P42" i="46"/>
  <c r="Z113" i="55" s="1"/>
  <c r="E43" i="46"/>
  <c r="O125" i="55" s="1"/>
  <c r="K43" i="46"/>
  <c r="U125" i="55" s="1"/>
  <c r="P43" i="46"/>
  <c r="Z125" i="55" s="1"/>
  <c r="E44" i="46"/>
  <c r="O138" i="55" s="1"/>
  <c r="K44" i="46"/>
  <c r="U138" i="55" s="1"/>
  <c r="P44" i="46"/>
  <c r="Z138" i="55" s="1"/>
  <c r="E45" i="46"/>
  <c r="O151" i="55" s="1"/>
  <c r="K45" i="46"/>
  <c r="U151" i="55" s="1"/>
  <c r="P45" i="46"/>
  <c r="Z151" i="55" s="1"/>
  <c r="F50" i="46"/>
  <c r="J50" i="46"/>
  <c r="N50" i="46"/>
  <c r="F51" i="46"/>
  <c r="J51" i="46"/>
  <c r="N51" i="46"/>
  <c r="F52" i="46"/>
  <c r="J52" i="46"/>
  <c r="N52" i="46"/>
  <c r="F53" i="46"/>
  <c r="J53" i="46"/>
  <c r="N53" i="46"/>
  <c r="F54" i="46"/>
  <c r="J54" i="46"/>
  <c r="N54" i="46"/>
  <c r="F55" i="46"/>
  <c r="J55" i="46"/>
  <c r="N55" i="46"/>
  <c r="F56" i="46"/>
  <c r="J56" i="46"/>
  <c r="N56" i="46"/>
  <c r="F57" i="46"/>
  <c r="J57" i="46"/>
  <c r="N57" i="46"/>
  <c r="F58" i="46"/>
  <c r="J58" i="46"/>
  <c r="N58" i="46"/>
  <c r="F59" i="46"/>
  <c r="J59" i="46"/>
  <c r="N59" i="46"/>
  <c r="F60" i="46"/>
  <c r="J60" i="46"/>
  <c r="N60" i="46"/>
  <c r="F36" i="46"/>
  <c r="P35" i="55" s="1"/>
  <c r="J36" i="46"/>
  <c r="T35" i="55" s="1"/>
  <c r="N36" i="46"/>
  <c r="X35" i="55" s="1"/>
  <c r="F37" i="46"/>
  <c r="P47" i="55" s="1"/>
  <c r="J37" i="46"/>
  <c r="T47" i="55" s="1"/>
  <c r="N37" i="46"/>
  <c r="X47" i="55" s="1"/>
  <c r="F38" i="46"/>
  <c r="P60" i="55" s="1"/>
  <c r="J38" i="46"/>
  <c r="T60" i="55" s="1"/>
  <c r="N38" i="46"/>
  <c r="X60" i="55" s="1"/>
  <c r="F39" i="46"/>
  <c r="P74" i="55" s="1"/>
  <c r="J39" i="46"/>
  <c r="T74" i="55" s="1"/>
  <c r="N39" i="46"/>
  <c r="X74" i="55" s="1"/>
  <c r="F40" i="46"/>
  <c r="P87" i="55" s="1"/>
  <c r="J40" i="46"/>
  <c r="T87" i="55" s="1"/>
  <c r="N40" i="46"/>
  <c r="X87" i="55" s="1"/>
  <c r="F41" i="46"/>
  <c r="P100" i="55" s="1"/>
  <c r="J41" i="46"/>
  <c r="T100" i="55" s="1"/>
  <c r="N41" i="46"/>
  <c r="X100" i="55" s="1"/>
  <c r="F42" i="46"/>
  <c r="P113" i="55" s="1"/>
  <c r="J42" i="46"/>
  <c r="T113" i="55" s="1"/>
  <c r="N42" i="46"/>
  <c r="X113" i="55" s="1"/>
  <c r="F43" i="46"/>
  <c r="P125" i="55" s="1"/>
  <c r="J43" i="46"/>
  <c r="T125" i="55" s="1"/>
  <c r="N43" i="46"/>
  <c r="X125" i="55" s="1"/>
  <c r="F44" i="46"/>
  <c r="P138" i="55" s="1"/>
  <c r="J44" i="46"/>
  <c r="T138" i="55" s="1"/>
  <c r="N44" i="46"/>
  <c r="X138" i="55" s="1"/>
  <c r="F45" i="46"/>
  <c r="P151" i="55" s="1"/>
  <c r="J45" i="46"/>
  <c r="T151" i="55" s="1"/>
  <c r="N45" i="46"/>
  <c r="X151" i="55" s="1"/>
  <c r="S152" i="55"/>
  <c r="X101" i="55"/>
  <c r="V48" i="55"/>
  <c r="U181" i="35"/>
  <c r="O181" i="35"/>
  <c r="Y126" i="55"/>
  <c r="I181" i="35"/>
  <c r="Q181" i="35"/>
  <c r="AA139" i="55"/>
  <c r="Y75" i="55"/>
  <c r="AA36" i="55"/>
  <c r="AA88" i="55"/>
  <c r="Y48" i="55"/>
  <c r="Y101" i="55"/>
  <c r="Y152" i="55"/>
  <c r="N101" i="55"/>
  <c r="Y61" i="55"/>
  <c r="Y114" i="55"/>
  <c r="O48" i="55"/>
  <c r="Z48" i="55"/>
  <c r="AB101" i="55"/>
  <c r="W152" i="55"/>
  <c r="E181" i="45"/>
  <c r="P48" i="55"/>
  <c r="AA48" i="55"/>
  <c r="Z61" i="55"/>
  <c r="S101" i="55"/>
  <c r="N152" i="55"/>
  <c r="X152" i="55"/>
  <c r="T48" i="55"/>
  <c r="W101" i="55"/>
  <c r="AB152" i="55"/>
  <c r="AB88" i="55"/>
  <c r="N48" i="55"/>
  <c r="S48" i="55"/>
  <c r="X48" i="55"/>
  <c r="P101" i="55"/>
  <c r="V101" i="55"/>
  <c r="AA101" i="55"/>
  <c r="P152" i="55"/>
  <c r="V152" i="55"/>
  <c r="AA152" i="55"/>
  <c r="W48" i="55"/>
  <c r="AB48" i="55"/>
  <c r="O101" i="55"/>
  <c r="T101" i="55"/>
  <c r="Z101" i="55"/>
  <c r="O152" i="55"/>
  <c r="T152" i="55"/>
  <c r="Z152" i="55"/>
  <c r="U36" i="55"/>
  <c r="P139" i="55"/>
  <c r="X36" i="55"/>
  <c r="Y88" i="55"/>
  <c r="N114" i="55"/>
  <c r="N61" i="55"/>
  <c r="V114" i="55"/>
  <c r="V61" i="55"/>
  <c r="Q88" i="55"/>
  <c r="Z114" i="55"/>
  <c r="X139" i="55"/>
  <c r="O61" i="55"/>
  <c r="S61" i="55"/>
  <c r="W61" i="55"/>
  <c r="AA61" i="55"/>
  <c r="O114" i="55"/>
  <c r="S114" i="55"/>
  <c r="W114" i="55"/>
  <c r="AA114" i="55"/>
  <c r="U38" i="35"/>
  <c r="U145" i="35"/>
  <c r="P61" i="55"/>
  <c r="T61" i="55"/>
  <c r="X61" i="55"/>
  <c r="AB61" i="55"/>
  <c r="N75" i="55"/>
  <c r="P114" i="55"/>
  <c r="T114" i="55"/>
  <c r="X114" i="55"/>
  <c r="AB114" i="55"/>
  <c r="V126" i="55"/>
  <c r="T530" i="31"/>
  <c r="P36" i="55"/>
  <c r="Q61" i="55"/>
  <c r="U61" i="55"/>
  <c r="T88" i="55"/>
  <c r="Q114" i="55"/>
  <c r="U114" i="55"/>
  <c r="U139" i="55"/>
  <c r="G38" i="45"/>
  <c r="G156" i="45"/>
  <c r="Q36" i="55"/>
  <c r="Y36" i="55"/>
  <c r="V75" i="55"/>
  <c r="U88" i="55"/>
  <c r="N126" i="55"/>
  <c r="Q139" i="55"/>
  <c r="Y139" i="55"/>
  <c r="Z126" i="55"/>
  <c r="T36" i="55"/>
  <c r="AB36" i="55"/>
  <c r="Z75" i="55"/>
  <c r="P88" i="55"/>
  <c r="X88" i="55"/>
  <c r="T139" i="55"/>
  <c r="AB139" i="55"/>
  <c r="O75" i="55"/>
  <c r="S75" i="55"/>
  <c r="W75" i="55"/>
  <c r="AA75" i="55"/>
  <c r="O126" i="55"/>
  <c r="S126" i="55"/>
  <c r="W126" i="55"/>
  <c r="AA126" i="55"/>
  <c r="N36" i="55"/>
  <c r="V36" i="55"/>
  <c r="Z36" i="55"/>
  <c r="P75" i="55"/>
  <c r="T75" i="55"/>
  <c r="X75" i="55"/>
  <c r="AB75" i="55"/>
  <c r="N88" i="55"/>
  <c r="V88" i="55"/>
  <c r="Z88" i="55"/>
  <c r="P126" i="55"/>
  <c r="T126" i="55"/>
  <c r="X126" i="55"/>
  <c r="AB126" i="55"/>
  <c r="N139" i="55"/>
  <c r="V139" i="55"/>
  <c r="Z139" i="55"/>
  <c r="O36" i="55"/>
  <c r="S36" i="55"/>
  <c r="W36" i="55"/>
  <c r="Q48" i="55"/>
  <c r="U48" i="55"/>
  <c r="Q75" i="55"/>
  <c r="U75" i="55"/>
  <c r="O88" i="55"/>
  <c r="S88" i="55"/>
  <c r="W88" i="55"/>
  <c r="Q101" i="55"/>
  <c r="U101" i="55"/>
  <c r="Q126" i="55"/>
  <c r="U126" i="55"/>
  <c r="O139" i="55"/>
  <c r="S139" i="55"/>
  <c r="W139" i="55"/>
  <c r="Q152" i="55"/>
  <c r="U152" i="55"/>
  <c r="U156" i="35"/>
  <c r="F38" i="45"/>
  <c r="O156" i="35"/>
  <c r="N156" i="35"/>
  <c r="K156" i="45"/>
  <c r="O156" i="45"/>
  <c r="L156" i="45"/>
  <c r="P156" i="45"/>
  <c r="E156" i="45"/>
  <c r="I156" i="45"/>
  <c r="M156" i="45"/>
  <c r="Q156" i="45"/>
  <c r="F156" i="45"/>
  <c r="J156" i="45"/>
  <c r="N156" i="45"/>
  <c r="R156" i="45"/>
  <c r="N46" i="29"/>
  <c r="N57" i="29"/>
  <c r="N70" i="29"/>
  <c r="O530" i="31"/>
  <c r="N17" i="56"/>
  <c r="N8" i="56"/>
  <c r="R17" i="56"/>
  <c r="Z17" i="56"/>
  <c r="Z8" i="56"/>
  <c r="V8" i="56"/>
  <c r="S17" i="56"/>
  <c r="AA8" i="56"/>
  <c r="R8" i="56"/>
  <c r="AA17" i="56"/>
  <c r="W8" i="56"/>
  <c r="S8" i="56"/>
  <c r="X8" i="56"/>
  <c r="O17" i="56"/>
  <c r="W17" i="56"/>
  <c r="M8" i="56"/>
  <c r="M17" i="56"/>
  <c r="Q8" i="56"/>
  <c r="Q17" i="56"/>
  <c r="U8" i="56"/>
  <c r="U17" i="56"/>
  <c r="Y8" i="56"/>
  <c r="Y17" i="56"/>
  <c r="O8" i="56"/>
  <c r="T8" i="56"/>
  <c r="P17" i="56"/>
  <c r="X17" i="56"/>
  <c r="D85" i="46"/>
  <c r="O196" i="31"/>
  <c r="O195" i="31"/>
  <c r="U175" i="35"/>
  <c r="U174" i="35"/>
  <c r="U173" i="35"/>
  <c r="U172" i="35"/>
  <c r="U171" i="35"/>
  <c r="U170" i="35"/>
  <c r="U169" i="35"/>
  <c r="U168" i="35"/>
  <c r="U167" i="35"/>
  <c r="U166" i="35"/>
  <c r="U165" i="35"/>
  <c r="U160" i="35"/>
  <c r="U139" i="35"/>
  <c r="U138" i="35"/>
  <c r="U133" i="35"/>
  <c r="U132" i="35"/>
  <c r="D132" i="35" s="1"/>
  <c r="S132" i="35" s="1"/>
  <c r="U131" i="35"/>
  <c r="D131" i="35" s="1"/>
  <c r="S131" i="35" s="1"/>
  <c r="U130" i="35"/>
  <c r="D130" i="35" s="1"/>
  <c r="S130" i="35" s="1"/>
  <c r="U129" i="35"/>
  <c r="U128" i="35"/>
  <c r="D128" i="35" s="1"/>
  <c r="S128" i="35" s="1"/>
  <c r="U127" i="35"/>
  <c r="U126" i="35"/>
  <c r="U125" i="35"/>
  <c r="U124" i="35"/>
  <c r="U123" i="35"/>
  <c r="U122" i="35"/>
  <c r="U117" i="35"/>
  <c r="U116" i="35"/>
  <c r="U115" i="35"/>
  <c r="U114" i="35"/>
  <c r="U113" i="35"/>
  <c r="U112" i="35"/>
  <c r="U111" i="35"/>
  <c r="U110" i="35"/>
  <c r="U109" i="35"/>
  <c r="U108" i="35"/>
  <c r="U106" i="35"/>
  <c r="U100" i="35"/>
  <c r="U99" i="35"/>
  <c r="U98" i="35"/>
  <c r="U97" i="35"/>
  <c r="U96" i="35"/>
  <c r="U95" i="35"/>
  <c r="U94" i="35"/>
  <c r="U93" i="35"/>
  <c r="U92" i="35"/>
  <c r="U90" i="35"/>
  <c r="U140" i="45"/>
  <c r="U86" i="45"/>
  <c r="U70" i="45"/>
  <c r="U85" i="35"/>
  <c r="U84" i="35"/>
  <c r="U83" i="35"/>
  <c r="D83" i="35" s="1"/>
  <c r="S83" i="35" s="1"/>
  <c r="U82" i="35"/>
  <c r="D82" i="35" s="1"/>
  <c r="S82" i="35" s="1"/>
  <c r="U81" i="35"/>
  <c r="U80" i="35"/>
  <c r="D80" i="35" s="1"/>
  <c r="S80" i="35" s="1"/>
  <c r="U76" i="35"/>
  <c r="U54" i="45"/>
  <c r="U69" i="35"/>
  <c r="U68" i="35"/>
  <c r="U67" i="35"/>
  <c r="U66" i="35"/>
  <c r="U65" i="35"/>
  <c r="U59" i="35"/>
  <c r="U58" i="35"/>
  <c r="D12" i="53"/>
  <c r="D10" i="53"/>
  <c r="D9" i="53"/>
  <c r="D7" i="53"/>
  <c r="U20" i="35"/>
  <c r="U19" i="35"/>
  <c r="U17" i="35"/>
  <c r="U16" i="35"/>
  <c r="U161" i="45"/>
  <c r="U176" i="45"/>
  <c r="V57" i="45"/>
  <c r="U57" i="45"/>
  <c r="U134" i="45"/>
  <c r="U118" i="45"/>
  <c r="U73" i="45"/>
  <c r="U102" i="45"/>
  <c r="U18" i="35"/>
  <c r="U15" i="35"/>
  <c r="U14" i="35"/>
  <c r="U13" i="35"/>
  <c r="U12" i="35"/>
  <c r="U11" i="35"/>
  <c r="U10" i="35"/>
  <c r="E13" i="36"/>
  <c r="E12" i="36"/>
  <c r="E11" i="36"/>
  <c r="E10" i="36"/>
  <c r="E9" i="36"/>
  <c r="E8" i="36"/>
  <c r="V97" i="38"/>
  <c r="U97" i="38"/>
  <c r="T97" i="38"/>
  <c r="S97" i="38"/>
  <c r="R97" i="38"/>
  <c r="Q97" i="38"/>
  <c r="P97" i="38"/>
  <c r="O97" i="38"/>
  <c r="N97" i="38"/>
  <c r="M97" i="38"/>
  <c r="L97" i="38"/>
  <c r="K97" i="38"/>
  <c r="J97" i="38"/>
  <c r="I97" i="38"/>
  <c r="H97" i="38"/>
  <c r="V106" i="38"/>
  <c r="U106" i="38"/>
  <c r="T106" i="38"/>
  <c r="S106" i="38"/>
  <c r="R106" i="38"/>
  <c r="Q106" i="38"/>
  <c r="P106" i="38"/>
  <c r="O106" i="38"/>
  <c r="N106" i="38"/>
  <c r="M106" i="38"/>
  <c r="L106" i="38"/>
  <c r="K106" i="38"/>
  <c r="J106" i="38"/>
  <c r="I106" i="38"/>
  <c r="H106" i="38"/>
  <c r="V10" i="38"/>
  <c r="V155" i="38" s="1"/>
  <c r="U10" i="38"/>
  <c r="U155" i="38" s="1"/>
  <c r="T10" i="38"/>
  <c r="T155" i="38" s="1"/>
  <c r="S10" i="38"/>
  <c r="S155" i="38" s="1"/>
  <c r="R10" i="38"/>
  <c r="R155" i="38" s="1"/>
  <c r="Q10" i="38"/>
  <c r="Q155" i="38" s="1"/>
  <c r="P10" i="38"/>
  <c r="P155" i="38" s="1"/>
  <c r="O10" i="38"/>
  <c r="O155" i="38" s="1"/>
  <c r="N10" i="38"/>
  <c r="N155" i="38" s="1"/>
  <c r="M10" i="38"/>
  <c r="M155" i="38" s="1"/>
  <c r="L10" i="38"/>
  <c r="L155" i="38" s="1"/>
  <c r="K10" i="38"/>
  <c r="K155" i="38" s="1"/>
  <c r="J10" i="38"/>
  <c r="J155" i="38" s="1"/>
  <c r="I10" i="38"/>
  <c r="I155" i="38" s="1"/>
  <c r="H10" i="38"/>
  <c r="H155" i="38" s="1"/>
  <c r="V310" i="38"/>
  <c r="U310" i="38"/>
  <c r="T310" i="38"/>
  <c r="S310" i="38"/>
  <c r="R310" i="38"/>
  <c r="Q310" i="38"/>
  <c r="P310" i="38"/>
  <c r="O310" i="38"/>
  <c r="N310" i="38"/>
  <c r="M310" i="38"/>
  <c r="L310" i="38"/>
  <c r="K310" i="38"/>
  <c r="J310" i="38"/>
  <c r="I310" i="38"/>
  <c r="H310" i="38"/>
  <c r="V318" i="38"/>
  <c r="U318" i="38"/>
  <c r="T318" i="38"/>
  <c r="S318" i="38"/>
  <c r="R318" i="38"/>
  <c r="Q318" i="38"/>
  <c r="P318" i="38"/>
  <c r="O318" i="38"/>
  <c r="N318" i="38"/>
  <c r="M318" i="38"/>
  <c r="L318" i="38"/>
  <c r="K318" i="38"/>
  <c r="J318" i="38"/>
  <c r="I318" i="38"/>
  <c r="H318" i="38"/>
  <c r="V298" i="38"/>
  <c r="U298" i="38"/>
  <c r="T298" i="38"/>
  <c r="S298" i="38"/>
  <c r="R298" i="38"/>
  <c r="Q298" i="38"/>
  <c r="P298" i="38"/>
  <c r="O298" i="38"/>
  <c r="N298" i="38"/>
  <c r="M298" i="38"/>
  <c r="L298" i="38"/>
  <c r="K298" i="38"/>
  <c r="J298" i="38"/>
  <c r="I298" i="38"/>
  <c r="H298" i="38"/>
  <c r="E45" i="36"/>
  <c r="E44" i="36"/>
  <c r="E43" i="36"/>
  <c r="D20" i="53"/>
  <c r="D19" i="53"/>
  <c r="D18" i="53"/>
  <c r="D96" i="35" l="1"/>
  <c r="S96" i="35" s="1"/>
  <c r="D16" i="35"/>
  <c r="S16" i="35" s="1"/>
  <c r="D98" i="35"/>
  <c r="S98" i="35" s="1"/>
  <c r="D18" i="35"/>
  <c r="S18" i="35" s="1"/>
  <c r="D99" i="35"/>
  <c r="S99" i="35" s="1"/>
  <c r="D19" i="35"/>
  <c r="S19" i="35" s="1"/>
  <c r="U86" i="35"/>
  <c r="R69" i="35"/>
  <c r="S69" i="35"/>
  <c r="K85" i="35"/>
  <c r="L85" i="35"/>
  <c r="E85" i="35"/>
  <c r="F85" i="35"/>
  <c r="R85" i="35"/>
  <c r="O85" i="35"/>
  <c r="P85" i="35"/>
  <c r="I85" i="35"/>
  <c r="J85" i="35"/>
  <c r="G85" i="35"/>
  <c r="H85" i="35"/>
  <c r="Q85" i="35"/>
  <c r="D85" i="35"/>
  <c r="M85" i="35"/>
  <c r="N85" i="35"/>
  <c r="S85" i="35"/>
  <c r="P90" i="35"/>
  <c r="M90" i="35"/>
  <c r="F90" i="35"/>
  <c r="G90" i="35"/>
  <c r="D90" i="35"/>
  <c r="L90" i="35"/>
  <c r="Q90" i="35"/>
  <c r="J90" i="35"/>
  <c r="K90" i="35"/>
  <c r="R90" i="35"/>
  <c r="H90" i="35"/>
  <c r="E90" i="35"/>
  <c r="N90" i="35"/>
  <c r="O90" i="35"/>
  <c r="I90" i="35"/>
  <c r="R58" i="35"/>
  <c r="P58" i="35"/>
  <c r="S58" i="35"/>
  <c r="S70" i="35" s="1"/>
  <c r="BF502" i="31"/>
  <c r="L156" i="35"/>
  <c r="BJ502" i="31"/>
  <c r="Q156" i="35"/>
  <c r="P156" i="35"/>
  <c r="O112" i="35"/>
  <c r="K112" i="35"/>
  <c r="G112" i="35"/>
  <c r="R112" i="35"/>
  <c r="N112" i="35"/>
  <c r="J112" i="35"/>
  <c r="F112" i="35"/>
  <c r="Q112" i="35"/>
  <c r="I112" i="35"/>
  <c r="H112" i="35"/>
  <c r="E112" i="35"/>
  <c r="P112" i="35"/>
  <c r="M112" i="35"/>
  <c r="L112" i="35"/>
  <c r="D112" i="35"/>
  <c r="S168" i="35"/>
  <c r="O168" i="35"/>
  <c r="K168" i="35"/>
  <c r="G168" i="35"/>
  <c r="R168" i="35"/>
  <c r="N168" i="35"/>
  <c r="J168" i="35"/>
  <c r="F168" i="35"/>
  <c r="Q168" i="35"/>
  <c r="I168" i="35"/>
  <c r="L168" i="35"/>
  <c r="D168" i="35"/>
  <c r="P168" i="35"/>
  <c r="H168" i="35"/>
  <c r="M168" i="35"/>
  <c r="E168" i="35"/>
  <c r="W511" i="31"/>
  <c r="W509" i="31"/>
  <c r="W510" i="31"/>
  <c r="W507" i="31"/>
  <c r="W512" i="31"/>
  <c r="W508" i="31"/>
  <c r="X508" i="31"/>
  <c r="X509" i="31"/>
  <c r="X510" i="31"/>
  <c r="X511" i="31"/>
  <c r="X512" i="31"/>
  <c r="X507" i="31"/>
  <c r="O10" i="35"/>
  <c r="K10" i="35"/>
  <c r="G10" i="35"/>
  <c r="R10" i="35"/>
  <c r="N10" i="35"/>
  <c r="J10" i="35"/>
  <c r="F10" i="35"/>
  <c r="Q10" i="35"/>
  <c r="I10" i="35"/>
  <c r="P10" i="35"/>
  <c r="H10" i="35"/>
  <c r="L10" i="35"/>
  <c r="D10" i="35"/>
  <c r="M10" i="35"/>
  <c r="E10" i="35"/>
  <c r="O113" i="35"/>
  <c r="K113" i="35"/>
  <c r="G113" i="35"/>
  <c r="R113" i="35"/>
  <c r="N113" i="35"/>
  <c r="J113" i="35"/>
  <c r="F113" i="35"/>
  <c r="Q113" i="35"/>
  <c r="I113" i="35"/>
  <c r="P113" i="35"/>
  <c r="H113" i="35"/>
  <c r="E113" i="35"/>
  <c r="D113" i="35"/>
  <c r="M113" i="35"/>
  <c r="L113" i="35"/>
  <c r="S165" i="35"/>
  <c r="O165" i="35"/>
  <c r="K165" i="35"/>
  <c r="G165" i="35"/>
  <c r="R165" i="35"/>
  <c r="N165" i="35"/>
  <c r="J165" i="35"/>
  <c r="F165" i="35"/>
  <c r="Q165" i="35"/>
  <c r="I165" i="35"/>
  <c r="L165" i="35"/>
  <c r="P165" i="35"/>
  <c r="H165" i="35"/>
  <c r="M165" i="35"/>
  <c r="E165" i="35"/>
  <c r="D165" i="35"/>
  <c r="S173" i="35"/>
  <c r="O173" i="35"/>
  <c r="K173" i="35"/>
  <c r="G173" i="35"/>
  <c r="R173" i="35"/>
  <c r="N173" i="35"/>
  <c r="J173" i="35"/>
  <c r="F173" i="35"/>
  <c r="Q173" i="35"/>
  <c r="I173" i="35"/>
  <c r="L173" i="35"/>
  <c r="D173" i="35"/>
  <c r="P173" i="35"/>
  <c r="H173" i="35"/>
  <c r="M173" i="35"/>
  <c r="E173" i="35"/>
  <c r="AB509" i="31"/>
  <c r="AB510" i="31"/>
  <c r="AB512" i="31"/>
  <c r="AB507" i="31"/>
  <c r="AB508" i="31"/>
  <c r="AB511" i="31"/>
  <c r="N40" i="28"/>
  <c r="O110" i="35"/>
  <c r="K110" i="35"/>
  <c r="G110" i="35"/>
  <c r="R110" i="35"/>
  <c r="Q110" i="35"/>
  <c r="L110" i="35"/>
  <c r="F110" i="35"/>
  <c r="P110" i="35"/>
  <c r="E110" i="35"/>
  <c r="N110" i="35"/>
  <c r="M110" i="35"/>
  <c r="J110" i="35"/>
  <c r="I110" i="35"/>
  <c r="D110" i="35"/>
  <c r="H110" i="35"/>
  <c r="O114" i="35"/>
  <c r="K114" i="35"/>
  <c r="G114" i="35"/>
  <c r="R114" i="35"/>
  <c r="N114" i="35"/>
  <c r="J114" i="35"/>
  <c r="F114" i="35"/>
  <c r="Q114" i="35"/>
  <c r="I114" i="35"/>
  <c r="P114" i="35"/>
  <c r="H114" i="35"/>
  <c r="M114" i="35"/>
  <c r="E114" i="35"/>
  <c r="D114" i="35"/>
  <c r="L114" i="35"/>
  <c r="S138" i="35"/>
  <c r="O138" i="35"/>
  <c r="K138" i="35"/>
  <c r="G138" i="35"/>
  <c r="R138" i="35"/>
  <c r="N138" i="35"/>
  <c r="J138" i="35"/>
  <c r="F138" i="35"/>
  <c r="Q138" i="35"/>
  <c r="I138" i="35"/>
  <c r="E138" i="35"/>
  <c r="L138" i="35"/>
  <c r="P138" i="35"/>
  <c r="H138" i="35"/>
  <c r="M138" i="35"/>
  <c r="D138" i="35"/>
  <c r="S166" i="35"/>
  <c r="O166" i="35"/>
  <c r="K166" i="35"/>
  <c r="G166" i="35"/>
  <c r="R166" i="35"/>
  <c r="N166" i="35"/>
  <c r="J166" i="35"/>
  <c r="F166" i="35"/>
  <c r="Q166" i="35"/>
  <c r="I166" i="35"/>
  <c r="D166" i="35"/>
  <c r="P166" i="35"/>
  <c r="H166" i="35"/>
  <c r="M166" i="35"/>
  <c r="E166" i="35"/>
  <c r="L166" i="35"/>
  <c r="S170" i="35"/>
  <c r="O170" i="35"/>
  <c r="K170" i="35"/>
  <c r="G170" i="35"/>
  <c r="R170" i="35"/>
  <c r="N170" i="35"/>
  <c r="J170" i="35"/>
  <c r="F170" i="35"/>
  <c r="Q170" i="35"/>
  <c r="I170" i="35"/>
  <c r="L170" i="35"/>
  <c r="D170" i="35"/>
  <c r="P170" i="35"/>
  <c r="H170" i="35"/>
  <c r="M170" i="35"/>
  <c r="E170" i="35"/>
  <c r="S174" i="35"/>
  <c r="O174" i="35"/>
  <c r="K174" i="35"/>
  <c r="G174" i="35"/>
  <c r="R174" i="35"/>
  <c r="N174" i="35"/>
  <c r="J174" i="35"/>
  <c r="F174" i="35"/>
  <c r="Q174" i="35"/>
  <c r="I174" i="35"/>
  <c r="L174" i="35"/>
  <c r="D174" i="35"/>
  <c r="P174" i="35"/>
  <c r="H174" i="35"/>
  <c r="M174" i="35"/>
  <c r="E174" i="35"/>
  <c r="BK502" i="31"/>
  <c r="AX502" i="31"/>
  <c r="BI502" i="31"/>
  <c r="Z511" i="31"/>
  <c r="Z508" i="31"/>
  <c r="Z512" i="31"/>
  <c r="Z507" i="31"/>
  <c r="Z509" i="31"/>
  <c r="Z510" i="31"/>
  <c r="O108" i="35"/>
  <c r="K108" i="35"/>
  <c r="G108" i="35"/>
  <c r="Q108" i="35"/>
  <c r="L108" i="35"/>
  <c r="F108" i="35"/>
  <c r="J108" i="35"/>
  <c r="E108" i="35"/>
  <c r="I108" i="35"/>
  <c r="R108" i="35"/>
  <c r="H108" i="35"/>
  <c r="P108" i="35"/>
  <c r="N108" i="35"/>
  <c r="D108" i="35"/>
  <c r="M108" i="35"/>
  <c r="O116" i="35"/>
  <c r="K116" i="35"/>
  <c r="G116" i="35"/>
  <c r="R116" i="35"/>
  <c r="N116" i="35"/>
  <c r="J116" i="35"/>
  <c r="F116" i="35"/>
  <c r="Q116" i="35"/>
  <c r="I116" i="35"/>
  <c r="P116" i="35"/>
  <c r="H116" i="35"/>
  <c r="E116" i="35"/>
  <c r="L116" i="35"/>
  <c r="D116" i="35"/>
  <c r="M116" i="35"/>
  <c r="S160" i="35"/>
  <c r="O160" i="35"/>
  <c r="K160" i="35"/>
  <c r="G160" i="35"/>
  <c r="R160" i="35"/>
  <c r="N160" i="35"/>
  <c r="J160" i="35"/>
  <c r="F160" i="35"/>
  <c r="Q160" i="35"/>
  <c r="I160" i="35"/>
  <c r="L160" i="35"/>
  <c r="P160" i="35"/>
  <c r="H160" i="35"/>
  <c r="M160" i="35"/>
  <c r="E160" i="35"/>
  <c r="D160" i="35"/>
  <c r="S172" i="35"/>
  <c r="O172" i="35"/>
  <c r="K172" i="35"/>
  <c r="G172" i="35"/>
  <c r="R172" i="35"/>
  <c r="N172" i="35"/>
  <c r="J172" i="35"/>
  <c r="F172" i="35"/>
  <c r="Q172" i="35"/>
  <c r="I172" i="35"/>
  <c r="L172" i="35"/>
  <c r="D172" i="35"/>
  <c r="P172" i="35"/>
  <c r="H172" i="35"/>
  <c r="M172" i="35"/>
  <c r="E172" i="35"/>
  <c r="S145" i="35"/>
  <c r="O145" i="35"/>
  <c r="K145" i="35"/>
  <c r="K146" i="35" s="1"/>
  <c r="G145" i="35"/>
  <c r="R145" i="35"/>
  <c r="N145" i="35"/>
  <c r="J145" i="35"/>
  <c r="F145" i="35"/>
  <c r="Q145" i="35"/>
  <c r="I145" i="35"/>
  <c r="L145" i="35"/>
  <c r="P145" i="35"/>
  <c r="H145" i="35"/>
  <c r="M145" i="35"/>
  <c r="E145" i="35"/>
  <c r="D145" i="35"/>
  <c r="N517" i="31" s="1"/>
  <c r="Y511" i="31"/>
  <c r="Y507" i="31"/>
  <c r="Y510" i="31"/>
  <c r="Y512" i="31"/>
  <c r="Y509" i="31"/>
  <c r="Y508" i="31"/>
  <c r="O109" i="35"/>
  <c r="K109" i="35"/>
  <c r="G109" i="35"/>
  <c r="Q109" i="35"/>
  <c r="L109" i="35"/>
  <c r="F109" i="35"/>
  <c r="P109" i="35"/>
  <c r="J109" i="35"/>
  <c r="E109" i="35"/>
  <c r="N109" i="35"/>
  <c r="D109" i="35"/>
  <c r="R109" i="35"/>
  <c r="H109" i="35"/>
  <c r="I109" i="35"/>
  <c r="M109" i="35"/>
  <c r="O117" i="35"/>
  <c r="K117" i="35"/>
  <c r="G117" i="35"/>
  <c r="R117" i="35"/>
  <c r="N117" i="35"/>
  <c r="J117" i="35"/>
  <c r="F117" i="35"/>
  <c r="Q117" i="35"/>
  <c r="I117" i="35"/>
  <c r="P117" i="35"/>
  <c r="M117" i="35"/>
  <c r="E117" i="35"/>
  <c r="L117" i="35"/>
  <c r="H117" i="35"/>
  <c r="D117" i="35"/>
  <c r="O133" i="35"/>
  <c r="K133" i="35"/>
  <c r="G133" i="35"/>
  <c r="R133" i="35"/>
  <c r="N133" i="35"/>
  <c r="J133" i="35"/>
  <c r="F133" i="35"/>
  <c r="Q133" i="35"/>
  <c r="I133" i="35"/>
  <c r="L133" i="35"/>
  <c r="P133" i="35"/>
  <c r="H133" i="35"/>
  <c r="M133" i="35"/>
  <c r="E133" i="35"/>
  <c r="D133" i="35"/>
  <c r="S169" i="35"/>
  <c r="O169" i="35"/>
  <c r="K169" i="35"/>
  <c r="G169" i="35"/>
  <c r="R169" i="35"/>
  <c r="N169" i="35"/>
  <c r="J169" i="35"/>
  <c r="F169" i="35"/>
  <c r="Q169" i="35"/>
  <c r="I169" i="35"/>
  <c r="L169" i="35"/>
  <c r="P169" i="35"/>
  <c r="H169" i="35"/>
  <c r="M169" i="35"/>
  <c r="E169" i="35"/>
  <c r="D169" i="35"/>
  <c r="M156" i="35"/>
  <c r="BH502" i="31"/>
  <c r="AA512" i="31"/>
  <c r="AA509" i="31"/>
  <c r="AA507" i="31"/>
  <c r="AA508" i="31"/>
  <c r="AA510" i="31"/>
  <c r="AA511" i="31"/>
  <c r="N54" i="28"/>
  <c r="O106" i="35"/>
  <c r="K106" i="35"/>
  <c r="G106" i="35"/>
  <c r="Q106" i="35"/>
  <c r="L106" i="35"/>
  <c r="F106" i="35"/>
  <c r="P106" i="35"/>
  <c r="J106" i="35"/>
  <c r="I106" i="35"/>
  <c r="R106" i="35"/>
  <c r="H106" i="35"/>
  <c r="E106" i="35"/>
  <c r="N106" i="35"/>
  <c r="D106" i="35"/>
  <c r="M106" i="35"/>
  <c r="O111" i="35"/>
  <c r="K111" i="35"/>
  <c r="G111" i="35"/>
  <c r="R111" i="35"/>
  <c r="F111" i="35"/>
  <c r="N111" i="35"/>
  <c r="J111" i="35"/>
  <c r="Q111" i="35"/>
  <c r="I111" i="35"/>
  <c r="P111" i="35"/>
  <c r="H111" i="35"/>
  <c r="L111" i="35"/>
  <c r="M111" i="35"/>
  <c r="E111" i="35"/>
  <c r="D111" i="35"/>
  <c r="O115" i="35"/>
  <c r="K115" i="35"/>
  <c r="G115" i="35"/>
  <c r="R115" i="35"/>
  <c r="N115" i="35"/>
  <c r="J115" i="35"/>
  <c r="F115" i="35"/>
  <c r="Q115" i="35"/>
  <c r="I115" i="35"/>
  <c r="P115" i="35"/>
  <c r="M115" i="35"/>
  <c r="D115" i="35"/>
  <c r="H115" i="35"/>
  <c r="E115" i="35"/>
  <c r="L115" i="35"/>
  <c r="S139" i="35"/>
  <c r="O139" i="35"/>
  <c r="K139" i="35"/>
  <c r="G139" i="35"/>
  <c r="R139" i="35"/>
  <c r="N139" i="35"/>
  <c r="J139" i="35"/>
  <c r="F139" i="35"/>
  <c r="Q139" i="35"/>
  <c r="I139" i="35"/>
  <c r="L139" i="35"/>
  <c r="P139" i="35"/>
  <c r="H139" i="35"/>
  <c r="M139" i="35"/>
  <c r="E139" i="35"/>
  <c r="D139" i="35"/>
  <c r="S167" i="35"/>
  <c r="O167" i="35"/>
  <c r="K167" i="35"/>
  <c r="G167" i="35"/>
  <c r="R167" i="35"/>
  <c r="N167" i="35"/>
  <c r="J167" i="35"/>
  <c r="F167" i="35"/>
  <c r="Q167" i="35"/>
  <c r="I167" i="35"/>
  <c r="L167" i="35"/>
  <c r="D167" i="35"/>
  <c r="P167" i="35"/>
  <c r="H167" i="35"/>
  <c r="M167" i="35"/>
  <c r="E167" i="35"/>
  <c r="S171" i="35"/>
  <c r="O171" i="35"/>
  <c r="K171" i="35"/>
  <c r="G171" i="35"/>
  <c r="R171" i="35"/>
  <c r="N171" i="35"/>
  <c r="J171" i="35"/>
  <c r="F171" i="35"/>
  <c r="Q171" i="35"/>
  <c r="I171" i="35"/>
  <c r="L171" i="35"/>
  <c r="D171" i="35"/>
  <c r="P171" i="35"/>
  <c r="H171" i="35"/>
  <c r="M171" i="35"/>
  <c r="E171" i="35"/>
  <c r="S175" i="35"/>
  <c r="O175" i="35"/>
  <c r="K175" i="35"/>
  <c r="G175" i="35"/>
  <c r="R175" i="35"/>
  <c r="N175" i="35"/>
  <c r="J175" i="35"/>
  <c r="F175" i="35"/>
  <c r="Q175" i="35"/>
  <c r="I175" i="35"/>
  <c r="M175" i="35"/>
  <c r="L175" i="35"/>
  <c r="P175" i="35"/>
  <c r="H175" i="35"/>
  <c r="E175" i="35"/>
  <c r="D175" i="35"/>
  <c r="R156" i="35"/>
  <c r="BG502" i="31"/>
  <c r="BL502" i="31"/>
  <c r="BF526" i="31"/>
  <c r="V511" i="31"/>
  <c r="V508" i="31"/>
  <c r="V507" i="31"/>
  <c r="V509" i="31"/>
  <c r="V510" i="31"/>
  <c r="V512" i="31"/>
  <c r="BE525" i="31"/>
  <c r="BE526" i="31"/>
  <c r="AY526" i="31"/>
  <c r="AY525" i="31"/>
  <c r="BJ525" i="31"/>
  <c r="BJ526" i="31"/>
  <c r="BC526" i="31"/>
  <c r="BC525" i="31"/>
  <c r="BL526" i="31"/>
  <c r="BL525" i="31"/>
  <c r="BA525" i="31"/>
  <c r="BA526" i="31"/>
  <c r="AZ525" i="31"/>
  <c r="AZ526" i="31"/>
  <c r="BK526" i="31"/>
  <c r="BK525" i="31"/>
  <c r="BH526" i="31"/>
  <c r="BH525" i="31"/>
  <c r="BG526" i="31"/>
  <c r="BG525" i="31"/>
  <c r="BI525" i="31"/>
  <c r="BI526" i="31"/>
  <c r="BD525" i="31"/>
  <c r="BD526" i="31"/>
  <c r="U56" i="29"/>
  <c r="U516" i="31"/>
  <c r="AA56" i="29"/>
  <c r="AA516" i="31"/>
  <c r="R56" i="29"/>
  <c r="R516" i="31"/>
  <c r="N56" i="29"/>
  <c r="N516" i="31"/>
  <c r="V56" i="29"/>
  <c r="V516" i="31"/>
  <c r="P56" i="29"/>
  <c r="P516" i="31"/>
  <c r="W56" i="29"/>
  <c r="W516" i="31"/>
  <c r="S56" i="29"/>
  <c r="S516" i="31"/>
  <c r="Y56" i="29"/>
  <c r="Y516" i="31"/>
  <c r="Q56" i="29"/>
  <c r="Q516" i="31"/>
  <c r="Z56" i="29"/>
  <c r="Z516" i="31"/>
  <c r="AB56" i="29"/>
  <c r="AB516" i="31"/>
  <c r="T56" i="29"/>
  <c r="T516" i="31"/>
  <c r="O56" i="29"/>
  <c r="O516" i="31"/>
  <c r="X56" i="29"/>
  <c r="X516" i="31"/>
  <c r="O68" i="29"/>
  <c r="AG70" i="29" s="1"/>
  <c r="O55" i="29"/>
  <c r="Z515" i="31"/>
  <c r="Z528" i="31"/>
  <c r="AR529" i="31" s="1"/>
  <c r="P528" i="31"/>
  <c r="AH529" i="31" s="1"/>
  <c r="P515" i="31"/>
  <c r="AB515" i="31"/>
  <c r="AB528" i="31"/>
  <c r="AT529" i="31" s="1"/>
  <c r="Y55" i="29"/>
  <c r="Y68" i="29"/>
  <c r="AQ70" i="29" s="1"/>
  <c r="Q55" i="29"/>
  <c r="Q68" i="29"/>
  <c r="AI70" i="29" s="1"/>
  <c r="T68" i="29"/>
  <c r="AL70" i="29" s="1"/>
  <c r="T55" i="29"/>
  <c r="AA528" i="31"/>
  <c r="AS529" i="31" s="1"/>
  <c r="AA515" i="31"/>
  <c r="Z55" i="29"/>
  <c r="Z68" i="29"/>
  <c r="AR70" i="29" s="1"/>
  <c r="W528" i="31"/>
  <c r="AO529" i="31" s="1"/>
  <c r="W515" i="31"/>
  <c r="V515" i="31"/>
  <c r="V528" i="31"/>
  <c r="AN529" i="31" s="1"/>
  <c r="U528" i="31"/>
  <c r="AM529" i="31" s="1"/>
  <c r="U515" i="31"/>
  <c r="AB68" i="29"/>
  <c r="AT70" i="29" s="1"/>
  <c r="AB55" i="29"/>
  <c r="T515" i="31"/>
  <c r="T528" i="31"/>
  <c r="AL529" i="31" s="1"/>
  <c r="Q528" i="31"/>
  <c r="AI529" i="31" s="1"/>
  <c r="Q515" i="31"/>
  <c r="Y528" i="31"/>
  <c r="AQ529" i="31" s="1"/>
  <c r="Y515" i="31"/>
  <c r="N55" i="29"/>
  <c r="N68" i="29"/>
  <c r="AF70" i="29" s="1"/>
  <c r="W68" i="29"/>
  <c r="AO70" i="29" s="1"/>
  <c r="W55" i="29"/>
  <c r="V55" i="29"/>
  <c r="V68" i="29"/>
  <c r="AN70" i="29" s="1"/>
  <c r="S528" i="31"/>
  <c r="AK529" i="31" s="1"/>
  <c r="S515" i="31"/>
  <c r="R515" i="31"/>
  <c r="R528" i="31"/>
  <c r="X68" i="29"/>
  <c r="AP70" i="29" s="1"/>
  <c r="X55" i="29"/>
  <c r="U55" i="29"/>
  <c r="U68" i="29"/>
  <c r="AM70" i="29" s="1"/>
  <c r="AA68" i="29"/>
  <c r="AS70" i="29" s="1"/>
  <c r="AA55" i="29"/>
  <c r="S68" i="29"/>
  <c r="AK70" i="29" s="1"/>
  <c r="S55" i="29"/>
  <c r="R55" i="29"/>
  <c r="R68" i="29"/>
  <c r="O528" i="31"/>
  <c r="AG529" i="31" s="1"/>
  <c r="O515" i="31"/>
  <c r="X528" i="31"/>
  <c r="AP529" i="31" s="1"/>
  <c r="X515" i="31"/>
  <c r="P68" i="29"/>
  <c r="AH70" i="29" s="1"/>
  <c r="P55" i="29"/>
  <c r="N515" i="31"/>
  <c r="N528" i="31"/>
  <c r="K156" i="35"/>
  <c r="U506" i="31"/>
  <c r="BE502" i="31" s="1"/>
  <c r="J156" i="35"/>
  <c r="T506" i="31"/>
  <c r="BD502" i="31" s="1"/>
  <c r="I156" i="35"/>
  <c r="S506" i="31"/>
  <c r="BC502" i="31" s="1"/>
  <c r="G156" i="35"/>
  <c r="Q506" i="31"/>
  <c r="BA502" i="31" s="1"/>
  <c r="F156" i="35"/>
  <c r="P506" i="31"/>
  <c r="AZ502" i="31" s="1"/>
  <c r="E156" i="35"/>
  <c r="O506" i="31"/>
  <c r="AY502" i="31" s="1"/>
  <c r="N510" i="31"/>
  <c r="N511" i="31"/>
  <c r="N507" i="31"/>
  <c r="N512" i="31"/>
  <c r="N508" i="31"/>
  <c r="N509" i="31"/>
  <c r="N50" i="29"/>
  <c r="N52" i="29"/>
  <c r="N47" i="29"/>
  <c r="N51" i="29"/>
  <c r="N48" i="29"/>
  <c r="N49" i="29"/>
  <c r="W535" i="31"/>
  <c r="W531" i="31"/>
  <c r="W536" i="31"/>
  <c r="W532" i="31"/>
  <c r="W533" i="31"/>
  <c r="W534" i="31"/>
  <c r="V534" i="31"/>
  <c r="V535" i="31"/>
  <c r="V536" i="31"/>
  <c r="V531" i="31"/>
  <c r="V533" i="31"/>
  <c r="V532" i="31"/>
  <c r="N76" i="29"/>
  <c r="N72" i="29"/>
  <c r="N75" i="29"/>
  <c r="N73" i="29"/>
  <c r="N74" i="29"/>
  <c r="N71" i="29"/>
  <c r="U533" i="31"/>
  <c r="U534" i="31"/>
  <c r="U535" i="31"/>
  <c r="U536" i="31"/>
  <c r="U531" i="31"/>
  <c r="U532" i="31"/>
  <c r="X536" i="31"/>
  <c r="X532" i="31"/>
  <c r="X531" i="31"/>
  <c r="X533" i="31"/>
  <c r="X535" i="31"/>
  <c r="X534" i="31"/>
  <c r="S535" i="31"/>
  <c r="S531" i="31"/>
  <c r="S532" i="31"/>
  <c r="S533" i="31"/>
  <c r="S534" i="31"/>
  <c r="S536" i="31"/>
  <c r="N63" i="29"/>
  <c r="N59" i="29"/>
  <c r="N58" i="29"/>
  <c r="N60" i="29"/>
  <c r="N61" i="29"/>
  <c r="N62" i="29"/>
  <c r="Q533" i="31"/>
  <c r="Q535" i="31"/>
  <c r="Q536" i="31"/>
  <c r="Q531" i="31"/>
  <c r="Q532" i="31"/>
  <c r="Q534" i="31"/>
  <c r="T536" i="31"/>
  <c r="T532" i="31"/>
  <c r="T533" i="31"/>
  <c r="T534" i="31"/>
  <c r="T531" i="31"/>
  <c r="T535" i="31"/>
  <c r="AA535" i="31"/>
  <c r="AA531" i="31"/>
  <c r="AA534" i="31"/>
  <c r="AA536" i="31"/>
  <c r="AA532" i="31"/>
  <c r="AA533" i="31"/>
  <c r="O535" i="31"/>
  <c r="O531" i="31"/>
  <c r="O533" i="31"/>
  <c r="O534" i="31"/>
  <c r="O532" i="31"/>
  <c r="O536" i="31"/>
  <c r="P536" i="31"/>
  <c r="P532" i="31"/>
  <c r="P534" i="31"/>
  <c r="P535" i="31"/>
  <c r="P531" i="31"/>
  <c r="P533" i="31"/>
  <c r="Z534" i="31"/>
  <c r="Z533" i="31"/>
  <c r="Z535" i="31"/>
  <c r="Z532" i="31"/>
  <c r="Z536" i="31"/>
  <c r="Z531" i="31"/>
  <c r="Y533" i="31"/>
  <c r="Y532" i="31"/>
  <c r="Y534" i="31"/>
  <c r="Y535" i="31"/>
  <c r="Y536" i="31"/>
  <c r="Y531" i="31"/>
  <c r="AB536" i="31"/>
  <c r="AB532" i="31"/>
  <c r="AB535" i="31"/>
  <c r="AB531" i="31"/>
  <c r="AB534" i="31"/>
  <c r="AB533" i="31"/>
  <c r="X22" i="1"/>
  <c r="X34" i="1" s="1"/>
  <c r="M22" i="1"/>
  <c r="M34" i="1" s="1"/>
  <c r="Q104" i="55"/>
  <c r="Q106" i="55"/>
  <c r="Q102" i="55"/>
  <c r="Q105" i="55"/>
  <c r="Q103" i="55"/>
  <c r="Q107" i="55"/>
  <c r="W41" i="55"/>
  <c r="W39" i="55"/>
  <c r="W40" i="55"/>
  <c r="W42" i="55"/>
  <c r="W38" i="55"/>
  <c r="W37" i="55"/>
  <c r="T129" i="55"/>
  <c r="T130" i="55"/>
  <c r="T132" i="55"/>
  <c r="T127" i="55"/>
  <c r="T131" i="55"/>
  <c r="T128" i="55"/>
  <c r="P80" i="55"/>
  <c r="P76" i="55"/>
  <c r="P78" i="55"/>
  <c r="P81" i="55"/>
  <c r="P77" i="55"/>
  <c r="P79" i="55"/>
  <c r="AA79" i="55"/>
  <c r="AA81" i="55"/>
  <c r="AA77" i="55"/>
  <c r="AA76" i="55"/>
  <c r="AA80" i="55"/>
  <c r="AA78" i="55"/>
  <c r="Z78" i="55"/>
  <c r="Z80" i="55"/>
  <c r="Z76" i="55"/>
  <c r="Z79" i="55"/>
  <c r="Z81" i="55"/>
  <c r="Z77" i="55"/>
  <c r="Y40" i="55"/>
  <c r="Y37" i="55"/>
  <c r="Y41" i="55"/>
  <c r="Y38" i="55"/>
  <c r="Y39" i="55"/>
  <c r="Y42" i="55"/>
  <c r="U145" i="55"/>
  <c r="U141" i="55"/>
  <c r="U143" i="55"/>
  <c r="U140" i="55"/>
  <c r="U144" i="55"/>
  <c r="U142" i="55"/>
  <c r="V131" i="55"/>
  <c r="V127" i="55"/>
  <c r="V132" i="55"/>
  <c r="V129" i="55"/>
  <c r="V128" i="55"/>
  <c r="V130" i="55"/>
  <c r="T64" i="55"/>
  <c r="T66" i="55"/>
  <c r="T67" i="55"/>
  <c r="T62" i="55"/>
  <c r="T63" i="55"/>
  <c r="T65" i="55"/>
  <c r="O67" i="55"/>
  <c r="O63" i="55"/>
  <c r="O66" i="55"/>
  <c r="O62" i="55"/>
  <c r="O64" i="55"/>
  <c r="O65" i="55"/>
  <c r="Z157" i="55"/>
  <c r="Z153" i="55"/>
  <c r="Z156" i="55"/>
  <c r="Z155" i="55"/>
  <c r="Z158" i="55"/>
  <c r="Z154" i="55"/>
  <c r="AA156" i="55"/>
  <c r="AA158" i="55"/>
  <c r="AA154" i="55"/>
  <c r="AA157" i="55"/>
  <c r="AA153" i="55"/>
  <c r="AA155" i="55"/>
  <c r="N52" i="55"/>
  <c r="N49" i="55"/>
  <c r="N54" i="55"/>
  <c r="N50" i="55"/>
  <c r="N51" i="55"/>
  <c r="N53" i="55"/>
  <c r="Z66" i="55"/>
  <c r="Z62" i="55"/>
  <c r="Z67" i="55"/>
  <c r="Z63" i="55"/>
  <c r="Z64" i="55"/>
  <c r="Z65" i="55"/>
  <c r="Y158" i="55"/>
  <c r="Y156" i="55"/>
  <c r="Y154" i="55"/>
  <c r="Y157" i="55"/>
  <c r="Y155" i="55"/>
  <c r="Y153" i="55"/>
  <c r="U130" i="55"/>
  <c r="U131" i="55"/>
  <c r="U128" i="55"/>
  <c r="U132" i="55"/>
  <c r="U127" i="55"/>
  <c r="U129" i="55"/>
  <c r="Q81" i="55"/>
  <c r="Q77" i="55"/>
  <c r="Q79" i="55"/>
  <c r="Q78" i="55"/>
  <c r="Q80" i="55"/>
  <c r="Q76" i="55"/>
  <c r="N142" i="55"/>
  <c r="N141" i="55"/>
  <c r="N144" i="55"/>
  <c r="N143" i="55"/>
  <c r="N145" i="55"/>
  <c r="N140" i="55"/>
  <c r="Z38" i="55"/>
  <c r="Z42" i="55"/>
  <c r="Z39" i="55"/>
  <c r="Z40" i="55"/>
  <c r="Z41" i="55"/>
  <c r="Z37" i="55"/>
  <c r="W132" i="55"/>
  <c r="W128" i="55"/>
  <c r="W127" i="55"/>
  <c r="W130" i="55"/>
  <c r="W129" i="55"/>
  <c r="W131" i="55"/>
  <c r="T144" i="55"/>
  <c r="T140" i="55"/>
  <c r="T142" i="55"/>
  <c r="T145" i="55"/>
  <c r="T143" i="55"/>
  <c r="T141" i="55"/>
  <c r="N131" i="55"/>
  <c r="N127" i="55"/>
  <c r="N129" i="55"/>
  <c r="N132" i="55"/>
  <c r="N130" i="55"/>
  <c r="N128" i="55"/>
  <c r="U120" i="55"/>
  <c r="U116" i="55"/>
  <c r="U119" i="55"/>
  <c r="U115" i="55"/>
  <c r="U117" i="55"/>
  <c r="U118" i="55"/>
  <c r="AB119" i="55"/>
  <c r="AB116" i="55"/>
  <c r="AB118" i="55"/>
  <c r="AB117" i="55"/>
  <c r="AB115" i="55"/>
  <c r="AB120" i="55"/>
  <c r="P64" i="55"/>
  <c r="P67" i="55"/>
  <c r="P62" i="55"/>
  <c r="P63" i="55"/>
  <c r="P65" i="55"/>
  <c r="P66" i="55"/>
  <c r="AA118" i="55"/>
  <c r="AA120" i="55"/>
  <c r="AA117" i="55"/>
  <c r="AA115" i="55"/>
  <c r="AA116" i="55"/>
  <c r="AA119" i="55"/>
  <c r="N62" i="55"/>
  <c r="N66" i="55"/>
  <c r="N65" i="55"/>
  <c r="N63" i="55"/>
  <c r="N64" i="55"/>
  <c r="N67" i="55"/>
  <c r="T157" i="55"/>
  <c r="T155" i="55"/>
  <c r="T158" i="55"/>
  <c r="T154" i="55"/>
  <c r="T156" i="55"/>
  <c r="T153" i="55"/>
  <c r="V157" i="55"/>
  <c r="V153" i="55"/>
  <c r="V156" i="55"/>
  <c r="V154" i="55"/>
  <c r="V158" i="55"/>
  <c r="V155" i="55"/>
  <c r="AB92" i="55"/>
  <c r="AB94" i="55"/>
  <c r="AB90" i="55"/>
  <c r="AB93" i="55"/>
  <c r="AB89" i="55"/>
  <c r="AB91" i="55"/>
  <c r="AA49" i="55"/>
  <c r="AA51" i="55"/>
  <c r="AA52" i="55"/>
  <c r="AA53" i="55"/>
  <c r="AA54" i="55"/>
  <c r="AA50" i="55"/>
  <c r="Y120" i="55"/>
  <c r="Y116" i="55"/>
  <c r="Y118" i="55"/>
  <c r="Y115" i="55"/>
  <c r="Y119" i="55"/>
  <c r="Y117" i="55"/>
  <c r="Z23" i="1"/>
  <c r="Z56" i="1" s="1"/>
  <c r="M23" i="1"/>
  <c r="M56" i="1" s="1"/>
  <c r="Z21" i="1"/>
  <c r="Z120" i="1" s="1"/>
  <c r="M21" i="1"/>
  <c r="W143" i="55"/>
  <c r="W145" i="55"/>
  <c r="W140" i="55"/>
  <c r="W142" i="55"/>
  <c r="W141" i="55"/>
  <c r="W144" i="55"/>
  <c r="Q130" i="55"/>
  <c r="Q132" i="55"/>
  <c r="Q127" i="55"/>
  <c r="Q129" i="55"/>
  <c r="Q128" i="55"/>
  <c r="Q131" i="55"/>
  <c r="S91" i="55"/>
  <c r="S93" i="55"/>
  <c r="S89" i="55"/>
  <c r="S92" i="55"/>
  <c r="S90" i="55"/>
  <c r="S94" i="55"/>
  <c r="U54" i="55"/>
  <c r="U51" i="55"/>
  <c r="U50" i="55"/>
  <c r="U52" i="55"/>
  <c r="U53" i="55"/>
  <c r="U49" i="55"/>
  <c r="O39" i="55"/>
  <c r="O42" i="55"/>
  <c r="O38" i="55"/>
  <c r="O40" i="55"/>
  <c r="O41" i="55"/>
  <c r="O37" i="55"/>
  <c r="AB129" i="55"/>
  <c r="AB132" i="55"/>
  <c r="AB127" i="55"/>
  <c r="AB130" i="55"/>
  <c r="AB128" i="55"/>
  <c r="AB131" i="55"/>
  <c r="Z94" i="55"/>
  <c r="Z90" i="55"/>
  <c r="Z92" i="55"/>
  <c r="Z91" i="55"/>
  <c r="Z89" i="55"/>
  <c r="Z93" i="55"/>
  <c r="X80" i="55"/>
  <c r="X76" i="55"/>
  <c r="X78" i="55"/>
  <c r="X81" i="55"/>
  <c r="X77" i="55"/>
  <c r="X79" i="55"/>
  <c r="V38" i="55"/>
  <c r="V41" i="55"/>
  <c r="V37" i="55"/>
  <c r="V42" i="55"/>
  <c r="V39" i="55"/>
  <c r="V40" i="55"/>
  <c r="S132" i="55"/>
  <c r="S128" i="55"/>
  <c r="S129" i="55"/>
  <c r="S131" i="55"/>
  <c r="S130" i="55"/>
  <c r="S127" i="55"/>
  <c r="S79" i="55"/>
  <c r="S81" i="55"/>
  <c r="S77" i="55"/>
  <c r="S76" i="55"/>
  <c r="S80" i="55"/>
  <c r="S78" i="55"/>
  <c r="X92" i="55"/>
  <c r="X94" i="55"/>
  <c r="X90" i="55"/>
  <c r="X89" i="55"/>
  <c r="X93" i="55"/>
  <c r="X91" i="55"/>
  <c r="T42" i="55"/>
  <c r="T38" i="55"/>
  <c r="T39" i="55"/>
  <c r="T40" i="55"/>
  <c r="T41" i="55"/>
  <c r="T37" i="55"/>
  <c r="U93" i="55"/>
  <c r="U89" i="55"/>
  <c r="U91" i="55"/>
  <c r="U94" i="55"/>
  <c r="U90" i="55"/>
  <c r="U92" i="55"/>
  <c r="Q120" i="55"/>
  <c r="Q115" i="55"/>
  <c r="Q118" i="55"/>
  <c r="Q117" i="55"/>
  <c r="Q116" i="55"/>
  <c r="Q119" i="55"/>
  <c r="P42" i="55"/>
  <c r="P40" i="55"/>
  <c r="P39" i="55"/>
  <c r="P41" i="55"/>
  <c r="P37" i="55"/>
  <c r="P38" i="55"/>
  <c r="X119" i="55"/>
  <c r="X117" i="55"/>
  <c r="X120" i="55"/>
  <c r="X118" i="55"/>
  <c r="X115" i="55"/>
  <c r="X116" i="55"/>
  <c r="AB64" i="55"/>
  <c r="AB63" i="55"/>
  <c r="AB65" i="55"/>
  <c r="AB66" i="55"/>
  <c r="AB67" i="55"/>
  <c r="AB62" i="55"/>
  <c r="W118" i="55"/>
  <c r="W116" i="55"/>
  <c r="W119" i="55"/>
  <c r="W115" i="55"/>
  <c r="W117" i="55"/>
  <c r="W120" i="55"/>
  <c r="W67" i="55"/>
  <c r="W63" i="55"/>
  <c r="W64" i="55"/>
  <c r="W65" i="55"/>
  <c r="W66" i="55"/>
  <c r="W62" i="55"/>
  <c r="X144" i="55"/>
  <c r="X140" i="55"/>
  <c r="X141" i="55"/>
  <c r="X143" i="55"/>
  <c r="X142" i="55"/>
  <c r="X145" i="55"/>
  <c r="N117" i="55"/>
  <c r="N118" i="55"/>
  <c r="N116" i="55"/>
  <c r="N120" i="55"/>
  <c r="N119" i="55"/>
  <c r="N115" i="55"/>
  <c r="P144" i="55"/>
  <c r="P140" i="55"/>
  <c r="P143" i="55"/>
  <c r="P141" i="55"/>
  <c r="P145" i="55"/>
  <c r="P142" i="55"/>
  <c r="O156" i="55"/>
  <c r="O158" i="55"/>
  <c r="O154" i="55"/>
  <c r="O155" i="55"/>
  <c r="O157" i="55"/>
  <c r="O153" i="55"/>
  <c r="AB53" i="55"/>
  <c r="AB50" i="55"/>
  <c r="AB52" i="55"/>
  <c r="AB54" i="55"/>
  <c r="AB49" i="55"/>
  <c r="AB51" i="55"/>
  <c r="P157" i="55"/>
  <c r="P155" i="55"/>
  <c r="P158" i="55"/>
  <c r="P153" i="55"/>
  <c r="P156" i="55"/>
  <c r="P154" i="55"/>
  <c r="X53" i="55"/>
  <c r="X50" i="55"/>
  <c r="X54" i="55"/>
  <c r="X49" i="55"/>
  <c r="X51" i="55"/>
  <c r="X52" i="55"/>
  <c r="AB157" i="55"/>
  <c r="AB155" i="55"/>
  <c r="AB158" i="55"/>
  <c r="AB154" i="55"/>
  <c r="AB153" i="55"/>
  <c r="AB156" i="55"/>
  <c r="N157" i="55"/>
  <c r="N153" i="55"/>
  <c r="N154" i="55"/>
  <c r="N156" i="55"/>
  <c r="N155" i="55"/>
  <c r="N158" i="55"/>
  <c r="P50" i="55"/>
  <c r="P51" i="55"/>
  <c r="P53" i="55"/>
  <c r="P54" i="55"/>
  <c r="P49" i="55"/>
  <c r="P52" i="55"/>
  <c r="Z52" i="55"/>
  <c r="Z54" i="55"/>
  <c r="Z50" i="55"/>
  <c r="Z51" i="55"/>
  <c r="Z53" i="55"/>
  <c r="Z49" i="55"/>
  <c r="Y65" i="55"/>
  <c r="Y66" i="55"/>
  <c r="Y67" i="55"/>
  <c r="Y62" i="55"/>
  <c r="Y63" i="55"/>
  <c r="Y64" i="55"/>
  <c r="Y54" i="55"/>
  <c r="Y51" i="55"/>
  <c r="Y53" i="55"/>
  <c r="Y49" i="55"/>
  <c r="Y50" i="55"/>
  <c r="Y52" i="55"/>
  <c r="Y81" i="55"/>
  <c r="Y77" i="55"/>
  <c r="Y79" i="55"/>
  <c r="Y78" i="55"/>
  <c r="Y80" i="55"/>
  <c r="Y76" i="55"/>
  <c r="AA143" i="55"/>
  <c r="AA144" i="55"/>
  <c r="AA141" i="55"/>
  <c r="AA145" i="55"/>
  <c r="AA140" i="55"/>
  <c r="AA142" i="55"/>
  <c r="X107" i="55"/>
  <c r="X103" i="55"/>
  <c r="X105" i="55"/>
  <c r="X104" i="55"/>
  <c r="X102" i="55"/>
  <c r="X106" i="55"/>
  <c r="U158" i="55"/>
  <c r="U156" i="55"/>
  <c r="U155" i="55"/>
  <c r="U153" i="55"/>
  <c r="U154" i="55"/>
  <c r="U157" i="55"/>
  <c r="O143" i="55"/>
  <c r="O142" i="55"/>
  <c r="O145" i="55"/>
  <c r="O140" i="55"/>
  <c r="O144" i="55"/>
  <c r="O141" i="55"/>
  <c r="U81" i="55"/>
  <c r="U77" i="55"/>
  <c r="U79" i="55"/>
  <c r="U78" i="55"/>
  <c r="U76" i="55"/>
  <c r="U80" i="55"/>
  <c r="V142" i="55"/>
  <c r="V144" i="55"/>
  <c r="V141" i="55"/>
  <c r="V145" i="55"/>
  <c r="V140" i="55"/>
  <c r="V143" i="55"/>
  <c r="N94" i="55"/>
  <c r="N90" i="55"/>
  <c r="N92" i="55"/>
  <c r="N91" i="55"/>
  <c r="N93" i="55"/>
  <c r="N89" i="55"/>
  <c r="AA132" i="55"/>
  <c r="AA128" i="55"/>
  <c r="AA131" i="55"/>
  <c r="AA129" i="55"/>
  <c r="AA127" i="55"/>
  <c r="AA130" i="55"/>
  <c r="AB144" i="55"/>
  <c r="AB140" i="55"/>
  <c r="AB145" i="55"/>
  <c r="AB142" i="55"/>
  <c r="AB141" i="55"/>
  <c r="AB143" i="55"/>
  <c r="Z131" i="55"/>
  <c r="Z127" i="55"/>
  <c r="Z130" i="55"/>
  <c r="Z128" i="55"/>
  <c r="Z132" i="55"/>
  <c r="Z129" i="55"/>
  <c r="Q145" i="55"/>
  <c r="Q141" i="55"/>
  <c r="Q144" i="55"/>
  <c r="Q142" i="55"/>
  <c r="Q140" i="55"/>
  <c r="Q143" i="55"/>
  <c r="U65" i="55"/>
  <c r="U67" i="55"/>
  <c r="U62" i="55"/>
  <c r="U63" i="55"/>
  <c r="U64" i="55"/>
  <c r="U66" i="55"/>
  <c r="P119" i="55"/>
  <c r="P120" i="55"/>
  <c r="P117" i="55"/>
  <c r="P116" i="55"/>
  <c r="P115" i="55"/>
  <c r="P118" i="55"/>
  <c r="O118" i="55"/>
  <c r="O119" i="55"/>
  <c r="O115" i="55"/>
  <c r="O120" i="55"/>
  <c r="O116" i="55"/>
  <c r="O117" i="55"/>
  <c r="Q93" i="55"/>
  <c r="Q89" i="55"/>
  <c r="Q91" i="55"/>
  <c r="Q90" i="55"/>
  <c r="Q94" i="55"/>
  <c r="Q92" i="55"/>
  <c r="T107" i="55"/>
  <c r="T103" i="55"/>
  <c r="T105" i="55"/>
  <c r="T104" i="55"/>
  <c r="T106" i="55"/>
  <c r="T102" i="55"/>
  <c r="V105" i="55"/>
  <c r="V107" i="55"/>
  <c r="V103" i="55"/>
  <c r="V102" i="55"/>
  <c r="V106" i="55"/>
  <c r="V104" i="55"/>
  <c r="T50" i="55"/>
  <c r="T54" i="55"/>
  <c r="T49" i="55"/>
  <c r="T51" i="55"/>
  <c r="T52" i="55"/>
  <c r="T53" i="55"/>
  <c r="W156" i="55"/>
  <c r="W158" i="55"/>
  <c r="W154" i="55"/>
  <c r="W157" i="55"/>
  <c r="W155" i="55"/>
  <c r="W153" i="55"/>
  <c r="AA41" i="55"/>
  <c r="AA39" i="55"/>
  <c r="AA40" i="55"/>
  <c r="AA37" i="55"/>
  <c r="AA42" i="55"/>
  <c r="AA38" i="55"/>
  <c r="Q158" i="55"/>
  <c r="Q156" i="55"/>
  <c r="Q154" i="55"/>
  <c r="Q157" i="55"/>
  <c r="Q153" i="55"/>
  <c r="Q155" i="55"/>
  <c r="W91" i="55"/>
  <c r="W93" i="55"/>
  <c r="W89" i="55"/>
  <c r="W92" i="55"/>
  <c r="W94" i="55"/>
  <c r="W90" i="55"/>
  <c r="S39" i="55"/>
  <c r="S41" i="55"/>
  <c r="S37" i="55"/>
  <c r="S42" i="55"/>
  <c r="S40" i="55"/>
  <c r="S38" i="55"/>
  <c r="P129" i="55"/>
  <c r="P131" i="55"/>
  <c r="P128" i="55"/>
  <c r="P132" i="55"/>
  <c r="P127" i="55"/>
  <c r="P130" i="55"/>
  <c r="AB80" i="55"/>
  <c r="AB76" i="55"/>
  <c r="AB78" i="55"/>
  <c r="AB77" i="55"/>
  <c r="AB81" i="55"/>
  <c r="AB79" i="55"/>
  <c r="W79" i="55"/>
  <c r="W81" i="55"/>
  <c r="W77" i="55"/>
  <c r="W80" i="55"/>
  <c r="W76" i="55"/>
  <c r="W78" i="55"/>
  <c r="AB40" i="55"/>
  <c r="AB42" i="55"/>
  <c r="AB37" i="55"/>
  <c r="AB41" i="55"/>
  <c r="AB38" i="55"/>
  <c r="AB39" i="55"/>
  <c r="Q40" i="55"/>
  <c r="Q37" i="55"/>
  <c r="Q41" i="55"/>
  <c r="Q38" i="55"/>
  <c r="Q42" i="55"/>
  <c r="Q39" i="55"/>
  <c r="Q65" i="55"/>
  <c r="Q63" i="55"/>
  <c r="Q64" i="55"/>
  <c r="Q66" i="55"/>
  <c r="Q67" i="55"/>
  <c r="Q62" i="55"/>
  <c r="N76" i="55"/>
  <c r="N78" i="55"/>
  <c r="N80" i="55"/>
  <c r="N79" i="55"/>
  <c r="N77" i="55"/>
  <c r="N81" i="55"/>
  <c r="AA67" i="55"/>
  <c r="AA63" i="55"/>
  <c r="AA62" i="55"/>
  <c r="AA64" i="55"/>
  <c r="AA65" i="55"/>
  <c r="AA66" i="55"/>
  <c r="V66" i="55"/>
  <c r="V62" i="55"/>
  <c r="V63" i="55"/>
  <c r="V64" i="55"/>
  <c r="V65" i="55"/>
  <c r="V67" i="55"/>
  <c r="X42" i="55"/>
  <c r="X37" i="55"/>
  <c r="X38" i="55"/>
  <c r="X39" i="55"/>
  <c r="X40" i="55"/>
  <c r="X41" i="55"/>
  <c r="O106" i="55"/>
  <c r="O102" i="55"/>
  <c r="O104" i="55"/>
  <c r="O103" i="55"/>
  <c r="O107" i="55"/>
  <c r="O105" i="55"/>
  <c r="P107" i="55"/>
  <c r="P103" i="55"/>
  <c r="P105" i="55"/>
  <c r="P104" i="55"/>
  <c r="P102" i="55"/>
  <c r="P106" i="55"/>
  <c r="X157" i="55"/>
  <c r="X155" i="55"/>
  <c r="X153" i="55"/>
  <c r="X158" i="55"/>
  <c r="X156" i="55"/>
  <c r="X154" i="55"/>
  <c r="AB107" i="55"/>
  <c r="AB103" i="55"/>
  <c r="AB105" i="55"/>
  <c r="AB104" i="55"/>
  <c r="AB106" i="55"/>
  <c r="AB102" i="55"/>
  <c r="Y104" i="55"/>
  <c r="Y106" i="55"/>
  <c r="Y102" i="55"/>
  <c r="Y105" i="55"/>
  <c r="Y103" i="55"/>
  <c r="Y107" i="55"/>
  <c r="V52" i="55"/>
  <c r="V51" i="55"/>
  <c r="V53" i="55"/>
  <c r="V49" i="55"/>
  <c r="V54" i="55"/>
  <c r="V50" i="55"/>
  <c r="S143" i="55"/>
  <c r="S141" i="55"/>
  <c r="S144" i="55"/>
  <c r="S142" i="55"/>
  <c r="S145" i="55"/>
  <c r="S140" i="55"/>
  <c r="U104" i="55"/>
  <c r="U106" i="55"/>
  <c r="U102" i="55"/>
  <c r="U105" i="55"/>
  <c r="U107" i="55"/>
  <c r="U103" i="55"/>
  <c r="O91" i="55"/>
  <c r="O93" i="55"/>
  <c r="O89" i="55"/>
  <c r="O92" i="55"/>
  <c r="O94" i="55"/>
  <c r="O90" i="55"/>
  <c r="Q54" i="55"/>
  <c r="Q51" i="55"/>
  <c r="Q52" i="55"/>
  <c r="Q53" i="55"/>
  <c r="Q49" i="55"/>
  <c r="Q50" i="55"/>
  <c r="Z142" i="55"/>
  <c r="Z143" i="55"/>
  <c r="Z145" i="55"/>
  <c r="Z140" i="55"/>
  <c r="Z144" i="55"/>
  <c r="Z141" i="55"/>
  <c r="X129" i="55"/>
  <c r="X128" i="55"/>
  <c r="X131" i="55"/>
  <c r="X130" i="55"/>
  <c r="X132" i="55"/>
  <c r="X127" i="55"/>
  <c r="V94" i="55"/>
  <c r="V90" i="55"/>
  <c r="V92" i="55"/>
  <c r="V91" i="55"/>
  <c r="V93" i="55"/>
  <c r="V89" i="55"/>
  <c r="T80" i="55"/>
  <c r="T76" i="55"/>
  <c r="T78" i="55"/>
  <c r="T77" i="55"/>
  <c r="T81" i="55"/>
  <c r="T79" i="55"/>
  <c r="N41" i="55"/>
  <c r="N38" i="55"/>
  <c r="N37" i="55"/>
  <c r="N42" i="55"/>
  <c r="N40" i="55"/>
  <c r="N39" i="55"/>
  <c r="O132" i="55"/>
  <c r="O128" i="55"/>
  <c r="O130" i="55"/>
  <c r="O127" i="55"/>
  <c r="O131" i="55"/>
  <c r="O129" i="55"/>
  <c r="O79" i="55"/>
  <c r="O81" i="55"/>
  <c r="O77" i="55"/>
  <c r="O80" i="55"/>
  <c r="O76" i="55"/>
  <c r="O78" i="55"/>
  <c r="P92" i="55"/>
  <c r="P94" i="55"/>
  <c r="P90" i="55"/>
  <c r="P89" i="55"/>
  <c r="P93" i="55"/>
  <c r="P91" i="55"/>
  <c r="Y145" i="55"/>
  <c r="Y141" i="55"/>
  <c r="Y142" i="55"/>
  <c r="Y144" i="55"/>
  <c r="Y143" i="55"/>
  <c r="Y140" i="55"/>
  <c r="V78" i="55"/>
  <c r="V80" i="55"/>
  <c r="V76" i="55"/>
  <c r="V79" i="55"/>
  <c r="V77" i="55"/>
  <c r="V81" i="55"/>
  <c r="T92" i="55"/>
  <c r="T94" i="55"/>
  <c r="T90" i="55"/>
  <c r="T93" i="55"/>
  <c r="T89" i="55"/>
  <c r="T91" i="55"/>
  <c r="T119" i="55"/>
  <c r="T118" i="55"/>
  <c r="T116" i="55"/>
  <c r="T115" i="55"/>
  <c r="T120" i="55"/>
  <c r="T117" i="55"/>
  <c r="X64" i="55"/>
  <c r="X65" i="55"/>
  <c r="X66" i="55"/>
  <c r="X67" i="55"/>
  <c r="X62" i="55"/>
  <c r="X63" i="55"/>
  <c r="S118" i="55"/>
  <c r="S117" i="55"/>
  <c r="S120" i="55"/>
  <c r="S115" i="55"/>
  <c r="S119" i="55"/>
  <c r="S116" i="55"/>
  <c r="S67" i="55"/>
  <c r="S63" i="55"/>
  <c r="S65" i="55"/>
  <c r="S66" i="55"/>
  <c r="S62" i="55"/>
  <c r="S64" i="55"/>
  <c r="Z117" i="55"/>
  <c r="Z119" i="55"/>
  <c r="Z116" i="55"/>
  <c r="Z120" i="55"/>
  <c r="Z118" i="55"/>
  <c r="Z115" i="55"/>
  <c r="V117" i="55"/>
  <c r="V120" i="55"/>
  <c r="V118" i="55"/>
  <c r="V116" i="55"/>
  <c r="V119" i="55"/>
  <c r="V115" i="55"/>
  <c r="Y93" i="55"/>
  <c r="Y89" i="55"/>
  <c r="Y91" i="55"/>
  <c r="Y90" i="55"/>
  <c r="Y94" i="55"/>
  <c r="Y92" i="55"/>
  <c r="U40" i="55"/>
  <c r="U37" i="55"/>
  <c r="U42" i="55"/>
  <c r="U39" i="55"/>
  <c r="U41" i="55"/>
  <c r="U38" i="55"/>
  <c r="Z105" i="55"/>
  <c r="Z107" i="55"/>
  <c r="Z103" i="55"/>
  <c r="Z106" i="55"/>
  <c r="Z102" i="55"/>
  <c r="Z104" i="55"/>
  <c r="W53" i="55"/>
  <c r="W49" i="55"/>
  <c r="W52" i="55"/>
  <c r="W54" i="55"/>
  <c r="W50" i="55"/>
  <c r="W51" i="55"/>
  <c r="AA106" i="55"/>
  <c r="AA102" i="55"/>
  <c r="AA104" i="55"/>
  <c r="AA107" i="55"/>
  <c r="AA103" i="55"/>
  <c r="AA105" i="55"/>
  <c r="S53" i="55"/>
  <c r="S49" i="55"/>
  <c r="S54" i="55"/>
  <c r="S50" i="55"/>
  <c r="S51" i="55"/>
  <c r="S52" i="55"/>
  <c r="W106" i="55"/>
  <c r="W102" i="55"/>
  <c r="W104" i="55"/>
  <c r="W103" i="55"/>
  <c r="W107" i="55"/>
  <c r="W105" i="55"/>
  <c r="S106" i="55"/>
  <c r="S102" i="55"/>
  <c r="S104" i="55"/>
  <c r="S107" i="55"/>
  <c r="S103" i="55"/>
  <c r="S105" i="55"/>
  <c r="O53" i="55"/>
  <c r="O49" i="55"/>
  <c r="O54" i="55"/>
  <c r="O50" i="55"/>
  <c r="O51" i="55"/>
  <c r="O52" i="55"/>
  <c r="N105" i="55"/>
  <c r="N107" i="55"/>
  <c r="N103" i="55"/>
  <c r="N102" i="55"/>
  <c r="N106" i="55"/>
  <c r="N104" i="55"/>
  <c r="AA91" i="55"/>
  <c r="AA93" i="55"/>
  <c r="AA89" i="55"/>
  <c r="AA92" i="55"/>
  <c r="AA90" i="55"/>
  <c r="AA94" i="55"/>
  <c r="Y130" i="55"/>
  <c r="Y129" i="55"/>
  <c r="Y132" i="55"/>
  <c r="Y127" i="55"/>
  <c r="Y131" i="55"/>
  <c r="Y128" i="55"/>
  <c r="S156" i="55"/>
  <c r="S158" i="55"/>
  <c r="S154" i="55"/>
  <c r="S157" i="55"/>
  <c r="S153" i="55"/>
  <c r="S155" i="55"/>
  <c r="D146" i="45"/>
  <c r="O38" i="35"/>
  <c r="X18" i="32"/>
  <c r="X33" i="32" s="1"/>
  <c r="M18" i="32"/>
  <c r="M33" i="32" s="1"/>
  <c r="P195" i="31"/>
  <c r="R38" i="35"/>
  <c r="F38" i="35"/>
  <c r="M19" i="32"/>
  <c r="M54" i="32" s="1"/>
  <c r="D38" i="45"/>
  <c r="P38" i="35"/>
  <c r="I38" i="35"/>
  <c r="Q38" i="35"/>
  <c r="N38" i="35"/>
  <c r="L38" i="35"/>
  <c r="J38" i="35"/>
  <c r="G38" i="35"/>
  <c r="M38" i="35"/>
  <c r="K38" i="35"/>
  <c r="E38" i="35"/>
  <c r="D156" i="35"/>
  <c r="D38" i="35"/>
  <c r="D186" i="35"/>
  <c r="S186" i="35"/>
  <c r="D181" i="35"/>
  <c r="Z20" i="32"/>
  <c r="Z75" i="32" s="1"/>
  <c r="M20" i="32"/>
  <c r="M75" i="32" s="1"/>
  <c r="P196" i="31"/>
  <c r="L25" i="38"/>
  <c r="T25" i="38"/>
  <c r="I25" i="38"/>
  <c r="Q25" i="38"/>
  <c r="J25" i="38"/>
  <c r="N25" i="38"/>
  <c r="R25" i="38"/>
  <c r="V25" i="38"/>
  <c r="H25" i="38"/>
  <c r="P25" i="38"/>
  <c r="M25" i="38"/>
  <c r="U25" i="38"/>
  <c r="K25" i="38"/>
  <c r="O25" i="38"/>
  <c r="S25" i="38"/>
  <c r="U146" i="35"/>
  <c r="D156" i="45"/>
  <c r="W21" i="1"/>
  <c r="W120" i="1" s="1"/>
  <c r="O21" i="1"/>
  <c r="O120" i="1" s="1"/>
  <c r="X21" i="1"/>
  <c r="X120" i="1" s="1"/>
  <c r="S23" i="1"/>
  <c r="S56" i="1" s="1"/>
  <c r="P21" i="1"/>
  <c r="P120" i="1" s="1"/>
  <c r="AA21" i="1"/>
  <c r="AA120" i="1" s="1"/>
  <c r="AA23" i="1"/>
  <c r="AA56" i="1" s="1"/>
  <c r="S21" i="1"/>
  <c r="S120" i="1" s="1"/>
  <c r="U107" i="35"/>
  <c r="U140" i="35"/>
  <c r="U22" i="45"/>
  <c r="T23" i="1"/>
  <c r="T56" i="1" s="1"/>
  <c r="O23" i="1"/>
  <c r="O56" i="1" s="1"/>
  <c r="W23" i="1"/>
  <c r="W56" i="1" s="1"/>
  <c r="P23" i="1"/>
  <c r="P56" i="1" s="1"/>
  <c r="X23" i="1"/>
  <c r="X56" i="1" s="1"/>
  <c r="T21" i="1"/>
  <c r="T120" i="1" s="1"/>
  <c r="Q22" i="1"/>
  <c r="Q34" i="1" s="1"/>
  <c r="U22" i="1"/>
  <c r="U34" i="1" s="1"/>
  <c r="Y22" i="1"/>
  <c r="Y34" i="1" s="1"/>
  <c r="N22" i="1"/>
  <c r="N34" i="1" s="1"/>
  <c r="R22" i="1"/>
  <c r="R34" i="1" s="1"/>
  <c r="V22" i="1"/>
  <c r="V34" i="1" s="1"/>
  <c r="Z22" i="1"/>
  <c r="Z34" i="1" s="1"/>
  <c r="Q23" i="1"/>
  <c r="Q56" i="1" s="1"/>
  <c r="U23" i="1"/>
  <c r="U56" i="1" s="1"/>
  <c r="Y23" i="1"/>
  <c r="Y56" i="1" s="1"/>
  <c r="O22" i="1"/>
  <c r="O34" i="1" s="1"/>
  <c r="S22" i="1"/>
  <c r="S34" i="1" s="1"/>
  <c r="W22" i="1"/>
  <c r="W34" i="1" s="1"/>
  <c r="AA22" i="1"/>
  <c r="AA34" i="1" s="1"/>
  <c r="Q21" i="1"/>
  <c r="Q120" i="1" s="1"/>
  <c r="U21" i="1"/>
  <c r="U120" i="1" s="1"/>
  <c r="Y21" i="1"/>
  <c r="Y120" i="1" s="1"/>
  <c r="N23" i="1"/>
  <c r="N56" i="1" s="1"/>
  <c r="R23" i="1"/>
  <c r="R56" i="1" s="1"/>
  <c r="V23" i="1"/>
  <c r="V56" i="1" s="1"/>
  <c r="P22" i="1"/>
  <c r="P34" i="1" s="1"/>
  <c r="T22" i="1"/>
  <c r="T34" i="1" s="1"/>
  <c r="N21" i="1"/>
  <c r="N120" i="1" s="1"/>
  <c r="R21" i="1"/>
  <c r="R120" i="1" s="1"/>
  <c r="V21" i="1"/>
  <c r="V120" i="1" s="1"/>
  <c r="T20" i="32"/>
  <c r="T75" i="32" s="1"/>
  <c r="O20" i="32"/>
  <c r="O75" i="32" s="1"/>
  <c r="W20" i="32"/>
  <c r="W75" i="32" s="1"/>
  <c r="P20" i="32"/>
  <c r="P75" i="32" s="1"/>
  <c r="X20" i="32"/>
  <c r="X75" i="32" s="1"/>
  <c r="S20" i="32"/>
  <c r="S75" i="32" s="1"/>
  <c r="AA20" i="32"/>
  <c r="AA75" i="32" s="1"/>
  <c r="Q18" i="32"/>
  <c r="Q33" i="32" s="1"/>
  <c r="U18" i="32"/>
  <c r="U33" i="32" s="1"/>
  <c r="Y18" i="32"/>
  <c r="Y33" i="32" s="1"/>
  <c r="N18" i="32"/>
  <c r="N33" i="32" s="1"/>
  <c r="R18" i="32"/>
  <c r="R33" i="32" s="1"/>
  <c r="V18" i="32"/>
  <c r="V33" i="32" s="1"/>
  <c r="Z18" i="32"/>
  <c r="Z33" i="32" s="1"/>
  <c r="O18" i="32"/>
  <c r="O33" i="32" s="1"/>
  <c r="S18" i="32"/>
  <c r="S33" i="32" s="1"/>
  <c r="W18" i="32"/>
  <c r="W33" i="32" s="1"/>
  <c r="AA18" i="32"/>
  <c r="AA33" i="32" s="1"/>
  <c r="Q20" i="32"/>
  <c r="Q75" i="32" s="1"/>
  <c r="U20" i="32"/>
  <c r="U75" i="32" s="1"/>
  <c r="Y20" i="32"/>
  <c r="Y75" i="32" s="1"/>
  <c r="P18" i="32"/>
  <c r="P33" i="32" s="1"/>
  <c r="T18" i="32"/>
  <c r="T33" i="32" s="1"/>
  <c r="N20" i="32"/>
  <c r="N75" i="32" s="1"/>
  <c r="R20" i="32"/>
  <c r="R75" i="32" s="1"/>
  <c r="V20" i="32"/>
  <c r="V75" i="32" s="1"/>
  <c r="S90" i="35" l="1"/>
  <c r="S115" i="35"/>
  <c r="S111" i="35"/>
  <c r="S106" i="35"/>
  <c r="S109" i="35"/>
  <c r="S110" i="35"/>
  <c r="S117" i="35"/>
  <c r="S108" i="35"/>
  <c r="S114" i="35"/>
  <c r="S10" i="35"/>
  <c r="S133" i="35"/>
  <c r="S116" i="35"/>
  <c r="S113" i="35"/>
  <c r="S112" i="35"/>
  <c r="U517" i="31"/>
  <c r="AM516" i="31" s="1"/>
  <c r="AX513" i="31"/>
  <c r="O107" i="35"/>
  <c r="K107" i="35"/>
  <c r="G107" i="35"/>
  <c r="Q107" i="35"/>
  <c r="L107" i="35"/>
  <c r="F107" i="35"/>
  <c r="J107" i="35"/>
  <c r="N107" i="35"/>
  <c r="D107" i="35"/>
  <c r="R107" i="35"/>
  <c r="H107" i="35"/>
  <c r="P107" i="35"/>
  <c r="E107" i="35"/>
  <c r="I107" i="35"/>
  <c r="M107" i="35"/>
  <c r="AM57" i="29"/>
  <c r="AN57" i="29"/>
  <c r="AR57" i="29"/>
  <c r="AQ57" i="29"/>
  <c r="AF57" i="29"/>
  <c r="AF516" i="31"/>
  <c r="AI57" i="29"/>
  <c r="AH57" i="29"/>
  <c r="AK57" i="29"/>
  <c r="AT57" i="29"/>
  <c r="AL57" i="29"/>
  <c r="AG57" i="29"/>
  <c r="AS57" i="29"/>
  <c r="AP57" i="29"/>
  <c r="AO57" i="29"/>
  <c r="U512" i="31"/>
  <c r="U511" i="31"/>
  <c r="U510" i="31"/>
  <c r="U509" i="31"/>
  <c r="U508" i="31"/>
  <c r="U507" i="31"/>
  <c r="T512" i="31"/>
  <c r="T508" i="31"/>
  <c r="T510" i="31"/>
  <c r="T509" i="31"/>
  <c r="T511" i="31"/>
  <c r="T507" i="31"/>
  <c r="S512" i="31"/>
  <c r="S510" i="31"/>
  <c r="S508" i="31"/>
  <c r="S511" i="31"/>
  <c r="S509" i="31"/>
  <c r="S507" i="31"/>
  <c r="Q512" i="31"/>
  <c r="Q511" i="31"/>
  <c r="Q510" i="31"/>
  <c r="Q509" i="31"/>
  <c r="Q508" i="31"/>
  <c r="Q507" i="31"/>
  <c r="O512" i="31"/>
  <c r="O510" i="31"/>
  <c r="O508" i="31"/>
  <c r="O511" i="31"/>
  <c r="O509" i="31"/>
  <c r="O507" i="31"/>
  <c r="P512" i="31"/>
  <c r="P510" i="31"/>
  <c r="P508" i="31"/>
  <c r="P511" i="31"/>
  <c r="P509" i="31"/>
  <c r="P507" i="31"/>
  <c r="G146" i="35"/>
  <c r="Q517" i="31"/>
  <c r="AI516" i="31" s="1"/>
  <c r="P146" i="35"/>
  <c r="Z517" i="31"/>
  <c r="AR516" i="31" s="1"/>
  <c r="N523" i="31"/>
  <c r="N520" i="31"/>
  <c r="N521" i="31"/>
  <c r="N518" i="31"/>
  <c r="N519" i="31"/>
  <c r="N522" i="31"/>
  <c r="E146" i="35"/>
  <c r="O517" i="31"/>
  <c r="AG516" i="31" s="1"/>
  <c r="M146" i="35"/>
  <c r="W517" i="31"/>
  <c r="AO516" i="31" s="1"/>
  <c r="L146" i="35"/>
  <c r="V517" i="31"/>
  <c r="AN516" i="31" s="1"/>
  <c r="I146" i="35"/>
  <c r="S517" i="31"/>
  <c r="AK516" i="31" s="1"/>
  <c r="F146" i="35"/>
  <c r="P517" i="31"/>
  <c r="AH516" i="31" s="1"/>
  <c r="J146" i="35"/>
  <c r="T517" i="31"/>
  <c r="AL516" i="31" s="1"/>
  <c r="R146" i="35"/>
  <c r="AB517" i="31"/>
  <c r="AT516" i="31" s="1"/>
  <c r="Q146" i="35"/>
  <c r="AA517" i="31"/>
  <c r="AS516" i="31" s="1"/>
  <c r="O146" i="35"/>
  <c r="Y517" i="31"/>
  <c r="AQ516" i="31" s="1"/>
  <c r="N146" i="35"/>
  <c r="X517" i="31"/>
  <c r="AP516" i="31" s="1"/>
  <c r="X19" i="32"/>
  <c r="X54" i="32" s="1"/>
  <c r="Q19" i="32"/>
  <c r="Q54" i="32" s="1"/>
  <c r="W19" i="32"/>
  <c r="W54" i="32" s="1"/>
  <c r="V19" i="32"/>
  <c r="V54" i="32" s="1"/>
  <c r="AA19" i="32"/>
  <c r="AA54" i="32" s="1"/>
  <c r="S19" i="32"/>
  <c r="S54" i="32" s="1"/>
  <c r="O19" i="32"/>
  <c r="O54" i="32" s="1"/>
  <c r="U19" i="32"/>
  <c r="U54" i="32" s="1"/>
  <c r="T19" i="32"/>
  <c r="T54" i="32" s="1"/>
  <c r="Y19" i="32"/>
  <c r="Y54" i="32" s="1"/>
  <c r="N19" i="32"/>
  <c r="N54" i="32" s="1"/>
  <c r="R19" i="32"/>
  <c r="R54" i="32" s="1"/>
  <c r="Z19" i="32"/>
  <c r="Z54" i="32" s="1"/>
  <c r="P19" i="32"/>
  <c r="P54" i="32" s="1"/>
  <c r="M45" i="1"/>
  <c r="M120" i="1"/>
  <c r="Q195" i="31"/>
  <c r="D146" i="35"/>
  <c r="Q196" i="31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I515" i="29"/>
  <c r="I514" i="29"/>
  <c r="I502" i="29"/>
  <c r="I501" i="29"/>
  <c r="I489" i="29"/>
  <c r="I488" i="29"/>
  <c r="I477" i="29"/>
  <c r="I476" i="29"/>
  <c r="I464" i="29"/>
  <c r="I463" i="29"/>
  <c r="I451" i="29"/>
  <c r="I450" i="29"/>
  <c r="I438" i="29"/>
  <c r="I437" i="29"/>
  <c r="I425" i="29"/>
  <c r="I424" i="29"/>
  <c r="I413" i="29"/>
  <c r="I412" i="29"/>
  <c r="I401" i="29"/>
  <c r="I400" i="29"/>
  <c r="I388" i="29"/>
  <c r="I387" i="29"/>
  <c r="I368" i="29"/>
  <c r="I367" i="29"/>
  <c r="I355" i="29"/>
  <c r="I354" i="29"/>
  <c r="I342" i="29"/>
  <c r="I341" i="29"/>
  <c r="I330" i="29"/>
  <c r="I329" i="29"/>
  <c r="I317" i="29"/>
  <c r="I316" i="29"/>
  <c r="I304" i="29"/>
  <c r="I303" i="29"/>
  <c r="I291" i="29"/>
  <c r="I290" i="29"/>
  <c r="I278" i="29"/>
  <c r="I277" i="29"/>
  <c r="I266" i="29"/>
  <c r="I265" i="29"/>
  <c r="I254" i="29"/>
  <c r="I253" i="29"/>
  <c r="I241" i="29"/>
  <c r="I240" i="29"/>
  <c r="I221" i="29"/>
  <c r="I220" i="29"/>
  <c r="I208" i="29"/>
  <c r="I207" i="29"/>
  <c r="I195" i="29"/>
  <c r="I194" i="29"/>
  <c r="I183" i="29"/>
  <c r="I182" i="29"/>
  <c r="I170" i="29"/>
  <c r="I169" i="29"/>
  <c r="I157" i="29"/>
  <c r="I156" i="29"/>
  <c r="I144" i="29"/>
  <c r="I143" i="29"/>
  <c r="I130" i="29"/>
  <c r="I129" i="29"/>
  <c r="I117" i="29"/>
  <c r="I116" i="29"/>
  <c r="I105" i="29"/>
  <c r="I104" i="29"/>
  <c r="I92" i="29"/>
  <c r="I91" i="29"/>
  <c r="I47" i="29"/>
  <c r="AD507" i="29"/>
  <c r="AA507" i="29"/>
  <c r="B507" i="29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AD494" i="29"/>
  <c r="S494" i="29"/>
  <c r="B494" i="29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AD482" i="29"/>
  <c r="Z482" i="29"/>
  <c r="B482" i="29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AD469" i="29"/>
  <c r="Z469" i="29"/>
  <c r="B469" i="29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AD456" i="29"/>
  <c r="B456" i="29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AD443" i="29"/>
  <c r="AD444" i="29" s="1"/>
  <c r="B443" i="29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AD430" i="29"/>
  <c r="B430" i="29"/>
  <c r="B431" i="29" s="1"/>
  <c r="AD418" i="29"/>
  <c r="B418" i="29"/>
  <c r="AD406" i="29"/>
  <c r="B406" i="29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AD393" i="29"/>
  <c r="B393" i="29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AD381" i="29"/>
  <c r="B381" i="29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AD378" i="29"/>
  <c r="AD360" i="29"/>
  <c r="AD361" i="29" s="1"/>
  <c r="B360" i="29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AD347" i="29"/>
  <c r="AD348" i="29" s="1"/>
  <c r="B347" i="29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AD335" i="29"/>
  <c r="Z335" i="29"/>
  <c r="B335" i="29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AD322" i="29"/>
  <c r="B322" i="29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N310" i="29"/>
  <c r="AD309" i="29"/>
  <c r="R309" i="29"/>
  <c r="B309" i="29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AD296" i="29"/>
  <c r="B296" i="29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AD283" i="29"/>
  <c r="AB283" i="29"/>
  <c r="B283" i="29"/>
  <c r="B284" i="29" s="1"/>
  <c r="AD271" i="29"/>
  <c r="AA271" i="29"/>
  <c r="B271" i="29"/>
  <c r="AD259" i="29"/>
  <c r="Y259" i="29"/>
  <c r="B259" i="29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AD246" i="29"/>
  <c r="AB246" i="29"/>
  <c r="AA246" i="29"/>
  <c r="Z246" i="29"/>
  <c r="Y246" i="29"/>
  <c r="X246" i="29"/>
  <c r="W246" i="29"/>
  <c r="V246" i="29"/>
  <c r="U246" i="29"/>
  <c r="T246" i="29"/>
  <c r="S246" i="29"/>
  <c r="R246" i="29"/>
  <c r="Q246" i="29"/>
  <c r="P246" i="29"/>
  <c r="O246" i="29"/>
  <c r="B246" i="29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AD234" i="29"/>
  <c r="AD235" i="29" s="1"/>
  <c r="AB234" i="29"/>
  <c r="AA234" i="29"/>
  <c r="Z234" i="29"/>
  <c r="Y234" i="29"/>
  <c r="X234" i="29"/>
  <c r="W234" i="29"/>
  <c r="V234" i="29"/>
  <c r="U234" i="29"/>
  <c r="T234" i="29"/>
  <c r="S234" i="29"/>
  <c r="R234" i="29"/>
  <c r="Q234" i="29"/>
  <c r="P234" i="29"/>
  <c r="O234" i="29"/>
  <c r="B234" i="29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AE232" i="29"/>
  <c r="AD231" i="29"/>
  <c r="AD213" i="29"/>
  <c r="B213" i="29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AD200" i="29"/>
  <c r="B200" i="29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AD188" i="29"/>
  <c r="B188" i="29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AD175" i="29"/>
  <c r="B175" i="29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AD162" i="29"/>
  <c r="B162" i="29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AD149" i="29"/>
  <c r="AD150" i="29" s="1"/>
  <c r="B149" i="29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6" i="29"/>
  <c r="S136" i="29" s="1"/>
  <c r="AD135" i="29"/>
  <c r="B135" i="29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AD122" i="29"/>
  <c r="B122" i="29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AD110" i="29"/>
  <c r="B110" i="29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AD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B97" i="29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AD85" i="29"/>
  <c r="AD86" i="29" s="1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B85" i="29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AD82" i="29"/>
  <c r="U522" i="31" l="1"/>
  <c r="U519" i="31"/>
  <c r="S107" i="35"/>
  <c r="U520" i="31"/>
  <c r="BE513" i="31"/>
  <c r="U518" i="31"/>
  <c r="BD513" i="31"/>
  <c r="U523" i="31"/>
  <c r="U521" i="31"/>
  <c r="BC513" i="31"/>
  <c r="BC24" i="31" s="1"/>
  <c r="BJ513" i="31"/>
  <c r="BJ24" i="31" s="1"/>
  <c r="BF513" i="31"/>
  <c r="BF24" i="31" s="1"/>
  <c r="BL513" i="31"/>
  <c r="BL24" i="31" s="1"/>
  <c r="BI513" i="31"/>
  <c r="BI24" i="31" s="1"/>
  <c r="AZ513" i="31"/>
  <c r="AZ24" i="31" s="1"/>
  <c r="AY513" i="31"/>
  <c r="AY24" i="31" s="1"/>
  <c r="BG513" i="31"/>
  <c r="BG24" i="31" s="1"/>
  <c r="BK513" i="31"/>
  <c r="BK24" i="31" s="1"/>
  <c r="BA513" i="31"/>
  <c r="BA24" i="31" s="1"/>
  <c r="BH513" i="31"/>
  <c r="BH24" i="31" s="1"/>
  <c r="B432" i="29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19" i="29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272" i="29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5" i="29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AA522" i="31"/>
  <c r="AA521" i="31"/>
  <c r="AA523" i="31"/>
  <c r="AA518" i="31"/>
  <c r="AA519" i="31"/>
  <c r="AA520" i="31"/>
  <c r="Z523" i="31"/>
  <c r="Z520" i="31"/>
  <c r="Z522" i="31"/>
  <c r="Z521" i="31"/>
  <c r="Z518" i="31"/>
  <c r="Z519" i="31"/>
  <c r="S521" i="31"/>
  <c r="S518" i="31"/>
  <c r="S522" i="31"/>
  <c r="S519" i="31"/>
  <c r="S523" i="31"/>
  <c r="S520" i="31"/>
  <c r="W523" i="31"/>
  <c r="W521" i="31"/>
  <c r="W518" i="31"/>
  <c r="W519" i="31"/>
  <c r="W520" i="31"/>
  <c r="W522" i="31"/>
  <c r="Y522" i="31"/>
  <c r="Y519" i="31"/>
  <c r="Y520" i="31"/>
  <c r="Y523" i="31"/>
  <c r="Y521" i="31"/>
  <c r="Y518" i="31"/>
  <c r="AB523" i="31"/>
  <c r="AB518" i="31"/>
  <c r="AB519" i="31"/>
  <c r="AB522" i="31"/>
  <c r="AB520" i="31"/>
  <c r="AB521" i="31"/>
  <c r="Q522" i="31"/>
  <c r="Q523" i="31"/>
  <c r="Q519" i="31"/>
  <c r="Q520" i="31"/>
  <c r="Q521" i="31"/>
  <c r="Q518" i="31"/>
  <c r="X518" i="31"/>
  <c r="X519" i="31"/>
  <c r="X520" i="31"/>
  <c r="X523" i="31"/>
  <c r="X521" i="31"/>
  <c r="X522" i="31"/>
  <c r="T518" i="31"/>
  <c r="T522" i="31"/>
  <c r="T519" i="31"/>
  <c r="T523" i="31"/>
  <c r="T520" i="31"/>
  <c r="T521" i="31"/>
  <c r="P522" i="31"/>
  <c r="P518" i="31"/>
  <c r="P523" i="31"/>
  <c r="P519" i="31"/>
  <c r="P520" i="31"/>
  <c r="P521" i="31"/>
  <c r="V523" i="31"/>
  <c r="V522" i="31"/>
  <c r="V520" i="31"/>
  <c r="V521" i="31"/>
  <c r="V518" i="31"/>
  <c r="V519" i="31"/>
  <c r="O521" i="31"/>
  <c r="O522" i="31"/>
  <c r="O518" i="31"/>
  <c r="O523" i="31"/>
  <c r="O519" i="31"/>
  <c r="O520" i="31"/>
  <c r="W136" i="29"/>
  <c r="R136" i="29"/>
  <c r="AB136" i="29"/>
  <c r="R195" i="31"/>
  <c r="V309" i="29"/>
  <c r="X322" i="29"/>
  <c r="V322" i="29"/>
  <c r="Y494" i="29"/>
  <c r="R196" i="31"/>
  <c r="AB271" i="29"/>
  <c r="AA335" i="29"/>
  <c r="V283" i="29"/>
  <c r="AB322" i="29"/>
  <c r="O335" i="29"/>
  <c r="U335" i="29"/>
  <c r="T271" i="29"/>
  <c r="Q322" i="29"/>
  <c r="P335" i="29"/>
  <c r="Y271" i="29"/>
  <c r="R322" i="29"/>
  <c r="Q335" i="29"/>
  <c r="Y335" i="29"/>
  <c r="Y469" i="29"/>
  <c r="T335" i="29"/>
  <c r="Q271" i="29"/>
  <c r="AB335" i="29"/>
  <c r="T507" i="29"/>
  <c r="W335" i="29"/>
  <c r="U469" i="29"/>
  <c r="AB507" i="29"/>
  <c r="S482" i="29"/>
  <c r="X482" i="29"/>
  <c r="W283" i="29"/>
  <c r="W309" i="29"/>
  <c r="O482" i="29"/>
  <c r="T482" i="29"/>
  <c r="Y482" i="29"/>
  <c r="U507" i="29"/>
  <c r="U271" i="29"/>
  <c r="P283" i="29"/>
  <c r="AA283" i="29"/>
  <c r="Q309" i="29"/>
  <c r="AA309" i="29"/>
  <c r="P482" i="29"/>
  <c r="U482" i="29"/>
  <c r="AA482" i="29"/>
  <c r="P507" i="29"/>
  <c r="X507" i="29"/>
  <c r="P271" i="29"/>
  <c r="X271" i="29"/>
  <c r="R283" i="29"/>
  <c r="S335" i="29"/>
  <c r="X335" i="29"/>
  <c r="Q469" i="29"/>
  <c r="Q482" i="29"/>
  <c r="W482" i="29"/>
  <c r="AB482" i="29"/>
  <c r="Q507" i="29"/>
  <c r="Y507" i="29"/>
  <c r="AD98" i="29"/>
  <c r="AD123" i="29"/>
  <c r="AD201" i="29"/>
  <c r="AD163" i="29"/>
  <c r="AD111" i="29"/>
  <c r="AD247" i="29"/>
  <c r="AD297" i="29"/>
  <c r="AD284" i="29"/>
  <c r="AD260" i="29"/>
  <c r="AD508" i="29"/>
  <c r="AD394" i="29"/>
  <c r="AD407" i="29"/>
  <c r="AD431" i="29"/>
  <c r="AD457" i="29"/>
  <c r="AD495" i="29"/>
  <c r="AD176" i="29"/>
  <c r="AD136" i="29"/>
  <c r="AD189" i="29"/>
  <c r="Y136" i="29"/>
  <c r="U136" i="29"/>
  <c r="Q136" i="29"/>
  <c r="Z136" i="29"/>
  <c r="T136" i="29"/>
  <c r="O136" i="29"/>
  <c r="AA136" i="29"/>
  <c r="V136" i="29"/>
  <c r="P136" i="29"/>
  <c r="X136" i="29"/>
  <c r="Y296" i="29"/>
  <c r="U296" i="29"/>
  <c r="Q296" i="29"/>
  <c r="AB296" i="29"/>
  <c r="W296" i="29"/>
  <c r="R296" i="29"/>
  <c r="AA296" i="29"/>
  <c r="V296" i="29"/>
  <c r="P296" i="29"/>
  <c r="Z296" i="29"/>
  <c r="O296" i="29"/>
  <c r="T296" i="29"/>
  <c r="S296" i="29"/>
  <c r="X296" i="29"/>
  <c r="AB259" i="29"/>
  <c r="X259" i="29"/>
  <c r="T259" i="29"/>
  <c r="P259" i="29"/>
  <c r="Z259" i="29"/>
  <c r="U259" i="29"/>
  <c r="O259" i="29"/>
  <c r="W259" i="29"/>
  <c r="R259" i="29"/>
  <c r="AA259" i="29"/>
  <c r="V259" i="29"/>
  <c r="Q259" i="29"/>
  <c r="AD214" i="29"/>
  <c r="S259" i="29"/>
  <c r="AA347" i="29"/>
  <c r="W347" i="29"/>
  <c r="S347" i="29"/>
  <c r="O347" i="29"/>
  <c r="Y347" i="29"/>
  <c r="U347" i="29"/>
  <c r="Q347" i="29"/>
  <c r="AB347" i="29"/>
  <c r="X347" i="29"/>
  <c r="T347" i="29"/>
  <c r="P347" i="29"/>
  <c r="R347" i="29"/>
  <c r="Z347" i="29"/>
  <c r="V347" i="29"/>
  <c r="AA360" i="29"/>
  <c r="W360" i="29"/>
  <c r="S360" i="29"/>
  <c r="O360" i="29"/>
  <c r="Z360" i="29"/>
  <c r="U360" i="29"/>
  <c r="P360" i="29"/>
  <c r="X360" i="29"/>
  <c r="R360" i="29"/>
  <c r="AB360" i="29"/>
  <c r="V360" i="29"/>
  <c r="Q360" i="29"/>
  <c r="T360" i="29"/>
  <c r="Y360" i="29"/>
  <c r="R271" i="29"/>
  <c r="V271" i="29"/>
  <c r="Z271" i="29"/>
  <c r="Y283" i="29"/>
  <c r="U283" i="29"/>
  <c r="Q283" i="29"/>
  <c r="S283" i="29"/>
  <c r="X283" i="29"/>
  <c r="AB309" i="29"/>
  <c r="X309" i="29"/>
  <c r="T309" i="29"/>
  <c r="P309" i="29"/>
  <c r="S309" i="29"/>
  <c r="Y309" i="29"/>
  <c r="AD310" i="29"/>
  <c r="AA322" i="29"/>
  <c r="W322" i="29"/>
  <c r="S322" i="29"/>
  <c r="O322" i="29"/>
  <c r="T322" i="29"/>
  <c r="Y322" i="29"/>
  <c r="AD323" i="29"/>
  <c r="O271" i="29"/>
  <c r="S271" i="29"/>
  <c r="W271" i="29"/>
  <c r="O283" i="29"/>
  <c r="T283" i="29"/>
  <c r="Z283" i="29"/>
  <c r="O309" i="29"/>
  <c r="U309" i="29"/>
  <c r="Z309" i="29"/>
  <c r="P322" i="29"/>
  <c r="U322" i="29"/>
  <c r="Z322" i="29"/>
  <c r="R335" i="29"/>
  <c r="V335" i="29"/>
  <c r="AD336" i="29"/>
  <c r="AD382" i="29"/>
  <c r="AD470" i="29"/>
  <c r="O469" i="29"/>
  <c r="S469" i="29"/>
  <c r="W469" i="29"/>
  <c r="AA469" i="29"/>
  <c r="P469" i="29"/>
  <c r="T469" i="29"/>
  <c r="X469" i="29"/>
  <c r="AB469" i="29"/>
  <c r="AB494" i="29"/>
  <c r="X494" i="29"/>
  <c r="T494" i="29"/>
  <c r="P494" i="29"/>
  <c r="Z494" i="29"/>
  <c r="U494" i="29"/>
  <c r="O494" i="29"/>
  <c r="W494" i="29"/>
  <c r="R494" i="29"/>
  <c r="AA494" i="29"/>
  <c r="V494" i="29"/>
  <c r="Q494" i="29"/>
  <c r="R469" i="29"/>
  <c r="V469" i="29"/>
  <c r="R482" i="29"/>
  <c r="V482" i="29"/>
  <c r="AD483" i="29"/>
  <c r="R507" i="29"/>
  <c r="V507" i="29"/>
  <c r="Z507" i="29"/>
  <c r="O507" i="29"/>
  <c r="S507" i="29"/>
  <c r="W507" i="29"/>
  <c r="Y218" i="38"/>
  <c r="AD480" i="31"/>
  <c r="AD466" i="31"/>
  <c r="AD454" i="31"/>
  <c r="AD441" i="31"/>
  <c r="AD442" i="31" s="1"/>
  <c r="I488" i="31"/>
  <c r="I487" i="31"/>
  <c r="B480" i="3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I475" i="31"/>
  <c r="I474" i="31"/>
  <c r="AD467" i="31"/>
  <c r="B466" i="31"/>
  <c r="B467" i="31" s="1"/>
  <c r="I461" i="31"/>
  <c r="I460" i="31"/>
  <c r="B454" i="3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I449" i="31"/>
  <c r="I448" i="31"/>
  <c r="B441" i="3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I383" i="31"/>
  <c r="I382" i="31"/>
  <c r="AD376" i="31"/>
  <c r="N376" i="31"/>
  <c r="B376" i="3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AH26" i="34" l="1"/>
  <c r="AI26" i="34"/>
  <c r="AR26" i="34"/>
  <c r="AU26" i="34"/>
  <c r="AQ26" i="34"/>
  <c r="AO26" i="34"/>
  <c r="AJ26" i="34"/>
  <c r="AS26" i="34"/>
  <c r="AT26" i="34"/>
  <c r="AL26" i="34"/>
  <c r="AP26" i="34"/>
  <c r="BD501" i="31"/>
  <c r="BD24" i="31"/>
  <c r="BE501" i="31"/>
  <c r="BE24" i="31"/>
  <c r="G218" i="38"/>
  <c r="AF218" i="38"/>
  <c r="AG218" i="38" s="1"/>
  <c r="AI218" i="38" s="1"/>
  <c r="AJ218" i="38" s="1"/>
  <c r="B469" i="3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68" i="31"/>
  <c r="BF501" i="31"/>
  <c r="BJ501" i="31"/>
  <c r="BL501" i="31"/>
  <c r="BC501" i="31"/>
  <c r="BH501" i="31"/>
  <c r="AY501" i="31"/>
  <c r="BA501" i="31"/>
  <c r="AZ501" i="31"/>
  <c r="BG501" i="31"/>
  <c r="BK501" i="31"/>
  <c r="BI501" i="31"/>
  <c r="Y196" i="38"/>
  <c r="G196" i="38" s="1"/>
  <c r="Y219" i="38"/>
  <c r="S195" i="31"/>
  <c r="S196" i="31"/>
  <c r="AD481" i="31"/>
  <c r="AD455" i="31"/>
  <c r="AD377" i="31"/>
  <c r="Y376" i="31"/>
  <c r="U376" i="31"/>
  <c r="Q376" i="31"/>
  <c r="AB376" i="31"/>
  <c r="X376" i="31"/>
  <c r="T376" i="31"/>
  <c r="P376" i="31"/>
  <c r="AA376" i="31"/>
  <c r="W376" i="31"/>
  <c r="S376" i="31"/>
  <c r="O376" i="31"/>
  <c r="V376" i="31"/>
  <c r="R376" i="31"/>
  <c r="Z376" i="31"/>
  <c r="I337" i="31"/>
  <c r="I336" i="31"/>
  <c r="AD329" i="31"/>
  <c r="B329" i="3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I324" i="31"/>
  <c r="I323" i="31"/>
  <c r="AD315" i="31"/>
  <c r="B315" i="31"/>
  <c r="B316" i="31" s="1"/>
  <c r="I298" i="31"/>
  <c r="I297" i="31"/>
  <c r="AD290" i="31"/>
  <c r="B290" i="3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I208" i="31"/>
  <c r="I207" i="31"/>
  <c r="AD201" i="31"/>
  <c r="B201" i="31"/>
  <c r="B202" i="31" s="1"/>
  <c r="I188" i="31"/>
  <c r="I187" i="31"/>
  <c r="AD179" i="31"/>
  <c r="AD180" i="31" s="1"/>
  <c r="N179" i="31"/>
  <c r="V179" i="31" s="1"/>
  <c r="B179" i="31"/>
  <c r="B180" i="31" s="1"/>
  <c r="I174" i="31"/>
  <c r="I173" i="31"/>
  <c r="AD165" i="31"/>
  <c r="N165" i="31"/>
  <c r="Z165" i="31" s="1"/>
  <c r="B165" i="31"/>
  <c r="B166" i="31" s="1"/>
  <c r="I134" i="31"/>
  <c r="I133" i="31"/>
  <c r="AD125" i="31"/>
  <c r="N125" i="31"/>
  <c r="AA125" i="31" s="1"/>
  <c r="B125" i="31"/>
  <c r="B126" i="31" s="1"/>
  <c r="I148" i="31"/>
  <c r="I147" i="31"/>
  <c r="AD139" i="31"/>
  <c r="AD140" i="31" s="1"/>
  <c r="N139" i="31"/>
  <c r="W139" i="31" s="1"/>
  <c r="B139" i="31"/>
  <c r="B140" i="31" s="1"/>
  <c r="I53" i="31"/>
  <c r="I52" i="31"/>
  <c r="AD46" i="31"/>
  <c r="AD47" i="31" s="1"/>
  <c r="B46" i="31"/>
  <c r="AD314" i="28"/>
  <c r="AD275" i="28"/>
  <c r="AD261" i="28"/>
  <c r="AD288" i="28"/>
  <c r="AD300" i="28"/>
  <c r="I322" i="28"/>
  <c r="N315" i="28"/>
  <c r="N314" i="28"/>
  <c r="Z314" i="28" s="1"/>
  <c r="B314" i="28"/>
  <c r="B315" i="28" s="1"/>
  <c r="B316" i="28" s="1"/>
  <c r="B317" i="28" s="1"/>
  <c r="B318" i="28" s="1"/>
  <c r="B319" i="28" s="1"/>
  <c r="B320" i="28" s="1"/>
  <c r="B321" i="28" s="1"/>
  <c r="B322" i="28" s="1"/>
  <c r="B323" i="28" s="1"/>
  <c r="B324" i="28" s="1"/>
  <c r="B325" i="28" s="1"/>
  <c r="B326" i="28" s="1"/>
  <c r="I309" i="28"/>
  <c r="N300" i="28"/>
  <c r="Z300" i="28" s="1"/>
  <c r="B300" i="28"/>
  <c r="B301" i="28" s="1"/>
  <c r="I295" i="28"/>
  <c r="N288" i="28"/>
  <c r="W288" i="28" s="1"/>
  <c r="B288" i="28"/>
  <c r="B289" i="28" s="1"/>
  <c r="B290" i="28" s="1"/>
  <c r="B291" i="28" s="1"/>
  <c r="B292" i="28" s="1"/>
  <c r="B293" i="28" s="1"/>
  <c r="B294" i="28" s="1"/>
  <c r="B295" i="28" s="1"/>
  <c r="B296" i="28" s="1"/>
  <c r="B297" i="28" s="1"/>
  <c r="B298" i="28" s="1"/>
  <c r="B299" i="28" s="1"/>
  <c r="I283" i="28"/>
  <c r="N276" i="28"/>
  <c r="N275" i="28"/>
  <c r="B275" i="28"/>
  <c r="B276" i="28" s="1"/>
  <c r="B277" i="28" s="1"/>
  <c r="B278" i="28" s="1"/>
  <c r="B279" i="28" s="1"/>
  <c r="B280" i="28" s="1"/>
  <c r="B281" i="28" s="1"/>
  <c r="B282" i="28" s="1"/>
  <c r="B283" i="28" s="1"/>
  <c r="B284" i="28" s="1"/>
  <c r="B285" i="28" s="1"/>
  <c r="B286" i="28" s="1"/>
  <c r="B287" i="28" s="1"/>
  <c r="I270" i="28"/>
  <c r="N261" i="28"/>
  <c r="Z261" i="28" s="1"/>
  <c r="B261" i="28"/>
  <c r="B262" i="28" s="1"/>
  <c r="I218" i="28"/>
  <c r="B211" i="28"/>
  <c r="B212" i="28" s="1"/>
  <c r="B213" i="28" s="1"/>
  <c r="B214" i="28" s="1"/>
  <c r="B215" i="28" s="1"/>
  <c r="B216" i="28" s="1"/>
  <c r="B217" i="28" s="1"/>
  <c r="B218" i="28" s="1"/>
  <c r="B219" i="28" s="1"/>
  <c r="B220" i="28" s="1"/>
  <c r="B221" i="28" s="1"/>
  <c r="B222" i="28" s="1"/>
  <c r="I172" i="28"/>
  <c r="AD164" i="28"/>
  <c r="N164" i="28"/>
  <c r="AA164" i="28" s="1"/>
  <c r="B164" i="28"/>
  <c r="B165" i="28" s="1"/>
  <c r="B166" i="28" s="1"/>
  <c r="B167" i="28" s="1"/>
  <c r="B168" i="28" s="1"/>
  <c r="B169" i="28" s="1"/>
  <c r="B170" i="28" s="1"/>
  <c r="B171" i="28" s="1"/>
  <c r="B172" i="28" s="1"/>
  <c r="B173" i="28" s="1"/>
  <c r="B174" i="28" s="1"/>
  <c r="B175" i="28" s="1"/>
  <c r="B176" i="28" s="1"/>
  <c r="AD150" i="28"/>
  <c r="AD151" i="28" s="1"/>
  <c r="I159" i="28"/>
  <c r="N150" i="28"/>
  <c r="AA150" i="28" s="1"/>
  <c r="B150" i="28"/>
  <c r="B151" i="28" s="1"/>
  <c r="AG9" i="23"/>
  <c r="AG8" i="23"/>
  <c r="AG7" i="23"/>
  <c r="AG6" i="23"/>
  <c r="AG5" i="23"/>
  <c r="AG4" i="23"/>
  <c r="AM26" i="34" l="1"/>
  <c r="AN26" i="34"/>
  <c r="B182" i="3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81" i="31"/>
  <c r="B142" i="3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41" i="31"/>
  <c r="G219" i="38"/>
  <c r="AF219" i="38"/>
  <c r="AG219" i="38" s="1"/>
  <c r="AI219" i="38" s="1"/>
  <c r="AJ219" i="38" s="1"/>
  <c r="B128" i="3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27" i="31"/>
  <c r="B318" i="3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17" i="31"/>
  <c r="B168" i="3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67" i="31"/>
  <c r="B153" i="28"/>
  <c r="B154" i="28" s="1"/>
  <c r="B155" i="28" s="1"/>
  <c r="B156" i="28" s="1"/>
  <c r="B157" i="28" s="1"/>
  <c r="B158" i="28" s="1"/>
  <c r="B159" i="28" s="1"/>
  <c r="B160" i="28" s="1"/>
  <c r="B161" i="28" s="1"/>
  <c r="B162" i="28" s="1"/>
  <c r="B163" i="28" s="1"/>
  <c r="B152" i="28"/>
  <c r="B303" i="28"/>
  <c r="B304" i="28" s="1"/>
  <c r="B305" i="28" s="1"/>
  <c r="B306" i="28" s="1"/>
  <c r="B307" i="28" s="1"/>
  <c r="B308" i="28" s="1"/>
  <c r="B309" i="28" s="1"/>
  <c r="B310" i="28" s="1"/>
  <c r="B311" i="28" s="1"/>
  <c r="B312" i="28" s="1"/>
  <c r="B313" i="28" s="1"/>
  <c r="B302" i="28"/>
  <c r="B264" i="28"/>
  <c r="B265" i="28" s="1"/>
  <c r="B266" i="28" s="1"/>
  <c r="B267" i="28" s="1"/>
  <c r="B268" i="28" s="1"/>
  <c r="B269" i="28" s="1"/>
  <c r="B270" i="28" s="1"/>
  <c r="B271" i="28" s="1"/>
  <c r="B272" i="28" s="1"/>
  <c r="B273" i="28" s="1"/>
  <c r="B274" i="28" s="1"/>
  <c r="B263" i="28"/>
  <c r="Y197" i="38"/>
  <c r="G197" i="38" s="1"/>
  <c r="AB261" i="28"/>
  <c r="R288" i="28"/>
  <c r="Q288" i="28"/>
  <c r="V288" i="28"/>
  <c r="X164" i="28"/>
  <c r="P164" i="28"/>
  <c r="X150" i="28"/>
  <c r="Q164" i="28"/>
  <c r="AB164" i="28"/>
  <c r="Q261" i="28"/>
  <c r="AA288" i="28"/>
  <c r="Q165" i="31"/>
  <c r="Y164" i="28"/>
  <c r="T164" i="28"/>
  <c r="W261" i="28"/>
  <c r="Y165" i="31"/>
  <c r="T195" i="31"/>
  <c r="S300" i="28"/>
  <c r="X300" i="28"/>
  <c r="T314" i="28"/>
  <c r="AA314" i="28"/>
  <c r="S261" i="28"/>
  <c r="X261" i="28"/>
  <c r="O300" i="28"/>
  <c r="T300" i="28"/>
  <c r="Y300" i="28"/>
  <c r="O314" i="28"/>
  <c r="V314" i="28"/>
  <c r="AB314" i="28"/>
  <c r="O261" i="28"/>
  <c r="T261" i="28"/>
  <c r="Y261" i="28"/>
  <c r="P300" i="28"/>
  <c r="U300" i="28"/>
  <c r="AA300" i="28"/>
  <c r="P314" i="28"/>
  <c r="W314" i="28"/>
  <c r="T150" i="28"/>
  <c r="U164" i="28"/>
  <c r="P261" i="28"/>
  <c r="U261" i="28"/>
  <c r="AA261" i="28"/>
  <c r="Q300" i="28"/>
  <c r="W300" i="28"/>
  <c r="AB300" i="28"/>
  <c r="R314" i="28"/>
  <c r="T196" i="31"/>
  <c r="T125" i="31"/>
  <c r="T165" i="31"/>
  <c r="AA165" i="31"/>
  <c r="AB125" i="31"/>
  <c r="O165" i="31"/>
  <c r="U165" i="31"/>
  <c r="AB165" i="31"/>
  <c r="P165" i="31"/>
  <c r="W165" i="31"/>
  <c r="AD316" i="31"/>
  <c r="AD330" i="31"/>
  <c r="AD291" i="31"/>
  <c r="B203" i="31"/>
  <c r="B204" i="31" s="1"/>
  <c r="B205" i="31" s="1"/>
  <c r="B206" i="31" s="1"/>
  <c r="B207" i="31" s="1"/>
  <c r="B208" i="31" s="1"/>
  <c r="B209" i="31" s="1"/>
  <c r="B210" i="31" s="1"/>
  <c r="B211" i="31" s="1"/>
  <c r="B212" i="31" s="1"/>
  <c r="W179" i="31"/>
  <c r="U125" i="31"/>
  <c r="P179" i="31"/>
  <c r="AA179" i="31"/>
  <c r="P125" i="31"/>
  <c r="X125" i="31"/>
  <c r="R179" i="31"/>
  <c r="AB179" i="31"/>
  <c r="Q125" i="31"/>
  <c r="Y125" i="31"/>
  <c r="S165" i="31"/>
  <c r="X165" i="31"/>
  <c r="AD166" i="31"/>
  <c r="Y179" i="31"/>
  <c r="U179" i="31"/>
  <c r="Q179" i="31"/>
  <c r="S179" i="31"/>
  <c r="X179" i="31"/>
  <c r="O179" i="31"/>
  <c r="T179" i="31"/>
  <c r="Z179" i="31"/>
  <c r="R165" i="31"/>
  <c r="V165" i="31"/>
  <c r="AD126" i="31"/>
  <c r="R125" i="31"/>
  <c r="V125" i="31"/>
  <c r="Z125" i="31"/>
  <c r="O125" i="31"/>
  <c r="S125" i="31"/>
  <c r="W125" i="31"/>
  <c r="B47" i="3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V139" i="31"/>
  <c r="O139" i="31"/>
  <c r="Y139" i="31"/>
  <c r="U139" i="31"/>
  <c r="Q139" i="31"/>
  <c r="AB139" i="31"/>
  <c r="X139" i="31"/>
  <c r="T139" i="31"/>
  <c r="P139" i="31"/>
  <c r="R139" i="31"/>
  <c r="Z139" i="31"/>
  <c r="S139" i="31"/>
  <c r="AA139" i="31"/>
  <c r="AD315" i="28"/>
  <c r="AD276" i="28"/>
  <c r="AA275" i="28"/>
  <c r="W275" i="28"/>
  <c r="S275" i="28"/>
  <c r="O275" i="28"/>
  <c r="X275" i="28"/>
  <c r="R275" i="28"/>
  <c r="AB275" i="28"/>
  <c r="V275" i="28"/>
  <c r="Q275" i="28"/>
  <c r="Z275" i="28"/>
  <c r="U275" i="28"/>
  <c r="P275" i="28"/>
  <c r="T275" i="28"/>
  <c r="AD262" i="28"/>
  <c r="Y275" i="28"/>
  <c r="AB288" i="28"/>
  <c r="X288" i="28"/>
  <c r="T288" i="28"/>
  <c r="P288" i="28"/>
  <c r="S288" i="28"/>
  <c r="Y288" i="28"/>
  <c r="AD301" i="28"/>
  <c r="O288" i="28"/>
  <c r="U288" i="28"/>
  <c r="Z288" i="28"/>
  <c r="AD289" i="28"/>
  <c r="R261" i="28"/>
  <c r="V261" i="28"/>
  <c r="Y314" i="28"/>
  <c r="U314" i="28"/>
  <c r="Q314" i="28"/>
  <c r="S314" i="28"/>
  <c r="X314" i="28"/>
  <c r="R300" i="28"/>
  <c r="V300" i="28"/>
  <c r="AD212" i="28"/>
  <c r="AD165" i="28"/>
  <c r="R164" i="28"/>
  <c r="V164" i="28"/>
  <c r="Z164" i="28"/>
  <c r="O164" i="28"/>
  <c r="S164" i="28"/>
  <c r="W164" i="28"/>
  <c r="AB150" i="28"/>
  <c r="P150" i="28"/>
  <c r="Q150" i="28"/>
  <c r="U150" i="28"/>
  <c r="Y150" i="28"/>
  <c r="R150" i="28"/>
  <c r="V150" i="28"/>
  <c r="Z150" i="28"/>
  <c r="O150" i="28"/>
  <c r="S150" i="28"/>
  <c r="W150" i="28"/>
  <c r="U195" i="31" l="1"/>
  <c r="U196" i="31"/>
  <c r="G318" i="38"/>
  <c r="V195" i="31" l="1"/>
  <c r="V196" i="31"/>
  <c r="E46" i="36"/>
  <c r="M48" i="23" l="1"/>
  <c r="E47" i="36"/>
  <c r="S28" i="23" s="1"/>
  <c r="X47" i="36"/>
  <c r="W195" i="31"/>
  <c r="W196" i="31"/>
  <c r="M16" i="23"/>
  <c r="E20" i="36"/>
  <c r="B6" i="5"/>
  <c r="N355" i="31"/>
  <c r="D161" i="45"/>
  <c r="AB252" i="29"/>
  <c r="AA252" i="29"/>
  <c r="Z252" i="29"/>
  <c r="Y252" i="29"/>
  <c r="X252" i="29"/>
  <c r="W252" i="29"/>
  <c r="V252" i="29"/>
  <c r="U252" i="29"/>
  <c r="T252" i="29"/>
  <c r="S252" i="29"/>
  <c r="Q252" i="29"/>
  <c r="P252" i="29"/>
  <c r="O252" i="29"/>
  <c r="N252" i="29"/>
  <c r="B25" i="5"/>
  <c r="B24" i="5"/>
  <c r="B23" i="5"/>
  <c r="B22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27" i="5"/>
  <c r="B26" i="5"/>
  <c r="O28" i="23" l="1"/>
  <c r="W28" i="23"/>
  <c r="S17" i="23"/>
  <c r="Z16" i="23"/>
  <c r="Z48" i="23"/>
  <c r="W16" i="23"/>
  <c r="W48" i="23"/>
  <c r="Q16" i="23"/>
  <c r="Q48" i="23"/>
  <c r="O16" i="23"/>
  <c r="O48" i="23"/>
  <c r="N16" i="23"/>
  <c r="N48" i="23"/>
  <c r="AA16" i="23"/>
  <c r="AA48" i="23"/>
  <c r="Y16" i="23"/>
  <c r="Y48" i="23"/>
  <c r="X16" i="23"/>
  <c r="X48" i="23"/>
  <c r="U16" i="23"/>
  <c r="U48" i="23"/>
  <c r="T16" i="23"/>
  <c r="T48" i="23"/>
  <c r="S16" i="23"/>
  <c r="S48" i="23"/>
  <c r="R16" i="23"/>
  <c r="R48" i="23"/>
  <c r="P16" i="23"/>
  <c r="P48" i="23"/>
  <c r="V16" i="23"/>
  <c r="V48" i="23"/>
  <c r="V28" i="23"/>
  <c r="T17" i="23"/>
  <c r="M17" i="23"/>
  <c r="R17" i="23"/>
  <c r="Y28" i="23"/>
  <c r="AA17" i="23"/>
  <c r="M28" i="23"/>
  <c r="N28" i="23"/>
  <c r="U28" i="23"/>
  <c r="P28" i="23"/>
  <c r="X28" i="23"/>
  <c r="Z28" i="23"/>
  <c r="AB14" i="55"/>
  <c r="N14" i="55"/>
  <c r="X195" i="31"/>
  <c r="X196" i="31"/>
  <c r="Q28" i="23"/>
  <c r="Q17" i="23"/>
  <c r="O17" i="23"/>
  <c r="W17" i="23"/>
  <c r="Q14" i="55"/>
  <c r="U14" i="55"/>
  <c r="Y14" i="55"/>
  <c r="R14" i="55"/>
  <c r="V14" i="55"/>
  <c r="Z14" i="55"/>
  <c r="O14" i="55"/>
  <c r="S14" i="55"/>
  <c r="W14" i="55"/>
  <c r="AA14" i="55"/>
  <c r="P14" i="55"/>
  <c r="T14" i="55"/>
  <c r="X14" i="55"/>
  <c r="U17" i="23" l="1"/>
  <c r="X17" i="23"/>
  <c r="R28" i="23"/>
  <c r="Z17" i="23"/>
  <c r="P17" i="23"/>
  <c r="AA28" i="23"/>
  <c r="T28" i="23"/>
  <c r="N17" i="23"/>
  <c r="V17" i="23"/>
  <c r="Y17" i="23"/>
  <c r="AA112" i="55"/>
  <c r="AA59" i="55"/>
  <c r="AA73" i="55"/>
  <c r="AA99" i="55"/>
  <c r="AA124" i="55"/>
  <c r="AA150" i="55"/>
  <c r="AA46" i="55"/>
  <c r="AA86" i="55"/>
  <c r="AA137" i="55"/>
  <c r="AA34" i="55"/>
  <c r="U99" i="55"/>
  <c r="U59" i="55"/>
  <c r="U34" i="55"/>
  <c r="U112" i="55"/>
  <c r="U86" i="55"/>
  <c r="U46" i="55"/>
  <c r="U124" i="55"/>
  <c r="U137" i="55"/>
  <c r="U150" i="55"/>
  <c r="U73" i="55"/>
  <c r="X150" i="55"/>
  <c r="X124" i="55"/>
  <c r="X73" i="55"/>
  <c r="X137" i="55"/>
  <c r="X86" i="55"/>
  <c r="X59" i="55"/>
  <c r="X46" i="55"/>
  <c r="X99" i="55"/>
  <c r="X34" i="55"/>
  <c r="X112" i="55"/>
  <c r="W59" i="55"/>
  <c r="W124" i="55"/>
  <c r="W137" i="55"/>
  <c r="W34" i="55"/>
  <c r="W73" i="55"/>
  <c r="W99" i="55"/>
  <c r="W112" i="55"/>
  <c r="W150" i="55"/>
  <c r="W46" i="55"/>
  <c r="W86" i="55"/>
  <c r="V124" i="55"/>
  <c r="V137" i="55"/>
  <c r="V34" i="55"/>
  <c r="V99" i="55"/>
  <c r="V73" i="55"/>
  <c r="V46" i="55"/>
  <c r="V112" i="55"/>
  <c r="V150" i="55"/>
  <c r="V59" i="55"/>
  <c r="V86" i="55"/>
  <c r="Q99" i="55"/>
  <c r="Q137" i="55"/>
  <c r="Q86" i="55"/>
  <c r="Q46" i="55"/>
  <c r="Q124" i="55"/>
  <c r="Q59" i="55"/>
  <c r="Q112" i="55"/>
  <c r="Q34" i="55"/>
  <c r="Q73" i="55"/>
  <c r="Q150" i="55"/>
  <c r="T150" i="55"/>
  <c r="T137" i="55"/>
  <c r="T86" i="55"/>
  <c r="T73" i="55"/>
  <c r="T46" i="55"/>
  <c r="T99" i="55"/>
  <c r="T34" i="55"/>
  <c r="T124" i="55"/>
  <c r="T59" i="55"/>
  <c r="T112" i="55"/>
  <c r="S124" i="55"/>
  <c r="S112" i="55"/>
  <c r="S86" i="55"/>
  <c r="S137" i="55"/>
  <c r="S34" i="55"/>
  <c r="S73" i="55"/>
  <c r="S99" i="55"/>
  <c r="S150" i="55"/>
  <c r="S46" i="55"/>
  <c r="S59" i="55"/>
  <c r="R46" i="55"/>
  <c r="R59" i="55"/>
  <c r="R86" i="55"/>
  <c r="R124" i="55"/>
  <c r="R137" i="55"/>
  <c r="R34" i="55"/>
  <c r="R73" i="55"/>
  <c r="R99" i="55"/>
  <c r="R112" i="55"/>
  <c r="R150" i="55"/>
  <c r="P150" i="55"/>
  <c r="P137" i="55"/>
  <c r="P46" i="55"/>
  <c r="P99" i="55"/>
  <c r="P34" i="55"/>
  <c r="P124" i="55"/>
  <c r="P59" i="55"/>
  <c r="P112" i="55"/>
  <c r="P73" i="55"/>
  <c r="P86" i="55"/>
  <c r="O112" i="55"/>
  <c r="O150" i="55"/>
  <c r="O46" i="55"/>
  <c r="O86" i="55"/>
  <c r="O59" i="55"/>
  <c r="O137" i="55"/>
  <c r="O34" i="55"/>
  <c r="O124" i="55"/>
  <c r="O73" i="55"/>
  <c r="O99" i="55"/>
  <c r="Y99" i="55"/>
  <c r="Y73" i="55"/>
  <c r="Y34" i="55"/>
  <c r="Y86" i="55"/>
  <c r="Y137" i="55"/>
  <c r="Y59" i="55"/>
  <c r="Y150" i="55"/>
  <c r="Y46" i="55"/>
  <c r="Y124" i="55"/>
  <c r="Y112" i="55"/>
  <c r="N99" i="55"/>
  <c r="N124" i="55"/>
  <c r="N137" i="55"/>
  <c r="N46" i="55"/>
  <c r="N73" i="55"/>
  <c r="N112" i="55"/>
  <c r="N150" i="55"/>
  <c r="N59" i="55"/>
  <c r="N86" i="55"/>
  <c r="N34" i="55"/>
  <c r="Z46" i="55"/>
  <c r="Z112" i="55"/>
  <c r="Z150" i="55"/>
  <c r="Z59" i="55"/>
  <c r="Z86" i="55"/>
  <c r="Z124" i="55"/>
  <c r="Z137" i="55"/>
  <c r="Z34" i="55"/>
  <c r="Z99" i="55"/>
  <c r="Z73" i="55"/>
  <c r="AB150" i="55"/>
  <c r="AB112" i="55"/>
  <c r="AB59" i="55"/>
  <c r="AB124" i="55"/>
  <c r="AB137" i="55"/>
  <c r="AB73" i="55"/>
  <c r="AB86" i="55"/>
  <c r="AB46" i="55"/>
  <c r="AB99" i="55"/>
  <c r="AB34" i="55"/>
  <c r="Y195" i="31"/>
  <c r="Y196" i="31"/>
  <c r="Z195" i="31" l="1"/>
  <c r="Z196" i="31"/>
  <c r="AA195" i="31" l="1"/>
  <c r="AA196" i="31"/>
  <c r="T16" i="29" l="1"/>
  <c r="O10" i="29"/>
  <c r="T10" i="7"/>
  <c r="Y10" i="7"/>
  <c r="Q10" i="7"/>
  <c r="W10" i="7"/>
  <c r="AA12" i="32"/>
  <c r="W12" i="32"/>
  <c r="P12" i="32"/>
  <c r="O12" i="32"/>
  <c r="Q12" i="32"/>
  <c r="Z12" i="32"/>
  <c r="V12" i="32"/>
  <c r="M12" i="32"/>
  <c r="N12" i="32"/>
  <c r="S12" i="32"/>
  <c r="U12" i="32"/>
  <c r="X12" i="32"/>
  <c r="T12" i="32"/>
  <c r="Y12" i="32"/>
  <c r="R12" i="32"/>
  <c r="U10" i="7"/>
  <c r="O10" i="7"/>
  <c r="M10" i="7"/>
  <c r="R10" i="7"/>
  <c r="Z10" i="7"/>
  <c r="X10" i="7"/>
  <c r="V10" i="7"/>
  <c r="S10" i="7"/>
  <c r="P10" i="7"/>
  <c r="N10" i="7"/>
  <c r="AA10" i="7"/>
  <c r="Y16" i="29"/>
  <c r="AB195" i="31"/>
  <c r="AB196" i="31"/>
  <c r="E41" i="36"/>
  <c r="E22" i="36"/>
  <c r="Z16" i="29" l="1"/>
  <c r="AA16" i="29"/>
  <c r="S16" i="29"/>
  <c r="AB16" i="29"/>
  <c r="V16" i="29"/>
  <c r="Q16" i="29"/>
  <c r="R10" i="29"/>
  <c r="T10" i="29"/>
  <c r="V10" i="29"/>
  <c r="W16" i="29"/>
  <c r="U16" i="29"/>
  <c r="O16" i="29"/>
  <c r="R16" i="29"/>
  <c r="P16" i="29"/>
  <c r="X16" i="29"/>
  <c r="Z10" i="29"/>
  <c r="AA10" i="29"/>
  <c r="X10" i="29"/>
  <c r="S10" i="29"/>
  <c r="W10" i="29"/>
  <c r="U10" i="29"/>
  <c r="AB10" i="29"/>
  <c r="Y10" i="29"/>
  <c r="AA11" i="7"/>
  <c r="Z11" i="7"/>
  <c r="Y11" i="7"/>
  <c r="X11" i="7"/>
  <c r="V11" i="7"/>
  <c r="U11" i="7"/>
  <c r="S11" i="7"/>
  <c r="R11" i="7"/>
  <c r="Q11" i="7"/>
  <c r="P11" i="7"/>
  <c r="W11" i="7"/>
  <c r="T11" i="7"/>
  <c r="O11" i="7"/>
  <c r="N11" i="7"/>
  <c r="O18" i="29"/>
  <c r="AG53" i="29" s="1"/>
  <c r="F26" i="50" s="1"/>
  <c r="Q18" i="29"/>
  <c r="AI53" i="29" s="1"/>
  <c r="H26" i="50" s="1"/>
  <c r="U18" i="29"/>
  <c r="AM53" i="29" s="1"/>
  <c r="L26" i="50" s="1"/>
  <c r="V18" i="29"/>
  <c r="AN53" i="29" s="1"/>
  <c r="M26" i="50" s="1"/>
  <c r="P18" i="29"/>
  <c r="AH53" i="29" s="1"/>
  <c r="G26" i="50" s="1"/>
  <c r="AA18" i="29"/>
  <c r="AS53" i="29" s="1"/>
  <c r="R26" i="50" s="1"/>
  <c r="AB18" i="29"/>
  <c r="AT53" i="29" s="1"/>
  <c r="S26" i="50" s="1"/>
  <c r="Z18" i="29"/>
  <c r="AR53" i="29" s="1"/>
  <c r="Q26" i="50" s="1"/>
  <c r="T18" i="29"/>
  <c r="AL53" i="29" s="1"/>
  <c r="K26" i="50" s="1"/>
  <c r="R18" i="29"/>
  <c r="W18" i="29"/>
  <c r="AO53" i="29" s="1"/>
  <c r="N26" i="50" s="1"/>
  <c r="Y18" i="29"/>
  <c r="AQ53" i="29" s="1"/>
  <c r="P26" i="50" s="1"/>
  <c r="S18" i="29"/>
  <c r="AK53" i="29" s="1"/>
  <c r="J26" i="50" s="1"/>
  <c r="X18" i="29"/>
  <c r="AP53" i="29" s="1"/>
  <c r="O26" i="50" s="1"/>
  <c r="S12" i="29"/>
  <c r="AB12" i="29"/>
  <c r="O12" i="29"/>
  <c r="V12" i="29"/>
  <c r="X12" i="29"/>
  <c r="Y12" i="29"/>
  <c r="Z12" i="29"/>
  <c r="R12" i="29"/>
  <c r="W12" i="29"/>
  <c r="AA12" i="29"/>
  <c r="U12" i="29"/>
  <c r="T12" i="29"/>
  <c r="Z13" i="29"/>
  <c r="AA13" i="29"/>
  <c r="R13" i="29"/>
  <c r="Y13" i="29"/>
  <c r="X13" i="29"/>
  <c r="O13" i="29"/>
  <c r="U13" i="29"/>
  <c r="S13" i="29"/>
  <c r="W13" i="29"/>
  <c r="AB13" i="29"/>
  <c r="T13" i="29"/>
  <c r="V13" i="29"/>
  <c r="V13" i="32"/>
  <c r="U13" i="32"/>
  <c r="T13" i="32"/>
  <c r="S13" i="32"/>
  <c r="R13" i="32"/>
  <c r="Q13" i="32"/>
  <c r="O13" i="32"/>
  <c r="N13" i="32"/>
  <c r="M13" i="32"/>
  <c r="AA13" i="32"/>
  <c r="P13" i="32"/>
  <c r="Z13" i="32"/>
  <c r="Y13" i="32"/>
  <c r="X13" i="32"/>
  <c r="W13" i="32"/>
  <c r="W11" i="29"/>
  <c r="V11" i="29"/>
  <c r="AB11" i="29"/>
  <c r="T11" i="29"/>
  <c r="S11" i="29"/>
  <c r="Y11" i="29"/>
  <c r="X11" i="29"/>
  <c r="R11" i="29"/>
  <c r="O11" i="29"/>
  <c r="AA11" i="29"/>
  <c r="Z11" i="29"/>
  <c r="U11" i="29"/>
  <c r="Z10" i="57"/>
  <c r="V10" i="57"/>
  <c r="R10" i="57"/>
  <c r="N10" i="57"/>
  <c r="X10" i="57"/>
  <c r="P10" i="57"/>
  <c r="AA10" i="57"/>
  <c r="W10" i="57"/>
  <c r="S10" i="57"/>
  <c r="O10" i="57"/>
  <c r="Y10" i="57"/>
  <c r="U10" i="57"/>
  <c r="Q10" i="57"/>
  <c r="M10" i="57"/>
  <c r="T10" i="57"/>
  <c r="R15" i="29"/>
  <c r="T15" i="29"/>
  <c r="V15" i="29"/>
  <c r="AA15" i="29"/>
  <c r="X15" i="29"/>
  <c r="W15" i="29"/>
  <c r="O15" i="29"/>
  <c r="U15" i="29"/>
  <c r="S15" i="29"/>
  <c r="Z15" i="29"/>
  <c r="Y15" i="29"/>
  <c r="AB15" i="29"/>
  <c r="V14" i="29"/>
  <c r="X14" i="29"/>
  <c r="S14" i="29"/>
  <c r="O14" i="29"/>
  <c r="R14" i="29"/>
  <c r="W14" i="29"/>
  <c r="AA14" i="29"/>
  <c r="Y14" i="29"/>
  <c r="Z14" i="29"/>
  <c r="U14" i="29"/>
  <c r="T14" i="29"/>
  <c r="AB14" i="29"/>
  <c r="V62" i="5"/>
  <c r="AC10" i="7"/>
  <c r="V66" i="5"/>
  <c r="AA26" i="7"/>
  <c r="M26" i="7"/>
  <c r="T26" i="7"/>
  <c r="X26" i="7"/>
  <c r="P26" i="7"/>
  <c r="Q26" i="7"/>
  <c r="U26" i="7"/>
  <c r="Y26" i="7"/>
  <c r="N26" i="7"/>
  <c r="R26" i="7"/>
  <c r="V26" i="7"/>
  <c r="Z26" i="7"/>
  <c r="O26" i="7"/>
  <c r="S26" i="7"/>
  <c r="W26" i="7"/>
  <c r="V64" i="5" l="1"/>
  <c r="K47" i="32"/>
  <c r="B134" i="14" s="1"/>
  <c r="M11" i="7"/>
  <c r="V67" i="5"/>
  <c r="K18" i="57"/>
  <c r="B138" i="14" s="1"/>
  <c r="AC10" i="57"/>
  <c r="V63" i="5"/>
  <c r="W67" i="7"/>
  <c r="V67" i="7"/>
  <c r="U67" i="7"/>
  <c r="S67" i="7"/>
  <c r="R67" i="7"/>
  <c r="O67" i="7"/>
  <c r="N67" i="7"/>
  <c r="P67" i="7"/>
  <c r="Z67" i="7"/>
  <c r="Y67" i="7"/>
  <c r="X67" i="7"/>
  <c r="AA67" i="7"/>
  <c r="T67" i="7"/>
  <c r="Q67" i="7"/>
  <c r="M67" i="7"/>
  <c r="AC11" i="7" l="1"/>
  <c r="K80" i="7"/>
  <c r="B140" i="14" l="1"/>
  <c r="B141" i="14"/>
  <c r="H223" i="38"/>
  <c r="H222" i="38"/>
  <c r="H221" i="38"/>
  <c r="H220" i="38"/>
  <c r="H219" i="38"/>
  <c r="H218" i="38"/>
  <c r="H217" i="38"/>
  <c r="H216" i="38"/>
  <c r="H207" i="38"/>
  <c r="H206" i="38"/>
  <c r="H203" i="38"/>
  <c r="H202" i="38"/>
  <c r="H201" i="38"/>
  <c r="H200" i="38"/>
  <c r="H199" i="38"/>
  <c r="H198" i="38"/>
  <c r="H195" i="38"/>
  <c r="H194" i="38"/>
  <c r="H179" i="38"/>
  <c r="H178" i="38"/>
  <c r="H177" i="38"/>
  <c r="H176" i="38"/>
  <c r="H175" i="38"/>
  <c r="H174" i="38"/>
  <c r="H173" i="38"/>
  <c r="H172" i="38"/>
  <c r="H171" i="38"/>
  <c r="H170" i="38"/>
  <c r="H159" i="38"/>
  <c r="N48" i="31" s="1"/>
  <c r="H158" i="38"/>
  <c r="N47" i="31" s="1"/>
  <c r="H135" i="38"/>
  <c r="N213" i="28" s="1"/>
  <c r="H134" i="38"/>
  <c r="N212" i="28" s="1"/>
  <c r="Y109" i="38"/>
  <c r="Y108" i="38"/>
  <c r="G108" i="38" l="1"/>
  <c r="AF108" i="38"/>
  <c r="AG108" i="38" s="1"/>
  <c r="AI108" i="38" s="1"/>
  <c r="AJ108" i="38" s="1"/>
  <c r="G109" i="38"/>
  <c r="H109" i="38" s="1"/>
  <c r="AF109" i="38"/>
  <c r="AG109" i="38" s="1"/>
  <c r="AI109" i="38" s="1"/>
  <c r="AJ109" i="38" s="1"/>
  <c r="H108" i="38"/>
  <c r="N143" i="31"/>
  <c r="N129" i="31"/>
  <c r="N183" i="31"/>
  <c r="N318" i="31"/>
  <c r="N351" i="31"/>
  <c r="N432" i="29"/>
  <c r="N443" i="31"/>
  <c r="N458" i="29"/>
  <c r="N469" i="31"/>
  <c r="N142" i="31"/>
  <c r="N168" i="31"/>
  <c r="N319" i="31"/>
  <c r="N352" i="31"/>
  <c r="N433" i="29"/>
  <c r="N444" i="31"/>
  <c r="N459" i="29"/>
  <c r="N470" i="31"/>
  <c r="N169" i="31"/>
  <c r="N292" i="31"/>
  <c r="N331" i="31"/>
  <c r="N377" i="31"/>
  <c r="N455" i="31"/>
  <c r="N445" i="29"/>
  <c r="N471" i="29"/>
  <c r="N482" i="31"/>
  <c r="N128" i="31"/>
  <c r="N182" i="31"/>
  <c r="N293" i="31"/>
  <c r="N332" i="31"/>
  <c r="N378" i="31"/>
  <c r="N456" i="31"/>
  <c r="N446" i="29"/>
  <c r="N472" i="29"/>
  <c r="N483" i="31"/>
  <c r="V216" i="38"/>
  <c r="R216" i="38"/>
  <c r="N216" i="38"/>
  <c r="J216" i="38"/>
  <c r="U216" i="38"/>
  <c r="Q216" i="38"/>
  <c r="M216" i="38"/>
  <c r="I216" i="38"/>
  <c r="T216" i="38"/>
  <c r="P216" i="38"/>
  <c r="L216" i="38"/>
  <c r="S216" i="38"/>
  <c r="O216" i="38"/>
  <c r="K216" i="38"/>
  <c r="V220" i="38"/>
  <c r="R220" i="38"/>
  <c r="N220" i="38"/>
  <c r="J220" i="38"/>
  <c r="U220" i="38"/>
  <c r="Q220" i="38"/>
  <c r="M220" i="38"/>
  <c r="I220" i="38"/>
  <c r="T220" i="38"/>
  <c r="P220" i="38"/>
  <c r="L220" i="38"/>
  <c r="S220" i="38"/>
  <c r="O220" i="38"/>
  <c r="K220" i="38"/>
  <c r="V217" i="38"/>
  <c r="R217" i="38"/>
  <c r="N217" i="38"/>
  <c r="J217" i="38"/>
  <c r="U217" i="38"/>
  <c r="Q217" i="38"/>
  <c r="M217" i="38"/>
  <c r="I217" i="38"/>
  <c r="O217" i="38"/>
  <c r="T217" i="38"/>
  <c r="P217" i="38"/>
  <c r="L217" i="38"/>
  <c r="S217" i="38"/>
  <c r="K217" i="38"/>
  <c r="V221" i="38"/>
  <c r="R221" i="38"/>
  <c r="N221" i="38"/>
  <c r="J221" i="38"/>
  <c r="U221" i="38"/>
  <c r="Q221" i="38"/>
  <c r="M221" i="38"/>
  <c r="I221" i="38"/>
  <c r="S221" i="38"/>
  <c r="K221" i="38"/>
  <c r="T221" i="38"/>
  <c r="P221" i="38"/>
  <c r="L221" i="38"/>
  <c r="O221" i="38"/>
  <c r="V218" i="38"/>
  <c r="R218" i="38"/>
  <c r="N218" i="38"/>
  <c r="J218" i="38"/>
  <c r="U218" i="38"/>
  <c r="Q218" i="38"/>
  <c r="M218" i="38"/>
  <c r="I218" i="38"/>
  <c r="S218" i="38"/>
  <c r="O218" i="38"/>
  <c r="K218" i="38"/>
  <c r="T218" i="38"/>
  <c r="P218" i="38"/>
  <c r="L218" i="38"/>
  <c r="V222" i="38"/>
  <c r="R222" i="38"/>
  <c r="N222" i="38"/>
  <c r="J222" i="38"/>
  <c r="U222" i="38"/>
  <c r="Q222" i="38"/>
  <c r="M222" i="38"/>
  <c r="I222" i="38"/>
  <c r="S222" i="38"/>
  <c r="O222" i="38"/>
  <c r="K222" i="38"/>
  <c r="T222" i="38"/>
  <c r="P222" i="38"/>
  <c r="L222" i="38"/>
  <c r="V219" i="38"/>
  <c r="R219" i="38"/>
  <c r="N219" i="38"/>
  <c r="J219" i="38"/>
  <c r="U219" i="38"/>
  <c r="Q219" i="38"/>
  <c r="M219" i="38"/>
  <c r="I219" i="38"/>
  <c r="S219" i="38"/>
  <c r="K219" i="38"/>
  <c r="T219" i="38"/>
  <c r="P219" i="38"/>
  <c r="L219" i="38"/>
  <c r="O219" i="38"/>
  <c r="V223" i="38"/>
  <c r="R223" i="38"/>
  <c r="N223" i="38"/>
  <c r="J223" i="38"/>
  <c r="U223" i="38"/>
  <c r="Q223" i="38"/>
  <c r="M223" i="38"/>
  <c r="I223" i="38"/>
  <c r="T223" i="38"/>
  <c r="P223" i="38"/>
  <c r="L223" i="38"/>
  <c r="S223" i="38"/>
  <c r="O223" i="38"/>
  <c r="K223" i="38"/>
  <c r="V206" i="38"/>
  <c r="R206" i="38"/>
  <c r="N206" i="38"/>
  <c r="J206" i="38"/>
  <c r="U206" i="38"/>
  <c r="Q206" i="38"/>
  <c r="M206" i="38"/>
  <c r="I206" i="38"/>
  <c r="T206" i="38"/>
  <c r="P206" i="38"/>
  <c r="L206" i="38"/>
  <c r="S206" i="38"/>
  <c r="O206" i="38"/>
  <c r="K206" i="38"/>
  <c r="V207" i="38"/>
  <c r="R207" i="38"/>
  <c r="N207" i="38"/>
  <c r="J207" i="38"/>
  <c r="U207" i="38"/>
  <c r="Q207" i="38"/>
  <c r="M207" i="38"/>
  <c r="I207" i="38"/>
  <c r="T207" i="38"/>
  <c r="P207" i="38"/>
  <c r="L207" i="38"/>
  <c r="S207" i="38"/>
  <c r="O207" i="38"/>
  <c r="K207" i="38"/>
  <c r="T203" i="38"/>
  <c r="P203" i="38"/>
  <c r="L203" i="38"/>
  <c r="S203" i="38"/>
  <c r="O203" i="38"/>
  <c r="K203" i="38"/>
  <c r="V203" i="38"/>
  <c r="R203" i="38"/>
  <c r="N203" i="38"/>
  <c r="J203" i="38"/>
  <c r="U203" i="38"/>
  <c r="Q203" i="38"/>
  <c r="M203" i="38"/>
  <c r="I203" i="38"/>
  <c r="T202" i="38"/>
  <c r="P202" i="38"/>
  <c r="L202" i="38"/>
  <c r="S202" i="38"/>
  <c r="O202" i="38"/>
  <c r="K202" i="38"/>
  <c r="V202" i="38"/>
  <c r="R202" i="38"/>
  <c r="N202" i="38"/>
  <c r="J202" i="38"/>
  <c r="U202" i="38"/>
  <c r="Q202" i="38"/>
  <c r="M202" i="38"/>
  <c r="I202" i="38"/>
  <c r="V198" i="38"/>
  <c r="R198" i="38"/>
  <c r="N198" i="38"/>
  <c r="J198" i="38"/>
  <c r="U198" i="38"/>
  <c r="Q198" i="38"/>
  <c r="M198" i="38"/>
  <c r="I198" i="38"/>
  <c r="T198" i="38"/>
  <c r="P198" i="38"/>
  <c r="L198" i="38"/>
  <c r="S198" i="38"/>
  <c r="O198" i="38"/>
  <c r="K198" i="38"/>
  <c r="V199" i="38"/>
  <c r="R199" i="38"/>
  <c r="N199" i="38"/>
  <c r="J199" i="38"/>
  <c r="U199" i="38"/>
  <c r="Q199" i="38"/>
  <c r="M199" i="38"/>
  <c r="I199" i="38"/>
  <c r="T199" i="38"/>
  <c r="P199" i="38"/>
  <c r="L199" i="38"/>
  <c r="S199" i="38"/>
  <c r="O199" i="38"/>
  <c r="K199" i="38"/>
  <c r="V200" i="38"/>
  <c r="R200" i="38"/>
  <c r="N200" i="38"/>
  <c r="J200" i="38"/>
  <c r="U200" i="38"/>
  <c r="Q200" i="38"/>
  <c r="M200" i="38"/>
  <c r="I200" i="38"/>
  <c r="T200" i="38"/>
  <c r="P200" i="38"/>
  <c r="L200" i="38"/>
  <c r="S200" i="38"/>
  <c r="O200" i="38"/>
  <c r="K200" i="38"/>
  <c r="V201" i="38"/>
  <c r="R201" i="38"/>
  <c r="N201" i="38"/>
  <c r="J201" i="38"/>
  <c r="U201" i="38"/>
  <c r="Q201" i="38"/>
  <c r="M201" i="38"/>
  <c r="I201" i="38"/>
  <c r="T201" i="38"/>
  <c r="P201" i="38"/>
  <c r="L201" i="38"/>
  <c r="S201" i="38"/>
  <c r="O201" i="38"/>
  <c r="K201" i="38"/>
  <c r="V195" i="38"/>
  <c r="R195" i="38"/>
  <c r="N195" i="38"/>
  <c r="J195" i="38"/>
  <c r="U195" i="38"/>
  <c r="Q195" i="38"/>
  <c r="M195" i="38"/>
  <c r="I195" i="38"/>
  <c r="T195" i="38"/>
  <c r="P195" i="38"/>
  <c r="L195" i="38"/>
  <c r="S195" i="38"/>
  <c r="O195" i="38"/>
  <c r="K195" i="38"/>
  <c r="V194" i="38"/>
  <c r="R194" i="38"/>
  <c r="N194" i="38"/>
  <c r="J194" i="38"/>
  <c r="U194" i="38"/>
  <c r="Q194" i="38"/>
  <c r="M194" i="38"/>
  <c r="I194" i="38"/>
  <c r="T194" i="38"/>
  <c r="P194" i="38"/>
  <c r="L194" i="38"/>
  <c r="S194" i="38"/>
  <c r="O194" i="38"/>
  <c r="K194" i="38"/>
  <c r="V172" i="38"/>
  <c r="R172" i="38"/>
  <c r="N172" i="38"/>
  <c r="J172" i="38"/>
  <c r="U172" i="38"/>
  <c r="Q172" i="38"/>
  <c r="M172" i="38"/>
  <c r="I172" i="38"/>
  <c r="S172" i="38"/>
  <c r="K172" i="38"/>
  <c r="P172" i="38"/>
  <c r="O172" i="38"/>
  <c r="T172" i="38"/>
  <c r="L172" i="38"/>
  <c r="V176" i="38"/>
  <c r="R176" i="38"/>
  <c r="N176" i="38"/>
  <c r="J176" i="38"/>
  <c r="U176" i="38"/>
  <c r="Q176" i="38"/>
  <c r="M176" i="38"/>
  <c r="I176" i="38"/>
  <c r="S176" i="38"/>
  <c r="K176" i="38"/>
  <c r="P176" i="38"/>
  <c r="O176" i="38"/>
  <c r="T176" i="38"/>
  <c r="L176" i="38"/>
  <c r="V173" i="38"/>
  <c r="R173" i="38"/>
  <c r="N173" i="38"/>
  <c r="J173" i="38"/>
  <c r="U173" i="38"/>
  <c r="Q173" i="38"/>
  <c r="M173" i="38"/>
  <c r="I173" i="38"/>
  <c r="S173" i="38"/>
  <c r="K173" i="38"/>
  <c r="P173" i="38"/>
  <c r="O173" i="38"/>
  <c r="T173" i="38"/>
  <c r="L173" i="38"/>
  <c r="V177" i="38"/>
  <c r="R177" i="38"/>
  <c r="N177" i="38"/>
  <c r="J177" i="38"/>
  <c r="U177" i="38"/>
  <c r="Q177" i="38"/>
  <c r="M177" i="38"/>
  <c r="I177" i="38"/>
  <c r="S177" i="38"/>
  <c r="K177" i="38"/>
  <c r="P177" i="38"/>
  <c r="O177" i="38"/>
  <c r="T177" i="38"/>
  <c r="L177" i="38"/>
  <c r="V170" i="38"/>
  <c r="R170" i="38"/>
  <c r="N170" i="38"/>
  <c r="J170" i="38"/>
  <c r="U170" i="38"/>
  <c r="Q170" i="38"/>
  <c r="M170" i="38"/>
  <c r="I170" i="38"/>
  <c r="S170" i="38"/>
  <c r="K170" i="38"/>
  <c r="P170" i="38"/>
  <c r="O170" i="38"/>
  <c r="T170" i="38"/>
  <c r="L170" i="38"/>
  <c r="V174" i="38"/>
  <c r="R174" i="38"/>
  <c r="N174" i="38"/>
  <c r="J174" i="38"/>
  <c r="U174" i="38"/>
  <c r="Q174" i="38"/>
  <c r="M174" i="38"/>
  <c r="I174" i="38"/>
  <c r="S174" i="38"/>
  <c r="K174" i="38"/>
  <c r="P174" i="38"/>
  <c r="O174" i="38"/>
  <c r="T174" i="38"/>
  <c r="L174" i="38"/>
  <c r="V178" i="38"/>
  <c r="R178" i="38"/>
  <c r="N178" i="38"/>
  <c r="J178" i="38"/>
  <c r="U178" i="38"/>
  <c r="Q178" i="38"/>
  <c r="M178" i="38"/>
  <c r="I178" i="38"/>
  <c r="T178" i="38"/>
  <c r="S178" i="38"/>
  <c r="K178" i="38"/>
  <c r="P178" i="38"/>
  <c r="O178" i="38"/>
  <c r="L178" i="38"/>
  <c r="V171" i="38"/>
  <c r="R171" i="38"/>
  <c r="N171" i="38"/>
  <c r="J171" i="38"/>
  <c r="U171" i="38"/>
  <c r="Q171" i="38"/>
  <c r="M171" i="38"/>
  <c r="I171" i="38"/>
  <c r="S171" i="38"/>
  <c r="K171" i="38"/>
  <c r="P171" i="38"/>
  <c r="O171" i="38"/>
  <c r="T171" i="38"/>
  <c r="L171" i="38"/>
  <c r="V175" i="38"/>
  <c r="R175" i="38"/>
  <c r="N175" i="38"/>
  <c r="J175" i="38"/>
  <c r="U175" i="38"/>
  <c r="Q175" i="38"/>
  <c r="M175" i="38"/>
  <c r="I175" i="38"/>
  <c r="S175" i="38"/>
  <c r="K175" i="38"/>
  <c r="P175" i="38"/>
  <c r="O175" i="38"/>
  <c r="T175" i="38"/>
  <c r="L175" i="38"/>
  <c r="V179" i="38"/>
  <c r="R179" i="38"/>
  <c r="N179" i="38"/>
  <c r="J179" i="38"/>
  <c r="U179" i="38"/>
  <c r="Q179" i="38"/>
  <c r="M179" i="38"/>
  <c r="I179" i="38"/>
  <c r="T179" i="38"/>
  <c r="P179" i="38"/>
  <c r="L179" i="38"/>
  <c r="K179" i="38"/>
  <c r="O179" i="38"/>
  <c r="S179" i="38"/>
  <c r="V158" i="38"/>
  <c r="AB47" i="31" s="1"/>
  <c r="R158" i="38"/>
  <c r="X47" i="31" s="1"/>
  <c r="N158" i="38"/>
  <c r="T47" i="31" s="1"/>
  <c r="J158" i="38"/>
  <c r="P47" i="31" s="1"/>
  <c r="U158" i="38"/>
  <c r="AA47" i="31" s="1"/>
  <c r="Q158" i="38"/>
  <c r="W47" i="31" s="1"/>
  <c r="M158" i="38"/>
  <c r="S47" i="31" s="1"/>
  <c r="I158" i="38"/>
  <c r="O47" i="31" s="1"/>
  <c r="S158" i="38"/>
  <c r="Y47" i="31" s="1"/>
  <c r="O158" i="38"/>
  <c r="U47" i="31" s="1"/>
  <c r="K158" i="38"/>
  <c r="Q47" i="31" s="1"/>
  <c r="T158" i="38"/>
  <c r="Z47" i="31" s="1"/>
  <c r="P158" i="38"/>
  <c r="V47" i="31" s="1"/>
  <c r="L158" i="38"/>
  <c r="R47" i="31" s="1"/>
  <c r="V159" i="38"/>
  <c r="AB48" i="31" s="1"/>
  <c r="R159" i="38"/>
  <c r="X48" i="31" s="1"/>
  <c r="N159" i="38"/>
  <c r="T48" i="31" s="1"/>
  <c r="J159" i="38"/>
  <c r="P48" i="31" s="1"/>
  <c r="U159" i="38"/>
  <c r="AA48" i="31" s="1"/>
  <c r="Q159" i="38"/>
  <c r="W48" i="31" s="1"/>
  <c r="M159" i="38"/>
  <c r="S48" i="31" s="1"/>
  <c r="I159" i="38"/>
  <c r="O48" i="31" s="1"/>
  <c r="T159" i="38"/>
  <c r="Z48" i="31" s="1"/>
  <c r="P159" i="38"/>
  <c r="V48" i="31" s="1"/>
  <c r="L159" i="38"/>
  <c r="R48" i="31" s="1"/>
  <c r="S159" i="38"/>
  <c r="Y48" i="31" s="1"/>
  <c r="O159" i="38"/>
  <c r="U48" i="31" s="1"/>
  <c r="K159" i="38"/>
  <c r="Q48" i="31" s="1"/>
  <c r="V134" i="38"/>
  <c r="AB212" i="28" s="1"/>
  <c r="R134" i="38"/>
  <c r="X212" i="28" s="1"/>
  <c r="N134" i="38"/>
  <c r="T212" i="28" s="1"/>
  <c r="J134" i="38"/>
  <c r="P212" i="28" s="1"/>
  <c r="U134" i="38"/>
  <c r="AA212" i="28" s="1"/>
  <c r="Q134" i="38"/>
  <c r="W212" i="28" s="1"/>
  <c r="M134" i="38"/>
  <c r="S212" i="28" s="1"/>
  <c r="I134" i="38"/>
  <c r="O212" i="28" s="1"/>
  <c r="T134" i="38"/>
  <c r="Z212" i="28" s="1"/>
  <c r="P134" i="38"/>
  <c r="V212" i="28" s="1"/>
  <c r="L134" i="38"/>
  <c r="R212" i="28" s="1"/>
  <c r="S134" i="38"/>
  <c r="Y212" i="28" s="1"/>
  <c r="O134" i="38"/>
  <c r="U212" i="28" s="1"/>
  <c r="K134" i="38"/>
  <c r="Q212" i="28" s="1"/>
  <c r="V135" i="38"/>
  <c r="AB213" i="28" s="1"/>
  <c r="R135" i="38"/>
  <c r="X213" i="28" s="1"/>
  <c r="N135" i="38"/>
  <c r="T213" i="28" s="1"/>
  <c r="J135" i="38"/>
  <c r="P213" i="28" s="1"/>
  <c r="U135" i="38"/>
  <c r="AA213" i="28" s="1"/>
  <c r="Q135" i="38"/>
  <c r="W213" i="28" s="1"/>
  <c r="M135" i="38"/>
  <c r="S213" i="28" s="1"/>
  <c r="I135" i="38"/>
  <c r="O213" i="28" s="1"/>
  <c r="T135" i="38"/>
  <c r="Z213" i="28" s="1"/>
  <c r="P135" i="38"/>
  <c r="V213" i="28" s="1"/>
  <c r="L135" i="38"/>
  <c r="R213" i="28" s="1"/>
  <c r="S135" i="38"/>
  <c r="Y213" i="28" s="1"/>
  <c r="O135" i="38"/>
  <c r="U213" i="28" s="1"/>
  <c r="K135" i="38"/>
  <c r="Q213" i="28" s="1"/>
  <c r="I145" i="28"/>
  <c r="AD138" i="28"/>
  <c r="AD139" i="28" s="1"/>
  <c r="N138" i="28"/>
  <c r="Z138" i="28" s="1"/>
  <c r="B138" i="28"/>
  <c r="B139" i="28" s="1"/>
  <c r="Y125" i="38"/>
  <c r="Y124" i="38"/>
  <c r="H120" i="38"/>
  <c r="N114" i="28" s="1"/>
  <c r="H121" i="38"/>
  <c r="N115" i="28" s="1"/>
  <c r="H122" i="38"/>
  <c r="H123" i="38"/>
  <c r="H126" i="38"/>
  <c r="N153" i="28" s="1"/>
  <c r="H127" i="38"/>
  <c r="H128" i="38"/>
  <c r="H129" i="38"/>
  <c r="I133" i="28"/>
  <c r="AD125" i="28"/>
  <c r="N125" i="28"/>
  <c r="AA125" i="28" s="1"/>
  <c r="B125" i="28"/>
  <c r="B126" i="28" s="1"/>
  <c r="B127" i="28" s="1"/>
  <c r="B128" i="28" s="1"/>
  <c r="B129" i="28" s="1"/>
  <c r="B130" i="28" s="1"/>
  <c r="B131" i="28" s="1"/>
  <c r="B132" i="28" s="1"/>
  <c r="B133" i="28" s="1"/>
  <c r="B134" i="28" s="1"/>
  <c r="B135" i="28" s="1"/>
  <c r="B136" i="28" s="1"/>
  <c r="B137" i="28" s="1"/>
  <c r="I120" i="28"/>
  <c r="AD111" i="28"/>
  <c r="N111" i="28"/>
  <c r="AA111" i="28" s="1"/>
  <c r="B111" i="28"/>
  <c r="B112" i="28" s="1"/>
  <c r="I357" i="31"/>
  <c r="I356" i="31"/>
  <c r="AD350" i="31"/>
  <c r="AD351" i="31" s="1"/>
  <c r="N350" i="31"/>
  <c r="B350" i="3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I192" i="28"/>
  <c r="AD185" i="28"/>
  <c r="AD186" i="28" s="1"/>
  <c r="N185" i="28"/>
  <c r="B185" i="28"/>
  <c r="B186" i="28" s="1"/>
  <c r="B187" i="28" s="1"/>
  <c r="B188" i="28" s="1"/>
  <c r="B189" i="28" s="1"/>
  <c r="B190" i="28" s="1"/>
  <c r="B191" i="28" s="1"/>
  <c r="B192" i="28" s="1"/>
  <c r="B193" i="28" s="1"/>
  <c r="B194" i="28" s="1"/>
  <c r="B195" i="28" s="1"/>
  <c r="B196" i="28" s="1"/>
  <c r="G124" i="38" l="1"/>
  <c r="AF124" i="38"/>
  <c r="AG124" i="38" s="1"/>
  <c r="AI124" i="38" s="1"/>
  <c r="AJ124" i="38" s="1"/>
  <c r="G125" i="38"/>
  <c r="AF125" i="38"/>
  <c r="AG125" i="38" s="1"/>
  <c r="AI125" i="38" s="1"/>
  <c r="AJ125" i="38" s="1"/>
  <c r="B114" i="28"/>
  <c r="B115" i="28" s="1"/>
  <c r="B116" i="28" s="1"/>
  <c r="B117" i="28" s="1"/>
  <c r="B118" i="28" s="1"/>
  <c r="B119" i="28" s="1"/>
  <c r="B120" i="28" s="1"/>
  <c r="B121" i="28" s="1"/>
  <c r="B122" i="28" s="1"/>
  <c r="B123" i="28" s="1"/>
  <c r="B124" i="28" s="1"/>
  <c r="B113" i="28"/>
  <c r="J109" i="38"/>
  <c r="I109" i="38"/>
  <c r="S109" i="38"/>
  <c r="V109" i="38"/>
  <c r="U109" i="38"/>
  <c r="T109" i="38"/>
  <c r="O109" i="38"/>
  <c r="R109" i="38"/>
  <c r="Q109" i="38"/>
  <c r="P109" i="38"/>
  <c r="K109" i="38"/>
  <c r="N109" i="38"/>
  <c r="M109" i="38"/>
  <c r="L109" i="38"/>
  <c r="M108" i="38"/>
  <c r="N108" i="38"/>
  <c r="O108" i="38"/>
  <c r="T108" i="38"/>
  <c r="Q108" i="38"/>
  <c r="R108" i="38"/>
  <c r="S108" i="38"/>
  <c r="U108" i="38"/>
  <c r="V108" i="38"/>
  <c r="L108" i="38"/>
  <c r="I108" i="38"/>
  <c r="J108" i="38"/>
  <c r="K108" i="38"/>
  <c r="P108" i="38"/>
  <c r="H124" i="38"/>
  <c r="H125" i="38"/>
  <c r="T138" i="28"/>
  <c r="Y138" i="28"/>
  <c r="S125" i="28"/>
  <c r="K128" i="38"/>
  <c r="Q166" i="28" s="1"/>
  <c r="N166" i="28"/>
  <c r="K129" i="38"/>
  <c r="Q167" i="28" s="1"/>
  <c r="N167" i="28"/>
  <c r="K122" i="38"/>
  <c r="Q127" i="28" s="1"/>
  <c r="N127" i="28"/>
  <c r="Y183" i="31"/>
  <c r="V183" i="31"/>
  <c r="W183" i="31"/>
  <c r="X183" i="31"/>
  <c r="R129" i="31"/>
  <c r="Q129" i="31"/>
  <c r="W129" i="31"/>
  <c r="X129" i="31"/>
  <c r="V182" i="31"/>
  <c r="O182" i="31"/>
  <c r="P182" i="31"/>
  <c r="U128" i="31"/>
  <c r="O128" i="31"/>
  <c r="P128" i="31"/>
  <c r="R169" i="31"/>
  <c r="Q169" i="31"/>
  <c r="W169" i="31"/>
  <c r="X169" i="31"/>
  <c r="U143" i="31"/>
  <c r="O143" i="31"/>
  <c r="P143" i="31"/>
  <c r="R168" i="31"/>
  <c r="Q168" i="31"/>
  <c r="W168" i="31"/>
  <c r="X168" i="31"/>
  <c r="U142" i="31"/>
  <c r="O142" i="31"/>
  <c r="P142" i="31"/>
  <c r="Y292" i="31"/>
  <c r="O292" i="31"/>
  <c r="P292" i="31"/>
  <c r="Q293" i="31"/>
  <c r="V293" i="31"/>
  <c r="W293" i="31"/>
  <c r="X293" i="31"/>
  <c r="Y332" i="31"/>
  <c r="O332" i="31"/>
  <c r="P332" i="31"/>
  <c r="Q331" i="31"/>
  <c r="V331" i="31"/>
  <c r="W331" i="31"/>
  <c r="X331" i="31"/>
  <c r="Y319" i="31"/>
  <c r="O319" i="31"/>
  <c r="P319" i="31"/>
  <c r="Q318" i="31"/>
  <c r="V318" i="31"/>
  <c r="W318" i="31"/>
  <c r="X318" i="31"/>
  <c r="W351" i="31"/>
  <c r="X351" i="31"/>
  <c r="Y351" i="31"/>
  <c r="O352" i="31"/>
  <c r="P352" i="31"/>
  <c r="Q352" i="31"/>
  <c r="V352" i="31"/>
  <c r="Y378" i="31"/>
  <c r="O378" i="31"/>
  <c r="P378" i="31"/>
  <c r="Q377" i="31"/>
  <c r="V377" i="31"/>
  <c r="W377" i="31"/>
  <c r="X377" i="31"/>
  <c r="Y472" i="29"/>
  <c r="Y483" i="31"/>
  <c r="O472" i="29"/>
  <c r="O483" i="31"/>
  <c r="P472" i="29"/>
  <c r="P483" i="31"/>
  <c r="U456" i="31"/>
  <c r="U446" i="29"/>
  <c r="Q456" i="31"/>
  <c r="Q446" i="29"/>
  <c r="W456" i="31"/>
  <c r="W446" i="29"/>
  <c r="X456" i="31"/>
  <c r="X446" i="29"/>
  <c r="Z471" i="29"/>
  <c r="Z482" i="31"/>
  <c r="O471" i="29"/>
  <c r="O482" i="31"/>
  <c r="P471" i="29"/>
  <c r="P482" i="31"/>
  <c r="R455" i="31"/>
  <c r="R445" i="29"/>
  <c r="U455" i="31"/>
  <c r="U445" i="29"/>
  <c r="W455" i="31"/>
  <c r="W445" i="29"/>
  <c r="X455" i="31"/>
  <c r="X445" i="29"/>
  <c r="V459" i="29"/>
  <c r="V470" i="31"/>
  <c r="O459" i="29"/>
  <c r="O470" i="31"/>
  <c r="P459" i="29"/>
  <c r="P470" i="31"/>
  <c r="Q433" i="29"/>
  <c r="Q444" i="31"/>
  <c r="Z433" i="29"/>
  <c r="Z444" i="31"/>
  <c r="W433" i="29"/>
  <c r="W444" i="31"/>
  <c r="X433" i="29"/>
  <c r="X444" i="31"/>
  <c r="Y458" i="29"/>
  <c r="Y469" i="31"/>
  <c r="O458" i="29"/>
  <c r="O469" i="31"/>
  <c r="P458" i="29"/>
  <c r="P469" i="31"/>
  <c r="Q432" i="29"/>
  <c r="Q443" i="31"/>
  <c r="V432" i="29"/>
  <c r="V443" i="31"/>
  <c r="W432" i="29"/>
  <c r="W443" i="31"/>
  <c r="X432" i="29"/>
  <c r="X443" i="31"/>
  <c r="U183" i="31"/>
  <c r="Z183" i="31"/>
  <c r="AA183" i="31"/>
  <c r="AB183" i="31"/>
  <c r="Z129" i="31"/>
  <c r="Y129" i="31"/>
  <c r="AA129" i="31"/>
  <c r="AB129" i="31"/>
  <c r="Q182" i="31"/>
  <c r="S182" i="31"/>
  <c r="T182" i="31"/>
  <c r="V128" i="31"/>
  <c r="S128" i="31"/>
  <c r="T128" i="31"/>
  <c r="Z169" i="31"/>
  <c r="Y169" i="31"/>
  <c r="AA169" i="31"/>
  <c r="AB169" i="31"/>
  <c r="V143" i="31"/>
  <c r="S143" i="31"/>
  <c r="T143" i="31"/>
  <c r="Z168" i="31"/>
  <c r="Y168" i="31"/>
  <c r="AA168" i="31"/>
  <c r="AB168" i="31"/>
  <c r="V142" i="31"/>
  <c r="S142" i="31"/>
  <c r="T142" i="31"/>
  <c r="R292" i="31"/>
  <c r="S292" i="31"/>
  <c r="T292" i="31"/>
  <c r="U293" i="31"/>
  <c r="Z293" i="31"/>
  <c r="AA293" i="31"/>
  <c r="AB293" i="31"/>
  <c r="R332" i="31"/>
  <c r="S332" i="31"/>
  <c r="T332" i="31"/>
  <c r="U331" i="31"/>
  <c r="Z331" i="31"/>
  <c r="AA331" i="31"/>
  <c r="AB331" i="31"/>
  <c r="R319" i="31"/>
  <c r="S319" i="31"/>
  <c r="T319" i="31"/>
  <c r="U318" i="31"/>
  <c r="Z318" i="31"/>
  <c r="AA318" i="31"/>
  <c r="AB318" i="31"/>
  <c r="AA351" i="31"/>
  <c r="AB351" i="31"/>
  <c r="R351" i="31"/>
  <c r="S352" i="31"/>
  <c r="T352" i="31"/>
  <c r="U352" i="31"/>
  <c r="Z352" i="31"/>
  <c r="R378" i="31"/>
  <c r="S378" i="31"/>
  <c r="T378" i="31"/>
  <c r="U377" i="31"/>
  <c r="Z377" i="31"/>
  <c r="AA377" i="31"/>
  <c r="AB377" i="31"/>
  <c r="R472" i="29"/>
  <c r="R483" i="31"/>
  <c r="S472" i="29"/>
  <c r="S483" i="31"/>
  <c r="T472" i="29"/>
  <c r="T483" i="31"/>
  <c r="R456" i="31"/>
  <c r="R446" i="29"/>
  <c r="Y456" i="31"/>
  <c r="Y446" i="29"/>
  <c r="AA456" i="31"/>
  <c r="AA446" i="29"/>
  <c r="AB456" i="31"/>
  <c r="AB446" i="29"/>
  <c r="Q471" i="29"/>
  <c r="Q482" i="31"/>
  <c r="S471" i="29"/>
  <c r="S482" i="31"/>
  <c r="T471" i="29"/>
  <c r="T482" i="31"/>
  <c r="V455" i="31"/>
  <c r="V445" i="29"/>
  <c r="Y455" i="31"/>
  <c r="Y445" i="29"/>
  <c r="AA455" i="31"/>
  <c r="AA445" i="29"/>
  <c r="AB455" i="31"/>
  <c r="AB445" i="29"/>
  <c r="Z459" i="29"/>
  <c r="Z470" i="31"/>
  <c r="S459" i="29"/>
  <c r="S470" i="31"/>
  <c r="T459" i="29"/>
  <c r="T470" i="31"/>
  <c r="Y433" i="29"/>
  <c r="Y444" i="31"/>
  <c r="U433" i="29"/>
  <c r="U444" i="31"/>
  <c r="AA433" i="29"/>
  <c r="AA444" i="31"/>
  <c r="AB433" i="29"/>
  <c r="AB444" i="31"/>
  <c r="R458" i="29"/>
  <c r="R469" i="31"/>
  <c r="S458" i="29"/>
  <c r="S469" i="31"/>
  <c r="T458" i="29"/>
  <c r="T469" i="31"/>
  <c r="U432" i="29"/>
  <c r="U443" i="31"/>
  <c r="Z432" i="29"/>
  <c r="Z443" i="31"/>
  <c r="AA432" i="29"/>
  <c r="AA443" i="31"/>
  <c r="AB432" i="29"/>
  <c r="AB443" i="31"/>
  <c r="K123" i="38"/>
  <c r="Q128" i="28" s="1"/>
  <c r="N128" i="28"/>
  <c r="Q183" i="31"/>
  <c r="O183" i="31"/>
  <c r="P183" i="31"/>
  <c r="U129" i="31"/>
  <c r="O129" i="31"/>
  <c r="P129" i="31"/>
  <c r="R182" i="31"/>
  <c r="Y182" i="31"/>
  <c r="W182" i="31"/>
  <c r="X182" i="31"/>
  <c r="R128" i="31"/>
  <c r="Q128" i="31"/>
  <c r="W128" i="31"/>
  <c r="X128" i="31"/>
  <c r="U169" i="31"/>
  <c r="O169" i="31"/>
  <c r="P169" i="31"/>
  <c r="R143" i="31"/>
  <c r="Q143" i="31"/>
  <c r="W143" i="31"/>
  <c r="X143" i="31"/>
  <c r="U168" i="31"/>
  <c r="O168" i="31"/>
  <c r="P168" i="31"/>
  <c r="R142" i="31"/>
  <c r="Q142" i="31"/>
  <c r="W142" i="31"/>
  <c r="X142" i="31"/>
  <c r="Q292" i="31"/>
  <c r="V292" i="31"/>
  <c r="W292" i="31"/>
  <c r="X292" i="31"/>
  <c r="Y293" i="31"/>
  <c r="O293" i="31"/>
  <c r="P293" i="31"/>
  <c r="Q332" i="31"/>
  <c r="V332" i="31"/>
  <c r="W332" i="31"/>
  <c r="X332" i="31"/>
  <c r="Y331" i="31"/>
  <c r="O331" i="31"/>
  <c r="P331" i="31"/>
  <c r="Q319" i="31"/>
  <c r="V319" i="31"/>
  <c r="W319" i="31"/>
  <c r="X319" i="31"/>
  <c r="Y318" i="31"/>
  <c r="O318" i="31"/>
  <c r="P318" i="31"/>
  <c r="O351" i="31"/>
  <c r="P351" i="31"/>
  <c r="Q351" i="31"/>
  <c r="V351" i="31"/>
  <c r="W352" i="31"/>
  <c r="X352" i="31"/>
  <c r="Y352" i="31"/>
  <c r="Q378" i="31"/>
  <c r="V378" i="31"/>
  <c r="W378" i="31"/>
  <c r="X378" i="31"/>
  <c r="Y377" i="31"/>
  <c r="O377" i="31"/>
  <c r="P377" i="31"/>
  <c r="Q472" i="29"/>
  <c r="Q483" i="31"/>
  <c r="V472" i="29"/>
  <c r="V483" i="31"/>
  <c r="W472" i="29"/>
  <c r="W483" i="31"/>
  <c r="X472" i="29"/>
  <c r="X483" i="31"/>
  <c r="V456" i="31"/>
  <c r="V446" i="29"/>
  <c r="O456" i="31"/>
  <c r="O446" i="29"/>
  <c r="P456" i="31"/>
  <c r="P446" i="29"/>
  <c r="R471" i="29"/>
  <c r="R482" i="31"/>
  <c r="U471" i="29"/>
  <c r="U482" i="31"/>
  <c r="W471" i="29"/>
  <c r="W482" i="31"/>
  <c r="X471" i="29"/>
  <c r="X482" i="31"/>
  <c r="Z455" i="31"/>
  <c r="Z445" i="29"/>
  <c r="O455" i="31"/>
  <c r="O445" i="29"/>
  <c r="P455" i="31"/>
  <c r="P445" i="29"/>
  <c r="U459" i="29"/>
  <c r="U470" i="31"/>
  <c r="Q459" i="29"/>
  <c r="Q470" i="31"/>
  <c r="W459" i="29"/>
  <c r="W470" i="31"/>
  <c r="X459" i="29"/>
  <c r="X470" i="31"/>
  <c r="R433" i="29"/>
  <c r="R444" i="31"/>
  <c r="O433" i="29"/>
  <c r="O444" i="31"/>
  <c r="P433" i="29"/>
  <c r="P444" i="31"/>
  <c r="Q458" i="29"/>
  <c r="Q469" i="31"/>
  <c r="V458" i="29"/>
  <c r="V469" i="31"/>
  <c r="W458" i="29"/>
  <c r="W469" i="31"/>
  <c r="X458" i="29"/>
  <c r="X469" i="31"/>
  <c r="Y432" i="29"/>
  <c r="Y443" i="31"/>
  <c r="O432" i="29"/>
  <c r="O443" i="31"/>
  <c r="P432" i="29"/>
  <c r="P443" i="31"/>
  <c r="K127" i="38"/>
  <c r="Q154" i="28" s="1"/>
  <c r="N154" i="28"/>
  <c r="R183" i="31"/>
  <c r="S183" i="31"/>
  <c r="T183" i="31"/>
  <c r="V129" i="31"/>
  <c r="S129" i="31"/>
  <c r="T129" i="31"/>
  <c r="U182" i="31"/>
  <c r="Z182" i="31"/>
  <c r="AA182" i="31"/>
  <c r="AB182" i="31"/>
  <c r="Z128" i="31"/>
  <c r="Y128" i="31"/>
  <c r="AA128" i="31"/>
  <c r="AB128" i="31"/>
  <c r="V169" i="31"/>
  <c r="S169" i="31"/>
  <c r="T169" i="31"/>
  <c r="Z143" i="31"/>
  <c r="Y143" i="31"/>
  <c r="AA143" i="31"/>
  <c r="AB143" i="31"/>
  <c r="V168" i="31"/>
  <c r="S168" i="31"/>
  <c r="T168" i="31"/>
  <c r="Z142" i="31"/>
  <c r="Y142" i="31"/>
  <c r="AA142" i="31"/>
  <c r="AB142" i="31"/>
  <c r="U292" i="31"/>
  <c r="Z292" i="31"/>
  <c r="AA292" i="31"/>
  <c r="AB292" i="31"/>
  <c r="R293" i="31"/>
  <c r="S293" i="31"/>
  <c r="T293" i="31"/>
  <c r="U332" i="31"/>
  <c r="Z332" i="31"/>
  <c r="AA332" i="31"/>
  <c r="AB332" i="31"/>
  <c r="R331" i="31"/>
  <c r="S331" i="31"/>
  <c r="T331" i="31"/>
  <c r="U319" i="31"/>
  <c r="Z319" i="31"/>
  <c r="AA319" i="31"/>
  <c r="AB319" i="31"/>
  <c r="R318" i="31"/>
  <c r="S318" i="31"/>
  <c r="T318" i="31"/>
  <c r="S351" i="31"/>
  <c r="T351" i="31"/>
  <c r="U351" i="31"/>
  <c r="Z351" i="31"/>
  <c r="AA352" i="31"/>
  <c r="AB352" i="31"/>
  <c r="R352" i="31"/>
  <c r="U378" i="31"/>
  <c r="Z378" i="31"/>
  <c r="AA378" i="31"/>
  <c r="AB378" i="31"/>
  <c r="R377" i="31"/>
  <c r="S377" i="31"/>
  <c r="T377" i="31"/>
  <c r="U472" i="29"/>
  <c r="U483" i="31"/>
  <c r="Z472" i="29"/>
  <c r="Z483" i="31"/>
  <c r="AA472" i="29"/>
  <c r="AA483" i="31"/>
  <c r="AB472" i="29"/>
  <c r="AB483" i="31"/>
  <c r="Z456" i="31"/>
  <c r="Z446" i="29"/>
  <c r="S456" i="31"/>
  <c r="S446" i="29"/>
  <c r="T456" i="31"/>
  <c r="T446" i="29"/>
  <c r="V471" i="29"/>
  <c r="V482" i="31"/>
  <c r="Y471" i="29"/>
  <c r="Y482" i="31"/>
  <c r="AA471" i="29"/>
  <c r="AA482" i="31"/>
  <c r="AB471" i="29"/>
  <c r="AB482" i="31"/>
  <c r="Q455" i="31"/>
  <c r="Q445" i="29"/>
  <c r="S455" i="31"/>
  <c r="S445" i="29"/>
  <c r="T455" i="31"/>
  <c r="T445" i="29"/>
  <c r="R459" i="29"/>
  <c r="R470" i="31"/>
  <c r="Y459" i="29"/>
  <c r="Y470" i="31"/>
  <c r="AA459" i="29"/>
  <c r="AA470" i="31"/>
  <c r="AB459" i="29"/>
  <c r="AB470" i="31"/>
  <c r="V433" i="29"/>
  <c r="V444" i="31"/>
  <c r="S433" i="29"/>
  <c r="S444" i="31"/>
  <c r="T433" i="29"/>
  <c r="T444" i="31"/>
  <c r="U458" i="29"/>
  <c r="U469" i="31"/>
  <c r="Z458" i="29"/>
  <c r="Z469" i="31"/>
  <c r="AA458" i="29"/>
  <c r="AA469" i="31"/>
  <c r="AB458" i="29"/>
  <c r="AB469" i="31"/>
  <c r="R432" i="29"/>
  <c r="R443" i="31"/>
  <c r="S432" i="29"/>
  <c r="S443" i="31"/>
  <c r="T432" i="29"/>
  <c r="T443" i="31"/>
  <c r="O138" i="28"/>
  <c r="I128" i="38"/>
  <c r="O166" i="28" s="1"/>
  <c r="P129" i="38"/>
  <c r="V167" i="28" s="1"/>
  <c r="R123" i="38"/>
  <c r="X128" i="28" s="1"/>
  <c r="U129" i="38"/>
  <c r="AA167" i="28" s="1"/>
  <c r="J129" i="38"/>
  <c r="P167" i="28" s="1"/>
  <c r="T128" i="38"/>
  <c r="Z166" i="28" s="1"/>
  <c r="I123" i="38"/>
  <c r="O128" i="28" s="1"/>
  <c r="N129" i="38"/>
  <c r="T167" i="28" s="1"/>
  <c r="R129" i="38"/>
  <c r="X167" i="28" s="1"/>
  <c r="I129" i="38"/>
  <c r="O167" i="28" s="1"/>
  <c r="R128" i="38"/>
  <c r="X166" i="28" s="1"/>
  <c r="P123" i="38"/>
  <c r="V128" i="28" s="1"/>
  <c r="N123" i="38"/>
  <c r="T128" i="28" s="1"/>
  <c r="U123" i="38"/>
  <c r="AA128" i="28" s="1"/>
  <c r="J123" i="38"/>
  <c r="P128" i="28" s="1"/>
  <c r="N128" i="38"/>
  <c r="T166" i="28" s="1"/>
  <c r="T129" i="38"/>
  <c r="Z167" i="28" s="1"/>
  <c r="M129" i="38"/>
  <c r="S167" i="28" s="1"/>
  <c r="M128" i="38"/>
  <c r="S166" i="28" s="1"/>
  <c r="T123" i="38"/>
  <c r="Z128" i="28" s="1"/>
  <c r="M123" i="38"/>
  <c r="S128" i="28" s="1"/>
  <c r="V129" i="38"/>
  <c r="AB167" i="28" s="1"/>
  <c r="Q129" i="38"/>
  <c r="W167" i="28" s="1"/>
  <c r="L129" i="38"/>
  <c r="R167" i="28" s="1"/>
  <c r="V128" i="38"/>
  <c r="AB166" i="28" s="1"/>
  <c r="Q128" i="38"/>
  <c r="W166" i="28" s="1"/>
  <c r="L128" i="38"/>
  <c r="R166" i="28" s="1"/>
  <c r="U128" i="38"/>
  <c r="AA166" i="28" s="1"/>
  <c r="P128" i="38"/>
  <c r="V166" i="28" s="1"/>
  <c r="J128" i="38"/>
  <c r="P166" i="28" s="1"/>
  <c r="K126" i="38"/>
  <c r="Q153" i="28" s="1"/>
  <c r="M126" i="38"/>
  <c r="S153" i="28" s="1"/>
  <c r="R126" i="38"/>
  <c r="X153" i="28" s="1"/>
  <c r="R127" i="38"/>
  <c r="X154" i="28" s="1"/>
  <c r="M127" i="38"/>
  <c r="S154" i="28" s="1"/>
  <c r="V127" i="38"/>
  <c r="AB154" i="28" s="1"/>
  <c r="Q127" i="38"/>
  <c r="W154" i="28" s="1"/>
  <c r="L127" i="38"/>
  <c r="R154" i="28" s="1"/>
  <c r="U127" i="38"/>
  <c r="AA154" i="28" s="1"/>
  <c r="P127" i="38"/>
  <c r="V154" i="28" s="1"/>
  <c r="J127" i="38"/>
  <c r="P154" i="28" s="1"/>
  <c r="T127" i="38"/>
  <c r="Z154" i="28" s="1"/>
  <c r="N127" i="38"/>
  <c r="T154" i="28" s="1"/>
  <c r="I127" i="38"/>
  <c r="O154" i="28" s="1"/>
  <c r="V126" i="38"/>
  <c r="AB153" i="28" s="1"/>
  <c r="Q126" i="38"/>
  <c r="W153" i="28" s="1"/>
  <c r="L126" i="38"/>
  <c r="R153" i="28" s="1"/>
  <c r="U126" i="38"/>
  <c r="AA153" i="28" s="1"/>
  <c r="P126" i="38"/>
  <c r="V153" i="28" s="1"/>
  <c r="J126" i="38"/>
  <c r="P153" i="28" s="1"/>
  <c r="T126" i="38"/>
  <c r="Z153" i="28" s="1"/>
  <c r="N126" i="38"/>
  <c r="T153" i="28" s="1"/>
  <c r="I126" i="38"/>
  <c r="O153" i="28" s="1"/>
  <c r="V123" i="38"/>
  <c r="AB128" i="28" s="1"/>
  <c r="Q123" i="38"/>
  <c r="W128" i="28" s="1"/>
  <c r="L123" i="38"/>
  <c r="R128" i="28" s="1"/>
  <c r="R122" i="38"/>
  <c r="X127" i="28" s="1"/>
  <c r="M122" i="38"/>
  <c r="S127" i="28" s="1"/>
  <c r="V122" i="38"/>
  <c r="AB127" i="28" s="1"/>
  <c r="U122" i="38"/>
  <c r="AA127" i="28" s="1"/>
  <c r="P122" i="38"/>
  <c r="V127" i="28" s="1"/>
  <c r="J122" i="38"/>
  <c r="P127" i="28" s="1"/>
  <c r="Q122" i="38"/>
  <c r="W127" i="28" s="1"/>
  <c r="L122" i="38"/>
  <c r="R127" i="28" s="1"/>
  <c r="T122" i="38"/>
  <c r="Z127" i="28" s="1"/>
  <c r="N122" i="38"/>
  <c r="T127" i="28" s="1"/>
  <c r="I122" i="38"/>
  <c r="O127" i="28" s="1"/>
  <c r="K121" i="38"/>
  <c r="Q115" i="28" s="1"/>
  <c r="M121" i="38"/>
  <c r="S115" i="28" s="1"/>
  <c r="R121" i="38"/>
  <c r="X115" i="28" s="1"/>
  <c r="I121" i="38"/>
  <c r="O115" i="28" s="1"/>
  <c r="N121" i="38"/>
  <c r="T115" i="28" s="1"/>
  <c r="T121" i="38"/>
  <c r="Z115" i="28" s="1"/>
  <c r="J121" i="38"/>
  <c r="P115" i="28" s="1"/>
  <c r="P121" i="38"/>
  <c r="V115" i="28" s="1"/>
  <c r="U121" i="38"/>
  <c r="AA115" i="28" s="1"/>
  <c r="L121" i="38"/>
  <c r="R115" i="28" s="1"/>
  <c r="Q121" i="38"/>
  <c r="W115" i="28" s="1"/>
  <c r="V121" i="38"/>
  <c r="AB115" i="28" s="1"/>
  <c r="K120" i="38"/>
  <c r="Q114" i="28" s="1"/>
  <c r="L120" i="38"/>
  <c r="R114" i="28" s="1"/>
  <c r="Q120" i="38"/>
  <c r="W114" i="28" s="1"/>
  <c r="V120" i="38"/>
  <c r="AB114" i="28" s="1"/>
  <c r="M120" i="38"/>
  <c r="S114" i="28" s="1"/>
  <c r="R120" i="38"/>
  <c r="X114" i="28" s="1"/>
  <c r="I120" i="38"/>
  <c r="O114" i="28" s="1"/>
  <c r="N120" i="38"/>
  <c r="T114" i="28" s="1"/>
  <c r="T120" i="38"/>
  <c r="Z114" i="28" s="1"/>
  <c r="J120" i="38"/>
  <c r="P114" i="28" s="1"/>
  <c r="P120" i="38"/>
  <c r="V114" i="28" s="1"/>
  <c r="U120" i="38"/>
  <c r="AA114" i="28" s="1"/>
  <c r="B140" i="28"/>
  <c r="B141" i="28" s="1"/>
  <c r="B142" i="28" s="1"/>
  <c r="B143" i="28" s="1"/>
  <c r="B144" i="28" s="1"/>
  <c r="B145" i="28" s="1"/>
  <c r="B146" i="28" s="1"/>
  <c r="B147" i="28" s="1"/>
  <c r="B148" i="28" s="1"/>
  <c r="B149" i="28" s="1"/>
  <c r="Q111" i="28"/>
  <c r="Y111" i="28"/>
  <c r="Q138" i="28"/>
  <c r="W138" i="28"/>
  <c r="AB138" i="28"/>
  <c r="T111" i="28"/>
  <c r="AB111" i="28"/>
  <c r="S138" i="28"/>
  <c r="X138" i="28"/>
  <c r="U111" i="28"/>
  <c r="P111" i="28"/>
  <c r="X111" i="28"/>
  <c r="AD126" i="28"/>
  <c r="P138" i="28"/>
  <c r="U138" i="28"/>
  <c r="AA138" i="28"/>
  <c r="R138" i="28"/>
  <c r="V138" i="28"/>
  <c r="S129" i="38"/>
  <c r="Y167" i="28" s="1"/>
  <c r="O129" i="38"/>
  <c r="U167" i="28" s="1"/>
  <c r="S128" i="38"/>
  <c r="Y166" i="28" s="1"/>
  <c r="O128" i="38"/>
  <c r="U166" i="28" s="1"/>
  <c r="S127" i="38"/>
  <c r="Y154" i="28" s="1"/>
  <c r="O127" i="38"/>
  <c r="U154" i="28" s="1"/>
  <c r="S126" i="38"/>
  <c r="Y153" i="28" s="1"/>
  <c r="O126" i="38"/>
  <c r="U153" i="28" s="1"/>
  <c r="S123" i="38"/>
  <c r="Y128" i="28" s="1"/>
  <c r="O123" i="38"/>
  <c r="U128" i="28" s="1"/>
  <c r="S122" i="38"/>
  <c r="Y127" i="28" s="1"/>
  <c r="O122" i="38"/>
  <c r="U127" i="28" s="1"/>
  <c r="S121" i="38"/>
  <c r="Y115" i="28" s="1"/>
  <c r="O121" i="38"/>
  <c r="U115" i="28" s="1"/>
  <c r="S120" i="38"/>
  <c r="Y114" i="28" s="1"/>
  <c r="O120" i="38"/>
  <c r="U114" i="28" s="1"/>
  <c r="Y125" i="28"/>
  <c r="U125" i="28"/>
  <c r="Q125" i="28"/>
  <c r="AB125" i="28"/>
  <c r="X125" i="28"/>
  <c r="T125" i="28"/>
  <c r="P125" i="28"/>
  <c r="V125" i="28"/>
  <c r="O125" i="28"/>
  <c r="W125" i="28"/>
  <c r="R125" i="28"/>
  <c r="Z125" i="28"/>
  <c r="AD112" i="28"/>
  <c r="R111" i="28"/>
  <c r="V111" i="28"/>
  <c r="Z111" i="28"/>
  <c r="O111" i="28"/>
  <c r="S111" i="28"/>
  <c r="W111" i="28"/>
  <c r="Y350" i="31"/>
  <c r="U350" i="31"/>
  <c r="Q350" i="31"/>
  <c r="AB350" i="31"/>
  <c r="X350" i="31"/>
  <c r="T350" i="31"/>
  <c r="P350" i="31"/>
  <c r="V350" i="31"/>
  <c r="O350" i="31"/>
  <c r="W350" i="31"/>
  <c r="R350" i="31"/>
  <c r="Z350" i="31"/>
  <c r="S350" i="31"/>
  <c r="AA350" i="31"/>
  <c r="Y185" i="28"/>
  <c r="U185" i="28"/>
  <c r="Q185" i="28"/>
  <c r="AB185" i="28"/>
  <c r="X185" i="28"/>
  <c r="T185" i="28"/>
  <c r="P185" i="28"/>
  <c r="V185" i="28"/>
  <c r="O185" i="28"/>
  <c r="W185" i="28"/>
  <c r="R185" i="28"/>
  <c r="Z185" i="28"/>
  <c r="S185" i="28"/>
  <c r="AA185" i="28"/>
  <c r="N139" i="28" l="1"/>
  <c r="R124" i="38"/>
  <c r="X139" i="28" s="1"/>
  <c r="L124" i="38"/>
  <c r="R139" i="28" s="1"/>
  <c r="M124" i="38"/>
  <c r="S139" i="28" s="1"/>
  <c r="T124" i="38"/>
  <c r="Z139" i="28" s="1"/>
  <c r="U124" i="38"/>
  <c r="AA139" i="28" s="1"/>
  <c r="I124" i="38"/>
  <c r="O139" i="28" s="1"/>
  <c r="V124" i="38"/>
  <c r="AB139" i="28" s="1"/>
  <c r="P124" i="38"/>
  <c r="V139" i="28" s="1"/>
  <c r="S124" i="38"/>
  <c r="Y139" i="28" s="1"/>
  <c r="K124" i="38"/>
  <c r="Q139" i="28" s="1"/>
  <c r="N124" i="38"/>
  <c r="T139" i="28" s="1"/>
  <c r="Q124" i="38"/>
  <c r="W139" i="28" s="1"/>
  <c r="J124" i="38"/>
  <c r="P139" i="28" s="1"/>
  <c r="O124" i="38"/>
  <c r="U139" i="28" s="1"/>
  <c r="N140" i="28"/>
  <c r="P125" i="38"/>
  <c r="V140" i="28" s="1"/>
  <c r="I125" i="38"/>
  <c r="O140" i="28" s="1"/>
  <c r="Q125" i="38"/>
  <c r="W140" i="28" s="1"/>
  <c r="S125" i="38"/>
  <c r="Y140" i="28" s="1"/>
  <c r="U125" i="38"/>
  <c r="AA140" i="28" s="1"/>
  <c r="N125" i="38"/>
  <c r="T140" i="28" s="1"/>
  <c r="V125" i="38"/>
  <c r="AB140" i="28" s="1"/>
  <c r="O125" i="38"/>
  <c r="U140" i="28" s="1"/>
  <c r="K125" i="38"/>
  <c r="Q140" i="28" s="1"/>
  <c r="M125" i="38"/>
  <c r="S140" i="28" s="1"/>
  <c r="T125" i="38"/>
  <c r="Z140" i="28" s="1"/>
  <c r="J125" i="38"/>
  <c r="P140" i="28" s="1"/>
  <c r="R125" i="38"/>
  <c r="X140" i="28" s="1"/>
  <c r="L125" i="38"/>
  <c r="R140" i="28" s="1"/>
  <c r="H113" i="38"/>
  <c r="H112" i="38"/>
  <c r="I68" i="28"/>
  <c r="AD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B61" i="28"/>
  <c r="B62" i="28" s="1"/>
  <c r="B63" i="28" s="1"/>
  <c r="B64" i="28" s="1"/>
  <c r="B65" i="28" s="1"/>
  <c r="B66" i="28" s="1"/>
  <c r="B67" i="28" s="1"/>
  <c r="B68" i="28" s="1"/>
  <c r="B69" i="28" s="1"/>
  <c r="B70" i="28" s="1"/>
  <c r="B71" i="28" s="1"/>
  <c r="B72" i="28" s="1"/>
  <c r="AD35" i="28"/>
  <c r="I42" i="28"/>
  <c r="B35" i="28"/>
  <c r="B36" i="28" s="1"/>
  <c r="AD29" i="25"/>
  <c r="E25" i="36"/>
  <c r="E31" i="36"/>
  <c r="I41" i="25"/>
  <c r="I40" i="25"/>
  <c r="I53" i="25"/>
  <c r="I52" i="25"/>
  <c r="I66" i="25"/>
  <c r="I65" i="25"/>
  <c r="I80" i="25"/>
  <c r="I79" i="25"/>
  <c r="I94" i="25"/>
  <c r="I93" i="25"/>
  <c r="I134" i="25"/>
  <c r="I133" i="25"/>
  <c r="E19" i="36"/>
  <c r="N14" i="25" s="1"/>
  <c r="AD32" i="26"/>
  <c r="AD33" i="26" s="1"/>
  <c r="AD36" i="28" l="1"/>
  <c r="V113" i="38"/>
  <c r="AB63" i="28" s="1"/>
  <c r="O113" i="38"/>
  <c r="U63" i="28" s="1"/>
  <c r="K113" i="38"/>
  <c r="Q63" i="28" s="1"/>
  <c r="N63" i="28"/>
  <c r="S113" i="38"/>
  <c r="Y63" i="28" s="1"/>
  <c r="U112" i="38"/>
  <c r="AA62" i="28" s="1"/>
  <c r="R112" i="38"/>
  <c r="X62" i="28" s="1"/>
  <c r="J112" i="38"/>
  <c r="P62" i="28" s="1"/>
  <c r="N62" i="28"/>
  <c r="O112" i="38"/>
  <c r="U62" i="28" s="1"/>
  <c r="V112" i="38"/>
  <c r="AB62" i="28" s="1"/>
  <c r="N112" i="38"/>
  <c r="T62" i="28" s="1"/>
  <c r="S112" i="38"/>
  <c r="Y62" i="28" s="1"/>
  <c r="K112" i="38"/>
  <c r="Q62" i="28" s="1"/>
  <c r="L113" i="38"/>
  <c r="R63" i="28" s="1"/>
  <c r="P113" i="38"/>
  <c r="V63" i="28" s="1"/>
  <c r="T113" i="38"/>
  <c r="Z63" i="28" s="1"/>
  <c r="L112" i="38"/>
  <c r="R62" i="28" s="1"/>
  <c r="P112" i="38"/>
  <c r="V62" i="28" s="1"/>
  <c r="T112" i="38"/>
  <c r="Z62" i="28" s="1"/>
  <c r="I113" i="38"/>
  <c r="O63" i="28" s="1"/>
  <c r="M113" i="38"/>
  <c r="S63" i="28" s="1"/>
  <c r="Q113" i="38"/>
  <c r="W63" i="28" s="1"/>
  <c r="U113" i="38"/>
  <c r="AA63" i="28" s="1"/>
  <c r="I112" i="38"/>
  <c r="O62" i="28" s="1"/>
  <c r="M112" i="38"/>
  <c r="S62" i="28" s="1"/>
  <c r="Q112" i="38"/>
  <c r="W62" i="28" s="1"/>
  <c r="J113" i="38"/>
  <c r="P63" i="28" s="1"/>
  <c r="N113" i="38"/>
  <c r="T63" i="28" s="1"/>
  <c r="R113" i="38"/>
  <c r="X63" i="28" s="1"/>
  <c r="AD62" i="28"/>
  <c r="B37" i="28"/>
  <c r="B38" i="28" s="1"/>
  <c r="B39" i="28" s="1"/>
  <c r="B40" i="28" s="1"/>
  <c r="B41" i="28" s="1"/>
  <c r="B42" i="28" s="1"/>
  <c r="B43" i="28" s="1"/>
  <c r="B44" i="28" s="1"/>
  <c r="B45" i="28" s="1"/>
  <c r="B46" i="28" s="1"/>
  <c r="AD73" i="4" l="1"/>
  <c r="I80" i="4"/>
  <c r="I79" i="4"/>
  <c r="B73" i="4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AD59" i="4"/>
  <c r="AD74" i="4" l="1"/>
  <c r="C47" i="45"/>
  <c r="C11" i="45"/>
  <c r="C12" i="45"/>
  <c r="C13" i="45"/>
  <c r="C14" i="45"/>
  <c r="C15" i="45"/>
  <c r="C16" i="45"/>
  <c r="C17" i="45"/>
  <c r="C18" i="45"/>
  <c r="C19" i="45"/>
  <c r="C20" i="45"/>
  <c r="N39" i="25" l="1"/>
  <c r="AC25" i="32"/>
  <c r="AC68" i="32"/>
  <c r="E24" i="36" l="1"/>
  <c r="E23" i="36"/>
  <c r="O350" i="46" l="1"/>
  <c r="X100" i="7" s="1"/>
  <c r="F349" i="46"/>
  <c r="O88" i="7" s="1"/>
  <c r="Q353" i="46"/>
  <c r="M353" i="46"/>
  <c r="I353" i="46"/>
  <c r="E353" i="46"/>
  <c r="R353" i="46"/>
  <c r="L353" i="46"/>
  <c r="G353" i="46"/>
  <c r="P353" i="46"/>
  <c r="K353" i="46"/>
  <c r="F353" i="46"/>
  <c r="O353" i="46"/>
  <c r="J353" i="46"/>
  <c r="D353" i="46"/>
  <c r="N353" i="46"/>
  <c r="H353" i="46"/>
  <c r="Q349" i="46" l="1"/>
  <c r="Z88" i="7" s="1"/>
  <c r="E349" i="46"/>
  <c r="N88" i="7" s="1"/>
  <c r="K349" i="46"/>
  <c r="T88" i="7" s="1"/>
  <c r="J350" i="46"/>
  <c r="S100" i="7" s="1"/>
  <c r="N349" i="46"/>
  <c r="W88" i="7" s="1"/>
  <c r="Q350" i="46"/>
  <c r="Z100" i="7" s="1"/>
  <c r="D350" i="46"/>
  <c r="M100" i="7" s="1"/>
  <c r="M349" i="46"/>
  <c r="V88" i="7" s="1"/>
  <c r="R349" i="46"/>
  <c r="AA88" i="7" s="1"/>
  <c r="G349" i="46"/>
  <c r="P88" i="7" s="1"/>
  <c r="D349" i="46"/>
  <c r="M88" i="7" s="1"/>
  <c r="P349" i="46"/>
  <c r="Y88" i="7" s="1"/>
  <c r="L349" i="46"/>
  <c r="U88" i="7" s="1"/>
  <c r="I349" i="46"/>
  <c r="R88" i="7" s="1"/>
  <c r="J349" i="46"/>
  <c r="S88" i="7" s="1"/>
  <c r="M350" i="46"/>
  <c r="V100" i="7" s="1"/>
  <c r="I350" i="46"/>
  <c r="R100" i="7" s="1"/>
  <c r="P350" i="46"/>
  <c r="Y100" i="7" s="1"/>
  <c r="G350" i="46"/>
  <c r="P100" i="7" s="1"/>
  <c r="R350" i="46"/>
  <c r="AA100" i="7" s="1"/>
  <c r="N350" i="46"/>
  <c r="W100" i="7" s="1"/>
  <c r="F350" i="46"/>
  <c r="O100" i="7" s="1"/>
  <c r="K350" i="46"/>
  <c r="T100" i="7" s="1"/>
  <c r="H350" i="46"/>
  <c r="Q100" i="7" s="1"/>
  <c r="E350" i="46"/>
  <c r="N100" i="7" s="1"/>
  <c r="L350" i="46"/>
  <c r="U100" i="7" s="1"/>
  <c r="H349" i="46"/>
  <c r="Q88" i="7" s="1"/>
  <c r="O349" i="46"/>
  <c r="X88" i="7" s="1"/>
  <c r="O352" i="46"/>
  <c r="X131" i="7" s="1"/>
  <c r="K352" i="46"/>
  <c r="T131" i="7" s="1"/>
  <c r="G352" i="46"/>
  <c r="P131" i="7" s="1"/>
  <c r="P352" i="46"/>
  <c r="Y131" i="7" s="1"/>
  <c r="J352" i="46"/>
  <c r="S131" i="7" s="1"/>
  <c r="E352" i="46"/>
  <c r="N131" i="7" s="1"/>
  <c r="N352" i="46"/>
  <c r="W131" i="7" s="1"/>
  <c r="I352" i="46"/>
  <c r="R131" i="7" s="1"/>
  <c r="D352" i="46"/>
  <c r="M131" i="7" s="1"/>
  <c r="R352" i="46"/>
  <c r="AA131" i="7" s="1"/>
  <c r="M352" i="46"/>
  <c r="V131" i="7" s="1"/>
  <c r="H352" i="46"/>
  <c r="Q131" i="7" s="1"/>
  <c r="Q352" i="46"/>
  <c r="Z131" i="7" s="1"/>
  <c r="L352" i="46"/>
  <c r="U131" i="7" s="1"/>
  <c r="F352" i="46"/>
  <c r="O131" i="7" s="1"/>
  <c r="P355" i="46"/>
  <c r="Y68" i="7" s="1"/>
  <c r="L355" i="46"/>
  <c r="U68" i="7" s="1"/>
  <c r="H355" i="46"/>
  <c r="Q68" i="7" s="1"/>
  <c r="D355" i="46"/>
  <c r="M68" i="7" s="1"/>
  <c r="Q355" i="46"/>
  <c r="Z68" i="7" s="1"/>
  <c r="K355" i="46"/>
  <c r="T68" i="7" s="1"/>
  <c r="F355" i="46"/>
  <c r="O68" i="7" s="1"/>
  <c r="O355" i="46"/>
  <c r="X68" i="7" s="1"/>
  <c r="J355" i="46"/>
  <c r="S68" i="7" s="1"/>
  <c r="E355" i="46"/>
  <c r="N68" i="7" s="1"/>
  <c r="N355" i="46"/>
  <c r="W68" i="7" s="1"/>
  <c r="I355" i="46"/>
  <c r="R68" i="7" s="1"/>
  <c r="R355" i="46"/>
  <c r="AA68" i="7" s="1"/>
  <c r="M355" i="46"/>
  <c r="V68" i="7" s="1"/>
  <c r="G355" i="46"/>
  <c r="P68" i="7" s="1"/>
  <c r="R354" i="46"/>
  <c r="AA56" i="7" s="1"/>
  <c r="N354" i="46"/>
  <c r="W56" i="7" s="1"/>
  <c r="J354" i="46"/>
  <c r="S56" i="7" s="1"/>
  <c r="F354" i="46"/>
  <c r="O56" i="7" s="1"/>
  <c r="M354" i="46"/>
  <c r="V56" i="7" s="1"/>
  <c r="H354" i="46"/>
  <c r="Q56" i="7" s="1"/>
  <c r="Q354" i="46"/>
  <c r="Z56" i="7" s="1"/>
  <c r="L354" i="46"/>
  <c r="U56" i="7" s="1"/>
  <c r="G354" i="46"/>
  <c r="P56" i="7" s="1"/>
  <c r="P354" i="46"/>
  <c r="Y56" i="7" s="1"/>
  <c r="K354" i="46"/>
  <c r="T56" i="7" s="1"/>
  <c r="E354" i="46"/>
  <c r="N56" i="7" s="1"/>
  <c r="O354" i="46"/>
  <c r="X56" i="7" s="1"/>
  <c r="I354" i="46"/>
  <c r="R56" i="7" s="1"/>
  <c r="D354" i="46"/>
  <c r="M56" i="7" s="1"/>
  <c r="R351" i="46"/>
  <c r="AA119" i="7" s="1"/>
  <c r="N351" i="46"/>
  <c r="W119" i="7" s="1"/>
  <c r="J351" i="46"/>
  <c r="S119" i="7" s="1"/>
  <c r="F351" i="46"/>
  <c r="O119" i="7" s="1"/>
  <c r="O351" i="46"/>
  <c r="X119" i="7" s="1"/>
  <c r="I351" i="46"/>
  <c r="R119" i="7" s="1"/>
  <c r="D351" i="46"/>
  <c r="M119" i="7" s="1"/>
  <c r="M351" i="46"/>
  <c r="V119" i="7" s="1"/>
  <c r="H351" i="46"/>
  <c r="Q119" i="7" s="1"/>
  <c r="Q351" i="46"/>
  <c r="Z119" i="7" s="1"/>
  <c r="L351" i="46"/>
  <c r="U119" i="7" s="1"/>
  <c r="G351" i="46"/>
  <c r="P119" i="7" s="1"/>
  <c r="E351" i="46"/>
  <c r="N119" i="7" s="1"/>
  <c r="P351" i="46"/>
  <c r="Y119" i="7" s="1"/>
  <c r="K351" i="46"/>
  <c r="T119" i="7" s="1"/>
  <c r="AE199" i="31"/>
  <c r="AD427" i="31"/>
  <c r="AD428" i="31" s="1"/>
  <c r="I436" i="31"/>
  <c r="I435" i="31"/>
  <c r="N427" i="31"/>
  <c r="S427" i="31" s="1"/>
  <c r="B427" i="31"/>
  <c r="B428" i="31" s="1"/>
  <c r="H262" i="38"/>
  <c r="N312" i="29" s="1"/>
  <c r="H261" i="38"/>
  <c r="H258" i="38"/>
  <c r="N286" i="29" s="1"/>
  <c r="H256" i="38"/>
  <c r="N273" i="29" s="1"/>
  <c r="H284" i="38"/>
  <c r="H283" i="38"/>
  <c r="H215" i="38"/>
  <c r="H214" i="38"/>
  <c r="H193" i="38"/>
  <c r="H192" i="38"/>
  <c r="H196" i="38"/>
  <c r="H187" i="38"/>
  <c r="H185" i="38"/>
  <c r="H184" i="38"/>
  <c r="B430" i="31" l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29" i="31"/>
  <c r="T43" i="7"/>
  <c r="AA43" i="7"/>
  <c r="S43" i="7"/>
  <c r="U43" i="7"/>
  <c r="Z43" i="7"/>
  <c r="R43" i="7"/>
  <c r="X43" i="7"/>
  <c r="Y43" i="7"/>
  <c r="P43" i="7"/>
  <c r="W43" i="7"/>
  <c r="M43" i="7"/>
  <c r="O43" i="7"/>
  <c r="V43" i="7"/>
  <c r="N43" i="7"/>
  <c r="Q43" i="7"/>
  <c r="S261" i="38"/>
  <c r="Y311" i="29" s="1"/>
  <c r="N311" i="29"/>
  <c r="H249" i="38"/>
  <c r="N235" i="29" s="1"/>
  <c r="H257" i="38"/>
  <c r="H186" i="38"/>
  <c r="O186" i="38" s="1"/>
  <c r="N228" i="31"/>
  <c r="N304" i="31"/>
  <c r="U214" i="38"/>
  <c r="N419" i="29"/>
  <c r="N229" i="31"/>
  <c r="N431" i="31"/>
  <c r="N420" i="29"/>
  <c r="H180" i="38"/>
  <c r="H182" i="38"/>
  <c r="T182" i="38" s="1"/>
  <c r="H254" i="38"/>
  <c r="H253" i="38"/>
  <c r="N241" i="31"/>
  <c r="N430" i="31"/>
  <c r="T193" i="38"/>
  <c r="N280" i="31"/>
  <c r="AA427" i="31"/>
  <c r="Y427" i="31"/>
  <c r="U427" i="31"/>
  <c r="Q427" i="31"/>
  <c r="AB427" i="31"/>
  <c r="X427" i="31"/>
  <c r="T427" i="31"/>
  <c r="P427" i="31"/>
  <c r="V427" i="31"/>
  <c r="O427" i="31"/>
  <c r="W427" i="31"/>
  <c r="R427" i="31"/>
  <c r="Z427" i="31"/>
  <c r="T283" i="38"/>
  <c r="R283" i="38"/>
  <c r="M283" i="38"/>
  <c r="V283" i="38"/>
  <c r="Q283" i="38"/>
  <c r="K283" i="38"/>
  <c r="U283" i="38"/>
  <c r="O283" i="38"/>
  <c r="J283" i="38"/>
  <c r="S283" i="38"/>
  <c r="N283" i="38"/>
  <c r="I283" i="38"/>
  <c r="V284" i="38"/>
  <c r="S284" i="38"/>
  <c r="O284" i="38"/>
  <c r="K284" i="38"/>
  <c r="T262" i="38"/>
  <c r="Z312" i="29" s="1"/>
  <c r="O262" i="38"/>
  <c r="U312" i="29" s="1"/>
  <c r="R262" i="38"/>
  <c r="X312" i="29" s="1"/>
  <c r="M262" i="38"/>
  <c r="S312" i="29" s="1"/>
  <c r="S262" i="38"/>
  <c r="Y312" i="29" s="1"/>
  <c r="I262" i="38"/>
  <c r="O312" i="29" s="1"/>
  <c r="V262" i="38"/>
  <c r="AB312" i="29" s="1"/>
  <c r="Q262" i="38"/>
  <c r="W312" i="29" s="1"/>
  <c r="K262" i="38"/>
  <c r="Q312" i="29" s="1"/>
  <c r="U262" i="38"/>
  <c r="AA312" i="29" s="1"/>
  <c r="J262" i="38"/>
  <c r="P312" i="29" s="1"/>
  <c r="N262" i="38"/>
  <c r="T312" i="29" s="1"/>
  <c r="T258" i="38"/>
  <c r="Z286" i="29" s="1"/>
  <c r="U258" i="38"/>
  <c r="AA286" i="29" s="1"/>
  <c r="O258" i="38"/>
  <c r="U286" i="29" s="1"/>
  <c r="J258" i="38"/>
  <c r="P286" i="29" s="1"/>
  <c r="V258" i="38"/>
  <c r="AB286" i="29" s="1"/>
  <c r="K258" i="38"/>
  <c r="Q286" i="29" s="1"/>
  <c r="S258" i="38"/>
  <c r="Y286" i="29" s="1"/>
  <c r="N258" i="38"/>
  <c r="T286" i="29" s="1"/>
  <c r="I258" i="38"/>
  <c r="O286" i="29" s="1"/>
  <c r="R258" i="38"/>
  <c r="X286" i="29" s="1"/>
  <c r="M258" i="38"/>
  <c r="S286" i="29" s="1"/>
  <c r="Q258" i="38"/>
  <c r="W286" i="29" s="1"/>
  <c r="H266" i="38"/>
  <c r="H260" i="38"/>
  <c r="V256" i="38"/>
  <c r="AB273" i="29" s="1"/>
  <c r="U256" i="38"/>
  <c r="AA273" i="29" s="1"/>
  <c r="M256" i="38"/>
  <c r="S273" i="29" s="1"/>
  <c r="O256" i="38"/>
  <c r="U273" i="29" s="1"/>
  <c r="S256" i="38"/>
  <c r="Y273" i="29" s="1"/>
  <c r="K256" i="38"/>
  <c r="Q273" i="29" s="1"/>
  <c r="Q256" i="38"/>
  <c r="W273" i="29" s="1"/>
  <c r="I256" i="38"/>
  <c r="O273" i="29" s="1"/>
  <c r="H265" i="38"/>
  <c r="H251" i="38"/>
  <c r="H255" i="38"/>
  <c r="H259" i="38"/>
  <c r="L261" i="38"/>
  <c r="R311" i="29" s="1"/>
  <c r="P261" i="38"/>
  <c r="V311" i="29" s="1"/>
  <c r="T261" i="38"/>
  <c r="Z311" i="29" s="1"/>
  <c r="L256" i="38"/>
  <c r="R273" i="29" s="1"/>
  <c r="P256" i="38"/>
  <c r="V273" i="29" s="1"/>
  <c r="T256" i="38"/>
  <c r="Z273" i="29" s="1"/>
  <c r="I261" i="38"/>
  <c r="O311" i="29" s="1"/>
  <c r="M261" i="38"/>
  <c r="S311" i="29" s="1"/>
  <c r="Q261" i="38"/>
  <c r="W311" i="29" s="1"/>
  <c r="U261" i="38"/>
  <c r="AA311" i="29" s="1"/>
  <c r="J261" i="38"/>
  <c r="P311" i="29" s="1"/>
  <c r="N261" i="38"/>
  <c r="T311" i="29" s="1"/>
  <c r="R261" i="38"/>
  <c r="X311" i="29" s="1"/>
  <c r="V261" i="38"/>
  <c r="AB311" i="29" s="1"/>
  <c r="J256" i="38"/>
  <c r="P273" i="29" s="1"/>
  <c r="N256" i="38"/>
  <c r="T273" i="29" s="1"/>
  <c r="R256" i="38"/>
  <c r="X273" i="29" s="1"/>
  <c r="L258" i="38"/>
  <c r="R286" i="29" s="1"/>
  <c r="P258" i="38"/>
  <c r="V286" i="29" s="1"/>
  <c r="K261" i="38"/>
  <c r="Q311" i="29" s="1"/>
  <c r="O261" i="38"/>
  <c r="U311" i="29" s="1"/>
  <c r="L262" i="38"/>
  <c r="R312" i="29" s="1"/>
  <c r="P262" i="38"/>
  <c r="V312" i="29" s="1"/>
  <c r="L284" i="38"/>
  <c r="P284" i="38"/>
  <c r="T284" i="38"/>
  <c r="L283" i="38"/>
  <c r="P283" i="38"/>
  <c r="I284" i="38"/>
  <c r="M284" i="38"/>
  <c r="Q284" i="38"/>
  <c r="U284" i="38"/>
  <c r="J284" i="38"/>
  <c r="N284" i="38"/>
  <c r="R284" i="38"/>
  <c r="O184" i="38"/>
  <c r="S184" i="38"/>
  <c r="L184" i="38"/>
  <c r="T196" i="38"/>
  <c r="O196" i="38"/>
  <c r="V196" i="38"/>
  <c r="K196" i="38"/>
  <c r="U196" i="38"/>
  <c r="J196" i="38"/>
  <c r="Q196" i="38"/>
  <c r="Q185" i="38"/>
  <c r="U185" i="38"/>
  <c r="I185" i="38"/>
  <c r="T185" i="38"/>
  <c r="M185" i="38"/>
  <c r="L185" i="38"/>
  <c r="S192" i="38"/>
  <c r="O192" i="38"/>
  <c r="U187" i="38"/>
  <c r="V187" i="38"/>
  <c r="S187" i="38"/>
  <c r="N187" i="38"/>
  <c r="K187" i="38"/>
  <c r="H189" i="38"/>
  <c r="H188" i="38"/>
  <c r="V214" i="38"/>
  <c r="H190" i="38"/>
  <c r="K214" i="38"/>
  <c r="N214" i="38"/>
  <c r="S214" i="38"/>
  <c r="V215" i="38"/>
  <c r="K215" i="38"/>
  <c r="S215" i="38"/>
  <c r="O215" i="38"/>
  <c r="T184" i="38"/>
  <c r="O187" i="38"/>
  <c r="M196" i="38"/>
  <c r="R196" i="38"/>
  <c r="O214" i="38"/>
  <c r="K184" i="38"/>
  <c r="J187" i="38"/>
  <c r="R187" i="38"/>
  <c r="I196" i="38"/>
  <c r="N196" i="38"/>
  <c r="S196" i="38"/>
  <c r="J214" i="38"/>
  <c r="R214" i="38"/>
  <c r="L215" i="38"/>
  <c r="P215" i="38"/>
  <c r="T215" i="38"/>
  <c r="L214" i="38"/>
  <c r="P214" i="38"/>
  <c r="T214" i="38"/>
  <c r="I215" i="38"/>
  <c r="M215" i="38"/>
  <c r="Q215" i="38"/>
  <c r="U215" i="38"/>
  <c r="I214" i="38"/>
  <c r="M214" i="38"/>
  <c r="Q214" i="38"/>
  <c r="J215" i="38"/>
  <c r="N215" i="38"/>
  <c r="R215" i="38"/>
  <c r="P192" i="38"/>
  <c r="I193" i="38"/>
  <c r="Q193" i="38"/>
  <c r="S185" i="38"/>
  <c r="O185" i="38"/>
  <c r="K185" i="38"/>
  <c r="V185" i="38"/>
  <c r="R185" i="38"/>
  <c r="N185" i="38"/>
  <c r="J185" i="38"/>
  <c r="P185" i="38"/>
  <c r="K192" i="38"/>
  <c r="L193" i="38"/>
  <c r="S193" i="38"/>
  <c r="O193" i="38"/>
  <c r="K193" i="38"/>
  <c r="V193" i="38"/>
  <c r="R193" i="38"/>
  <c r="N193" i="38"/>
  <c r="J193" i="38"/>
  <c r="P193" i="38"/>
  <c r="V192" i="38"/>
  <c r="R192" i="38"/>
  <c r="N192" i="38"/>
  <c r="J192" i="38"/>
  <c r="U192" i="38"/>
  <c r="Q192" i="38"/>
  <c r="M192" i="38"/>
  <c r="I192" i="38"/>
  <c r="V184" i="38"/>
  <c r="R184" i="38"/>
  <c r="N184" i="38"/>
  <c r="J184" i="38"/>
  <c r="U184" i="38"/>
  <c r="Q184" i="38"/>
  <c r="M184" i="38"/>
  <c r="I184" i="38"/>
  <c r="P184" i="38"/>
  <c r="L192" i="38"/>
  <c r="T192" i="38"/>
  <c r="M193" i="38"/>
  <c r="U193" i="38"/>
  <c r="L187" i="38"/>
  <c r="P187" i="38"/>
  <c r="T187" i="38"/>
  <c r="I187" i="38"/>
  <c r="M187" i="38"/>
  <c r="Q187" i="38"/>
  <c r="L196" i="38"/>
  <c r="P196" i="38"/>
  <c r="K251" i="38" l="1"/>
  <c r="Q248" i="29" s="1"/>
  <c r="N248" i="29"/>
  <c r="K265" i="38"/>
  <c r="Q336" i="29" s="1"/>
  <c r="N336" i="29"/>
  <c r="S253" i="38"/>
  <c r="Y260" i="29" s="1"/>
  <c r="N260" i="29"/>
  <c r="O259" i="38"/>
  <c r="U298" i="29" s="1"/>
  <c r="N298" i="29"/>
  <c r="L260" i="38"/>
  <c r="R299" i="29" s="1"/>
  <c r="N299" i="29"/>
  <c r="J254" i="38"/>
  <c r="P261" i="29" s="1"/>
  <c r="N261" i="29"/>
  <c r="S257" i="38"/>
  <c r="Y285" i="29" s="1"/>
  <c r="N285" i="29"/>
  <c r="P255" i="38"/>
  <c r="V272" i="29" s="1"/>
  <c r="N272" i="29"/>
  <c r="R266" i="38"/>
  <c r="X337" i="29" s="1"/>
  <c r="N337" i="29"/>
  <c r="K249" i="38"/>
  <c r="Q235" i="29" s="1"/>
  <c r="Q249" i="38"/>
  <c r="W235" i="29" s="1"/>
  <c r="O249" i="38"/>
  <c r="U235" i="29" s="1"/>
  <c r="T249" i="38"/>
  <c r="Z235" i="29" s="1"/>
  <c r="V249" i="38"/>
  <c r="AB235" i="29" s="1"/>
  <c r="M249" i="38"/>
  <c r="S235" i="29" s="1"/>
  <c r="R249" i="38"/>
  <c r="X235" i="29" s="1"/>
  <c r="N249" i="38"/>
  <c r="T235" i="29" s="1"/>
  <c r="I249" i="38"/>
  <c r="O235" i="29" s="1"/>
  <c r="L249" i="38"/>
  <c r="R235" i="29" s="1"/>
  <c r="U249" i="38"/>
  <c r="AA235" i="29" s="1"/>
  <c r="S249" i="38"/>
  <c r="Y235" i="29" s="1"/>
  <c r="P249" i="38"/>
  <c r="V235" i="29" s="1"/>
  <c r="J249" i="38"/>
  <c r="P235" i="29" s="1"/>
  <c r="H252" i="38"/>
  <c r="N249" i="29" s="1"/>
  <c r="H250" i="38"/>
  <c r="N236" i="29" s="1"/>
  <c r="T254" i="38"/>
  <c r="Z261" i="29" s="1"/>
  <c r="J186" i="38"/>
  <c r="P240" i="31" s="1"/>
  <c r="N240" i="31"/>
  <c r="T186" i="38"/>
  <c r="Z240" i="31" s="1"/>
  <c r="N186" i="38"/>
  <c r="K186" i="38"/>
  <c r="Q240" i="31" s="1"/>
  <c r="S186" i="38"/>
  <c r="Y240" i="31" s="1"/>
  <c r="M186" i="38"/>
  <c r="S240" i="31" s="1"/>
  <c r="V186" i="38"/>
  <c r="U186" i="38"/>
  <c r="AA240" i="31" s="1"/>
  <c r="Q186" i="38"/>
  <c r="O253" i="38"/>
  <c r="U260" i="29" s="1"/>
  <c r="J257" i="38"/>
  <c r="P285" i="29" s="1"/>
  <c r="J253" i="38"/>
  <c r="P260" i="29" s="1"/>
  <c r="P257" i="38"/>
  <c r="V285" i="29" s="1"/>
  <c r="M257" i="38"/>
  <c r="S285" i="29" s="1"/>
  <c r="I253" i="38"/>
  <c r="O260" i="29" s="1"/>
  <c r="I182" i="38"/>
  <c r="P186" i="38"/>
  <c r="V240" i="31" s="1"/>
  <c r="R186" i="38"/>
  <c r="L182" i="38"/>
  <c r="M182" i="38"/>
  <c r="L186" i="38"/>
  <c r="I186" i="38"/>
  <c r="O240" i="31" s="1"/>
  <c r="K253" i="38"/>
  <c r="Q260" i="29" s="1"/>
  <c r="V257" i="38"/>
  <c r="AB285" i="29" s="1"/>
  <c r="V253" i="38"/>
  <c r="AB260" i="29" s="1"/>
  <c r="L253" i="38"/>
  <c r="R260" i="29" s="1"/>
  <c r="I257" i="38"/>
  <c r="O285" i="29" s="1"/>
  <c r="U253" i="38"/>
  <c r="AA260" i="29" s="1"/>
  <c r="L257" i="38"/>
  <c r="R285" i="29" s="1"/>
  <c r="O257" i="38"/>
  <c r="U285" i="29" s="1"/>
  <c r="R257" i="38"/>
  <c r="X285" i="29" s="1"/>
  <c r="R253" i="38"/>
  <c r="X260" i="29" s="1"/>
  <c r="U257" i="38"/>
  <c r="AA285" i="29" s="1"/>
  <c r="Q253" i="38"/>
  <c r="W260" i="29" s="1"/>
  <c r="T253" i="38"/>
  <c r="Z260" i="29" s="1"/>
  <c r="K257" i="38"/>
  <c r="Q285" i="29" s="1"/>
  <c r="L254" i="38"/>
  <c r="R261" i="29" s="1"/>
  <c r="N257" i="38"/>
  <c r="T285" i="29" s="1"/>
  <c r="N253" i="38"/>
  <c r="T260" i="29" s="1"/>
  <c r="Q257" i="38"/>
  <c r="W285" i="29" s="1"/>
  <c r="M253" i="38"/>
  <c r="S260" i="29" s="1"/>
  <c r="T257" i="38"/>
  <c r="Z285" i="29" s="1"/>
  <c r="U182" i="38"/>
  <c r="AA216" i="31" s="1"/>
  <c r="V182" i="38"/>
  <c r="AB216" i="31" s="1"/>
  <c r="L265" i="38"/>
  <c r="R336" i="29" s="1"/>
  <c r="O182" i="38"/>
  <c r="U216" i="31" s="1"/>
  <c r="N182" i="38"/>
  <c r="T216" i="31" s="1"/>
  <c r="K254" i="38"/>
  <c r="Q261" i="29" s="1"/>
  <c r="S228" i="31"/>
  <c r="T228" i="31"/>
  <c r="X431" i="31"/>
  <c r="X420" i="29"/>
  <c r="AA280" i="31"/>
  <c r="V228" i="31"/>
  <c r="AA228" i="31"/>
  <c r="AB228" i="31"/>
  <c r="X280" i="31"/>
  <c r="Y280" i="31"/>
  <c r="P229" i="31"/>
  <c r="Q229" i="31"/>
  <c r="O280" i="31"/>
  <c r="P431" i="31"/>
  <c r="P420" i="29"/>
  <c r="AA431" i="31"/>
  <c r="AA420" i="29"/>
  <c r="Z430" i="31"/>
  <c r="Z419" i="29"/>
  <c r="V431" i="31"/>
  <c r="V420" i="29"/>
  <c r="Y304" i="31"/>
  <c r="U430" i="31"/>
  <c r="U419" i="29"/>
  <c r="Q431" i="31"/>
  <c r="Q420" i="29"/>
  <c r="T430" i="31"/>
  <c r="T419" i="29"/>
  <c r="Q430" i="31"/>
  <c r="Q419" i="29"/>
  <c r="AB430" i="31"/>
  <c r="AB419" i="29"/>
  <c r="O229" i="31"/>
  <c r="P304" i="31"/>
  <c r="U304" i="31"/>
  <c r="U228" i="31"/>
  <c r="N202" i="31"/>
  <c r="V304" i="31"/>
  <c r="S280" i="31"/>
  <c r="O228" i="31"/>
  <c r="P228" i="31"/>
  <c r="V280" i="31"/>
  <c r="AB280" i="31"/>
  <c r="R280" i="31"/>
  <c r="T229" i="31"/>
  <c r="U229" i="31"/>
  <c r="W430" i="31"/>
  <c r="W419" i="29"/>
  <c r="W431" i="31"/>
  <c r="W420" i="29"/>
  <c r="V430" i="31"/>
  <c r="V419" i="29"/>
  <c r="R431" i="31"/>
  <c r="R420" i="29"/>
  <c r="T304" i="31"/>
  <c r="Q228" i="31"/>
  <c r="X304" i="31"/>
  <c r="AB431" i="31"/>
  <c r="AB420" i="29"/>
  <c r="J189" i="38"/>
  <c r="R229" i="31"/>
  <c r="AA229" i="31"/>
  <c r="AA304" i="31"/>
  <c r="Z304" i="31"/>
  <c r="M254" i="38"/>
  <c r="S261" i="29" s="1"/>
  <c r="Z280" i="31"/>
  <c r="AA430" i="31"/>
  <c r="AA419" i="29"/>
  <c r="R304" i="31"/>
  <c r="P280" i="31"/>
  <c r="Q280" i="31"/>
  <c r="X229" i="31"/>
  <c r="Y229" i="31"/>
  <c r="S430" i="31"/>
  <c r="S419" i="29"/>
  <c r="S431" i="31"/>
  <c r="S420" i="29"/>
  <c r="R430" i="31"/>
  <c r="R419" i="29"/>
  <c r="X430" i="31"/>
  <c r="X419" i="29"/>
  <c r="O304" i="31"/>
  <c r="S304" i="31"/>
  <c r="Z228" i="31"/>
  <c r="U431" i="31"/>
  <c r="U420" i="29"/>
  <c r="Y430" i="31"/>
  <c r="Y419" i="29"/>
  <c r="S229" i="31"/>
  <c r="W229" i="31"/>
  <c r="Q304" i="31"/>
  <c r="R228" i="31"/>
  <c r="W228" i="31"/>
  <c r="X228" i="31"/>
  <c r="T280" i="31"/>
  <c r="U280" i="31"/>
  <c r="V229" i="31"/>
  <c r="AB229" i="31"/>
  <c r="W280" i="31"/>
  <c r="T431" i="31"/>
  <c r="T420" i="29"/>
  <c r="O430" i="31"/>
  <c r="O419" i="29"/>
  <c r="O431" i="31"/>
  <c r="O420" i="29"/>
  <c r="Z431" i="31"/>
  <c r="Z420" i="29"/>
  <c r="P430" i="31"/>
  <c r="P419" i="29"/>
  <c r="K188" i="38"/>
  <c r="Y431" i="31"/>
  <c r="Y420" i="29"/>
  <c r="U240" i="31"/>
  <c r="Z216" i="31"/>
  <c r="Z229" i="31"/>
  <c r="W304" i="31"/>
  <c r="AB304" i="31"/>
  <c r="Y228" i="31"/>
  <c r="L259" i="38"/>
  <c r="R298" i="29" s="1"/>
  <c r="N216" i="31"/>
  <c r="J182" i="38"/>
  <c r="K182" i="38"/>
  <c r="P253" i="38"/>
  <c r="V260" i="29" s="1"/>
  <c r="O254" i="38"/>
  <c r="U261" i="29" s="1"/>
  <c r="V254" i="38"/>
  <c r="AB261" i="29" s="1"/>
  <c r="S254" i="38"/>
  <c r="Y261" i="29" s="1"/>
  <c r="N180" i="38"/>
  <c r="M180" i="38"/>
  <c r="L180" i="38"/>
  <c r="J180" i="38"/>
  <c r="I180" i="38"/>
  <c r="S180" i="38"/>
  <c r="U180" i="38"/>
  <c r="O180" i="38"/>
  <c r="Q180" i="38"/>
  <c r="K180" i="38"/>
  <c r="V180" i="38"/>
  <c r="T180" i="38"/>
  <c r="R180" i="38"/>
  <c r="P180" i="38"/>
  <c r="N254" i="38"/>
  <c r="T261" i="29" s="1"/>
  <c r="Q254" i="38"/>
  <c r="W261" i="29" s="1"/>
  <c r="R254" i="38"/>
  <c r="X261" i="29" s="1"/>
  <c r="P182" i="38"/>
  <c r="S182" i="38"/>
  <c r="R182" i="38"/>
  <c r="Q182" i="38"/>
  <c r="P254" i="38"/>
  <c r="V261" i="29" s="1"/>
  <c r="U254" i="38"/>
  <c r="AA261" i="29" s="1"/>
  <c r="I254" i="38"/>
  <c r="O261" i="29" s="1"/>
  <c r="H183" i="38"/>
  <c r="Y181" i="38"/>
  <c r="G181" i="38" s="1"/>
  <c r="M188" i="38"/>
  <c r="R188" i="38"/>
  <c r="Z241" i="31"/>
  <c r="P241" i="31"/>
  <c r="U241" i="31"/>
  <c r="T241" i="31"/>
  <c r="W241" i="31"/>
  <c r="V241" i="31"/>
  <c r="Y241" i="31"/>
  <c r="S241" i="31"/>
  <c r="R241" i="31"/>
  <c r="AB241" i="31"/>
  <c r="N266" i="38"/>
  <c r="T337" i="29" s="1"/>
  <c r="T266" i="38"/>
  <c r="Z337" i="29" s="1"/>
  <c r="O241" i="31"/>
  <c r="X241" i="31"/>
  <c r="Q241" i="31"/>
  <c r="AA241" i="31"/>
  <c r="Q259" i="38"/>
  <c r="W298" i="29" s="1"/>
  <c r="I255" i="38"/>
  <c r="O272" i="29" s="1"/>
  <c r="O255" i="38"/>
  <c r="U272" i="29" s="1"/>
  <c r="S251" i="38"/>
  <c r="Y248" i="29" s="1"/>
  <c r="M265" i="38"/>
  <c r="S336" i="29" s="1"/>
  <c r="M190" i="38"/>
  <c r="N266" i="31"/>
  <c r="Q189" i="38"/>
  <c r="N254" i="31"/>
  <c r="V189" i="38"/>
  <c r="Q251" i="38"/>
  <c r="W248" i="29" s="1"/>
  <c r="O251" i="38"/>
  <c r="U248" i="29" s="1"/>
  <c r="K189" i="38"/>
  <c r="U189" i="38"/>
  <c r="M251" i="38"/>
  <c r="S248" i="29" s="1"/>
  <c r="T251" i="38"/>
  <c r="Z248" i="29" s="1"/>
  <c r="S265" i="38"/>
  <c r="Y336" i="29" s="1"/>
  <c r="M189" i="38"/>
  <c r="N188" i="38"/>
  <c r="N253" i="31"/>
  <c r="Q265" i="38"/>
  <c r="W336" i="29" s="1"/>
  <c r="P265" i="38"/>
  <c r="V336" i="29" s="1"/>
  <c r="P251" i="38"/>
  <c r="V248" i="29" s="1"/>
  <c r="O265" i="38"/>
  <c r="U336" i="29" s="1"/>
  <c r="I251" i="38"/>
  <c r="O248" i="29" s="1"/>
  <c r="L251" i="38"/>
  <c r="R248" i="29" s="1"/>
  <c r="I265" i="38"/>
  <c r="O336" i="29" s="1"/>
  <c r="T265" i="38"/>
  <c r="Z336" i="29" s="1"/>
  <c r="T255" i="38"/>
  <c r="Z272" i="29" s="1"/>
  <c r="V260" i="38"/>
  <c r="AB299" i="29" s="1"/>
  <c r="U260" i="38"/>
  <c r="AA299" i="29" s="1"/>
  <c r="Q260" i="38"/>
  <c r="W299" i="29" s="1"/>
  <c r="I260" i="38"/>
  <c r="O299" i="29" s="1"/>
  <c r="K260" i="38"/>
  <c r="Q299" i="29" s="1"/>
  <c r="O260" i="38"/>
  <c r="U299" i="29" s="1"/>
  <c r="M260" i="38"/>
  <c r="S299" i="29" s="1"/>
  <c r="S260" i="38"/>
  <c r="Y299" i="29" s="1"/>
  <c r="J266" i="38"/>
  <c r="P337" i="29" s="1"/>
  <c r="R260" i="38"/>
  <c r="X299" i="29" s="1"/>
  <c r="S259" i="38"/>
  <c r="Y298" i="29" s="1"/>
  <c r="K255" i="38"/>
  <c r="Q272" i="29" s="1"/>
  <c r="N260" i="38"/>
  <c r="T299" i="29" s="1"/>
  <c r="I259" i="38"/>
  <c r="O298" i="29" s="1"/>
  <c r="Q255" i="38"/>
  <c r="W272" i="29" s="1"/>
  <c r="T259" i="38"/>
  <c r="Z298" i="29" s="1"/>
  <c r="L266" i="38"/>
  <c r="R337" i="29" s="1"/>
  <c r="T260" i="38"/>
  <c r="Z299" i="29" s="1"/>
  <c r="U251" i="38"/>
  <c r="AA248" i="29" s="1"/>
  <c r="N251" i="38"/>
  <c r="T248" i="29" s="1"/>
  <c r="J251" i="38"/>
  <c r="P248" i="29" s="1"/>
  <c r="V251" i="38"/>
  <c r="AB248" i="29" s="1"/>
  <c r="R251" i="38"/>
  <c r="X248" i="29" s="1"/>
  <c r="U259" i="38"/>
  <c r="AA298" i="29" s="1"/>
  <c r="N259" i="38"/>
  <c r="T298" i="29" s="1"/>
  <c r="J259" i="38"/>
  <c r="P298" i="29" s="1"/>
  <c r="V259" i="38"/>
  <c r="AB298" i="29" s="1"/>
  <c r="R259" i="38"/>
  <c r="X298" i="29" s="1"/>
  <c r="M259" i="38"/>
  <c r="S298" i="29" s="1"/>
  <c r="P266" i="38"/>
  <c r="V337" i="29" s="1"/>
  <c r="U255" i="38"/>
  <c r="AA272" i="29" s="1"/>
  <c r="N255" i="38"/>
  <c r="T272" i="29" s="1"/>
  <c r="V255" i="38"/>
  <c r="AB272" i="29" s="1"/>
  <c r="J255" i="38"/>
  <c r="P272" i="29" s="1"/>
  <c r="R255" i="38"/>
  <c r="X272" i="29" s="1"/>
  <c r="J260" i="38"/>
  <c r="P299" i="29" s="1"/>
  <c r="M255" i="38"/>
  <c r="S272" i="29" s="1"/>
  <c r="P259" i="38"/>
  <c r="V298" i="29" s="1"/>
  <c r="L255" i="38"/>
  <c r="R272" i="29" s="1"/>
  <c r="P260" i="38"/>
  <c r="V299" i="29" s="1"/>
  <c r="K259" i="38"/>
  <c r="Q298" i="29" s="1"/>
  <c r="S255" i="38"/>
  <c r="Y272" i="29" s="1"/>
  <c r="U265" i="38"/>
  <c r="AA336" i="29" s="1"/>
  <c r="N265" i="38"/>
  <c r="T336" i="29" s="1"/>
  <c r="V265" i="38"/>
  <c r="AB336" i="29" s="1"/>
  <c r="R265" i="38"/>
  <c r="X336" i="29" s="1"/>
  <c r="J265" i="38"/>
  <c r="P336" i="29" s="1"/>
  <c r="V266" i="38"/>
  <c r="AB337" i="29" s="1"/>
  <c r="Q266" i="38"/>
  <c r="W337" i="29" s="1"/>
  <c r="U266" i="38"/>
  <c r="AA337" i="29" s="1"/>
  <c r="M266" i="38"/>
  <c r="S337" i="29" s="1"/>
  <c r="O266" i="38"/>
  <c r="U337" i="29" s="1"/>
  <c r="S266" i="38"/>
  <c r="Y337" i="29" s="1"/>
  <c r="K266" i="38"/>
  <c r="Q337" i="29" s="1"/>
  <c r="I266" i="38"/>
  <c r="O337" i="29" s="1"/>
  <c r="Q188" i="38"/>
  <c r="V188" i="38"/>
  <c r="P190" i="38"/>
  <c r="T189" i="38"/>
  <c r="N189" i="38"/>
  <c r="O189" i="38"/>
  <c r="I189" i="38"/>
  <c r="U188" i="38"/>
  <c r="P189" i="38"/>
  <c r="R190" i="38"/>
  <c r="L190" i="38"/>
  <c r="L189" i="38"/>
  <c r="R189" i="38"/>
  <c r="S189" i="38"/>
  <c r="P188" i="38"/>
  <c r="H197" i="38"/>
  <c r="H191" i="38"/>
  <c r="T188" i="38"/>
  <c r="O188" i="38"/>
  <c r="L188" i="38"/>
  <c r="I188" i="38"/>
  <c r="J188" i="38"/>
  <c r="S188" i="38"/>
  <c r="T190" i="38"/>
  <c r="S190" i="38"/>
  <c r="K190" i="38"/>
  <c r="Q190" i="38"/>
  <c r="J190" i="38"/>
  <c r="V190" i="38"/>
  <c r="O190" i="38"/>
  <c r="I190" i="38"/>
  <c r="U190" i="38"/>
  <c r="N190" i="38"/>
  <c r="H181" i="38" l="1"/>
  <c r="O250" i="38"/>
  <c r="U236" i="29" s="1"/>
  <c r="Q250" i="38"/>
  <c r="W236" i="29" s="1"/>
  <c r="L250" i="38"/>
  <c r="R236" i="29" s="1"/>
  <c r="M250" i="38"/>
  <c r="S236" i="29" s="1"/>
  <c r="K250" i="38"/>
  <c r="Q236" i="29" s="1"/>
  <c r="I250" i="38"/>
  <c r="O236" i="29" s="1"/>
  <c r="V250" i="38"/>
  <c r="AB236" i="29" s="1"/>
  <c r="R250" i="38"/>
  <c r="X236" i="29" s="1"/>
  <c r="T250" i="38"/>
  <c r="Z236" i="29" s="1"/>
  <c r="S250" i="38"/>
  <c r="Y236" i="29" s="1"/>
  <c r="J250" i="38"/>
  <c r="P236" i="29" s="1"/>
  <c r="P250" i="38"/>
  <c r="V236" i="29" s="1"/>
  <c r="U250" i="38"/>
  <c r="AA236" i="29" s="1"/>
  <c r="N250" i="38"/>
  <c r="T236" i="29" s="1"/>
  <c r="V252" i="38"/>
  <c r="AB249" i="29" s="1"/>
  <c r="K252" i="38"/>
  <c r="Q249" i="29" s="1"/>
  <c r="N252" i="38"/>
  <c r="T249" i="29" s="1"/>
  <c r="M252" i="38"/>
  <c r="S249" i="29" s="1"/>
  <c r="O252" i="38"/>
  <c r="U249" i="29" s="1"/>
  <c r="L252" i="38"/>
  <c r="R249" i="29" s="1"/>
  <c r="R252" i="38"/>
  <c r="X249" i="29" s="1"/>
  <c r="Q252" i="38"/>
  <c r="W249" i="29" s="1"/>
  <c r="U252" i="38"/>
  <c r="AA249" i="29" s="1"/>
  <c r="P252" i="38"/>
  <c r="V249" i="29" s="1"/>
  <c r="I252" i="38"/>
  <c r="O249" i="29" s="1"/>
  <c r="S252" i="38"/>
  <c r="Y249" i="29" s="1"/>
  <c r="T252" i="38"/>
  <c r="Z249" i="29" s="1"/>
  <c r="J252" i="38"/>
  <c r="P249" i="29" s="1"/>
  <c r="T240" i="31"/>
  <c r="AB240" i="31"/>
  <c r="S216" i="31"/>
  <c r="O216" i="31"/>
  <c r="W240" i="31"/>
  <c r="R240" i="31"/>
  <c r="X240" i="31"/>
  <c r="R216" i="31"/>
  <c r="U266" i="31"/>
  <c r="X266" i="31"/>
  <c r="AA266" i="31"/>
  <c r="P266" i="31"/>
  <c r="Z266" i="31"/>
  <c r="N305" i="31"/>
  <c r="R254" i="31"/>
  <c r="Z254" i="31"/>
  <c r="W254" i="31"/>
  <c r="W216" i="31"/>
  <c r="X202" i="31"/>
  <c r="W202" i="31"/>
  <c r="O202" i="31"/>
  <c r="T202" i="31"/>
  <c r="O266" i="31"/>
  <c r="W266" i="31"/>
  <c r="R266" i="31"/>
  <c r="O254" i="31"/>
  <c r="V266" i="31"/>
  <c r="X253" i="31"/>
  <c r="X216" i="31"/>
  <c r="Z202" i="31"/>
  <c r="U202" i="31"/>
  <c r="P202" i="31"/>
  <c r="Q216" i="31"/>
  <c r="P254" i="31"/>
  <c r="Q266" i="31"/>
  <c r="Y254" i="31"/>
  <c r="U254" i="31"/>
  <c r="S254" i="31"/>
  <c r="AA254" i="31"/>
  <c r="AB254" i="31"/>
  <c r="S266" i="31"/>
  <c r="S253" i="31"/>
  <c r="Y216" i="31"/>
  <c r="AB202" i="31"/>
  <c r="AA202" i="31"/>
  <c r="R202" i="31"/>
  <c r="P216" i="31"/>
  <c r="T266" i="31"/>
  <c r="AB266" i="31"/>
  <c r="Y266" i="31"/>
  <c r="N267" i="31"/>
  <c r="X254" i="31"/>
  <c r="V254" i="31"/>
  <c r="T254" i="31"/>
  <c r="Q254" i="31"/>
  <c r="Q253" i="31"/>
  <c r="V216" i="31"/>
  <c r="V202" i="31"/>
  <c r="Q202" i="31"/>
  <c r="Y202" i="31"/>
  <c r="S202" i="31"/>
  <c r="N217" i="31"/>
  <c r="R183" i="38"/>
  <c r="K183" i="38"/>
  <c r="N183" i="38"/>
  <c r="Q183" i="38"/>
  <c r="P183" i="38"/>
  <c r="L183" i="38"/>
  <c r="I183" i="38"/>
  <c r="O183" i="38"/>
  <c r="V183" i="38"/>
  <c r="U183" i="38"/>
  <c r="T183" i="38"/>
  <c r="S183" i="38"/>
  <c r="J183" i="38"/>
  <c r="M183" i="38"/>
  <c r="O253" i="31"/>
  <c r="W253" i="31"/>
  <c r="R253" i="31"/>
  <c r="AA253" i="31"/>
  <c r="Y253" i="31"/>
  <c r="U253" i="31"/>
  <c r="V253" i="31"/>
  <c r="T253" i="31"/>
  <c r="P253" i="31"/>
  <c r="Z253" i="31"/>
  <c r="AB253" i="31"/>
  <c r="U197" i="38"/>
  <c r="V197" i="38"/>
  <c r="S197" i="38"/>
  <c r="N197" i="38"/>
  <c r="K197" i="38"/>
  <c r="O197" i="38"/>
  <c r="Q197" i="38"/>
  <c r="L197" i="38"/>
  <c r="J197" i="38"/>
  <c r="P197" i="38"/>
  <c r="I197" i="38"/>
  <c r="R197" i="38"/>
  <c r="T197" i="38"/>
  <c r="M197" i="38"/>
  <c r="U191" i="38"/>
  <c r="S191" i="38"/>
  <c r="J191" i="38"/>
  <c r="R191" i="38"/>
  <c r="N191" i="38"/>
  <c r="V191" i="38"/>
  <c r="K191" i="38"/>
  <c r="T191" i="38"/>
  <c r="I191" i="38"/>
  <c r="O191" i="38"/>
  <c r="L191" i="38"/>
  <c r="M191" i="38"/>
  <c r="P191" i="38"/>
  <c r="Q191" i="38"/>
  <c r="U181" i="38" l="1"/>
  <c r="AA203" i="31" s="1"/>
  <c r="Q181" i="38"/>
  <c r="W203" i="31" s="1"/>
  <c r="I181" i="38"/>
  <c r="O203" i="31" s="1"/>
  <c r="S181" i="38"/>
  <c r="Y203" i="31" s="1"/>
  <c r="O181" i="38"/>
  <c r="U203" i="31" s="1"/>
  <c r="L181" i="38"/>
  <c r="R203" i="31" s="1"/>
  <c r="V181" i="38"/>
  <c r="AB203" i="31" s="1"/>
  <c r="M181" i="38"/>
  <c r="S203" i="31" s="1"/>
  <c r="N203" i="31"/>
  <c r="T181" i="38"/>
  <c r="Z203" i="31" s="1"/>
  <c r="P181" i="38"/>
  <c r="V203" i="31" s="1"/>
  <c r="N181" i="38"/>
  <c r="T203" i="31" s="1"/>
  <c r="K181" i="38"/>
  <c r="Q203" i="31" s="1"/>
  <c r="R181" i="38"/>
  <c r="X203" i="31" s="1"/>
  <c r="J181" i="38"/>
  <c r="O267" i="31"/>
  <c r="AA267" i="31"/>
  <c r="W305" i="31"/>
  <c r="U217" i="31"/>
  <c r="R267" i="31"/>
  <c r="Q267" i="31"/>
  <c r="P267" i="31"/>
  <c r="Z305" i="31"/>
  <c r="P305" i="31"/>
  <c r="Q305" i="31"/>
  <c r="AA305" i="31"/>
  <c r="S217" i="31"/>
  <c r="AA217" i="31"/>
  <c r="R217" i="31"/>
  <c r="Q217" i="31"/>
  <c r="P203" i="31"/>
  <c r="W267" i="31"/>
  <c r="U267" i="31"/>
  <c r="AB267" i="31"/>
  <c r="Y267" i="31"/>
  <c r="X305" i="31"/>
  <c r="R305" i="31"/>
  <c r="T305" i="31"/>
  <c r="P217" i="31"/>
  <c r="AB217" i="31"/>
  <c r="V217" i="31"/>
  <c r="X217" i="31"/>
  <c r="V267" i="31"/>
  <c r="T267" i="31"/>
  <c r="O305" i="31"/>
  <c r="Y305" i="31"/>
  <c r="Y217" i="31"/>
  <c r="W217" i="31"/>
  <c r="S267" i="31"/>
  <c r="Z267" i="31"/>
  <c r="X267" i="31"/>
  <c r="S305" i="31"/>
  <c r="V305" i="31"/>
  <c r="U305" i="31"/>
  <c r="AB305" i="31"/>
  <c r="Z217" i="31"/>
  <c r="O217" i="31"/>
  <c r="T217" i="31"/>
  <c r="T79" i="46" l="1"/>
  <c r="O117" i="31" l="1"/>
  <c r="H176" i="46"/>
  <c r="R314" i="29" s="1"/>
  <c r="AA171" i="31"/>
  <c r="J142" i="46"/>
  <c r="T114" i="29" s="1"/>
  <c r="K150" i="46"/>
  <c r="U218" i="29" s="1"/>
  <c r="E88" i="46"/>
  <c r="O209" i="46"/>
  <c r="P69" i="46"/>
  <c r="I85" i="46"/>
  <c r="S77" i="4" s="1"/>
  <c r="L174" i="46"/>
  <c r="V288" i="29" s="1"/>
  <c r="E68" i="46"/>
  <c r="I68" i="46"/>
  <c r="M68" i="46"/>
  <c r="Q68" i="46"/>
  <c r="G68" i="46"/>
  <c r="K68" i="46"/>
  <c r="O68" i="46"/>
  <c r="D68" i="46"/>
  <c r="L68" i="46"/>
  <c r="F68" i="46"/>
  <c r="N68" i="46"/>
  <c r="H68" i="46"/>
  <c r="P68" i="46"/>
  <c r="J68" i="46"/>
  <c r="R68" i="46"/>
  <c r="Z53" i="28"/>
  <c r="V53" i="28"/>
  <c r="R53" i="28"/>
  <c r="N53" i="28"/>
  <c r="Y53" i="28"/>
  <c r="U53" i="28"/>
  <c r="Q53" i="28"/>
  <c r="AB53" i="28"/>
  <c r="X53" i="28"/>
  <c r="T53" i="28"/>
  <c r="P53" i="28"/>
  <c r="AA53" i="28"/>
  <c r="W53" i="28"/>
  <c r="S53" i="28"/>
  <c r="O53" i="28"/>
  <c r="O201" i="46"/>
  <c r="Y398" i="29" s="1"/>
  <c r="K201" i="46"/>
  <c r="U398" i="29" s="1"/>
  <c r="G201" i="46"/>
  <c r="Q398" i="29" s="1"/>
  <c r="Q201" i="46"/>
  <c r="AA398" i="29" s="1"/>
  <c r="M201" i="46"/>
  <c r="W398" i="29" s="1"/>
  <c r="I201" i="46"/>
  <c r="S398" i="29" s="1"/>
  <c r="E201" i="46"/>
  <c r="O398" i="29" s="1"/>
  <c r="N201" i="46"/>
  <c r="X398" i="29" s="1"/>
  <c r="F201" i="46"/>
  <c r="P398" i="29" s="1"/>
  <c r="R201" i="46"/>
  <c r="AB398" i="29" s="1"/>
  <c r="J201" i="46"/>
  <c r="T398" i="29" s="1"/>
  <c r="D201" i="46"/>
  <c r="N398" i="29" s="1"/>
  <c r="P201" i="46"/>
  <c r="Z398" i="29" s="1"/>
  <c r="L201" i="46"/>
  <c r="V398" i="29" s="1"/>
  <c r="H201" i="46"/>
  <c r="R398" i="29" s="1"/>
  <c r="F65" i="46"/>
  <c r="J65" i="46"/>
  <c r="N65" i="46"/>
  <c r="R65" i="46"/>
  <c r="H65" i="46"/>
  <c r="L65" i="46"/>
  <c r="P65" i="46"/>
  <c r="E65" i="46"/>
  <c r="M65" i="46"/>
  <c r="G65" i="46"/>
  <c r="O65" i="46"/>
  <c r="I65" i="46"/>
  <c r="Q65" i="46"/>
  <c r="K65" i="46"/>
  <c r="D65" i="46"/>
  <c r="Q50" i="31"/>
  <c r="U50" i="31"/>
  <c r="Y50" i="31"/>
  <c r="O50" i="31"/>
  <c r="S50" i="31"/>
  <c r="W50" i="31"/>
  <c r="AA50" i="31"/>
  <c r="N50" i="31"/>
  <c r="P50" i="31"/>
  <c r="X50" i="31"/>
  <c r="R50" i="31"/>
  <c r="Z50" i="31"/>
  <c r="T50" i="31"/>
  <c r="AB50" i="31"/>
  <c r="V50" i="31"/>
  <c r="Q141" i="46"/>
  <c r="AA102" i="29" s="1"/>
  <c r="M141" i="46"/>
  <c r="W102" i="29" s="1"/>
  <c r="I141" i="46"/>
  <c r="S102" i="29" s="1"/>
  <c r="E141" i="46"/>
  <c r="O102" i="29" s="1"/>
  <c r="O141" i="46"/>
  <c r="Y102" i="29" s="1"/>
  <c r="K141" i="46"/>
  <c r="U102" i="29" s="1"/>
  <c r="G141" i="46"/>
  <c r="Q102" i="29" s="1"/>
  <c r="L141" i="46"/>
  <c r="V102" i="29" s="1"/>
  <c r="N102" i="29"/>
  <c r="R141" i="46"/>
  <c r="AB102" i="29" s="1"/>
  <c r="J141" i="46"/>
  <c r="T102" i="29" s="1"/>
  <c r="P141" i="46"/>
  <c r="Z102" i="29" s="1"/>
  <c r="H141" i="46"/>
  <c r="R102" i="29" s="1"/>
  <c r="N141" i="46"/>
  <c r="X102" i="29" s="1"/>
  <c r="F141" i="46"/>
  <c r="P102" i="29" s="1"/>
  <c r="T231" i="31"/>
  <c r="AB334" i="31"/>
  <c r="O83" i="46"/>
  <c r="K83" i="46"/>
  <c r="G83" i="46"/>
  <c r="R83" i="46"/>
  <c r="N83" i="46"/>
  <c r="Q83" i="46"/>
  <c r="M83" i="46"/>
  <c r="I83" i="46"/>
  <c r="E83" i="46"/>
  <c r="P83" i="46"/>
  <c r="H83" i="46"/>
  <c r="F83" i="46"/>
  <c r="L83" i="46"/>
  <c r="D83" i="46"/>
  <c r="J83" i="46"/>
  <c r="Y39" i="28"/>
  <c r="U39" i="28"/>
  <c r="Q39" i="28"/>
  <c r="AB39" i="28"/>
  <c r="X39" i="28"/>
  <c r="T39" i="28"/>
  <c r="P39" i="28"/>
  <c r="AA39" i="28"/>
  <c r="W39" i="28"/>
  <c r="S39" i="28"/>
  <c r="O39" i="28"/>
  <c r="Z39" i="28"/>
  <c r="V39" i="28"/>
  <c r="R39" i="28"/>
  <c r="D172" i="46"/>
  <c r="N263" i="29" s="1"/>
  <c r="D180" i="46"/>
  <c r="N365" i="29" s="1"/>
  <c r="R200" i="46"/>
  <c r="AB385" i="29" s="1"/>
  <c r="N200" i="46"/>
  <c r="X385" i="29" s="1"/>
  <c r="J200" i="46"/>
  <c r="T385" i="29" s="1"/>
  <c r="F200" i="46"/>
  <c r="P385" i="29" s="1"/>
  <c r="P200" i="46"/>
  <c r="Z385" i="29" s="1"/>
  <c r="L200" i="46"/>
  <c r="V385" i="29" s="1"/>
  <c r="H200" i="46"/>
  <c r="R385" i="29" s="1"/>
  <c r="D200" i="46"/>
  <c r="N385" i="29" s="1"/>
  <c r="M200" i="46"/>
  <c r="W385" i="29" s="1"/>
  <c r="E200" i="46"/>
  <c r="O385" i="29" s="1"/>
  <c r="Q200" i="46"/>
  <c r="AA385" i="29" s="1"/>
  <c r="I200" i="46"/>
  <c r="S385" i="29" s="1"/>
  <c r="O200" i="46"/>
  <c r="Y385" i="29" s="1"/>
  <c r="K200" i="46"/>
  <c r="U385" i="29" s="1"/>
  <c r="G200" i="46"/>
  <c r="Q385" i="29" s="1"/>
  <c r="O64" i="31"/>
  <c r="S64" i="31"/>
  <c r="W64" i="31"/>
  <c r="AA64" i="31"/>
  <c r="Q64" i="31"/>
  <c r="U64" i="31"/>
  <c r="Y64" i="31"/>
  <c r="R64" i="31"/>
  <c r="Z64" i="31"/>
  <c r="T64" i="31"/>
  <c r="AB64" i="31"/>
  <c r="N64" i="31"/>
  <c r="V64" i="31"/>
  <c r="P64" i="31"/>
  <c r="X64" i="31"/>
  <c r="P80" i="46"/>
  <c r="L80" i="46"/>
  <c r="H80" i="46"/>
  <c r="D80" i="46"/>
  <c r="R80" i="46"/>
  <c r="N80" i="46"/>
  <c r="J80" i="46"/>
  <c r="F80" i="46"/>
  <c r="M80" i="46"/>
  <c r="E80" i="46"/>
  <c r="K80" i="46"/>
  <c r="Q80" i="46"/>
  <c r="I80" i="46"/>
  <c r="O80" i="46"/>
  <c r="G80" i="46"/>
  <c r="Y354" i="31"/>
  <c r="U354" i="31"/>
  <c r="Q354" i="31"/>
  <c r="AA354" i="31"/>
  <c r="W354" i="31"/>
  <c r="S354" i="31"/>
  <c r="O354" i="31"/>
  <c r="X354" i="31"/>
  <c r="P354" i="31"/>
  <c r="V354" i="31"/>
  <c r="N354" i="31"/>
  <c r="AB354" i="31"/>
  <c r="T354" i="31"/>
  <c r="Z354" i="31"/>
  <c r="R354" i="31"/>
  <c r="O205" i="46"/>
  <c r="K205" i="46"/>
  <c r="G205" i="46"/>
  <c r="Q205" i="46"/>
  <c r="M205" i="46"/>
  <c r="I205" i="46"/>
  <c r="E205" i="46"/>
  <c r="R205" i="46"/>
  <c r="J205" i="46"/>
  <c r="N205" i="46"/>
  <c r="F205" i="46"/>
  <c r="H205" i="46"/>
  <c r="D205" i="46"/>
  <c r="P205" i="46"/>
  <c r="L205" i="46"/>
  <c r="O143" i="46"/>
  <c r="Y127" i="29" s="1"/>
  <c r="K143" i="46"/>
  <c r="U127" i="29" s="1"/>
  <c r="G143" i="46"/>
  <c r="Q127" i="29" s="1"/>
  <c r="Q143" i="46"/>
  <c r="AA127" i="29" s="1"/>
  <c r="M143" i="46"/>
  <c r="W127" i="29" s="1"/>
  <c r="I143" i="46"/>
  <c r="S127" i="29" s="1"/>
  <c r="E143" i="46"/>
  <c r="O127" i="29" s="1"/>
  <c r="N143" i="46"/>
  <c r="X127" i="29" s="1"/>
  <c r="F143" i="46"/>
  <c r="P127" i="29" s="1"/>
  <c r="L143" i="46"/>
  <c r="V127" i="29" s="1"/>
  <c r="N127" i="29"/>
  <c r="R143" i="46"/>
  <c r="AB127" i="29" s="1"/>
  <c r="J143" i="46"/>
  <c r="T127" i="29" s="1"/>
  <c r="P143" i="46"/>
  <c r="Z127" i="29" s="1"/>
  <c r="H143" i="46"/>
  <c r="R127" i="29" s="1"/>
  <c r="Q81" i="46"/>
  <c r="M81" i="46"/>
  <c r="I81" i="46"/>
  <c r="E81" i="46"/>
  <c r="O81" i="46"/>
  <c r="K81" i="46"/>
  <c r="G81" i="46"/>
  <c r="N81" i="46"/>
  <c r="F81" i="46"/>
  <c r="L81" i="46"/>
  <c r="D81" i="46"/>
  <c r="R81" i="46"/>
  <c r="J81" i="46"/>
  <c r="P81" i="46"/>
  <c r="H81" i="46"/>
  <c r="Z368" i="31"/>
  <c r="V368" i="31"/>
  <c r="R368" i="31"/>
  <c r="N368" i="31"/>
  <c r="AB368" i="31"/>
  <c r="X368" i="31"/>
  <c r="T368" i="31"/>
  <c r="P368" i="31"/>
  <c r="Y368" i="31"/>
  <c r="Q368" i="31"/>
  <c r="W368" i="31"/>
  <c r="O368" i="31"/>
  <c r="U368" i="31"/>
  <c r="AA368" i="31"/>
  <c r="S368" i="31"/>
  <c r="O89" i="31"/>
  <c r="S89" i="31"/>
  <c r="W89" i="31"/>
  <c r="AA89" i="31"/>
  <c r="Q89" i="31"/>
  <c r="U89" i="31"/>
  <c r="Y89" i="31"/>
  <c r="V89" i="31"/>
  <c r="N89" i="31"/>
  <c r="P89" i="31"/>
  <c r="X89" i="31"/>
  <c r="R89" i="31"/>
  <c r="Z89" i="31"/>
  <c r="T89" i="31"/>
  <c r="AB89" i="31"/>
  <c r="P140" i="46"/>
  <c r="Z89" i="29" s="1"/>
  <c r="L140" i="46"/>
  <c r="V89" i="29" s="1"/>
  <c r="H140" i="46"/>
  <c r="R89" i="29" s="1"/>
  <c r="D140" i="46"/>
  <c r="N89" i="29" s="1"/>
  <c r="R140" i="46"/>
  <c r="AB89" i="29" s="1"/>
  <c r="N140" i="46"/>
  <c r="X89" i="29" s="1"/>
  <c r="J140" i="46"/>
  <c r="T89" i="29" s="1"/>
  <c r="F140" i="46"/>
  <c r="P89" i="29" s="1"/>
  <c r="K140" i="46"/>
  <c r="U89" i="29" s="1"/>
  <c r="Q140" i="46"/>
  <c r="AA89" i="29" s="1"/>
  <c r="I140" i="46"/>
  <c r="S89" i="29" s="1"/>
  <c r="O140" i="46"/>
  <c r="Y89" i="29" s="1"/>
  <c r="G140" i="46"/>
  <c r="Q89" i="29" s="1"/>
  <c r="M140" i="46"/>
  <c r="W89" i="29" s="1"/>
  <c r="E140" i="46"/>
  <c r="O89" i="29" s="1"/>
  <c r="G66" i="46"/>
  <c r="K66" i="46"/>
  <c r="O66" i="46"/>
  <c r="E66" i="46"/>
  <c r="I66" i="46"/>
  <c r="M66" i="46"/>
  <c r="Q66" i="46"/>
  <c r="J66" i="46"/>
  <c r="R66" i="46"/>
  <c r="D66" i="46"/>
  <c r="L66" i="46"/>
  <c r="F66" i="46"/>
  <c r="N66" i="46"/>
  <c r="H66" i="46"/>
  <c r="P66" i="46"/>
  <c r="Z77" i="28"/>
  <c r="V77" i="28"/>
  <c r="R77" i="28"/>
  <c r="N77" i="28"/>
  <c r="AB77" i="28"/>
  <c r="X77" i="28"/>
  <c r="T77" i="28"/>
  <c r="P77" i="28"/>
  <c r="U77" i="28"/>
  <c r="AA77" i="28"/>
  <c r="S77" i="28"/>
  <c r="Y77" i="28"/>
  <c r="Q77" i="28"/>
  <c r="W77" i="28"/>
  <c r="O77" i="28"/>
  <c r="Q203" i="46"/>
  <c r="M203" i="46"/>
  <c r="I203" i="46"/>
  <c r="E203" i="46"/>
  <c r="O203" i="46"/>
  <c r="K203" i="46"/>
  <c r="G203" i="46"/>
  <c r="P203" i="46"/>
  <c r="H203" i="46"/>
  <c r="L203" i="46"/>
  <c r="D203" i="46"/>
  <c r="F203" i="46"/>
  <c r="R203" i="46"/>
  <c r="N203" i="46"/>
  <c r="J203" i="46"/>
  <c r="Q253" i="28"/>
  <c r="W306" i="28"/>
  <c r="Y203" i="28"/>
  <c r="U203" i="28"/>
  <c r="Q203" i="28"/>
  <c r="W203" i="28"/>
  <c r="O203" i="28"/>
  <c r="AB203" i="28"/>
  <c r="X203" i="28"/>
  <c r="T203" i="28"/>
  <c r="P203" i="28"/>
  <c r="AA203" i="28"/>
  <c r="S203" i="28"/>
  <c r="V203" i="28"/>
  <c r="N203" i="28"/>
  <c r="U306" i="28"/>
  <c r="AA227" i="28"/>
  <c r="W227" i="28"/>
  <c r="S227" i="28"/>
  <c r="O227" i="28"/>
  <c r="Y227" i="28"/>
  <c r="Q227" i="28"/>
  <c r="AB227" i="28"/>
  <c r="T227" i="28"/>
  <c r="Z227" i="28"/>
  <c r="V227" i="28"/>
  <c r="R227" i="28"/>
  <c r="N227" i="28"/>
  <c r="U227" i="28"/>
  <c r="X227" i="28"/>
  <c r="P227" i="28"/>
  <c r="AB189" i="28"/>
  <c r="X189" i="28"/>
  <c r="T189" i="28"/>
  <c r="P189" i="28"/>
  <c r="V189" i="28"/>
  <c r="N189" i="28"/>
  <c r="Y189" i="28"/>
  <c r="Q189" i="28"/>
  <c r="AA189" i="28"/>
  <c r="W189" i="28"/>
  <c r="S189" i="28"/>
  <c r="O189" i="28"/>
  <c r="Z189" i="28"/>
  <c r="R189" i="28"/>
  <c r="U189" i="28"/>
  <c r="P177" i="46"/>
  <c r="Z327" i="29" s="1"/>
  <c r="AA307" i="31"/>
  <c r="T269" i="31"/>
  <c r="Q179" i="46"/>
  <c r="AA352" i="29" s="1"/>
  <c r="F178" i="46"/>
  <c r="P339" i="29" s="1"/>
  <c r="Q173" i="46"/>
  <c r="AA275" i="29" s="1"/>
  <c r="H173" i="46"/>
  <c r="R275" i="29" s="1"/>
  <c r="K173" i="46"/>
  <c r="U275" i="29" s="1"/>
  <c r="J173" i="46"/>
  <c r="T275" i="29" s="1"/>
  <c r="L173" i="46"/>
  <c r="V275" i="29" s="1"/>
  <c r="M173" i="46"/>
  <c r="W275" i="29" s="1"/>
  <c r="I173" i="46"/>
  <c r="S275" i="29" s="1"/>
  <c r="R173" i="46"/>
  <c r="AB275" i="29" s="1"/>
  <c r="E173" i="46"/>
  <c r="O275" i="29" s="1"/>
  <c r="F173" i="46"/>
  <c r="P275" i="29" s="1"/>
  <c r="P173" i="46"/>
  <c r="Z275" i="29" s="1"/>
  <c r="G173" i="46"/>
  <c r="Q275" i="29" s="1"/>
  <c r="N173" i="46"/>
  <c r="X275" i="29" s="1"/>
  <c r="O173" i="46"/>
  <c r="Y275" i="29" s="1"/>
  <c r="D173" i="46"/>
  <c r="N275" i="29" s="1"/>
  <c r="L170" i="46"/>
  <c r="V238" i="29" s="1"/>
  <c r="P170" i="46"/>
  <c r="Z238" i="29" s="1"/>
  <c r="D170" i="46"/>
  <c r="N238" i="29" s="1"/>
  <c r="Q170" i="46"/>
  <c r="AA238" i="29" s="1"/>
  <c r="K170" i="46"/>
  <c r="U238" i="29" s="1"/>
  <c r="J170" i="46"/>
  <c r="T238" i="29" s="1"/>
  <c r="E170" i="46"/>
  <c r="O238" i="29" s="1"/>
  <c r="I170" i="46"/>
  <c r="S238" i="29" s="1"/>
  <c r="R170" i="46"/>
  <c r="AB238" i="29" s="1"/>
  <c r="G170" i="46"/>
  <c r="Q238" i="29" s="1"/>
  <c r="M170" i="46"/>
  <c r="W238" i="29" s="1"/>
  <c r="H170" i="46"/>
  <c r="R238" i="29" s="1"/>
  <c r="F170" i="46"/>
  <c r="P238" i="29" s="1"/>
  <c r="N170" i="46"/>
  <c r="X238" i="29" s="1"/>
  <c r="O170" i="46"/>
  <c r="Y238" i="29" s="1"/>
  <c r="V243" i="31"/>
  <c r="U243" i="31"/>
  <c r="R243" i="31"/>
  <c r="T243" i="31"/>
  <c r="S243" i="31"/>
  <c r="Q243" i="31"/>
  <c r="Z243" i="31"/>
  <c r="N243" i="31"/>
  <c r="AB243" i="31"/>
  <c r="AA243" i="31"/>
  <c r="O243" i="31"/>
  <c r="X243" i="31"/>
  <c r="P243" i="31"/>
  <c r="Y243" i="31"/>
  <c r="W243" i="31"/>
  <c r="AB205" i="31"/>
  <c r="S205" i="31"/>
  <c r="Y205" i="31"/>
  <c r="X205" i="31"/>
  <c r="U205" i="31"/>
  <c r="T205" i="31"/>
  <c r="Z205" i="31"/>
  <c r="W205" i="31"/>
  <c r="N205" i="31"/>
  <c r="O205" i="31"/>
  <c r="AA205" i="31"/>
  <c r="R205" i="31"/>
  <c r="V205" i="31"/>
  <c r="P205" i="31"/>
  <c r="Q205" i="31"/>
  <c r="P171" i="46"/>
  <c r="Z251" i="29" s="1"/>
  <c r="R171" i="46"/>
  <c r="AB251" i="29" s="1"/>
  <c r="Q171" i="46"/>
  <c r="AA251" i="29" s="1"/>
  <c r="I171" i="46"/>
  <c r="S251" i="29" s="1"/>
  <c r="J171" i="46"/>
  <c r="T251" i="29" s="1"/>
  <c r="G171" i="46"/>
  <c r="Q251" i="29" s="1"/>
  <c r="H171" i="46"/>
  <c r="R251" i="29" s="1"/>
  <c r="F171" i="46"/>
  <c r="P251" i="29" s="1"/>
  <c r="E171" i="46"/>
  <c r="O251" i="29" s="1"/>
  <c r="N171" i="46"/>
  <c r="X251" i="29" s="1"/>
  <c r="O171" i="46"/>
  <c r="Y251" i="29" s="1"/>
  <c r="K171" i="46"/>
  <c r="U251" i="29" s="1"/>
  <c r="D171" i="46"/>
  <c r="N251" i="29" s="1"/>
  <c r="M171" i="46"/>
  <c r="W251" i="29" s="1"/>
  <c r="L171" i="46"/>
  <c r="V251" i="29" s="1"/>
  <c r="Y219" i="31"/>
  <c r="V219" i="31"/>
  <c r="S219" i="31"/>
  <c r="AB219" i="31"/>
  <c r="W219" i="31"/>
  <c r="R219" i="31"/>
  <c r="AA219" i="31"/>
  <c r="P219" i="31"/>
  <c r="Z219" i="31"/>
  <c r="T219" i="31"/>
  <c r="O219" i="31"/>
  <c r="X219" i="31"/>
  <c r="N219" i="31"/>
  <c r="Q219" i="31"/>
  <c r="U219" i="31"/>
  <c r="U392" i="31" l="1"/>
  <c r="U422" i="29"/>
  <c r="P392" i="31"/>
  <c r="P422" i="29"/>
  <c r="Z392" i="31"/>
  <c r="Z422" i="29"/>
  <c r="R405" i="31"/>
  <c r="R435" i="29"/>
  <c r="P405" i="31"/>
  <c r="P435" i="29"/>
  <c r="W405" i="31"/>
  <c r="W435" i="29"/>
  <c r="Y405" i="31"/>
  <c r="Y435" i="29"/>
  <c r="Y392" i="31"/>
  <c r="Y422" i="29"/>
  <c r="N392" i="31"/>
  <c r="N422" i="29"/>
  <c r="W392" i="31"/>
  <c r="W422" i="29"/>
  <c r="T392" i="31"/>
  <c r="T422" i="29"/>
  <c r="V405" i="31"/>
  <c r="V435" i="29"/>
  <c r="X405" i="31"/>
  <c r="X435" i="29"/>
  <c r="AA405" i="31"/>
  <c r="AA435" i="29"/>
  <c r="Y458" i="31"/>
  <c r="Y486" i="29"/>
  <c r="O392" i="31"/>
  <c r="O422" i="29"/>
  <c r="S392" i="31"/>
  <c r="S422" i="29"/>
  <c r="R392" i="31"/>
  <c r="R422" i="29"/>
  <c r="X392" i="31"/>
  <c r="X422" i="29"/>
  <c r="Z405" i="31"/>
  <c r="Z435" i="29"/>
  <c r="T405" i="31"/>
  <c r="T435" i="29"/>
  <c r="O405" i="31"/>
  <c r="O435" i="29"/>
  <c r="Q405" i="31"/>
  <c r="Q435" i="29"/>
  <c r="X446" i="31"/>
  <c r="X474" i="29"/>
  <c r="Q392" i="31"/>
  <c r="Q422" i="29"/>
  <c r="AA392" i="31"/>
  <c r="AA422" i="29"/>
  <c r="V392" i="31"/>
  <c r="V422" i="29"/>
  <c r="AB392" i="31"/>
  <c r="AB422" i="29"/>
  <c r="N405" i="31"/>
  <c r="N435" i="29"/>
  <c r="AB405" i="31"/>
  <c r="AB435" i="29"/>
  <c r="S405" i="31"/>
  <c r="S435" i="29"/>
  <c r="U405" i="31"/>
  <c r="U435" i="29"/>
  <c r="AA419" i="31"/>
  <c r="AA448" i="29"/>
  <c r="G35" i="46"/>
  <c r="R35" i="46"/>
  <c r="O35" i="46"/>
  <c r="E35" i="46"/>
  <c r="N35" i="46"/>
  <c r="M35" i="46"/>
  <c r="D35" i="46"/>
  <c r="Q35" i="46"/>
  <c r="I35" i="46"/>
  <c r="L35" i="46"/>
  <c r="K35" i="46"/>
  <c r="P35" i="46"/>
  <c r="F35" i="46"/>
  <c r="H35" i="46"/>
  <c r="J35" i="46"/>
  <c r="Y256" i="31"/>
  <c r="Y321" i="31"/>
  <c r="P295" i="31"/>
  <c r="P282" i="31"/>
  <c r="V171" i="31"/>
  <c r="R176" i="46"/>
  <c r="AB314" i="29" s="1"/>
  <c r="N486" i="29"/>
  <c r="R486" i="29"/>
  <c r="V117" i="31"/>
  <c r="F176" i="46"/>
  <c r="P314" i="29" s="1"/>
  <c r="R117" i="31"/>
  <c r="U171" i="31"/>
  <c r="AA117" i="31"/>
  <c r="O486" i="29"/>
  <c r="Q171" i="31"/>
  <c r="O85" i="46"/>
  <c r="Y77" i="4" s="1"/>
  <c r="N334" i="31"/>
  <c r="S486" i="29"/>
  <c r="P171" i="31"/>
  <c r="S171" i="31"/>
  <c r="E85" i="46"/>
  <c r="O77" i="4" s="1"/>
  <c r="E142" i="46"/>
  <c r="O114" i="29" s="1"/>
  <c r="N117" i="31"/>
  <c r="AB117" i="31"/>
  <c r="Y117" i="31"/>
  <c r="W117" i="31"/>
  <c r="X117" i="31"/>
  <c r="T117" i="31"/>
  <c r="U117" i="31"/>
  <c r="S117" i="31"/>
  <c r="D176" i="46"/>
  <c r="N314" i="29" s="1"/>
  <c r="O334" i="31"/>
  <c r="K176" i="46"/>
  <c r="U314" i="29" s="1"/>
  <c r="T171" i="31"/>
  <c r="N77" i="4"/>
  <c r="P117" i="31"/>
  <c r="Z117" i="31"/>
  <c r="Q117" i="31"/>
  <c r="G88" i="46"/>
  <c r="O175" i="46"/>
  <c r="Y301" i="29" s="1"/>
  <c r="F180" i="46"/>
  <c r="P365" i="29" s="1"/>
  <c r="J180" i="46"/>
  <c r="T365" i="29" s="1"/>
  <c r="V231" i="31"/>
  <c r="L175" i="46"/>
  <c r="V301" i="29" s="1"/>
  <c r="G174" i="46"/>
  <c r="Q288" i="29" s="1"/>
  <c r="R85" i="46"/>
  <c r="AB77" i="4" s="1"/>
  <c r="Q85" i="46"/>
  <c r="AA77" i="4" s="1"/>
  <c r="D209" i="46"/>
  <c r="H180" i="46"/>
  <c r="R365" i="29" s="1"/>
  <c r="P180" i="46"/>
  <c r="Z365" i="29" s="1"/>
  <c r="I180" i="46"/>
  <c r="S365" i="29" s="1"/>
  <c r="W307" i="31"/>
  <c r="G177" i="46"/>
  <c r="Q327" i="29" s="1"/>
  <c r="M180" i="46"/>
  <c r="W365" i="29" s="1"/>
  <c r="E180" i="46"/>
  <c r="O365" i="29" s="1"/>
  <c r="K180" i="46"/>
  <c r="U365" i="29" s="1"/>
  <c r="G209" i="46"/>
  <c r="J174" i="46"/>
  <c r="T288" i="29" s="1"/>
  <c r="K177" i="46"/>
  <c r="U327" i="29" s="1"/>
  <c r="O180" i="46"/>
  <c r="Y365" i="29" s="1"/>
  <c r="N180" i="46"/>
  <c r="X365" i="29" s="1"/>
  <c r="N231" i="31"/>
  <c r="X486" i="29"/>
  <c r="U486" i="29"/>
  <c r="Z171" i="31"/>
  <c r="O171" i="31"/>
  <c r="N85" i="46"/>
  <c r="X77" i="4" s="1"/>
  <c r="P85" i="46"/>
  <c r="Z77" i="4" s="1"/>
  <c r="L150" i="46"/>
  <c r="V218" i="29" s="1"/>
  <c r="L209" i="46"/>
  <c r="K209" i="46"/>
  <c r="L142" i="46"/>
  <c r="V114" i="29" s="1"/>
  <c r="P176" i="46"/>
  <c r="Z314" i="29" s="1"/>
  <c r="Q176" i="46"/>
  <c r="AA314" i="29" s="1"/>
  <c r="Q307" i="31"/>
  <c r="N307" i="31"/>
  <c r="E177" i="46"/>
  <c r="O327" i="29" s="1"/>
  <c r="E175" i="46"/>
  <c r="O301" i="29" s="1"/>
  <c r="I174" i="46"/>
  <c r="S288" i="29" s="1"/>
  <c r="O176" i="46"/>
  <c r="Y314" i="29" s="1"/>
  <c r="S307" i="31"/>
  <c r="J177" i="46"/>
  <c r="T327" i="29" s="1"/>
  <c r="Q175" i="46"/>
  <c r="AA301" i="29" s="1"/>
  <c r="Z486" i="29"/>
  <c r="AB486" i="29"/>
  <c r="X171" i="31"/>
  <c r="AB171" i="31"/>
  <c r="Y171" i="31"/>
  <c r="W171" i="31"/>
  <c r="O474" i="29"/>
  <c r="AB474" i="29"/>
  <c r="J85" i="46"/>
  <c r="T77" i="4" s="1"/>
  <c r="K85" i="46"/>
  <c r="U77" i="4" s="1"/>
  <c r="L85" i="46"/>
  <c r="V77" i="4" s="1"/>
  <c r="M85" i="46"/>
  <c r="W77" i="4" s="1"/>
  <c r="E209" i="46"/>
  <c r="Q142" i="46"/>
  <c r="AA114" i="29" s="1"/>
  <c r="R142" i="46"/>
  <c r="AB114" i="29" s="1"/>
  <c r="T307" i="31"/>
  <c r="V486" i="29"/>
  <c r="W486" i="29"/>
  <c r="N171" i="31"/>
  <c r="R171" i="31"/>
  <c r="P474" i="29"/>
  <c r="F85" i="46"/>
  <c r="P77" i="4" s="1"/>
  <c r="G85" i="46"/>
  <c r="Q77" i="4" s="1"/>
  <c r="H85" i="46"/>
  <c r="R77" i="4" s="1"/>
  <c r="N209" i="46"/>
  <c r="P142" i="46"/>
  <c r="Z114" i="29" s="1"/>
  <c r="J150" i="46"/>
  <c r="T218" i="29" s="1"/>
  <c r="O150" i="46"/>
  <c r="Y218" i="29" s="1"/>
  <c r="O142" i="46"/>
  <c r="Y114" i="29" s="1"/>
  <c r="M142" i="46"/>
  <c r="W114" i="29" s="1"/>
  <c r="F142" i="46"/>
  <c r="P114" i="29" s="1"/>
  <c r="I142" i="46"/>
  <c r="S114" i="29" s="1"/>
  <c r="N114" i="29"/>
  <c r="N142" i="46"/>
  <c r="X114" i="29" s="1"/>
  <c r="Z231" i="31"/>
  <c r="S231" i="31"/>
  <c r="P307" i="31"/>
  <c r="U307" i="31"/>
  <c r="Y307" i="31"/>
  <c r="Q231" i="31"/>
  <c r="R307" i="31"/>
  <c r="AB307" i="31"/>
  <c r="X307" i="31"/>
  <c r="AA231" i="31"/>
  <c r="H179" i="46"/>
  <c r="R352" i="29" s="1"/>
  <c r="L179" i="46"/>
  <c r="V352" i="29" s="1"/>
  <c r="J179" i="46"/>
  <c r="T352" i="29" s="1"/>
  <c r="F177" i="46"/>
  <c r="P327" i="29" s="1"/>
  <c r="R177" i="46"/>
  <c r="AB327" i="29" s="1"/>
  <c r="I175" i="46"/>
  <c r="S301" i="29" s="1"/>
  <c r="D174" i="46"/>
  <c r="N288" i="29" s="1"/>
  <c r="I176" i="46"/>
  <c r="S314" i="29" s="1"/>
  <c r="D179" i="46"/>
  <c r="N352" i="29" s="1"/>
  <c r="H177" i="46"/>
  <c r="R327" i="29" s="1"/>
  <c r="F175" i="46"/>
  <c r="P301" i="29" s="1"/>
  <c r="G175" i="46"/>
  <c r="Q301" i="29" s="1"/>
  <c r="J209" i="46"/>
  <c r="I209" i="46"/>
  <c r="P209" i="46"/>
  <c r="R209" i="46"/>
  <c r="Q209" i="46"/>
  <c r="Q269" i="31"/>
  <c r="S269" i="31"/>
  <c r="O269" i="31"/>
  <c r="H178" i="46"/>
  <c r="R339" i="29" s="1"/>
  <c r="I178" i="46"/>
  <c r="S339" i="29" s="1"/>
  <c r="K178" i="46"/>
  <c r="U339" i="29" s="1"/>
  <c r="Q178" i="46"/>
  <c r="AA339" i="29" s="1"/>
  <c r="H172" i="46"/>
  <c r="R263" i="29" s="1"/>
  <c r="I172" i="46"/>
  <c r="S263" i="29" s="1"/>
  <c r="O172" i="46"/>
  <c r="Y263" i="29" s="1"/>
  <c r="J69" i="46"/>
  <c r="H69" i="46"/>
  <c r="M69" i="46"/>
  <c r="Q69" i="46"/>
  <c r="N69" i="46"/>
  <c r="L69" i="46"/>
  <c r="G69" i="46"/>
  <c r="K69" i="46"/>
  <c r="P88" i="46"/>
  <c r="O88" i="46"/>
  <c r="N88" i="46"/>
  <c r="M88" i="46"/>
  <c r="L88" i="46"/>
  <c r="K88" i="46"/>
  <c r="J88" i="46"/>
  <c r="I88" i="46"/>
  <c r="W269" i="31"/>
  <c r="P269" i="31"/>
  <c r="Q172" i="46"/>
  <c r="AA263" i="29" s="1"/>
  <c r="L178" i="46"/>
  <c r="V339" i="29" s="1"/>
  <c r="I69" i="46"/>
  <c r="D69" i="46"/>
  <c r="Q88" i="46"/>
  <c r="D88" i="46"/>
  <c r="F150" i="46"/>
  <c r="P218" i="29" s="1"/>
  <c r="D150" i="46"/>
  <c r="N218" i="29" s="1"/>
  <c r="Q150" i="46"/>
  <c r="AA218" i="29" s="1"/>
  <c r="R150" i="46"/>
  <c r="AB218" i="29" s="1"/>
  <c r="P150" i="46"/>
  <c r="Z218" i="29" s="1"/>
  <c r="M150" i="46"/>
  <c r="W218" i="29" s="1"/>
  <c r="I150" i="46"/>
  <c r="S218" i="29" s="1"/>
  <c r="R269" i="31"/>
  <c r="AA269" i="31"/>
  <c r="J172" i="46"/>
  <c r="T263" i="29" s="1"/>
  <c r="G172" i="46"/>
  <c r="Q263" i="29" s="1"/>
  <c r="P178" i="46"/>
  <c r="Z339" i="29" s="1"/>
  <c r="O69" i="46"/>
  <c r="R69" i="46"/>
  <c r="F88" i="46"/>
  <c r="H88" i="46"/>
  <c r="E150" i="46"/>
  <c r="O218" i="29" s="1"/>
  <c r="N150" i="46"/>
  <c r="X218" i="29" s="1"/>
  <c r="Y269" i="31"/>
  <c r="L172" i="46"/>
  <c r="V263" i="29" s="1"/>
  <c r="F172" i="46"/>
  <c r="P263" i="29" s="1"/>
  <c r="J178" i="46"/>
  <c r="T339" i="29" s="1"/>
  <c r="E69" i="46"/>
  <c r="F69" i="46"/>
  <c r="R88" i="46"/>
  <c r="Q180" i="46"/>
  <c r="AA365" i="29" s="1"/>
  <c r="L180" i="46"/>
  <c r="V365" i="29" s="1"/>
  <c r="R180" i="46"/>
  <c r="AB365" i="29" s="1"/>
  <c r="G180" i="46"/>
  <c r="Q365" i="29" s="1"/>
  <c r="Y231" i="31"/>
  <c r="W231" i="31"/>
  <c r="P231" i="31"/>
  <c r="O231" i="31"/>
  <c r="X231" i="31"/>
  <c r="U231" i="31"/>
  <c r="R231" i="31"/>
  <c r="AB231" i="31"/>
  <c r="G150" i="46"/>
  <c r="Q218" i="29" s="1"/>
  <c r="H150" i="46"/>
  <c r="R218" i="29" s="1"/>
  <c r="Z307" i="31"/>
  <c r="V307" i="31"/>
  <c r="O307" i="31"/>
  <c r="M179" i="46"/>
  <c r="W352" i="29" s="1"/>
  <c r="O179" i="46"/>
  <c r="Y352" i="29" s="1"/>
  <c r="G179" i="46"/>
  <c r="Q352" i="29" s="1"/>
  <c r="H209" i="46"/>
  <c r="F209" i="46"/>
  <c r="M209" i="46"/>
  <c r="G142" i="46"/>
  <c r="Q114" i="29" s="1"/>
  <c r="K142" i="46"/>
  <c r="U114" i="29" s="1"/>
  <c r="H142" i="46"/>
  <c r="R114" i="29" s="1"/>
  <c r="D67" i="46"/>
  <c r="H67" i="46"/>
  <c r="L67" i="46"/>
  <c r="P67" i="46"/>
  <c r="F67" i="46"/>
  <c r="J67" i="46"/>
  <c r="N67" i="46"/>
  <c r="R67" i="46"/>
  <c r="K67" i="46"/>
  <c r="E67" i="46"/>
  <c r="M67" i="46"/>
  <c r="G67" i="46"/>
  <c r="O67" i="46"/>
  <c r="I67" i="46"/>
  <c r="Q67" i="46"/>
  <c r="P84" i="46"/>
  <c r="L84" i="46"/>
  <c r="H84" i="46"/>
  <c r="D84" i="46"/>
  <c r="O84" i="46"/>
  <c r="K84" i="46"/>
  <c r="G84" i="46"/>
  <c r="R84" i="46"/>
  <c r="N84" i="46"/>
  <c r="J84" i="46"/>
  <c r="F84" i="46"/>
  <c r="Q84" i="46"/>
  <c r="M84" i="46"/>
  <c r="I84" i="46"/>
  <c r="E84" i="46"/>
  <c r="O87" i="46"/>
  <c r="K87" i="46"/>
  <c r="G87" i="46"/>
  <c r="R87" i="46"/>
  <c r="N87" i="46"/>
  <c r="J87" i="46"/>
  <c r="F87" i="46"/>
  <c r="Q87" i="46"/>
  <c r="M87" i="46"/>
  <c r="I87" i="46"/>
  <c r="E87" i="46"/>
  <c r="P87" i="46"/>
  <c r="L87" i="46"/>
  <c r="H87" i="46"/>
  <c r="D87" i="46"/>
  <c r="R86" i="46"/>
  <c r="N86" i="46"/>
  <c r="J86" i="46"/>
  <c r="F86" i="46"/>
  <c r="Q86" i="46"/>
  <c r="M86" i="46"/>
  <c r="I86" i="46"/>
  <c r="E86" i="46"/>
  <c r="P86" i="46"/>
  <c r="L86" i="46"/>
  <c r="H86" i="46"/>
  <c r="D86" i="46"/>
  <c r="O86" i="46"/>
  <c r="K86" i="46"/>
  <c r="G86" i="46"/>
  <c r="R82" i="46"/>
  <c r="AB65" i="4" s="1"/>
  <c r="N82" i="46"/>
  <c r="X65" i="4" s="1"/>
  <c r="J82" i="46"/>
  <c r="T65" i="4" s="1"/>
  <c r="F82" i="46"/>
  <c r="P65" i="4" s="1"/>
  <c r="P82" i="46"/>
  <c r="Z65" i="4" s="1"/>
  <c r="L82" i="46"/>
  <c r="V65" i="4" s="1"/>
  <c r="H82" i="46"/>
  <c r="R65" i="4" s="1"/>
  <c r="D82" i="46"/>
  <c r="N65" i="4" s="1"/>
  <c r="O82" i="46"/>
  <c r="Y65" i="4" s="1"/>
  <c r="G82" i="46"/>
  <c r="Q65" i="4" s="1"/>
  <c r="M82" i="46"/>
  <c r="W65" i="4" s="1"/>
  <c r="E82" i="46"/>
  <c r="O65" i="4" s="1"/>
  <c r="K82" i="46"/>
  <c r="U65" i="4" s="1"/>
  <c r="Q82" i="46"/>
  <c r="AA65" i="4" s="1"/>
  <c r="I82" i="46"/>
  <c r="S65" i="4" s="1"/>
  <c r="Y65" i="28"/>
  <c r="U65" i="28"/>
  <c r="Q65" i="28"/>
  <c r="AA65" i="28"/>
  <c r="W65" i="28"/>
  <c r="AB65" i="28"/>
  <c r="T65" i="28"/>
  <c r="O65" i="28"/>
  <c r="Z65" i="28"/>
  <c r="S65" i="28"/>
  <c r="N65" i="28"/>
  <c r="X65" i="28"/>
  <c r="R65" i="28"/>
  <c r="V65" i="28"/>
  <c r="P65" i="28"/>
  <c r="AA380" i="31"/>
  <c r="W380" i="31"/>
  <c r="S380" i="31"/>
  <c r="O380" i="31"/>
  <c r="Y380" i="31"/>
  <c r="U380" i="31"/>
  <c r="Q380" i="31"/>
  <c r="Z380" i="31"/>
  <c r="R380" i="31"/>
  <c r="X380" i="31"/>
  <c r="P380" i="31"/>
  <c r="V380" i="31"/>
  <c r="N380" i="31"/>
  <c r="AB380" i="31"/>
  <c r="T380" i="31"/>
  <c r="P210" i="46"/>
  <c r="L210" i="46"/>
  <c r="H210" i="46"/>
  <c r="D210" i="46"/>
  <c r="R210" i="46"/>
  <c r="N210" i="46"/>
  <c r="J210" i="46"/>
  <c r="F210" i="46"/>
  <c r="O210" i="46"/>
  <c r="G210" i="46"/>
  <c r="K210" i="46"/>
  <c r="M210" i="46"/>
  <c r="I210" i="46"/>
  <c r="E210" i="46"/>
  <c r="Q210" i="46"/>
  <c r="Q131" i="31"/>
  <c r="U131" i="31"/>
  <c r="Y131" i="31"/>
  <c r="N131" i="31"/>
  <c r="O131" i="31"/>
  <c r="S131" i="31"/>
  <c r="W131" i="31"/>
  <c r="AA131" i="31"/>
  <c r="T131" i="31"/>
  <c r="AB131" i="31"/>
  <c r="V131" i="31"/>
  <c r="P131" i="31"/>
  <c r="X131" i="31"/>
  <c r="R131" i="31"/>
  <c r="Z131" i="31"/>
  <c r="R146" i="46"/>
  <c r="AB167" i="29" s="1"/>
  <c r="N146" i="46"/>
  <c r="X167" i="29" s="1"/>
  <c r="J146" i="46"/>
  <c r="T167" i="29" s="1"/>
  <c r="F146" i="46"/>
  <c r="P167" i="29" s="1"/>
  <c r="P146" i="46"/>
  <c r="Z167" i="29" s="1"/>
  <c r="L146" i="46"/>
  <c r="V167" i="29" s="1"/>
  <c r="H146" i="46"/>
  <c r="R167" i="29" s="1"/>
  <c r="D146" i="46"/>
  <c r="N167" i="29" s="1"/>
  <c r="Q146" i="46"/>
  <c r="AA167" i="29" s="1"/>
  <c r="I146" i="46"/>
  <c r="S167" i="29" s="1"/>
  <c r="O146" i="46"/>
  <c r="Y167" i="29" s="1"/>
  <c r="G146" i="46"/>
  <c r="Q167" i="29" s="1"/>
  <c r="M146" i="46"/>
  <c r="W167" i="29" s="1"/>
  <c r="E146" i="46"/>
  <c r="O167" i="29" s="1"/>
  <c r="K146" i="46"/>
  <c r="U167" i="29" s="1"/>
  <c r="R208" i="46"/>
  <c r="N208" i="46"/>
  <c r="J208" i="46"/>
  <c r="F208" i="46"/>
  <c r="P208" i="46"/>
  <c r="L208" i="46"/>
  <c r="H208" i="46"/>
  <c r="D208" i="46"/>
  <c r="M208" i="46"/>
  <c r="E208" i="46"/>
  <c r="Q208" i="46"/>
  <c r="I208" i="46"/>
  <c r="K208" i="46"/>
  <c r="G208" i="46"/>
  <c r="O208" i="46"/>
  <c r="Q149" i="46"/>
  <c r="AA205" i="29" s="1"/>
  <c r="M149" i="46"/>
  <c r="W205" i="29" s="1"/>
  <c r="I149" i="46"/>
  <c r="S205" i="29" s="1"/>
  <c r="E149" i="46"/>
  <c r="O205" i="29" s="1"/>
  <c r="O149" i="46"/>
  <c r="Y205" i="29" s="1"/>
  <c r="K149" i="46"/>
  <c r="U205" i="29" s="1"/>
  <c r="G149" i="46"/>
  <c r="Q205" i="29" s="1"/>
  <c r="L149" i="46"/>
  <c r="V205" i="29" s="1"/>
  <c r="D149" i="46"/>
  <c r="N205" i="29" s="1"/>
  <c r="R149" i="46"/>
  <c r="AB205" i="29" s="1"/>
  <c r="J149" i="46"/>
  <c r="T205" i="29" s="1"/>
  <c r="P149" i="46"/>
  <c r="Z205" i="29" s="1"/>
  <c r="H149" i="46"/>
  <c r="R205" i="29" s="1"/>
  <c r="N149" i="46"/>
  <c r="X205" i="29" s="1"/>
  <c r="F149" i="46"/>
  <c r="P205" i="29" s="1"/>
  <c r="D71" i="46"/>
  <c r="H71" i="46"/>
  <c r="L71" i="46"/>
  <c r="P71" i="46"/>
  <c r="F71" i="46"/>
  <c r="J71" i="46"/>
  <c r="N71" i="46"/>
  <c r="R71" i="46"/>
  <c r="G71" i="46"/>
  <c r="O71" i="46"/>
  <c r="I71" i="46"/>
  <c r="Q71" i="46"/>
  <c r="K71" i="46"/>
  <c r="E71" i="46"/>
  <c r="M71" i="46"/>
  <c r="V269" i="31"/>
  <c r="AB269" i="31"/>
  <c r="Z269" i="31"/>
  <c r="U269" i="31"/>
  <c r="N177" i="46"/>
  <c r="X327" i="29" s="1"/>
  <c r="Q177" i="46"/>
  <c r="AA327" i="29" s="1"/>
  <c r="D177" i="46"/>
  <c r="N327" i="29" s="1"/>
  <c r="L177" i="46"/>
  <c r="V327" i="29" s="1"/>
  <c r="H175" i="46"/>
  <c r="R301" i="29" s="1"/>
  <c r="N175" i="46"/>
  <c r="X301" i="29" s="1"/>
  <c r="K175" i="46"/>
  <c r="U301" i="29" s="1"/>
  <c r="R175" i="46"/>
  <c r="AB301" i="29" s="1"/>
  <c r="K172" i="46"/>
  <c r="U263" i="29" s="1"/>
  <c r="M172" i="46"/>
  <c r="W263" i="29" s="1"/>
  <c r="R172" i="46"/>
  <c r="AB263" i="29" s="1"/>
  <c r="N172" i="46"/>
  <c r="X263" i="29" s="1"/>
  <c r="E178" i="46"/>
  <c r="O339" i="29" s="1"/>
  <c r="N178" i="46"/>
  <c r="X339" i="29" s="1"/>
  <c r="D178" i="46"/>
  <c r="N339" i="29" s="1"/>
  <c r="R178" i="46"/>
  <c r="AB339" i="29" s="1"/>
  <c r="G74" i="46"/>
  <c r="K74" i="46"/>
  <c r="O74" i="46"/>
  <c r="E74" i="46"/>
  <c r="I74" i="46"/>
  <c r="M74" i="46"/>
  <c r="Q74" i="46"/>
  <c r="J74" i="46"/>
  <c r="R74" i="46"/>
  <c r="D74" i="46"/>
  <c r="L74" i="46"/>
  <c r="F74" i="46"/>
  <c r="N74" i="46"/>
  <c r="H74" i="46"/>
  <c r="P74" i="46"/>
  <c r="Q89" i="46"/>
  <c r="M89" i="46"/>
  <c r="I89" i="46"/>
  <c r="E89" i="46"/>
  <c r="P89" i="46"/>
  <c r="L89" i="46"/>
  <c r="H89" i="46"/>
  <c r="D89" i="46"/>
  <c r="O89" i="46"/>
  <c r="K89" i="46"/>
  <c r="G89" i="46"/>
  <c r="R89" i="46"/>
  <c r="N89" i="46"/>
  <c r="J89" i="46"/>
  <c r="F89" i="46"/>
  <c r="Q207" i="46"/>
  <c r="M207" i="46"/>
  <c r="I207" i="46"/>
  <c r="E207" i="46"/>
  <c r="O207" i="46"/>
  <c r="K207" i="46"/>
  <c r="G207" i="46"/>
  <c r="L207" i="46"/>
  <c r="D207" i="46"/>
  <c r="P207" i="46"/>
  <c r="H207" i="46"/>
  <c r="J207" i="46"/>
  <c r="F207" i="46"/>
  <c r="R207" i="46"/>
  <c r="N207" i="46"/>
  <c r="P148" i="46"/>
  <c r="Z192" i="29" s="1"/>
  <c r="L148" i="46"/>
  <c r="V192" i="29" s="1"/>
  <c r="H148" i="46"/>
  <c r="R192" i="29" s="1"/>
  <c r="D148" i="46"/>
  <c r="N192" i="29" s="1"/>
  <c r="R148" i="46"/>
  <c r="AB192" i="29" s="1"/>
  <c r="N148" i="46"/>
  <c r="X192" i="29" s="1"/>
  <c r="J148" i="46"/>
  <c r="T192" i="29" s="1"/>
  <c r="F148" i="46"/>
  <c r="P192" i="29" s="1"/>
  <c r="K148" i="46"/>
  <c r="U192" i="29" s="1"/>
  <c r="Q148" i="46"/>
  <c r="AA192" i="29" s="1"/>
  <c r="I148" i="46"/>
  <c r="S192" i="29" s="1"/>
  <c r="O148" i="46"/>
  <c r="Y192" i="29" s="1"/>
  <c r="G148" i="46"/>
  <c r="Q192" i="29" s="1"/>
  <c r="M148" i="46"/>
  <c r="W192" i="29" s="1"/>
  <c r="E148" i="46"/>
  <c r="O192" i="29" s="1"/>
  <c r="P206" i="46"/>
  <c r="L206" i="46"/>
  <c r="H206" i="46"/>
  <c r="D206" i="46"/>
  <c r="R206" i="46"/>
  <c r="N206" i="46"/>
  <c r="J206" i="46"/>
  <c r="F206" i="46"/>
  <c r="K206" i="46"/>
  <c r="O206" i="46"/>
  <c r="G206" i="46"/>
  <c r="I206" i="46"/>
  <c r="E206" i="46"/>
  <c r="Q206" i="46"/>
  <c r="M206" i="46"/>
  <c r="AA334" i="31"/>
  <c r="Q76" i="31"/>
  <c r="U76" i="31"/>
  <c r="Y76" i="31"/>
  <c r="N76" i="31"/>
  <c r="O76" i="31"/>
  <c r="S76" i="31"/>
  <c r="W76" i="31"/>
  <c r="AA76" i="31"/>
  <c r="T76" i="31"/>
  <c r="AB76" i="31"/>
  <c r="V76" i="31"/>
  <c r="P76" i="31"/>
  <c r="X76" i="31"/>
  <c r="R76" i="31"/>
  <c r="Z76" i="31"/>
  <c r="R204" i="46"/>
  <c r="N204" i="46"/>
  <c r="J204" i="46"/>
  <c r="F204" i="46"/>
  <c r="P204" i="46"/>
  <c r="L204" i="46"/>
  <c r="H204" i="46"/>
  <c r="D204" i="46"/>
  <c r="Q204" i="46"/>
  <c r="I204" i="46"/>
  <c r="M204" i="46"/>
  <c r="E204" i="46"/>
  <c r="G204" i="46"/>
  <c r="O204" i="46"/>
  <c r="K204" i="46"/>
  <c r="AA142" i="28"/>
  <c r="W142" i="28"/>
  <c r="S142" i="28"/>
  <c r="O142" i="28"/>
  <c r="Y142" i="28"/>
  <c r="U142" i="28"/>
  <c r="Q142" i="28"/>
  <c r="Z142" i="28"/>
  <c r="R142" i="28"/>
  <c r="X142" i="28"/>
  <c r="P142" i="28"/>
  <c r="V142" i="28"/>
  <c r="N142" i="28"/>
  <c r="AB142" i="28"/>
  <c r="T142" i="28"/>
  <c r="D75" i="46"/>
  <c r="H75" i="46"/>
  <c r="L75" i="46"/>
  <c r="P75" i="46"/>
  <c r="F75" i="46"/>
  <c r="J75" i="46"/>
  <c r="N75" i="46"/>
  <c r="R75" i="46"/>
  <c r="K75" i="46"/>
  <c r="E75" i="46"/>
  <c r="M75" i="46"/>
  <c r="G75" i="46"/>
  <c r="O75" i="46"/>
  <c r="I75" i="46"/>
  <c r="Q75" i="46"/>
  <c r="Q145" i="46"/>
  <c r="AA154" i="29" s="1"/>
  <c r="M145" i="46"/>
  <c r="W154" i="29" s="1"/>
  <c r="I145" i="46"/>
  <c r="S154" i="29" s="1"/>
  <c r="E145" i="46"/>
  <c r="O154" i="29" s="1"/>
  <c r="O145" i="46"/>
  <c r="Y154" i="29" s="1"/>
  <c r="K145" i="46"/>
  <c r="U154" i="29" s="1"/>
  <c r="G145" i="46"/>
  <c r="Q154" i="29" s="1"/>
  <c r="P145" i="46"/>
  <c r="Z154" i="29" s="1"/>
  <c r="H145" i="46"/>
  <c r="R154" i="29" s="1"/>
  <c r="N145" i="46"/>
  <c r="X154" i="29" s="1"/>
  <c r="F145" i="46"/>
  <c r="P154" i="29" s="1"/>
  <c r="L145" i="46"/>
  <c r="V154" i="29" s="1"/>
  <c r="N154" i="29"/>
  <c r="R145" i="46"/>
  <c r="AB154" i="29" s="1"/>
  <c r="J145" i="46"/>
  <c r="T154" i="29" s="1"/>
  <c r="Q157" i="31"/>
  <c r="U157" i="31"/>
  <c r="Y157" i="31"/>
  <c r="O157" i="31"/>
  <c r="S157" i="31"/>
  <c r="W157" i="31"/>
  <c r="AA157" i="31"/>
  <c r="N157" i="31"/>
  <c r="P157" i="31"/>
  <c r="X157" i="31"/>
  <c r="R157" i="31"/>
  <c r="Z157" i="31"/>
  <c r="T157" i="31"/>
  <c r="AB157" i="31"/>
  <c r="V157" i="31"/>
  <c r="AB156" i="28"/>
  <c r="X156" i="28"/>
  <c r="T156" i="28"/>
  <c r="P156" i="28"/>
  <c r="Z156" i="28"/>
  <c r="V156" i="28"/>
  <c r="R156" i="28"/>
  <c r="N156" i="28"/>
  <c r="AA156" i="28"/>
  <c r="S156" i="28"/>
  <c r="Y156" i="28"/>
  <c r="Q156" i="28"/>
  <c r="W156" i="28"/>
  <c r="O156" i="28"/>
  <c r="U156" i="28"/>
  <c r="G70" i="46"/>
  <c r="K70" i="46"/>
  <c r="O70" i="46"/>
  <c r="E70" i="46"/>
  <c r="I70" i="46"/>
  <c r="M70" i="46"/>
  <c r="Q70" i="46"/>
  <c r="F70" i="46"/>
  <c r="N70" i="46"/>
  <c r="H70" i="46"/>
  <c r="P70" i="46"/>
  <c r="J70" i="46"/>
  <c r="R70" i="46"/>
  <c r="D70" i="46"/>
  <c r="L70" i="46"/>
  <c r="Y169" i="28"/>
  <c r="U169" i="28"/>
  <c r="Q169" i="28"/>
  <c r="AA169" i="28"/>
  <c r="W169" i="28"/>
  <c r="S169" i="28"/>
  <c r="O169" i="28"/>
  <c r="AB169" i="28"/>
  <c r="T169" i="28"/>
  <c r="Z169" i="28"/>
  <c r="R169" i="28"/>
  <c r="X169" i="28"/>
  <c r="P169" i="28"/>
  <c r="V169" i="28"/>
  <c r="N169" i="28"/>
  <c r="F73" i="46"/>
  <c r="J73" i="46"/>
  <c r="N73" i="46"/>
  <c r="R73" i="46"/>
  <c r="D73" i="46"/>
  <c r="H73" i="46"/>
  <c r="L73" i="46"/>
  <c r="P73" i="46"/>
  <c r="I73" i="46"/>
  <c r="Q73" i="46"/>
  <c r="K73" i="46"/>
  <c r="E73" i="46"/>
  <c r="M73" i="46"/>
  <c r="G73" i="46"/>
  <c r="O73" i="46"/>
  <c r="P144" i="46"/>
  <c r="Z141" i="29" s="1"/>
  <c r="L144" i="46"/>
  <c r="V141" i="29" s="1"/>
  <c r="H144" i="46"/>
  <c r="R141" i="29" s="1"/>
  <c r="N141" i="29"/>
  <c r="R144" i="46"/>
  <c r="AB141" i="29" s="1"/>
  <c r="N144" i="46"/>
  <c r="X141" i="29" s="1"/>
  <c r="J144" i="46"/>
  <c r="T141" i="29" s="1"/>
  <c r="F144" i="46"/>
  <c r="P141" i="29" s="1"/>
  <c r="O144" i="46"/>
  <c r="Y141" i="29" s="1"/>
  <c r="G144" i="46"/>
  <c r="Q141" i="29" s="1"/>
  <c r="M144" i="46"/>
  <c r="W141" i="29" s="1"/>
  <c r="E144" i="46"/>
  <c r="O141" i="29" s="1"/>
  <c r="K144" i="46"/>
  <c r="U141" i="29" s="1"/>
  <c r="Q144" i="46"/>
  <c r="AA141" i="29" s="1"/>
  <c r="I144" i="46"/>
  <c r="S141" i="29" s="1"/>
  <c r="P202" i="46"/>
  <c r="Z410" i="29" s="1"/>
  <c r="L202" i="46"/>
  <c r="V410" i="29" s="1"/>
  <c r="H202" i="46"/>
  <c r="R410" i="29" s="1"/>
  <c r="D202" i="46"/>
  <c r="N410" i="29" s="1"/>
  <c r="R202" i="46"/>
  <c r="AB410" i="29" s="1"/>
  <c r="N202" i="46"/>
  <c r="X410" i="29" s="1"/>
  <c r="J202" i="46"/>
  <c r="T410" i="29" s="1"/>
  <c r="F202" i="46"/>
  <c r="P410" i="29" s="1"/>
  <c r="O202" i="46"/>
  <c r="Y410" i="29" s="1"/>
  <c r="G202" i="46"/>
  <c r="Q410" i="29" s="1"/>
  <c r="K202" i="46"/>
  <c r="U410" i="29" s="1"/>
  <c r="E202" i="46"/>
  <c r="O410" i="29" s="1"/>
  <c r="Q202" i="46"/>
  <c r="AA410" i="29" s="1"/>
  <c r="M202" i="46"/>
  <c r="W410" i="29" s="1"/>
  <c r="I202" i="46"/>
  <c r="S410" i="29" s="1"/>
  <c r="O147" i="46"/>
  <c r="Y180" i="29" s="1"/>
  <c r="K147" i="46"/>
  <c r="U180" i="29" s="1"/>
  <c r="G147" i="46"/>
  <c r="Q180" i="29" s="1"/>
  <c r="Q147" i="46"/>
  <c r="AA180" i="29" s="1"/>
  <c r="M147" i="46"/>
  <c r="W180" i="29" s="1"/>
  <c r="I147" i="46"/>
  <c r="S180" i="29" s="1"/>
  <c r="E147" i="46"/>
  <c r="O180" i="29" s="1"/>
  <c r="R147" i="46"/>
  <c r="AB180" i="29" s="1"/>
  <c r="J147" i="46"/>
  <c r="T180" i="29" s="1"/>
  <c r="P147" i="46"/>
  <c r="Z180" i="29" s="1"/>
  <c r="H147" i="46"/>
  <c r="R180" i="29" s="1"/>
  <c r="N147" i="46"/>
  <c r="X180" i="29" s="1"/>
  <c r="F147" i="46"/>
  <c r="P180" i="29" s="1"/>
  <c r="L147" i="46"/>
  <c r="V180" i="29" s="1"/>
  <c r="D147" i="46"/>
  <c r="N180" i="29" s="1"/>
  <c r="AA90" i="28"/>
  <c r="W90" i="28"/>
  <c r="S90" i="28"/>
  <c r="O90" i="28"/>
  <c r="Y90" i="28"/>
  <c r="U90" i="28"/>
  <c r="Q90" i="28"/>
  <c r="V90" i="28"/>
  <c r="N90" i="28"/>
  <c r="AB90" i="28"/>
  <c r="T90" i="28"/>
  <c r="Z90" i="28"/>
  <c r="R90" i="28"/>
  <c r="X90" i="28"/>
  <c r="P90" i="28"/>
  <c r="Q103" i="31"/>
  <c r="U103" i="31"/>
  <c r="Y103" i="31"/>
  <c r="O103" i="31"/>
  <c r="S103" i="31"/>
  <c r="W103" i="31"/>
  <c r="AA103" i="31"/>
  <c r="N103" i="31"/>
  <c r="P103" i="31"/>
  <c r="X103" i="31"/>
  <c r="R103" i="31"/>
  <c r="Z103" i="31"/>
  <c r="T103" i="31"/>
  <c r="AB103" i="31"/>
  <c r="V103" i="31"/>
  <c r="AB103" i="28"/>
  <c r="X103" i="28"/>
  <c r="T103" i="28"/>
  <c r="P103" i="28"/>
  <c r="Z103" i="28"/>
  <c r="V103" i="28"/>
  <c r="R103" i="28"/>
  <c r="N103" i="28"/>
  <c r="W103" i="28"/>
  <c r="O103" i="28"/>
  <c r="U103" i="28"/>
  <c r="AA103" i="28"/>
  <c r="S103" i="28"/>
  <c r="Y103" i="28"/>
  <c r="Q103" i="28"/>
  <c r="Z130" i="28"/>
  <c r="V130" i="28"/>
  <c r="R130" i="28"/>
  <c r="N130" i="28"/>
  <c r="AB130" i="28"/>
  <c r="X130" i="28"/>
  <c r="T130" i="28"/>
  <c r="P130" i="28"/>
  <c r="Y130" i="28"/>
  <c r="Q130" i="28"/>
  <c r="W130" i="28"/>
  <c r="O130" i="28"/>
  <c r="U130" i="28"/>
  <c r="AA130" i="28"/>
  <c r="S130" i="28"/>
  <c r="N269" i="31"/>
  <c r="X269" i="31"/>
  <c r="M177" i="46"/>
  <c r="W327" i="29" s="1"/>
  <c r="I177" i="46"/>
  <c r="S327" i="29" s="1"/>
  <c r="O177" i="46"/>
  <c r="Y327" i="29" s="1"/>
  <c r="M175" i="46"/>
  <c r="W301" i="29" s="1"/>
  <c r="J175" i="46"/>
  <c r="T301" i="29" s="1"/>
  <c r="P175" i="46"/>
  <c r="Z301" i="29" s="1"/>
  <c r="D175" i="46"/>
  <c r="N301" i="29" s="1"/>
  <c r="E172" i="46"/>
  <c r="O263" i="29" s="1"/>
  <c r="P172" i="46"/>
  <c r="Z263" i="29" s="1"/>
  <c r="M178" i="46"/>
  <c r="W339" i="29" s="1"/>
  <c r="G178" i="46"/>
  <c r="Q339" i="29" s="1"/>
  <c r="O178" i="46"/>
  <c r="Y339" i="29" s="1"/>
  <c r="R90" i="46"/>
  <c r="N90" i="46"/>
  <c r="J90" i="46"/>
  <c r="F90" i="46"/>
  <c r="Q90" i="46"/>
  <c r="M90" i="46"/>
  <c r="I90" i="46"/>
  <c r="E90" i="46"/>
  <c r="P90" i="46"/>
  <c r="L90" i="46"/>
  <c r="H90" i="46"/>
  <c r="D90" i="46"/>
  <c r="O90" i="46"/>
  <c r="K90" i="46"/>
  <c r="G90" i="46"/>
  <c r="Y117" i="28"/>
  <c r="U117" i="28"/>
  <c r="Q117" i="28"/>
  <c r="AA117" i="28"/>
  <c r="W117" i="28"/>
  <c r="S117" i="28"/>
  <c r="O117" i="28"/>
  <c r="X117" i="28"/>
  <c r="P117" i="28"/>
  <c r="V117" i="28"/>
  <c r="N117" i="28"/>
  <c r="AB117" i="28"/>
  <c r="T117" i="28"/>
  <c r="Z117" i="28"/>
  <c r="R117" i="28"/>
  <c r="E72" i="46"/>
  <c r="I72" i="46"/>
  <c r="M72" i="46"/>
  <c r="Q72" i="46"/>
  <c r="G72" i="46"/>
  <c r="K72" i="46"/>
  <c r="O72" i="46"/>
  <c r="H72" i="46"/>
  <c r="P72" i="46"/>
  <c r="J72" i="46"/>
  <c r="R72" i="46"/>
  <c r="D72" i="46"/>
  <c r="L72" i="46"/>
  <c r="F72" i="46"/>
  <c r="N72" i="46"/>
  <c r="O145" i="31"/>
  <c r="S145" i="31"/>
  <c r="W145" i="31"/>
  <c r="AA145" i="31"/>
  <c r="Q145" i="31"/>
  <c r="U145" i="31"/>
  <c r="Y145" i="31"/>
  <c r="V145" i="31"/>
  <c r="P145" i="31"/>
  <c r="X145" i="31"/>
  <c r="R145" i="31"/>
  <c r="Z145" i="31"/>
  <c r="N145" i="31"/>
  <c r="T145" i="31"/>
  <c r="AB145" i="31"/>
  <c r="Q185" i="31"/>
  <c r="U185" i="31"/>
  <c r="Y185" i="31"/>
  <c r="N185" i="31"/>
  <c r="O185" i="31"/>
  <c r="S185" i="31"/>
  <c r="W185" i="31"/>
  <c r="AA185" i="31"/>
  <c r="T185" i="31"/>
  <c r="AB185" i="31"/>
  <c r="V185" i="31"/>
  <c r="P185" i="31"/>
  <c r="X185" i="31"/>
  <c r="R185" i="31"/>
  <c r="Z185" i="31"/>
  <c r="Y306" i="28"/>
  <c r="U253" i="28"/>
  <c r="T306" i="28"/>
  <c r="AA306" i="28"/>
  <c r="Z306" i="28"/>
  <c r="R306" i="28"/>
  <c r="S306" i="28"/>
  <c r="AB306" i="28"/>
  <c r="Q306" i="28"/>
  <c r="V306" i="28"/>
  <c r="X306" i="28"/>
  <c r="O306" i="28"/>
  <c r="V253" i="28"/>
  <c r="T253" i="28"/>
  <c r="Z253" i="28"/>
  <c r="P306" i="28"/>
  <c r="N306" i="28"/>
  <c r="O253" i="28"/>
  <c r="X253" i="28"/>
  <c r="S253" i="28"/>
  <c r="Y253" i="28"/>
  <c r="W253" i="28"/>
  <c r="AB253" i="28"/>
  <c r="AA253" i="28"/>
  <c r="N253" i="28"/>
  <c r="P253" i="28"/>
  <c r="R253" i="28"/>
  <c r="Z267" i="28"/>
  <c r="V267" i="28"/>
  <c r="R267" i="28"/>
  <c r="N267" i="28"/>
  <c r="AB267" i="28"/>
  <c r="T267" i="28"/>
  <c r="AA267" i="28"/>
  <c r="S267" i="28"/>
  <c r="Y267" i="28"/>
  <c r="U267" i="28"/>
  <c r="Q267" i="28"/>
  <c r="X267" i="28"/>
  <c r="P267" i="28"/>
  <c r="W267" i="28"/>
  <c r="O267" i="28"/>
  <c r="AB292" i="28"/>
  <c r="X292" i="28"/>
  <c r="T292" i="28"/>
  <c r="P292" i="28"/>
  <c r="V292" i="28"/>
  <c r="N292" i="28"/>
  <c r="U292" i="28"/>
  <c r="AA292" i="28"/>
  <c r="W292" i="28"/>
  <c r="S292" i="28"/>
  <c r="O292" i="28"/>
  <c r="Z292" i="28"/>
  <c r="R292" i="28"/>
  <c r="Y292" i="28"/>
  <c r="Q292" i="28"/>
  <c r="AB240" i="28"/>
  <c r="X240" i="28"/>
  <c r="T240" i="28"/>
  <c r="P240" i="28"/>
  <c r="Z240" i="28"/>
  <c r="R240" i="28"/>
  <c r="Y240" i="28"/>
  <c r="Q240" i="28"/>
  <c r="AA240" i="28"/>
  <c r="W240" i="28"/>
  <c r="S240" i="28"/>
  <c r="O240" i="28"/>
  <c r="V240" i="28"/>
  <c r="N240" i="28"/>
  <c r="U240" i="28"/>
  <c r="Z215" i="28"/>
  <c r="V215" i="28"/>
  <c r="R215" i="28"/>
  <c r="N215" i="28"/>
  <c r="X215" i="28"/>
  <c r="P215" i="28"/>
  <c r="AA215" i="28"/>
  <c r="S215" i="28"/>
  <c r="Y215" i="28"/>
  <c r="U215" i="28"/>
  <c r="Q215" i="28"/>
  <c r="AB215" i="28"/>
  <c r="T215" i="28"/>
  <c r="W215" i="28"/>
  <c r="O215" i="28"/>
  <c r="AA280" i="28"/>
  <c r="W280" i="28"/>
  <c r="S280" i="28"/>
  <c r="O280" i="28"/>
  <c r="U280" i="28"/>
  <c r="AB280" i="28"/>
  <c r="T280" i="28"/>
  <c r="Z280" i="28"/>
  <c r="V280" i="28"/>
  <c r="R280" i="28"/>
  <c r="N280" i="28"/>
  <c r="Y280" i="28"/>
  <c r="Q280" i="28"/>
  <c r="X280" i="28"/>
  <c r="P280" i="28"/>
  <c r="Z319" i="28"/>
  <c r="V319" i="28"/>
  <c r="R319" i="28"/>
  <c r="N319" i="28"/>
  <c r="X319" i="28"/>
  <c r="P319" i="28"/>
  <c r="AA319" i="28"/>
  <c r="S319" i="28"/>
  <c r="Y319" i="28"/>
  <c r="U319" i="28"/>
  <c r="Q319" i="28"/>
  <c r="AB319" i="28"/>
  <c r="T319" i="28"/>
  <c r="W319" i="28"/>
  <c r="O319" i="28"/>
  <c r="P159" i="26"/>
  <c r="W91" i="26"/>
  <c r="AB105" i="26"/>
  <c r="O38" i="26"/>
  <c r="W38" i="26"/>
  <c r="AA38" i="26"/>
  <c r="Q38" i="26"/>
  <c r="U38" i="26"/>
  <c r="Y38" i="26"/>
  <c r="T38" i="26"/>
  <c r="AB38" i="26"/>
  <c r="V38" i="26"/>
  <c r="P38" i="26"/>
  <c r="X38" i="26"/>
  <c r="R38" i="26"/>
  <c r="Z38" i="26"/>
  <c r="O145" i="26"/>
  <c r="S145" i="26"/>
  <c r="W145" i="26"/>
  <c r="AA145" i="26"/>
  <c r="Q145" i="26"/>
  <c r="U145" i="26"/>
  <c r="Y145" i="26"/>
  <c r="T145" i="26"/>
  <c r="AB145" i="26"/>
  <c r="N145" i="26"/>
  <c r="V145" i="26"/>
  <c r="P145" i="26"/>
  <c r="X145" i="26"/>
  <c r="R145" i="26"/>
  <c r="Z145" i="26"/>
  <c r="Q63" i="26"/>
  <c r="U63" i="26"/>
  <c r="Y63" i="26"/>
  <c r="O63" i="26"/>
  <c r="S63" i="26"/>
  <c r="W63" i="26"/>
  <c r="AA63" i="26"/>
  <c r="N63" i="26"/>
  <c r="V63" i="26"/>
  <c r="P63" i="26"/>
  <c r="X63" i="26"/>
  <c r="R63" i="26"/>
  <c r="Z63" i="26"/>
  <c r="T63" i="26"/>
  <c r="AB63" i="26"/>
  <c r="P50" i="26"/>
  <c r="T50" i="26"/>
  <c r="X50" i="26"/>
  <c r="AB50" i="26"/>
  <c r="N50" i="26"/>
  <c r="R50" i="26"/>
  <c r="V50" i="26"/>
  <c r="Z50" i="26"/>
  <c r="U50" i="26"/>
  <c r="O50" i="26"/>
  <c r="W50" i="26"/>
  <c r="Q50" i="26"/>
  <c r="Y50" i="26"/>
  <c r="S50" i="26"/>
  <c r="AA50" i="26"/>
  <c r="M174" i="46"/>
  <c r="W288" i="29" s="1"/>
  <c r="P174" i="46"/>
  <c r="Z288" i="29" s="1"/>
  <c r="H174" i="46"/>
  <c r="R288" i="29" s="1"/>
  <c r="O174" i="46"/>
  <c r="Y288" i="29" s="1"/>
  <c r="X334" i="31"/>
  <c r="Q334" i="31"/>
  <c r="S334" i="31"/>
  <c r="T334" i="31"/>
  <c r="K174" i="46"/>
  <c r="U288" i="29" s="1"/>
  <c r="N174" i="46"/>
  <c r="X288" i="29" s="1"/>
  <c r="R174" i="46"/>
  <c r="AB288" i="29" s="1"/>
  <c r="Q174" i="46"/>
  <c r="AA288" i="29" s="1"/>
  <c r="E176" i="46"/>
  <c r="O314" i="29" s="1"/>
  <c r="N176" i="46"/>
  <c r="X314" i="29" s="1"/>
  <c r="J176" i="46"/>
  <c r="T314" i="29" s="1"/>
  <c r="P179" i="46"/>
  <c r="Z352" i="29" s="1"/>
  <c r="E179" i="46"/>
  <c r="O352" i="29" s="1"/>
  <c r="F179" i="46"/>
  <c r="P352" i="29" s="1"/>
  <c r="N179" i="46"/>
  <c r="X352" i="29" s="1"/>
  <c r="Y334" i="31"/>
  <c r="V334" i="31"/>
  <c r="R334" i="31"/>
  <c r="U334" i="31"/>
  <c r="E174" i="46"/>
  <c r="O288" i="29" s="1"/>
  <c r="F174" i="46"/>
  <c r="P288" i="29" s="1"/>
  <c r="M176" i="46"/>
  <c r="W314" i="29" s="1"/>
  <c r="L176" i="46"/>
  <c r="V314" i="29" s="1"/>
  <c r="G176" i="46"/>
  <c r="Q314" i="29" s="1"/>
  <c r="R179" i="46"/>
  <c r="AB352" i="29" s="1"/>
  <c r="K179" i="46"/>
  <c r="U352" i="29" s="1"/>
  <c r="I179" i="46"/>
  <c r="S352" i="29" s="1"/>
  <c r="P334" i="31"/>
  <c r="Z334" i="31"/>
  <c r="W334" i="31"/>
  <c r="U91" i="35"/>
  <c r="V118" i="45"/>
  <c r="Y366" i="29"/>
  <c r="N353" i="29"/>
  <c r="Q366" i="29"/>
  <c r="T328" i="29"/>
  <c r="P328" i="29"/>
  <c r="X315" i="29"/>
  <c r="T315" i="29"/>
  <c r="X328" i="29"/>
  <c r="X302" i="29"/>
  <c r="T302" i="29"/>
  <c r="S302" i="29"/>
  <c r="AB276" i="29"/>
  <c r="AA276" i="29"/>
  <c r="Z276" i="29"/>
  <c r="Y276" i="29"/>
  <c r="X276" i="29"/>
  <c r="W276" i="29"/>
  <c r="V276" i="29"/>
  <c r="U276" i="29"/>
  <c r="T276" i="29"/>
  <c r="S276" i="29"/>
  <c r="Q276" i="29"/>
  <c r="P276" i="29"/>
  <c r="O276" i="29"/>
  <c r="N276" i="29"/>
  <c r="U264" i="29"/>
  <c r="AB239" i="29"/>
  <c r="AA239" i="29"/>
  <c r="Z239" i="29"/>
  <c r="Y239" i="29"/>
  <c r="X239" i="29"/>
  <c r="W239" i="29"/>
  <c r="V239" i="29"/>
  <c r="U239" i="29"/>
  <c r="T239" i="29"/>
  <c r="S239" i="29"/>
  <c r="Q239" i="29"/>
  <c r="P239" i="29"/>
  <c r="O239" i="29"/>
  <c r="V105" i="45"/>
  <c r="U105" i="35"/>
  <c r="AI49" i="55" l="1"/>
  <c r="AR49" i="55"/>
  <c r="AT49" i="55"/>
  <c r="AT62" i="55"/>
  <c r="AP62" i="55"/>
  <c r="AS62" i="55"/>
  <c r="AQ62" i="55"/>
  <c r="AH140" i="55"/>
  <c r="AL140" i="55"/>
  <c r="AS140" i="55"/>
  <c r="AR37" i="55"/>
  <c r="AN37" i="55"/>
  <c r="AQ37" i="55"/>
  <c r="AO37" i="55"/>
  <c r="AO89" i="55"/>
  <c r="AS49" i="55"/>
  <c r="AO49" i="55"/>
  <c r="AN49" i="55"/>
  <c r="AP49" i="55"/>
  <c r="AL62" i="55"/>
  <c r="AH62" i="55"/>
  <c r="AO62" i="55"/>
  <c r="AM62" i="55"/>
  <c r="AR140" i="55"/>
  <c r="AN140" i="55"/>
  <c r="AQ140" i="55"/>
  <c r="AO140" i="55"/>
  <c r="AM37" i="55"/>
  <c r="AK37" i="55"/>
  <c r="AH153" i="55"/>
  <c r="AK49" i="55"/>
  <c r="AG49" i="55"/>
  <c r="AL49" i="55"/>
  <c r="AR62" i="55"/>
  <c r="AN62" i="55"/>
  <c r="AK62" i="55"/>
  <c r="AI62" i="55"/>
  <c r="AF140" i="55"/>
  <c r="AM140" i="55"/>
  <c r="AK140" i="55"/>
  <c r="AP37" i="55"/>
  <c r="AT37" i="55"/>
  <c r="AI37" i="55"/>
  <c r="AG37" i="55"/>
  <c r="AQ49" i="55"/>
  <c r="AM49" i="55"/>
  <c r="AF49" i="55"/>
  <c r="AH49" i="55"/>
  <c r="AF62" i="55"/>
  <c r="AG62" i="55"/>
  <c r="AP140" i="55"/>
  <c r="AT140" i="55"/>
  <c r="AI140" i="55"/>
  <c r="AG140" i="55"/>
  <c r="AH37" i="55"/>
  <c r="AL37" i="55"/>
  <c r="AS37" i="55"/>
  <c r="AT102" i="55"/>
  <c r="O472" i="31"/>
  <c r="O499" i="29"/>
  <c r="Q472" i="31"/>
  <c r="Q499" i="29"/>
  <c r="T472" i="31"/>
  <c r="T499" i="29"/>
  <c r="R472" i="31"/>
  <c r="R499" i="29"/>
  <c r="R433" i="31"/>
  <c r="R461" i="29"/>
  <c r="Y433" i="31"/>
  <c r="Y461" i="29"/>
  <c r="AA433" i="31"/>
  <c r="AA461" i="29"/>
  <c r="V485" i="31"/>
  <c r="V512" i="29"/>
  <c r="S446" i="31"/>
  <c r="S474" i="29"/>
  <c r="X419" i="31"/>
  <c r="X448" i="29"/>
  <c r="T446" i="31"/>
  <c r="T474" i="29"/>
  <c r="S472" i="31"/>
  <c r="S499" i="29"/>
  <c r="Y472" i="31"/>
  <c r="Y499" i="29"/>
  <c r="X472" i="31"/>
  <c r="X499" i="29"/>
  <c r="V472" i="31"/>
  <c r="V499" i="29"/>
  <c r="X433" i="31"/>
  <c r="X461" i="29"/>
  <c r="O433" i="31"/>
  <c r="O461" i="29"/>
  <c r="P485" i="31"/>
  <c r="P512" i="29"/>
  <c r="Q485" i="31"/>
  <c r="Q512" i="29"/>
  <c r="P419" i="31"/>
  <c r="P448" i="29"/>
  <c r="V419" i="31"/>
  <c r="V448" i="29"/>
  <c r="Z419" i="31"/>
  <c r="Z448" i="29"/>
  <c r="N446" i="31"/>
  <c r="N474" i="29"/>
  <c r="W472" i="31"/>
  <c r="W499" i="29"/>
  <c r="U472" i="31"/>
  <c r="U499" i="29"/>
  <c r="AB472" i="31"/>
  <c r="AB499" i="29"/>
  <c r="Z472" i="31"/>
  <c r="Z499" i="29"/>
  <c r="AB433" i="31"/>
  <c r="AB461" i="29"/>
  <c r="N433" i="31"/>
  <c r="N461" i="29"/>
  <c r="Q433" i="31"/>
  <c r="Q461" i="29"/>
  <c r="S433" i="31"/>
  <c r="S461" i="29"/>
  <c r="T485" i="31"/>
  <c r="T512" i="29"/>
  <c r="Z485" i="31"/>
  <c r="Z512" i="29"/>
  <c r="U485" i="31"/>
  <c r="U512" i="29"/>
  <c r="W485" i="31"/>
  <c r="W512" i="29"/>
  <c r="R419" i="31"/>
  <c r="R448" i="29"/>
  <c r="O419" i="31"/>
  <c r="O448" i="29"/>
  <c r="S419" i="31"/>
  <c r="S448" i="29"/>
  <c r="Y446" i="31"/>
  <c r="Y474" i="29"/>
  <c r="R446" i="31"/>
  <c r="R474" i="29"/>
  <c r="T433" i="31"/>
  <c r="T461" i="29"/>
  <c r="AB485" i="31"/>
  <c r="AB512" i="29"/>
  <c r="O485" i="31"/>
  <c r="O512" i="29"/>
  <c r="AB419" i="31"/>
  <c r="AB448" i="29"/>
  <c r="W446" i="31"/>
  <c r="W474" i="29"/>
  <c r="N419" i="31"/>
  <c r="N448" i="29"/>
  <c r="Q458" i="31"/>
  <c r="Q486" i="29"/>
  <c r="Z433" i="31"/>
  <c r="Z461" i="29"/>
  <c r="R485" i="31"/>
  <c r="R512" i="29"/>
  <c r="S485" i="31"/>
  <c r="S512" i="29"/>
  <c r="U446" i="31"/>
  <c r="U474" i="29"/>
  <c r="Q446" i="31"/>
  <c r="Q474" i="29"/>
  <c r="T458" i="31"/>
  <c r="T486" i="29"/>
  <c r="AA458" i="31"/>
  <c r="AA486" i="29"/>
  <c r="P458" i="31"/>
  <c r="P486" i="29"/>
  <c r="AA472" i="31"/>
  <c r="AA499" i="29"/>
  <c r="P472" i="31"/>
  <c r="P499" i="29"/>
  <c r="N472" i="31"/>
  <c r="N499" i="29"/>
  <c r="P433" i="31"/>
  <c r="P461" i="29"/>
  <c r="V433" i="31"/>
  <c r="V461" i="29"/>
  <c r="U433" i="31"/>
  <c r="U461" i="29"/>
  <c r="W433" i="31"/>
  <c r="W461" i="29"/>
  <c r="X485" i="31"/>
  <c r="X512" i="29"/>
  <c r="N485" i="31"/>
  <c r="N512" i="29"/>
  <c r="Y485" i="31"/>
  <c r="Y512" i="29"/>
  <c r="AA485" i="31"/>
  <c r="AA512" i="29"/>
  <c r="V446" i="31"/>
  <c r="V474" i="29"/>
  <c r="U419" i="31"/>
  <c r="U448" i="29"/>
  <c r="Q419" i="31"/>
  <c r="Q448" i="29"/>
  <c r="Y419" i="31"/>
  <c r="Y448" i="29"/>
  <c r="Z446" i="31"/>
  <c r="Z474" i="29"/>
  <c r="T419" i="31"/>
  <c r="T448" i="29"/>
  <c r="W419" i="31"/>
  <c r="W448" i="29"/>
  <c r="AA446" i="31"/>
  <c r="AA474" i="29"/>
  <c r="Y46" i="4"/>
  <c r="Y34" i="4"/>
  <c r="U46" i="4"/>
  <c r="U34" i="4"/>
  <c r="P46" i="4"/>
  <c r="P34" i="4"/>
  <c r="N34" i="4"/>
  <c r="N46" i="4"/>
  <c r="Q46" i="4"/>
  <c r="Q34" i="4"/>
  <c r="AB46" i="4"/>
  <c r="AB34" i="4"/>
  <c r="Z46" i="4"/>
  <c r="Z34" i="4"/>
  <c r="AA46" i="4"/>
  <c r="AA34" i="4"/>
  <c r="W46" i="4"/>
  <c r="W34" i="4"/>
  <c r="X46" i="4"/>
  <c r="X34" i="4"/>
  <c r="V46" i="4"/>
  <c r="V34" i="4"/>
  <c r="S46" i="4"/>
  <c r="S34" i="4"/>
  <c r="O46" i="4"/>
  <c r="O34" i="4"/>
  <c r="T46" i="4"/>
  <c r="T34" i="4"/>
  <c r="R46" i="4"/>
  <c r="R34" i="4"/>
  <c r="AF37" i="55"/>
  <c r="T256" i="31"/>
  <c r="T321" i="31"/>
  <c r="O446" i="31"/>
  <c r="U458" i="31"/>
  <c r="R458" i="31"/>
  <c r="U256" i="31"/>
  <c r="U321" i="31"/>
  <c r="X458" i="31"/>
  <c r="AA295" i="31"/>
  <c r="AA282" i="31"/>
  <c r="S458" i="31"/>
  <c r="O458" i="31"/>
  <c r="U295" i="31"/>
  <c r="U282" i="31"/>
  <c r="P256" i="31"/>
  <c r="P321" i="31"/>
  <c r="V458" i="31"/>
  <c r="AB458" i="31"/>
  <c r="R256" i="31"/>
  <c r="R321" i="31"/>
  <c r="AB295" i="31"/>
  <c r="AB282" i="31"/>
  <c r="N256" i="31"/>
  <c r="N321" i="31"/>
  <c r="N295" i="31"/>
  <c r="N282" i="31"/>
  <c r="O256" i="31"/>
  <c r="O321" i="31"/>
  <c r="P446" i="31"/>
  <c r="W458" i="31"/>
  <c r="W282" i="31"/>
  <c r="W295" i="31"/>
  <c r="V256" i="31"/>
  <c r="V321" i="31"/>
  <c r="Q282" i="31"/>
  <c r="Q295" i="31"/>
  <c r="Y295" i="31"/>
  <c r="Y282" i="31"/>
  <c r="S295" i="31"/>
  <c r="S282" i="31"/>
  <c r="S256" i="31"/>
  <c r="S321" i="31"/>
  <c r="R295" i="31"/>
  <c r="R282" i="31"/>
  <c r="X295" i="31"/>
  <c r="X282" i="31"/>
  <c r="N458" i="31"/>
  <c r="AB256" i="31"/>
  <c r="AB321" i="31"/>
  <c r="W256" i="31"/>
  <c r="W321" i="31"/>
  <c r="Z256" i="31"/>
  <c r="Z321" i="31"/>
  <c r="T282" i="31"/>
  <c r="T295" i="31"/>
  <c r="AA256" i="31"/>
  <c r="AA321" i="31"/>
  <c r="AB446" i="31"/>
  <c r="Z458" i="31"/>
  <c r="V282" i="31"/>
  <c r="V295" i="31"/>
  <c r="X256" i="31"/>
  <c r="X321" i="31"/>
  <c r="O295" i="31"/>
  <c r="O282" i="31"/>
  <c r="Z282" i="31"/>
  <c r="Z295" i="31"/>
  <c r="Q256" i="31"/>
  <c r="Q321" i="31"/>
  <c r="V328" i="29"/>
  <c r="Z328" i="29"/>
  <c r="N302" i="29"/>
  <c r="W302" i="29"/>
  <c r="AA302" i="29"/>
  <c r="O315" i="29"/>
  <c r="O302" i="29"/>
  <c r="U315" i="29"/>
  <c r="Y315" i="29"/>
  <c r="Q315" i="29"/>
  <c r="V315" i="29"/>
  <c r="Z315" i="29"/>
  <c r="V302" i="29"/>
  <c r="Z302" i="29"/>
  <c r="N315" i="29"/>
  <c r="S315" i="29"/>
  <c r="W315" i="29"/>
  <c r="AA315" i="29"/>
  <c r="N328" i="29"/>
  <c r="U328" i="29"/>
  <c r="Y328" i="29"/>
  <c r="Q353" i="29"/>
  <c r="Q328" i="29"/>
  <c r="AB328" i="29"/>
  <c r="U353" i="29"/>
  <c r="Y353" i="29"/>
  <c r="V353" i="29"/>
  <c r="Z353" i="29"/>
  <c r="V366" i="29"/>
  <c r="Z366" i="29"/>
  <c r="P315" i="29"/>
  <c r="AB315" i="29"/>
  <c r="O353" i="29"/>
  <c r="S353" i="29"/>
  <c r="W353" i="29"/>
  <c r="AA353" i="29"/>
  <c r="P289" i="29"/>
  <c r="T289" i="29"/>
  <c r="X289" i="29"/>
  <c r="AB289" i="29"/>
  <c r="AA328" i="29"/>
  <c r="O366" i="29"/>
  <c r="S366" i="29"/>
  <c r="W366" i="29"/>
  <c r="AA366" i="29"/>
  <c r="P302" i="29"/>
  <c r="AB302" i="29"/>
  <c r="AB353" i="29"/>
  <c r="P366" i="29"/>
  <c r="T366" i="29"/>
  <c r="X366" i="29"/>
  <c r="AB366" i="29"/>
  <c r="Q289" i="29"/>
  <c r="U289" i="29"/>
  <c r="Y289" i="29"/>
  <c r="S340" i="29"/>
  <c r="W328" i="29"/>
  <c r="O328" i="29"/>
  <c r="S328" i="29"/>
  <c r="U366" i="29"/>
  <c r="W159" i="26"/>
  <c r="R159" i="26"/>
  <c r="P105" i="26"/>
  <c r="AA159" i="26"/>
  <c r="O159" i="26"/>
  <c r="AB159" i="26"/>
  <c r="S159" i="26"/>
  <c r="Z159" i="26"/>
  <c r="X159" i="26"/>
  <c r="Q159" i="26"/>
  <c r="V159" i="26"/>
  <c r="T159" i="26"/>
  <c r="Y159" i="26"/>
  <c r="U159" i="26"/>
  <c r="N159" i="26"/>
  <c r="Q91" i="26"/>
  <c r="N91" i="26"/>
  <c r="AB91" i="26"/>
  <c r="U91" i="26"/>
  <c r="R91" i="26"/>
  <c r="S91" i="26"/>
  <c r="X91" i="26"/>
  <c r="O91" i="26"/>
  <c r="Y105" i="26"/>
  <c r="V105" i="26"/>
  <c r="T91" i="26"/>
  <c r="P91" i="26"/>
  <c r="AA91" i="26"/>
  <c r="W105" i="26"/>
  <c r="R105" i="26"/>
  <c r="V91" i="26"/>
  <c r="Z91" i="26"/>
  <c r="Y91" i="26"/>
  <c r="U105" i="26"/>
  <c r="T105" i="26"/>
  <c r="S105" i="26"/>
  <c r="N105" i="26"/>
  <c r="O105" i="26"/>
  <c r="Q105" i="26"/>
  <c r="X105" i="26"/>
  <c r="AA105" i="26"/>
  <c r="Z105" i="26"/>
  <c r="N131" i="26"/>
  <c r="R131" i="26"/>
  <c r="V131" i="26"/>
  <c r="Z131" i="26"/>
  <c r="P131" i="26"/>
  <c r="T131" i="26"/>
  <c r="X131" i="26"/>
  <c r="AB131" i="26"/>
  <c r="S131" i="26"/>
  <c r="AA131" i="26"/>
  <c r="O131" i="26"/>
  <c r="W131" i="26"/>
  <c r="Q131" i="26"/>
  <c r="Y131" i="26"/>
  <c r="U131" i="26"/>
  <c r="Q119" i="26"/>
  <c r="U119" i="26"/>
  <c r="Y119" i="26"/>
  <c r="O119" i="26"/>
  <c r="S119" i="26"/>
  <c r="W119" i="26"/>
  <c r="AA119" i="26"/>
  <c r="R119" i="26"/>
  <c r="Z119" i="26"/>
  <c r="T119" i="26"/>
  <c r="AB119" i="26"/>
  <c r="N119" i="26"/>
  <c r="V119" i="26"/>
  <c r="P119" i="26"/>
  <c r="X119" i="26"/>
  <c r="N77" i="26"/>
  <c r="R77" i="26"/>
  <c r="V77" i="26"/>
  <c r="Z77" i="26"/>
  <c r="P77" i="26"/>
  <c r="T77" i="26"/>
  <c r="X77" i="26"/>
  <c r="AB77" i="26"/>
  <c r="O77" i="26"/>
  <c r="W77" i="26"/>
  <c r="Q77" i="26"/>
  <c r="Y77" i="26"/>
  <c r="S77" i="26"/>
  <c r="AA77" i="26"/>
  <c r="U77" i="26"/>
  <c r="P340" i="29"/>
  <c r="T340" i="29"/>
  <c r="X340" i="29"/>
  <c r="AB340" i="29"/>
  <c r="V264" i="29"/>
  <c r="S264" i="29"/>
  <c r="AA264" i="29"/>
  <c r="P353" i="29"/>
  <c r="Q340" i="29"/>
  <c r="U340" i="29"/>
  <c r="Y340" i="29"/>
  <c r="O264" i="29"/>
  <c r="W264" i="29"/>
  <c r="P264" i="29"/>
  <c r="T264" i="29"/>
  <c r="X264" i="29"/>
  <c r="AB264" i="29"/>
  <c r="T353" i="29"/>
  <c r="N289" i="29"/>
  <c r="V289" i="29"/>
  <c r="Z289" i="29"/>
  <c r="N340" i="29"/>
  <c r="V340" i="29"/>
  <c r="Z340" i="29"/>
  <c r="Y302" i="29"/>
  <c r="Q302" i="29"/>
  <c r="U302" i="29"/>
  <c r="Z264" i="29"/>
  <c r="Q264" i="29"/>
  <c r="Y264" i="29"/>
  <c r="X353" i="29"/>
  <c r="O289" i="29"/>
  <c r="S289" i="29"/>
  <c r="W289" i="29"/>
  <c r="AA289" i="29"/>
  <c r="O340" i="29"/>
  <c r="W340" i="29"/>
  <c r="AA340" i="29"/>
  <c r="Q283" i="31"/>
  <c r="Z270" i="31"/>
  <c r="Z296" i="31"/>
  <c r="U308" i="31"/>
  <c r="AB322" i="31"/>
  <c r="P270" i="31"/>
  <c r="S244" i="31"/>
  <c r="AA220" i="31"/>
  <c r="BK215" i="31" s="1"/>
  <c r="Y257" i="31"/>
  <c r="P322" i="31"/>
  <c r="Y308" i="31"/>
  <c r="N366" i="29"/>
  <c r="P296" i="31"/>
  <c r="X308" i="31"/>
  <c r="AB308" i="31"/>
  <c r="Q308" i="31"/>
  <c r="U296" i="31"/>
  <c r="T308" i="31"/>
  <c r="N239" i="29"/>
  <c r="N264" i="29"/>
  <c r="S232" i="31"/>
  <c r="Z232" i="31"/>
  <c r="O232" i="31"/>
  <c r="X232" i="31"/>
  <c r="T232" i="31"/>
  <c r="V335" i="31"/>
  <c r="S335" i="31"/>
  <c r="AA335" i="31"/>
  <c r="O335" i="31"/>
  <c r="W335" i="31"/>
  <c r="T270" i="31"/>
  <c r="T322" i="31"/>
  <c r="U270" i="31"/>
  <c r="W322" i="31"/>
  <c r="O322" i="31"/>
  <c r="P308" i="31"/>
  <c r="Z244" i="31"/>
  <c r="V244" i="31"/>
  <c r="AB244" i="31"/>
  <c r="W244" i="31"/>
  <c r="Q244" i="31"/>
  <c r="AA244" i="31"/>
  <c r="U244" i="31"/>
  <c r="P244" i="31"/>
  <c r="AB283" i="31"/>
  <c r="X283" i="31"/>
  <c r="T283" i="31"/>
  <c r="P283" i="31"/>
  <c r="Z283" i="31"/>
  <c r="U283" i="31"/>
  <c r="O283" i="31"/>
  <c r="Y283" i="31"/>
  <c r="S283" i="31"/>
  <c r="W283" i="31"/>
  <c r="T244" i="31"/>
  <c r="AB257" i="31"/>
  <c r="X257" i="31"/>
  <c r="T257" i="31"/>
  <c r="P257" i="31"/>
  <c r="AA257" i="31"/>
  <c r="W257" i="31"/>
  <c r="S257" i="31"/>
  <c r="O257" i="31"/>
  <c r="V257" i="31"/>
  <c r="U257" i="31"/>
  <c r="Z257" i="31"/>
  <c r="AA270" i="31"/>
  <c r="W270" i="31"/>
  <c r="S270" i="31"/>
  <c r="O270" i="31"/>
  <c r="X270" i="31"/>
  <c r="AB270" i="31"/>
  <c r="V270" i="31"/>
  <c r="Q270" i="31"/>
  <c r="X244" i="31"/>
  <c r="V283" i="31"/>
  <c r="Y270" i="31"/>
  <c r="O244" i="31"/>
  <c r="Y244" i="31"/>
  <c r="Y232" i="31"/>
  <c r="U232" i="31"/>
  <c r="Q232" i="31"/>
  <c r="AB232" i="31"/>
  <c r="W232" i="31"/>
  <c r="AA232" i="31"/>
  <c r="V232" i="31"/>
  <c r="P232" i="31"/>
  <c r="AA283" i="31"/>
  <c r="AA296" i="31"/>
  <c r="W296" i="31"/>
  <c r="S296" i="31"/>
  <c r="O296" i="31"/>
  <c r="Y296" i="31"/>
  <c r="T296" i="31"/>
  <c r="X296" i="31"/>
  <c r="AB296" i="31"/>
  <c r="V296" i="31"/>
  <c r="Q296" i="31"/>
  <c r="Q257" i="31"/>
  <c r="Z322" i="31"/>
  <c r="V322" i="31"/>
  <c r="Y322" i="31"/>
  <c r="U322" i="31"/>
  <c r="Q322" i="31"/>
  <c r="X322" i="31"/>
  <c r="Y335" i="31"/>
  <c r="U335" i="31"/>
  <c r="Q335" i="31"/>
  <c r="AB335" i="31"/>
  <c r="X335" i="31"/>
  <c r="T335" i="31"/>
  <c r="P335" i="31"/>
  <c r="S322" i="31"/>
  <c r="AA322" i="31"/>
  <c r="Z335" i="31"/>
  <c r="AA308" i="31"/>
  <c r="W308" i="31"/>
  <c r="S308" i="31"/>
  <c r="O308" i="31"/>
  <c r="Z308" i="31"/>
  <c r="V308" i="31"/>
  <c r="T169" i="46"/>
  <c r="T154" i="46"/>
  <c r="AI76" i="55" l="1"/>
  <c r="AP76" i="55"/>
  <c r="AN76" i="55"/>
  <c r="AH115" i="55"/>
  <c r="AL115" i="55"/>
  <c r="AO115" i="55"/>
  <c r="AM115" i="55"/>
  <c r="AI127" i="55"/>
  <c r="AK127" i="55"/>
  <c r="AH127" i="55"/>
  <c r="AF127" i="55"/>
  <c r="AI102" i="55"/>
  <c r="AL102" i="55"/>
  <c r="AN89" i="55"/>
  <c r="AH89" i="55"/>
  <c r="AG89" i="55"/>
  <c r="AM89" i="55"/>
  <c r="AF153" i="55"/>
  <c r="AN153" i="55"/>
  <c r="AK153" i="55"/>
  <c r="AH102" i="55"/>
  <c r="AQ76" i="55"/>
  <c r="AM76" i="55"/>
  <c r="AS76" i="55"/>
  <c r="AO76" i="55"/>
  <c r="AL76" i="55"/>
  <c r="AN115" i="55"/>
  <c r="AR115" i="55"/>
  <c r="AK115" i="55"/>
  <c r="AI115" i="55"/>
  <c r="AO127" i="55"/>
  <c r="AT127" i="55"/>
  <c r="AR127" i="55"/>
  <c r="AR102" i="55"/>
  <c r="AG102" i="55"/>
  <c r="AM102" i="55"/>
  <c r="AL89" i="55"/>
  <c r="AP89" i="55"/>
  <c r="AT89" i="55"/>
  <c r="AM153" i="55"/>
  <c r="AI153" i="55"/>
  <c r="AT153" i="55"/>
  <c r="AG76" i="55"/>
  <c r="AF76" i="55"/>
  <c r="AF115" i="55"/>
  <c r="AG115" i="55"/>
  <c r="AM127" i="55"/>
  <c r="AG127" i="55"/>
  <c r="AP127" i="55"/>
  <c r="AN127" i="55"/>
  <c r="AS102" i="55"/>
  <c r="AF102" i="55"/>
  <c r="AQ89" i="55"/>
  <c r="AO102" i="55"/>
  <c r="AN102" i="55"/>
  <c r="AK89" i="55"/>
  <c r="AF89" i="55"/>
  <c r="AQ153" i="55"/>
  <c r="AP153" i="55"/>
  <c r="AG153" i="55"/>
  <c r="AO153" i="55"/>
  <c r="AP115" i="55"/>
  <c r="AT115" i="55"/>
  <c r="AS115" i="55"/>
  <c r="AQ115" i="55"/>
  <c r="AQ127" i="55"/>
  <c r="AS127" i="55"/>
  <c r="AL127" i="55"/>
  <c r="AP102" i="55"/>
  <c r="AK102" i="55"/>
  <c r="AR89" i="55"/>
  <c r="AS89" i="55"/>
  <c r="AQ102" i="55"/>
  <c r="AI89" i="55"/>
  <c r="AL153" i="55"/>
  <c r="AR153" i="55"/>
  <c r="AS153" i="55"/>
  <c r="AT76" i="55"/>
  <c r="AR76" i="55"/>
  <c r="AK76" i="55"/>
  <c r="AH76" i="55"/>
  <c r="J118" i="45"/>
  <c r="K118" i="45"/>
  <c r="N333" i="29"/>
  <c r="N304" i="29"/>
  <c r="R118" i="45"/>
  <c r="M118" i="45"/>
  <c r="O118" i="45"/>
  <c r="N118" i="45"/>
  <c r="P118" i="45"/>
  <c r="E118" i="45"/>
  <c r="N371" i="29"/>
  <c r="F118" i="45"/>
  <c r="G118" i="45"/>
  <c r="D118" i="45"/>
  <c r="Q118" i="45"/>
  <c r="I118" i="45"/>
  <c r="L118" i="45"/>
  <c r="N322" i="31"/>
  <c r="N323" i="31" s="1"/>
  <c r="N296" i="31"/>
  <c r="N257" i="31"/>
  <c r="AX252" i="31" s="1"/>
  <c r="N283" i="31"/>
  <c r="N244" i="31"/>
  <c r="N232" i="31"/>
  <c r="N308" i="31"/>
  <c r="N270" i="31"/>
  <c r="N335" i="31"/>
  <c r="AA323" i="31"/>
  <c r="X371" i="29"/>
  <c r="X367" i="29"/>
  <c r="X370" i="29"/>
  <c r="X369" i="29"/>
  <c r="X372" i="29"/>
  <c r="X368" i="29"/>
  <c r="Y324" i="31"/>
  <c r="Q290" i="29"/>
  <c r="Q292" i="29"/>
  <c r="Q294" i="29"/>
  <c r="Q293" i="29"/>
  <c r="Q295" i="29"/>
  <c r="Q291" i="29"/>
  <c r="O331" i="29"/>
  <c r="O334" i="29"/>
  <c r="O329" i="29"/>
  <c r="O330" i="29"/>
  <c r="O333" i="29"/>
  <c r="O332" i="29"/>
  <c r="T291" i="29"/>
  <c r="T293" i="29"/>
  <c r="T295" i="29"/>
  <c r="T290" i="29"/>
  <c r="T294" i="29"/>
  <c r="T292" i="29"/>
  <c r="T317" i="29"/>
  <c r="T316" i="29"/>
  <c r="T319" i="29"/>
  <c r="T318" i="29"/>
  <c r="T320" i="29"/>
  <c r="T321" i="29"/>
  <c r="AB280" i="29"/>
  <c r="AB277" i="29"/>
  <c r="AB279" i="29"/>
  <c r="AB278" i="29"/>
  <c r="AB281" i="29"/>
  <c r="AB282" i="29"/>
  <c r="S369" i="29"/>
  <c r="S370" i="29"/>
  <c r="S367" i="29"/>
  <c r="S368" i="29"/>
  <c r="S371" i="29"/>
  <c r="S372" i="29"/>
  <c r="AA253" i="29"/>
  <c r="AA254" i="29"/>
  <c r="AA255" i="29"/>
  <c r="AA257" i="29"/>
  <c r="AA258" i="29"/>
  <c r="AA256" i="29"/>
  <c r="Z346" i="29"/>
  <c r="Z343" i="29"/>
  <c r="Z342" i="29"/>
  <c r="Z345" i="29"/>
  <c r="Z344" i="29"/>
  <c r="Z341" i="29"/>
  <c r="P367" i="29"/>
  <c r="P370" i="29"/>
  <c r="P371" i="29"/>
  <c r="P372" i="29"/>
  <c r="P368" i="29"/>
  <c r="P369" i="29"/>
  <c r="Q370" i="29"/>
  <c r="Q369" i="29"/>
  <c r="Q371" i="29"/>
  <c r="Q368" i="29"/>
  <c r="Q372" i="29"/>
  <c r="Q367" i="29"/>
  <c r="Q326" i="31"/>
  <c r="V327" i="31"/>
  <c r="V334" i="29"/>
  <c r="V329" i="29"/>
  <c r="V333" i="29"/>
  <c r="V332" i="29"/>
  <c r="V330" i="29"/>
  <c r="V331" i="29"/>
  <c r="T333" i="29"/>
  <c r="T331" i="29"/>
  <c r="T332" i="29"/>
  <c r="T329" i="29"/>
  <c r="T334" i="29"/>
  <c r="T330" i="29"/>
  <c r="W330" i="29"/>
  <c r="W332" i="29"/>
  <c r="W331" i="29"/>
  <c r="W329" i="29"/>
  <c r="W334" i="29"/>
  <c r="W333" i="29"/>
  <c r="V268" i="29"/>
  <c r="V266" i="29"/>
  <c r="V269" i="29"/>
  <c r="V267" i="29"/>
  <c r="V270" i="29"/>
  <c r="V265" i="29"/>
  <c r="O278" i="29"/>
  <c r="O282" i="29"/>
  <c r="O279" i="29"/>
  <c r="O280" i="29"/>
  <c r="O281" i="29"/>
  <c r="O277" i="29"/>
  <c r="X279" i="29"/>
  <c r="X282" i="29"/>
  <c r="X277" i="29"/>
  <c r="X278" i="29"/>
  <c r="X281" i="29"/>
  <c r="X280" i="29"/>
  <c r="Q280" i="29"/>
  <c r="Q279" i="29"/>
  <c r="Q277" i="29"/>
  <c r="Q281" i="29"/>
  <c r="Q282" i="29"/>
  <c r="Q278" i="29"/>
  <c r="V279" i="29"/>
  <c r="V280" i="29"/>
  <c r="V281" i="29"/>
  <c r="V278" i="29"/>
  <c r="V282" i="29"/>
  <c r="V277" i="29"/>
  <c r="O328" i="31"/>
  <c r="T326" i="31"/>
  <c r="O372" i="29"/>
  <c r="O369" i="29"/>
  <c r="O368" i="29"/>
  <c r="O367" i="29"/>
  <c r="O371" i="29"/>
  <c r="O370" i="29"/>
  <c r="P325" i="31"/>
  <c r="S277" i="29"/>
  <c r="S282" i="29"/>
  <c r="S281" i="29"/>
  <c r="S278" i="29"/>
  <c r="S279" i="29"/>
  <c r="S280" i="29"/>
  <c r="AB323" i="31"/>
  <c r="O345" i="29"/>
  <c r="O341" i="29"/>
  <c r="O344" i="29"/>
  <c r="O342" i="29"/>
  <c r="O346" i="29"/>
  <c r="O343" i="29"/>
  <c r="Z367" i="29"/>
  <c r="Z371" i="29"/>
  <c r="Z368" i="29"/>
  <c r="Z372" i="29"/>
  <c r="Z369" i="29"/>
  <c r="Z370" i="29"/>
  <c r="T368" i="29"/>
  <c r="T370" i="29"/>
  <c r="T372" i="29"/>
  <c r="T369" i="29"/>
  <c r="T367" i="29"/>
  <c r="T371" i="29"/>
  <c r="U367" i="29"/>
  <c r="U371" i="29"/>
  <c r="U369" i="29"/>
  <c r="U370" i="29"/>
  <c r="U372" i="29"/>
  <c r="U368" i="29"/>
  <c r="U325" i="31"/>
  <c r="Z328" i="31"/>
  <c r="AB330" i="29"/>
  <c r="AB333" i="29"/>
  <c r="AB332" i="29"/>
  <c r="AB329" i="29"/>
  <c r="AB334" i="29"/>
  <c r="AB331" i="29"/>
  <c r="Y331" i="29"/>
  <c r="Y330" i="29"/>
  <c r="Y334" i="29"/>
  <c r="Y332" i="29"/>
  <c r="Y333" i="29"/>
  <c r="Y329" i="29"/>
  <c r="AA330" i="29"/>
  <c r="AA334" i="29"/>
  <c r="AA332" i="29"/>
  <c r="AA331" i="29"/>
  <c r="AA333" i="29"/>
  <c r="AA329" i="29"/>
  <c r="U269" i="29"/>
  <c r="U268" i="29"/>
  <c r="U265" i="29"/>
  <c r="U270" i="29"/>
  <c r="U267" i="29"/>
  <c r="U266" i="29"/>
  <c r="O295" i="29"/>
  <c r="O290" i="29"/>
  <c r="O292" i="29"/>
  <c r="O294" i="29"/>
  <c r="O291" i="29"/>
  <c r="O293" i="29"/>
  <c r="T279" i="29"/>
  <c r="T282" i="29"/>
  <c r="T280" i="29"/>
  <c r="T277" i="29"/>
  <c r="T281" i="29"/>
  <c r="T278" i="29"/>
  <c r="P278" i="29"/>
  <c r="P279" i="29"/>
  <c r="P280" i="29"/>
  <c r="P282" i="29"/>
  <c r="P281" i="29"/>
  <c r="P277" i="29"/>
  <c r="W279" i="29"/>
  <c r="W282" i="29"/>
  <c r="W278" i="29"/>
  <c r="W280" i="29"/>
  <c r="W281" i="29"/>
  <c r="W277" i="29"/>
  <c r="Z282" i="29"/>
  <c r="Z278" i="29"/>
  <c r="Z280" i="29"/>
  <c r="Z281" i="29"/>
  <c r="Z277" i="29"/>
  <c r="Z279" i="29"/>
  <c r="W326" i="31"/>
  <c r="AA370" i="29"/>
  <c r="AA372" i="29"/>
  <c r="AA368" i="29"/>
  <c r="AA367" i="29"/>
  <c r="AA369" i="29"/>
  <c r="AA371" i="29"/>
  <c r="U329" i="29"/>
  <c r="U333" i="29"/>
  <c r="U334" i="29"/>
  <c r="U332" i="29"/>
  <c r="U331" i="29"/>
  <c r="U330" i="29"/>
  <c r="P330" i="29"/>
  <c r="P331" i="29"/>
  <c r="P332" i="29"/>
  <c r="P333" i="29"/>
  <c r="P334" i="29"/>
  <c r="P329" i="29"/>
  <c r="Y372" i="29"/>
  <c r="Y368" i="29"/>
  <c r="Y369" i="29"/>
  <c r="Y370" i="29"/>
  <c r="Y371" i="29"/>
  <c r="Y367" i="29"/>
  <c r="X333" i="29"/>
  <c r="X329" i="29"/>
  <c r="X334" i="29"/>
  <c r="X331" i="29"/>
  <c r="X332" i="29"/>
  <c r="X330" i="29"/>
  <c r="W266" i="29"/>
  <c r="W268" i="29"/>
  <c r="W265" i="29"/>
  <c r="W270" i="29"/>
  <c r="W267" i="29"/>
  <c r="W269" i="29"/>
  <c r="U281" i="29"/>
  <c r="U277" i="29"/>
  <c r="U280" i="29"/>
  <c r="U282" i="29"/>
  <c r="U278" i="29"/>
  <c r="U279" i="29"/>
  <c r="Z331" i="29"/>
  <c r="Z333" i="29"/>
  <c r="Z330" i="29"/>
  <c r="Z332" i="29"/>
  <c r="Z334" i="29"/>
  <c r="Z329" i="29"/>
  <c r="S326" i="31"/>
  <c r="AB367" i="29"/>
  <c r="AB368" i="29"/>
  <c r="AB370" i="29"/>
  <c r="AB371" i="29"/>
  <c r="AB369" i="29"/>
  <c r="AB372" i="29"/>
  <c r="X328" i="31"/>
  <c r="Q330" i="29"/>
  <c r="Q333" i="29"/>
  <c r="Q332" i="29"/>
  <c r="Q334" i="29"/>
  <c r="Q329" i="29"/>
  <c r="Q331" i="29"/>
  <c r="S332" i="29"/>
  <c r="S331" i="29"/>
  <c r="S334" i="29"/>
  <c r="S329" i="29"/>
  <c r="S330" i="29"/>
  <c r="S333" i="29"/>
  <c r="AB269" i="29"/>
  <c r="AB267" i="29"/>
  <c r="AB266" i="29"/>
  <c r="AB268" i="29"/>
  <c r="AB265" i="29"/>
  <c r="AB270" i="29"/>
  <c r="Y281" i="29"/>
  <c r="Y277" i="29"/>
  <c r="Y280" i="29"/>
  <c r="Y278" i="29"/>
  <c r="Y279" i="29"/>
  <c r="Y282" i="29"/>
  <c r="W290" i="29"/>
  <c r="W292" i="29"/>
  <c r="W295" i="29"/>
  <c r="W291" i="29"/>
  <c r="W294" i="29"/>
  <c r="W293" i="29"/>
  <c r="U318" i="29"/>
  <c r="U319" i="29"/>
  <c r="U320" i="29"/>
  <c r="U321" i="29"/>
  <c r="U316" i="29"/>
  <c r="U317" i="29"/>
  <c r="AA282" i="29"/>
  <c r="AA279" i="29"/>
  <c r="AA277" i="29"/>
  <c r="AA281" i="29"/>
  <c r="AA278" i="29"/>
  <c r="AA280" i="29"/>
  <c r="N279" i="29"/>
  <c r="N282" i="29"/>
  <c r="N278" i="29"/>
  <c r="N281" i="29"/>
  <c r="N277" i="29"/>
  <c r="N280" i="29"/>
  <c r="P343" i="29"/>
  <c r="P345" i="29"/>
  <c r="P342" i="29"/>
  <c r="P341" i="29"/>
  <c r="P346" i="29"/>
  <c r="P344" i="29"/>
  <c r="W369" i="29"/>
  <c r="W368" i="29"/>
  <c r="W370" i="29"/>
  <c r="W372" i="29"/>
  <c r="W367" i="29"/>
  <c r="W371" i="29"/>
  <c r="V370" i="29"/>
  <c r="V367" i="29"/>
  <c r="V372" i="29"/>
  <c r="V368" i="29"/>
  <c r="V369" i="29"/>
  <c r="V371" i="29"/>
  <c r="Q328" i="31"/>
  <c r="X220" i="31"/>
  <c r="BH215" i="31" s="1"/>
  <c r="T220" i="31"/>
  <c r="BD215" i="31" s="1"/>
  <c r="Y220" i="31"/>
  <c r="BI215" i="31" s="1"/>
  <c r="V220" i="31"/>
  <c r="BF215" i="31" s="1"/>
  <c r="Z220" i="31"/>
  <c r="BJ215" i="31" s="1"/>
  <c r="S220" i="31"/>
  <c r="BC215" i="31" s="1"/>
  <c r="W220" i="31"/>
  <c r="BG215" i="31" s="1"/>
  <c r="U118" i="35"/>
  <c r="AB220" i="31"/>
  <c r="BL215" i="31" s="1"/>
  <c r="O220" i="31"/>
  <c r="AY215" i="31" s="1"/>
  <c r="U220" i="31"/>
  <c r="BE215" i="31" s="1"/>
  <c r="P220" i="31"/>
  <c r="AZ215" i="31" s="1"/>
  <c r="Q220" i="31"/>
  <c r="BA215" i="31" s="1"/>
  <c r="AL30" i="55" l="1"/>
  <c r="AL29" i="55" s="1"/>
  <c r="AX251" i="31"/>
  <c r="AG30" i="55"/>
  <c r="AG29" i="55" s="1"/>
  <c r="AO30" i="55"/>
  <c r="AO29" i="55" s="1"/>
  <c r="AF30" i="55"/>
  <c r="AF29" i="55" s="1"/>
  <c r="AI30" i="55"/>
  <c r="AI29" i="55" s="1"/>
  <c r="AN30" i="55"/>
  <c r="AN29" i="55" s="1"/>
  <c r="AH30" i="55"/>
  <c r="AH29" i="55" s="1"/>
  <c r="AQ30" i="55"/>
  <c r="AQ29" i="55" s="1"/>
  <c r="AP30" i="55"/>
  <c r="AP29" i="55" s="1"/>
  <c r="AM30" i="55"/>
  <c r="AM29" i="55" s="1"/>
  <c r="AS30" i="55"/>
  <c r="AS29" i="55" s="1"/>
  <c r="AK30" i="55"/>
  <c r="AK29" i="55" s="1"/>
  <c r="AR30" i="55"/>
  <c r="AR29" i="55" s="1"/>
  <c r="AT30" i="55"/>
  <c r="AT29" i="55" s="1"/>
  <c r="N329" i="29"/>
  <c r="N332" i="29"/>
  <c r="N330" i="29"/>
  <c r="N367" i="29"/>
  <c r="N368" i="29"/>
  <c r="N308" i="29"/>
  <c r="N369" i="29"/>
  <c r="N305" i="29"/>
  <c r="N372" i="29"/>
  <c r="N370" i="29"/>
  <c r="N303" i="29"/>
  <c r="N306" i="29"/>
  <c r="N334" i="29"/>
  <c r="N307" i="29"/>
  <c r="P13" i="29"/>
  <c r="P12" i="29"/>
  <c r="N331" i="29"/>
  <c r="Q12" i="29"/>
  <c r="Q13" i="29"/>
  <c r="N220" i="31"/>
  <c r="AX215" i="31" s="1"/>
  <c r="T325" i="31"/>
  <c r="P326" i="31"/>
  <c r="Q327" i="31"/>
  <c r="N327" i="31"/>
  <c r="AB324" i="31"/>
  <c r="AB328" i="31"/>
  <c r="T324" i="31"/>
  <c r="Q325" i="31"/>
  <c r="T328" i="31"/>
  <c r="Q324" i="31"/>
  <c r="T327" i="31"/>
  <c r="T323" i="31"/>
  <c r="Q323" i="31"/>
  <c r="AB325" i="31"/>
  <c r="AB326" i="31"/>
  <c r="P323" i="31"/>
  <c r="AA326" i="31"/>
  <c r="Y325" i="31"/>
  <c r="U324" i="31"/>
  <c r="AA327" i="31"/>
  <c r="U328" i="31"/>
  <c r="AB327" i="31"/>
  <c r="AA324" i="31"/>
  <c r="U323" i="31"/>
  <c r="S325" i="31"/>
  <c r="Z325" i="31"/>
  <c r="S328" i="31"/>
  <c r="O324" i="31"/>
  <c r="O326" i="31"/>
  <c r="Y327" i="31"/>
  <c r="AA325" i="31"/>
  <c r="AA328" i="31"/>
  <c r="U326" i="31"/>
  <c r="X324" i="31"/>
  <c r="V328" i="31"/>
  <c r="Y323" i="31"/>
  <c r="U327" i="31"/>
  <c r="X326" i="31"/>
  <c r="Z324" i="31"/>
  <c r="V326" i="31"/>
  <c r="S323" i="31"/>
  <c r="Z323" i="31"/>
  <c r="O323" i="31"/>
  <c r="V325" i="31"/>
  <c r="S327" i="31"/>
  <c r="S324" i="31"/>
  <c r="W327" i="31"/>
  <c r="Z326" i="31"/>
  <c r="O325" i="31"/>
  <c r="O327" i="31"/>
  <c r="V323" i="31"/>
  <c r="X327" i="31"/>
  <c r="Z327" i="31"/>
  <c r="V324" i="31"/>
  <c r="N258" i="29"/>
  <c r="N254" i="29"/>
  <c r="N257" i="29"/>
  <c r="N253" i="29"/>
  <c r="N256" i="29"/>
  <c r="N255" i="29"/>
  <c r="W303" i="29"/>
  <c r="W307" i="29"/>
  <c r="W305" i="29"/>
  <c r="W306" i="29"/>
  <c r="W304" i="29"/>
  <c r="W308" i="29"/>
  <c r="W344" i="29"/>
  <c r="W345" i="29"/>
  <c r="W341" i="29"/>
  <c r="W343" i="29"/>
  <c r="W342" i="29"/>
  <c r="W346" i="29"/>
  <c r="N268" i="29"/>
  <c r="N267" i="29"/>
  <c r="N265" i="29"/>
  <c r="N270" i="29"/>
  <c r="N266" i="29"/>
  <c r="N269" i="29"/>
  <c r="Y319" i="29"/>
  <c r="Y318" i="29"/>
  <c r="Y317" i="29"/>
  <c r="Y321" i="29"/>
  <c r="Y320" i="29"/>
  <c r="Y316" i="29"/>
  <c r="O306" i="29"/>
  <c r="O305" i="29"/>
  <c r="O303" i="29"/>
  <c r="O307" i="29"/>
  <c r="O308" i="29"/>
  <c r="O304" i="29"/>
  <c r="Z358" i="29"/>
  <c r="Z359" i="29"/>
  <c r="Z357" i="29"/>
  <c r="Z354" i="29"/>
  <c r="Z356" i="29"/>
  <c r="Z355" i="29"/>
  <c r="Q321" i="29"/>
  <c r="Q317" i="29"/>
  <c r="Q319" i="29"/>
  <c r="Q316" i="29"/>
  <c r="Q320" i="29"/>
  <c r="Q318" i="29"/>
  <c r="T357" i="29"/>
  <c r="T356" i="29"/>
  <c r="T358" i="29"/>
  <c r="T355" i="29"/>
  <c r="T354" i="29"/>
  <c r="T359" i="29"/>
  <c r="Z321" i="29"/>
  <c r="Z317" i="29"/>
  <c r="Z316" i="29"/>
  <c r="Z320" i="29"/>
  <c r="Z318" i="29"/>
  <c r="Z319" i="29"/>
  <c r="AB290" i="29"/>
  <c r="AB294" i="29"/>
  <c r="AB295" i="29"/>
  <c r="AB292" i="29"/>
  <c r="AB291" i="29"/>
  <c r="AB293" i="29"/>
  <c r="X307" i="29"/>
  <c r="X303" i="29"/>
  <c r="X308" i="29"/>
  <c r="X305" i="29"/>
  <c r="X304" i="29"/>
  <c r="X306" i="29"/>
  <c r="N326" i="31"/>
  <c r="N324" i="31"/>
  <c r="W328" i="31"/>
  <c r="W325" i="31"/>
  <c r="P327" i="31"/>
  <c r="X319" i="29"/>
  <c r="X321" i="29"/>
  <c r="X316" i="29"/>
  <c r="X317" i="29"/>
  <c r="X318" i="29"/>
  <c r="X320" i="29"/>
  <c r="N293" i="29"/>
  <c r="N290" i="29"/>
  <c r="N291" i="29"/>
  <c r="N295" i="29"/>
  <c r="N292" i="29"/>
  <c r="N294" i="29"/>
  <c r="AB305" i="29"/>
  <c r="AB303" i="29"/>
  <c r="AB307" i="29"/>
  <c r="AB308" i="29"/>
  <c r="AB304" i="29"/>
  <c r="AB306" i="29"/>
  <c r="S356" i="29"/>
  <c r="S358" i="29"/>
  <c r="S357" i="29"/>
  <c r="S359" i="29"/>
  <c r="S355" i="29"/>
  <c r="S354" i="29"/>
  <c r="V342" i="29"/>
  <c r="V346" i="29"/>
  <c r="V343" i="29"/>
  <c r="V344" i="29"/>
  <c r="V341" i="29"/>
  <c r="V345" i="29"/>
  <c r="U344" i="29"/>
  <c r="U343" i="29"/>
  <c r="U341" i="29"/>
  <c r="U346" i="29"/>
  <c r="U342" i="29"/>
  <c r="U345" i="29"/>
  <c r="Y291" i="29"/>
  <c r="Y290" i="29"/>
  <c r="Y295" i="29"/>
  <c r="Y292" i="29"/>
  <c r="Y294" i="29"/>
  <c r="Y293" i="29"/>
  <c r="S270" i="29"/>
  <c r="S268" i="29"/>
  <c r="S266" i="29"/>
  <c r="S265" i="29"/>
  <c r="S269" i="29"/>
  <c r="S267" i="29"/>
  <c r="P318" i="29"/>
  <c r="P319" i="29"/>
  <c r="P316" i="29"/>
  <c r="P321" i="29"/>
  <c r="P320" i="29"/>
  <c r="P317" i="29"/>
  <c r="Z295" i="29"/>
  <c r="Z292" i="29"/>
  <c r="Z294" i="29"/>
  <c r="Z293" i="29"/>
  <c r="Z291" i="29"/>
  <c r="Z290" i="29"/>
  <c r="Q304" i="29"/>
  <c r="Q305" i="29"/>
  <c r="Q308" i="29"/>
  <c r="Q303" i="29"/>
  <c r="Q306" i="29"/>
  <c r="Q307" i="29"/>
  <c r="U355" i="29"/>
  <c r="U356" i="29"/>
  <c r="U359" i="29"/>
  <c r="U357" i="29"/>
  <c r="U358" i="29"/>
  <c r="U354" i="29"/>
  <c r="AB357" i="29"/>
  <c r="AB356" i="29"/>
  <c r="AB354" i="29"/>
  <c r="AB359" i="29"/>
  <c r="AB355" i="29"/>
  <c r="AB358" i="29"/>
  <c r="O358" i="29"/>
  <c r="O355" i="29"/>
  <c r="O354" i="29"/>
  <c r="O359" i="29"/>
  <c r="O357" i="29"/>
  <c r="O356" i="29"/>
  <c r="AB317" i="29"/>
  <c r="AB321" i="29"/>
  <c r="AB320" i="29"/>
  <c r="AB318" i="29"/>
  <c r="AB319" i="29"/>
  <c r="AB316" i="29"/>
  <c r="S319" i="29"/>
  <c r="S320" i="29"/>
  <c r="S316" i="29"/>
  <c r="S321" i="29"/>
  <c r="S317" i="29"/>
  <c r="S318" i="29"/>
  <c r="AA291" i="29"/>
  <c r="AA293" i="29"/>
  <c r="AA294" i="29"/>
  <c r="AA292" i="29"/>
  <c r="AA295" i="29"/>
  <c r="AA290" i="29"/>
  <c r="AA304" i="29"/>
  <c r="AA305" i="29"/>
  <c r="AA308" i="29"/>
  <c r="AA303" i="29"/>
  <c r="AA307" i="29"/>
  <c r="AA306" i="29"/>
  <c r="V357" i="29"/>
  <c r="V354" i="29"/>
  <c r="V358" i="29"/>
  <c r="V355" i="29"/>
  <c r="V359" i="29"/>
  <c r="V356" i="29"/>
  <c r="X266" i="29"/>
  <c r="X270" i="29"/>
  <c r="X267" i="29"/>
  <c r="X269" i="29"/>
  <c r="X265" i="29"/>
  <c r="X268" i="29"/>
  <c r="S305" i="29"/>
  <c r="S308" i="29"/>
  <c r="S306" i="29"/>
  <c r="S307" i="29"/>
  <c r="S303" i="29"/>
  <c r="S304" i="29"/>
  <c r="S344" i="29"/>
  <c r="S341" i="29"/>
  <c r="S345" i="29"/>
  <c r="S343" i="29"/>
  <c r="S342" i="29"/>
  <c r="S346" i="29"/>
  <c r="X258" i="29"/>
  <c r="X253" i="29"/>
  <c r="X256" i="29"/>
  <c r="X255" i="29"/>
  <c r="X254" i="29"/>
  <c r="X257" i="29"/>
  <c r="N325" i="31"/>
  <c r="X323" i="31"/>
  <c r="X325" i="31"/>
  <c r="W324" i="31"/>
  <c r="P324" i="31"/>
  <c r="P328" i="31"/>
  <c r="Y326" i="31"/>
  <c r="Y328" i="31"/>
  <c r="Z308" i="29"/>
  <c r="Z307" i="29"/>
  <c r="Z306" i="29"/>
  <c r="Z305" i="29"/>
  <c r="Z304" i="29"/>
  <c r="Z303" i="29"/>
  <c r="AB345" i="29"/>
  <c r="AB342" i="29"/>
  <c r="AB343" i="29"/>
  <c r="AB344" i="29"/>
  <c r="AB341" i="29"/>
  <c r="AB346" i="29"/>
  <c r="N321" i="29"/>
  <c r="N319" i="29"/>
  <c r="N318" i="29"/>
  <c r="N316" i="29"/>
  <c r="N320" i="29"/>
  <c r="N317" i="29"/>
  <c r="N356" i="29"/>
  <c r="N355" i="29"/>
  <c r="N359" i="29"/>
  <c r="N357" i="29"/>
  <c r="N354" i="29"/>
  <c r="N358" i="29"/>
  <c r="U294" i="29"/>
  <c r="U290" i="29"/>
  <c r="U295" i="29"/>
  <c r="U292" i="29"/>
  <c r="U291" i="29"/>
  <c r="U293" i="29"/>
  <c r="Y266" i="29"/>
  <c r="Y268" i="29"/>
  <c r="Y265" i="29"/>
  <c r="Y269" i="29"/>
  <c r="Y270" i="29"/>
  <c r="Y267" i="29"/>
  <c r="W357" i="29"/>
  <c r="W358" i="29"/>
  <c r="W355" i="29"/>
  <c r="W356" i="29"/>
  <c r="W359" i="29"/>
  <c r="W354" i="29"/>
  <c r="P357" i="29"/>
  <c r="P356" i="29"/>
  <c r="P358" i="29"/>
  <c r="P359" i="29"/>
  <c r="P354" i="29"/>
  <c r="P355" i="29"/>
  <c r="T345" i="29"/>
  <c r="T342" i="29"/>
  <c r="T343" i="29"/>
  <c r="T341" i="29"/>
  <c r="T346" i="29"/>
  <c r="T344" i="29"/>
  <c r="T269" i="29"/>
  <c r="T266" i="29"/>
  <c r="T270" i="29"/>
  <c r="T267" i="29"/>
  <c r="T268" i="29"/>
  <c r="T265" i="29"/>
  <c r="U306" i="29"/>
  <c r="U305" i="29"/>
  <c r="U307" i="29"/>
  <c r="U308" i="29"/>
  <c r="U304" i="29"/>
  <c r="U303" i="29"/>
  <c r="O321" i="29"/>
  <c r="O316" i="29"/>
  <c r="O319" i="29"/>
  <c r="O318" i="29"/>
  <c r="O320" i="29"/>
  <c r="O317" i="29"/>
  <c r="AA318" i="29"/>
  <c r="AA317" i="29"/>
  <c r="AA319" i="29"/>
  <c r="AA316" i="29"/>
  <c r="AA320" i="29"/>
  <c r="AA321" i="29"/>
  <c r="Y359" i="29"/>
  <c r="Y355" i="29"/>
  <c r="Y356" i="29"/>
  <c r="Y354" i="29"/>
  <c r="Y357" i="29"/>
  <c r="Y358" i="29"/>
  <c r="V320" i="29"/>
  <c r="V321" i="29"/>
  <c r="V317" i="29"/>
  <c r="V316" i="29"/>
  <c r="V318" i="29"/>
  <c r="V319" i="29"/>
  <c r="P266" i="29"/>
  <c r="P270" i="29"/>
  <c r="P269" i="29"/>
  <c r="P267" i="29"/>
  <c r="P265" i="29"/>
  <c r="P268" i="29"/>
  <c r="P305" i="29"/>
  <c r="P306" i="29"/>
  <c r="P308" i="29"/>
  <c r="P303" i="29"/>
  <c r="P307" i="29"/>
  <c r="P304" i="29"/>
  <c r="Y308" i="29"/>
  <c r="Y306" i="29"/>
  <c r="Y304" i="29"/>
  <c r="Y307" i="29"/>
  <c r="Y303" i="29"/>
  <c r="Y305" i="29"/>
  <c r="V291" i="29"/>
  <c r="V294" i="29"/>
  <c r="V293" i="29"/>
  <c r="V290" i="29"/>
  <c r="V295" i="29"/>
  <c r="V292" i="29"/>
  <c r="Q269" i="29"/>
  <c r="Q266" i="29"/>
  <c r="Q270" i="29"/>
  <c r="Q268" i="29"/>
  <c r="Q265" i="29"/>
  <c r="Q267" i="29"/>
  <c r="Q359" i="29"/>
  <c r="Q355" i="29"/>
  <c r="Q354" i="29"/>
  <c r="Q356" i="29"/>
  <c r="Q357" i="29"/>
  <c r="Q358" i="29"/>
  <c r="AA344" i="29"/>
  <c r="AA341" i="29"/>
  <c r="AA346" i="29"/>
  <c r="AA345" i="29"/>
  <c r="AA343" i="29"/>
  <c r="AA342" i="29"/>
  <c r="Q344" i="29"/>
  <c r="Q343" i="29"/>
  <c r="Q341" i="29"/>
  <c r="Q345" i="29"/>
  <c r="Q342" i="29"/>
  <c r="Q346" i="29"/>
  <c r="AA356" i="29"/>
  <c r="AA359" i="29"/>
  <c r="AA357" i="29"/>
  <c r="AA354" i="29"/>
  <c r="AA355" i="29"/>
  <c r="AA358" i="29"/>
  <c r="N342" i="29"/>
  <c r="N343" i="29"/>
  <c r="N346" i="29"/>
  <c r="N341" i="29"/>
  <c r="N345" i="29"/>
  <c r="N344" i="29"/>
  <c r="N328" i="31"/>
  <c r="W323" i="31"/>
  <c r="Y344" i="29"/>
  <c r="Y343" i="29"/>
  <c r="Y345" i="29"/>
  <c r="Y342" i="29"/>
  <c r="Y341" i="29"/>
  <c r="Y346" i="29"/>
  <c r="O265" i="29"/>
  <c r="O266" i="29"/>
  <c r="O270" i="29"/>
  <c r="O267" i="29"/>
  <c r="O269" i="29"/>
  <c r="O268" i="29"/>
  <c r="X294" i="29"/>
  <c r="X290" i="29"/>
  <c r="X292" i="29"/>
  <c r="X293" i="29"/>
  <c r="X291" i="29"/>
  <c r="X295" i="29"/>
  <c r="X356" i="29"/>
  <c r="X357" i="29"/>
  <c r="X354" i="29"/>
  <c r="X359" i="29"/>
  <c r="X355" i="29"/>
  <c r="X358" i="29"/>
  <c r="S292" i="29"/>
  <c r="S294" i="29"/>
  <c r="S295" i="29"/>
  <c r="S290" i="29"/>
  <c r="S291" i="29"/>
  <c r="S293" i="29"/>
  <c r="V307" i="29"/>
  <c r="V304" i="29"/>
  <c r="V308" i="29"/>
  <c r="V303" i="29"/>
  <c r="V305" i="29"/>
  <c r="V306" i="29"/>
  <c r="T306" i="29"/>
  <c r="T305" i="29"/>
  <c r="T304" i="29"/>
  <c r="T303" i="29"/>
  <c r="T308" i="29"/>
  <c r="T307" i="29"/>
  <c r="P291" i="29"/>
  <c r="P295" i="29"/>
  <c r="P292" i="29"/>
  <c r="P293" i="29"/>
  <c r="P294" i="29"/>
  <c r="P290" i="29"/>
  <c r="AA265" i="29"/>
  <c r="AA269" i="29"/>
  <c r="AA266" i="29"/>
  <c r="AA267" i="29"/>
  <c r="AA270" i="29"/>
  <c r="AA268" i="29"/>
  <c r="X343" i="29"/>
  <c r="X345" i="29"/>
  <c r="X342" i="29"/>
  <c r="X346" i="29"/>
  <c r="X344" i="29"/>
  <c r="X341" i="29"/>
  <c r="Z268" i="29"/>
  <c r="Z269" i="29"/>
  <c r="Z265" i="29"/>
  <c r="Z266" i="29"/>
  <c r="Z267" i="29"/>
  <c r="Z270" i="29"/>
  <c r="W320" i="29"/>
  <c r="W321" i="29"/>
  <c r="W319" i="29"/>
  <c r="W317" i="29"/>
  <c r="W318" i="29"/>
  <c r="W316" i="29"/>
  <c r="S301" i="31"/>
  <c r="S302" i="31"/>
  <c r="S297" i="31"/>
  <c r="S298" i="31"/>
  <c r="S299" i="31"/>
  <c r="S300" i="31"/>
  <c r="O298" i="31"/>
  <c r="O299" i="31"/>
  <c r="O297" i="31"/>
  <c r="O302" i="31"/>
  <c r="O300" i="31"/>
  <c r="O301" i="31"/>
  <c r="U340" i="31"/>
  <c r="U336" i="31"/>
  <c r="U338" i="31"/>
  <c r="U341" i="31"/>
  <c r="U337" i="31"/>
  <c r="U339" i="31"/>
  <c r="S341" i="31"/>
  <c r="S337" i="31"/>
  <c r="S339" i="31"/>
  <c r="S338" i="31"/>
  <c r="S340" i="31"/>
  <c r="S336" i="31"/>
  <c r="Q299" i="31"/>
  <c r="Q300" i="31"/>
  <c r="Q297" i="31"/>
  <c r="Q302" i="31"/>
  <c r="Q298" i="31"/>
  <c r="Q301" i="31"/>
  <c r="P341" i="31"/>
  <c r="P337" i="31"/>
  <c r="P339" i="31"/>
  <c r="P336" i="31"/>
  <c r="P340" i="31"/>
  <c r="P338" i="31"/>
  <c r="W340" i="31"/>
  <c r="W341" i="31"/>
  <c r="W339" i="31"/>
  <c r="W337" i="31"/>
  <c r="W336" i="31"/>
  <c r="W338" i="31"/>
  <c r="O338" i="31"/>
  <c r="O340" i="31"/>
  <c r="O337" i="31"/>
  <c r="O336" i="31"/>
  <c r="O339" i="31"/>
  <c r="O341" i="31"/>
  <c r="U299" i="31"/>
  <c r="U301" i="31"/>
  <c r="U302" i="31"/>
  <c r="U300" i="31"/>
  <c r="U297" i="31"/>
  <c r="U298" i="31"/>
  <c r="Y302" i="31"/>
  <c r="Y298" i="31"/>
  <c r="Y297" i="31"/>
  <c r="Y299" i="31"/>
  <c r="Y301" i="31"/>
  <c r="Y300" i="31"/>
  <c r="V340" i="31"/>
  <c r="V336" i="31"/>
  <c r="V338" i="31"/>
  <c r="V341" i="31"/>
  <c r="V337" i="31"/>
  <c r="V339" i="31"/>
  <c r="N297" i="31"/>
  <c r="N302" i="31"/>
  <c r="N299" i="31"/>
  <c r="N298" i="31"/>
  <c r="N301" i="31"/>
  <c r="N300" i="31"/>
  <c r="T302" i="31"/>
  <c r="T298" i="31"/>
  <c r="T299" i="31"/>
  <c r="T301" i="31"/>
  <c r="T300" i="31"/>
  <c r="T297" i="31"/>
  <c r="Z297" i="31"/>
  <c r="Z299" i="31"/>
  <c r="Z300" i="31"/>
  <c r="Z302" i="31"/>
  <c r="Z298" i="31"/>
  <c r="Z301" i="31"/>
  <c r="X300" i="31"/>
  <c r="X297" i="31"/>
  <c r="X301" i="31"/>
  <c r="X299" i="31"/>
  <c r="X302" i="31"/>
  <c r="X298" i="31"/>
  <c r="AA300" i="31"/>
  <c r="AA298" i="31"/>
  <c r="AA297" i="31"/>
  <c r="AA299" i="31"/>
  <c r="AA302" i="31"/>
  <c r="AA301" i="31"/>
  <c r="AB297" i="31"/>
  <c r="AB299" i="31"/>
  <c r="AB300" i="31"/>
  <c r="AB301" i="31"/>
  <c r="AB298" i="31"/>
  <c r="AB302" i="31"/>
  <c r="Q337" i="31"/>
  <c r="Q339" i="31"/>
  <c r="Q336" i="31"/>
  <c r="Q340" i="31"/>
  <c r="Q338" i="31"/>
  <c r="Q341" i="31"/>
  <c r="P299" i="31"/>
  <c r="P302" i="31"/>
  <c r="P298" i="31"/>
  <c r="P301" i="31"/>
  <c r="P300" i="31"/>
  <c r="P297" i="31"/>
  <c r="W302" i="31"/>
  <c r="W298" i="31"/>
  <c r="W299" i="31"/>
  <c r="W301" i="31"/>
  <c r="W300" i="31"/>
  <c r="W297" i="31"/>
  <c r="Y336" i="31"/>
  <c r="Y339" i="31"/>
  <c r="Y338" i="31"/>
  <c r="Y340" i="31"/>
  <c r="Y341" i="31"/>
  <c r="Y337" i="31"/>
  <c r="V299" i="31"/>
  <c r="V297" i="31"/>
  <c r="V302" i="31"/>
  <c r="V298" i="31"/>
  <c r="V300" i="31"/>
  <c r="V301" i="31"/>
  <c r="N341" i="31"/>
  <c r="N336" i="31"/>
  <c r="N337" i="31"/>
  <c r="N340" i="31"/>
  <c r="N338" i="31"/>
  <c r="N339" i="31"/>
  <c r="T339" i="31"/>
  <c r="T337" i="31"/>
  <c r="T336" i="31"/>
  <c r="T341" i="31"/>
  <c r="T340" i="31"/>
  <c r="T338" i="31"/>
  <c r="Z341" i="31"/>
  <c r="Z339" i="31"/>
  <c r="Z338" i="31"/>
  <c r="Z337" i="31"/>
  <c r="Z340" i="31"/>
  <c r="Z336" i="31"/>
  <c r="X340" i="31"/>
  <c r="X337" i="31"/>
  <c r="X336" i="31"/>
  <c r="X338" i="31"/>
  <c r="X339" i="31"/>
  <c r="X341" i="31"/>
  <c r="AA341" i="31"/>
  <c r="AA338" i="31"/>
  <c r="AA336" i="31"/>
  <c r="AA340" i="31"/>
  <c r="AA339" i="31"/>
  <c r="AA337" i="31"/>
  <c r="AB340" i="31"/>
  <c r="AB336" i="31"/>
  <c r="AB338" i="31"/>
  <c r="AB337" i="31"/>
  <c r="AB339" i="31"/>
  <c r="AB341" i="31"/>
  <c r="AX213" i="31" l="1"/>
  <c r="AX214" i="31"/>
  <c r="AB256" i="29"/>
  <c r="AB257" i="29"/>
  <c r="AB254" i="29"/>
  <c r="AB258" i="29"/>
  <c r="AB255" i="29"/>
  <c r="AB253" i="29"/>
  <c r="Y258" i="29"/>
  <c r="Y254" i="29"/>
  <c r="Y256" i="29"/>
  <c r="Y257" i="29"/>
  <c r="Y253" i="29"/>
  <c r="Y255" i="29"/>
  <c r="U256" i="29"/>
  <c r="U257" i="29"/>
  <c r="U254" i="29"/>
  <c r="U253" i="29"/>
  <c r="U258" i="29"/>
  <c r="U255" i="29"/>
  <c r="Z254" i="29"/>
  <c r="Z257" i="29"/>
  <c r="Z256" i="29"/>
  <c r="Z255" i="29"/>
  <c r="Z253" i="29"/>
  <c r="Z258" i="29"/>
  <c r="P258" i="29"/>
  <c r="P256" i="29"/>
  <c r="P257" i="29"/>
  <c r="P254" i="29"/>
  <c r="P253" i="29"/>
  <c r="P255" i="29"/>
  <c r="S255" i="29"/>
  <c r="S258" i="29"/>
  <c r="S256" i="29"/>
  <c r="S253" i="29"/>
  <c r="S254" i="29"/>
  <c r="S257" i="29"/>
  <c r="Q256" i="29"/>
  <c r="Q255" i="29"/>
  <c r="Q254" i="29"/>
  <c r="Q258" i="29"/>
  <c r="Q257" i="29"/>
  <c r="Q253" i="29"/>
  <c r="W257" i="29"/>
  <c r="W253" i="29"/>
  <c r="W255" i="29"/>
  <c r="W256" i="29"/>
  <c r="W258" i="29"/>
  <c r="W254" i="29"/>
  <c r="T253" i="29"/>
  <c r="T254" i="29"/>
  <c r="T257" i="29"/>
  <c r="T255" i="29"/>
  <c r="T256" i="29"/>
  <c r="T258" i="29"/>
  <c r="O256" i="29"/>
  <c r="O254" i="29"/>
  <c r="O257" i="29"/>
  <c r="O253" i="29"/>
  <c r="O258" i="29"/>
  <c r="O255" i="29"/>
  <c r="V253" i="29"/>
  <c r="V258" i="29"/>
  <c r="V254" i="29"/>
  <c r="V256" i="29"/>
  <c r="V257" i="29"/>
  <c r="V255" i="29"/>
  <c r="AD303" i="31"/>
  <c r="Z310" i="31" s="1"/>
  <c r="I310" i="31"/>
  <c r="I309" i="31"/>
  <c r="B303" i="3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AD277" i="31"/>
  <c r="N285" i="31" s="1"/>
  <c r="I285" i="31"/>
  <c r="I284" i="31"/>
  <c r="B277" i="31"/>
  <c r="B278" i="31" s="1"/>
  <c r="AD264" i="31"/>
  <c r="P272" i="31" s="1"/>
  <c r="I272" i="31"/>
  <c r="I271" i="31"/>
  <c r="B264" i="3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AD251" i="31"/>
  <c r="Y258" i="31" s="1"/>
  <c r="I259" i="31"/>
  <c r="I258" i="31"/>
  <c r="B251" i="31"/>
  <c r="B252" i="31" s="1"/>
  <c r="AD239" i="31"/>
  <c r="I246" i="31"/>
  <c r="I245" i="31"/>
  <c r="B239" i="31"/>
  <c r="AD227" i="31"/>
  <c r="AD228" i="31" s="1"/>
  <c r="I234" i="31"/>
  <c r="I233" i="31"/>
  <c r="B227" i="3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AD213" i="31"/>
  <c r="V225" i="31" s="1"/>
  <c r="I222" i="31"/>
  <c r="I221" i="31"/>
  <c r="B213" i="31"/>
  <c r="B214" i="31" s="1"/>
  <c r="AD198" i="31"/>
  <c r="E29" i="36"/>
  <c r="N21" i="31" s="1"/>
  <c r="E35" i="36"/>
  <c r="N21" i="29" s="1"/>
  <c r="B279" i="31" l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16" i="3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15" i="31"/>
  <c r="AX200" i="31"/>
  <c r="B253" i="3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40" i="3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N44" i="29"/>
  <c r="AF46" i="29" s="1"/>
  <c r="T313" i="31"/>
  <c r="Y313" i="31"/>
  <c r="O314" i="31"/>
  <c r="AA314" i="31"/>
  <c r="S314" i="31"/>
  <c r="N314" i="31"/>
  <c r="W314" i="31"/>
  <c r="N24" i="29"/>
  <c r="X223" i="31"/>
  <c r="AD214" i="31"/>
  <c r="P263" i="31"/>
  <c r="U258" i="31"/>
  <c r="AA263" i="31"/>
  <c r="Q263" i="31"/>
  <c r="AB263" i="31"/>
  <c r="V237" i="31"/>
  <c r="Y233" i="31"/>
  <c r="N258" i="31"/>
  <c r="S259" i="31"/>
  <c r="X263" i="31"/>
  <c r="Q311" i="31"/>
  <c r="X313" i="31"/>
  <c r="AA225" i="31"/>
  <c r="S233" i="31"/>
  <c r="W262" i="31"/>
  <c r="AD252" i="31"/>
  <c r="X234" i="31"/>
  <c r="O259" i="31"/>
  <c r="T263" i="31"/>
  <c r="Y247" i="31"/>
  <c r="Q226" i="31"/>
  <c r="Y226" i="31"/>
  <c r="AB224" i="31"/>
  <c r="U249" i="31"/>
  <c r="Q249" i="31"/>
  <c r="U226" i="31"/>
  <c r="Z225" i="31"/>
  <c r="Q222" i="31"/>
  <c r="X226" i="31"/>
  <c r="O250" i="31"/>
  <c r="W250" i="31"/>
  <c r="AB313" i="31"/>
  <c r="AD304" i="31"/>
  <c r="N221" i="31"/>
  <c r="P225" i="31"/>
  <c r="W221" i="31"/>
  <c r="N223" i="31"/>
  <c r="S250" i="31"/>
  <c r="AA250" i="31"/>
  <c r="P313" i="31"/>
  <c r="V314" i="31"/>
  <c r="P273" i="31"/>
  <c r="T276" i="31"/>
  <c r="X273" i="31"/>
  <c r="AB275" i="31"/>
  <c r="Q271" i="31"/>
  <c r="U274" i="31"/>
  <c r="Y273" i="31"/>
  <c r="N225" i="31"/>
  <c r="S226" i="31"/>
  <c r="X222" i="31"/>
  <c r="AB222" i="31"/>
  <c r="V222" i="31"/>
  <c r="N237" i="31"/>
  <c r="Z237" i="31"/>
  <c r="N245" i="31"/>
  <c r="V245" i="31"/>
  <c r="Z245" i="31"/>
  <c r="N275" i="31"/>
  <c r="V271" i="31"/>
  <c r="Z271" i="31"/>
  <c r="AD265" i="31"/>
  <c r="P276" i="31"/>
  <c r="X221" i="31"/>
  <c r="N226" i="31"/>
  <c r="O272" i="31"/>
  <c r="S271" i="31"/>
  <c r="W276" i="31"/>
  <c r="AA271" i="31"/>
  <c r="U245" i="31"/>
  <c r="S262" i="31"/>
  <c r="Y245" i="31"/>
  <c r="N273" i="31"/>
  <c r="O245" i="31"/>
  <c r="O246" i="31"/>
  <c r="Y250" i="31"/>
  <c r="T261" i="31"/>
  <c r="W263" i="31"/>
  <c r="O248" i="31"/>
  <c r="Y259" i="31"/>
  <c r="U247" i="31"/>
  <c r="W248" i="31"/>
  <c r="U250" i="31"/>
  <c r="T258" i="31"/>
  <c r="P261" i="31"/>
  <c r="X272" i="31"/>
  <c r="T275" i="31"/>
  <c r="X276" i="31"/>
  <c r="N247" i="31"/>
  <c r="Z247" i="31"/>
  <c r="S245" i="31"/>
  <c r="AA245" i="31"/>
  <c r="AA246" i="31"/>
  <c r="AA248" i="31"/>
  <c r="W249" i="31"/>
  <c r="Z250" i="31"/>
  <c r="AA260" i="31"/>
  <c r="T271" i="31"/>
  <c r="AB271" i="31"/>
  <c r="T272" i="31"/>
  <c r="AA272" i="31"/>
  <c r="W273" i="31"/>
  <c r="X274" i="31"/>
  <c r="Y221" i="31"/>
  <c r="S246" i="31"/>
  <c r="V247" i="31"/>
  <c r="S248" i="31"/>
  <c r="S249" i="31"/>
  <c r="Z249" i="31"/>
  <c r="AA261" i="31"/>
  <c r="U272" i="31"/>
  <c r="AB272" i="31"/>
  <c r="O273" i="31"/>
  <c r="S274" i="31"/>
  <c r="AA274" i="31"/>
  <c r="O275" i="31"/>
  <c r="AA275" i="31"/>
  <c r="S276" i="31"/>
  <c r="Q309" i="31"/>
  <c r="X309" i="31"/>
  <c r="O310" i="31"/>
  <c r="T310" i="31"/>
  <c r="AA310" i="31"/>
  <c r="N311" i="31"/>
  <c r="V311" i="31"/>
  <c r="T312" i="31"/>
  <c r="AA312" i="31"/>
  <c r="Z313" i="31"/>
  <c r="T314" i="31"/>
  <c r="S221" i="31"/>
  <c r="Z246" i="31"/>
  <c r="V249" i="31"/>
  <c r="S273" i="31"/>
  <c r="W274" i="31"/>
  <c r="N250" i="31"/>
  <c r="P274" i="31"/>
  <c r="X275" i="31"/>
  <c r="AA276" i="31"/>
  <c r="Q224" i="31"/>
  <c r="S223" i="31"/>
  <c r="V224" i="31"/>
  <c r="U225" i="31"/>
  <c r="W245" i="31"/>
  <c r="N246" i="31"/>
  <c r="W246" i="31"/>
  <c r="N248" i="31"/>
  <c r="V248" i="31"/>
  <c r="O249" i="31"/>
  <c r="AA249" i="31"/>
  <c r="V250" i="31"/>
  <c r="X259" i="31"/>
  <c r="Q260" i="31"/>
  <c r="P271" i="31"/>
  <c r="X271" i="31"/>
  <c r="W272" i="31"/>
  <c r="AB276" i="31"/>
  <c r="AB274" i="31"/>
  <c r="P275" i="31"/>
  <c r="S309" i="31"/>
  <c r="AA309" i="31"/>
  <c r="P310" i="31"/>
  <c r="V310" i="31"/>
  <c r="AB310" i="31"/>
  <c r="X311" i="31"/>
  <c r="O312" i="31"/>
  <c r="V312" i="31"/>
  <c r="S313" i="31"/>
  <c r="AA313" i="31"/>
  <c r="T309" i="31"/>
  <c r="AB309" i="31"/>
  <c r="W310" i="31"/>
  <c r="AB311" i="31"/>
  <c r="P312" i="31"/>
  <c r="W312" i="31"/>
  <c r="N313" i="31"/>
  <c r="W313" i="31"/>
  <c r="X314" i="31"/>
  <c r="O309" i="31"/>
  <c r="W309" i="31"/>
  <c r="S310" i="31"/>
  <c r="T311" i="31"/>
  <c r="S312" i="31"/>
  <c r="X312" i="31"/>
  <c r="O313" i="31"/>
  <c r="AB314" i="31"/>
  <c r="N233" i="31"/>
  <c r="O235" i="31"/>
  <c r="T235" i="31"/>
  <c r="Z235" i="31"/>
  <c r="X236" i="31"/>
  <c r="Q237" i="31"/>
  <c r="W237" i="31"/>
  <c r="AB237" i="31"/>
  <c r="O238" i="31"/>
  <c r="T238" i="31"/>
  <c r="Z238" i="31"/>
  <c r="P249" i="31"/>
  <c r="P246" i="31"/>
  <c r="T249" i="31"/>
  <c r="T248" i="31"/>
  <c r="T246" i="31"/>
  <c r="X249" i="31"/>
  <c r="X250" i="31"/>
  <c r="X247" i="31"/>
  <c r="X245" i="31"/>
  <c r="X248" i="31"/>
  <c r="AB249" i="31"/>
  <c r="AB250" i="31"/>
  <c r="AB247" i="31"/>
  <c r="AB245" i="31"/>
  <c r="X246" i="31"/>
  <c r="T247" i="31"/>
  <c r="AB248" i="31"/>
  <c r="O287" i="31"/>
  <c r="O285" i="31"/>
  <c r="O288" i="31"/>
  <c r="S287" i="31"/>
  <c r="S285" i="31"/>
  <c r="S288" i="31"/>
  <c r="S286" i="31"/>
  <c r="S289" i="31"/>
  <c r="S284" i="31"/>
  <c r="W287" i="31"/>
  <c r="W285" i="31"/>
  <c r="W289" i="31"/>
  <c r="W286" i="31"/>
  <c r="AA287" i="31"/>
  <c r="AA285" i="31"/>
  <c r="AA284" i="31"/>
  <c r="AA289" i="31"/>
  <c r="AA288" i="31"/>
  <c r="AD278" i="31"/>
  <c r="Y288" i="31"/>
  <c r="U287" i="31"/>
  <c r="U285" i="31"/>
  <c r="Q284" i="31"/>
  <c r="T289" i="31"/>
  <c r="Y285" i="31"/>
  <c r="U284" i="31"/>
  <c r="Z289" i="31"/>
  <c r="X288" i="31"/>
  <c r="Q288" i="31"/>
  <c r="AB287" i="31"/>
  <c r="T287" i="31"/>
  <c r="X286" i="31"/>
  <c r="P286" i="31"/>
  <c r="X285" i="31"/>
  <c r="Q285" i="31"/>
  <c r="Z284" i="31"/>
  <c r="T286" i="31"/>
  <c r="Y287" i="31"/>
  <c r="W288" i="31"/>
  <c r="O289" i="31"/>
  <c r="O223" i="31"/>
  <c r="T223" i="31"/>
  <c r="Z223" i="31"/>
  <c r="X224" i="31"/>
  <c r="Q225" i="31"/>
  <c r="W225" i="31"/>
  <c r="AB225" i="31"/>
  <c r="O226" i="31"/>
  <c r="T226" i="31"/>
  <c r="Z226" i="31"/>
  <c r="O236" i="31"/>
  <c r="O234" i="31"/>
  <c r="S236" i="31"/>
  <c r="S234" i="31"/>
  <c r="W236" i="31"/>
  <c r="W234" i="31"/>
  <c r="AA236" i="31"/>
  <c r="AA234" i="31"/>
  <c r="O233" i="31"/>
  <c r="U233" i="31"/>
  <c r="Z233" i="31"/>
  <c r="N234" i="31"/>
  <c r="T234" i="31"/>
  <c r="Y234" i="31"/>
  <c r="P235" i="31"/>
  <c r="V235" i="31"/>
  <c r="AA235" i="31"/>
  <c r="N236" i="31"/>
  <c r="T236" i="31"/>
  <c r="Y236" i="31"/>
  <c r="S237" i="31"/>
  <c r="X237" i="31"/>
  <c r="P238" i="31"/>
  <c r="V238" i="31"/>
  <c r="AA238" i="31"/>
  <c r="T245" i="31"/>
  <c r="P250" i="31"/>
  <c r="W284" i="31"/>
  <c r="T285" i="31"/>
  <c r="V286" i="31"/>
  <c r="Q287" i="31"/>
  <c r="AB288" i="31"/>
  <c r="P289" i="31"/>
  <c r="O224" i="31"/>
  <c r="O222" i="31"/>
  <c r="S224" i="31"/>
  <c r="S222" i="31"/>
  <c r="W224" i="31"/>
  <c r="W222" i="31"/>
  <c r="AA224" i="31"/>
  <c r="AA222" i="31"/>
  <c r="O221" i="31"/>
  <c r="U221" i="31"/>
  <c r="Z221" i="31"/>
  <c r="N222" i="31"/>
  <c r="T222" i="31"/>
  <c r="Y222" i="31"/>
  <c r="P223" i="31"/>
  <c r="V223" i="31"/>
  <c r="AA223" i="31"/>
  <c r="N224" i="31"/>
  <c r="T224" i="31"/>
  <c r="Y224" i="31"/>
  <c r="S225" i="31"/>
  <c r="X225" i="31"/>
  <c r="P226" i="31"/>
  <c r="V226" i="31"/>
  <c r="AA226" i="31"/>
  <c r="P233" i="31"/>
  <c r="T233" i="31"/>
  <c r="X233" i="31"/>
  <c r="AB233" i="31"/>
  <c r="Q233" i="31"/>
  <c r="V233" i="31"/>
  <c r="AA233" i="31"/>
  <c r="P234" i="31"/>
  <c r="U234" i="31"/>
  <c r="Z234" i="31"/>
  <c r="W235" i="31"/>
  <c r="AB235" i="31"/>
  <c r="P236" i="31"/>
  <c r="U236" i="31"/>
  <c r="Z236" i="31"/>
  <c r="O237" i="31"/>
  <c r="T237" i="31"/>
  <c r="Y237" i="31"/>
  <c r="W238" i="31"/>
  <c r="AB238" i="31"/>
  <c r="P248" i="31"/>
  <c r="T250" i="31"/>
  <c r="P262" i="31"/>
  <c r="X261" i="31"/>
  <c r="AB259" i="31"/>
  <c r="X258" i="31"/>
  <c r="N263" i="31"/>
  <c r="Z262" i="31"/>
  <c r="T262" i="31"/>
  <c r="AB261" i="31"/>
  <c r="N260" i="31"/>
  <c r="P259" i="31"/>
  <c r="AB258" i="31"/>
  <c r="V258" i="31"/>
  <c r="V260" i="31"/>
  <c r="U261" i="31"/>
  <c r="N262" i="31"/>
  <c r="X262" i="31"/>
  <c r="Q276" i="31"/>
  <c r="Q275" i="31"/>
  <c r="Q273" i="31"/>
  <c r="Q272" i="31"/>
  <c r="U276" i="31"/>
  <c r="U273" i="31"/>
  <c r="Y276" i="31"/>
  <c r="Y275" i="31"/>
  <c r="Y274" i="31"/>
  <c r="Y271" i="31"/>
  <c r="Q274" i="31"/>
  <c r="U275" i="31"/>
  <c r="Y284" i="31"/>
  <c r="V285" i="31"/>
  <c r="N286" i="31"/>
  <c r="AA286" i="31"/>
  <c r="P288" i="31"/>
  <c r="V289" i="31"/>
  <c r="P221" i="31"/>
  <c r="T221" i="31"/>
  <c r="AB221" i="31"/>
  <c r="Q221" i="31"/>
  <c r="V221" i="31"/>
  <c r="AA221" i="31"/>
  <c r="P222" i="31"/>
  <c r="U222" i="31"/>
  <c r="Z222" i="31"/>
  <c r="W223" i="31"/>
  <c r="AB223" i="31"/>
  <c r="P224" i="31"/>
  <c r="U224" i="31"/>
  <c r="Z224" i="31"/>
  <c r="O225" i="31"/>
  <c r="T225" i="31"/>
  <c r="Y225" i="31"/>
  <c r="W226" i="31"/>
  <c r="AB226" i="31"/>
  <c r="Q238" i="31"/>
  <c r="U238" i="31"/>
  <c r="Y238" i="31"/>
  <c r="W233" i="31"/>
  <c r="Q234" i="31"/>
  <c r="V234" i="31"/>
  <c r="AB234" i="31"/>
  <c r="N235" i="31"/>
  <c r="S235" i="31"/>
  <c r="X235" i="31"/>
  <c r="Q236" i="31"/>
  <c r="V236" i="31"/>
  <c r="AB236" i="31"/>
  <c r="P237" i="31"/>
  <c r="U237" i="31"/>
  <c r="AA237" i="31"/>
  <c r="N238" i="31"/>
  <c r="S238" i="31"/>
  <c r="X238" i="31"/>
  <c r="P245" i="31"/>
  <c r="AB246" i="31"/>
  <c r="P247" i="31"/>
  <c r="O258" i="31"/>
  <c r="O263" i="31"/>
  <c r="O260" i="31"/>
  <c r="O262" i="31"/>
  <c r="S258" i="31"/>
  <c r="S261" i="31"/>
  <c r="S263" i="31"/>
  <c r="S260" i="31"/>
  <c r="W258" i="31"/>
  <c r="W259" i="31"/>
  <c r="W261" i="31"/>
  <c r="AA258" i="31"/>
  <c r="AA262" i="31"/>
  <c r="AA259" i="31"/>
  <c r="P258" i="31"/>
  <c r="Z258" i="31"/>
  <c r="T259" i="31"/>
  <c r="W260" i="31"/>
  <c r="O261" i="31"/>
  <c r="Y261" i="31"/>
  <c r="AB262" i="31"/>
  <c r="V263" i="31"/>
  <c r="U271" i="31"/>
  <c r="Y272" i="31"/>
  <c r="O284" i="31"/>
  <c r="AB285" i="31"/>
  <c r="O286" i="31"/>
  <c r="X287" i="31"/>
  <c r="U288" i="31"/>
  <c r="X289" i="31"/>
  <c r="Q248" i="31"/>
  <c r="Q246" i="31"/>
  <c r="U248" i="31"/>
  <c r="U246" i="31"/>
  <c r="Y248" i="31"/>
  <c r="Y246" i="31"/>
  <c r="Q245" i="31"/>
  <c r="Q247" i="31"/>
  <c r="Q250" i="31"/>
  <c r="Q262" i="31"/>
  <c r="U262" i="31"/>
  <c r="Y262" i="31"/>
  <c r="Q258" i="31"/>
  <c r="U259" i="31"/>
  <c r="Y260" i="31"/>
  <c r="Q261" i="31"/>
  <c r="Y263" i="31"/>
  <c r="N274" i="31"/>
  <c r="N272" i="31"/>
  <c r="V275" i="31"/>
  <c r="V274" i="31"/>
  <c r="V272" i="31"/>
  <c r="Z275" i="31"/>
  <c r="Z276" i="31"/>
  <c r="Z274" i="31"/>
  <c r="Z272" i="31"/>
  <c r="Z273" i="31"/>
  <c r="Q289" i="31"/>
  <c r="U289" i="31"/>
  <c r="Y289" i="31"/>
  <c r="Q312" i="31"/>
  <c r="Q310" i="31"/>
  <c r="Q313" i="31"/>
  <c r="U312" i="31"/>
  <c r="U310" i="31"/>
  <c r="U314" i="31"/>
  <c r="U311" i="31"/>
  <c r="U309" i="31"/>
  <c r="Y312" i="31"/>
  <c r="Y310" i="31"/>
  <c r="Y309" i="31"/>
  <c r="Y311" i="31"/>
  <c r="U313" i="31"/>
  <c r="Q314" i="31"/>
  <c r="Q223" i="31"/>
  <c r="U223" i="31"/>
  <c r="Y223" i="31"/>
  <c r="Q235" i="31"/>
  <c r="U235" i="31"/>
  <c r="Y235" i="31"/>
  <c r="V246" i="31"/>
  <c r="Z248" i="31"/>
  <c r="N249" i="31"/>
  <c r="Y249" i="31"/>
  <c r="N261" i="31"/>
  <c r="N259" i="31"/>
  <c r="V261" i="31"/>
  <c r="V259" i="31"/>
  <c r="Z261" i="31"/>
  <c r="Z259" i="31"/>
  <c r="Q259" i="31"/>
  <c r="U260" i="31"/>
  <c r="Z260" i="31"/>
  <c r="V262" i="31"/>
  <c r="U263" i="31"/>
  <c r="Z263" i="31"/>
  <c r="O276" i="31"/>
  <c r="O271" i="31"/>
  <c r="W275" i="31"/>
  <c r="W271" i="31"/>
  <c r="N271" i="31"/>
  <c r="S272" i="31"/>
  <c r="V273" i="31"/>
  <c r="AA273" i="31"/>
  <c r="O274" i="31"/>
  <c r="T274" i="31"/>
  <c r="S275" i="31"/>
  <c r="N276" i="31"/>
  <c r="V276" i="31"/>
  <c r="N288" i="31"/>
  <c r="V288" i="31"/>
  <c r="V284" i="31"/>
  <c r="Z288" i="31"/>
  <c r="Z287" i="31"/>
  <c r="Z285" i="31"/>
  <c r="N284" i="31"/>
  <c r="Z286" i="31"/>
  <c r="N287" i="31"/>
  <c r="V287" i="31"/>
  <c r="N289" i="31"/>
  <c r="N309" i="31"/>
  <c r="N310" i="31"/>
  <c r="V309" i="31"/>
  <c r="V313" i="31"/>
  <c r="Z309" i="31"/>
  <c r="Z314" i="31"/>
  <c r="Z311" i="31"/>
  <c r="N312" i="31"/>
  <c r="Z312" i="31"/>
  <c r="Y314" i="31"/>
  <c r="O247" i="31"/>
  <c r="S247" i="31"/>
  <c r="W247" i="31"/>
  <c r="AA247" i="31"/>
  <c r="P260" i="31"/>
  <c r="T260" i="31"/>
  <c r="X260" i="31"/>
  <c r="AB260" i="31"/>
  <c r="T273" i="31"/>
  <c r="AB273" i="31"/>
  <c r="P284" i="31"/>
  <c r="T284" i="31"/>
  <c r="X284" i="31"/>
  <c r="AB284" i="31"/>
  <c r="P285" i="31"/>
  <c r="AB286" i="31"/>
  <c r="P287" i="31"/>
  <c r="T288" i="31"/>
  <c r="AB289" i="31"/>
  <c r="P309" i="31"/>
  <c r="X310" i="31"/>
  <c r="P311" i="31"/>
  <c r="AB312" i="31"/>
  <c r="P314" i="31"/>
  <c r="Q286" i="31"/>
  <c r="U286" i="31"/>
  <c r="Y286" i="31"/>
  <c r="O311" i="31"/>
  <c r="S311" i="31"/>
  <c r="W311" i="31"/>
  <c r="AA311" i="31"/>
  <c r="X24" i="29" l="1"/>
  <c r="X300" i="29" s="1"/>
  <c r="AP301" i="29" s="1"/>
  <c r="X21" i="29"/>
  <c r="X44" i="29" s="1"/>
  <c r="AP46" i="29" s="1"/>
  <c r="AP41" i="29" s="1"/>
  <c r="O24" i="50" s="1"/>
  <c r="W24" i="29"/>
  <c r="W21" i="29"/>
  <c r="W44" i="29" s="1"/>
  <c r="AO46" i="29" s="1"/>
  <c r="AO41" i="29" s="1"/>
  <c r="N24" i="50" s="1"/>
  <c r="S21" i="31"/>
  <c r="S504" i="31" s="1"/>
  <c r="AK505" i="31" s="1"/>
  <c r="U21" i="31"/>
  <c r="U504" i="31" s="1"/>
  <c r="AM505" i="31" s="1"/>
  <c r="Z21" i="31"/>
  <c r="Z504" i="31" s="1"/>
  <c r="AR505" i="31" s="1"/>
  <c r="AB24" i="29"/>
  <c r="AB300" i="29" s="1"/>
  <c r="AT301" i="29" s="1"/>
  <c r="AB21" i="29"/>
  <c r="AB44" i="29" s="1"/>
  <c r="AT46" i="29" s="1"/>
  <c r="AT41" i="29" s="1"/>
  <c r="S24" i="50" s="1"/>
  <c r="T24" i="29"/>
  <c r="T300" i="29" s="1"/>
  <c r="AL301" i="29" s="1"/>
  <c r="T21" i="29"/>
  <c r="T44" i="29" s="1"/>
  <c r="AL46" i="29" s="1"/>
  <c r="AL41" i="29" s="1"/>
  <c r="K24" i="50" s="1"/>
  <c r="S24" i="29"/>
  <c r="S364" i="29" s="1"/>
  <c r="AK365" i="29" s="1"/>
  <c r="S21" i="29"/>
  <c r="S44" i="29" s="1"/>
  <c r="AK46" i="29" s="1"/>
  <c r="AK41" i="29" s="1"/>
  <c r="J24" i="50" s="1"/>
  <c r="R24" i="29"/>
  <c r="R21" i="29"/>
  <c r="R44" i="29" s="1"/>
  <c r="W21" i="31"/>
  <c r="W504" i="31" s="1"/>
  <c r="AO505" i="31" s="1"/>
  <c r="Y21" i="31"/>
  <c r="Y504" i="31" s="1"/>
  <c r="AQ505" i="31" s="1"/>
  <c r="P24" i="29"/>
  <c r="P262" i="29" s="1"/>
  <c r="AH263" i="29" s="1"/>
  <c r="P21" i="29"/>
  <c r="P44" i="29" s="1"/>
  <c r="AH46" i="29" s="1"/>
  <c r="AH41" i="29" s="1"/>
  <c r="G24" i="50" s="1"/>
  <c r="O24" i="29"/>
  <c r="O21" i="29"/>
  <c r="O44" i="29" s="1"/>
  <c r="AG46" i="29" s="1"/>
  <c r="AG41" i="29" s="1"/>
  <c r="F24" i="50" s="1"/>
  <c r="U24" i="29"/>
  <c r="U351" i="29" s="1"/>
  <c r="AM352" i="29" s="1"/>
  <c r="U21" i="29"/>
  <c r="U44" i="29" s="1"/>
  <c r="AM46" i="29" s="1"/>
  <c r="AM41" i="29" s="1"/>
  <c r="L24" i="50" s="1"/>
  <c r="AA21" i="31"/>
  <c r="AA504" i="31" s="1"/>
  <c r="AS505" i="31" s="1"/>
  <c r="AB21" i="31"/>
  <c r="AB504" i="31" s="1"/>
  <c r="AT505" i="31" s="1"/>
  <c r="O21" i="31"/>
  <c r="O504" i="31" s="1"/>
  <c r="AG505" i="31" s="1"/>
  <c r="R21" i="31"/>
  <c r="R504" i="31" s="1"/>
  <c r="AA24" i="29"/>
  <c r="AA313" i="29" s="1"/>
  <c r="AS314" i="29" s="1"/>
  <c r="AA21" i="29"/>
  <c r="AA44" i="29" s="1"/>
  <c r="AS46" i="29" s="1"/>
  <c r="AS41" i="29" s="1"/>
  <c r="R24" i="50" s="1"/>
  <c r="Z24" i="29"/>
  <c r="Z21" i="29"/>
  <c r="Z44" i="29" s="1"/>
  <c r="AR46" i="29" s="1"/>
  <c r="AR41" i="29" s="1"/>
  <c r="Q24" i="50" s="1"/>
  <c r="Q24" i="29"/>
  <c r="Q313" i="29" s="1"/>
  <c r="AI314" i="29" s="1"/>
  <c r="Q21" i="29"/>
  <c r="Q44" i="29" s="1"/>
  <c r="AI46" i="29" s="1"/>
  <c r="AI41" i="29" s="1"/>
  <c r="H24" i="50" s="1"/>
  <c r="P21" i="31"/>
  <c r="P504" i="31" s="1"/>
  <c r="AH505" i="31" s="1"/>
  <c r="Q21" i="31"/>
  <c r="Q504" i="31" s="1"/>
  <c r="AI505" i="31" s="1"/>
  <c r="V21" i="31"/>
  <c r="V504" i="31" s="1"/>
  <c r="AN505" i="31" s="1"/>
  <c r="Y24" i="29"/>
  <c r="Y21" i="29"/>
  <c r="Y44" i="29" s="1"/>
  <c r="AQ46" i="29" s="1"/>
  <c r="AQ41" i="29" s="1"/>
  <c r="P24" i="50" s="1"/>
  <c r="V24" i="29"/>
  <c r="V21" i="29"/>
  <c r="V44" i="29" s="1"/>
  <c r="AN46" i="29" s="1"/>
  <c r="AN41" i="29" s="1"/>
  <c r="M24" i="50" s="1"/>
  <c r="T21" i="31"/>
  <c r="T504" i="31" s="1"/>
  <c r="AL505" i="31" s="1"/>
  <c r="X21" i="31"/>
  <c r="X504" i="31" s="1"/>
  <c r="AP505" i="31" s="1"/>
  <c r="N351" i="29"/>
  <c r="AF352" i="29" s="1"/>
  <c r="N338" i="29"/>
  <c r="AF339" i="29" s="1"/>
  <c r="N237" i="29"/>
  <c r="AF238" i="29" s="1"/>
  <c r="N250" i="29"/>
  <c r="AF251" i="29" s="1"/>
  <c r="N364" i="29"/>
  <c r="AF365" i="29" s="1"/>
  <c r="N326" i="29"/>
  <c r="AF327" i="29" s="1"/>
  <c r="N274" i="29"/>
  <c r="AF275" i="29" s="1"/>
  <c r="N262" i="29"/>
  <c r="AF263" i="29" s="1"/>
  <c r="N313" i="29"/>
  <c r="AF314" i="29" s="1"/>
  <c r="N300" i="29"/>
  <c r="AF301" i="29" s="1"/>
  <c r="N287" i="29"/>
  <c r="AF288" i="29" s="1"/>
  <c r="N504" i="31"/>
  <c r="AF505" i="31" s="1"/>
  <c r="AF234" i="29" l="1"/>
  <c r="U274" i="29"/>
  <c r="AM275" i="29" s="1"/>
  <c r="T262" i="29"/>
  <c r="AL263" i="29" s="1"/>
  <c r="R313" i="29"/>
  <c r="R262" i="29"/>
  <c r="T287" i="29"/>
  <c r="AL288" i="29" s="1"/>
  <c r="AA326" i="29"/>
  <c r="AS327" i="29" s="1"/>
  <c r="X326" i="29"/>
  <c r="AP327" i="29" s="1"/>
  <c r="Y237" i="29"/>
  <c r="AQ238" i="29" s="1"/>
  <c r="X351" i="29"/>
  <c r="AP352" i="29" s="1"/>
  <c r="Y364" i="29"/>
  <c r="AQ365" i="29" s="1"/>
  <c r="X364" i="29"/>
  <c r="AP365" i="29" s="1"/>
  <c r="Y351" i="29"/>
  <c r="AQ352" i="29" s="1"/>
  <c r="X338" i="29"/>
  <c r="AP339" i="29" s="1"/>
  <c r="X250" i="29"/>
  <c r="AP251" i="29" s="1"/>
  <c r="Y287" i="29"/>
  <c r="AQ288" i="29" s="1"/>
  <c r="Y262" i="29"/>
  <c r="AQ263" i="29" s="1"/>
  <c r="X237" i="29"/>
  <c r="AP238" i="29" s="1"/>
  <c r="X287" i="29"/>
  <c r="AP288" i="29" s="1"/>
  <c r="X262" i="29"/>
  <c r="AP263" i="29" s="1"/>
  <c r="Y300" i="29"/>
  <c r="AQ301" i="29" s="1"/>
  <c r="Y274" i="29"/>
  <c r="AQ275" i="29" s="1"/>
  <c r="Y250" i="29"/>
  <c r="AQ251" i="29" s="1"/>
  <c r="X313" i="29"/>
  <c r="AP314" i="29" s="1"/>
  <c r="X274" i="29"/>
  <c r="AP275" i="29" s="1"/>
  <c r="Y313" i="29"/>
  <c r="AQ314" i="29" s="1"/>
  <c r="Y326" i="29"/>
  <c r="AQ327" i="29" s="1"/>
  <c r="Y338" i="29"/>
  <c r="AQ339" i="29" s="1"/>
  <c r="W313" i="29"/>
  <c r="AO314" i="29" s="1"/>
  <c r="T351" i="29"/>
  <c r="AL352" i="29" s="1"/>
  <c r="Q326" i="29"/>
  <c r="AI327" i="29" s="1"/>
  <c r="Z300" i="29"/>
  <c r="AR301" i="29" s="1"/>
  <c r="O287" i="29"/>
  <c r="AG288" i="29" s="1"/>
  <c r="R287" i="29"/>
  <c r="R300" i="29"/>
  <c r="Q364" i="29"/>
  <c r="AI365" i="29" s="1"/>
  <c r="AA237" i="29"/>
  <c r="AS238" i="29" s="1"/>
  <c r="S338" i="29"/>
  <c r="AK339" i="29" s="1"/>
  <c r="AB250" i="29"/>
  <c r="AT251" i="29" s="1"/>
  <c r="AA364" i="29"/>
  <c r="AS365" i="29" s="1"/>
  <c r="O262" i="29"/>
  <c r="AG263" i="29" s="1"/>
  <c r="S274" i="29"/>
  <c r="AK275" i="29" s="1"/>
  <c r="Q237" i="29"/>
  <c r="AI238" i="29" s="1"/>
  <c r="U237" i="29"/>
  <c r="AM238" i="29" s="1"/>
  <c r="P351" i="29"/>
  <c r="AH352" i="29" s="1"/>
  <c r="R364" i="29"/>
  <c r="R351" i="29"/>
  <c r="T364" i="29"/>
  <c r="AL365" i="29" s="1"/>
  <c r="T250" i="29"/>
  <c r="AL251" i="29" s="1"/>
  <c r="Q274" i="29"/>
  <c r="AI275" i="29" s="1"/>
  <c r="AA250" i="29"/>
  <c r="AS251" i="29" s="1"/>
  <c r="AA274" i="29"/>
  <c r="AS275" i="29" s="1"/>
  <c r="O250" i="29"/>
  <c r="AG251" i="29" s="1"/>
  <c r="O326" i="29"/>
  <c r="AG327" i="29" s="1"/>
  <c r="O313" i="29"/>
  <c r="AG314" i="29" s="1"/>
  <c r="S287" i="29"/>
  <c r="AK288" i="29" s="1"/>
  <c r="Q262" i="29"/>
  <c r="AI263" i="29" s="1"/>
  <c r="Q287" i="29"/>
  <c r="AI288" i="29" s="1"/>
  <c r="AA262" i="29"/>
  <c r="AS263" i="29" s="1"/>
  <c r="AA351" i="29"/>
  <c r="AS352" i="29" s="1"/>
  <c r="AA287" i="29"/>
  <c r="AS288" i="29" s="1"/>
  <c r="O237" i="29"/>
  <c r="AG238" i="29" s="1"/>
  <c r="O338" i="29"/>
  <c r="AG339" i="29" s="1"/>
  <c r="O364" i="29"/>
  <c r="AG365" i="29" s="1"/>
  <c r="S237" i="29"/>
  <c r="AK238" i="29" s="1"/>
  <c r="AB237" i="29"/>
  <c r="AT238" i="29" s="1"/>
  <c r="AB326" i="29"/>
  <c r="AT327" i="29" s="1"/>
  <c r="Q250" i="29"/>
  <c r="AI251" i="29" s="1"/>
  <c r="AA338" i="29"/>
  <c r="AS339" i="29" s="1"/>
  <c r="AB274" i="29"/>
  <c r="AT275" i="29" s="1"/>
  <c r="AB364" i="29"/>
  <c r="AT365" i="29" s="1"/>
  <c r="V287" i="29"/>
  <c r="AN288" i="29" s="1"/>
  <c r="Q351" i="29"/>
  <c r="AI352" i="29" s="1"/>
  <c r="Q338" i="29"/>
  <c r="AI339" i="29" s="1"/>
  <c r="Q300" i="29"/>
  <c r="AI301" i="29" s="1"/>
  <c r="AA300" i="29"/>
  <c r="AS301" i="29" s="1"/>
  <c r="O300" i="29"/>
  <c r="AG301" i="29" s="1"/>
  <c r="O351" i="29"/>
  <c r="AG352" i="29" s="1"/>
  <c r="O274" i="29"/>
  <c r="AG275" i="29" s="1"/>
  <c r="S300" i="29"/>
  <c r="AK301" i="29" s="1"/>
  <c r="W300" i="29"/>
  <c r="AO301" i="29" s="1"/>
  <c r="W326" i="29"/>
  <c r="AO327" i="29" s="1"/>
  <c r="V262" i="29"/>
  <c r="AN263" i="29" s="1"/>
  <c r="W351" i="29"/>
  <c r="AO352" i="29" s="1"/>
  <c r="W287" i="29"/>
  <c r="AO288" i="29" s="1"/>
  <c r="U250" i="29"/>
  <c r="AM251" i="29" s="1"/>
  <c r="P313" i="29"/>
  <c r="AH314" i="29" s="1"/>
  <c r="P326" i="29"/>
  <c r="AH327" i="29" s="1"/>
  <c r="R274" i="29"/>
  <c r="R250" i="29"/>
  <c r="R338" i="29"/>
  <c r="T274" i="29"/>
  <c r="AL275" i="29" s="1"/>
  <c r="T338" i="29"/>
  <c r="AL339" i="29" s="1"/>
  <c r="T326" i="29"/>
  <c r="AL327" i="29" s="1"/>
  <c r="U326" i="29"/>
  <c r="AM327" i="29" s="1"/>
  <c r="U364" i="29"/>
  <c r="AM365" i="29" s="1"/>
  <c r="P287" i="29"/>
  <c r="AH288" i="29" s="1"/>
  <c r="P300" i="29"/>
  <c r="AH301" i="29" s="1"/>
  <c r="R237" i="29"/>
  <c r="R326" i="29"/>
  <c r="T237" i="29"/>
  <c r="AL238" i="29" s="1"/>
  <c r="T313" i="29"/>
  <c r="AL314" i="29" s="1"/>
  <c r="Z338" i="29"/>
  <c r="AR339" i="29" s="1"/>
  <c r="Z313" i="29"/>
  <c r="AR314" i="29" s="1"/>
  <c r="Z326" i="29"/>
  <c r="AR327" i="29" s="1"/>
  <c r="Z287" i="29"/>
  <c r="AR288" i="29" s="1"/>
  <c r="Z262" i="29"/>
  <c r="AR263" i="29" s="1"/>
  <c r="V364" i="29"/>
  <c r="AN365" i="29" s="1"/>
  <c r="V237" i="29"/>
  <c r="AN238" i="29" s="1"/>
  <c r="V250" i="29"/>
  <c r="AN251" i="29" s="1"/>
  <c r="V351" i="29"/>
  <c r="AN352" i="29" s="1"/>
  <c r="V313" i="29"/>
  <c r="AN314" i="29" s="1"/>
  <c r="V326" i="29"/>
  <c r="AN327" i="29" s="1"/>
  <c r="V300" i="29"/>
  <c r="AN301" i="29" s="1"/>
  <c r="Z274" i="29"/>
  <c r="AR275" i="29" s="1"/>
  <c r="V274" i="29"/>
  <c r="AN275" i="29" s="1"/>
  <c r="Z250" i="29"/>
  <c r="AR251" i="29" s="1"/>
  <c r="Z364" i="29"/>
  <c r="AR365" i="29" s="1"/>
  <c r="Z237" i="29"/>
  <c r="AR238" i="29" s="1"/>
  <c r="Z351" i="29"/>
  <c r="AR352" i="29" s="1"/>
  <c r="V338" i="29"/>
  <c r="AN339" i="29" s="1"/>
  <c r="AB287" i="29"/>
  <c r="AT288" i="29" s="1"/>
  <c r="AB262" i="29"/>
  <c r="AT263" i="29" s="1"/>
  <c r="W338" i="29"/>
  <c r="AO339" i="29" s="1"/>
  <c r="W250" i="29"/>
  <c r="AO251" i="29" s="1"/>
  <c r="W237" i="29"/>
  <c r="AO238" i="29" s="1"/>
  <c r="W364" i="29"/>
  <c r="AO365" i="29" s="1"/>
  <c r="U300" i="29"/>
  <c r="AM301" i="29" s="1"/>
  <c r="U287" i="29"/>
  <c r="AM288" i="29" s="1"/>
  <c r="U338" i="29"/>
  <c r="AM339" i="29" s="1"/>
  <c r="P237" i="29"/>
  <c r="AH238" i="29" s="1"/>
  <c r="P364" i="29"/>
  <c r="AH365" i="29" s="1"/>
  <c r="P250" i="29"/>
  <c r="AH251" i="29" s="1"/>
  <c r="S262" i="29"/>
  <c r="AK263" i="29" s="1"/>
  <c r="S250" i="29"/>
  <c r="AK251" i="29" s="1"/>
  <c r="S313" i="29"/>
  <c r="AK314" i="29" s="1"/>
  <c r="AB351" i="29"/>
  <c r="AT352" i="29" s="1"/>
  <c r="AB338" i="29"/>
  <c r="AT339" i="29" s="1"/>
  <c r="AB313" i="29"/>
  <c r="AT314" i="29" s="1"/>
  <c r="W262" i="29"/>
  <c r="AO263" i="29" s="1"/>
  <c r="W274" i="29"/>
  <c r="AO275" i="29" s="1"/>
  <c r="U262" i="29"/>
  <c r="AM263" i="29" s="1"/>
  <c r="U313" i="29"/>
  <c r="AM314" i="29" s="1"/>
  <c r="P274" i="29"/>
  <c r="AH275" i="29" s="1"/>
  <c r="P338" i="29"/>
  <c r="AH339" i="29" s="1"/>
  <c r="S326" i="29"/>
  <c r="AK327" i="29" s="1"/>
  <c r="S351" i="29"/>
  <c r="AK352" i="29" s="1"/>
  <c r="AN234" i="29" l="1"/>
  <c r="AN233" i="29" s="1"/>
  <c r="M22" i="50" s="1"/>
  <c r="AL234" i="29"/>
  <c r="AL233" i="29" s="1"/>
  <c r="K22" i="50" s="1"/>
  <c r="AS234" i="29"/>
  <c r="AS233" i="29" s="1"/>
  <c r="R22" i="50" s="1"/>
  <c r="AR234" i="29"/>
  <c r="AR233" i="29" s="1"/>
  <c r="Q22" i="50" s="1"/>
  <c r="AG234" i="29"/>
  <c r="AG233" i="29" s="1"/>
  <c r="F22" i="50" s="1"/>
  <c r="AI234" i="29"/>
  <c r="AI233" i="29" s="1"/>
  <c r="H22" i="50" s="1"/>
  <c r="AP234" i="29"/>
  <c r="AP233" i="29" s="1"/>
  <c r="O22" i="50" s="1"/>
  <c r="AQ234" i="29"/>
  <c r="AQ233" i="29" s="1"/>
  <c r="P22" i="50" s="1"/>
  <c r="AH234" i="29"/>
  <c r="AH233" i="29" s="1"/>
  <c r="G22" i="50" s="1"/>
  <c r="AT234" i="29"/>
  <c r="AT233" i="29" s="1"/>
  <c r="S22" i="50" s="1"/>
  <c r="AM234" i="29"/>
  <c r="AM233" i="29" s="1"/>
  <c r="L22" i="50" s="1"/>
  <c r="AO234" i="29"/>
  <c r="AO233" i="29" s="1"/>
  <c r="N22" i="50" s="1"/>
  <c r="AK234" i="29"/>
  <c r="AK233" i="29" s="1"/>
  <c r="J22" i="50" s="1"/>
  <c r="M87" i="1"/>
  <c r="V22" i="45" l="1"/>
  <c r="V140" i="45" l="1"/>
  <c r="V134" i="45"/>
  <c r="V102" i="45"/>
  <c r="Y302" i="38" l="1"/>
  <c r="G302" i="38" s="1"/>
  <c r="U302" i="38" l="1"/>
  <c r="Q302" i="38"/>
  <c r="M302" i="38"/>
  <c r="I302" i="38"/>
  <c r="O302" i="38"/>
  <c r="V302" i="38"/>
  <c r="N302" i="38"/>
  <c r="T302" i="38"/>
  <c r="P302" i="38"/>
  <c r="L302" i="38"/>
  <c r="H302" i="38"/>
  <c r="S302" i="38"/>
  <c r="K302" i="38"/>
  <c r="R302" i="38"/>
  <c r="J302" i="38"/>
  <c r="X117" i="7" l="1"/>
  <c r="X116" i="7"/>
  <c r="Y117" i="7"/>
  <c r="Y116" i="7"/>
  <c r="N117" i="7"/>
  <c r="N116" i="7"/>
  <c r="O117" i="7"/>
  <c r="O116" i="7"/>
  <c r="M117" i="7"/>
  <c r="M116" i="7"/>
  <c r="S117" i="7"/>
  <c r="S116" i="7"/>
  <c r="R117" i="7"/>
  <c r="R116" i="7"/>
  <c r="W117" i="7"/>
  <c r="W116" i="7"/>
  <c r="Q117" i="7"/>
  <c r="Q116" i="7"/>
  <c r="AA117" i="7"/>
  <c r="AA116" i="7"/>
  <c r="V117" i="7"/>
  <c r="V116" i="7"/>
  <c r="P117" i="7"/>
  <c r="P116" i="7"/>
  <c r="U117" i="7"/>
  <c r="U116" i="7"/>
  <c r="T117" i="7"/>
  <c r="T116" i="7"/>
  <c r="Z117" i="7"/>
  <c r="Z116" i="7"/>
  <c r="L3" i="23"/>
  <c r="L3" i="32"/>
  <c r="L3" i="7"/>
  <c r="M3" i="29"/>
  <c r="M3" i="31"/>
  <c r="M3" i="28"/>
  <c r="M3" i="4"/>
  <c r="I66" i="4" s="1"/>
  <c r="L3" i="1"/>
  <c r="K3" i="34"/>
  <c r="H24" i="34" l="1"/>
  <c r="H132" i="34"/>
  <c r="H18" i="34"/>
  <c r="H36" i="34"/>
  <c r="H60" i="34"/>
  <c r="H84" i="34"/>
  <c r="H142" i="34"/>
  <c r="H269" i="34"/>
  <c r="H56" i="32"/>
  <c r="H77" i="32"/>
  <c r="H35" i="32"/>
  <c r="H263" i="34"/>
  <c r="H178" i="34"/>
  <c r="H166" i="34"/>
  <c r="H154" i="34"/>
  <c r="H181" i="34"/>
  <c r="H169" i="34"/>
  <c r="H157" i="34"/>
  <c r="H148" i="34"/>
  <c r="H184" i="34"/>
  <c r="H172" i="34"/>
  <c r="H160" i="34"/>
  <c r="H175" i="34"/>
  <c r="H163" i="34"/>
  <c r="H151" i="34"/>
  <c r="H145" i="34"/>
  <c r="H42" i="34"/>
  <c r="I78" i="4"/>
  <c r="I35" i="4"/>
  <c r="H48" i="34"/>
  <c r="H126" i="34"/>
  <c r="H69" i="1"/>
  <c r="H122" i="1"/>
  <c r="I530" i="31"/>
  <c r="I517" i="31"/>
  <c r="I70" i="29"/>
  <c r="I57" i="29"/>
  <c r="I500" i="29"/>
  <c r="I462" i="29"/>
  <c r="I399" i="29"/>
  <c r="I340" i="29"/>
  <c r="I328" i="29"/>
  <c r="I315" i="29"/>
  <c r="I276" i="29"/>
  <c r="I264" i="29"/>
  <c r="I168" i="29"/>
  <c r="I103" i="29"/>
  <c r="I90" i="29"/>
  <c r="I513" i="29"/>
  <c r="I487" i="29"/>
  <c r="I475" i="29"/>
  <c r="I436" i="29"/>
  <c r="I411" i="29"/>
  <c r="I252" i="29"/>
  <c r="I239" i="29"/>
  <c r="I206" i="29"/>
  <c r="I142" i="29"/>
  <c r="I115" i="29"/>
  <c r="I386" i="29"/>
  <c r="I302" i="29"/>
  <c r="I289" i="29"/>
  <c r="I181" i="29"/>
  <c r="I128" i="29"/>
  <c r="I449" i="29"/>
  <c r="I423" i="29"/>
  <c r="I366" i="29"/>
  <c r="I353" i="29"/>
  <c r="I219" i="29"/>
  <c r="I193" i="29"/>
  <c r="I155" i="29"/>
  <c r="I381" i="31"/>
  <c r="I473" i="31"/>
  <c r="I459" i="31"/>
  <c r="I486" i="31"/>
  <c r="I447" i="31"/>
  <c r="I322" i="31"/>
  <c r="I335" i="31"/>
  <c r="I206" i="31"/>
  <c r="I296" i="31"/>
  <c r="I132" i="31"/>
  <c r="I172" i="31"/>
  <c r="I186" i="31"/>
  <c r="I51" i="31"/>
  <c r="I146" i="31"/>
  <c r="I216" i="28"/>
  <c r="I307" i="28"/>
  <c r="I268" i="28"/>
  <c r="I281" i="28"/>
  <c r="I293" i="28"/>
  <c r="I320" i="28"/>
  <c r="I157" i="28"/>
  <c r="I170" i="28"/>
  <c r="I51" i="25"/>
  <c r="I78" i="25"/>
  <c r="I132" i="25"/>
  <c r="I39" i="25"/>
  <c r="I64" i="25"/>
  <c r="I92" i="25"/>
  <c r="I131" i="28"/>
  <c r="I143" i="28"/>
  <c r="I190" i="28"/>
  <c r="I118" i="28"/>
  <c r="I434" i="31"/>
  <c r="I355" i="31"/>
  <c r="I40" i="28"/>
  <c r="I66" i="28"/>
  <c r="I283" i="31"/>
  <c r="I232" i="31"/>
  <c r="I220" i="31"/>
  <c r="I308" i="31"/>
  <c r="I257" i="31"/>
  <c r="I244" i="31"/>
  <c r="I270" i="31"/>
  <c r="V164" i="45" l="1"/>
  <c r="V161" i="45"/>
  <c r="V176" i="45"/>
  <c r="O161" i="45" l="1"/>
  <c r="N161" i="45"/>
  <c r="J161" i="45"/>
  <c r="U159" i="35"/>
  <c r="U164" i="35"/>
  <c r="T342" i="46"/>
  <c r="V54" i="45"/>
  <c r="U73" i="35"/>
  <c r="V86" i="45"/>
  <c r="V73" i="45"/>
  <c r="H19" i="38"/>
  <c r="H18" i="38"/>
  <c r="H16" i="38"/>
  <c r="S16" i="38" s="1"/>
  <c r="H15" i="38"/>
  <c r="H14" i="38"/>
  <c r="H12" i="38"/>
  <c r="S12" i="38" s="1"/>
  <c r="H13" i="38"/>
  <c r="M85" i="1" s="1"/>
  <c r="H17" i="38"/>
  <c r="M32" i="1" s="1"/>
  <c r="Y141" i="38"/>
  <c r="G141" i="38" s="1"/>
  <c r="Y140" i="38"/>
  <c r="G140" i="38" s="1"/>
  <c r="G138" i="38"/>
  <c r="G137" i="38"/>
  <c r="G136" i="38"/>
  <c r="G133" i="38"/>
  <c r="G132" i="38"/>
  <c r="H246" i="38" l="1"/>
  <c r="N203" i="29" s="1"/>
  <c r="Y150" i="38"/>
  <c r="G150" i="38" s="1"/>
  <c r="H150" i="38" s="1"/>
  <c r="N316" i="28" s="1"/>
  <c r="Y148" i="38"/>
  <c r="H247" i="38"/>
  <c r="N215" i="29" s="1"/>
  <c r="Y151" i="38"/>
  <c r="Y149" i="38"/>
  <c r="G149" i="38" s="1"/>
  <c r="H149" i="38" s="1"/>
  <c r="N304" i="28" s="1"/>
  <c r="L246" i="38"/>
  <c r="R203" i="29" s="1"/>
  <c r="V246" i="38"/>
  <c r="AB203" i="29" s="1"/>
  <c r="R246" i="38"/>
  <c r="X203" i="29" s="1"/>
  <c r="U246" i="38"/>
  <c r="AA203" i="29" s="1"/>
  <c r="O247" i="38"/>
  <c r="U215" i="29" s="1"/>
  <c r="M247" i="38"/>
  <c r="S215" i="29" s="1"/>
  <c r="H245" i="38"/>
  <c r="N202" i="29" s="1"/>
  <c r="Y147" i="38"/>
  <c r="G147" i="38" s="1"/>
  <c r="Y145" i="38"/>
  <c r="G145" i="38" s="1"/>
  <c r="Y142" i="38"/>
  <c r="G142" i="38" s="1"/>
  <c r="Y143" i="38"/>
  <c r="G143" i="38" s="1"/>
  <c r="G131" i="38"/>
  <c r="Y146" i="38"/>
  <c r="G146" i="38" s="1"/>
  <c r="Y144" i="38"/>
  <c r="G144" i="38" s="1"/>
  <c r="N190" i="28"/>
  <c r="R176" i="45"/>
  <c r="N176" i="45"/>
  <c r="J176" i="45"/>
  <c r="F176" i="45"/>
  <c r="Q176" i="45"/>
  <c r="M176" i="45"/>
  <c r="I176" i="45"/>
  <c r="E176" i="45"/>
  <c r="P176" i="45"/>
  <c r="L176" i="45"/>
  <c r="D176" i="45"/>
  <c r="O176" i="45"/>
  <c r="K176" i="45"/>
  <c r="G176" i="45"/>
  <c r="U18" i="38"/>
  <c r="O18" i="38"/>
  <c r="R18" i="38"/>
  <c r="V18" i="38"/>
  <c r="N18" i="38"/>
  <c r="S18" i="38"/>
  <c r="K18" i="38"/>
  <c r="J18" i="38"/>
  <c r="T13" i="38"/>
  <c r="Y85" i="1" s="1"/>
  <c r="S13" i="38"/>
  <c r="X85" i="1" s="1"/>
  <c r="N13" i="38"/>
  <c r="S85" i="1" s="1"/>
  <c r="I13" i="38"/>
  <c r="N85" i="1" s="1"/>
  <c r="V13" i="38"/>
  <c r="AA85" i="1" s="1"/>
  <c r="K13" i="38"/>
  <c r="P85" i="1" s="1"/>
  <c r="U13" i="38"/>
  <c r="Z85" i="1" s="1"/>
  <c r="O13" i="38"/>
  <c r="T85" i="1" s="1"/>
  <c r="J13" i="38"/>
  <c r="O85" i="1" s="1"/>
  <c r="R13" i="38"/>
  <c r="W85" i="1" s="1"/>
  <c r="M13" i="38"/>
  <c r="R85" i="1" s="1"/>
  <c r="Q13" i="38"/>
  <c r="V85" i="1" s="1"/>
  <c r="T17" i="38"/>
  <c r="Y32" i="1" s="1"/>
  <c r="R17" i="38"/>
  <c r="W32" i="1" s="1"/>
  <c r="M17" i="38"/>
  <c r="R32" i="1" s="1"/>
  <c r="U17" i="38"/>
  <c r="Z32" i="1" s="1"/>
  <c r="J17" i="38"/>
  <c r="O32" i="1" s="1"/>
  <c r="S17" i="38"/>
  <c r="X32" i="1" s="1"/>
  <c r="V17" i="38"/>
  <c r="AA32" i="1" s="1"/>
  <c r="Q17" i="38"/>
  <c r="V32" i="1" s="1"/>
  <c r="K17" i="38"/>
  <c r="P32" i="1" s="1"/>
  <c r="O17" i="38"/>
  <c r="T32" i="1" s="1"/>
  <c r="N17" i="38"/>
  <c r="S32" i="1" s="1"/>
  <c r="I17" i="38"/>
  <c r="N32" i="1" s="1"/>
  <c r="U14" i="38"/>
  <c r="R14" i="38"/>
  <c r="J14" i="38"/>
  <c r="V14" i="38"/>
  <c r="S14" i="38"/>
  <c r="K14" i="38"/>
  <c r="O14" i="38"/>
  <c r="N14" i="38"/>
  <c r="V19" i="38"/>
  <c r="O19" i="38"/>
  <c r="S19" i="38"/>
  <c r="K19" i="38"/>
  <c r="V15" i="38"/>
  <c r="K15" i="38"/>
  <c r="O15" i="38"/>
  <c r="S15" i="38"/>
  <c r="U161" i="35"/>
  <c r="AB307" i="28"/>
  <c r="G161" i="45"/>
  <c r="I161" i="45"/>
  <c r="F161" i="45"/>
  <c r="R161" i="45"/>
  <c r="K161" i="45"/>
  <c r="M161" i="45"/>
  <c r="L161" i="45"/>
  <c r="P161" i="45"/>
  <c r="E161" i="45"/>
  <c r="Q161" i="45"/>
  <c r="AA228" i="28"/>
  <c r="T254" i="28"/>
  <c r="Y293" i="28"/>
  <c r="W268" i="28"/>
  <c r="AB281" i="28"/>
  <c r="U281" i="28"/>
  <c r="Q281" i="28"/>
  <c r="AA307" i="28"/>
  <c r="AA216" i="28"/>
  <c r="BK211" i="28" s="1"/>
  <c r="S216" i="28"/>
  <c r="BC211" i="28" s="1"/>
  <c r="V216" i="28"/>
  <c r="BF211" i="28" s="1"/>
  <c r="O216" i="28"/>
  <c r="AY211" i="28" s="1"/>
  <c r="X216" i="28"/>
  <c r="BH211" i="28" s="1"/>
  <c r="P216" i="28"/>
  <c r="AZ211" i="28" s="1"/>
  <c r="T216" i="28"/>
  <c r="BD211" i="28" s="1"/>
  <c r="N216" i="28"/>
  <c r="AA320" i="28"/>
  <c r="W320" i="28"/>
  <c r="O320" i="28"/>
  <c r="Z320" i="28"/>
  <c r="V241" i="28"/>
  <c r="V254" i="28"/>
  <c r="Y254" i="28"/>
  <c r="Y268" i="28"/>
  <c r="Q293" i="28"/>
  <c r="Q254" i="28"/>
  <c r="AB254" i="28"/>
  <c r="X228" i="28"/>
  <c r="S228" i="28"/>
  <c r="Z216" i="28"/>
  <c r="BJ211" i="28" s="1"/>
  <c r="Q268" i="28"/>
  <c r="AA268" i="28"/>
  <c r="Y281" i="28"/>
  <c r="U293" i="28"/>
  <c r="P228" i="28"/>
  <c r="V268" i="28"/>
  <c r="U228" i="28"/>
  <c r="N268" i="28"/>
  <c r="S268" i="28"/>
  <c r="S307" i="28"/>
  <c r="O307" i="28"/>
  <c r="W307" i="28"/>
  <c r="V320" i="28"/>
  <c r="AA254" i="28"/>
  <c r="W254" i="28"/>
  <c r="S254" i="28"/>
  <c r="O254" i="28"/>
  <c r="Z228" i="28"/>
  <c r="V228" i="28"/>
  <c r="N228" i="28"/>
  <c r="AB241" i="28"/>
  <c r="X241" i="28"/>
  <c r="T241" i="28"/>
  <c r="P241" i="28"/>
  <c r="AA241" i="28"/>
  <c r="W241" i="28"/>
  <c r="S241" i="28"/>
  <c r="O241" i="28"/>
  <c r="AA293" i="28"/>
  <c r="W293" i="28"/>
  <c r="S293" i="28"/>
  <c r="O293" i="28"/>
  <c r="Z293" i="28"/>
  <c r="V293" i="28"/>
  <c r="N293" i="28"/>
  <c r="P254" i="28"/>
  <c r="U254" i="28"/>
  <c r="Z254" i="28"/>
  <c r="O228" i="28"/>
  <c r="T228" i="28"/>
  <c r="Y228" i="28"/>
  <c r="Y216" i="28"/>
  <c r="BI211" i="28" s="1"/>
  <c r="U216" i="28"/>
  <c r="BE211" i="28" s="1"/>
  <c r="Q216" i="28"/>
  <c r="BA211" i="28" s="1"/>
  <c r="T281" i="28"/>
  <c r="T307" i="28"/>
  <c r="S320" i="28"/>
  <c r="Q241" i="28"/>
  <c r="Y241" i="28"/>
  <c r="P293" i="28"/>
  <c r="X293" i="28"/>
  <c r="AB268" i="28"/>
  <c r="X268" i="28"/>
  <c r="T268" i="28"/>
  <c r="P268" i="28"/>
  <c r="AA281" i="28"/>
  <c r="W281" i="28"/>
  <c r="S281" i="28"/>
  <c r="O281" i="28"/>
  <c r="Z281" i="28"/>
  <c r="V281" i="28"/>
  <c r="N281" i="28"/>
  <c r="Z307" i="28"/>
  <c r="V307" i="28"/>
  <c r="N307" i="28"/>
  <c r="Y307" i="28"/>
  <c r="U307" i="28"/>
  <c r="Q307" i="28"/>
  <c r="N320" i="28"/>
  <c r="Z241" i="28"/>
  <c r="X254" i="28"/>
  <c r="Q228" i="28"/>
  <c r="W228" i="28"/>
  <c r="AB228" i="28"/>
  <c r="W216" i="28"/>
  <c r="BG211" i="28" s="1"/>
  <c r="AB216" i="28"/>
  <c r="BL211" i="28" s="1"/>
  <c r="O268" i="28"/>
  <c r="U268" i="28"/>
  <c r="Z268" i="28"/>
  <c r="P281" i="28"/>
  <c r="X281" i="28"/>
  <c r="P307" i="28"/>
  <c r="X307" i="28"/>
  <c r="Y320" i="28"/>
  <c r="U320" i="28"/>
  <c r="Q320" i="28"/>
  <c r="AB320" i="28"/>
  <c r="X320" i="28"/>
  <c r="T320" i="28"/>
  <c r="P320" i="28"/>
  <c r="U241" i="28"/>
  <c r="T293" i="28"/>
  <c r="AB293" i="28"/>
  <c r="L12" i="38"/>
  <c r="P12" i="38"/>
  <c r="T12" i="38"/>
  <c r="L16" i="38"/>
  <c r="P16" i="38"/>
  <c r="T16" i="38"/>
  <c r="I12" i="38"/>
  <c r="M12" i="38"/>
  <c r="Q12" i="38"/>
  <c r="U12" i="38"/>
  <c r="L15" i="38"/>
  <c r="P15" i="38"/>
  <c r="T15" i="38"/>
  <c r="I16" i="38"/>
  <c r="M16" i="38"/>
  <c r="Q16" i="38"/>
  <c r="U16" i="38"/>
  <c r="L19" i="38"/>
  <c r="P19" i="38"/>
  <c r="T19" i="38"/>
  <c r="J12" i="38"/>
  <c r="N12" i="38"/>
  <c r="R12" i="38"/>
  <c r="V12" i="38"/>
  <c r="L14" i="38"/>
  <c r="P14" i="38"/>
  <c r="T14" i="38"/>
  <c r="I15" i="38"/>
  <c r="M15" i="38"/>
  <c r="Q15" i="38"/>
  <c r="U15" i="38"/>
  <c r="J16" i="38"/>
  <c r="N16" i="38"/>
  <c r="R16" i="38"/>
  <c r="V16" i="38"/>
  <c r="L18" i="38"/>
  <c r="P18" i="38"/>
  <c r="T18" i="38"/>
  <c r="I19" i="38"/>
  <c r="M19" i="38"/>
  <c r="Q19" i="38"/>
  <c r="U19" i="38"/>
  <c r="K12" i="38"/>
  <c r="O12" i="38"/>
  <c r="L13" i="38"/>
  <c r="Q85" i="1" s="1"/>
  <c r="P13" i="38"/>
  <c r="U85" i="1" s="1"/>
  <c r="I14" i="38"/>
  <c r="M14" i="38"/>
  <c r="Q14" i="38"/>
  <c r="J15" i="38"/>
  <c r="N15" i="38"/>
  <c r="R15" i="38"/>
  <c r="K16" i="38"/>
  <c r="O16" i="38"/>
  <c r="L17" i="38"/>
  <c r="Q32" i="1" s="1"/>
  <c r="P17" i="38"/>
  <c r="U32" i="1" s="1"/>
  <c r="I18" i="38"/>
  <c r="M18" i="38"/>
  <c r="Q18" i="38"/>
  <c r="J19" i="38"/>
  <c r="N19" i="38"/>
  <c r="R19" i="38"/>
  <c r="Q247" i="38" l="1"/>
  <c r="W215" i="29" s="1"/>
  <c r="S247" i="38"/>
  <c r="Y215" i="29" s="1"/>
  <c r="L247" i="38"/>
  <c r="R215" i="29" s="1"/>
  <c r="N247" i="38"/>
  <c r="T215" i="29" s="1"/>
  <c r="AX211" i="28"/>
  <c r="P247" i="38"/>
  <c r="V215" i="29" s="1"/>
  <c r="R247" i="38"/>
  <c r="X215" i="29" s="1"/>
  <c r="G148" i="38"/>
  <c r="H148" i="38" s="1"/>
  <c r="G151" i="38"/>
  <c r="H151" i="38" s="1"/>
  <c r="Q246" i="38"/>
  <c r="W203" i="29" s="1"/>
  <c r="S246" i="38"/>
  <c r="Y203" i="29" s="1"/>
  <c r="H131" i="38"/>
  <c r="T247" i="38"/>
  <c r="Z215" i="29" s="1"/>
  <c r="U247" i="38"/>
  <c r="AA215" i="29" s="1"/>
  <c r="V247" i="38"/>
  <c r="AB215" i="29" s="1"/>
  <c r="I246" i="38"/>
  <c r="O203" i="29" s="1"/>
  <c r="J246" i="38"/>
  <c r="P203" i="29" s="1"/>
  <c r="K246" i="38"/>
  <c r="Q203" i="29" s="1"/>
  <c r="P246" i="38"/>
  <c r="V203" i="29" s="1"/>
  <c r="H144" i="38"/>
  <c r="H143" i="38"/>
  <c r="I247" i="38"/>
  <c r="O215" i="29" s="1"/>
  <c r="J247" i="38"/>
  <c r="P215" i="29" s="1"/>
  <c r="K247" i="38"/>
  <c r="Q215" i="29" s="1"/>
  <c r="M246" i="38"/>
  <c r="S203" i="29" s="1"/>
  <c r="N246" i="38"/>
  <c r="T203" i="29" s="1"/>
  <c r="O246" i="38"/>
  <c r="U203" i="29" s="1"/>
  <c r="T246" i="38"/>
  <c r="Z203" i="29" s="1"/>
  <c r="H146" i="38"/>
  <c r="H145" i="38"/>
  <c r="H147" i="38"/>
  <c r="J86" i="45"/>
  <c r="M86" i="45"/>
  <c r="E86" i="45"/>
  <c r="O86" i="45"/>
  <c r="R86" i="45"/>
  <c r="G86" i="45"/>
  <c r="Q86" i="45"/>
  <c r="K86" i="45"/>
  <c r="F86" i="45"/>
  <c r="P86" i="45"/>
  <c r="N86" i="45"/>
  <c r="I86" i="45"/>
  <c r="L86" i="45"/>
  <c r="D86" i="45"/>
  <c r="N254" i="28"/>
  <c r="N241" i="28"/>
  <c r="H142" i="38"/>
  <c r="N264" i="28" s="1"/>
  <c r="H248" i="38"/>
  <c r="N216" i="29" s="1"/>
  <c r="U245" i="38"/>
  <c r="AA202" i="29" s="1"/>
  <c r="Q245" i="38"/>
  <c r="W202" i="29" s="1"/>
  <c r="M245" i="38"/>
  <c r="S202" i="29" s="1"/>
  <c r="I245" i="38"/>
  <c r="O202" i="29" s="1"/>
  <c r="T245" i="38"/>
  <c r="Z202" i="29" s="1"/>
  <c r="P245" i="38"/>
  <c r="V202" i="29" s="1"/>
  <c r="L245" i="38"/>
  <c r="R202" i="29" s="1"/>
  <c r="S245" i="38"/>
  <c r="Y202" i="29" s="1"/>
  <c r="O245" i="38"/>
  <c r="U202" i="29" s="1"/>
  <c r="K245" i="38"/>
  <c r="Q202" i="29" s="1"/>
  <c r="V245" i="38"/>
  <c r="AB202" i="29" s="1"/>
  <c r="R245" i="38"/>
  <c r="X202" i="29" s="1"/>
  <c r="N245" i="38"/>
  <c r="T202" i="29" s="1"/>
  <c r="J245" i="38"/>
  <c r="P202" i="29" s="1"/>
  <c r="V142" i="38"/>
  <c r="AB264" i="28" s="1"/>
  <c r="V150" i="38"/>
  <c r="AB316" i="28" s="1"/>
  <c r="U150" i="38"/>
  <c r="AA316" i="28" s="1"/>
  <c r="T150" i="38"/>
  <c r="Z316" i="28" s="1"/>
  <c r="O150" i="38"/>
  <c r="U316" i="28" s="1"/>
  <c r="R150" i="38"/>
  <c r="X316" i="28" s="1"/>
  <c r="Q150" i="38"/>
  <c r="W316" i="28" s="1"/>
  <c r="S150" i="38"/>
  <c r="Y316" i="28" s="1"/>
  <c r="L150" i="38"/>
  <c r="R316" i="28" s="1"/>
  <c r="N150" i="38"/>
  <c r="T316" i="28" s="1"/>
  <c r="K150" i="38"/>
  <c r="Q316" i="28" s="1"/>
  <c r="J150" i="38"/>
  <c r="P316" i="28" s="1"/>
  <c r="P150" i="38"/>
  <c r="V316" i="28" s="1"/>
  <c r="M150" i="38"/>
  <c r="S316" i="28" s="1"/>
  <c r="I150" i="38"/>
  <c r="O316" i="28" s="1"/>
  <c r="N149" i="38"/>
  <c r="T304" i="28" s="1"/>
  <c r="M149" i="38"/>
  <c r="S304" i="28" s="1"/>
  <c r="P149" i="38"/>
  <c r="V304" i="28" s="1"/>
  <c r="J149" i="38"/>
  <c r="P304" i="28" s="1"/>
  <c r="I149" i="38"/>
  <c r="O304" i="28" s="1"/>
  <c r="O149" i="38"/>
  <c r="U304" i="28" s="1"/>
  <c r="U149" i="38"/>
  <c r="AA304" i="28" s="1"/>
  <c r="T149" i="38"/>
  <c r="Z304" i="28" s="1"/>
  <c r="Q149" i="38"/>
  <c r="W304" i="28" s="1"/>
  <c r="L149" i="38"/>
  <c r="R304" i="28" s="1"/>
  <c r="V149" i="38"/>
  <c r="AB304" i="28" s="1"/>
  <c r="S149" i="38"/>
  <c r="Y304" i="28" s="1"/>
  <c r="R149" i="38"/>
  <c r="X304" i="28" s="1"/>
  <c r="K149" i="38"/>
  <c r="Q304" i="28" s="1"/>
  <c r="X190" i="28"/>
  <c r="U190" i="28"/>
  <c r="AA190" i="28"/>
  <c r="T190" i="28"/>
  <c r="P190" i="28"/>
  <c r="Q190" i="28"/>
  <c r="Z190" i="28"/>
  <c r="Y190" i="28"/>
  <c r="AB190" i="28"/>
  <c r="V190" i="28"/>
  <c r="S190" i="28"/>
  <c r="W190" i="28"/>
  <c r="O190" i="28"/>
  <c r="D161" i="35"/>
  <c r="F161" i="35"/>
  <c r="L161" i="35"/>
  <c r="M161" i="35"/>
  <c r="J161" i="35"/>
  <c r="K161" i="35"/>
  <c r="R161" i="35"/>
  <c r="Q161" i="35"/>
  <c r="O161" i="35"/>
  <c r="P161" i="35"/>
  <c r="E161" i="35"/>
  <c r="N161" i="35"/>
  <c r="G161" i="35"/>
  <c r="I161" i="35"/>
  <c r="U176" i="35"/>
  <c r="N317" i="28" l="1"/>
  <c r="V151" i="38"/>
  <c r="AB317" i="28" s="1"/>
  <c r="T151" i="38"/>
  <c r="Z317" i="28" s="1"/>
  <c r="Q151" i="38"/>
  <c r="W317" i="28" s="1"/>
  <c r="N151" i="38"/>
  <c r="T317" i="28" s="1"/>
  <c r="N303" i="28"/>
  <c r="J148" i="38"/>
  <c r="P303" i="28" s="1"/>
  <c r="S148" i="38"/>
  <c r="Y303" i="28" s="1"/>
  <c r="O148" i="38"/>
  <c r="U303" i="28" s="1"/>
  <c r="N148" i="38"/>
  <c r="T303" i="28" s="1"/>
  <c r="I148" i="38"/>
  <c r="O303" i="28" s="1"/>
  <c r="R148" i="38"/>
  <c r="X303" i="28" s="1"/>
  <c r="Q148" i="38"/>
  <c r="W303" i="28" s="1"/>
  <c r="M148" i="38"/>
  <c r="S303" i="28" s="1"/>
  <c r="P148" i="38"/>
  <c r="V303" i="28" s="1"/>
  <c r="K148" i="38"/>
  <c r="Q303" i="28" s="1"/>
  <c r="L148" i="38"/>
  <c r="R303" i="28" s="1"/>
  <c r="T148" i="38"/>
  <c r="Z303" i="28" s="1"/>
  <c r="V148" i="38"/>
  <c r="AB303" i="28" s="1"/>
  <c r="U148" i="38"/>
  <c r="AA303" i="28" s="1"/>
  <c r="P151" i="38"/>
  <c r="V317" i="28" s="1"/>
  <c r="R151" i="38"/>
  <c r="X317" i="28" s="1"/>
  <c r="J151" i="38"/>
  <c r="P317" i="28" s="1"/>
  <c r="U151" i="38"/>
  <c r="AA317" i="28" s="1"/>
  <c r="O151" i="38"/>
  <c r="U317" i="28" s="1"/>
  <c r="L151" i="38"/>
  <c r="R317" i="28" s="1"/>
  <c r="K151" i="38"/>
  <c r="Q317" i="28" s="1"/>
  <c r="S151" i="38"/>
  <c r="Y317" i="28" s="1"/>
  <c r="I151" i="38"/>
  <c r="O317" i="28" s="1"/>
  <c r="M151" i="38"/>
  <c r="S317" i="28" s="1"/>
  <c r="N278" i="28"/>
  <c r="O145" i="38"/>
  <c r="U278" i="28" s="1"/>
  <c r="I145" i="38"/>
  <c r="O278" i="28" s="1"/>
  <c r="U145" i="38"/>
  <c r="AA278" i="28" s="1"/>
  <c r="Q145" i="38"/>
  <c r="W278" i="28" s="1"/>
  <c r="N290" i="28"/>
  <c r="T147" i="38"/>
  <c r="Z290" i="28" s="1"/>
  <c r="L147" i="38"/>
  <c r="R290" i="28" s="1"/>
  <c r="P147" i="38"/>
  <c r="V290" i="28" s="1"/>
  <c r="V147" i="38"/>
  <c r="AB290" i="28" s="1"/>
  <c r="R147" i="38"/>
  <c r="X290" i="28" s="1"/>
  <c r="M147" i="38"/>
  <c r="S290" i="28" s="1"/>
  <c r="J147" i="38"/>
  <c r="P290" i="28" s="1"/>
  <c r="S147" i="38"/>
  <c r="Y290" i="28" s="1"/>
  <c r="N147" i="38"/>
  <c r="T290" i="28" s="1"/>
  <c r="U147" i="38"/>
  <c r="AA290" i="28" s="1"/>
  <c r="Q147" i="38"/>
  <c r="W290" i="28" s="1"/>
  <c r="I147" i="38"/>
  <c r="O290" i="28" s="1"/>
  <c r="O147" i="38"/>
  <c r="U290" i="28" s="1"/>
  <c r="K147" i="38"/>
  <c r="Q290" i="28" s="1"/>
  <c r="N277" i="28"/>
  <c r="V144" i="38"/>
  <c r="AB277" i="28" s="1"/>
  <c r="R144" i="38"/>
  <c r="X277" i="28" s="1"/>
  <c r="M144" i="38"/>
  <c r="S277" i="28" s="1"/>
  <c r="J144" i="38"/>
  <c r="P277" i="28" s="1"/>
  <c r="T144" i="38"/>
  <c r="Z277" i="28" s="1"/>
  <c r="L144" i="38"/>
  <c r="R277" i="28" s="1"/>
  <c r="U144" i="38"/>
  <c r="AA277" i="28" s="1"/>
  <c r="Q144" i="38"/>
  <c r="W277" i="28" s="1"/>
  <c r="I144" i="38"/>
  <c r="O277" i="28" s="1"/>
  <c r="P144" i="38"/>
  <c r="V277" i="28" s="1"/>
  <c r="O144" i="38"/>
  <c r="U277" i="28" s="1"/>
  <c r="S144" i="38"/>
  <c r="Y277" i="28" s="1"/>
  <c r="K144" i="38"/>
  <c r="Q277" i="28" s="1"/>
  <c r="N144" i="38"/>
  <c r="T277" i="28" s="1"/>
  <c r="M145" i="38"/>
  <c r="S278" i="28" s="1"/>
  <c r="N145" i="38"/>
  <c r="T278" i="28" s="1"/>
  <c r="R145" i="38"/>
  <c r="X278" i="28" s="1"/>
  <c r="V145" i="38"/>
  <c r="AB278" i="28" s="1"/>
  <c r="P145" i="38"/>
  <c r="V278" i="28" s="1"/>
  <c r="L145" i="38"/>
  <c r="R278" i="28" s="1"/>
  <c r="T145" i="38"/>
  <c r="Z278" i="28" s="1"/>
  <c r="J145" i="38"/>
  <c r="P278" i="28" s="1"/>
  <c r="K145" i="38"/>
  <c r="Q278" i="28" s="1"/>
  <c r="S145" i="38"/>
  <c r="Y278" i="28" s="1"/>
  <c r="Q131" i="38"/>
  <c r="W187" i="28" s="1"/>
  <c r="M131" i="38"/>
  <c r="S187" i="28" s="1"/>
  <c r="L131" i="38"/>
  <c r="R187" i="28" s="1"/>
  <c r="P131" i="38"/>
  <c r="V187" i="28" s="1"/>
  <c r="T131" i="38"/>
  <c r="Z187" i="28" s="1"/>
  <c r="I131" i="38"/>
  <c r="O187" i="28" s="1"/>
  <c r="R131" i="38"/>
  <c r="X187" i="28" s="1"/>
  <c r="N187" i="28"/>
  <c r="U131" i="38"/>
  <c r="AA187" i="28" s="1"/>
  <c r="N131" i="38"/>
  <c r="T187" i="28" s="1"/>
  <c r="V131" i="38"/>
  <c r="AB187" i="28" s="1"/>
  <c r="O131" i="38"/>
  <c r="U187" i="28" s="1"/>
  <c r="J131" i="38"/>
  <c r="P187" i="28" s="1"/>
  <c r="S131" i="38"/>
  <c r="Y187" i="28" s="1"/>
  <c r="K131" i="38"/>
  <c r="Q187" i="28" s="1"/>
  <c r="N289" i="28"/>
  <c r="P146" i="38"/>
  <c r="V289" i="28" s="1"/>
  <c r="V146" i="38"/>
  <c r="AB289" i="28" s="1"/>
  <c r="U146" i="38"/>
  <c r="AA289" i="28" s="1"/>
  <c r="J146" i="38"/>
  <c r="P289" i="28" s="1"/>
  <c r="S146" i="38"/>
  <c r="Y289" i="28" s="1"/>
  <c r="T146" i="38"/>
  <c r="Z289" i="28" s="1"/>
  <c r="N146" i="38"/>
  <c r="T289" i="28" s="1"/>
  <c r="I146" i="38"/>
  <c r="O289" i="28" s="1"/>
  <c r="R146" i="38"/>
  <c r="X289" i="28" s="1"/>
  <c r="Q146" i="38"/>
  <c r="W289" i="28" s="1"/>
  <c r="M146" i="38"/>
  <c r="S289" i="28" s="1"/>
  <c r="O146" i="38"/>
  <c r="U289" i="28" s="1"/>
  <c r="K146" i="38"/>
  <c r="Q289" i="28" s="1"/>
  <c r="L146" i="38"/>
  <c r="R289" i="28" s="1"/>
  <c r="N265" i="28"/>
  <c r="N143" i="38"/>
  <c r="T265" i="28" s="1"/>
  <c r="I143" i="38"/>
  <c r="O265" i="28" s="1"/>
  <c r="Q143" i="38"/>
  <c r="W265" i="28" s="1"/>
  <c r="R143" i="38"/>
  <c r="X265" i="28" s="1"/>
  <c r="M143" i="38"/>
  <c r="S265" i="28" s="1"/>
  <c r="P143" i="38"/>
  <c r="V265" i="28" s="1"/>
  <c r="L143" i="38"/>
  <c r="R265" i="28" s="1"/>
  <c r="K143" i="38"/>
  <c r="Q265" i="28" s="1"/>
  <c r="T143" i="38"/>
  <c r="Z265" i="28" s="1"/>
  <c r="U143" i="38"/>
  <c r="AA265" i="28" s="1"/>
  <c r="V143" i="38"/>
  <c r="AB265" i="28" s="1"/>
  <c r="J143" i="38"/>
  <c r="P265" i="28" s="1"/>
  <c r="O143" i="38"/>
  <c r="U265" i="28" s="1"/>
  <c r="S143" i="38"/>
  <c r="Y265" i="28" s="1"/>
  <c r="V130" i="38"/>
  <c r="AB186" i="28" s="1"/>
  <c r="BL185" i="28" s="1"/>
  <c r="U130" i="38"/>
  <c r="AA186" i="28" s="1"/>
  <c r="BK185" i="28" s="1"/>
  <c r="N130" i="38"/>
  <c r="T186" i="28" s="1"/>
  <c r="BD185" i="28" s="1"/>
  <c r="N186" i="28"/>
  <c r="AX185" i="28" s="1"/>
  <c r="S130" i="38"/>
  <c r="Y186" i="28" s="1"/>
  <c r="BI185" i="28" s="1"/>
  <c r="R130" i="38"/>
  <c r="X186" i="28" s="1"/>
  <c r="BH185" i="28" s="1"/>
  <c r="K130" i="38"/>
  <c r="Q186" i="28" s="1"/>
  <c r="BA185" i="28" s="1"/>
  <c r="J130" i="38"/>
  <c r="P186" i="28" s="1"/>
  <c r="AZ185" i="28" s="1"/>
  <c r="L130" i="38"/>
  <c r="R186" i="28" s="1"/>
  <c r="P130" i="38"/>
  <c r="V186" i="28" s="1"/>
  <c r="BF185" i="28" s="1"/>
  <c r="T130" i="38"/>
  <c r="Z186" i="28" s="1"/>
  <c r="BJ185" i="28" s="1"/>
  <c r="O130" i="38"/>
  <c r="U186" i="28" s="1"/>
  <c r="BE185" i="28" s="1"/>
  <c r="I130" i="38"/>
  <c r="O186" i="28" s="1"/>
  <c r="AY185" i="28" s="1"/>
  <c r="M130" i="38"/>
  <c r="S186" i="28" s="1"/>
  <c r="BC185" i="28" s="1"/>
  <c r="Q130" i="38"/>
  <c r="W186" i="28" s="1"/>
  <c r="BG185" i="28" s="1"/>
  <c r="L142" i="38"/>
  <c r="R264" i="28" s="1"/>
  <c r="L86" i="35"/>
  <c r="K86" i="35"/>
  <c r="J142" i="38"/>
  <c r="P264" i="28" s="1"/>
  <c r="R86" i="35"/>
  <c r="P142" i="38"/>
  <c r="V264" i="28" s="1"/>
  <c r="T142" i="38"/>
  <c r="Z264" i="28" s="1"/>
  <c r="K142" i="38"/>
  <c r="Q264" i="28" s="1"/>
  <c r="M142" i="38"/>
  <c r="S264" i="28" s="1"/>
  <c r="S142" i="38"/>
  <c r="Y264" i="28" s="1"/>
  <c r="Q86" i="35"/>
  <c r="F86" i="35"/>
  <c r="N86" i="35"/>
  <c r="M86" i="35"/>
  <c r="O86" i="35"/>
  <c r="J86" i="35"/>
  <c r="G86" i="35"/>
  <c r="I86" i="35"/>
  <c r="P86" i="35"/>
  <c r="E86" i="35"/>
  <c r="D176" i="35"/>
  <c r="D86" i="35"/>
  <c r="U204" i="28"/>
  <c r="Y204" i="28"/>
  <c r="AB204" i="28"/>
  <c r="Z204" i="28"/>
  <c r="W204" i="28"/>
  <c r="P204" i="28"/>
  <c r="AA204" i="28"/>
  <c r="Q204" i="28"/>
  <c r="N204" i="28"/>
  <c r="T204" i="28"/>
  <c r="O204" i="28"/>
  <c r="V204" i="28"/>
  <c r="S204" i="28"/>
  <c r="X204" i="28"/>
  <c r="N142" i="38"/>
  <c r="T264" i="28" s="1"/>
  <c r="R142" i="38"/>
  <c r="X264" i="28" s="1"/>
  <c r="O142" i="38"/>
  <c r="U264" i="28" s="1"/>
  <c r="I142" i="38"/>
  <c r="O264" i="28" s="1"/>
  <c r="Q142" i="38"/>
  <c r="W264" i="28" s="1"/>
  <c r="U142" i="38"/>
  <c r="AA264" i="28" s="1"/>
  <c r="R248" i="38"/>
  <c r="X216" i="29" s="1"/>
  <c r="Q248" i="38"/>
  <c r="W216" i="29" s="1"/>
  <c r="P248" i="38"/>
  <c r="V216" i="29" s="1"/>
  <c r="K248" i="38"/>
  <c r="Q216" i="29" s="1"/>
  <c r="N248" i="38"/>
  <c r="T216" i="29" s="1"/>
  <c r="M248" i="38"/>
  <c r="S216" i="29" s="1"/>
  <c r="L248" i="38"/>
  <c r="R216" i="29" s="1"/>
  <c r="J248" i="38"/>
  <c r="P216" i="29" s="1"/>
  <c r="I248" i="38"/>
  <c r="O216" i="29" s="1"/>
  <c r="S248" i="38"/>
  <c r="Y216" i="29" s="1"/>
  <c r="V248" i="38"/>
  <c r="AB216" i="29" s="1"/>
  <c r="U248" i="38"/>
  <c r="AA216" i="29" s="1"/>
  <c r="T248" i="38"/>
  <c r="Z216" i="29" s="1"/>
  <c r="O248" i="38"/>
  <c r="U216" i="29" s="1"/>
  <c r="O176" i="35"/>
  <c r="I176" i="35"/>
  <c r="K176" i="35"/>
  <c r="E176" i="35"/>
  <c r="J176" i="35"/>
  <c r="N176" i="35"/>
  <c r="R176" i="35"/>
  <c r="F176" i="35"/>
  <c r="G176" i="35"/>
  <c r="L176" i="35"/>
  <c r="Q176" i="35"/>
  <c r="P176" i="35"/>
  <c r="M176" i="35"/>
  <c r="H320" i="38"/>
  <c r="H312" i="38"/>
  <c r="H313" i="38"/>
  <c r="H314" i="38"/>
  <c r="H321" i="38"/>
  <c r="M73" i="32" l="1"/>
  <c r="M74" i="32"/>
  <c r="M46" i="23"/>
  <c r="M47" i="23"/>
  <c r="M27" i="23"/>
  <c r="M26" i="23"/>
  <c r="M32" i="32"/>
  <c r="M31" i="32"/>
  <c r="M52" i="32"/>
  <c r="M53" i="32"/>
  <c r="Y195" i="28"/>
  <c r="Y193" i="28"/>
  <c r="Y196" i="28"/>
  <c r="Y194" i="28"/>
  <c r="Y192" i="28"/>
  <c r="Y191" i="28"/>
  <c r="U195" i="28"/>
  <c r="U196" i="28"/>
  <c r="U191" i="28"/>
  <c r="U193" i="28"/>
  <c r="U194" i="28"/>
  <c r="U192" i="28"/>
  <c r="S192" i="28"/>
  <c r="S191" i="28"/>
  <c r="S193" i="28"/>
  <c r="S194" i="28"/>
  <c r="S195" i="28"/>
  <c r="S196" i="28"/>
  <c r="O196" i="28"/>
  <c r="O192" i="28"/>
  <c r="O191" i="28"/>
  <c r="O194" i="28"/>
  <c r="O193" i="28"/>
  <c r="O195" i="28"/>
  <c r="N192" i="28"/>
  <c r="N195" i="28"/>
  <c r="N191" i="28"/>
  <c r="N196" i="28"/>
  <c r="N193" i="28"/>
  <c r="N194" i="28"/>
  <c r="P192" i="28"/>
  <c r="P191" i="28"/>
  <c r="P196" i="28"/>
  <c r="P194" i="28"/>
  <c r="P195" i="28"/>
  <c r="P193" i="28"/>
  <c r="Z192" i="28"/>
  <c r="Z194" i="28"/>
  <c r="Z193" i="28"/>
  <c r="Z195" i="28"/>
  <c r="Z196" i="28"/>
  <c r="Z191" i="28"/>
  <c r="AB192" i="28"/>
  <c r="AB195" i="28"/>
  <c r="AB191" i="28"/>
  <c r="AB193" i="28"/>
  <c r="AB196" i="28"/>
  <c r="AB194" i="28"/>
  <c r="AA193" i="28"/>
  <c r="AA196" i="28"/>
  <c r="AA194" i="28"/>
  <c r="AA191" i="28"/>
  <c r="AA195" i="28"/>
  <c r="AA192" i="28"/>
  <c r="X193" i="28"/>
  <c r="X192" i="28"/>
  <c r="X196" i="28"/>
  <c r="X195" i="28"/>
  <c r="X191" i="28"/>
  <c r="X194" i="28"/>
  <c r="V193" i="28"/>
  <c r="V191" i="28"/>
  <c r="V194" i="28"/>
  <c r="V192" i="28"/>
  <c r="V196" i="28"/>
  <c r="V195" i="28"/>
  <c r="T192" i="28"/>
  <c r="T194" i="28"/>
  <c r="T196" i="28"/>
  <c r="T195" i="28"/>
  <c r="T193" i="28"/>
  <c r="T191" i="28"/>
  <c r="Q194" i="28"/>
  <c r="Q195" i="28"/>
  <c r="Q196" i="28"/>
  <c r="Q193" i="28"/>
  <c r="Q192" i="28"/>
  <c r="Q191" i="28"/>
  <c r="W191" i="28"/>
  <c r="W195" i="28"/>
  <c r="W194" i="28"/>
  <c r="W196" i="28"/>
  <c r="W192" i="28"/>
  <c r="W193" i="28"/>
  <c r="K314" i="38"/>
  <c r="L312" i="38"/>
  <c r="J320" i="38"/>
  <c r="L313" i="38"/>
  <c r="L321" i="38"/>
  <c r="S312" i="38"/>
  <c r="O312" i="38"/>
  <c r="K312" i="38"/>
  <c r="I312" i="38"/>
  <c r="R312" i="38"/>
  <c r="V312" i="38"/>
  <c r="N312" i="38"/>
  <c r="J312" i="38"/>
  <c r="U312" i="38"/>
  <c r="Q312" i="38"/>
  <c r="M312" i="38"/>
  <c r="T312" i="38"/>
  <c r="P312" i="38"/>
  <c r="S313" i="38"/>
  <c r="N314" i="38"/>
  <c r="R314" i="38"/>
  <c r="K313" i="38"/>
  <c r="S321" i="38"/>
  <c r="J314" i="38"/>
  <c r="K321" i="38"/>
  <c r="O313" i="38"/>
  <c r="O321" i="38"/>
  <c r="V314" i="38"/>
  <c r="Q320" i="38"/>
  <c r="I313" i="38"/>
  <c r="V313" i="38"/>
  <c r="R313" i="38"/>
  <c r="N313" i="38"/>
  <c r="J313" i="38"/>
  <c r="V321" i="38"/>
  <c r="R321" i="38"/>
  <c r="N321" i="38"/>
  <c r="J321" i="38"/>
  <c r="T320" i="38"/>
  <c r="P320" i="38"/>
  <c r="L320" i="38"/>
  <c r="U314" i="38"/>
  <c r="Q314" i="38"/>
  <c r="M314" i="38"/>
  <c r="I321" i="38"/>
  <c r="U313" i="38"/>
  <c r="Q313" i="38"/>
  <c r="M313" i="38"/>
  <c r="U321" i="38"/>
  <c r="Q321" i="38"/>
  <c r="M321" i="38"/>
  <c r="S320" i="38"/>
  <c r="O320" i="38"/>
  <c r="K320" i="38"/>
  <c r="T314" i="38"/>
  <c r="P314" i="38"/>
  <c r="L314" i="38"/>
  <c r="I320" i="38"/>
  <c r="U320" i="38"/>
  <c r="M320" i="38"/>
  <c r="I314" i="38"/>
  <c r="T313" i="38"/>
  <c r="P313" i="38"/>
  <c r="T321" i="38"/>
  <c r="P321" i="38"/>
  <c r="V320" i="38"/>
  <c r="R320" i="38"/>
  <c r="N320" i="38"/>
  <c r="S314" i="38"/>
  <c r="O314" i="38"/>
  <c r="V70" i="45"/>
  <c r="W27" i="23" l="1"/>
  <c r="W26" i="23"/>
  <c r="U73" i="32"/>
  <c r="U74" i="32"/>
  <c r="Z27" i="23"/>
  <c r="Z26" i="23"/>
  <c r="Y52" i="32"/>
  <c r="Y53" i="32"/>
  <c r="R46" i="23"/>
  <c r="R47" i="23"/>
  <c r="V74" i="32"/>
  <c r="V73" i="32"/>
  <c r="V53" i="32"/>
  <c r="V52" i="32"/>
  <c r="Y27" i="23"/>
  <c r="Y26" i="23"/>
  <c r="AA46" i="23"/>
  <c r="AA47" i="23"/>
  <c r="AA73" i="32"/>
  <c r="AA74" i="32"/>
  <c r="T46" i="23"/>
  <c r="T47" i="23"/>
  <c r="X46" i="23"/>
  <c r="X47" i="23"/>
  <c r="X73" i="32"/>
  <c r="X74" i="32"/>
  <c r="V32" i="32"/>
  <c r="V31" i="32"/>
  <c r="AA31" i="32"/>
  <c r="AA32" i="32"/>
  <c r="T32" i="32"/>
  <c r="T31" i="32"/>
  <c r="O27" i="23"/>
  <c r="O26" i="23"/>
  <c r="T52" i="32"/>
  <c r="T53" i="32"/>
  <c r="AA27" i="23"/>
  <c r="AA26" i="23"/>
  <c r="Y73" i="32"/>
  <c r="Y74" i="32"/>
  <c r="N27" i="23"/>
  <c r="N26" i="23"/>
  <c r="P27" i="23"/>
  <c r="P26" i="23"/>
  <c r="V46" i="23"/>
  <c r="V47" i="23"/>
  <c r="Z74" i="32"/>
  <c r="Z73" i="32"/>
  <c r="Z53" i="32"/>
  <c r="Z52" i="32"/>
  <c r="O46" i="23"/>
  <c r="O47" i="23"/>
  <c r="O73" i="32"/>
  <c r="O74" i="32"/>
  <c r="N74" i="32"/>
  <c r="N73" i="32"/>
  <c r="T74" i="32"/>
  <c r="T73" i="32"/>
  <c r="P73" i="32"/>
  <c r="P74" i="32"/>
  <c r="U32" i="32"/>
  <c r="U31" i="32"/>
  <c r="Z31" i="32"/>
  <c r="Z32" i="32"/>
  <c r="W31" i="32"/>
  <c r="W32" i="32"/>
  <c r="X32" i="32"/>
  <c r="X31" i="32"/>
  <c r="Q31" i="32"/>
  <c r="Q32" i="32"/>
  <c r="X53" i="32"/>
  <c r="X52" i="32"/>
  <c r="U46" i="23"/>
  <c r="U47" i="23"/>
  <c r="N53" i="32"/>
  <c r="N52" i="32"/>
  <c r="Q52" i="32"/>
  <c r="Q53" i="32"/>
  <c r="T27" i="23"/>
  <c r="T26" i="23"/>
  <c r="Z46" i="23"/>
  <c r="Z47" i="23"/>
  <c r="N46" i="23"/>
  <c r="N47" i="23"/>
  <c r="Q27" i="23"/>
  <c r="Q26" i="23"/>
  <c r="S46" i="23"/>
  <c r="S47" i="23"/>
  <c r="S73" i="32"/>
  <c r="S74" i="32"/>
  <c r="V27" i="23"/>
  <c r="V26" i="23"/>
  <c r="P46" i="23"/>
  <c r="P47" i="23"/>
  <c r="W53" i="32"/>
  <c r="W52" i="32"/>
  <c r="Y31" i="32"/>
  <c r="Y32" i="32"/>
  <c r="O31" i="32"/>
  <c r="O32" i="32"/>
  <c r="N31" i="32"/>
  <c r="N32" i="32"/>
  <c r="Q46" i="23"/>
  <c r="Q47" i="23"/>
  <c r="P53" i="32"/>
  <c r="P52" i="32"/>
  <c r="S27" i="23"/>
  <c r="S26" i="23"/>
  <c r="Y46" i="23"/>
  <c r="Y47" i="23"/>
  <c r="R27" i="23"/>
  <c r="R26" i="23"/>
  <c r="U52" i="32"/>
  <c r="U53" i="32"/>
  <c r="X27" i="23"/>
  <c r="X26" i="23"/>
  <c r="R74" i="32"/>
  <c r="R73" i="32"/>
  <c r="R53" i="32"/>
  <c r="R52" i="32"/>
  <c r="U27" i="23"/>
  <c r="U26" i="23"/>
  <c r="W46" i="23"/>
  <c r="W47" i="23"/>
  <c r="W73" i="32"/>
  <c r="W74" i="32"/>
  <c r="AA52" i="32"/>
  <c r="AA53" i="32"/>
  <c r="O53" i="32"/>
  <c r="O52" i="32"/>
  <c r="S52" i="32"/>
  <c r="S53" i="32"/>
  <c r="R31" i="32"/>
  <c r="R32" i="32"/>
  <c r="S31" i="32"/>
  <c r="S32" i="32"/>
  <c r="P32" i="32"/>
  <c r="P31" i="32"/>
  <c r="Q73" i="32"/>
  <c r="Q74" i="32"/>
  <c r="D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25" i="49" l="1"/>
  <c r="E367" i="46"/>
  <c r="N29" i="23" s="1"/>
  <c r="F367" i="46"/>
  <c r="O29" i="23" s="1"/>
  <c r="G367" i="46"/>
  <c r="P29" i="23" s="1"/>
  <c r="H367" i="46"/>
  <c r="Q29" i="23" s="1"/>
  <c r="I367" i="46"/>
  <c r="R29" i="23" s="1"/>
  <c r="J367" i="46"/>
  <c r="S29" i="23" s="1"/>
  <c r="K367" i="46"/>
  <c r="T29" i="23" s="1"/>
  <c r="L367" i="46"/>
  <c r="U29" i="23" s="1"/>
  <c r="M367" i="46"/>
  <c r="V29" i="23" s="1"/>
  <c r="N367" i="46"/>
  <c r="W29" i="23" s="1"/>
  <c r="O367" i="46"/>
  <c r="X29" i="23" s="1"/>
  <c r="P367" i="46"/>
  <c r="Y29" i="23" s="1"/>
  <c r="Q367" i="46"/>
  <c r="Z29" i="23" s="1"/>
  <c r="R367" i="46"/>
  <c r="AA29" i="23" s="1"/>
  <c r="E368" i="46"/>
  <c r="N49" i="23" s="1"/>
  <c r="F368" i="46"/>
  <c r="O49" i="23" s="1"/>
  <c r="G368" i="46"/>
  <c r="P49" i="23" s="1"/>
  <c r="H368" i="46"/>
  <c r="Q49" i="23" s="1"/>
  <c r="I368" i="46"/>
  <c r="R49" i="23" s="1"/>
  <c r="J368" i="46"/>
  <c r="S49" i="23" s="1"/>
  <c r="K368" i="46"/>
  <c r="T49" i="23" s="1"/>
  <c r="L368" i="46"/>
  <c r="U49" i="23" s="1"/>
  <c r="M368" i="46"/>
  <c r="V49" i="23" s="1"/>
  <c r="N368" i="46"/>
  <c r="W49" i="23" s="1"/>
  <c r="O368" i="46"/>
  <c r="X49" i="23" s="1"/>
  <c r="P368" i="46"/>
  <c r="Y49" i="23" s="1"/>
  <c r="Q368" i="46"/>
  <c r="Z49" i="23" s="1"/>
  <c r="R368" i="46"/>
  <c r="AA49" i="23" s="1"/>
  <c r="D368" i="46"/>
  <c r="M49" i="23" s="1"/>
  <c r="D367" i="46"/>
  <c r="M29" i="23" s="1"/>
  <c r="E360" i="46"/>
  <c r="N34" i="32" s="1"/>
  <c r="F360" i="46"/>
  <c r="O34" i="32" s="1"/>
  <c r="G360" i="46"/>
  <c r="P34" i="32" s="1"/>
  <c r="H360" i="46"/>
  <c r="Q34" i="32" s="1"/>
  <c r="I360" i="46"/>
  <c r="R34" i="32" s="1"/>
  <c r="J360" i="46"/>
  <c r="S34" i="32" s="1"/>
  <c r="K360" i="46"/>
  <c r="T34" i="32" s="1"/>
  <c r="L360" i="46"/>
  <c r="U34" i="32" s="1"/>
  <c r="M360" i="46"/>
  <c r="V34" i="32" s="1"/>
  <c r="N360" i="46"/>
  <c r="W34" i="32" s="1"/>
  <c r="O360" i="46"/>
  <c r="X34" i="32" s="1"/>
  <c r="P360" i="46"/>
  <c r="Y34" i="32" s="1"/>
  <c r="Q360" i="46"/>
  <c r="Z34" i="32" s="1"/>
  <c r="R360" i="46"/>
  <c r="AA34" i="32" s="1"/>
  <c r="E361" i="46"/>
  <c r="N76" i="32" s="1"/>
  <c r="F361" i="46"/>
  <c r="O76" i="32" s="1"/>
  <c r="G361" i="46"/>
  <c r="P76" i="32" s="1"/>
  <c r="H361" i="46"/>
  <c r="Q76" i="32" s="1"/>
  <c r="I361" i="46"/>
  <c r="R76" i="32" s="1"/>
  <c r="J361" i="46"/>
  <c r="S76" i="32" s="1"/>
  <c r="K361" i="46"/>
  <c r="T76" i="32" s="1"/>
  <c r="L361" i="46"/>
  <c r="U76" i="32" s="1"/>
  <c r="M361" i="46"/>
  <c r="V76" i="32" s="1"/>
  <c r="N361" i="46"/>
  <c r="W76" i="32" s="1"/>
  <c r="O361" i="46"/>
  <c r="X76" i="32" s="1"/>
  <c r="P361" i="46"/>
  <c r="Y76" i="32" s="1"/>
  <c r="Q361" i="46"/>
  <c r="Z76" i="32" s="1"/>
  <c r="R361" i="46"/>
  <c r="AA76" i="32" s="1"/>
  <c r="E362" i="46"/>
  <c r="F362" i="46"/>
  <c r="G362" i="46"/>
  <c r="H362" i="46"/>
  <c r="I362" i="46"/>
  <c r="J362" i="46"/>
  <c r="K362" i="46"/>
  <c r="L362" i="46"/>
  <c r="M362" i="46"/>
  <c r="N362" i="46"/>
  <c r="O362" i="46"/>
  <c r="P362" i="46"/>
  <c r="Q362" i="46"/>
  <c r="R362" i="46"/>
  <c r="D362" i="46"/>
  <c r="M55" i="32" s="1"/>
  <c r="D361" i="46"/>
  <c r="M76" i="32" s="1"/>
  <c r="D360" i="46"/>
  <c r="M34" i="32" s="1"/>
  <c r="T366" i="46"/>
  <c r="T359" i="46"/>
  <c r="T348" i="46"/>
  <c r="Z55" i="32" l="1"/>
  <c r="V55" i="32"/>
  <c r="R55" i="32"/>
  <c r="N55" i="32"/>
  <c r="Y55" i="32"/>
  <c r="U55" i="32"/>
  <c r="Q55" i="32"/>
  <c r="M56" i="32"/>
  <c r="AE55" i="32" s="1"/>
  <c r="X55" i="32"/>
  <c r="T55" i="32"/>
  <c r="P55" i="32"/>
  <c r="AA55" i="32"/>
  <c r="W55" i="32"/>
  <c r="S55" i="32"/>
  <c r="O55" i="32"/>
  <c r="T294" i="46"/>
  <c r="T124" i="46"/>
  <c r="AE50" i="32" l="1"/>
  <c r="AE49" i="32" s="1"/>
  <c r="E33" i="50" s="1"/>
  <c r="O56" i="32"/>
  <c r="AZ29" i="32" s="1"/>
  <c r="AZ19" i="32" s="1"/>
  <c r="W56" i="32"/>
  <c r="BH28" i="32" s="1"/>
  <c r="T56" i="32"/>
  <c r="BE29" i="32" s="1"/>
  <c r="BE19" i="32" s="1"/>
  <c r="AX28" i="32"/>
  <c r="Q56" i="32"/>
  <c r="BB28" i="32" s="1"/>
  <c r="Y56" i="32"/>
  <c r="BJ29" i="32" s="1"/>
  <c r="BJ19" i="32" s="1"/>
  <c r="R56" i="32"/>
  <c r="BC28" i="32" s="1"/>
  <c r="Z56" i="32"/>
  <c r="BK29" i="32" s="1"/>
  <c r="BK19" i="32" s="1"/>
  <c r="AX29" i="32"/>
  <c r="S56" i="32"/>
  <c r="BD28" i="32" s="1"/>
  <c r="AA56" i="32"/>
  <c r="BL29" i="32" s="1"/>
  <c r="BL19" i="32" s="1"/>
  <c r="P56" i="32"/>
  <c r="BA28" i="32" s="1"/>
  <c r="X56" i="32"/>
  <c r="BI28" i="32" s="1"/>
  <c r="U56" i="32"/>
  <c r="BF29" i="32" s="1"/>
  <c r="BF19" i="32" s="1"/>
  <c r="N56" i="32"/>
  <c r="V56" i="32"/>
  <c r="BG29" i="32" s="1"/>
  <c r="BG19" i="32" s="1"/>
  <c r="M61" i="32"/>
  <c r="M60" i="32"/>
  <c r="M62" i="32"/>
  <c r="M59" i="32"/>
  <c r="M57" i="32"/>
  <c r="M58" i="32"/>
  <c r="L2" i="23"/>
  <c r="L2" i="32"/>
  <c r="L2" i="7"/>
  <c r="M2" i="29"/>
  <c r="M2" i="31"/>
  <c r="M2" i="28"/>
  <c r="M2" i="4"/>
  <c r="M2" i="25"/>
  <c r="AX4" i="25" s="1"/>
  <c r="M2" i="26"/>
  <c r="L2" i="1"/>
  <c r="K2" i="34"/>
  <c r="BF28" i="34" l="1"/>
  <c r="BG28" i="34"/>
  <c r="BK28" i="34"/>
  <c r="BA28" i="34"/>
  <c r="BM28" i="34"/>
  <c r="BH28" i="34"/>
  <c r="BL28" i="34"/>
  <c r="AL55" i="32"/>
  <c r="AL50" i="32" s="1"/>
  <c r="AM55" i="32"/>
  <c r="AM50" i="32" s="1"/>
  <c r="BE28" i="32"/>
  <c r="BE27" i="32" s="1"/>
  <c r="AG55" i="32"/>
  <c r="AG50" i="32" s="1"/>
  <c r="AN55" i="32"/>
  <c r="AN50" i="32" s="1"/>
  <c r="BG28" i="32"/>
  <c r="BG16" i="32" s="1"/>
  <c r="BH25" i="34" s="1"/>
  <c r="AQ55" i="32"/>
  <c r="AQ50" i="32" s="1"/>
  <c r="AR55" i="32"/>
  <c r="AR50" i="32" s="1"/>
  <c r="AO55" i="32"/>
  <c r="AO50" i="32" s="1"/>
  <c r="BH29" i="32"/>
  <c r="BH19" i="32" s="1"/>
  <c r="AJ55" i="32"/>
  <c r="AJ50" i="32" s="1"/>
  <c r="BC29" i="32"/>
  <c r="BC19" i="32" s="1"/>
  <c r="AZ28" i="32"/>
  <c r="AZ16" i="32" s="1"/>
  <c r="BA25" i="34" s="1"/>
  <c r="BH16" i="32"/>
  <c r="BI25" i="34" s="1"/>
  <c r="BI16" i="32"/>
  <c r="BJ25" i="34" s="1"/>
  <c r="U58" i="32"/>
  <c r="U62" i="32"/>
  <c r="U57" i="32"/>
  <c r="U61" i="32"/>
  <c r="U60" i="32"/>
  <c r="U59" i="32"/>
  <c r="BI29" i="32"/>
  <c r="BI19" i="32" s="1"/>
  <c r="P57" i="32"/>
  <c r="P58" i="32"/>
  <c r="P61" i="32"/>
  <c r="P62" i="32"/>
  <c r="P60" i="32"/>
  <c r="P59" i="32"/>
  <c r="AH55" i="32"/>
  <c r="AH50" i="32" s="1"/>
  <c r="S58" i="32"/>
  <c r="S62" i="32"/>
  <c r="S57" i="32"/>
  <c r="S59" i="32"/>
  <c r="S60" i="32"/>
  <c r="S61" i="32"/>
  <c r="AK55" i="32"/>
  <c r="AK50" i="32" s="1"/>
  <c r="Z62" i="32"/>
  <c r="Z57" i="32"/>
  <c r="Z58" i="32"/>
  <c r="Z59" i="32"/>
  <c r="Z61" i="32"/>
  <c r="Z60" i="32"/>
  <c r="R62" i="32"/>
  <c r="R59" i="32"/>
  <c r="R60" i="32"/>
  <c r="R58" i="32"/>
  <c r="R61" i="32"/>
  <c r="R57" i="32"/>
  <c r="BJ28" i="32"/>
  <c r="AX27" i="32"/>
  <c r="AX16" i="32"/>
  <c r="N62" i="32"/>
  <c r="N57" i="32"/>
  <c r="N61" i="32"/>
  <c r="N59" i="32"/>
  <c r="N58" i="32"/>
  <c r="N60" i="32"/>
  <c r="BL28" i="32"/>
  <c r="BD16" i="32"/>
  <c r="BE25" i="34" s="1"/>
  <c r="BC16" i="32"/>
  <c r="BD25" i="34" s="1"/>
  <c r="Q57" i="32"/>
  <c r="Q58" i="32"/>
  <c r="Q59" i="32"/>
  <c r="Q61" i="32"/>
  <c r="Q62" i="32"/>
  <c r="Q60" i="32"/>
  <c r="O60" i="32"/>
  <c r="O59" i="32"/>
  <c r="O58" i="32"/>
  <c r="O62" i="32"/>
  <c r="O57" i="32"/>
  <c r="O61" i="32"/>
  <c r="AF55" i="32"/>
  <c r="V61" i="32"/>
  <c r="V62" i="32"/>
  <c r="V58" i="32"/>
  <c r="V60" i="32"/>
  <c r="V57" i="32"/>
  <c r="V59" i="32"/>
  <c r="AY28" i="32"/>
  <c r="BF28" i="32"/>
  <c r="BA29" i="32"/>
  <c r="BA19" i="32" s="1"/>
  <c r="BD29" i="32"/>
  <c r="BD19" i="32" s="1"/>
  <c r="AI55" i="32"/>
  <c r="AI50" i="32" s="1"/>
  <c r="BK28" i="32"/>
  <c r="BB29" i="32"/>
  <c r="BB19" i="32" s="1"/>
  <c r="T62" i="32"/>
  <c r="T61" i="32"/>
  <c r="T59" i="32"/>
  <c r="T57" i="32"/>
  <c r="T58" i="32"/>
  <c r="T60" i="32"/>
  <c r="W61" i="32"/>
  <c r="W62" i="32"/>
  <c r="W59" i="32"/>
  <c r="W60" i="32"/>
  <c r="W57" i="32"/>
  <c r="W58" i="32"/>
  <c r="AY29" i="32"/>
  <c r="AY19" i="32" s="1"/>
  <c r="X62" i="32"/>
  <c r="X57" i="32"/>
  <c r="X59" i="32"/>
  <c r="X58" i="32"/>
  <c r="X60" i="32"/>
  <c r="X61" i="32"/>
  <c r="AP55" i="32"/>
  <c r="AP50" i="32" s="1"/>
  <c r="BA16" i="32"/>
  <c r="BB25" i="34" s="1"/>
  <c r="AA59" i="32"/>
  <c r="AA62" i="32"/>
  <c r="AA58" i="32"/>
  <c r="AA60" i="32"/>
  <c r="AA61" i="32"/>
  <c r="AA57" i="32"/>
  <c r="AS55" i="32"/>
  <c r="AS50" i="32" s="1"/>
  <c r="AX19" i="32"/>
  <c r="Y60" i="32"/>
  <c r="Y58" i="32"/>
  <c r="Y57" i="32"/>
  <c r="Y62" i="32"/>
  <c r="Y61" i="32"/>
  <c r="Y59" i="32"/>
  <c r="BB16" i="32"/>
  <c r="BC25" i="34" s="1"/>
  <c r="T278" i="46"/>
  <c r="T199" i="46"/>
  <c r="T139" i="46"/>
  <c r="T64" i="46"/>
  <c r="R4" i="46"/>
  <c r="Q4" i="46"/>
  <c r="P4" i="46"/>
  <c r="O4" i="46"/>
  <c r="N4" i="46"/>
  <c r="M4" i="46"/>
  <c r="L4" i="46"/>
  <c r="K4" i="46"/>
  <c r="J4" i="46"/>
  <c r="I4" i="46"/>
  <c r="H4" i="46"/>
  <c r="G4" i="46"/>
  <c r="F4" i="46"/>
  <c r="E4" i="46"/>
  <c r="D4" i="46"/>
  <c r="V137" i="45"/>
  <c r="AA399" i="29"/>
  <c r="Z399" i="29"/>
  <c r="Y399" i="29"/>
  <c r="W399" i="29"/>
  <c r="V399" i="29"/>
  <c r="U399" i="29"/>
  <c r="S399" i="29"/>
  <c r="Q399" i="29"/>
  <c r="O399" i="29"/>
  <c r="N399" i="29"/>
  <c r="Y386" i="29"/>
  <c r="N386" i="29"/>
  <c r="V121" i="45"/>
  <c r="N219" i="29"/>
  <c r="N206" i="29"/>
  <c r="N181" i="29"/>
  <c r="AB103" i="29"/>
  <c r="AA103" i="29"/>
  <c r="Z103" i="29"/>
  <c r="Y103" i="29"/>
  <c r="X103" i="29"/>
  <c r="W103" i="29"/>
  <c r="V103" i="29"/>
  <c r="U103" i="29"/>
  <c r="T103" i="29"/>
  <c r="S103" i="29"/>
  <c r="Q103" i="29"/>
  <c r="P103" i="29"/>
  <c r="O103" i="29"/>
  <c r="N103" i="29"/>
  <c r="N90" i="29"/>
  <c r="AB120" i="25"/>
  <c r="X120" i="25"/>
  <c r="V120" i="25"/>
  <c r="Q120" i="25"/>
  <c r="AB106" i="25"/>
  <c r="AA106" i="25"/>
  <c r="X106" i="25"/>
  <c r="W106" i="25"/>
  <c r="U106" i="25"/>
  <c r="S106" i="25"/>
  <c r="Q106" i="25"/>
  <c r="P106" i="25"/>
  <c r="Z78" i="25"/>
  <c r="Y78" i="25"/>
  <c r="AB64" i="25"/>
  <c r="AA64" i="25"/>
  <c r="X64" i="25"/>
  <c r="W64" i="25"/>
  <c r="U64" i="25"/>
  <c r="S64" i="25"/>
  <c r="Q64" i="25"/>
  <c r="P64" i="25"/>
  <c r="AB92" i="25"/>
  <c r="AA92" i="25"/>
  <c r="X92" i="25"/>
  <c r="W92" i="25"/>
  <c r="U92" i="25"/>
  <c r="S92" i="25"/>
  <c r="Q92" i="25"/>
  <c r="P92" i="25"/>
  <c r="AB39" i="25"/>
  <c r="AA39" i="25"/>
  <c r="X39" i="25"/>
  <c r="W39" i="25"/>
  <c r="U39" i="25"/>
  <c r="S39" i="25"/>
  <c r="Q39" i="25"/>
  <c r="P39" i="2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U137" i="35"/>
  <c r="U121" i="35"/>
  <c r="U89" i="35"/>
  <c r="U57" i="35"/>
  <c r="M2" i="1"/>
  <c r="AX5" i="1" s="1"/>
  <c r="AA2" i="1"/>
  <c r="BL5" i="1" s="1"/>
  <c r="Z2" i="1"/>
  <c r="BK5" i="1" s="1"/>
  <c r="Y2" i="1"/>
  <c r="BJ5" i="1" s="1"/>
  <c r="X2" i="1"/>
  <c r="BI5" i="1" s="1"/>
  <c r="W2" i="1"/>
  <c r="BH5" i="1" s="1"/>
  <c r="V2" i="1"/>
  <c r="BG5" i="1" s="1"/>
  <c r="U2" i="1"/>
  <c r="BF5" i="1" s="1"/>
  <c r="T2" i="1"/>
  <c r="BE5" i="1" s="1"/>
  <c r="S2" i="1"/>
  <c r="BD5" i="1" s="1"/>
  <c r="R2" i="1"/>
  <c r="BC5" i="1" s="1"/>
  <c r="Q2" i="1"/>
  <c r="BB5" i="1" s="1"/>
  <c r="P2" i="1"/>
  <c r="BA5" i="1" s="1"/>
  <c r="O2" i="1"/>
  <c r="AZ5" i="1" s="1"/>
  <c r="N2" i="1"/>
  <c r="AY5" i="1" s="1"/>
  <c r="BC28" i="34" l="1"/>
  <c r="BB28" i="34"/>
  <c r="BJ28" i="34"/>
  <c r="BI28" i="34"/>
  <c r="BD28" i="34"/>
  <c r="AY28" i="34"/>
  <c r="AZ28" i="34"/>
  <c r="BE28" i="34"/>
  <c r="AY25" i="34"/>
  <c r="BH27" i="32"/>
  <c r="BA27" i="32"/>
  <c r="AZ27" i="32"/>
  <c r="BE16" i="32"/>
  <c r="BG27" i="32"/>
  <c r="BC27" i="32"/>
  <c r="BB27" i="32"/>
  <c r="AW29" i="32"/>
  <c r="AZ5" i="32"/>
  <c r="BA5" i="32"/>
  <c r="BK16" i="32"/>
  <c r="BL25" i="34" s="1"/>
  <c r="BK27" i="32"/>
  <c r="BF16" i="32"/>
  <c r="BG25" i="34" s="1"/>
  <c r="BF27" i="32"/>
  <c r="AF50" i="32"/>
  <c r="AD55" i="32"/>
  <c r="BL16" i="32"/>
  <c r="BM25" i="34" s="1"/>
  <c r="BL27" i="32"/>
  <c r="AX5" i="32"/>
  <c r="BI27" i="32"/>
  <c r="AY16" i="32"/>
  <c r="AZ25" i="34" s="1"/>
  <c r="AY27" i="32"/>
  <c r="BC5" i="32"/>
  <c r="BI5" i="32"/>
  <c r="BG5" i="32"/>
  <c r="BD5" i="32"/>
  <c r="BJ16" i="32"/>
  <c r="BK25" i="34" s="1"/>
  <c r="BJ27" i="32"/>
  <c r="BB5" i="32"/>
  <c r="AW19" i="32"/>
  <c r="BD27" i="32"/>
  <c r="AW28" i="32"/>
  <c r="BH5" i="32"/>
  <c r="BA28" i="1"/>
  <c r="BA81" i="1"/>
  <c r="BE28" i="1"/>
  <c r="BE81" i="1"/>
  <c r="BI28" i="1"/>
  <c r="BI81" i="1"/>
  <c r="AX28" i="1"/>
  <c r="AX81" i="1"/>
  <c r="BB28" i="1"/>
  <c r="BB81" i="1"/>
  <c r="BF28" i="1"/>
  <c r="BF81" i="1"/>
  <c r="BJ28" i="1"/>
  <c r="BJ81" i="1"/>
  <c r="AY28" i="1"/>
  <c r="AY81" i="1"/>
  <c r="BC28" i="1"/>
  <c r="BC81" i="1"/>
  <c r="BG28" i="1"/>
  <c r="BG81" i="1"/>
  <c r="BK28" i="1"/>
  <c r="BK81" i="1"/>
  <c r="AZ28" i="1"/>
  <c r="AZ81" i="1"/>
  <c r="BD28" i="1"/>
  <c r="BD81" i="1"/>
  <c r="BH28" i="1"/>
  <c r="BH81" i="1"/>
  <c r="BL28" i="1"/>
  <c r="BL81" i="1"/>
  <c r="F34" i="46"/>
  <c r="F49" i="46"/>
  <c r="F64" i="46"/>
  <c r="J34" i="46"/>
  <c r="J49" i="46"/>
  <c r="J64" i="46"/>
  <c r="N34" i="46"/>
  <c r="N49" i="46"/>
  <c r="N64" i="46"/>
  <c r="R34" i="46"/>
  <c r="R49" i="46"/>
  <c r="R64" i="46"/>
  <c r="G49" i="46"/>
  <c r="G64" i="46"/>
  <c r="G34" i="46"/>
  <c r="K49" i="46"/>
  <c r="K64" i="46"/>
  <c r="K34" i="46"/>
  <c r="O49" i="46"/>
  <c r="O64" i="46"/>
  <c r="O34" i="46"/>
  <c r="D64" i="46"/>
  <c r="D34" i="46"/>
  <c r="D49" i="46"/>
  <c r="H64" i="46"/>
  <c r="H34" i="46"/>
  <c r="H49" i="46"/>
  <c r="L64" i="46"/>
  <c r="L34" i="46"/>
  <c r="L49" i="46"/>
  <c r="P64" i="46"/>
  <c r="P34" i="46"/>
  <c r="P49" i="46"/>
  <c r="E34" i="46"/>
  <c r="E49" i="46"/>
  <c r="E64" i="46"/>
  <c r="I34" i="46"/>
  <c r="I49" i="46"/>
  <c r="I64" i="46"/>
  <c r="M34" i="46"/>
  <c r="M49" i="46"/>
  <c r="M64" i="46"/>
  <c r="Q34" i="46"/>
  <c r="Q49" i="46"/>
  <c r="Q64" i="46"/>
  <c r="E230" i="46"/>
  <c r="E214" i="46"/>
  <c r="I230" i="46"/>
  <c r="I214" i="46"/>
  <c r="M230" i="46"/>
  <c r="M214" i="46"/>
  <c r="F214" i="46"/>
  <c r="F230" i="46"/>
  <c r="J214" i="46"/>
  <c r="J230" i="46"/>
  <c r="R214" i="46"/>
  <c r="R230" i="46"/>
  <c r="D214" i="46"/>
  <c r="D230" i="46"/>
  <c r="H214" i="46"/>
  <c r="H230" i="46"/>
  <c r="L214" i="46"/>
  <c r="L230" i="46"/>
  <c r="P214" i="46"/>
  <c r="P230" i="46"/>
  <c r="Q230" i="46"/>
  <c r="Q214" i="46"/>
  <c r="N214" i="46"/>
  <c r="N230" i="46"/>
  <c r="G214" i="46"/>
  <c r="G230" i="46"/>
  <c r="K214" i="46"/>
  <c r="K230" i="46"/>
  <c r="O214" i="46"/>
  <c r="O230" i="46"/>
  <c r="E184" i="45"/>
  <c r="Y184" i="45" s="1"/>
  <c r="E149" i="45"/>
  <c r="Y149" i="45" s="1"/>
  <c r="M184" i="45"/>
  <c r="AG184" i="45" s="1"/>
  <c r="M149" i="45"/>
  <c r="AG149" i="45" s="1"/>
  <c r="F184" i="45"/>
  <c r="Z184" i="45" s="1"/>
  <c r="F149" i="45"/>
  <c r="Z149" i="45" s="1"/>
  <c r="J184" i="45"/>
  <c r="AD184" i="45" s="1"/>
  <c r="J149" i="45"/>
  <c r="AD149" i="45" s="1"/>
  <c r="N184" i="45"/>
  <c r="AH184" i="45" s="1"/>
  <c r="N149" i="45"/>
  <c r="AH149" i="45" s="1"/>
  <c r="R184" i="45"/>
  <c r="AL184" i="45" s="1"/>
  <c r="R149" i="45"/>
  <c r="AL149" i="45" s="1"/>
  <c r="I184" i="45"/>
  <c r="AC184" i="45" s="1"/>
  <c r="I149" i="45"/>
  <c r="AC149" i="45" s="1"/>
  <c r="Q184" i="45"/>
  <c r="AK184" i="45" s="1"/>
  <c r="Q149" i="45"/>
  <c r="AK149" i="45" s="1"/>
  <c r="G184" i="45"/>
  <c r="AA184" i="45" s="1"/>
  <c r="G149" i="45"/>
  <c r="AA149" i="45" s="1"/>
  <c r="K184" i="45"/>
  <c r="AE184" i="45" s="1"/>
  <c r="K149" i="45"/>
  <c r="AE149" i="45" s="1"/>
  <c r="O184" i="45"/>
  <c r="AI184" i="45" s="1"/>
  <c r="O149" i="45"/>
  <c r="AI149" i="45" s="1"/>
  <c r="D184" i="45"/>
  <c r="X184" i="45" s="1"/>
  <c r="D149" i="45"/>
  <c r="X149" i="45" s="1"/>
  <c r="H184" i="45"/>
  <c r="AB184" i="45" s="1"/>
  <c r="H149" i="45"/>
  <c r="AB149" i="45" s="1"/>
  <c r="L184" i="45"/>
  <c r="AF184" i="45" s="1"/>
  <c r="L149" i="45"/>
  <c r="AF149" i="45" s="1"/>
  <c r="P184" i="45"/>
  <c r="AJ184" i="45" s="1"/>
  <c r="P149" i="45"/>
  <c r="AJ149" i="45" s="1"/>
  <c r="D246" i="46"/>
  <c r="D262" i="46"/>
  <c r="H246" i="46"/>
  <c r="H262" i="46"/>
  <c r="L246" i="46"/>
  <c r="L262" i="46"/>
  <c r="E246" i="46"/>
  <c r="E262" i="46"/>
  <c r="I246" i="46"/>
  <c r="I262" i="46"/>
  <c r="M246" i="46"/>
  <c r="M262" i="46"/>
  <c r="F246" i="46"/>
  <c r="F262" i="46"/>
  <c r="J246" i="46"/>
  <c r="J262" i="46"/>
  <c r="N246" i="46"/>
  <c r="N262" i="46"/>
  <c r="R246" i="46"/>
  <c r="R262" i="46"/>
  <c r="P246" i="46"/>
  <c r="P262" i="46"/>
  <c r="Q246" i="46"/>
  <c r="Q262" i="46"/>
  <c r="G246" i="46"/>
  <c r="G262" i="46"/>
  <c r="K246" i="46"/>
  <c r="K262" i="46"/>
  <c r="O246" i="46"/>
  <c r="O262" i="46"/>
  <c r="P79" i="46"/>
  <c r="P326" i="46"/>
  <c r="P310" i="46"/>
  <c r="E79" i="46"/>
  <c r="E326" i="46"/>
  <c r="E310" i="46"/>
  <c r="I79" i="46"/>
  <c r="I326" i="46"/>
  <c r="I310" i="46"/>
  <c r="M79" i="46"/>
  <c r="M326" i="46"/>
  <c r="M310" i="46"/>
  <c r="Q79" i="46"/>
  <c r="Q326" i="46"/>
  <c r="Q310" i="46"/>
  <c r="F79" i="46"/>
  <c r="F326" i="46"/>
  <c r="F310" i="46"/>
  <c r="J79" i="46"/>
  <c r="J326" i="46"/>
  <c r="J310" i="46"/>
  <c r="N79" i="46"/>
  <c r="N326" i="46"/>
  <c r="N310" i="46"/>
  <c r="R79" i="46"/>
  <c r="R326" i="46"/>
  <c r="R310" i="46"/>
  <c r="D79" i="46"/>
  <c r="D326" i="46"/>
  <c r="D310" i="46"/>
  <c r="H79" i="46"/>
  <c r="H310" i="46"/>
  <c r="H326" i="46"/>
  <c r="L79" i="46"/>
  <c r="L326" i="46"/>
  <c r="L310" i="46"/>
  <c r="G79" i="46"/>
  <c r="G326" i="46"/>
  <c r="G310" i="46"/>
  <c r="K79" i="46"/>
  <c r="K326" i="46"/>
  <c r="K310" i="46"/>
  <c r="O79" i="46"/>
  <c r="O326" i="46"/>
  <c r="O310" i="46"/>
  <c r="M154" i="45"/>
  <c r="AG154" i="45" s="1"/>
  <c r="M179" i="45"/>
  <c r="AG179" i="45" s="1"/>
  <c r="F154" i="45"/>
  <c r="Z154" i="45" s="1"/>
  <c r="F179" i="45"/>
  <c r="Z179" i="45" s="1"/>
  <c r="R154" i="45"/>
  <c r="AL154" i="45" s="1"/>
  <c r="R179" i="45"/>
  <c r="AL179" i="45" s="1"/>
  <c r="G154" i="45"/>
  <c r="AA154" i="45" s="1"/>
  <c r="G179" i="45"/>
  <c r="AA179" i="45" s="1"/>
  <c r="K154" i="45"/>
  <c r="AE154" i="45" s="1"/>
  <c r="K179" i="45"/>
  <c r="AE179" i="45" s="1"/>
  <c r="O154" i="45"/>
  <c r="AI154" i="45" s="1"/>
  <c r="O179" i="45"/>
  <c r="AI179" i="45" s="1"/>
  <c r="E154" i="45"/>
  <c r="Y154" i="45" s="1"/>
  <c r="E179" i="45"/>
  <c r="Y179" i="45" s="1"/>
  <c r="I154" i="45"/>
  <c r="AC154" i="45" s="1"/>
  <c r="I179" i="45"/>
  <c r="AC179" i="45" s="1"/>
  <c r="Q154" i="45"/>
  <c r="AK154" i="45" s="1"/>
  <c r="Q179" i="45"/>
  <c r="AK179" i="45" s="1"/>
  <c r="J154" i="45"/>
  <c r="AD154" i="45" s="1"/>
  <c r="J179" i="45"/>
  <c r="AD179" i="45" s="1"/>
  <c r="N154" i="45"/>
  <c r="AH154" i="45" s="1"/>
  <c r="N179" i="45"/>
  <c r="AH179" i="45" s="1"/>
  <c r="D154" i="45"/>
  <c r="X154" i="45" s="1"/>
  <c r="D179" i="45"/>
  <c r="X179" i="45" s="1"/>
  <c r="H154" i="45"/>
  <c r="AB154" i="45" s="1"/>
  <c r="H179" i="45"/>
  <c r="AB179" i="45" s="1"/>
  <c r="L154" i="45"/>
  <c r="AF154" i="45" s="1"/>
  <c r="L179" i="45"/>
  <c r="AF179" i="45" s="1"/>
  <c r="P154" i="45"/>
  <c r="AJ154" i="45" s="1"/>
  <c r="P179" i="45"/>
  <c r="AJ179" i="45" s="1"/>
  <c r="J143" i="45"/>
  <c r="AD143" i="45" s="1"/>
  <c r="K143" i="45"/>
  <c r="AE143" i="45" s="1"/>
  <c r="O143" i="45"/>
  <c r="AI143" i="45" s="1"/>
  <c r="H143" i="45"/>
  <c r="AB143" i="45" s="1"/>
  <c r="L143" i="45"/>
  <c r="AF143" i="45" s="1"/>
  <c r="I105" i="45"/>
  <c r="AC105" i="45" s="1"/>
  <c r="I143" i="45"/>
  <c r="AC143" i="45" s="1"/>
  <c r="Q105" i="45"/>
  <c r="AK105" i="45" s="1"/>
  <c r="Q143" i="45"/>
  <c r="AK143" i="45" s="1"/>
  <c r="F105" i="45"/>
  <c r="Z105" i="45" s="1"/>
  <c r="F143" i="45"/>
  <c r="Z143" i="45" s="1"/>
  <c r="R105" i="45"/>
  <c r="AL105" i="45" s="1"/>
  <c r="R143" i="45"/>
  <c r="AL143" i="45" s="1"/>
  <c r="G105" i="45"/>
  <c r="AA105" i="45" s="1"/>
  <c r="G143" i="45"/>
  <c r="AA143" i="45" s="1"/>
  <c r="E105" i="45"/>
  <c r="Y105" i="45" s="1"/>
  <c r="E143" i="45"/>
  <c r="Y143" i="45" s="1"/>
  <c r="M105" i="45"/>
  <c r="AG105" i="45" s="1"/>
  <c r="M143" i="45"/>
  <c r="AG143" i="45" s="1"/>
  <c r="N105" i="45"/>
  <c r="AH105" i="45" s="1"/>
  <c r="N143" i="45"/>
  <c r="AH143" i="45" s="1"/>
  <c r="D105" i="45"/>
  <c r="X105" i="45" s="1"/>
  <c r="D143" i="45"/>
  <c r="X143" i="45" s="1"/>
  <c r="P105" i="45"/>
  <c r="AJ105" i="45" s="1"/>
  <c r="P143" i="45"/>
  <c r="AJ143" i="45" s="1"/>
  <c r="Q78" i="4"/>
  <c r="S411" i="29"/>
  <c r="W411" i="29"/>
  <c r="AA411" i="29"/>
  <c r="S160" i="25"/>
  <c r="W160" i="25"/>
  <c r="AA160" i="25"/>
  <c r="V132" i="25"/>
  <c r="Z132" i="25"/>
  <c r="U160" i="25"/>
  <c r="Y160" i="25"/>
  <c r="O411" i="29"/>
  <c r="T411" i="29"/>
  <c r="X411" i="29"/>
  <c r="AB411" i="29"/>
  <c r="Q78" i="25"/>
  <c r="V78" i="25"/>
  <c r="O132" i="25"/>
  <c r="T132" i="25"/>
  <c r="X132" i="25"/>
  <c r="AB132" i="25"/>
  <c r="P78" i="4"/>
  <c r="U78" i="4"/>
  <c r="Y78" i="4"/>
  <c r="X51" i="25"/>
  <c r="AB51" i="25"/>
  <c r="S146" i="25"/>
  <c r="W146" i="25"/>
  <c r="AA146" i="25"/>
  <c r="P51" i="25"/>
  <c r="U51" i="25"/>
  <c r="O146" i="25"/>
  <c r="P66" i="4"/>
  <c r="U66" i="4"/>
  <c r="Y66" i="4"/>
  <c r="P132" i="25"/>
  <c r="U132" i="25"/>
  <c r="Y132" i="25"/>
  <c r="Q66" i="4"/>
  <c r="V66" i="4"/>
  <c r="Z66" i="4"/>
  <c r="S51" i="25"/>
  <c r="W51" i="25"/>
  <c r="AA51" i="25"/>
  <c r="Q146" i="25"/>
  <c r="V146" i="25"/>
  <c r="Z146" i="25"/>
  <c r="O160" i="25"/>
  <c r="O78" i="25"/>
  <c r="T78" i="25"/>
  <c r="X78" i="25"/>
  <c r="AB78" i="25"/>
  <c r="Q132" i="25"/>
  <c r="Q160" i="25"/>
  <c r="S78" i="4"/>
  <c r="W78" i="4"/>
  <c r="AA78" i="4"/>
  <c r="N66" i="4"/>
  <c r="S66" i="4"/>
  <c r="W66" i="4"/>
  <c r="AA66" i="4"/>
  <c r="P411" i="29"/>
  <c r="U411" i="29"/>
  <c r="Y411" i="29"/>
  <c r="Q51" i="25"/>
  <c r="U146" i="25"/>
  <c r="Y146" i="25"/>
  <c r="V160" i="25"/>
  <c r="Z160" i="25"/>
  <c r="P78" i="25"/>
  <c r="U78" i="25"/>
  <c r="S132" i="25"/>
  <c r="W132" i="25"/>
  <c r="AA132" i="25"/>
  <c r="T78" i="4"/>
  <c r="X78" i="4"/>
  <c r="AB78" i="4"/>
  <c r="O66" i="4"/>
  <c r="T66" i="4"/>
  <c r="X66" i="4"/>
  <c r="AB66" i="4"/>
  <c r="N168" i="29"/>
  <c r="N193" i="29"/>
  <c r="Q411" i="29"/>
  <c r="V411" i="29"/>
  <c r="Z411" i="29"/>
  <c r="J164" i="45"/>
  <c r="AD164" i="45" s="1"/>
  <c r="J105" i="45"/>
  <c r="AD105" i="45" s="1"/>
  <c r="K164" i="45"/>
  <c r="AE164" i="45" s="1"/>
  <c r="K105" i="45"/>
  <c r="AE105" i="45" s="1"/>
  <c r="O164" i="45"/>
  <c r="AI164" i="45" s="1"/>
  <c r="O105" i="45"/>
  <c r="AI105" i="45" s="1"/>
  <c r="H164" i="45"/>
  <c r="AB164" i="45" s="1"/>
  <c r="H105" i="45"/>
  <c r="AB105" i="45" s="1"/>
  <c r="L164" i="45"/>
  <c r="AF164" i="45" s="1"/>
  <c r="L105" i="45"/>
  <c r="AF105" i="45" s="1"/>
  <c r="H169" i="46"/>
  <c r="H154" i="46"/>
  <c r="L169" i="46"/>
  <c r="L154" i="46"/>
  <c r="F169" i="46"/>
  <c r="F154" i="46"/>
  <c r="J169" i="46"/>
  <c r="J154" i="46"/>
  <c r="N169" i="46"/>
  <c r="N154" i="46"/>
  <c r="R169" i="46"/>
  <c r="R154" i="46"/>
  <c r="G169" i="46"/>
  <c r="G154" i="46"/>
  <c r="K169" i="46"/>
  <c r="K154" i="46"/>
  <c r="O169" i="46"/>
  <c r="O154" i="46"/>
  <c r="D169" i="46"/>
  <c r="D154" i="46"/>
  <c r="P154" i="46"/>
  <c r="P169" i="46"/>
  <c r="E169" i="46"/>
  <c r="E154" i="46"/>
  <c r="I169" i="46"/>
  <c r="I154" i="46"/>
  <c r="M169" i="46"/>
  <c r="M154" i="46"/>
  <c r="Q169" i="46"/>
  <c r="Q154" i="46"/>
  <c r="D159" i="45"/>
  <c r="X159" i="45" s="1"/>
  <c r="D164" i="45"/>
  <c r="X164" i="45" s="1"/>
  <c r="P159" i="45"/>
  <c r="AJ159" i="45" s="1"/>
  <c r="P164" i="45"/>
  <c r="AJ164" i="45" s="1"/>
  <c r="E159" i="45"/>
  <c r="Y159" i="45" s="1"/>
  <c r="E164" i="45"/>
  <c r="Y164" i="45" s="1"/>
  <c r="I159" i="45"/>
  <c r="AC159" i="45" s="1"/>
  <c r="I164" i="45"/>
  <c r="AC164" i="45" s="1"/>
  <c r="M159" i="45"/>
  <c r="AG159" i="45" s="1"/>
  <c r="M164" i="45"/>
  <c r="AG164" i="45" s="1"/>
  <c r="Q159" i="45"/>
  <c r="AK159" i="45" s="1"/>
  <c r="Q164" i="45"/>
  <c r="AK164" i="45" s="1"/>
  <c r="G159" i="45"/>
  <c r="AA159" i="45" s="1"/>
  <c r="G164" i="45"/>
  <c r="AA164" i="45" s="1"/>
  <c r="F159" i="45"/>
  <c r="Z159" i="45" s="1"/>
  <c r="F164" i="45"/>
  <c r="Z164" i="45" s="1"/>
  <c r="N159" i="45"/>
  <c r="AH159" i="45" s="1"/>
  <c r="N164" i="45"/>
  <c r="AH164" i="45" s="1"/>
  <c r="R159" i="45"/>
  <c r="AL159" i="45" s="1"/>
  <c r="R164" i="45"/>
  <c r="AL164" i="45" s="1"/>
  <c r="H73" i="45"/>
  <c r="AB73" i="45" s="1"/>
  <c r="H159" i="45"/>
  <c r="AB159" i="45" s="1"/>
  <c r="L73" i="45"/>
  <c r="AF73" i="45" s="1"/>
  <c r="L159" i="45"/>
  <c r="AF159" i="45" s="1"/>
  <c r="J73" i="45"/>
  <c r="AD73" i="45" s="1"/>
  <c r="J159" i="45"/>
  <c r="AD159" i="45" s="1"/>
  <c r="K73" i="45"/>
  <c r="AE73" i="45" s="1"/>
  <c r="K159" i="45"/>
  <c r="AE159" i="45" s="1"/>
  <c r="O73" i="45"/>
  <c r="AI73" i="45" s="1"/>
  <c r="O159" i="45"/>
  <c r="AI159" i="45" s="1"/>
  <c r="J342" i="46"/>
  <c r="J19" i="46"/>
  <c r="G342" i="46"/>
  <c r="G19" i="46"/>
  <c r="K342" i="46"/>
  <c r="K19" i="46"/>
  <c r="O342" i="46"/>
  <c r="O19" i="46"/>
  <c r="R342" i="46"/>
  <c r="R19" i="46"/>
  <c r="D342" i="46"/>
  <c r="D19" i="46"/>
  <c r="H342" i="46"/>
  <c r="H19" i="46"/>
  <c r="L342" i="46"/>
  <c r="L19" i="46"/>
  <c r="P342" i="46"/>
  <c r="P19" i="46"/>
  <c r="F342" i="46"/>
  <c r="F19" i="46"/>
  <c r="N342" i="46"/>
  <c r="N19" i="46"/>
  <c r="E342" i="46"/>
  <c r="E19" i="46"/>
  <c r="I342" i="46"/>
  <c r="I19" i="46"/>
  <c r="M342" i="46"/>
  <c r="M19" i="46"/>
  <c r="Q342" i="46"/>
  <c r="Q19" i="46"/>
  <c r="Q137" i="45"/>
  <c r="AK137" i="45" s="1"/>
  <c r="Q73" i="45"/>
  <c r="AK73" i="45" s="1"/>
  <c r="P89" i="45"/>
  <c r="AJ89" i="45" s="1"/>
  <c r="P73" i="45"/>
  <c r="AJ73" i="45" s="1"/>
  <c r="M41" i="45"/>
  <c r="AG41" i="45" s="1"/>
  <c r="M73" i="45"/>
  <c r="AG73" i="45" s="1"/>
  <c r="N41" i="45"/>
  <c r="AH41" i="45" s="1"/>
  <c r="N73" i="45"/>
  <c r="AH73" i="45" s="1"/>
  <c r="X9" i="45"/>
  <c r="X5" i="45" s="1"/>
  <c r="D73" i="45"/>
  <c r="X73" i="45" s="1"/>
  <c r="E41" i="45"/>
  <c r="Y41" i="45" s="1"/>
  <c r="E73" i="45"/>
  <c r="Y73" i="45" s="1"/>
  <c r="I89" i="45"/>
  <c r="AC89" i="45" s="1"/>
  <c r="I73" i="45"/>
  <c r="AC73" i="45" s="1"/>
  <c r="F41" i="45"/>
  <c r="Z41" i="45" s="1"/>
  <c r="F73" i="45"/>
  <c r="Z73" i="45" s="1"/>
  <c r="R41" i="45"/>
  <c r="AL41" i="45" s="1"/>
  <c r="R73" i="45"/>
  <c r="AL73" i="45" s="1"/>
  <c r="G57" i="45"/>
  <c r="AA57" i="45" s="1"/>
  <c r="G73" i="45"/>
  <c r="AA73" i="45" s="1"/>
  <c r="M57" i="45"/>
  <c r="AG57" i="45" s="1"/>
  <c r="N121" i="45"/>
  <c r="AH121" i="45" s="1"/>
  <c r="Y9" i="45"/>
  <c r="Y5" i="45" s="1"/>
  <c r="E89" i="45"/>
  <c r="Y89" i="45" s="1"/>
  <c r="N137" i="45"/>
  <c r="AH137" i="45" s="1"/>
  <c r="AC9" i="45"/>
  <c r="AC5" i="45" s="1"/>
  <c r="Q57" i="45"/>
  <c r="AK57" i="45" s="1"/>
  <c r="M89" i="45"/>
  <c r="AG89" i="45" s="1"/>
  <c r="E121" i="45"/>
  <c r="Y121" i="45" s="1"/>
  <c r="R121" i="45"/>
  <c r="AL121" i="45" s="1"/>
  <c r="E137" i="45"/>
  <c r="Y137" i="45" s="1"/>
  <c r="AG9" i="45"/>
  <c r="AG5" i="45" s="1"/>
  <c r="P41" i="45"/>
  <c r="AJ41" i="45" s="1"/>
  <c r="E57" i="45"/>
  <c r="Y57" i="45" s="1"/>
  <c r="I121" i="45"/>
  <c r="AC121" i="45" s="1"/>
  <c r="I137" i="45"/>
  <c r="AC137" i="45" s="1"/>
  <c r="AK9" i="45"/>
  <c r="AK5" i="45" s="1"/>
  <c r="I57" i="45"/>
  <c r="AC57" i="45" s="1"/>
  <c r="Q89" i="45"/>
  <c r="AK89" i="45" s="1"/>
  <c r="M121" i="45"/>
  <c r="AG121" i="45" s="1"/>
  <c r="M137" i="45"/>
  <c r="AG137" i="45" s="1"/>
  <c r="O78" i="4"/>
  <c r="O359" i="46"/>
  <c r="O366" i="46"/>
  <c r="D348" i="46"/>
  <c r="D359" i="46"/>
  <c r="D366" i="46"/>
  <c r="H366" i="46"/>
  <c r="H359" i="46"/>
  <c r="L366" i="46"/>
  <c r="L359" i="46"/>
  <c r="P359" i="46"/>
  <c r="P366" i="46"/>
  <c r="E366" i="46"/>
  <c r="E359" i="46"/>
  <c r="I366" i="46"/>
  <c r="I359" i="46"/>
  <c r="M366" i="46"/>
  <c r="M359" i="46"/>
  <c r="Q366" i="46"/>
  <c r="Q359" i="46"/>
  <c r="G359" i="46"/>
  <c r="G366" i="46"/>
  <c r="K359" i="46"/>
  <c r="K366" i="46"/>
  <c r="F359" i="46"/>
  <c r="F366" i="46"/>
  <c r="J359" i="46"/>
  <c r="J366" i="46"/>
  <c r="N366" i="46"/>
  <c r="N359" i="46"/>
  <c r="R366" i="46"/>
  <c r="R359" i="46"/>
  <c r="H294" i="46"/>
  <c r="H348" i="46"/>
  <c r="L294" i="46"/>
  <c r="L348" i="46"/>
  <c r="P294" i="46"/>
  <c r="P348" i="46"/>
  <c r="G294" i="46"/>
  <c r="G348" i="46"/>
  <c r="K294" i="46"/>
  <c r="K348" i="46"/>
  <c r="O294" i="46"/>
  <c r="O348" i="46"/>
  <c r="E294" i="46"/>
  <c r="E348" i="46"/>
  <c r="I294" i="46"/>
  <c r="I348" i="46"/>
  <c r="M294" i="46"/>
  <c r="M348" i="46"/>
  <c r="Q294" i="46"/>
  <c r="Q348" i="46"/>
  <c r="F294" i="46"/>
  <c r="F348" i="46"/>
  <c r="J294" i="46"/>
  <c r="J348" i="46"/>
  <c r="N294" i="46"/>
  <c r="N348" i="46"/>
  <c r="R294" i="46"/>
  <c r="R348" i="46"/>
  <c r="D199" i="46"/>
  <c r="D294" i="46"/>
  <c r="L124" i="46"/>
  <c r="L184" i="46"/>
  <c r="E124" i="46"/>
  <c r="E184" i="46"/>
  <c r="I124" i="46"/>
  <c r="I184" i="46"/>
  <c r="M124" i="46"/>
  <c r="M184" i="46"/>
  <c r="Q124" i="46"/>
  <c r="Q184" i="46"/>
  <c r="H124" i="46"/>
  <c r="H184" i="46"/>
  <c r="F124" i="46"/>
  <c r="F184" i="46"/>
  <c r="J124" i="46"/>
  <c r="J184" i="46"/>
  <c r="N124" i="46"/>
  <c r="N184" i="46"/>
  <c r="R124" i="46"/>
  <c r="R184" i="46"/>
  <c r="D124" i="46"/>
  <c r="D184" i="46"/>
  <c r="P124" i="46"/>
  <c r="P184" i="46"/>
  <c r="G124" i="46"/>
  <c r="G184" i="46"/>
  <c r="K124" i="46"/>
  <c r="K184" i="46"/>
  <c r="O124" i="46"/>
  <c r="O184" i="46"/>
  <c r="H109" i="46"/>
  <c r="P109" i="46"/>
  <c r="E109" i="46"/>
  <c r="I109" i="46"/>
  <c r="M109" i="46"/>
  <c r="Q109" i="46"/>
  <c r="F109" i="46"/>
  <c r="J109" i="46"/>
  <c r="N109" i="46"/>
  <c r="R109" i="46"/>
  <c r="D109" i="46"/>
  <c r="L109" i="46"/>
  <c r="G109" i="46"/>
  <c r="K109" i="46"/>
  <c r="O109" i="46"/>
  <c r="R94" i="46"/>
  <c r="G278" i="46"/>
  <c r="K199" i="46"/>
  <c r="D139" i="46"/>
  <c r="H199" i="46"/>
  <c r="L278" i="46"/>
  <c r="P278" i="46"/>
  <c r="G94" i="46"/>
  <c r="F94" i="46"/>
  <c r="K94" i="46"/>
  <c r="P94" i="46"/>
  <c r="E278" i="46"/>
  <c r="E94" i="46"/>
  <c r="Q278" i="46"/>
  <c r="Q94" i="46"/>
  <c r="L94" i="46"/>
  <c r="M139" i="46"/>
  <c r="F278" i="46"/>
  <c r="F199" i="46"/>
  <c r="F139" i="46"/>
  <c r="J278" i="46"/>
  <c r="J199" i="46"/>
  <c r="J139" i="46"/>
  <c r="N278" i="46"/>
  <c r="N199" i="46"/>
  <c r="N139" i="46"/>
  <c r="R278" i="46"/>
  <c r="R199" i="46"/>
  <c r="R139" i="46"/>
  <c r="H94" i="46"/>
  <c r="N94" i="46"/>
  <c r="H139" i="46"/>
  <c r="P139" i="46"/>
  <c r="E199" i="46"/>
  <c r="P199" i="46"/>
  <c r="D278" i="46"/>
  <c r="L139" i="46"/>
  <c r="I278" i="46"/>
  <c r="I199" i="46"/>
  <c r="I94" i="46"/>
  <c r="M278" i="46"/>
  <c r="M94" i="46"/>
  <c r="M199" i="46"/>
  <c r="E139" i="46"/>
  <c r="L199" i="46"/>
  <c r="G139" i="46"/>
  <c r="K278" i="46"/>
  <c r="K139" i="46"/>
  <c r="O199" i="46"/>
  <c r="O139" i="46"/>
  <c r="O278" i="46"/>
  <c r="D94" i="46"/>
  <c r="J94" i="46"/>
  <c r="O94" i="46"/>
  <c r="I139" i="46"/>
  <c r="Q139" i="46"/>
  <c r="G199" i="46"/>
  <c r="Q199" i="46"/>
  <c r="H278" i="46"/>
  <c r="K137" i="45"/>
  <c r="AE137" i="45" s="1"/>
  <c r="K121" i="45"/>
  <c r="AE121" i="45" s="1"/>
  <c r="K57" i="45"/>
  <c r="AE57" i="45" s="1"/>
  <c r="O89" i="45"/>
  <c r="AI89" i="45" s="1"/>
  <c r="O57" i="45"/>
  <c r="AI57" i="45" s="1"/>
  <c r="O137" i="45"/>
  <c r="AI137" i="45" s="1"/>
  <c r="O121" i="45"/>
  <c r="AI121" i="45" s="1"/>
  <c r="AI9" i="45"/>
  <c r="AI5" i="45" s="1"/>
  <c r="K41" i="45"/>
  <c r="AE41" i="45" s="1"/>
  <c r="G89" i="45"/>
  <c r="AA89" i="45" s="1"/>
  <c r="N128" i="29"/>
  <c r="D137" i="45"/>
  <c r="X137" i="45" s="1"/>
  <c r="D121" i="45"/>
  <c r="X121" i="45" s="1"/>
  <c r="D89" i="45"/>
  <c r="X89" i="45" s="1"/>
  <c r="H137" i="45"/>
  <c r="AB137" i="45" s="1"/>
  <c r="H121" i="45"/>
  <c r="AB121" i="45" s="1"/>
  <c r="H89" i="45"/>
  <c r="AB89" i="45" s="1"/>
  <c r="L137" i="45"/>
  <c r="AF137" i="45" s="1"/>
  <c r="L121" i="45"/>
  <c r="AF121" i="45" s="1"/>
  <c r="P137" i="45"/>
  <c r="AJ137" i="45" s="1"/>
  <c r="P121" i="45"/>
  <c r="AJ121" i="45" s="1"/>
  <c r="AE9" i="45"/>
  <c r="AE5" i="45" s="1"/>
  <c r="AJ9" i="45"/>
  <c r="AJ5" i="45" s="1"/>
  <c r="AA120" i="25"/>
  <c r="W120" i="25"/>
  <c r="S120" i="25"/>
  <c r="O120" i="25"/>
  <c r="G41" i="45"/>
  <c r="AA41" i="45" s="1"/>
  <c r="L41" i="45"/>
  <c r="AF41" i="45" s="1"/>
  <c r="H57" i="45"/>
  <c r="AB57" i="45" s="1"/>
  <c r="P57" i="45"/>
  <c r="AJ57" i="45" s="1"/>
  <c r="K89" i="45"/>
  <c r="AE89" i="45" s="1"/>
  <c r="G121" i="45"/>
  <c r="AA121" i="45" s="1"/>
  <c r="AA386" i="29"/>
  <c r="W386" i="29"/>
  <c r="S386" i="29"/>
  <c r="O386" i="29"/>
  <c r="AB386" i="29"/>
  <c r="V386" i="29"/>
  <c r="Q386" i="29"/>
  <c r="Z386" i="29"/>
  <c r="U386" i="29"/>
  <c r="P386" i="29"/>
  <c r="G137" i="45"/>
  <c r="AA137" i="45" s="1"/>
  <c r="AA9" i="45"/>
  <c r="AA5" i="45" s="1"/>
  <c r="AF9" i="45"/>
  <c r="AF5" i="45" s="1"/>
  <c r="Z39" i="25"/>
  <c r="V39" i="25"/>
  <c r="Z92" i="25"/>
  <c r="V92" i="25"/>
  <c r="Z64" i="25"/>
  <c r="V64" i="25"/>
  <c r="Z51" i="25"/>
  <c r="V51" i="25"/>
  <c r="Z106" i="25"/>
  <c r="V106" i="25"/>
  <c r="T120" i="25"/>
  <c r="Y120" i="25"/>
  <c r="H41" i="45"/>
  <c r="AB41" i="45" s="1"/>
  <c r="L89" i="45"/>
  <c r="AF89" i="45" s="1"/>
  <c r="N155" i="29"/>
  <c r="N115" i="29"/>
  <c r="T386" i="29"/>
  <c r="F137" i="45"/>
  <c r="Z137" i="45" s="1"/>
  <c r="F89" i="45"/>
  <c r="Z89" i="45" s="1"/>
  <c r="F121" i="45"/>
  <c r="Z121" i="45" s="1"/>
  <c r="Z9" i="45"/>
  <c r="Z5" i="45" s="1"/>
  <c r="F57" i="45"/>
  <c r="Z57" i="45" s="1"/>
  <c r="J89" i="45"/>
  <c r="AD89" i="45" s="1"/>
  <c r="J137" i="45"/>
  <c r="AD137" i="45" s="1"/>
  <c r="AD9" i="45"/>
  <c r="AD5" i="45" s="1"/>
  <c r="J121" i="45"/>
  <c r="AD121" i="45" s="1"/>
  <c r="J57" i="45"/>
  <c r="AD57" i="45" s="1"/>
  <c r="N89" i="45"/>
  <c r="AH89" i="45" s="1"/>
  <c r="AH9" i="45"/>
  <c r="AH5" i="45" s="1"/>
  <c r="N57" i="45"/>
  <c r="AH57" i="45" s="1"/>
  <c r="R89" i="45"/>
  <c r="AL89" i="45" s="1"/>
  <c r="R137" i="45"/>
  <c r="AL137" i="45" s="1"/>
  <c r="AL9" i="45"/>
  <c r="AL5" i="45" s="1"/>
  <c r="R57" i="45"/>
  <c r="AL57" i="45" s="1"/>
  <c r="AB9" i="45"/>
  <c r="AB5" i="45" s="1"/>
  <c r="O39" i="25"/>
  <c r="T39" i="25"/>
  <c r="Y39" i="25"/>
  <c r="O92" i="25"/>
  <c r="T92" i="25"/>
  <c r="Y92" i="25"/>
  <c r="O64" i="25"/>
  <c r="T64" i="25"/>
  <c r="Y64" i="25"/>
  <c r="O51" i="25"/>
  <c r="T51" i="25"/>
  <c r="Y51" i="25"/>
  <c r="O106" i="25"/>
  <c r="T106" i="25"/>
  <c r="Y106" i="25"/>
  <c r="P120" i="25"/>
  <c r="U120" i="25"/>
  <c r="Z120" i="25"/>
  <c r="AB146" i="25"/>
  <c r="X146" i="25"/>
  <c r="T146" i="25"/>
  <c r="P146" i="25"/>
  <c r="AB160" i="25"/>
  <c r="X160" i="25"/>
  <c r="T160" i="25"/>
  <c r="P160" i="25"/>
  <c r="D41" i="45"/>
  <c r="X41" i="45" s="1"/>
  <c r="J41" i="45"/>
  <c r="AD41" i="45" s="1"/>
  <c r="O41" i="45"/>
  <c r="AI41" i="45" s="1"/>
  <c r="Z78" i="4"/>
  <c r="V78" i="4"/>
  <c r="N78" i="4"/>
  <c r="N79" i="4" s="1"/>
  <c r="D57" i="45"/>
  <c r="X57" i="45" s="1"/>
  <c r="L57" i="45"/>
  <c r="AF57" i="45" s="1"/>
  <c r="N142" i="29"/>
  <c r="X386" i="29"/>
  <c r="I41" i="45"/>
  <c r="AC41" i="45" s="1"/>
  <c r="Q41" i="45"/>
  <c r="AK41" i="45" s="1"/>
  <c r="Q121" i="45"/>
  <c r="AK121" i="45" s="1"/>
  <c r="AB399" i="29"/>
  <c r="X399" i="29"/>
  <c r="T399" i="29"/>
  <c r="P399" i="29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O21" i="26"/>
  <c r="AF28" i="34" l="1"/>
  <c r="AX28" i="34"/>
  <c r="BF25" i="34"/>
  <c r="AX25" i="34" s="1"/>
  <c r="BE5" i="32"/>
  <c r="AW27" i="32"/>
  <c r="AY5" i="32"/>
  <c r="BF5" i="32"/>
  <c r="BJ5" i="32"/>
  <c r="AW16" i="32"/>
  <c r="BL5" i="32"/>
  <c r="BK5" i="32"/>
  <c r="O68" i="4"/>
  <c r="O70" i="4"/>
  <c r="O71" i="4"/>
  <c r="O67" i="4"/>
  <c r="O72" i="4"/>
  <c r="O69" i="4"/>
  <c r="N69" i="4"/>
  <c r="N67" i="4"/>
  <c r="N72" i="4"/>
  <c r="N70" i="4"/>
  <c r="N68" i="4"/>
  <c r="N71" i="4"/>
  <c r="P67" i="4"/>
  <c r="P69" i="4"/>
  <c r="P70" i="4"/>
  <c r="P72" i="4"/>
  <c r="P71" i="4"/>
  <c r="P68" i="4"/>
  <c r="AB71" i="4"/>
  <c r="AB72" i="4"/>
  <c r="AB67" i="4"/>
  <c r="AB68" i="4"/>
  <c r="AB70" i="4"/>
  <c r="AB69" i="4"/>
  <c r="AA67" i="4"/>
  <c r="AA72" i="4"/>
  <c r="AA70" i="4"/>
  <c r="AA68" i="4"/>
  <c r="AA69" i="4"/>
  <c r="AA71" i="4"/>
  <c r="Z72" i="4"/>
  <c r="Z70" i="4"/>
  <c r="Z68" i="4"/>
  <c r="Z71" i="4"/>
  <c r="Z69" i="4"/>
  <c r="Z67" i="4"/>
  <c r="X72" i="4"/>
  <c r="X71" i="4"/>
  <c r="X68" i="4"/>
  <c r="X67" i="4"/>
  <c r="X69" i="4"/>
  <c r="X70" i="4"/>
  <c r="W67" i="4"/>
  <c r="W72" i="4"/>
  <c r="W69" i="4"/>
  <c r="W68" i="4"/>
  <c r="W70" i="4"/>
  <c r="W71" i="4"/>
  <c r="V71" i="4"/>
  <c r="V69" i="4"/>
  <c r="V67" i="4"/>
  <c r="V72" i="4"/>
  <c r="V70" i="4"/>
  <c r="V68" i="4"/>
  <c r="Y72" i="4"/>
  <c r="Y68" i="4"/>
  <c r="Y70" i="4"/>
  <c r="Y71" i="4"/>
  <c r="Y69" i="4"/>
  <c r="Y67" i="4"/>
  <c r="T69" i="4"/>
  <c r="T71" i="4"/>
  <c r="T72" i="4"/>
  <c r="T67" i="4"/>
  <c r="T68" i="4"/>
  <c r="T70" i="4"/>
  <c r="S68" i="4"/>
  <c r="S69" i="4"/>
  <c r="S71" i="4"/>
  <c r="S67" i="4"/>
  <c r="S72" i="4"/>
  <c r="S70" i="4"/>
  <c r="Q69" i="4"/>
  <c r="Q67" i="4"/>
  <c r="Q72" i="4"/>
  <c r="Q68" i="4"/>
  <c r="Q70" i="4"/>
  <c r="Q71" i="4"/>
  <c r="U72" i="4"/>
  <c r="U68" i="4"/>
  <c r="U70" i="4"/>
  <c r="U71" i="4"/>
  <c r="U69" i="4"/>
  <c r="U67" i="4"/>
  <c r="P70" i="45"/>
  <c r="N70" i="45"/>
  <c r="D102" i="45"/>
  <c r="D134" i="45"/>
  <c r="F54" i="45"/>
  <c r="L70" i="45"/>
  <c r="R54" i="45"/>
  <c r="J54" i="45"/>
  <c r="O70" i="45"/>
  <c r="K70" i="45"/>
  <c r="I54" i="45"/>
  <c r="G54" i="45"/>
  <c r="J70" i="45"/>
  <c r="K54" i="45"/>
  <c r="M70" i="45"/>
  <c r="N54" i="45"/>
  <c r="R70" i="45"/>
  <c r="M54" i="45"/>
  <c r="L54" i="45"/>
  <c r="O54" i="45"/>
  <c r="D70" i="45"/>
  <c r="G70" i="45"/>
  <c r="P54" i="45"/>
  <c r="E54" i="45"/>
  <c r="E70" i="45"/>
  <c r="Q70" i="45"/>
  <c r="Q54" i="45"/>
  <c r="I70" i="45"/>
  <c r="O22" i="45"/>
  <c r="N22" i="45"/>
  <c r="L102" i="45"/>
  <c r="L22" i="45"/>
  <c r="R22" i="45"/>
  <c r="K102" i="45"/>
  <c r="K22" i="45"/>
  <c r="R102" i="45"/>
  <c r="J102" i="45"/>
  <c r="E22" i="45"/>
  <c r="Q102" i="45"/>
  <c r="N106" i="25"/>
  <c r="F134" i="45"/>
  <c r="L134" i="45"/>
  <c r="M134" i="45"/>
  <c r="N160" i="25"/>
  <c r="N166" i="25" s="1"/>
  <c r="G22" i="45"/>
  <c r="M22" i="45"/>
  <c r="F22" i="45"/>
  <c r="J134" i="45"/>
  <c r="N64" i="25"/>
  <c r="P134" i="45"/>
  <c r="E134" i="45"/>
  <c r="N132" i="25"/>
  <c r="N146" i="25"/>
  <c r="N147" i="25" s="1"/>
  <c r="Q22" i="45"/>
  <c r="D22" i="45"/>
  <c r="D54" i="45"/>
  <c r="N120" i="25"/>
  <c r="N51" i="25"/>
  <c r="G134" i="45"/>
  <c r="I134" i="45"/>
  <c r="N134" i="45"/>
  <c r="N92" i="25"/>
  <c r="K134" i="45"/>
  <c r="R134" i="45"/>
  <c r="Q134" i="45"/>
  <c r="F70" i="45"/>
  <c r="D140" i="45"/>
  <c r="N417" i="29"/>
  <c r="P102" i="45"/>
  <c r="G102" i="45"/>
  <c r="P22" i="45"/>
  <c r="J22" i="45"/>
  <c r="I102" i="45"/>
  <c r="I22" i="45"/>
  <c r="O102" i="45"/>
  <c r="F102" i="45"/>
  <c r="O134" i="45"/>
  <c r="N102" i="45"/>
  <c r="E102" i="45"/>
  <c r="M102" i="45"/>
  <c r="U206" i="31"/>
  <c r="U208" i="31" s="1"/>
  <c r="K118" i="35"/>
  <c r="AA206" i="31"/>
  <c r="AA209" i="31" s="1"/>
  <c r="Q118" i="35"/>
  <c r="Q206" i="31"/>
  <c r="Q212" i="31" s="1"/>
  <c r="G118" i="35"/>
  <c r="V206" i="31"/>
  <c r="V211" i="31" s="1"/>
  <c r="L118" i="35"/>
  <c r="P206" i="31"/>
  <c r="P211" i="31" s="1"/>
  <c r="F118" i="35"/>
  <c r="W206" i="31"/>
  <c r="W211" i="31" s="1"/>
  <c r="M118" i="35"/>
  <c r="Y206" i="31"/>
  <c r="Y212" i="31" s="1"/>
  <c r="O118" i="35"/>
  <c r="AB206" i="31"/>
  <c r="AB208" i="31" s="1"/>
  <c r="R118" i="35"/>
  <c r="Z206" i="31"/>
  <c r="Z211" i="31" s="1"/>
  <c r="P118" i="35"/>
  <c r="T206" i="31"/>
  <c r="T211" i="31" s="1"/>
  <c r="J118" i="35"/>
  <c r="S206" i="31"/>
  <c r="S211" i="31" s="1"/>
  <c r="I118" i="35"/>
  <c r="X206" i="31"/>
  <c r="X208" i="31" s="1"/>
  <c r="N118" i="35"/>
  <c r="O206" i="31"/>
  <c r="O211" i="31" s="1"/>
  <c r="E118" i="35"/>
  <c r="N206" i="31"/>
  <c r="N211" i="31" s="1"/>
  <c r="D118" i="35"/>
  <c r="S78" i="25"/>
  <c r="N78" i="25"/>
  <c r="AA78" i="25"/>
  <c r="W78" i="25"/>
  <c r="V414" i="29"/>
  <c r="V412" i="29"/>
  <c r="V415" i="29"/>
  <c r="V417" i="29"/>
  <c r="V416" i="29"/>
  <c r="V413" i="29"/>
  <c r="P412" i="29"/>
  <c r="P414" i="29"/>
  <c r="P417" i="29"/>
  <c r="P415" i="29"/>
  <c r="P413" i="29"/>
  <c r="P416" i="29"/>
  <c r="X412" i="29"/>
  <c r="X415" i="29"/>
  <c r="X417" i="29"/>
  <c r="X413" i="29"/>
  <c r="X416" i="29"/>
  <c r="X414" i="29"/>
  <c r="S416" i="29"/>
  <c r="S414" i="29"/>
  <c r="S415" i="29"/>
  <c r="S417" i="29"/>
  <c r="S412" i="29"/>
  <c r="S413" i="29"/>
  <c r="Q414" i="29"/>
  <c r="Q415" i="29"/>
  <c r="Q417" i="29"/>
  <c r="Q413" i="29"/>
  <c r="Q416" i="29"/>
  <c r="Q412" i="29"/>
  <c r="T412" i="29"/>
  <c r="T417" i="29"/>
  <c r="T414" i="29"/>
  <c r="T413" i="29"/>
  <c r="T415" i="29"/>
  <c r="T416" i="29"/>
  <c r="Y417" i="29"/>
  <c r="Y416" i="29"/>
  <c r="Y413" i="29"/>
  <c r="Y412" i="29"/>
  <c r="Y415" i="29"/>
  <c r="Y414" i="29"/>
  <c r="O414" i="29"/>
  <c r="O412" i="29"/>
  <c r="O417" i="29"/>
  <c r="O416" i="29"/>
  <c r="O415" i="29"/>
  <c r="O413" i="29"/>
  <c r="AA416" i="29"/>
  <c r="AA413" i="29"/>
  <c r="AA412" i="29"/>
  <c r="AA415" i="29"/>
  <c r="AA414" i="29"/>
  <c r="AA417" i="29"/>
  <c r="Z414" i="29"/>
  <c r="Z413" i="29"/>
  <c r="Z417" i="29"/>
  <c r="Z416" i="29"/>
  <c r="Z415" i="29"/>
  <c r="Z412" i="29"/>
  <c r="U412" i="29"/>
  <c r="U415" i="29"/>
  <c r="U413" i="29"/>
  <c r="U414" i="29"/>
  <c r="U416" i="29"/>
  <c r="U417" i="29"/>
  <c r="AB412" i="29"/>
  <c r="AB414" i="29"/>
  <c r="AB417" i="29"/>
  <c r="AB413" i="29"/>
  <c r="AB416" i="29"/>
  <c r="AB415" i="29"/>
  <c r="W417" i="29"/>
  <c r="W415" i="29"/>
  <c r="W413" i="29"/>
  <c r="W412" i="29"/>
  <c r="W414" i="29"/>
  <c r="W416" i="29"/>
  <c r="K140" i="45"/>
  <c r="T163" i="25"/>
  <c r="T164" i="25"/>
  <c r="T161" i="25"/>
  <c r="T162" i="25"/>
  <c r="T165" i="25"/>
  <c r="T166" i="25"/>
  <c r="Z165" i="25"/>
  <c r="Z161" i="25"/>
  <c r="Z166" i="25"/>
  <c r="Z162" i="25"/>
  <c r="Z163" i="25"/>
  <c r="Z164" i="25"/>
  <c r="S166" i="25"/>
  <c r="S162" i="25"/>
  <c r="S163" i="25"/>
  <c r="S161" i="25"/>
  <c r="S164" i="25"/>
  <c r="S165" i="25"/>
  <c r="X163" i="25"/>
  <c r="X164" i="25"/>
  <c r="X165" i="25"/>
  <c r="X166" i="25"/>
  <c r="X161" i="25"/>
  <c r="X162" i="25"/>
  <c r="V165" i="25"/>
  <c r="V161" i="25"/>
  <c r="V166" i="25"/>
  <c r="V162" i="25"/>
  <c r="V163" i="25"/>
  <c r="V164" i="25"/>
  <c r="Q164" i="25"/>
  <c r="Q161" i="25"/>
  <c r="Q165" i="25"/>
  <c r="Q166" i="25"/>
  <c r="Q162" i="25"/>
  <c r="Q163" i="25"/>
  <c r="Y164" i="25"/>
  <c r="Y165" i="25"/>
  <c r="Y161" i="25"/>
  <c r="Y166" i="25"/>
  <c r="Y162" i="25"/>
  <c r="Y163" i="25"/>
  <c r="AB163" i="25"/>
  <c r="AB164" i="25"/>
  <c r="AB161" i="25"/>
  <c r="AB162" i="25"/>
  <c r="AB165" i="25"/>
  <c r="AB166" i="25"/>
  <c r="U164" i="25"/>
  <c r="U165" i="25"/>
  <c r="U161" i="25"/>
  <c r="U162" i="25"/>
  <c r="U163" i="25"/>
  <c r="U166" i="25"/>
  <c r="AA166" i="25"/>
  <c r="AA162" i="25"/>
  <c r="AA163" i="25"/>
  <c r="AA161" i="25"/>
  <c r="AA164" i="25"/>
  <c r="AA165" i="25"/>
  <c r="P163" i="25"/>
  <c r="P164" i="25"/>
  <c r="P161" i="25"/>
  <c r="P165" i="25"/>
  <c r="P166" i="25"/>
  <c r="P162" i="25"/>
  <c r="O166" i="25"/>
  <c r="O162" i="25"/>
  <c r="O163" i="25"/>
  <c r="O164" i="25"/>
  <c r="O165" i="25"/>
  <c r="O161" i="25"/>
  <c r="W166" i="25"/>
  <c r="W162" i="25"/>
  <c r="W163" i="25"/>
  <c r="W164" i="25"/>
  <c r="W165" i="25"/>
  <c r="W161" i="25"/>
  <c r="F140" i="45"/>
  <c r="G140" i="45"/>
  <c r="M140" i="45"/>
  <c r="Q140" i="45"/>
  <c r="N140" i="45"/>
  <c r="L140" i="45"/>
  <c r="J140" i="45"/>
  <c r="O140" i="45"/>
  <c r="I140" i="45"/>
  <c r="P140" i="45"/>
  <c r="R140" i="45"/>
  <c r="E140" i="45"/>
  <c r="P140" i="35"/>
  <c r="R140" i="35"/>
  <c r="D140" i="35"/>
  <c r="J140" i="35"/>
  <c r="G140" i="35"/>
  <c r="Q140" i="35"/>
  <c r="I140" i="35"/>
  <c r="L140" i="35"/>
  <c r="N140" i="35"/>
  <c r="M140" i="35"/>
  <c r="O140" i="35"/>
  <c r="F140" i="35"/>
  <c r="K140" i="35"/>
  <c r="E140" i="35"/>
  <c r="AF25" i="34" l="1"/>
  <c r="AW5" i="32"/>
  <c r="Q14" i="29"/>
  <c r="Q15" i="29"/>
  <c r="Z208" i="31"/>
  <c r="N413" i="29"/>
  <c r="N415" i="29"/>
  <c r="N412" i="29"/>
  <c r="N416" i="29"/>
  <c r="N414" i="29"/>
  <c r="N165" i="25"/>
  <c r="N162" i="25"/>
  <c r="N163" i="25"/>
  <c r="P11" i="29"/>
  <c r="P10" i="29"/>
  <c r="N164" i="25"/>
  <c r="P15" i="29"/>
  <c r="P14" i="29"/>
  <c r="N161" i="25"/>
  <c r="Q10" i="29"/>
  <c r="Q11" i="29"/>
  <c r="W208" i="31"/>
  <c r="S210" i="31"/>
  <c r="U207" i="31"/>
  <c r="V207" i="31"/>
  <c r="V209" i="31"/>
  <c r="Z209" i="31"/>
  <c r="O209" i="31"/>
  <c r="AB211" i="31"/>
  <c r="V208" i="31"/>
  <c r="V210" i="31"/>
  <c r="Z210" i="31"/>
  <c r="Z212" i="31"/>
  <c r="AB209" i="31"/>
  <c r="AB212" i="31"/>
  <c r="AB207" i="31"/>
  <c r="V212" i="31"/>
  <c r="Z207" i="31"/>
  <c r="AB210" i="31"/>
  <c r="N208" i="31"/>
  <c r="U212" i="31"/>
  <c r="S208" i="31"/>
  <c r="U211" i="31"/>
  <c r="S209" i="31"/>
  <c r="T208" i="31"/>
  <c r="Y210" i="31"/>
  <c r="P208" i="31"/>
  <c r="W212" i="31"/>
  <c r="S212" i="31"/>
  <c r="O207" i="31"/>
  <c r="P212" i="31"/>
  <c r="N207" i="31"/>
  <c r="Y207" i="31"/>
  <c r="U210" i="31"/>
  <c r="W210" i="31"/>
  <c r="W207" i="31"/>
  <c r="X211" i="31"/>
  <c r="S207" i="31"/>
  <c r="O208" i="31"/>
  <c r="AA211" i="31"/>
  <c r="U209" i="31"/>
  <c r="W209" i="31"/>
  <c r="T207" i="31"/>
  <c r="Q211" i="31"/>
  <c r="O210" i="31"/>
  <c r="AA208" i="31"/>
  <c r="P207" i="31"/>
  <c r="X212" i="31"/>
  <c r="Q207" i="31"/>
  <c r="AA207" i="31"/>
  <c r="Y209" i="31"/>
  <c r="X209" i="31"/>
  <c r="T210" i="31"/>
  <c r="Q209" i="31"/>
  <c r="N209" i="31"/>
  <c r="AA212" i="31"/>
  <c r="AA210" i="31"/>
  <c r="Y211" i="31"/>
  <c r="Y208" i="31"/>
  <c r="P210" i="31"/>
  <c r="P209" i="31"/>
  <c r="X210" i="31"/>
  <c r="T212" i="31"/>
  <c r="T209" i="31"/>
  <c r="Q208" i="31"/>
  <c r="N212" i="31"/>
  <c r="X207" i="31"/>
  <c r="Q210" i="31"/>
  <c r="N210" i="31"/>
  <c r="Q242" i="29"/>
  <c r="Q243" i="29"/>
  <c r="Q241" i="29"/>
  <c r="Q240" i="29"/>
  <c r="Q245" i="29"/>
  <c r="Q244" i="29"/>
  <c r="N242" i="29"/>
  <c r="N245" i="29"/>
  <c r="N241" i="29"/>
  <c r="N243" i="29"/>
  <c r="N240" i="29"/>
  <c r="N244" i="29"/>
  <c r="Y245" i="29"/>
  <c r="Y241" i="29"/>
  <c r="Y243" i="29"/>
  <c r="Y242" i="29"/>
  <c r="Y244" i="29"/>
  <c r="Y240" i="29"/>
  <c r="P244" i="29"/>
  <c r="P245" i="29"/>
  <c r="P243" i="29"/>
  <c r="P240" i="29"/>
  <c r="P242" i="29"/>
  <c r="P241" i="29"/>
  <c r="X243" i="29"/>
  <c r="X245" i="29"/>
  <c r="X240" i="29"/>
  <c r="X241" i="29"/>
  <c r="X244" i="29"/>
  <c r="X242" i="29"/>
  <c r="T240" i="29"/>
  <c r="T241" i="29"/>
  <c r="T243" i="29"/>
  <c r="T245" i="29"/>
  <c r="T242" i="29"/>
  <c r="T244" i="29"/>
  <c r="AA244" i="29"/>
  <c r="AA241" i="29"/>
  <c r="AA245" i="29"/>
  <c r="AA240" i="29"/>
  <c r="AA243" i="29"/>
  <c r="AA242" i="29"/>
  <c r="O212" i="31"/>
  <c r="O243" i="29"/>
  <c r="O241" i="29"/>
  <c r="O245" i="29"/>
  <c r="O244" i="29"/>
  <c r="O242" i="29"/>
  <c r="O240" i="29"/>
  <c r="AB241" i="29"/>
  <c r="AB244" i="29"/>
  <c r="AB243" i="29"/>
  <c r="AB242" i="29"/>
  <c r="AB240" i="29"/>
  <c r="AB245" i="29"/>
  <c r="W244" i="29"/>
  <c r="W240" i="29"/>
  <c r="W243" i="29"/>
  <c r="W242" i="29"/>
  <c r="W241" i="29"/>
  <c r="W245" i="29"/>
  <c r="V240" i="29"/>
  <c r="V245" i="29"/>
  <c r="V241" i="29"/>
  <c r="V243" i="29"/>
  <c r="V242" i="29"/>
  <c r="V244" i="29"/>
  <c r="S241" i="29"/>
  <c r="S245" i="29"/>
  <c r="S243" i="29"/>
  <c r="S242" i="29"/>
  <c r="S240" i="29"/>
  <c r="S244" i="29"/>
  <c r="Z242" i="29"/>
  <c r="Z243" i="29"/>
  <c r="Z241" i="29"/>
  <c r="Z244" i="29"/>
  <c r="Z240" i="29"/>
  <c r="Z245" i="29"/>
  <c r="U243" i="29"/>
  <c r="U242" i="29"/>
  <c r="U240" i="29"/>
  <c r="U241" i="29"/>
  <c r="U244" i="29"/>
  <c r="U245" i="29"/>
  <c r="E42" i="36"/>
  <c r="E39" i="36"/>
  <c r="E38" i="36"/>
  <c r="E37" i="36"/>
  <c r="E30" i="36"/>
  <c r="E28" i="36"/>
  <c r="N23" i="31" s="1"/>
  <c r="E21" i="36"/>
  <c r="N24" i="31" s="1"/>
  <c r="E36" i="36" l="1"/>
  <c r="X36" i="36"/>
  <c r="E34" i="36"/>
  <c r="X34" i="36"/>
  <c r="E18" i="36"/>
  <c r="X18" i="36"/>
  <c r="N333" i="31"/>
  <c r="AF334" i="31" s="1"/>
  <c r="N294" i="31"/>
  <c r="AF295" i="31" s="1"/>
  <c r="N268" i="31"/>
  <c r="AF269" i="31" s="1"/>
  <c r="N255" i="31"/>
  <c r="AF256" i="31" s="1"/>
  <c r="N306" i="31"/>
  <c r="AF307" i="31" s="1"/>
  <c r="N218" i="31"/>
  <c r="AF219" i="31" s="1"/>
  <c r="N320" i="31"/>
  <c r="AF321" i="31" s="1"/>
  <c r="N204" i="31"/>
  <c r="AF205" i="31" s="1"/>
  <c r="N242" i="31"/>
  <c r="AF243" i="31" s="1"/>
  <c r="N281" i="31"/>
  <c r="AF282" i="31" s="1"/>
  <c r="N230" i="31"/>
  <c r="AF231" i="31" s="1"/>
  <c r="N170" i="31"/>
  <c r="N184" i="31"/>
  <c r="N144" i="31"/>
  <c r="N130" i="31"/>
  <c r="N63" i="31"/>
  <c r="N49" i="31"/>
  <c r="H102" i="38"/>
  <c r="H110" i="38"/>
  <c r="H111" i="38"/>
  <c r="H114" i="38"/>
  <c r="H115" i="38"/>
  <c r="J115" i="38" s="1"/>
  <c r="H116" i="38"/>
  <c r="J116" i="38" s="1"/>
  <c r="H117" i="38"/>
  <c r="J117" i="38" s="1"/>
  <c r="H118" i="38"/>
  <c r="V118" i="38" s="1"/>
  <c r="H119" i="38"/>
  <c r="J119" i="38" s="1"/>
  <c r="H160" i="38"/>
  <c r="O160" i="38" s="1"/>
  <c r="H161" i="38"/>
  <c r="O161" i="38" s="1"/>
  <c r="H162" i="38"/>
  <c r="O162" i="38" s="1"/>
  <c r="H163" i="38"/>
  <c r="O163" i="38" s="1"/>
  <c r="H164" i="38"/>
  <c r="H165" i="38"/>
  <c r="H166" i="38"/>
  <c r="H167" i="38"/>
  <c r="H168" i="38"/>
  <c r="H169" i="38"/>
  <c r="H204" i="38"/>
  <c r="H205" i="38"/>
  <c r="H208" i="38"/>
  <c r="H209" i="38"/>
  <c r="H210" i="38"/>
  <c r="H211" i="38"/>
  <c r="H212" i="38"/>
  <c r="H213" i="38"/>
  <c r="H229" i="38"/>
  <c r="N99" i="29" s="1"/>
  <c r="H230" i="38"/>
  <c r="N100" i="29" s="1"/>
  <c r="H231" i="38"/>
  <c r="N111" i="29" s="1"/>
  <c r="H232" i="38"/>
  <c r="N112" i="29" s="1"/>
  <c r="H233" i="38"/>
  <c r="H234" i="38"/>
  <c r="N125" i="29" s="1"/>
  <c r="H235" i="38"/>
  <c r="H236" i="38"/>
  <c r="H237" i="38"/>
  <c r="H238" i="38"/>
  <c r="H243" i="38"/>
  <c r="H244" i="38"/>
  <c r="H273" i="38"/>
  <c r="I273" i="38" s="1"/>
  <c r="H274" i="38"/>
  <c r="I274" i="38" s="1"/>
  <c r="H277" i="38"/>
  <c r="I277" i="38" s="1"/>
  <c r="H278" i="38"/>
  <c r="L278" i="38" s="1"/>
  <c r="H279" i="38"/>
  <c r="I279" i="38" s="1"/>
  <c r="H280" i="38"/>
  <c r="I280" i="38" s="1"/>
  <c r="H281" i="38"/>
  <c r="I281" i="38" s="1"/>
  <c r="H282" i="38"/>
  <c r="I282" i="38" s="1"/>
  <c r="H100" i="38"/>
  <c r="H72" i="38"/>
  <c r="H54" i="38"/>
  <c r="J54" i="38" s="1"/>
  <c r="H57" i="38"/>
  <c r="V57" i="38" s="1"/>
  <c r="H56" i="38"/>
  <c r="R56" i="38" s="1"/>
  <c r="H59" i="38"/>
  <c r="H58" i="38"/>
  <c r="J58" i="38" s="1"/>
  <c r="H61" i="38"/>
  <c r="I61" i="38" s="1"/>
  <c r="H60" i="38"/>
  <c r="J60" i="38" s="1"/>
  <c r="H63" i="38"/>
  <c r="I63" i="38" s="1"/>
  <c r="H62" i="38"/>
  <c r="N62" i="38" s="1"/>
  <c r="H65" i="38"/>
  <c r="I65" i="38" s="1"/>
  <c r="H64" i="38"/>
  <c r="M64" i="38" s="1"/>
  <c r="H67" i="38"/>
  <c r="N67" i="38" s="1"/>
  <c r="H66" i="38"/>
  <c r="J66" i="38" s="1"/>
  <c r="H69" i="38"/>
  <c r="I69" i="38" s="1"/>
  <c r="H68" i="38"/>
  <c r="I68" i="38" s="1"/>
  <c r="H71" i="38"/>
  <c r="I71" i="38" s="1"/>
  <c r="H70" i="38"/>
  <c r="J70" i="38" s="1"/>
  <c r="H73" i="38"/>
  <c r="H55" i="38"/>
  <c r="H36" i="38"/>
  <c r="H37" i="38"/>
  <c r="H39" i="38"/>
  <c r="H40" i="38"/>
  <c r="H41" i="38"/>
  <c r="H42" i="38"/>
  <c r="H43" i="38"/>
  <c r="J43" i="38" s="1"/>
  <c r="H44" i="38"/>
  <c r="H45" i="38"/>
  <c r="H46" i="38"/>
  <c r="J46" i="38" s="1"/>
  <c r="H47" i="38"/>
  <c r="J47" i="38" s="1"/>
  <c r="H48" i="38"/>
  <c r="N48" i="38" s="1"/>
  <c r="H49" i="38"/>
  <c r="V49" i="38" s="1"/>
  <c r="H50" i="38"/>
  <c r="H51" i="38"/>
  <c r="H52" i="38"/>
  <c r="H53" i="38"/>
  <c r="J53" i="38" s="1"/>
  <c r="H35" i="38"/>
  <c r="U34" i="38"/>
  <c r="Y301" i="38"/>
  <c r="G301" i="38" s="1"/>
  <c r="Y300" i="38"/>
  <c r="G300" i="38" s="1"/>
  <c r="Y306" i="38"/>
  <c r="G306" i="38" s="1"/>
  <c r="G305" i="38"/>
  <c r="Y303" i="38"/>
  <c r="G303" i="38" s="1"/>
  <c r="AB141" i="38"/>
  <c r="H141" i="38" s="1"/>
  <c r="O141" i="38" s="1"/>
  <c r="AB140" i="38"/>
  <c r="H140" i="38" s="1"/>
  <c r="O140" i="38" s="1"/>
  <c r="H139" i="38"/>
  <c r="O139" i="38" s="1"/>
  <c r="H138" i="38"/>
  <c r="O138" i="38" s="1"/>
  <c r="H137" i="38"/>
  <c r="O137" i="38" s="1"/>
  <c r="H136" i="38"/>
  <c r="O136" i="38" s="1"/>
  <c r="H133" i="38"/>
  <c r="H132" i="38"/>
  <c r="N200" i="28" s="1"/>
  <c r="AX199" i="28" s="1"/>
  <c r="R42" i="38" l="1"/>
  <c r="N88" i="26"/>
  <c r="G18" i="5"/>
  <c r="AX198" i="28"/>
  <c r="AX197" i="28"/>
  <c r="I102" i="38"/>
  <c r="O75" i="4" s="1"/>
  <c r="M102" i="38"/>
  <c r="S75" i="4" s="1"/>
  <c r="Q102" i="38"/>
  <c r="W75" i="4" s="1"/>
  <c r="U102" i="38"/>
  <c r="AA75" i="4" s="1"/>
  <c r="N75" i="4"/>
  <c r="K102" i="38"/>
  <c r="Q75" i="4" s="1"/>
  <c r="O102" i="38"/>
  <c r="U75" i="4" s="1"/>
  <c r="S102" i="38"/>
  <c r="Y75" i="4" s="1"/>
  <c r="P102" i="38"/>
  <c r="V75" i="4" s="1"/>
  <c r="T102" i="38"/>
  <c r="Z75" i="4" s="1"/>
  <c r="J102" i="38"/>
  <c r="P75" i="4" s="1"/>
  <c r="N102" i="38"/>
  <c r="T75" i="4" s="1"/>
  <c r="R102" i="38"/>
  <c r="X75" i="4" s="1"/>
  <c r="V102" i="38"/>
  <c r="AB75" i="4" s="1"/>
  <c r="L102" i="38"/>
  <c r="R75" i="4" s="1"/>
  <c r="K100" i="38"/>
  <c r="O100" i="38"/>
  <c r="S100" i="38"/>
  <c r="I100" i="38"/>
  <c r="M100" i="38"/>
  <c r="Q100" i="38"/>
  <c r="U100" i="38"/>
  <c r="J100" i="38"/>
  <c r="N100" i="38"/>
  <c r="R100" i="38"/>
  <c r="V100" i="38"/>
  <c r="L100" i="38"/>
  <c r="P100" i="38"/>
  <c r="T100" i="38"/>
  <c r="AF201" i="31"/>
  <c r="I243" i="38"/>
  <c r="O189" i="29" s="1"/>
  <c r="N189" i="29"/>
  <c r="I235" i="38"/>
  <c r="O138" i="29" s="1"/>
  <c r="N138" i="29"/>
  <c r="I237" i="38"/>
  <c r="O151" i="29" s="1"/>
  <c r="N151" i="29"/>
  <c r="N509" i="29"/>
  <c r="N124" i="29"/>
  <c r="I244" i="38"/>
  <c r="O190" i="29" s="1"/>
  <c r="N190" i="29"/>
  <c r="I236" i="38"/>
  <c r="O139" i="29" s="1"/>
  <c r="N139" i="29"/>
  <c r="I238" i="38"/>
  <c r="O152" i="29" s="1"/>
  <c r="N152" i="29"/>
  <c r="J51" i="38"/>
  <c r="J50" i="38"/>
  <c r="J45" i="38"/>
  <c r="N44" i="38"/>
  <c r="I73" i="38"/>
  <c r="I234" i="38"/>
  <c r="N510" i="29"/>
  <c r="I230" i="38"/>
  <c r="N484" i="29"/>
  <c r="I211" i="38"/>
  <c r="O396" i="29" s="1"/>
  <c r="N396" i="29"/>
  <c r="M205" i="38"/>
  <c r="I167" i="38"/>
  <c r="I229" i="38"/>
  <c r="N483" i="29"/>
  <c r="I210" i="38"/>
  <c r="O395" i="29" s="1"/>
  <c r="N395" i="29"/>
  <c r="M204" i="38"/>
  <c r="I232" i="38"/>
  <c r="N497" i="29"/>
  <c r="I213" i="38"/>
  <c r="O408" i="29" s="1"/>
  <c r="N408" i="29"/>
  <c r="I209" i="38"/>
  <c r="O383" i="29" s="1"/>
  <c r="N383" i="29"/>
  <c r="I169" i="38"/>
  <c r="I165" i="38"/>
  <c r="I231" i="38"/>
  <c r="N496" i="29"/>
  <c r="I212" i="38"/>
  <c r="O407" i="29" s="1"/>
  <c r="N407" i="29"/>
  <c r="I208" i="38"/>
  <c r="O382" i="29" s="1"/>
  <c r="N382" i="29"/>
  <c r="I168" i="38"/>
  <c r="M164" i="38"/>
  <c r="I233" i="38"/>
  <c r="J233" i="38"/>
  <c r="J110" i="38"/>
  <c r="P36" i="28" s="1"/>
  <c r="N36" i="28"/>
  <c r="AX35" i="28" s="1"/>
  <c r="J111" i="38"/>
  <c r="P37" i="28" s="1"/>
  <c r="N37" i="28"/>
  <c r="U306" i="38"/>
  <c r="Q306" i="38"/>
  <c r="M306" i="38"/>
  <c r="I306" i="38"/>
  <c r="K306" i="38"/>
  <c r="T306" i="38"/>
  <c r="O306" i="38"/>
  <c r="J306" i="38"/>
  <c r="S306" i="38"/>
  <c r="N306" i="38"/>
  <c r="H306" i="38"/>
  <c r="R306" i="38"/>
  <c r="L306" i="38"/>
  <c r="V306" i="38"/>
  <c r="P306" i="38"/>
  <c r="V304" i="38"/>
  <c r="AA53" i="7" s="1"/>
  <c r="R304" i="38"/>
  <c r="W53" i="7" s="1"/>
  <c r="N304" i="38"/>
  <c r="S53" i="7" s="1"/>
  <c r="J304" i="38"/>
  <c r="O53" i="7" s="1"/>
  <c r="Q304" i="38"/>
  <c r="V53" i="7" s="1"/>
  <c r="M304" i="38"/>
  <c r="R53" i="7" s="1"/>
  <c r="T304" i="38"/>
  <c r="Y53" i="7" s="1"/>
  <c r="S304" i="38"/>
  <c r="X53" i="7" s="1"/>
  <c r="K304" i="38"/>
  <c r="P53" i="7" s="1"/>
  <c r="P304" i="38"/>
  <c r="U53" i="7" s="1"/>
  <c r="I304" i="38"/>
  <c r="N53" i="7" s="1"/>
  <c r="U304" i="38"/>
  <c r="Z53" i="7" s="1"/>
  <c r="O304" i="38"/>
  <c r="T53" i="7" s="1"/>
  <c r="H304" i="38"/>
  <c r="M53" i="7" s="1"/>
  <c r="L304" i="38"/>
  <c r="Q53" i="7" s="1"/>
  <c r="T305" i="38"/>
  <c r="P305" i="38"/>
  <c r="U41" i="7" s="1"/>
  <c r="L305" i="38"/>
  <c r="Q41" i="7" s="1"/>
  <c r="H305" i="38"/>
  <c r="M41" i="7" s="1"/>
  <c r="S305" i="38"/>
  <c r="N305" i="38"/>
  <c r="S41" i="7" s="1"/>
  <c r="I305" i="38"/>
  <c r="N41" i="7" s="1"/>
  <c r="R305" i="38"/>
  <c r="M305" i="38"/>
  <c r="V305" i="38"/>
  <c r="Q305" i="38"/>
  <c r="K305" i="38"/>
  <c r="U305" i="38"/>
  <c r="O305" i="38"/>
  <c r="J305" i="38"/>
  <c r="O41" i="7" s="1"/>
  <c r="K300" i="38"/>
  <c r="T300" i="38"/>
  <c r="P300" i="38"/>
  <c r="L300" i="38"/>
  <c r="H300" i="38"/>
  <c r="S300" i="38"/>
  <c r="O300" i="38"/>
  <c r="R300" i="38"/>
  <c r="J300" i="38"/>
  <c r="Q300" i="38"/>
  <c r="I300" i="38"/>
  <c r="V300" i="38"/>
  <c r="N300" i="38"/>
  <c r="U300" i="38"/>
  <c r="M300" i="38"/>
  <c r="P301" i="38"/>
  <c r="U301" i="38"/>
  <c r="Q301" i="38"/>
  <c r="M301" i="38"/>
  <c r="I301" i="38"/>
  <c r="T301" i="38"/>
  <c r="L301" i="38"/>
  <c r="H301" i="38"/>
  <c r="N301" i="38"/>
  <c r="S301" i="38"/>
  <c r="K301" i="38"/>
  <c r="R301" i="38"/>
  <c r="J301" i="38"/>
  <c r="O301" i="38"/>
  <c r="V301" i="38"/>
  <c r="V303" i="38"/>
  <c r="R303" i="38"/>
  <c r="N303" i="38"/>
  <c r="J303" i="38"/>
  <c r="S303" i="38"/>
  <c r="H303" i="38"/>
  <c r="Q303" i="38"/>
  <c r="L303" i="38"/>
  <c r="U303" i="38"/>
  <c r="P303" i="38"/>
  <c r="K303" i="38"/>
  <c r="T303" i="38"/>
  <c r="O303" i="38"/>
  <c r="I303" i="38"/>
  <c r="M303" i="38"/>
  <c r="X41" i="7"/>
  <c r="T41" i="7"/>
  <c r="Z41" i="7"/>
  <c r="Y41" i="7"/>
  <c r="R41" i="7"/>
  <c r="AA41" i="7"/>
  <c r="V41" i="7"/>
  <c r="R34" i="38"/>
  <c r="V34" i="38"/>
  <c r="J34" i="38"/>
  <c r="N34" i="38"/>
  <c r="K34" i="38"/>
  <c r="O34" i="38"/>
  <c r="S34" i="38"/>
  <c r="H34" i="38"/>
  <c r="L34" i="38"/>
  <c r="P34" i="38"/>
  <c r="T34" i="38"/>
  <c r="I34" i="38"/>
  <c r="M34" i="38"/>
  <c r="Q34" i="38"/>
  <c r="M274" i="38"/>
  <c r="K209" i="38"/>
  <c r="Q383" i="29" s="1"/>
  <c r="R69" i="38"/>
  <c r="V211" i="38"/>
  <c r="AB396" i="29" s="1"/>
  <c r="V48" i="38"/>
  <c r="M236" i="38"/>
  <c r="S139" i="29" s="1"/>
  <c r="O50" i="38"/>
  <c r="J48" i="38"/>
  <c r="V69" i="38"/>
  <c r="M69" i="38"/>
  <c r="N58" i="38"/>
  <c r="N69" i="38"/>
  <c r="U69" i="38"/>
  <c r="J69" i="38"/>
  <c r="V60" i="38"/>
  <c r="M234" i="38"/>
  <c r="R209" i="38"/>
  <c r="X383" i="29" s="1"/>
  <c r="J73" i="38"/>
  <c r="V68" i="38"/>
  <c r="Q64" i="38"/>
  <c r="Q60" i="38"/>
  <c r="V58" i="38"/>
  <c r="J56" i="38"/>
  <c r="M244" i="38"/>
  <c r="S190" i="29" s="1"/>
  <c r="M232" i="38"/>
  <c r="Q230" i="38"/>
  <c r="M211" i="38"/>
  <c r="S396" i="29" s="1"/>
  <c r="K205" i="38"/>
  <c r="I204" i="38"/>
  <c r="I60" i="38"/>
  <c r="V115" i="38"/>
  <c r="I67" i="38"/>
  <c r="U65" i="38"/>
  <c r="R211" i="38"/>
  <c r="X396" i="29" s="1"/>
  <c r="Q205" i="38"/>
  <c r="S204" i="38"/>
  <c r="R73" i="38"/>
  <c r="R54" i="38"/>
  <c r="M278" i="38"/>
  <c r="M238" i="38"/>
  <c r="S152" i="29" s="1"/>
  <c r="R230" i="38"/>
  <c r="Q211" i="38"/>
  <c r="W396" i="29" s="1"/>
  <c r="V209" i="38"/>
  <c r="AB383" i="29" s="1"/>
  <c r="O205" i="38"/>
  <c r="Q204" i="38"/>
  <c r="U168" i="38"/>
  <c r="Q71" i="38"/>
  <c r="N64" i="38"/>
  <c r="R213" i="38"/>
  <c r="X408" i="29" s="1"/>
  <c r="V119" i="38"/>
  <c r="V111" i="38"/>
  <c r="AB37" i="28" s="1"/>
  <c r="N49" i="38"/>
  <c r="R48" i="38"/>
  <c r="V47" i="38"/>
  <c r="V42" i="38"/>
  <c r="N71" i="38"/>
  <c r="N68" i="38"/>
  <c r="V64" i="38"/>
  <c r="J64" i="38"/>
  <c r="J65" i="38"/>
  <c r="N57" i="38"/>
  <c r="N54" i="38"/>
  <c r="U278" i="38"/>
  <c r="R231" i="38"/>
  <c r="M230" i="38"/>
  <c r="Q213" i="38"/>
  <c r="W408" i="29" s="1"/>
  <c r="Q209" i="38"/>
  <c r="W383" i="29" s="1"/>
  <c r="S205" i="38"/>
  <c r="I205" i="38"/>
  <c r="O204" i="38"/>
  <c r="S169" i="38"/>
  <c r="V71" i="38"/>
  <c r="R50" i="38"/>
  <c r="J49" i="38"/>
  <c r="R47" i="38"/>
  <c r="J44" i="38"/>
  <c r="R64" i="38"/>
  <c r="I64" i="38"/>
  <c r="J57" i="38"/>
  <c r="Q278" i="38"/>
  <c r="R274" i="38"/>
  <c r="R244" i="38"/>
  <c r="X190" i="29" s="1"/>
  <c r="R238" i="38"/>
  <c r="X152" i="29" s="1"/>
  <c r="R236" i="38"/>
  <c r="X139" i="29" s="1"/>
  <c r="R234" i="38"/>
  <c r="R232" i="38"/>
  <c r="M213" i="38"/>
  <c r="S408" i="29" s="1"/>
  <c r="M209" i="38"/>
  <c r="S383" i="29" s="1"/>
  <c r="K204" i="38"/>
  <c r="Q169" i="38"/>
  <c r="N110" i="38"/>
  <c r="T36" i="28" s="1"/>
  <c r="J132" i="38"/>
  <c r="V132" i="38"/>
  <c r="N132" i="38"/>
  <c r="R132" i="38"/>
  <c r="V133" i="38"/>
  <c r="J133" i="38"/>
  <c r="R133" i="38"/>
  <c r="N133" i="38"/>
  <c r="T282" i="38"/>
  <c r="T278" i="38"/>
  <c r="K278" i="38"/>
  <c r="Q277" i="38"/>
  <c r="V274" i="38"/>
  <c r="K274" i="38"/>
  <c r="Q273" i="38"/>
  <c r="V244" i="38"/>
  <c r="AB190" i="29" s="1"/>
  <c r="K244" i="38"/>
  <c r="Q190" i="29" s="1"/>
  <c r="Q243" i="38"/>
  <c r="W189" i="29" s="1"/>
  <c r="V238" i="38"/>
  <c r="AB152" i="29" s="1"/>
  <c r="K238" i="38"/>
  <c r="Q152" i="29" s="1"/>
  <c r="Q237" i="38"/>
  <c r="W151" i="29" s="1"/>
  <c r="V236" i="38"/>
  <c r="AB139" i="29" s="1"/>
  <c r="K236" i="38"/>
  <c r="Q139" i="29" s="1"/>
  <c r="Q235" i="38"/>
  <c r="W138" i="29" s="1"/>
  <c r="V234" i="38"/>
  <c r="K234" i="38"/>
  <c r="Q233" i="38"/>
  <c r="V232" i="38"/>
  <c r="K232" i="38"/>
  <c r="Q231" i="38"/>
  <c r="V230" i="38"/>
  <c r="K230" i="38"/>
  <c r="Q229" i="38"/>
  <c r="V213" i="38"/>
  <c r="AB408" i="29" s="1"/>
  <c r="K213" i="38"/>
  <c r="Q408" i="29" s="1"/>
  <c r="Q212" i="38"/>
  <c r="W407" i="29" s="1"/>
  <c r="K211" i="38"/>
  <c r="Q396" i="29" s="1"/>
  <c r="Q210" i="38"/>
  <c r="W395" i="29" s="1"/>
  <c r="Q208" i="38"/>
  <c r="W382" i="29" s="1"/>
  <c r="M169" i="38"/>
  <c r="Q168" i="38"/>
  <c r="U167" i="38"/>
  <c r="U165" i="38"/>
  <c r="Q164" i="38"/>
  <c r="R119" i="38"/>
  <c r="R117" i="38"/>
  <c r="V116" i="38"/>
  <c r="R115" i="38"/>
  <c r="R111" i="38"/>
  <c r="X37" i="28" s="1"/>
  <c r="V110" i="38"/>
  <c r="AB36" i="28" s="1"/>
  <c r="V63" i="38"/>
  <c r="R61" i="38"/>
  <c r="R243" i="38"/>
  <c r="X189" i="29" s="1"/>
  <c r="R233" i="38"/>
  <c r="R229" i="38"/>
  <c r="R208" i="38"/>
  <c r="X382" i="29" s="1"/>
  <c r="V117" i="38"/>
  <c r="V45" i="38"/>
  <c r="V44" i="38"/>
  <c r="M68" i="38"/>
  <c r="N60" i="38"/>
  <c r="N61" i="38"/>
  <c r="N45" i="38"/>
  <c r="R44" i="38"/>
  <c r="V43" i="38"/>
  <c r="V73" i="38"/>
  <c r="N73" i="38"/>
  <c r="R68" i="38"/>
  <c r="J68" i="38"/>
  <c r="Q67" i="38"/>
  <c r="N65" i="38"/>
  <c r="N63" i="38"/>
  <c r="U60" i="38"/>
  <c r="M60" i="38"/>
  <c r="V61" i="38"/>
  <c r="M61" i="38"/>
  <c r="P282" i="38"/>
  <c r="T281" i="38"/>
  <c r="T280" i="38"/>
  <c r="M277" i="38"/>
  <c r="M273" i="38"/>
  <c r="M243" i="38"/>
  <c r="S189" i="29" s="1"/>
  <c r="M237" i="38"/>
  <c r="S151" i="29" s="1"/>
  <c r="M235" i="38"/>
  <c r="S138" i="29" s="1"/>
  <c r="M233" i="38"/>
  <c r="M231" i="38"/>
  <c r="M229" i="38"/>
  <c r="M212" i="38"/>
  <c r="S407" i="29" s="1"/>
  <c r="M210" i="38"/>
  <c r="S395" i="29" s="1"/>
  <c r="M208" i="38"/>
  <c r="S382" i="29" s="1"/>
  <c r="U205" i="38"/>
  <c r="U204" i="38"/>
  <c r="U169" i="38"/>
  <c r="M168" i="38"/>
  <c r="Q167" i="38"/>
  <c r="M165" i="38"/>
  <c r="N117" i="38"/>
  <c r="N116" i="38"/>
  <c r="N111" i="38"/>
  <c r="T37" i="28" s="1"/>
  <c r="R277" i="38"/>
  <c r="R273" i="38"/>
  <c r="R237" i="38"/>
  <c r="X151" i="29" s="1"/>
  <c r="R235" i="38"/>
  <c r="X138" i="29" s="1"/>
  <c r="R212" i="38"/>
  <c r="X407" i="29" s="1"/>
  <c r="R210" i="38"/>
  <c r="X395" i="29" s="1"/>
  <c r="Q73" i="38"/>
  <c r="U68" i="38"/>
  <c r="V67" i="38"/>
  <c r="R65" i="38"/>
  <c r="Q63" i="38"/>
  <c r="V46" i="38"/>
  <c r="R43" i="38"/>
  <c r="U73" i="38"/>
  <c r="M73" i="38"/>
  <c r="Q68" i="38"/>
  <c r="U64" i="38"/>
  <c r="V65" i="38"/>
  <c r="M65" i="38"/>
  <c r="R60" i="38"/>
  <c r="U61" i="38"/>
  <c r="J61" i="38"/>
  <c r="V54" i="38"/>
  <c r="L282" i="38"/>
  <c r="P281" i="38"/>
  <c r="P280" i="38"/>
  <c r="P278" i="38"/>
  <c r="V277" i="38"/>
  <c r="K277" i="38"/>
  <c r="Q274" i="38"/>
  <c r="V273" i="38"/>
  <c r="K273" i="38"/>
  <c r="Q244" i="38"/>
  <c r="W190" i="29" s="1"/>
  <c r="V243" i="38"/>
  <c r="AB189" i="29" s="1"/>
  <c r="K243" i="38"/>
  <c r="Q189" i="29" s="1"/>
  <c r="Q238" i="38"/>
  <c r="W152" i="29" s="1"/>
  <c r="V237" i="38"/>
  <c r="AB151" i="29" s="1"/>
  <c r="K237" i="38"/>
  <c r="Q151" i="29" s="1"/>
  <c r="Q236" i="38"/>
  <c r="W139" i="29" s="1"/>
  <c r="V235" i="38"/>
  <c r="AB138" i="29" s="1"/>
  <c r="K235" i="38"/>
  <c r="Q138" i="29" s="1"/>
  <c r="Q234" i="38"/>
  <c r="V233" i="38"/>
  <c r="K233" i="38"/>
  <c r="Q232" i="38"/>
  <c r="V231" i="38"/>
  <c r="K231" i="38"/>
  <c r="V229" i="38"/>
  <c r="K229" i="38"/>
  <c r="V212" i="38"/>
  <c r="AB407" i="29" s="1"/>
  <c r="K212" i="38"/>
  <c r="Q407" i="29" s="1"/>
  <c r="V210" i="38"/>
  <c r="AB395" i="29" s="1"/>
  <c r="K210" i="38"/>
  <c r="Q395" i="29" s="1"/>
  <c r="V208" i="38"/>
  <c r="AB382" i="29" s="1"/>
  <c r="K208" i="38"/>
  <c r="Q382" i="29" s="1"/>
  <c r="L281" i="38"/>
  <c r="J166" i="38"/>
  <c r="N166" i="38"/>
  <c r="R166" i="38"/>
  <c r="V166" i="38"/>
  <c r="K166" i="38"/>
  <c r="O166" i="38"/>
  <c r="S166" i="38"/>
  <c r="L166" i="38"/>
  <c r="P166" i="38"/>
  <c r="T166" i="38"/>
  <c r="S282" i="38"/>
  <c r="O282" i="38"/>
  <c r="K282" i="38"/>
  <c r="S281" i="38"/>
  <c r="O281" i="38"/>
  <c r="K281" i="38"/>
  <c r="S280" i="38"/>
  <c r="O280" i="38"/>
  <c r="K280" i="38"/>
  <c r="S279" i="38"/>
  <c r="O279" i="38"/>
  <c r="K279" i="38"/>
  <c r="S278" i="38"/>
  <c r="O278" i="38"/>
  <c r="J278" i="38"/>
  <c r="U277" i="38"/>
  <c r="O277" i="38"/>
  <c r="J277" i="38"/>
  <c r="U274" i="38"/>
  <c r="O274" i="38"/>
  <c r="J274" i="38"/>
  <c r="U273" i="38"/>
  <c r="O273" i="38"/>
  <c r="J273" i="38"/>
  <c r="U244" i="38"/>
  <c r="AA190" i="29" s="1"/>
  <c r="O244" i="38"/>
  <c r="U190" i="29" s="1"/>
  <c r="J244" i="38"/>
  <c r="P190" i="29" s="1"/>
  <c r="U243" i="38"/>
  <c r="AA189" i="29" s="1"/>
  <c r="O243" i="38"/>
  <c r="U189" i="29" s="1"/>
  <c r="J243" i="38"/>
  <c r="P189" i="29" s="1"/>
  <c r="U238" i="38"/>
  <c r="AA152" i="29" s="1"/>
  <c r="O238" i="38"/>
  <c r="U152" i="29" s="1"/>
  <c r="J238" i="38"/>
  <c r="P152" i="29" s="1"/>
  <c r="U237" i="38"/>
  <c r="AA151" i="29" s="1"/>
  <c r="O237" i="38"/>
  <c r="U151" i="29" s="1"/>
  <c r="J237" i="38"/>
  <c r="P151" i="29" s="1"/>
  <c r="U236" i="38"/>
  <c r="AA139" i="29" s="1"/>
  <c r="O236" i="38"/>
  <c r="U139" i="29" s="1"/>
  <c r="J236" i="38"/>
  <c r="P139" i="29" s="1"/>
  <c r="U235" i="38"/>
  <c r="AA138" i="29" s="1"/>
  <c r="O235" i="38"/>
  <c r="U138" i="29" s="1"/>
  <c r="J235" i="38"/>
  <c r="P138" i="29" s="1"/>
  <c r="U234" i="38"/>
  <c r="O234" i="38"/>
  <c r="J234" i="38"/>
  <c r="U233" i="38"/>
  <c r="O233" i="38"/>
  <c r="U232" i="38"/>
  <c r="O232" i="38"/>
  <c r="J232" i="38"/>
  <c r="U231" i="38"/>
  <c r="O231" i="38"/>
  <c r="J231" i="38"/>
  <c r="U230" i="38"/>
  <c r="O230" i="38"/>
  <c r="J230" i="38"/>
  <c r="U229" i="38"/>
  <c r="O229" i="38"/>
  <c r="J229" i="38"/>
  <c r="U213" i="38"/>
  <c r="AA408" i="29" s="1"/>
  <c r="O213" i="38"/>
  <c r="U408" i="29" s="1"/>
  <c r="J213" i="38"/>
  <c r="P408" i="29" s="1"/>
  <c r="U212" i="38"/>
  <c r="AA407" i="29" s="1"/>
  <c r="O212" i="38"/>
  <c r="U407" i="29" s="1"/>
  <c r="J212" i="38"/>
  <c r="P407" i="29" s="1"/>
  <c r="U211" i="38"/>
  <c r="AA396" i="29" s="1"/>
  <c r="O211" i="38"/>
  <c r="U396" i="29" s="1"/>
  <c r="J211" i="38"/>
  <c r="P396" i="29" s="1"/>
  <c r="U210" i="38"/>
  <c r="AA395" i="29" s="1"/>
  <c r="O210" i="38"/>
  <c r="U395" i="29" s="1"/>
  <c r="J210" i="38"/>
  <c r="P395" i="29" s="1"/>
  <c r="U209" i="38"/>
  <c r="AA383" i="29" s="1"/>
  <c r="O209" i="38"/>
  <c r="U383" i="29" s="1"/>
  <c r="J209" i="38"/>
  <c r="P383" i="29" s="1"/>
  <c r="U208" i="38"/>
  <c r="AA382" i="29" s="1"/>
  <c r="O208" i="38"/>
  <c r="U382" i="29" s="1"/>
  <c r="J208" i="38"/>
  <c r="P382" i="29" s="1"/>
  <c r="J169" i="38"/>
  <c r="N169" i="38"/>
  <c r="R169" i="38"/>
  <c r="V169" i="38"/>
  <c r="K169" i="38"/>
  <c r="L169" i="38"/>
  <c r="P169" i="38"/>
  <c r="T169" i="38"/>
  <c r="M167" i="38"/>
  <c r="Q166" i="38"/>
  <c r="J165" i="38"/>
  <c r="N165" i="38"/>
  <c r="R165" i="38"/>
  <c r="V165" i="38"/>
  <c r="K165" i="38"/>
  <c r="O165" i="38"/>
  <c r="S165" i="38"/>
  <c r="L165" i="38"/>
  <c r="P165" i="38"/>
  <c r="T165" i="38"/>
  <c r="I164" i="38"/>
  <c r="J164" i="38"/>
  <c r="N164" i="38"/>
  <c r="R164" i="38"/>
  <c r="V164" i="38"/>
  <c r="K164" i="38"/>
  <c r="O164" i="38"/>
  <c r="S164" i="38"/>
  <c r="L164" i="38"/>
  <c r="P164" i="38"/>
  <c r="T164" i="38"/>
  <c r="L162" i="38"/>
  <c r="P162" i="38"/>
  <c r="T162" i="38"/>
  <c r="I162" i="38"/>
  <c r="M162" i="38"/>
  <c r="Q162" i="38"/>
  <c r="U162" i="38"/>
  <c r="J162" i="38"/>
  <c r="R162" i="38"/>
  <c r="K162" i="38"/>
  <c r="S162" i="38"/>
  <c r="N162" i="38"/>
  <c r="V162" i="38"/>
  <c r="L160" i="38"/>
  <c r="P160" i="38"/>
  <c r="T160" i="38"/>
  <c r="I160" i="38"/>
  <c r="M160" i="38"/>
  <c r="Q160" i="38"/>
  <c r="U160" i="38"/>
  <c r="J160" i="38"/>
  <c r="R160" i="38"/>
  <c r="K160" i="38"/>
  <c r="S160" i="38"/>
  <c r="N160" i="38"/>
  <c r="V160" i="38"/>
  <c r="L140" i="38"/>
  <c r="P140" i="38"/>
  <c r="T140" i="38"/>
  <c r="I140" i="38"/>
  <c r="M140" i="38"/>
  <c r="Q140" i="38"/>
  <c r="U140" i="38"/>
  <c r="J140" i="38"/>
  <c r="R140" i="38"/>
  <c r="K140" i="38"/>
  <c r="S140" i="38"/>
  <c r="N140" i="38"/>
  <c r="V140" i="38"/>
  <c r="L138" i="38"/>
  <c r="P138" i="38"/>
  <c r="T138" i="38"/>
  <c r="I138" i="38"/>
  <c r="M138" i="38"/>
  <c r="Q138" i="38"/>
  <c r="U138" i="38"/>
  <c r="J138" i="38"/>
  <c r="R138" i="38"/>
  <c r="K138" i="38"/>
  <c r="S138" i="38"/>
  <c r="N138" i="38"/>
  <c r="V138" i="38"/>
  <c r="L136" i="38"/>
  <c r="P136" i="38"/>
  <c r="T136" i="38"/>
  <c r="I136" i="38"/>
  <c r="M136" i="38"/>
  <c r="Q136" i="38"/>
  <c r="U136" i="38"/>
  <c r="J136" i="38"/>
  <c r="R136" i="38"/>
  <c r="K136" i="38"/>
  <c r="S136" i="38"/>
  <c r="N136" i="38"/>
  <c r="V136" i="38"/>
  <c r="L280" i="38"/>
  <c r="T279" i="38"/>
  <c r="P279" i="38"/>
  <c r="L279" i="38"/>
  <c r="U166" i="38"/>
  <c r="K114" i="38"/>
  <c r="O114" i="38"/>
  <c r="S114" i="38"/>
  <c r="L114" i="38"/>
  <c r="P114" i="38"/>
  <c r="T114" i="38"/>
  <c r="I114" i="38"/>
  <c r="M114" i="38"/>
  <c r="Q114" i="38"/>
  <c r="U114" i="38"/>
  <c r="J114" i="38"/>
  <c r="N114" i="38"/>
  <c r="R114" i="38"/>
  <c r="V282" i="38"/>
  <c r="R282" i="38"/>
  <c r="N282" i="38"/>
  <c r="J282" i="38"/>
  <c r="V281" i="38"/>
  <c r="R281" i="38"/>
  <c r="N281" i="38"/>
  <c r="J281" i="38"/>
  <c r="V280" i="38"/>
  <c r="R280" i="38"/>
  <c r="N280" i="38"/>
  <c r="J280" i="38"/>
  <c r="V279" i="38"/>
  <c r="R279" i="38"/>
  <c r="N279" i="38"/>
  <c r="J279" i="38"/>
  <c r="V278" i="38"/>
  <c r="R278" i="38"/>
  <c r="N278" i="38"/>
  <c r="I278" i="38"/>
  <c r="S277" i="38"/>
  <c r="N277" i="38"/>
  <c r="S274" i="38"/>
  <c r="N274" i="38"/>
  <c r="S273" i="38"/>
  <c r="N273" i="38"/>
  <c r="S244" i="38"/>
  <c r="Y190" i="29" s="1"/>
  <c r="N244" i="38"/>
  <c r="T190" i="29" s="1"/>
  <c r="S243" i="38"/>
  <c r="Y189" i="29" s="1"/>
  <c r="N243" i="38"/>
  <c r="T189" i="29" s="1"/>
  <c r="S238" i="38"/>
  <c r="Y152" i="29" s="1"/>
  <c r="N238" i="38"/>
  <c r="T152" i="29" s="1"/>
  <c r="S237" i="38"/>
  <c r="Y151" i="29" s="1"/>
  <c r="N237" i="38"/>
  <c r="T151" i="29" s="1"/>
  <c r="S236" i="38"/>
  <c r="Y139" i="29" s="1"/>
  <c r="N236" i="38"/>
  <c r="T139" i="29" s="1"/>
  <c r="S235" i="38"/>
  <c r="Y138" i="29" s="1"/>
  <c r="N235" i="38"/>
  <c r="T138" i="29" s="1"/>
  <c r="S234" i="38"/>
  <c r="N234" i="38"/>
  <c r="S233" i="38"/>
  <c r="N233" i="38"/>
  <c r="S232" i="38"/>
  <c r="N232" i="38"/>
  <c r="S231" i="38"/>
  <c r="N231" i="38"/>
  <c r="S230" i="38"/>
  <c r="N230" i="38"/>
  <c r="S229" i="38"/>
  <c r="N229" i="38"/>
  <c r="S213" i="38"/>
  <c r="Y408" i="29" s="1"/>
  <c r="N213" i="38"/>
  <c r="T408" i="29" s="1"/>
  <c r="S212" i="38"/>
  <c r="Y407" i="29" s="1"/>
  <c r="N212" i="38"/>
  <c r="T407" i="29" s="1"/>
  <c r="S211" i="38"/>
  <c r="Y396" i="29" s="1"/>
  <c r="N211" i="38"/>
  <c r="T396" i="29" s="1"/>
  <c r="S210" i="38"/>
  <c r="Y395" i="29" s="1"/>
  <c r="N210" i="38"/>
  <c r="T395" i="29" s="1"/>
  <c r="S209" i="38"/>
  <c r="Y383" i="29" s="1"/>
  <c r="N209" i="38"/>
  <c r="T383" i="29" s="1"/>
  <c r="S208" i="38"/>
  <c r="Y382" i="29" s="1"/>
  <c r="N208" i="38"/>
  <c r="T382" i="29" s="1"/>
  <c r="J205" i="38"/>
  <c r="N205" i="38"/>
  <c r="R205" i="38"/>
  <c r="V205" i="38"/>
  <c r="L205" i="38"/>
  <c r="P205" i="38"/>
  <c r="T205" i="38"/>
  <c r="J204" i="38"/>
  <c r="N204" i="38"/>
  <c r="R204" i="38"/>
  <c r="V204" i="38"/>
  <c r="L204" i="38"/>
  <c r="P204" i="38"/>
  <c r="T204" i="38"/>
  <c r="O169" i="38"/>
  <c r="J168" i="38"/>
  <c r="N168" i="38"/>
  <c r="R168" i="38"/>
  <c r="V168" i="38"/>
  <c r="K168" i="38"/>
  <c r="O168" i="38"/>
  <c r="S168" i="38"/>
  <c r="L168" i="38"/>
  <c r="P168" i="38"/>
  <c r="T168" i="38"/>
  <c r="M166" i="38"/>
  <c r="Q165" i="38"/>
  <c r="U164" i="38"/>
  <c r="U282" i="38"/>
  <c r="Q282" i="38"/>
  <c r="M282" i="38"/>
  <c r="U281" i="38"/>
  <c r="Q281" i="38"/>
  <c r="M281" i="38"/>
  <c r="U280" i="38"/>
  <c r="Q280" i="38"/>
  <c r="M280" i="38"/>
  <c r="U279" i="38"/>
  <c r="Q279" i="38"/>
  <c r="M279" i="38"/>
  <c r="L277" i="38"/>
  <c r="P277" i="38"/>
  <c r="T277" i="38"/>
  <c r="L274" i="38"/>
  <c r="P274" i="38"/>
  <c r="T274" i="38"/>
  <c r="L273" i="38"/>
  <c r="P273" i="38"/>
  <c r="T273" i="38"/>
  <c r="L244" i="38"/>
  <c r="R190" i="29" s="1"/>
  <c r="P244" i="38"/>
  <c r="V190" i="29" s="1"/>
  <c r="T244" i="38"/>
  <c r="Z190" i="29" s="1"/>
  <c r="L243" i="38"/>
  <c r="R189" i="29" s="1"/>
  <c r="P243" i="38"/>
  <c r="V189" i="29" s="1"/>
  <c r="T243" i="38"/>
  <c r="Z189" i="29" s="1"/>
  <c r="L238" i="38"/>
  <c r="R152" i="29" s="1"/>
  <c r="P238" i="38"/>
  <c r="V152" i="29" s="1"/>
  <c r="T238" i="38"/>
  <c r="Z152" i="29" s="1"/>
  <c r="L237" i="38"/>
  <c r="R151" i="29" s="1"/>
  <c r="P237" i="38"/>
  <c r="V151" i="29" s="1"/>
  <c r="T237" i="38"/>
  <c r="Z151" i="29" s="1"/>
  <c r="L236" i="38"/>
  <c r="R139" i="29" s="1"/>
  <c r="P236" i="38"/>
  <c r="V139" i="29" s="1"/>
  <c r="T236" i="38"/>
  <c r="Z139" i="29" s="1"/>
  <c r="L235" i="38"/>
  <c r="R138" i="29" s="1"/>
  <c r="P235" i="38"/>
  <c r="V138" i="29" s="1"/>
  <c r="T235" i="38"/>
  <c r="Z138" i="29" s="1"/>
  <c r="L234" i="38"/>
  <c r="P234" i="38"/>
  <c r="T234" i="38"/>
  <c r="L233" i="38"/>
  <c r="P233" i="38"/>
  <c r="T233" i="38"/>
  <c r="L232" i="38"/>
  <c r="P232" i="38"/>
  <c r="T232" i="38"/>
  <c r="L231" i="38"/>
  <c r="P231" i="38"/>
  <c r="T231" i="38"/>
  <c r="L230" i="38"/>
  <c r="P230" i="38"/>
  <c r="T230" i="38"/>
  <c r="L229" i="38"/>
  <c r="P229" i="38"/>
  <c r="T229" i="38"/>
  <c r="L213" i="38"/>
  <c r="R408" i="29" s="1"/>
  <c r="P213" i="38"/>
  <c r="V408" i="29" s="1"/>
  <c r="T213" i="38"/>
  <c r="Z408" i="29" s="1"/>
  <c r="L212" i="38"/>
  <c r="R407" i="29" s="1"/>
  <c r="P212" i="38"/>
  <c r="V407" i="29" s="1"/>
  <c r="T212" i="38"/>
  <c r="Z407" i="29" s="1"/>
  <c r="L211" i="38"/>
  <c r="R396" i="29" s="1"/>
  <c r="P211" i="38"/>
  <c r="V396" i="29" s="1"/>
  <c r="T211" i="38"/>
  <c r="Z396" i="29" s="1"/>
  <c r="L210" i="38"/>
  <c r="R395" i="29" s="1"/>
  <c r="P210" i="38"/>
  <c r="V395" i="29" s="1"/>
  <c r="T210" i="38"/>
  <c r="Z395" i="29" s="1"/>
  <c r="L209" i="38"/>
  <c r="R383" i="29" s="1"/>
  <c r="P209" i="38"/>
  <c r="V383" i="29" s="1"/>
  <c r="T209" i="38"/>
  <c r="Z383" i="29" s="1"/>
  <c r="L208" i="38"/>
  <c r="R382" i="29" s="1"/>
  <c r="P208" i="38"/>
  <c r="V382" i="29" s="1"/>
  <c r="T208" i="38"/>
  <c r="Z382" i="29" s="1"/>
  <c r="J167" i="38"/>
  <c r="N167" i="38"/>
  <c r="R167" i="38"/>
  <c r="V167" i="38"/>
  <c r="K167" i="38"/>
  <c r="O167" i="38"/>
  <c r="S167" i="38"/>
  <c r="L167" i="38"/>
  <c r="P167" i="38"/>
  <c r="T167" i="38"/>
  <c r="I166" i="38"/>
  <c r="L163" i="38"/>
  <c r="P163" i="38"/>
  <c r="T163" i="38"/>
  <c r="I163" i="38"/>
  <c r="M163" i="38"/>
  <c r="Q163" i="38"/>
  <c r="U163" i="38"/>
  <c r="J163" i="38"/>
  <c r="R163" i="38"/>
  <c r="K163" i="38"/>
  <c r="S163" i="38"/>
  <c r="N163" i="38"/>
  <c r="V163" i="38"/>
  <c r="L161" i="38"/>
  <c r="P161" i="38"/>
  <c r="T161" i="38"/>
  <c r="I161" i="38"/>
  <c r="M161" i="38"/>
  <c r="Q161" i="38"/>
  <c r="U161" i="38"/>
  <c r="J161" i="38"/>
  <c r="R161" i="38"/>
  <c r="K161" i="38"/>
  <c r="S161" i="38"/>
  <c r="N161" i="38"/>
  <c r="V161" i="38"/>
  <c r="L141" i="38"/>
  <c r="P141" i="38"/>
  <c r="T141" i="38"/>
  <c r="I141" i="38"/>
  <c r="M141" i="38"/>
  <c r="Q141" i="38"/>
  <c r="U141" i="38"/>
  <c r="J141" i="38"/>
  <c r="R141" i="38"/>
  <c r="K141" i="38"/>
  <c r="S141" i="38"/>
  <c r="N141" i="38"/>
  <c r="V141" i="38"/>
  <c r="L139" i="38"/>
  <c r="P139" i="38"/>
  <c r="T139" i="38"/>
  <c r="I139" i="38"/>
  <c r="M139" i="38"/>
  <c r="Q139" i="38"/>
  <c r="U139" i="38"/>
  <c r="J139" i="38"/>
  <c r="R139" i="38"/>
  <c r="K139" i="38"/>
  <c r="S139" i="38"/>
  <c r="N139" i="38"/>
  <c r="V139" i="38"/>
  <c r="L137" i="38"/>
  <c r="P137" i="38"/>
  <c r="T137" i="38"/>
  <c r="I137" i="38"/>
  <c r="M137" i="38"/>
  <c r="Q137" i="38"/>
  <c r="U137" i="38"/>
  <c r="J137" i="38"/>
  <c r="R137" i="38"/>
  <c r="K137" i="38"/>
  <c r="S137" i="38"/>
  <c r="N137" i="38"/>
  <c r="V137" i="38"/>
  <c r="K118" i="38"/>
  <c r="O118" i="38"/>
  <c r="S118" i="38"/>
  <c r="L118" i="38"/>
  <c r="P118" i="38"/>
  <c r="T118" i="38"/>
  <c r="I118" i="38"/>
  <c r="M118" i="38"/>
  <c r="Q118" i="38"/>
  <c r="U118" i="38"/>
  <c r="J118" i="38"/>
  <c r="N118" i="38"/>
  <c r="R118" i="38"/>
  <c r="V114" i="38"/>
  <c r="K133" i="38"/>
  <c r="O133" i="38"/>
  <c r="S133" i="38"/>
  <c r="L133" i="38"/>
  <c r="P133" i="38"/>
  <c r="T133" i="38"/>
  <c r="I133" i="38"/>
  <c r="M133" i="38"/>
  <c r="Q133" i="38"/>
  <c r="U133" i="38"/>
  <c r="N119" i="38"/>
  <c r="K117" i="38"/>
  <c r="O117" i="38"/>
  <c r="S117" i="38"/>
  <c r="L117" i="38"/>
  <c r="P117" i="38"/>
  <c r="T117" i="38"/>
  <c r="I117" i="38"/>
  <c r="M117" i="38"/>
  <c r="Q117" i="38"/>
  <c r="U117" i="38"/>
  <c r="N115" i="38"/>
  <c r="K111" i="38"/>
  <c r="Q37" i="28" s="1"/>
  <c r="O111" i="38"/>
  <c r="U37" i="28" s="1"/>
  <c r="S111" i="38"/>
  <c r="Y37" i="28" s="1"/>
  <c r="L111" i="38"/>
  <c r="R37" i="28" s="1"/>
  <c r="P111" i="38"/>
  <c r="V37" i="28" s="1"/>
  <c r="T111" i="38"/>
  <c r="Z37" i="28" s="1"/>
  <c r="I111" i="38"/>
  <c r="O37" i="28" s="1"/>
  <c r="M111" i="38"/>
  <c r="S37" i="28" s="1"/>
  <c r="Q111" i="38"/>
  <c r="W37" i="28" s="1"/>
  <c r="U111" i="38"/>
  <c r="AA37" i="28" s="1"/>
  <c r="K132" i="38"/>
  <c r="O132" i="38"/>
  <c r="S132" i="38"/>
  <c r="L132" i="38"/>
  <c r="P132" i="38"/>
  <c r="T132" i="38"/>
  <c r="I132" i="38"/>
  <c r="M132" i="38"/>
  <c r="Q132" i="38"/>
  <c r="U132" i="38"/>
  <c r="K116" i="38"/>
  <c r="O116" i="38"/>
  <c r="S116" i="38"/>
  <c r="L116" i="38"/>
  <c r="P116" i="38"/>
  <c r="T116" i="38"/>
  <c r="I116" i="38"/>
  <c r="M116" i="38"/>
  <c r="Q116" i="38"/>
  <c r="U116" i="38"/>
  <c r="K110" i="38"/>
  <c r="Q36" i="28" s="1"/>
  <c r="O110" i="38"/>
  <c r="U36" i="28" s="1"/>
  <c r="S110" i="38"/>
  <c r="Y36" i="28" s="1"/>
  <c r="L110" i="38"/>
  <c r="R36" i="28" s="1"/>
  <c r="P110" i="38"/>
  <c r="V36" i="28" s="1"/>
  <c r="T110" i="38"/>
  <c r="Z36" i="28" s="1"/>
  <c r="I110" i="38"/>
  <c r="O36" i="28" s="1"/>
  <c r="M110" i="38"/>
  <c r="S36" i="28" s="1"/>
  <c r="Q110" i="38"/>
  <c r="W36" i="28" s="1"/>
  <c r="U110" i="38"/>
  <c r="AA36" i="28" s="1"/>
  <c r="K119" i="38"/>
  <c r="O119" i="38"/>
  <c r="S119" i="38"/>
  <c r="L119" i="38"/>
  <c r="P119" i="38"/>
  <c r="T119" i="38"/>
  <c r="I119" i="38"/>
  <c r="M119" i="38"/>
  <c r="Q119" i="38"/>
  <c r="U119" i="38"/>
  <c r="R116" i="38"/>
  <c r="K115" i="38"/>
  <c r="O115" i="38"/>
  <c r="S115" i="38"/>
  <c r="L115" i="38"/>
  <c r="P115" i="38"/>
  <c r="T115" i="38"/>
  <c r="I115" i="38"/>
  <c r="M115" i="38"/>
  <c r="Q115" i="38"/>
  <c r="U115" i="38"/>
  <c r="R110" i="38"/>
  <c r="X36" i="28" s="1"/>
  <c r="K72" i="38"/>
  <c r="O72" i="38"/>
  <c r="S72" i="38"/>
  <c r="N72" i="38"/>
  <c r="L72" i="38"/>
  <c r="P72" i="38"/>
  <c r="T72" i="38"/>
  <c r="R72" i="38"/>
  <c r="I72" i="38"/>
  <c r="M72" i="38"/>
  <c r="Q72" i="38"/>
  <c r="U72" i="38"/>
  <c r="J72" i="38"/>
  <c r="V72" i="38"/>
  <c r="N70" i="38"/>
  <c r="N66" i="38"/>
  <c r="K62" i="38"/>
  <c r="O62" i="38"/>
  <c r="S62" i="38"/>
  <c r="L62" i="38"/>
  <c r="P62" i="38"/>
  <c r="T62" i="38"/>
  <c r="K59" i="38"/>
  <c r="O59" i="38"/>
  <c r="S59" i="38"/>
  <c r="L59" i="38"/>
  <c r="P59" i="38"/>
  <c r="T59" i="38"/>
  <c r="I59" i="38"/>
  <c r="M70" i="38"/>
  <c r="M62" i="38"/>
  <c r="N59" i="38"/>
  <c r="V70" i="38"/>
  <c r="V66" i="38"/>
  <c r="V62" i="38"/>
  <c r="Q59" i="38"/>
  <c r="K71" i="38"/>
  <c r="O71" i="38"/>
  <c r="S71" i="38"/>
  <c r="L71" i="38"/>
  <c r="P71" i="38"/>
  <c r="T71" i="38"/>
  <c r="U66" i="38"/>
  <c r="M66" i="38"/>
  <c r="K67" i="38"/>
  <c r="O67" i="38"/>
  <c r="S67" i="38"/>
  <c r="L67" i="38"/>
  <c r="P67" i="38"/>
  <c r="T67" i="38"/>
  <c r="U62" i="38"/>
  <c r="K63" i="38"/>
  <c r="O63" i="38"/>
  <c r="S63" i="38"/>
  <c r="L63" i="38"/>
  <c r="P63" i="38"/>
  <c r="T63" i="38"/>
  <c r="M58" i="38"/>
  <c r="V56" i="38"/>
  <c r="R70" i="38"/>
  <c r="U71" i="38"/>
  <c r="M71" i="38"/>
  <c r="K68" i="38"/>
  <c r="O68" i="38"/>
  <c r="S68" i="38"/>
  <c r="L68" i="38"/>
  <c r="P68" i="38"/>
  <c r="T68" i="38"/>
  <c r="Q69" i="38"/>
  <c r="R66" i="38"/>
  <c r="U67" i="38"/>
  <c r="M67" i="38"/>
  <c r="K64" i="38"/>
  <c r="O64" i="38"/>
  <c r="S64" i="38"/>
  <c r="L64" i="38"/>
  <c r="P64" i="38"/>
  <c r="T64" i="38"/>
  <c r="Q65" i="38"/>
  <c r="R62" i="38"/>
  <c r="J62" i="38"/>
  <c r="U63" i="38"/>
  <c r="M63" i="38"/>
  <c r="K60" i="38"/>
  <c r="O60" i="38"/>
  <c r="S60" i="38"/>
  <c r="L60" i="38"/>
  <c r="P60" i="38"/>
  <c r="T60" i="38"/>
  <c r="Q61" i="38"/>
  <c r="R58" i="38"/>
  <c r="U59" i="38"/>
  <c r="M59" i="38"/>
  <c r="K57" i="38"/>
  <c r="O57" i="38"/>
  <c r="S57" i="38"/>
  <c r="L57" i="38"/>
  <c r="P57" i="38"/>
  <c r="T57" i="38"/>
  <c r="I57" i="38"/>
  <c r="M57" i="38"/>
  <c r="Q57" i="38"/>
  <c r="U57" i="38"/>
  <c r="K70" i="38"/>
  <c r="O70" i="38"/>
  <c r="S70" i="38"/>
  <c r="L70" i="38"/>
  <c r="P70" i="38"/>
  <c r="T70" i="38"/>
  <c r="K66" i="38"/>
  <c r="O66" i="38"/>
  <c r="S66" i="38"/>
  <c r="L66" i="38"/>
  <c r="P66" i="38"/>
  <c r="T66" i="38"/>
  <c r="K58" i="38"/>
  <c r="O58" i="38"/>
  <c r="S58" i="38"/>
  <c r="L58" i="38"/>
  <c r="P58" i="38"/>
  <c r="T58" i="38"/>
  <c r="U70" i="38"/>
  <c r="U58" i="38"/>
  <c r="V59" i="38"/>
  <c r="K56" i="38"/>
  <c r="O56" i="38"/>
  <c r="S56" i="38"/>
  <c r="L56" i="38"/>
  <c r="P56" i="38"/>
  <c r="T56" i="38"/>
  <c r="I56" i="38"/>
  <c r="M56" i="38"/>
  <c r="Q56" i="38"/>
  <c r="U56" i="38"/>
  <c r="K73" i="38"/>
  <c r="O73" i="38"/>
  <c r="S73" i="38"/>
  <c r="L73" i="38"/>
  <c r="P73" i="38"/>
  <c r="T73" i="38"/>
  <c r="Q70" i="38"/>
  <c r="I70" i="38"/>
  <c r="R71" i="38"/>
  <c r="J71" i="38"/>
  <c r="K69" i="38"/>
  <c r="O69" i="38"/>
  <c r="S69" i="38"/>
  <c r="L69" i="38"/>
  <c r="P69" i="38"/>
  <c r="T69" i="38"/>
  <c r="Q66" i="38"/>
  <c r="I66" i="38"/>
  <c r="R67" i="38"/>
  <c r="J67" i="38"/>
  <c r="K65" i="38"/>
  <c r="O65" i="38"/>
  <c r="S65" i="38"/>
  <c r="L65" i="38"/>
  <c r="P65" i="38"/>
  <c r="T65" i="38"/>
  <c r="Q62" i="38"/>
  <c r="I62" i="38"/>
  <c r="R63" i="38"/>
  <c r="J63" i="38"/>
  <c r="K61" i="38"/>
  <c r="O61" i="38"/>
  <c r="S61" i="38"/>
  <c r="L61" i="38"/>
  <c r="P61" i="38"/>
  <c r="T61" i="38"/>
  <c r="Q58" i="38"/>
  <c r="I58" i="38"/>
  <c r="R59" i="38"/>
  <c r="J59" i="38"/>
  <c r="N56" i="38"/>
  <c r="R57" i="38"/>
  <c r="K54" i="38"/>
  <c r="O54" i="38"/>
  <c r="S54" i="38"/>
  <c r="L54" i="38"/>
  <c r="P54" i="38"/>
  <c r="T54" i="38"/>
  <c r="I54" i="38"/>
  <c r="M54" i="38"/>
  <c r="Q54" i="38"/>
  <c r="U54" i="38"/>
  <c r="L52" i="38"/>
  <c r="P52" i="38"/>
  <c r="T52" i="38"/>
  <c r="I52" i="38"/>
  <c r="M52" i="38"/>
  <c r="Q52" i="38"/>
  <c r="U52" i="38"/>
  <c r="O51" i="38"/>
  <c r="V53" i="38"/>
  <c r="N53" i="38"/>
  <c r="V52" i="38"/>
  <c r="N52" i="38"/>
  <c r="V51" i="38"/>
  <c r="N51" i="38"/>
  <c r="V50" i="38"/>
  <c r="N50" i="38"/>
  <c r="K49" i="38"/>
  <c r="O49" i="38"/>
  <c r="S49" i="38"/>
  <c r="L49" i="38"/>
  <c r="P49" i="38"/>
  <c r="T49" i="38"/>
  <c r="I49" i="38"/>
  <c r="M49" i="38"/>
  <c r="Q49" i="38"/>
  <c r="U49" i="38"/>
  <c r="N47" i="38"/>
  <c r="R46" i="38"/>
  <c r="K45" i="38"/>
  <c r="O45" i="38"/>
  <c r="S45" i="38"/>
  <c r="L45" i="38"/>
  <c r="P45" i="38"/>
  <c r="T45" i="38"/>
  <c r="I45" i="38"/>
  <c r="M45" i="38"/>
  <c r="Q45" i="38"/>
  <c r="U45" i="38"/>
  <c r="N43" i="38"/>
  <c r="K39" i="38"/>
  <c r="O39" i="38"/>
  <c r="S39" i="38"/>
  <c r="L39" i="38"/>
  <c r="P39" i="38"/>
  <c r="T39" i="38"/>
  <c r="N39" i="38"/>
  <c r="V39" i="38"/>
  <c r="I39" i="38"/>
  <c r="M39" i="38"/>
  <c r="Q39" i="38"/>
  <c r="U39" i="38"/>
  <c r="J39" i="38"/>
  <c r="R39" i="38"/>
  <c r="S53" i="38"/>
  <c r="K53" i="38"/>
  <c r="S52" i="38"/>
  <c r="K52" i="38"/>
  <c r="S51" i="38"/>
  <c r="K51" i="38"/>
  <c r="S50" i="38"/>
  <c r="K50" i="38"/>
  <c r="R49" i="38"/>
  <c r="K48" i="38"/>
  <c r="O48" i="38"/>
  <c r="S48" i="38"/>
  <c r="L48" i="38"/>
  <c r="P48" i="38"/>
  <c r="T48" i="38"/>
  <c r="I48" i="38"/>
  <c r="M48" i="38"/>
  <c r="Q48" i="38"/>
  <c r="U48" i="38"/>
  <c r="N46" i="38"/>
  <c r="R45" i="38"/>
  <c r="K44" i="38"/>
  <c r="O44" i="38"/>
  <c r="S44" i="38"/>
  <c r="L44" i="38"/>
  <c r="P44" i="38"/>
  <c r="T44" i="38"/>
  <c r="I44" i="38"/>
  <c r="M44" i="38"/>
  <c r="Q44" i="38"/>
  <c r="U44" i="38"/>
  <c r="K42" i="38"/>
  <c r="O42" i="38"/>
  <c r="S42" i="38"/>
  <c r="L42" i="38"/>
  <c r="P42" i="38"/>
  <c r="T42" i="38"/>
  <c r="N42" i="38"/>
  <c r="I42" i="38"/>
  <c r="M42" i="38"/>
  <c r="Q42" i="38"/>
  <c r="U42" i="38"/>
  <c r="J42" i="38"/>
  <c r="K38" i="38"/>
  <c r="O38" i="38"/>
  <c r="S38" i="38"/>
  <c r="L38" i="38"/>
  <c r="P38" i="38"/>
  <c r="T38" i="38"/>
  <c r="N38" i="38"/>
  <c r="V38" i="38"/>
  <c r="I38" i="38"/>
  <c r="M38" i="38"/>
  <c r="Q38" i="38"/>
  <c r="U38" i="38"/>
  <c r="J38" i="38"/>
  <c r="R38" i="38"/>
  <c r="O53" i="38"/>
  <c r="O52" i="38"/>
  <c r="R53" i="38"/>
  <c r="R52" i="38"/>
  <c r="J52" i="38"/>
  <c r="R51" i="38"/>
  <c r="K47" i="38"/>
  <c r="O47" i="38"/>
  <c r="S47" i="38"/>
  <c r="L47" i="38"/>
  <c r="P47" i="38"/>
  <c r="T47" i="38"/>
  <c r="I47" i="38"/>
  <c r="M47" i="38"/>
  <c r="Q47" i="38"/>
  <c r="U47" i="38"/>
  <c r="K43" i="38"/>
  <c r="O43" i="38"/>
  <c r="S43" i="38"/>
  <c r="L43" i="38"/>
  <c r="P43" i="38"/>
  <c r="T43" i="38"/>
  <c r="I43" i="38"/>
  <c r="M43" i="38"/>
  <c r="Q43" i="38"/>
  <c r="U43" i="38"/>
  <c r="K41" i="38"/>
  <c r="O41" i="38"/>
  <c r="S41" i="38"/>
  <c r="L41" i="38"/>
  <c r="P41" i="38"/>
  <c r="T41" i="38"/>
  <c r="N41" i="38"/>
  <c r="V41" i="38"/>
  <c r="I41" i="38"/>
  <c r="M41" i="38"/>
  <c r="Q41" i="38"/>
  <c r="U41" i="38"/>
  <c r="J41" i="38"/>
  <c r="R41" i="38"/>
  <c r="K37" i="38"/>
  <c r="O37" i="38"/>
  <c r="S37" i="38"/>
  <c r="L37" i="38"/>
  <c r="P37" i="38"/>
  <c r="T37" i="38"/>
  <c r="N37" i="38"/>
  <c r="V37" i="38"/>
  <c r="I37" i="38"/>
  <c r="M37" i="38"/>
  <c r="Q37" i="38"/>
  <c r="U37" i="38"/>
  <c r="J37" i="38"/>
  <c r="R37" i="38"/>
  <c r="L53" i="38"/>
  <c r="P53" i="38"/>
  <c r="T53" i="38"/>
  <c r="I53" i="38"/>
  <c r="M53" i="38"/>
  <c r="Q53" i="38"/>
  <c r="U53" i="38"/>
  <c r="L51" i="38"/>
  <c r="P51" i="38"/>
  <c r="T51" i="38"/>
  <c r="I51" i="38"/>
  <c r="M51" i="38"/>
  <c r="Q51" i="38"/>
  <c r="U51" i="38"/>
  <c r="L50" i="38"/>
  <c r="P50" i="38"/>
  <c r="T50" i="38"/>
  <c r="I50" i="38"/>
  <c r="M50" i="38"/>
  <c r="Q50" i="38"/>
  <c r="U50" i="38"/>
  <c r="K46" i="38"/>
  <c r="O46" i="38"/>
  <c r="S46" i="38"/>
  <c r="L46" i="38"/>
  <c r="P46" i="38"/>
  <c r="T46" i="38"/>
  <c r="I46" i="38"/>
  <c r="M46" i="38"/>
  <c r="Q46" i="38"/>
  <c r="U46" i="38"/>
  <c r="K40" i="38"/>
  <c r="O40" i="38"/>
  <c r="S40" i="38"/>
  <c r="L40" i="38"/>
  <c r="P40" i="38"/>
  <c r="T40" i="38"/>
  <c r="N40" i="38"/>
  <c r="V40" i="38"/>
  <c r="I40" i="38"/>
  <c r="M40" i="38"/>
  <c r="Q40" i="38"/>
  <c r="U40" i="38"/>
  <c r="J40" i="38"/>
  <c r="R40" i="38"/>
  <c r="K36" i="38"/>
  <c r="O36" i="38"/>
  <c r="S36" i="38"/>
  <c r="L36" i="38"/>
  <c r="P36" i="38"/>
  <c r="T36" i="38"/>
  <c r="N36" i="38"/>
  <c r="V36" i="38"/>
  <c r="I36" i="38"/>
  <c r="M36" i="38"/>
  <c r="Q36" i="38"/>
  <c r="U36" i="38"/>
  <c r="J36" i="38"/>
  <c r="R36" i="38"/>
  <c r="P41" i="7" l="1"/>
  <c r="W41" i="7"/>
  <c r="R129" i="7"/>
  <c r="R128" i="7"/>
  <c r="P129" i="7"/>
  <c r="P128" i="7"/>
  <c r="V129" i="7"/>
  <c r="V128" i="7"/>
  <c r="S129" i="7"/>
  <c r="S128" i="7"/>
  <c r="T98" i="7"/>
  <c r="T97" i="7"/>
  <c r="X98" i="7"/>
  <c r="X97" i="7"/>
  <c r="Y98" i="7"/>
  <c r="Y97" i="7"/>
  <c r="Z98" i="7"/>
  <c r="Z97" i="7"/>
  <c r="S86" i="7"/>
  <c r="S85" i="7"/>
  <c r="O86" i="7"/>
  <c r="O85" i="7"/>
  <c r="M86" i="7"/>
  <c r="M85" i="7"/>
  <c r="P86" i="7"/>
  <c r="P85" i="7"/>
  <c r="P54" i="7"/>
  <c r="P40" i="7"/>
  <c r="W54" i="7"/>
  <c r="W40" i="7"/>
  <c r="M54" i="7"/>
  <c r="M40" i="7"/>
  <c r="AA66" i="7"/>
  <c r="AA65" i="7"/>
  <c r="S66" i="7"/>
  <c r="S65" i="7"/>
  <c r="Y66" i="7"/>
  <c r="Y65" i="7"/>
  <c r="V66" i="7"/>
  <c r="V65" i="7"/>
  <c r="N129" i="7"/>
  <c r="N128" i="7"/>
  <c r="U129" i="7"/>
  <c r="U128" i="7"/>
  <c r="M129" i="7"/>
  <c r="M128" i="7"/>
  <c r="W129" i="7"/>
  <c r="W128" i="7"/>
  <c r="O98" i="7"/>
  <c r="O97" i="7"/>
  <c r="S98" i="7"/>
  <c r="S97" i="7"/>
  <c r="N98" i="7"/>
  <c r="N97" i="7"/>
  <c r="U98" i="7"/>
  <c r="U97" i="7"/>
  <c r="AA86" i="7"/>
  <c r="AA85" i="7"/>
  <c r="W86" i="7"/>
  <c r="W85" i="7"/>
  <c r="Q86" i="7"/>
  <c r="Q85" i="7"/>
  <c r="O54" i="7"/>
  <c r="O40" i="7"/>
  <c r="V54" i="7"/>
  <c r="V40" i="7"/>
  <c r="N54" i="7"/>
  <c r="N40" i="7"/>
  <c r="Q54" i="7"/>
  <c r="Q40" i="7"/>
  <c r="Q66" i="7"/>
  <c r="Q65" i="7"/>
  <c r="X66" i="7"/>
  <c r="X65" i="7"/>
  <c r="P66" i="7"/>
  <c r="P65" i="7"/>
  <c r="Z66" i="7"/>
  <c r="Z65" i="7"/>
  <c r="T129" i="7"/>
  <c r="T128" i="7"/>
  <c r="Z129" i="7"/>
  <c r="Z128" i="7"/>
  <c r="X129" i="7"/>
  <c r="X128" i="7"/>
  <c r="AA129" i="7"/>
  <c r="AA128" i="7"/>
  <c r="W98" i="7"/>
  <c r="W97" i="7"/>
  <c r="M98" i="7"/>
  <c r="M97" i="7"/>
  <c r="R98" i="7"/>
  <c r="R97" i="7"/>
  <c r="R86" i="7"/>
  <c r="R85" i="7"/>
  <c r="N86" i="7"/>
  <c r="N85" i="7"/>
  <c r="T86" i="7"/>
  <c r="T85" i="7"/>
  <c r="U86" i="7"/>
  <c r="U85" i="7"/>
  <c r="T54" i="7"/>
  <c r="T40" i="7"/>
  <c r="AA54" i="7"/>
  <c r="AA40" i="7"/>
  <c r="S54" i="7"/>
  <c r="S40" i="7"/>
  <c r="U54" i="7"/>
  <c r="U40" i="7"/>
  <c r="W66" i="7"/>
  <c r="W65" i="7"/>
  <c r="O66" i="7"/>
  <c r="O65" i="7"/>
  <c r="N66" i="7"/>
  <c r="N65" i="7"/>
  <c r="Y129" i="7"/>
  <c r="Y128" i="7"/>
  <c r="Q129" i="7"/>
  <c r="Q128" i="7"/>
  <c r="O129" i="7"/>
  <c r="O128" i="7"/>
  <c r="AA98" i="7"/>
  <c r="AA97" i="7"/>
  <c r="P98" i="7"/>
  <c r="P97" i="7"/>
  <c r="Q98" i="7"/>
  <c r="Q97" i="7"/>
  <c r="V98" i="7"/>
  <c r="V97" i="7"/>
  <c r="Z86" i="7"/>
  <c r="Z85" i="7"/>
  <c r="V86" i="7"/>
  <c r="V85" i="7"/>
  <c r="X86" i="7"/>
  <c r="X85" i="7"/>
  <c r="Y86" i="7"/>
  <c r="Y85" i="7"/>
  <c r="Z54" i="7"/>
  <c r="Z40" i="7"/>
  <c r="R54" i="7"/>
  <c r="R40" i="7"/>
  <c r="X54" i="7"/>
  <c r="X40" i="7"/>
  <c r="Y54" i="7"/>
  <c r="Y40" i="7"/>
  <c r="U66" i="7"/>
  <c r="U65" i="7"/>
  <c r="M66" i="7"/>
  <c r="M65" i="7"/>
  <c r="T66" i="7"/>
  <c r="T65" i="7"/>
  <c r="R66" i="7"/>
  <c r="R65" i="7"/>
  <c r="V483" i="29"/>
  <c r="V99" i="29"/>
  <c r="Z497" i="29"/>
  <c r="Z112" i="29"/>
  <c r="R510" i="29"/>
  <c r="R125" i="29"/>
  <c r="T509" i="29"/>
  <c r="T124" i="29"/>
  <c r="AA483" i="29"/>
  <c r="AA99" i="29"/>
  <c r="U497" i="29"/>
  <c r="U112" i="29"/>
  <c r="AB509" i="29"/>
  <c r="AB124" i="29"/>
  <c r="S496" i="29"/>
  <c r="S111" i="29"/>
  <c r="W509" i="29"/>
  <c r="W124" i="29"/>
  <c r="P509" i="29"/>
  <c r="P124" i="29"/>
  <c r="R483" i="29"/>
  <c r="R99" i="29"/>
  <c r="V497" i="29"/>
  <c r="V112" i="29"/>
  <c r="R509" i="29"/>
  <c r="R124" i="29"/>
  <c r="Y483" i="29"/>
  <c r="Y99" i="29"/>
  <c r="Y509" i="29"/>
  <c r="Y124" i="29"/>
  <c r="U496" i="29"/>
  <c r="U111" i="29"/>
  <c r="AA497" i="29"/>
  <c r="AA112" i="29"/>
  <c r="W510" i="29"/>
  <c r="W125" i="29"/>
  <c r="W496" i="29"/>
  <c r="W111" i="29"/>
  <c r="X510" i="29"/>
  <c r="X125" i="29"/>
  <c r="S484" i="29"/>
  <c r="S100" i="29"/>
  <c r="W484" i="29"/>
  <c r="W100" i="29"/>
  <c r="O496" i="29"/>
  <c r="O111" i="29"/>
  <c r="O497" i="29"/>
  <c r="O112" i="29"/>
  <c r="Z484" i="29"/>
  <c r="Z100" i="29"/>
  <c r="V496" i="29"/>
  <c r="V111" i="29"/>
  <c r="R497" i="29"/>
  <c r="R112" i="29"/>
  <c r="Z510" i="29"/>
  <c r="Z125" i="29"/>
  <c r="T484" i="29"/>
  <c r="T100" i="29"/>
  <c r="T497" i="29"/>
  <c r="T112" i="29"/>
  <c r="T510" i="29"/>
  <c r="T125" i="29"/>
  <c r="P483" i="29"/>
  <c r="P99" i="29"/>
  <c r="U484" i="29"/>
  <c r="U100" i="29"/>
  <c r="AA496" i="29"/>
  <c r="AA111" i="29"/>
  <c r="U509" i="29"/>
  <c r="U124" i="29"/>
  <c r="AA510" i="29"/>
  <c r="AA125" i="29"/>
  <c r="Q483" i="29"/>
  <c r="Q99" i="29"/>
  <c r="W497" i="29"/>
  <c r="W112" i="29"/>
  <c r="W483" i="29"/>
  <c r="W99" i="29"/>
  <c r="Q497" i="29"/>
  <c r="Q112" i="29"/>
  <c r="AB510" i="29"/>
  <c r="AB125" i="29"/>
  <c r="X496" i="29"/>
  <c r="X111" i="29"/>
  <c r="X484" i="29"/>
  <c r="X100" i="29"/>
  <c r="S497" i="29"/>
  <c r="S112" i="29"/>
  <c r="O483" i="29"/>
  <c r="O99" i="29"/>
  <c r="O510" i="29"/>
  <c r="O125" i="29"/>
  <c r="R484" i="29"/>
  <c r="R100" i="29"/>
  <c r="V509" i="29"/>
  <c r="V124" i="29"/>
  <c r="T483" i="29"/>
  <c r="T99" i="29"/>
  <c r="T496" i="29"/>
  <c r="T111" i="29"/>
  <c r="P496" i="29"/>
  <c r="P111" i="29"/>
  <c r="P510" i="29"/>
  <c r="P125" i="29"/>
  <c r="Q496" i="29"/>
  <c r="Q111" i="29"/>
  <c r="X509" i="29"/>
  <c r="X124" i="29"/>
  <c r="AB484" i="29"/>
  <c r="AB100" i="29"/>
  <c r="X497" i="29"/>
  <c r="X112" i="29"/>
  <c r="O484" i="29"/>
  <c r="O100" i="29"/>
  <c r="Z496" i="29"/>
  <c r="Z111" i="29"/>
  <c r="Y496" i="29"/>
  <c r="Y111" i="29"/>
  <c r="P484" i="29"/>
  <c r="P100" i="29"/>
  <c r="U510" i="29"/>
  <c r="U125" i="29"/>
  <c r="AB496" i="29"/>
  <c r="AB111" i="29"/>
  <c r="S509" i="29"/>
  <c r="S124" i="29"/>
  <c r="Q510" i="29"/>
  <c r="Q125" i="29"/>
  <c r="O509" i="29"/>
  <c r="O124" i="29"/>
  <c r="Z483" i="29"/>
  <c r="Z99" i="29"/>
  <c r="V484" i="29"/>
  <c r="V100" i="29"/>
  <c r="R496" i="29"/>
  <c r="R111" i="29"/>
  <c r="Z509" i="29"/>
  <c r="Z124" i="29"/>
  <c r="V510" i="29"/>
  <c r="V125" i="29"/>
  <c r="Y484" i="29"/>
  <c r="Y100" i="29"/>
  <c r="Y497" i="29"/>
  <c r="Y112" i="29"/>
  <c r="Y510" i="29"/>
  <c r="Y125" i="29"/>
  <c r="U483" i="29"/>
  <c r="U99" i="29"/>
  <c r="AA484" i="29"/>
  <c r="AA100" i="29"/>
  <c r="P497" i="29"/>
  <c r="P112" i="29"/>
  <c r="AA509" i="29"/>
  <c r="AA124" i="29"/>
  <c r="AB483" i="29"/>
  <c r="AB99" i="29"/>
  <c r="Q509" i="29"/>
  <c r="Q124" i="29"/>
  <c r="S483" i="29"/>
  <c r="S99" i="29"/>
  <c r="X483" i="29"/>
  <c r="X99" i="29"/>
  <c r="Q484" i="29"/>
  <c r="Q100" i="29"/>
  <c r="AB497" i="29"/>
  <c r="AB112" i="29"/>
  <c r="S510" i="29"/>
  <c r="S125" i="29"/>
  <c r="X88" i="1" l="1"/>
  <c r="T88" i="1"/>
  <c r="P88" i="1"/>
  <c r="O281" i="46"/>
  <c r="X35" i="1" s="1"/>
  <c r="K281" i="46"/>
  <c r="T35" i="1" s="1"/>
  <c r="G281" i="46"/>
  <c r="P35" i="1" s="1"/>
  <c r="Z88" i="1"/>
  <c r="V88" i="1"/>
  <c r="R88" i="1"/>
  <c r="N88" i="1"/>
  <c r="Q281" i="46"/>
  <c r="Z35" i="1" s="1"/>
  <c r="M281" i="46"/>
  <c r="V35" i="1" s="1"/>
  <c r="I281" i="46"/>
  <c r="R35" i="1" s="1"/>
  <c r="E281" i="46"/>
  <c r="N35" i="1" s="1"/>
  <c r="W88" i="1"/>
  <c r="O88" i="1"/>
  <c r="R281" i="46"/>
  <c r="AA35" i="1" s="1"/>
  <c r="J281" i="46"/>
  <c r="S35" i="1" s="1"/>
  <c r="AA88" i="1"/>
  <c r="S88" i="1"/>
  <c r="N281" i="46"/>
  <c r="W35" i="1" s="1"/>
  <c r="F281" i="46"/>
  <c r="O35" i="1" s="1"/>
  <c r="U88" i="1"/>
  <c r="P281" i="46"/>
  <c r="Y35" i="1" s="1"/>
  <c r="Q88" i="1"/>
  <c r="L281" i="46"/>
  <c r="U35" i="1" s="1"/>
  <c r="M88" i="1"/>
  <c r="H281" i="46"/>
  <c r="Q35" i="1" s="1"/>
  <c r="Y88" i="1"/>
  <c r="D281" i="46"/>
  <c r="M35" i="1" s="1"/>
  <c r="AA99" i="1"/>
  <c r="W99" i="1"/>
  <c r="S99" i="1"/>
  <c r="O99" i="1"/>
  <c r="Y99" i="1"/>
  <c r="U99" i="1"/>
  <c r="Q99" i="1"/>
  <c r="M99" i="1"/>
  <c r="X99" i="1"/>
  <c r="P99" i="1"/>
  <c r="P290" i="46"/>
  <c r="Y46" i="1" s="1"/>
  <c r="L290" i="46"/>
  <c r="U46" i="1" s="1"/>
  <c r="H290" i="46"/>
  <c r="Q46" i="1" s="1"/>
  <c r="D290" i="46"/>
  <c r="M46" i="1" s="1"/>
  <c r="T99" i="1"/>
  <c r="R290" i="46"/>
  <c r="AA46" i="1" s="1"/>
  <c r="N290" i="46"/>
  <c r="W46" i="1" s="1"/>
  <c r="J290" i="46"/>
  <c r="S46" i="1" s="1"/>
  <c r="F290" i="46"/>
  <c r="O46" i="1" s="1"/>
  <c r="V99" i="1"/>
  <c r="K290" i="46"/>
  <c r="T46" i="1" s="1"/>
  <c r="N99" i="1"/>
  <c r="O290" i="46"/>
  <c r="X46" i="1" s="1"/>
  <c r="G290" i="46"/>
  <c r="P46" i="1" s="1"/>
  <c r="I290" i="46"/>
  <c r="R46" i="1" s="1"/>
  <c r="Z99" i="1"/>
  <c r="E290" i="46"/>
  <c r="N46" i="1" s="1"/>
  <c r="R99" i="1"/>
  <c r="Q290" i="46"/>
  <c r="Z46" i="1" s="1"/>
  <c r="M290" i="46"/>
  <c r="V46" i="1" s="1"/>
  <c r="O343" i="46" l="1"/>
  <c r="X57" i="1" s="1"/>
  <c r="K343" i="46"/>
  <c r="T57" i="1" s="1"/>
  <c r="G343" i="46"/>
  <c r="P57" i="1" s="1"/>
  <c r="D343" i="46"/>
  <c r="M57" i="1" s="1"/>
  <c r="Q343" i="46"/>
  <c r="Z57" i="1" s="1"/>
  <c r="M343" i="46"/>
  <c r="V57" i="1" s="1"/>
  <c r="I343" i="46"/>
  <c r="R57" i="1" s="1"/>
  <c r="E343" i="46"/>
  <c r="N57" i="1" s="1"/>
  <c r="R343" i="46"/>
  <c r="AA57" i="1" s="1"/>
  <c r="N343" i="46"/>
  <c r="W57" i="1" s="1"/>
  <c r="J343" i="46"/>
  <c r="S57" i="1" s="1"/>
  <c r="F343" i="46"/>
  <c r="O57" i="1" s="1"/>
  <c r="L343" i="46"/>
  <c r="U57" i="1" s="1"/>
  <c r="H343" i="46"/>
  <c r="Q57" i="1" s="1"/>
  <c r="P343" i="46"/>
  <c r="Y57" i="1" s="1"/>
  <c r="Q344" i="46"/>
  <c r="Z110" i="1" s="1"/>
  <c r="M344" i="46"/>
  <c r="V110" i="1" s="1"/>
  <c r="I344" i="46"/>
  <c r="R110" i="1" s="1"/>
  <c r="E344" i="46"/>
  <c r="N110" i="1" s="1"/>
  <c r="O344" i="46"/>
  <c r="X110" i="1" s="1"/>
  <c r="K344" i="46"/>
  <c r="T110" i="1" s="1"/>
  <c r="G344" i="46"/>
  <c r="P110" i="1" s="1"/>
  <c r="R344" i="46"/>
  <c r="AA110" i="1" s="1"/>
  <c r="N344" i="46"/>
  <c r="W110" i="1" s="1"/>
  <c r="P344" i="46"/>
  <c r="Y110" i="1" s="1"/>
  <c r="L344" i="46"/>
  <c r="U110" i="1" s="1"/>
  <c r="H344" i="46"/>
  <c r="Q110" i="1" s="1"/>
  <c r="J344" i="46"/>
  <c r="S110" i="1" s="1"/>
  <c r="F344" i="46"/>
  <c r="O110" i="1" s="1"/>
  <c r="D344" i="46"/>
  <c r="M110" i="1" s="1"/>
  <c r="AR49" i="32"/>
  <c r="R33" i="50" s="1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I48" i="29"/>
  <c r="B42" i="29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I508" i="31"/>
  <c r="I507" i="31"/>
  <c r="B502" i="3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AD499" i="31"/>
  <c r="AB186" i="31"/>
  <c r="AA186" i="31"/>
  <c r="Z186" i="31"/>
  <c r="Y186" i="31"/>
  <c r="X186" i="31"/>
  <c r="W186" i="31"/>
  <c r="V186" i="31"/>
  <c r="U186" i="31"/>
  <c r="T186" i="31"/>
  <c r="S186" i="31"/>
  <c r="Q186" i="31"/>
  <c r="P186" i="31"/>
  <c r="O186" i="31"/>
  <c r="AB172" i="31"/>
  <c r="AA172" i="31"/>
  <c r="Z172" i="31"/>
  <c r="Y172" i="31"/>
  <c r="X172" i="31"/>
  <c r="W172" i="31"/>
  <c r="V172" i="31"/>
  <c r="U172" i="31"/>
  <c r="T172" i="31"/>
  <c r="S172" i="31"/>
  <c r="Q172" i="31"/>
  <c r="P172" i="31"/>
  <c r="O172" i="31"/>
  <c r="AB78" i="28"/>
  <c r="AA78" i="28"/>
  <c r="Z78" i="28"/>
  <c r="Y78" i="28"/>
  <c r="X78" i="28"/>
  <c r="W78" i="28"/>
  <c r="V78" i="28"/>
  <c r="U78" i="28"/>
  <c r="T78" i="28"/>
  <c r="S78" i="28"/>
  <c r="Q78" i="28"/>
  <c r="P78" i="28"/>
  <c r="O78" i="28"/>
  <c r="AB54" i="28"/>
  <c r="AA54" i="28"/>
  <c r="Z54" i="28"/>
  <c r="Y54" i="28"/>
  <c r="X54" i="28"/>
  <c r="W54" i="28"/>
  <c r="V54" i="28"/>
  <c r="U54" i="28"/>
  <c r="T54" i="28"/>
  <c r="S54" i="28"/>
  <c r="Q54" i="28"/>
  <c r="P54" i="28"/>
  <c r="O54" i="28"/>
  <c r="AB47" i="4"/>
  <c r="AA47" i="4"/>
  <c r="Z47" i="4"/>
  <c r="Y47" i="4"/>
  <c r="X47" i="4"/>
  <c r="W47" i="4"/>
  <c r="V47" i="4"/>
  <c r="U47" i="4"/>
  <c r="T47" i="4"/>
  <c r="S47" i="4"/>
  <c r="Q47" i="4"/>
  <c r="P47" i="4"/>
  <c r="O47" i="4"/>
  <c r="N47" i="4"/>
  <c r="AA35" i="4"/>
  <c r="S35" i="4"/>
  <c r="N35" i="4"/>
  <c r="M96" i="7"/>
  <c r="Z96" i="7" s="1"/>
  <c r="M64" i="7"/>
  <c r="U64" i="7" s="1"/>
  <c r="M51" i="7"/>
  <c r="P51" i="7" s="1"/>
  <c r="M39" i="7"/>
  <c r="X39" i="7" s="1"/>
  <c r="M127" i="7"/>
  <c r="T54" i="1"/>
  <c r="Y43" i="1"/>
  <c r="M107" i="1"/>
  <c r="Y107" i="1" s="1"/>
  <c r="M96" i="1"/>
  <c r="X96" i="1" s="1"/>
  <c r="N413" i="31"/>
  <c r="U413" i="31" s="1"/>
  <c r="N400" i="31"/>
  <c r="T400" i="31" s="1"/>
  <c r="N388" i="31"/>
  <c r="Y388" i="31" s="1"/>
  <c r="N362" i="31"/>
  <c r="U362" i="31" s="1"/>
  <c r="N153" i="31"/>
  <c r="W153" i="31" s="1"/>
  <c r="N111" i="31"/>
  <c r="S111" i="31" s="1"/>
  <c r="N97" i="31"/>
  <c r="Z97" i="31" s="1"/>
  <c r="N84" i="31"/>
  <c r="V84" i="31" s="1"/>
  <c r="N72" i="31"/>
  <c r="Q72" i="31" s="1"/>
  <c r="N248" i="28"/>
  <c r="AB248" i="28" s="1"/>
  <c r="N235" i="28"/>
  <c r="W235" i="28" s="1"/>
  <c r="N223" i="28"/>
  <c r="Y223" i="28" s="1"/>
  <c r="N98" i="28"/>
  <c r="AA98" i="28" s="1"/>
  <c r="N85" i="28"/>
  <c r="T85" i="28" s="1"/>
  <c r="N73" i="28"/>
  <c r="V73" i="28" s="1"/>
  <c r="N153" i="25"/>
  <c r="N139" i="25"/>
  <c r="AA139" i="25" s="1"/>
  <c r="N127" i="25"/>
  <c r="Y127" i="25" s="1"/>
  <c r="N113" i="25"/>
  <c r="O113" i="25" s="1"/>
  <c r="N99" i="25"/>
  <c r="AA99" i="25" s="1"/>
  <c r="N85" i="25"/>
  <c r="S85" i="25" s="1"/>
  <c r="N71" i="25"/>
  <c r="Y71" i="25" s="1"/>
  <c r="N58" i="25"/>
  <c r="X58" i="25" s="1"/>
  <c r="N46" i="25"/>
  <c r="R46" i="25" s="1"/>
  <c r="N153" i="26"/>
  <c r="AB153" i="26" s="1"/>
  <c r="N139" i="26"/>
  <c r="Y139" i="26" s="1"/>
  <c r="N127" i="26"/>
  <c r="X127" i="26" s="1"/>
  <c r="N113" i="26"/>
  <c r="AA113" i="26" s="1"/>
  <c r="N99" i="26"/>
  <c r="AB99" i="26" s="1"/>
  <c r="N85" i="26"/>
  <c r="AA85" i="26" s="1"/>
  <c r="N71" i="26"/>
  <c r="Z71" i="26" s="1"/>
  <c r="N58" i="26"/>
  <c r="W58" i="26" s="1"/>
  <c r="N46" i="26"/>
  <c r="Z46" i="26" s="1"/>
  <c r="AF3" i="23"/>
  <c r="AC47" i="32"/>
  <c r="M294" i="34"/>
  <c r="N294" i="34" s="1"/>
  <c r="O294" i="34" s="1"/>
  <c r="P294" i="34" s="1"/>
  <c r="Q294" i="34" s="1"/>
  <c r="R294" i="34" s="1"/>
  <c r="S294" i="34" s="1"/>
  <c r="T294" i="34" s="1"/>
  <c r="U294" i="34" s="1"/>
  <c r="V294" i="34" s="1"/>
  <c r="W294" i="34" s="1"/>
  <c r="X294" i="34" s="1"/>
  <c r="Y294" i="34" s="1"/>
  <c r="Z294" i="34" s="1"/>
  <c r="B294" i="34"/>
  <c r="B296" i="34" s="1"/>
  <c r="B297" i="34" s="1"/>
  <c r="H293" i="34"/>
  <c r="M290" i="34"/>
  <c r="N290" i="34" s="1"/>
  <c r="O290" i="34" s="1"/>
  <c r="P290" i="34" s="1"/>
  <c r="Q290" i="34" s="1"/>
  <c r="R290" i="34" s="1"/>
  <c r="S290" i="34" s="1"/>
  <c r="T290" i="34" s="1"/>
  <c r="U290" i="34" s="1"/>
  <c r="V290" i="34" s="1"/>
  <c r="W290" i="34" s="1"/>
  <c r="X290" i="34" s="1"/>
  <c r="Y290" i="34" s="1"/>
  <c r="Z290" i="34" s="1"/>
  <c r="C290" i="34"/>
  <c r="B290" i="34" s="1"/>
  <c r="B291" i="34" s="1"/>
  <c r="F247" i="34"/>
  <c r="C247" i="34" s="1"/>
  <c r="B247" i="34" s="1"/>
  <c r="E247" i="34"/>
  <c r="F244" i="34"/>
  <c r="C244" i="34" s="1"/>
  <c r="B244" i="34" s="1"/>
  <c r="B245" i="34" s="1"/>
  <c r="E244" i="34"/>
  <c r="F241" i="34"/>
  <c r="C241" i="34" s="1"/>
  <c r="B241" i="34" s="1"/>
  <c r="B243" i="34" s="1"/>
  <c r="E241" i="34"/>
  <c r="F238" i="34"/>
  <c r="C238" i="34" s="1"/>
  <c r="B238" i="34" s="1"/>
  <c r="B240" i="34" s="1"/>
  <c r="E238" i="34"/>
  <c r="F235" i="34"/>
  <c r="C235" i="34" s="1"/>
  <c r="B235" i="34" s="1"/>
  <c r="B237" i="34" s="1"/>
  <c r="E235" i="34"/>
  <c r="F232" i="34"/>
  <c r="C232" i="34" s="1"/>
  <c r="B232" i="34" s="1"/>
  <c r="B234" i="34" s="1"/>
  <c r="E232" i="34"/>
  <c r="F226" i="34"/>
  <c r="E226" i="34"/>
  <c r="F223" i="34"/>
  <c r="C223" i="34" s="1"/>
  <c r="B223" i="34" s="1"/>
  <c r="B225" i="34" s="1"/>
  <c r="E223" i="34"/>
  <c r="F220" i="34"/>
  <c r="C220" i="34" s="1"/>
  <c r="B220" i="34" s="1"/>
  <c r="B222" i="34" s="1"/>
  <c r="F214" i="34"/>
  <c r="C214" i="34" s="1"/>
  <c r="B214" i="34" s="1"/>
  <c r="B215" i="34" s="1"/>
  <c r="E214" i="34"/>
  <c r="E217" i="34" s="1"/>
  <c r="F202" i="34"/>
  <c r="C202" i="34" s="1"/>
  <c r="B202" i="34" s="1"/>
  <c r="E202" i="34"/>
  <c r="F193" i="34"/>
  <c r="C193" i="34" s="1"/>
  <c r="B193" i="34" s="1"/>
  <c r="E193" i="34"/>
  <c r="E199" i="34" s="1"/>
  <c r="H124" i="34"/>
  <c r="D119" i="34"/>
  <c r="D247" i="34" s="1"/>
  <c r="C119" i="34"/>
  <c r="B119" i="34" s="1"/>
  <c r="B120" i="34" s="1"/>
  <c r="H118" i="34"/>
  <c r="D113" i="34"/>
  <c r="D244" i="34" s="1"/>
  <c r="C113" i="34"/>
  <c r="B113" i="34" s="1"/>
  <c r="B114" i="34" s="1"/>
  <c r="H112" i="34"/>
  <c r="D107" i="34"/>
  <c r="D241" i="34" s="1"/>
  <c r="C107" i="34"/>
  <c r="B107" i="34" s="1"/>
  <c r="B108" i="34" s="1"/>
  <c r="H106" i="34"/>
  <c r="D101" i="34"/>
  <c r="D238" i="34" s="1"/>
  <c r="C101" i="34"/>
  <c r="B101" i="34" s="1"/>
  <c r="B102" i="34" s="1"/>
  <c r="H100" i="34"/>
  <c r="D95" i="34"/>
  <c r="D235" i="34" s="1"/>
  <c r="C95" i="34"/>
  <c r="B95" i="34" s="1"/>
  <c r="B96" i="34" s="1"/>
  <c r="B97" i="34" s="1"/>
  <c r="B98" i="34" s="1"/>
  <c r="B99" i="34" s="1"/>
  <c r="H94" i="34"/>
  <c r="D89" i="34"/>
  <c r="D232" i="34" s="1"/>
  <c r="C89" i="34"/>
  <c r="B89" i="34" s="1"/>
  <c r="B90" i="34" s="1"/>
  <c r="B91" i="34" s="1"/>
  <c r="B92" i="34" s="1"/>
  <c r="B93" i="34" s="1"/>
  <c r="H82" i="34"/>
  <c r="D77" i="34"/>
  <c r="D226" i="34" s="1"/>
  <c r="C77" i="34"/>
  <c r="B77" i="34" s="1"/>
  <c r="B78" i="34" s="1"/>
  <c r="H76" i="34"/>
  <c r="D71" i="34"/>
  <c r="D223" i="34" s="1"/>
  <c r="C71" i="34"/>
  <c r="B71" i="34" s="1"/>
  <c r="B72" i="34" s="1"/>
  <c r="H70" i="34"/>
  <c r="D65" i="34"/>
  <c r="D220" i="34" s="1"/>
  <c r="C65" i="34"/>
  <c r="B65" i="34" s="1"/>
  <c r="B66" i="34" s="1"/>
  <c r="B67" i="34" s="1"/>
  <c r="B68" i="34" s="1"/>
  <c r="B69" i="34" s="1"/>
  <c r="H58" i="34"/>
  <c r="D53" i="34"/>
  <c r="D214" i="34" s="1"/>
  <c r="C53" i="34"/>
  <c r="B53" i="34" s="1"/>
  <c r="B54" i="34" s="1"/>
  <c r="B55" i="34" s="1"/>
  <c r="B56" i="34" s="1"/>
  <c r="B57" i="34" s="1"/>
  <c r="H34" i="34"/>
  <c r="D29" i="34"/>
  <c r="C29" i="34"/>
  <c r="B29" i="34" s="1"/>
  <c r="B34" i="34" s="1"/>
  <c r="H16" i="34"/>
  <c r="D11" i="34"/>
  <c r="D193" i="34" s="1"/>
  <c r="B11" i="34"/>
  <c r="M5" i="34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Z5" i="34" s="1"/>
  <c r="M4" i="34"/>
  <c r="N4" i="34" s="1"/>
  <c r="O4" i="34" s="1"/>
  <c r="P4" i="34" s="1"/>
  <c r="Q4" i="34" s="1"/>
  <c r="R4" i="34" s="1"/>
  <c r="S4" i="34" s="1"/>
  <c r="T4" i="34" s="1"/>
  <c r="U4" i="34" s="1"/>
  <c r="V4" i="34" s="1"/>
  <c r="W4" i="34" s="1"/>
  <c r="X4" i="34" s="1"/>
  <c r="Y4" i="34" s="1"/>
  <c r="Z4" i="34" s="1"/>
  <c r="M3" i="34"/>
  <c r="N3" i="34" s="1"/>
  <c r="O3" i="34" s="1"/>
  <c r="P3" i="34" s="1"/>
  <c r="Q3" i="34" s="1"/>
  <c r="R3" i="34" s="1"/>
  <c r="S3" i="34" s="1"/>
  <c r="T3" i="34" s="1"/>
  <c r="U3" i="34" s="1"/>
  <c r="V3" i="34" s="1"/>
  <c r="W3" i="34" s="1"/>
  <c r="X3" i="34" s="1"/>
  <c r="Y3" i="34" s="1"/>
  <c r="Z3" i="34" s="1"/>
  <c r="H52" i="23"/>
  <c r="H51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B45" i="23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H32" i="23"/>
  <c r="H31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B25" i="23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AE6" i="23"/>
  <c r="H53" i="23" s="1"/>
  <c r="N5" i="23"/>
  <c r="O5" i="23" s="1"/>
  <c r="P5" i="23" s="1"/>
  <c r="Q5" i="23" s="1"/>
  <c r="R5" i="23" s="1"/>
  <c r="S5" i="23" s="1"/>
  <c r="T5" i="23" s="1"/>
  <c r="U5" i="23" s="1"/>
  <c r="V5" i="23" s="1"/>
  <c r="W5" i="23" s="1"/>
  <c r="X5" i="23" s="1"/>
  <c r="Y5" i="23" s="1"/>
  <c r="Z5" i="23" s="1"/>
  <c r="AA5" i="23" s="1"/>
  <c r="N4" i="23"/>
  <c r="O4" i="23" s="1"/>
  <c r="P4" i="23" s="1"/>
  <c r="Q4" i="23" s="1"/>
  <c r="R4" i="23" s="1"/>
  <c r="S4" i="23" s="1"/>
  <c r="T4" i="23" s="1"/>
  <c r="U4" i="23" s="1"/>
  <c r="V4" i="23" s="1"/>
  <c r="W4" i="23" s="1"/>
  <c r="X4" i="23" s="1"/>
  <c r="Y4" i="23" s="1"/>
  <c r="Z4" i="23" s="1"/>
  <c r="AA4" i="23" s="1"/>
  <c r="N3" i="23"/>
  <c r="O3" i="23" s="1"/>
  <c r="P3" i="23" s="1"/>
  <c r="Q3" i="23" s="1"/>
  <c r="R3" i="23" s="1"/>
  <c r="S3" i="23" s="1"/>
  <c r="T3" i="23" s="1"/>
  <c r="U3" i="23" s="1"/>
  <c r="V3" i="23" s="1"/>
  <c r="W3" i="23" s="1"/>
  <c r="X3" i="23" s="1"/>
  <c r="Y3" i="23" s="1"/>
  <c r="Z3" i="23" s="1"/>
  <c r="AA3" i="23" s="1"/>
  <c r="L15" i="32"/>
  <c r="L14" i="32"/>
  <c r="L13" i="32"/>
  <c r="L12" i="32"/>
  <c r="L11" i="32"/>
  <c r="L10" i="32"/>
  <c r="AC6" i="32"/>
  <c r="N5" i="32"/>
  <c r="O5" i="32" s="1"/>
  <c r="P5" i="32" s="1"/>
  <c r="Q5" i="32" s="1"/>
  <c r="R5" i="32" s="1"/>
  <c r="S5" i="32" s="1"/>
  <c r="T5" i="32" s="1"/>
  <c r="U5" i="32" s="1"/>
  <c r="V5" i="32" s="1"/>
  <c r="W5" i="32" s="1"/>
  <c r="X5" i="32" s="1"/>
  <c r="Y5" i="32" s="1"/>
  <c r="Z5" i="32" s="1"/>
  <c r="AA5" i="32" s="1"/>
  <c r="N4" i="32"/>
  <c r="O4" i="32" s="1"/>
  <c r="P4" i="32" s="1"/>
  <c r="Q4" i="32" s="1"/>
  <c r="R4" i="32" s="1"/>
  <c r="S4" i="32" s="1"/>
  <c r="T4" i="32" s="1"/>
  <c r="U4" i="32" s="1"/>
  <c r="V4" i="32" s="1"/>
  <c r="W4" i="32" s="1"/>
  <c r="X4" i="32" s="1"/>
  <c r="Y4" i="32" s="1"/>
  <c r="Z4" i="32" s="1"/>
  <c r="AA4" i="32" s="1"/>
  <c r="N3" i="32"/>
  <c r="O3" i="32" s="1"/>
  <c r="P3" i="32" s="1"/>
  <c r="Q3" i="32" s="1"/>
  <c r="R3" i="32" s="1"/>
  <c r="S3" i="32" s="1"/>
  <c r="T3" i="32" s="1"/>
  <c r="U3" i="32" s="1"/>
  <c r="V3" i="32" s="1"/>
  <c r="W3" i="32" s="1"/>
  <c r="X3" i="32" s="1"/>
  <c r="Y3" i="32" s="1"/>
  <c r="Z3" i="32" s="1"/>
  <c r="AA3" i="32" s="1"/>
  <c r="AC96" i="7"/>
  <c r="H103" i="7"/>
  <c r="H102" i="7"/>
  <c r="B96" i="7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H91" i="7"/>
  <c r="H90" i="7"/>
  <c r="AC80" i="7"/>
  <c r="AC64" i="7"/>
  <c r="AC65" i="7" s="1"/>
  <c r="H71" i="7"/>
  <c r="H70" i="7"/>
  <c r="B64" i="7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AC51" i="7"/>
  <c r="H59" i="7"/>
  <c r="H58" i="7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AC39" i="7"/>
  <c r="AC40" i="7" s="1"/>
  <c r="H46" i="7"/>
  <c r="H45" i="7"/>
  <c r="B39" i="7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AC127" i="7"/>
  <c r="H134" i="7"/>
  <c r="H133" i="7"/>
  <c r="B127" i="7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H122" i="7"/>
  <c r="H121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B115" i="7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AC112" i="7"/>
  <c r="AE6" i="7"/>
  <c r="H60" i="7" s="1"/>
  <c r="N5" i="7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N4" i="7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N3" i="7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F7" i="29"/>
  <c r="AF8" i="29" s="1"/>
  <c r="AF9" i="29" s="1"/>
  <c r="I51" i="29" s="1"/>
  <c r="O5" i="29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Z5" i="29" s="1"/>
  <c r="AA5" i="29" s="1"/>
  <c r="AB5" i="29" s="1"/>
  <c r="O4" i="29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Z4" i="29" s="1"/>
  <c r="AA4" i="29" s="1"/>
  <c r="AB4" i="29" s="1"/>
  <c r="O3" i="29"/>
  <c r="P3" i="29" s="1"/>
  <c r="Q3" i="29" s="1"/>
  <c r="R3" i="29" s="1"/>
  <c r="S3" i="29" s="1"/>
  <c r="T3" i="29" s="1"/>
  <c r="U3" i="29" s="1"/>
  <c r="V3" i="29" s="1"/>
  <c r="W3" i="29" s="1"/>
  <c r="X3" i="29" s="1"/>
  <c r="Y3" i="29" s="1"/>
  <c r="Z3" i="29" s="1"/>
  <c r="AA3" i="29" s="1"/>
  <c r="AB3" i="29" s="1"/>
  <c r="AD413" i="31"/>
  <c r="AD414" i="31" s="1"/>
  <c r="I422" i="31"/>
  <c r="I421" i="31"/>
  <c r="B413" i="3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AD400" i="31"/>
  <c r="AD401" i="31" s="1"/>
  <c r="I408" i="31"/>
  <c r="I407" i="31"/>
  <c r="B400" i="31"/>
  <c r="B401" i="31" s="1"/>
  <c r="AD388" i="31"/>
  <c r="I395" i="31"/>
  <c r="I394" i="31"/>
  <c r="B388" i="31"/>
  <c r="AD362" i="31"/>
  <c r="AD363" i="31" s="1"/>
  <c r="I371" i="31"/>
  <c r="I370" i="31"/>
  <c r="B362" i="31"/>
  <c r="B363" i="31" s="1"/>
  <c r="AD347" i="31"/>
  <c r="AD153" i="31"/>
  <c r="AD154" i="31" s="1"/>
  <c r="I160" i="31"/>
  <c r="I159" i="31"/>
  <c r="B153" i="3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AD111" i="31"/>
  <c r="AD112" i="31" s="1"/>
  <c r="I120" i="31"/>
  <c r="I119" i="31"/>
  <c r="B111" i="3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AD97" i="31"/>
  <c r="AD98" i="31" s="1"/>
  <c r="I106" i="31"/>
  <c r="I105" i="31"/>
  <c r="AB99" i="31"/>
  <c r="AA99" i="31"/>
  <c r="Z99" i="31"/>
  <c r="Y99" i="31"/>
  <c r="X99" i="31"/>
  <c r="W99" i="31"/>
  <c r="V99" i="31"/>
  <c r="U99" i="31"/>
  <c r="T99" i="31"/>
  <c r="S99" i="31"/>
  <c r="R99" i="31"/>
  <c r="Q99" i="31"/>
  <c r="P99" i="31"/>
  <c r="O99" i="31"/>
  <c r="B97" i="3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AD84" i="31"/>
  <c r="AD85" i="31" s="1"/>
  <c r="I92" i="31"/>
  <c r="I91" i="31"/>
  <c r="B84" i="3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AD72" i="31"/>
  <c r="AD73" i="31" s="1"/>
  <c r="I79" i="31"/>
  <c r="I78" i="31"/>
  <c r="B72" i="3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AD58" i="31"/>
  <c r="AD59" i="31" s="1"/>
  <c r="I67" i="31"/>
  <c r="I66" i="31"/>
  <c r="B58" i="31"/>
  <c r="B59" i="31" s="1"/>
  <c r="AD43" i="31"/>
  <c r="O30" i="31"/>
  <c r="AB29" i="31"/>
  <c r="AA29" i="31"/>
  <c r="Z29" i="31"/>
  <c r="Y29" i="31"/>
  <c r="X29" i="31"/>
  <c r="W29" i="31"/>
  <c r="V29" i="31"/>
  <c r="U29" i="31"/>
  <c r="T29" i="31"/>
  <c r="S29" i="31"/>
  <c r="R29" i="31"/>
  <c r="Q29" i="31"/>
  <c r="P29" i="31"/>
  <c r="O29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AF7" i="31"/>
  <c r="I161" i="31" s="1"/>
  <c r="O5" i="3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Z5" i="31" s="1"/>
  <c r="AA5" i="31" s="1"/>
  <c r="AB5" i="31" s="1"/>
  <c r="O4" i="3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O3" i="3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D248" i="28"/>
  <c r="X259" i="28" s="1"/>
  <c r="I256" i="28"/>
  <c r="B248" i="28"/>
  <c r="B249" i="28" s="1"/>
  <c r="B250" i="28" s="1"/>
  <c r="B251" i="28" s="1"/>
  <c r="B252" i="28" s="1"/>
  <c r="B253" i="28" s="1"/>
  <c r="B254" i="28" s="1"/>
  <c r="B255" i="28" s="1"/>
  <c r="B256" i="28" s="1"/>
  <c r="B257" i="28" s="1"/>
  <c r="B258" i="28" s="1"/>
  <c r="B259" i="28" s="1"/>
  <c r="B260" i="28" s="1"/>
  <c r="AD235" i="28"/>
  <c r="I243" i="28"/>
  <c r="B235" i="28"/>
  <c r="B236" i="28" s="1"/>
  <c r="B237" i="28" s="1"/>
  <c r="B238" i="28" s="1"/>
  <c r="B239" i="28" s="1"/>
  <c r="B240" i="28" s="1"/>
  <c r="B241" i="28" s="1"/>
  <c r="B242" i="28" s="1"/>
  <c r="B243" i="28" s="1"/>
  <c r="B244" i="28" s="1"/>
  <c r="B245" i="28" s="1"/>
  <c r="B246" i="28" s="1"/>
  <c r="B247" i="28" s="1"/>
  <c r="AD223" i="28"/>
  <c r="Y234" i="28" s="1"/>
  <c r="I230" i="28"/>
  <c r="B223" i="28"/>
  <c r="AD197" i="28"/>
  <c r="X207" i="28" s="1"/>
  <c r="I206" i="28"/>
  <c r="B197" i="28"/>
  <c r="B198" i="28" s="1"/>
  <c r="AD182" i="28"/>
  <c r="AD98" i="28"/>
  <c r="I106" i="28"/>
  <c r="B98" i="28"/>
  <c r="B99" i="28" s="1"/>
  <c r="B100" i="28" s="1"/>
  <c r="B101" i="28" s="1"/>
  <c r="B102" i="28" s="1"/>
  <c r="B103" i="28" s="1"/>
  <c r="B104" i="28" s="1"/>
  <c r="B105" i="28" s="1"/>
  <c r="B106" i="28" s="1"/>
  <c r="B107" i="28" s="1"/>
  <c r="B108" i="28" s="1"/>
  <c r="B109" i="28" s="1"/>
  <c r="B110" i="28" s="1"/>
  <c r="AD85" i="28"/>
  <c r="AD86" i="28" s="1"/>
  <c r="I93" i="28"/>
  <c r="B85" i="28"/>
  <c r="B86" i="28" s="1"/>
  <c r="B87" i="28" s="1"/>
  <c r="B88" i="28" s="1"/>
  <c r="B89" i="28" s="1"/>
  <c r="B90" i="28" s="1"/>
  <c r="B91" i="28" s="1"/>
  <c r="B92" i="28" s="1"/>
  <c r="B93" i="28" s="1"/>
  <c r="B94" i="28" s="1"/>
  <c r="B95" i="28" s="1"/>
  <c r="B96" i="28" s="1"/>
  <c r="B97" i="28" s="1"/>
  <c r="AD73" i="28"/>
  <c r="AD74" i="28" s="1"/>
  <c r="I80" i="28"/>
  <c r="B73" i="28"/>
  <c r="AD47" i="28"/>
  <c r="I56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B47" i="28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B58" i="28" s="1"/>
  <c r="B59" i="28" s="1"/>
  <c r="B60" i="28" s="1"/>
  <c r="AD32" i="28"/>
  <c r="AB22" i="28"/>
  <c r="AB249" i="28" s="1"/>
  <c r="AA22" i="28"/>
  <c r="AA249" i="28" s="1"/>
  <c r="Z22" i="28"/>
  <c r="Z249" i="28" s="1"/>
  <c r="Y22" i="28"/>
  <c r="Y249" i="28" s="1"/>
  <c r="X22" i="28"/>
  <c r="X249" i="28" s="1"/>
  <c r="W22" i="28"/>
  <c r="W249" i="28" s="1"/>
  <c r="V22" i="28"/>
  <c r="V249" i="28" s="1"/>
  <c r="U22" i="28"/>
  <c r="U249" i="28" s="1"/>
  <c r="T22" i="28"/>
  <c r="T249" i="28" s="1"/>
  <c r="S22" i="28"/>
  <c r="S249" i="28" s="1"/>
  <c r="R22" i="28"/>
  <c r="R249" i="28" s="1"/>
  <c r="Q22" i="28"/>
  <c r="Q249" i="28" s="1"/>
  <c r="P22" i="28"/>
  <c r="P249" i="28" s="1"/>
  <c r="O22" i="28"/>
  <c r="O249" i="28" s="1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7" i="28"/>
  <c r="N16" i="28"/>
  <c r="N38" i="28" s="1"/>
  <c r="AF7" i="28"/>
  <c r="O5" i="28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O4" i="28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O3" i="28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D42" i="4"/>
  <c r="AD43" i="4" s="1"/>
  <c r="I49" i="4"/>
  <c r="I48" i="4"/>
  <c r="B42" i="4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AD28" i="4"/>
  <c r="AF7" i="4"/>
  <c r="I69" i="4" s="1"/>
  <c r="O5" i="4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O4" i="4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O3" i="4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D154" i="25"/>
  <c r="I162" i="25"/>
  <c r="I161" i="25"/>
  <c r="B153" i="25"/>
  <c r="B154" i="25" s="1"/>
  <c r="AD140" i="25"/>
  <c r="I148" i="25"/>
  <c r="I147" i="25"/>
  <c r="B139" i="25"/>
  <c r="B140" i="25" s="1"/>
  <c r="AD127" i="25"/>
  <c r="B127" i="25"/>
  <c r="AD114" i="25"/>
  <c r="I122" i="25"/>
  <c r="I121" i="25"/>
  <c r="B113" i="25"/>
  <c r="B114" i="25" s="1"/>
  <c r="AD100" i="25"/>
  <c r="I108" i="25"/>
  <c r="I107" i="25"/>
  <c r="B99" i="25"/>
  <c r="B100" i="25" s="1"/>
  <c r="AD85" i="25"/>
  <c r="B85" i="25"/>
  <c r="B86" i="25" s="1"/>
  <c r="AD71" i="25"/>
  <c r="AD72" i="25" s="1"/>
  <c r="B71" i="25"/>
  <c r="AD58" i="25"/>
  <c r="B58" i="25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AD46" i="25"/>
  <c r="B46" i="25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AD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B32" i="25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AF17" i="25"/>
  <c r="I163" i="25" s="1"/>
  <c r="O5" i="25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O4" i="25"/>
  <c r="P4" i="25" s="1"/>
  <c r="Q4" i="25" s="1"/>
  <c r="R4" i="25" s="1"/>
  <c r="S4" i="25" s="1"/>
  <c r="T4" i="25" s="1"/>
  <c r="U4" i="25" s="1"/>
  <c r="V4" i="25" s="1"/>
  <c r="W4" i="25" s="1"/>
  <c r="X4" i="25" s="1"/>
  <c r="Y4" i="25" s="1"/>
  <c r="Z4" i="25" s="1"/>
  <c r="AA4" i="25" s="1"/>
  <c r="AB4" i="25" s="1"/>
  <c r="O3" i="25"/>
  <c r="P3" i="25" s="1"/>
  <c r="Q3" i="25" s="1"/>
  <c r="R3" i="25" s="1"/>
  <c r="S3" i="25" s="1"/>
  <c r="T3" i="25" s="1"/>
  <c r="U3" i="25" s="1"/>
  <c r="V3" i="25" s="1"/>
  <c r="W3" i="25" s="1"/>
  <c r="X3" i="25" s="1"/>
  <c r="Y3" i="25" s="1"/>
  <c r="Z3" i="25" s="1"/>
  <c r="AA3" i="25" s="1"/>
  <c r="AB3" i="25" s="1"/>
  <c r="I162" i="26"/>
  <c r="I161" i="26"/>
  <c r="B153" i="26"/>
  <c r="B154" i="26" s="1"/>
  <c r="I148" i="26"/>
  <c r="I147" i="26"/>
  <c r="B139" i="26"/>
  <c r="B140" i="26" s="1"/>
  <c r="AD127" i="26"/>
  <c r="AD128" i="26" s="1"/>
  <c r="I134" i="26"/>
  <c r="I133" i="26"/>
  <c r="B127" i="26"/>
  <c r="I122" i="26"/>
  <c r="I121" i="26"/>
  <c r="B113" i="26"/>
  <c r="B114" i="26" s="1"/>
  <c r="I108" i="26"/>
  <c r="I107" i="26"/>
  <c r="B99" i="26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AD85" i="26"/>
  <c r="AD86" i="26" s="1"/>
  <c r="I94" i="26"/>
  <c r="I93" i="26"/>
  <c r="B85" i="26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AD71" i="26"/>
  <c r="AD72" i="26" s="1"/>
  <c r="I80" i="26"/>
  <c r="I79" i="26"/>
  <c r="B71" i="26"/>
  <c r="AD58" i="26"/>
  <c r="AD59" i="26" s="1"/>
  <c r="I66" i="26"/>
  <c r="I65" i="26"/>
  <c r="B58" i="26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AD46" i="26"/>
  <c r="AD47" i="26" s="1"/>
  <c r="I53" i="26"/>
  <c r="I52" i="26"/>
  <c r="B46" i="26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I41" i="26"/>
  <c r="B32" i="26"/>
  <c r="B33" i="26" s="1"/>
  <c r="AD2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P19" i="26"/>
  <c r="O19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AF7" i="26"/>
  <c r="I135" i="26" s="1"/>
  <c r="O5" i="26"/>
  <c r="P5" i="26" s="1"/>
  <c r="Q5" i="26" s="1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O4" i="26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O3" i="26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H60" i="1"/>
  <c r="H59" i="1"/>
  <c r="B54" i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H49" i="1"/>
  <c r="H48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B43" i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H38" i="1"/>
  <c r="H37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E33" i="1"/>
  <c r="B30" i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H113" i="1"/>
  <c r="H112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B107" i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H102" i="1"/>
  <c r="H101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H91" i="1"/>
  <c r="H90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E85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B83" i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AE5" i="1"/>
  <c r="N5" i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N4" i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N3" i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D80" i="13"/>
  <c r="I19" i="7" s="1"/>
  <c r="D78" i="13"/>
  <c r="I17" i="7" s="1"/>
  <c r="D76" i="13"/>
  <c r="I15" i="7" s="1"/>
  <c r="D72" i="13"/>
  <c r="I11" i="7" s="1"/>
  <c r="D41" i="13"/>
  <c r="J11" i="25" s="1"/>
  <c r="D38" i="13"/>
  <c r="J10" i="25" s="1"/>
  <c r="P22" i="13"/>
  <c r="Q22" i="13" s="1"/>
  <c r="T22" i="13" s="1"/>
  <c r="P21" i="13"/>
  <c r="Q21" i="13" s="1"/>
  <c r="U416" i="31"/>
  <c r="AB365" i="31"/>
  <c r="N365" i="31"/>
  <c r="AA154" i="31"/>
  <c r="W154" i="31"/>
  <c r="S154" i="31"/>
  <c r="O154" i="31"/>
  <c r="N154" i="31"/>
  <c r="AA114" i="31"/>
  <c r="N114" i="31"/>
  <c r="Y100" i="31"/>
  <c r="Q100" i="31"/>
  <c r="AB86" i="31"/>
  <c r="N86" i="31"/>
  <c r="AA73" i="31"/>
  <c r="W73" i="31"/>
  <c r="S73" i="31"/>
  <c r="O73" i="31"/>
  <c r="N73" i="31"/>
  <c r="AA61" i="31"/>
  <c r="W61" i="31"/>
  <c r="T61" i="31"/>
  <c r="Q61" i="31"/>
  <c r="O61" i="31"/>
  <c r="X250" i="28"/>
  <c r="P250" i="28"/>
  <c r="Z250" i="28"/>
  <c r="R238" i="28"/>
  <c r="AB238" i="28"/>
  <c r="Z237" i="28"/>
  <c r="T237" i="28"/>
  <c r="P237" i="28"/>
  <c r="AB237" i="28"/>
  <c r="X224" i="28"/>
  <c r="BH223" i="28" s="1"/>
  <c r="P224" i="28"/>
  <c r="AZ223" i="28" s="1"/>
  <c r="Z224" i="28"/>
  <c r="BJ223" i="28" s="1"/>
  <c r="R201" i="28"/>
  <c r="AB201" i="28"/>
  <c r="Z200" i="28"/>
  <c r="BJ199" i="28" s="1"/>
  <c r="T200" i="28"/>
  <c r="BD199" i="28" s="1"/>
  <c r="P200" i="28"/>
  <c r="AZ199" i="28" s="1"/>
  <c r="AB200" i="28"/>
  <c r="BL199" i="28" s="1"/>
  <c r="Y100" i="28"/>
  <c r="N100" i="28"/>
  <c r="Q87" i="28"/>
  <c r="O87" i="28"/>
  <c r="AA87" i="28"/>
  <c r="Y74" i="28"/>
  <c r="AB74" i="28"/>
  <c r="AB50" i="28"/>
  <c r="N50" i="28"/>
  <c r="AX49" i="28" s="1"/>
  <c r="AX7" i="28" s="1"/>
  <c r="O44" i="4"/>
  <c r="N44" i="4"/>
  <c r="P156" i="26"/>
  <c r="Q142" i="26"/>
  <c r="U116" i="26"/>
  <c r="U102" i="26"/>
  <c r="P102" i="26"/>
  <c r="AA74" i="26"/>
  <c r="W60" i="26"/>
  <c r="S60" i="26"/>
  <c r="O60" i="26"/>
  <c r="N60" i="26"/>
  <c r="AA47" i="26"/>
  <c r="N47" i="26"/>
  <c r="O55" i="38"/>
  <c r="U35" i="26" s="1"/>
  <c r="AB128" i="26"/>
  <c r="AA128" i="25"/>
  <c r="T128" i="25"/>
  <c r="S128" i="25"/>
  <c r="X128" i="25"/>
  <c r="AA116" i="25"/>
  <c r="N116" i="25"/>
  <c r="AB102" i="25"/>
  <c r="AA102" i="25"/>
  <c r="Y102" i="25"/>
  <c r="X102" i="25"/>
  <c r="W102" i="25"/>
  <c r="N102" i="25"/>
  <c r="AA88" i="26"/>
  <c r="Q88" i="25"/>
  <c r="W88" i="26"/>
  <c r="U74" i="25"/>
  <c r="S74" i="25"/>
  <c r="P74" i="25"/>
  <c r="AA60" i="25"/>
  <c r="AB60" i="25"/>
  <c r="AA47" i="25"/>
  <c r="Q47" i="25"/>
  <c r="O47" i="25"/>
  <c r="O35" i="38"/>
  <c r="U36" i="25" s="1"/>
  <c r="Y27" i="7"/>
  <c r="AA24" i="7"/>
  <c r="U23" i="7"/>
  <c r="U130" i="7" s="1"/>
  <c r="M22" i="7"/>
  <c r="M118" i="7" s="1"/>
  <c r="Q25" i="31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AA24" i="31"/>
  <c r="Y2" i="32"/>
  <c r="N15" i="4"/>
  <c r="S24" i="31"/>
  <c r="Q24" i="31"/>
  <c r="P23" i="7"/>
  <c r="P130" i="7" s="1"/>
  <c r="N36" i="25"/>
  <c r="U35" i="38"/>
  <c r="AA36" i="25" s="1"/>
  <c r="P35" i="38"/>
  <c r="V36" i="25" s="1"/>
  <c r="N48" i="25"/>
  <c r="AA48" i="25"/>
  <c r="W48" i="25"/>
  <c r="S48" i="25"/>
  <c r="O48" i="25"/>
  <c r="Y48" i="25"/>
  <c r="U48" i="25"/>
  <c r="Q48" i="25"/>
  <c r="V48" i="25"/>
  <c r="N61" i="25"/>
  <c r="Y61" i="25"/>
  <c r="U61" i="25"/>
  <c r="Q61" i="25"/>
  <c r="AA61" i="25"/>
  <c r="W61" i="25"/>
  <c r="S61" i="25"/>
  <c r="O61" i="25"/>
  <c r="V61" i="25"/>
  <c r="N75" i="25"/>
  <c r="AA75" i="25"/>
  <c r="W75" i="25"/>
  <c r="S75" i="25"/>
  <c r="O75" i="25"/>
  <c r="Y75" i="25"/>
  <c r="U75" i="25"/>
  <c r="Q75" i="25"/>
  <c r="V75" i="25"/>
  <c r="U88" i="26"/>
  <c r="U88" i="25"/>
  <c r="N89" i="25"/>
  <c r="N89" i="26"/>
  <c r="N103" i="25"/>
  <c r="AA103" i="25"/>
  <c r="W103" i="25"/>
  <c r="S103" i="25"/>
  <c r="O103" i="25"/>
  <c r="Y103" i="25"/>
  <c r="U103" i="25"/>
  <c r="Q103" i="25"/>
  <c r="V103" i="25"/>
  <c r="N117" i="25"/>
  <c r="Y117" i="25"/>
  <c r="U117" i="25"/>
  <c r="Q117" i="25"/>
  <c r="AA117" i="25"/>
  <c r="W117" i="25"/>
  <c r="S117" i="25"/>
  <c r="O117" i="25"/>
  <c r="V117" i="25"/>
  <c r="N129" i="25"/>
  <c r="N129" i="26"/>
  <c r="N36" i="26"/>
  <c r="N48" i="26"/>
  <c r="AA48" i="26"/>
  <c r="W48" i="26"/>
  <c r="S48" i="26"/>
  <c r="O48" i="26"/>
  <c r="Y48" i="26"/>
  <c r="U48" i="26"/>
  <c r="Q48" i="26"/>
  <c r="V48" i="26"/>
  <c r="N61" i="26"/>
  <c r="Y61" i="26"/>
  <c r="U61" i="26"/>
  <c r="Q61" i="26"/>
  <c r="AA61" i="26"/>
  <c r="W61" i="26"/>
  <c r="S61" i="26"/>
  <c r="O61" i="26"/>
  <c r="V61" i="26"/>
  <c r="N75" i="26"/>
  <c r="AA75" i="26"/>
  <c r="W75" i="26"/>
  <c r="S75" i="26"/>
  <c r="O75" i="26"/>
  <c r="Y75" i="26"/>
  <c r="U75" i="26"/>
  <c r="Q75" i="26"/>
  <c r="V75" i="26"/>
  <c r="N103" i="26"/>
  <c r="AA103" i="26"/>
  <c r="W103" i="26"/>
  <c r="S103" i="26"/>
  <c r="O103" i="26"/>
  <c r="Y103" i="26"/>
  <c r="U103" i="26"/>
  <c r="Q103" i="26"/>
  <c r="V103" i="26"/>
  <c r="N117" i="26"/>
  <c r="Y117" i="26"/>
  <c r="U117" i="26"/>
  <c r="Q117" i="26"/>
  <c r="AA117" i="26"/>
  <c r="W117" i="26"/>
  <c r="S117" i="26"/>
  <c r="O117" i="26"/>
  <c r="V117" i="26"/>
  <c r="N143" i="26"/>
  <c r="N143" i="25"/>
  <c r="N157" i="26"/>
  <c r="N157" i="25"/>
  <c r="N51" i="28"/>
  <c r="AA51" i="28"/>
  <c r="W51" i="28"/>
  <c r="S51" i="28"/>
  <c r="O51" i="28"/>
  <c r="Y51" i="28"/>
  <c r="U51" i="28"/>
  <c r="Q51" i="28"/>
  <c r="V51" i="28"/>
  <c r="Y75" i="28"/>
  <c r="U75" i="28"/>
  <c r="Q75" i="28"/>
  <c r="N75" i="28"/>
  <c r="AA75" i="28"/>
  <c r="W75" i="28"/>
  <c r="S75" i="28"/>
  <c r="O75" i="28"/>
  <c r="V75" i="28"/>
  <c r="N88" i="28"/>
  <c r="AA88" i="28"/>
  <c r="W88" i="28"/>
  <c r="S88" i="28"/>
  <c r="O88" i="28"/>
  <c r="Y88" i="28"/>
  <c r="U88" i="28"/>
  <c r="Q88" i="28"/>
  <c r="V88" i="28"/>
  <c r="N101" i="28"/>
  <c r="U225" i="28"/>
  <c r="AA225" i="28"/>
  <c r="S225" i="28"/>
  <c r="V225" i="28"/>
  <c r="N62" i="31"/>
  <c r="AA62" i="31"/>
  <c r="W62" i="31"/>
  <c r="S62" i="31"/>
  <c r="O62" i="31"/>
  <c r="Y62" i="31"/>
  <c r="U62" i="31"/>
  <c r="Q62" i="31"/>
  <c r="V62" i="31"/>
  <c r="Y74" i="31"/>
  <c r="U74" i="31"/>
  <c r="Q74" i="31"/>
  <c r="N74" i="31"/>
  <c r="AA74" i="31"/>
  <c r="W74" i="31"/>
  <c r="S74" i="31"/>
  <c r="O74" i="31"/>
  <c r="V74" i="31"/>
  <c r="N87" i="31"/>
  <c r="AA87" i="31"/>
  <c r="W87" i="31"/>
  <c r="S87" i="31"/>
  <c r="O87" i="31"/>
  <c r="Y87" i="31"/>
  <c r="U87" i="31"/>
  <c r="Q87" i="31"/>
  <c r="V87" i="31"/>
  <c r="N101" i="31"/>
  <c r="Y101" i="31"/>
  <c r="U101" i="31"/>
  <c r="Q101" i="31"/>
  <c r="AA101" i="31"/>
  <c r="W101" i="31"/>
  <c r="S101" i="31"/>
  <c r="O101" i="31"/>
  <c r="V101" i="31"/>
  <c r="N115" i="31"/>
  <c r="AA115" i="31"/>
  <c r="W115" i="31"/>
  <c r="S115" i="31"/>
  <c r="O115" i="31"/>
  <c r="Y115" i="31"/>
  <c r="U115" i="31"/>
  <c r="Q115" i="31"/>
  <c r="V115" i="31"/>
  <c r="N155" i="31"/>
  <c r="Y155" i="31"/>
  <c r="U155" i="31"/>
  <c r="Q155" i="31"/>
  <c r="AA155" i="31"/>
  <c r="W155" i="31"/>
  <c r="S155" i="31"/>
  <c r="O155" i="31"/>
  <c r="V155" i="31"/>
  <c r="N366" i="31"/>
  <c r="AA366" i="31"/>
  <c r="W366" i="31"/>
  <c r="S366" i="31"/>
  <c r="O366" i="31"/>
  <c r="Y366" i="31"/>
  <c r="U366" i="31"/>
  <c r="Q366" i="31"/>
  <c r="V366" i="31"/>
  <c r="N390" i="31"/>
  <c r="U402" i="31"/>
  <c r="N403" i="31"/>
  <c r="N417" i="31"/>
  <c r="P48" i="25"/>
  <c r="X48" i="25"/>
  <c r="P61" i="25"/>
  <c r="X61" i="25"/>
  <c r="P75" i="25"/>
  <c r="X75" i="25"/>
  <c r="O88" i="25"/>
  <c r="O88" i="26"/>
  <c r="W88" i="25"/>
  <c r="P103" i="25"/>
  <c r="X103" i="25"/>
  <c r="P117" i="25"/>
  <c r="X117" i="25"/>
  <c r="O128" i="25"/>
  <c r="O128" i="26"/>
  <c r="Y128" i="25"/>
  <c r="Y128" i="26"/>
  <c r="P48" i="26"/>
  <c r="X48" i="26"/>
  <c r="P61" i="26"/>
  <c r="X61" i="26"/>
  <c r="P75" i="26"/>
  <c r="X75" i="26"/>
  <c r="P103" i="26"/>
  <c r="X103" i="26"/>
  <c r="P117" i="26"/>
  <c r="X117" i="26"/>
  <c r="W142" i="25"/>
  <c r="W142" i="26"/>
  <c r="Y156" i="25"/>
  <c r="Y156" i="26"/>
  <c r="P51" i="28"/>
  <c r="X51" i="28"/>
  <c r="P75" i="28"/>
  <c r="X75" i="28"/>
  <c r="P88" i="28"/>
  <c r="X88" i="28"/>
  <c r="X101" i="28"/>
  <c r="Y200" i="28"/>
  <c r="BI199" i="28" s="1"/>
  <c r="U200" i="28"/>
  <c r="BE199" i="28" s="1"/>
  <c r="Q200" i="28"/>
  <c r="BA199" i="28" s="1"/>
  <c r="AA200" i="28"/>
  <c r="BK199" i="28" s="1"/>
  <c r="W200" i="28"/>
  <c r="BG199" i="28" s="1"/>
  <c r="S200" i="28"/>
  <c r="BC199" i="28" s="1"/>
  <c r="O200" i="28"/>
  <c r="AY199" i="28" s="1"/>
  <c r="V200" i="28"/>
  <c r="BF199" i="28" s="1"/>
  <c r="T201" i="28"/>
  <c r="R224" i="28"/>
  <c r="N237" i="28"/>
  <c r="Y237" i="28"/>
  <c r="U237" i="28"/>
  <c r="Q237" i="28"/>
  <c r="AA237" i="28"/>
  <c r="W237" i="28"/>
  <c r="S237" i="28"/>
  <c r="O237" i="28"/>
  <c r="V237" i="28"/>
  <c r="T238" i="28"/>
  <c r="R250" i="28"/>
  <c r="P251" i="28"/>
  <c r="P62" i="31"/>
  <c r="X62" i="31"/>
  <c r="P74" i="31"/>
  <c r="X74" i="31"/>
  <c r="P87" i="31"/>
  <c r="X87" i="31"/>
  <c r="P101" i="31"/>
  <c r="X101" i="31"/>
  <c r="P115" i="31"/>
  <c r="X115" i="31"/>
  <c r="P155" i="31"/>
  <c r="X155" i="31"/>
  <c r="P366" i="31"/>
  <c r="X366" i="31"/>
  <c r="O402" i="31"/>
  <c r="W402" i="31"/>
  <c r="Y416" i="31"/>
  <c r="Q88" i="26"/>
  <c r="R24" i="31"/>
  <c r="R48" i="25"/>
  <c r="Z48" i="25"/>
  <c r="R61" i="25"/>
  <c r="Z61" i="25"/>
  <c r="R75" i="25"/>
  <c r="Z75" i="25"/>
  <c r="R103" i="25"/>
  <c r="Z103" i="25"/>
  <c r="R117" i="25"/>
  <c r="Z117" i="25"/>
  <c r="R48" i="26"/>
  <c r="Z48" i="26"/>
  <c r="R61" i="26"/>
  <c r="Z61" i="26"/>
  <c r="R75" i="26"/>
  <c r="Z75" i="26"/>
  <c r="R103" i="26"/>
  <c r="Z103" i="26"/>
  <c r="R117" i="26"/>
  <c r="Z117" i="26"/>
  <c r="Q142" i="25"/>
  <c r="Y142" i="25"/>
  <c r="Y142" i="26"/>
  <c r="U156" i="25"/>
  <c r="U156" i="26"/>
  <c r="R51" i="28"/>
  <c r="Z51" i="28"/>
  <c r="R75" i="28"/>
  <c r="Z75" i="28"/>
  <c r="R88" i="28"/>
  <c r="Z88" i="28"/>
  <c r="Z101" i="28"/>
  <c r="N201" i="28"/>
  <c r="Y201" i="28"/>
  <c r="U201" i="28"/>
  <c r="Q201" i="28"/>
  <c r="AA201" i="28"/>
  <c r="W201" i="28"/>
  <c r="S201" i="28"/>
  <c r="O201" i="28"/>
  <c r="V201" i="28"/>
  <c r="Y238" i="28"/>
  <c r="U238" i="28"/>
  <c r="Q238" i="28"/>
  <c r="N238" i="28"/>
  <c r="AA238" i="28"/>
  <c r="W238" i="28"/>
  <c r="S238" i="28"/>
  <c r="O238" i="28"/>
  <c r="V238" i="28"/>
  <c r="R251" i="28"/>
  <c r="R62" i="31"/>
  <c r="Z62" i="31"/>
  <c r="R74" i="31"/>
  <c r="Z74" i="31"/>
  <c r="R87" i="31"/>
  <c r="Z87" i="31"/>
  <c r="R101" i="31"/>
  <c r="Z101" i="31"/>
  <c r="R115" i="31"/>
  <c r="Z115" i="31"/>
  <c r="R155" i="31"/>
  <c r="Z155" i="31"/>
  <c r="R366" i="31"/>
  <c r="Z366" i="31"/>
  <c r="AA416" i="31"/>
  <c r="S128" i="26"/>
  <c r="T24" i="31"/>
  <c r="V35" i="38"/>
  <c r="AB36" i="25" s="1"/>
  <c r="T48" i="25"/>
  <c r="AB48" i="25"/>
  <c r="T61" i="25"/>
  <c r="AB61" i="25"/>
  <c r="T75" i="25"/>
  <c r="AB75" i="25"/>
  <c r="AA88" i="25"/>
  <c r="T103" i="25"/>
  <c r="AB103" i="25"/>
  <c r="T117" i="25"/>
  <c r="AB117" i="25"/>
  <c r="Q128" i="25"/>
  <c r="Q128" i="26"/>
  <c r="W128" i="26"/>
  <c r="W128" i="25"/>
  <c r="T48" i="26"/>
  <c r="AB48" i="26"/>
  <c r="T61" i="26"/>
  <c r="AB61" i="26"/>
  <c r="T75" i="26"/>
  <c r="AB75" i="26"/>
  <c r="T103" i="26"/>
  <c r="AB103" i="26"/>
  <c r="T117" i="26"/>
  <c r="AB117" i="26"/>
  <c r="T51" i="28"/>
  <c r="AB51" i="28"/>
  <c r="T75" i="28"/>
  <c r="AB75" i="28"/>
  <c r="T88" i="28"/>
  <c r="AB88" i="28"/>
  <c r="T101" i="28"/>
  <c r="AB101" i="28"/>
  <c r="P201" i="28"/>
  <c r="X201" i="28"/>
  <c r="Y224" i="28"/>
  <c r="BI223" i="28" s="1"/>
  <c r="U224" i="28"/>
  <c r="BE223" i="28" s="1"/>
  <c r="Q224" i="28"/>
  <c r="BA223" i="28" s="1"/>
  <c r="AA224" i="28"/>
  <c r="BK223" i="28" s="1"/>
  <c r="W224" i="28"/>
  <c r="BG223" i="28" s="1"/>
  <c r="S224" i="28"/>
  <c r="BC223" i="28" s="1"/>
  <c r="O224" i="28"/>
  <c r="AY223" i="28" s="1"/>
  <c r="N224" i="28"/>
  <c r="AX223" i="28" s="1"/>
  <c r="V224" i="28"/>
  <c r="BF223" i="28" s="1"/>
  <c r="P238" i="28"/>
  <c r="X238" i="28"/>
  <c r="N250" i="28"/>
  <c r="Y250" i="28"/>
  <c r="U250" i="28"/>
  <c r="Q250" i="28"/>
  <c r="AA250" i="28"/>
  <c r="W250" i="28"/>
  <c r="S250" i="28"/>
  <c r="O250" i="28"/>
  <c r="V250" i="28"/>
  <c r="T251" i="28"/>
  <c r="AB251" i="28"/>
  <c r="T62" i="31"/>
  <c r="AB62" i="31"/>
  <c r="T74" i="31"/>
  <c r="AB74" i="31"/>
  <c r="T87" i="31"/>
  <c r="AB87" i="31"/>
  <c r="T101" i="31"/>
  <c r="AB101" i="31"/>
  <c r="T115" i="31"/>
  <c r="AB115" i="31"/>
  <c r="T155" i="31"/>
  <c r="AB155" i="31"/>
  <c r="T366" i="31"/>
  <c r="AB366" i="31"/>
  <c r="S402" i="31"/>
  <c r="AA402" i="31"/>
  <c r="AA128" i="26"/>
  <c r="V35" i="25"/>
  <c r="R60" i="25"/>
  <c r="V60" i="25"/>
  <c r="Z60" i="25"/>
  <c r="N88" i="25"/>
  <c r="R116" i="25"/>
  <c r="V116" i="25"/>
  <c r="Z116" i="25"/>
  <c r="X128" i="26"/>
  <c r="L55" i="38"/>
  <c r="R35" i="26" s="1"/>
  <c r="P55" i="38"/>
  <c r="V35" i="26" s="1"/>
  <c r="T55" i="38"/>
  <c r="Z35" i="26" s="1"/>
  <c r="R60" i="26"/>
  <c r="V60" i="26"/>
  <c r="Z60" i="26"/>
  <c r="R116" i="26"/>
  <c r="V116" i="26"/>
  <c r="Z116" i="26"/>
  <c r="P156" i="25"/>
  <c r="T156" i="25"/>
  <c r="T156" i="26"/>
  <c r="R74" i="28"/>
  <c r="V74" i="28"/>
  <c r="Z74" i="28"/>
  <c r="R100" i="28"/>
  <c r="V100" i="28"/>
  <c r="Z100" i="28"/>
  <c r="R73" i="31"/>
  <c r="V73" i="31"/>
  <c r="Z73" i="31"/>
  <c r="R100" i="31"/>
  <c r="V100" i="31"/>
  <c r="Z100" i="31"/>
  <c r="R154" i="31"/>
  <c r="V154" i="31"/>
  <c r="Z154" i="31"/>
  <c r="N402" i="31"/>
  <c r="P416" i="31"/>
  <c r="N60" i="25"/>
  <c r="N74" i="28"/>
  <c r="R14" i="25"/>
  <c r="Z14" i="25"/>
  <c r="AA22" i="7"/>
  <c r="AA118" i="7" s="1"/>
  <c r="Q24" i="7"/>
  <c r="U24" i="7"/>
  <c r="Y24" i="7"/>
  <c r="R47" i="25"/>
  <c r="V47" i="25"/>
  <c r="Z47" i="25"/>
  <c r="P60" i="25"/>
  <c r="T60" i="25"/>
  <c r="X60" i="25"/>
  <c r="R74" i="25"/>
  <c r="V74" i="25"/>
  <c r="Z74" i="25"/>
  <c r="R102" i="25"/>
  <c r="V102" i="25"/>
  <c r="Z102" i="25"/>
  <c r="P116" i="25"/>
  <c r="T116" i="25"/>
  <c r="X116" i="25"/>
  <c r="AB116" i="25"/>
  <c r="N128" i="25"/>
  <c r="N128" i="26"/>
  <c r="J55" i="38"/>
  <c r="P35" i="26" s="1"/>
  <c r="N55" i="38"/>
  <c r="T35" i="26" s="1"/>
  <c r="R55" i="38"/>
  <c r="X35" i="26" s="1"/>
  <c r="V55" i="38"/>
  <c r="AB35" i="26" s="1"/>
  <c r="R47" i="26"/>
  <c r="V47" i="26"/>
  <c r="Z47" i="26"/>
  <c r="P60" i="26"/>
  <c r="T60" i="26"/>
  <c r="X60" i="26"/>
  <c r="AB60" i="26"/>
  <c r="R74" i="26"/>
  <c r="V74" i="26"/>
  <c r="Z74" i="26"/>
  <c r="R102" i="26"/>
  <c r="V102" i="26"/>
  <c r="Z102" i="26"/>
  <c r="P116" i="26"/>
  <c r="T116" i="26"/>
  <c r="X116" i="26"/>
  <c r="AB116" i="26"/>
  <c r="R50" i="28"/>
  <c r="V50" i="28"/>
  <c r="Z50" i="28"/>
  <c r="P74" i="28"/>
  <c r="T74" i="28"/>
  <c r="X74" i="28"/>
  <c r="R87" i="28"/>
  <c r="V87" i="28"/>
  <c r="Z87" i="28"/>
  <c r="P100" i="28"/>
  <c r="T100" i="28"/>
  <c r="X100" i="28"/>
  <c r="AB100" i="28"/>
  <c r="R61" i="31"/>
  <c r="V61" i="31"/>
  <c r="Z61" i="31"/>
  <c r="P73" i="31"/>
  <c r="T73" i="31"/>
  <c r="X73" i="31"/>
  <c r="AB73" i="31"/>
  <c r="R86" i="31"/>
  <c r="V86" i="31"/>
  <c r="Z86" i="31"/>
  <c r="P100" i="31"/>
  <c r="T100" i="31"/>
  <c r="X100" i="31"/>
  <c r="AB100" i="31"/>
  <c r="R114" i="31"/>
  <c r="V114" i="31"/>
  <c r="Z114" i="31"/>
  <c r="P154" i="31"/>
  <c r="T154" i="31"/>
  <c r="X154" i="31"/>
  <c r="AB154" i="31"/>
  <c r="R365" i="31"/>
  <c r="V365" i="31"/>
  <c r="Z365" i="31"/>
  <c r="N389" i="31"/>
  <c r="N416" i="31"/>
  <c r="AB128" i="25"/>
  <c r="N142" i="25"/>
  <c r="N156" i="25"/>
  <c r="AC116" i="7"/>
  <c r="I254" i="28"/>
  <c r="AB2" i="31"/>
  <c r="I32" i="38"/>
  <c r="I5" i="5"/>
  <c r="H58" i="1"/>
  <c r="T2" i="31"/>
  <c r="W2" i="25"/>
  <c r="X2" i="4"/>
  <c r="S2" i="29"/>
  <c r="AK40" i="29" s="1"/>
  <c r="AK83" i="29" s="1"/>
  <c r="AK232" i="29" s="1"/>
  <c r="AA2" i="26"/>
  <c r="M4" i="4"/>
  <c r="I90" i="31"/>
  <c r="H57" i="7"/>
  <c r="H30" i="23"/>
  <c r="H7" i="36"/>
  <c r="O32" i="38"/>
  <c r="M2" i="32"/>
  <c r="Q81" i="1"/>
  <c r="T2" i="34"/>
  <c r="I146" i="26"/>
  <c r="Y2" i="23"/>
  <c r="BJ4" i="23" s="1"/>
  <c r="Y20" i="1"/>
  <c r="Z2" i="28"/>
  <c r="Z2" i="26"/>
  <c r="P9" i="35"/>
  <c r="P149" i="35" s="1"/>
  <c r="AI149" i="35" s="1"/>
  <c r="AB2" i="28"/>
  <c r="U5" i="5"/>
  <c r="V32" i="38"/>
  <c r="R416" i="31"/>
  <c r="X402" i="31"/>
  <c r="V389" i="31"/>
  <c r="AB142" i="26"/>
  <c r="AB142" i="25"/>
  <c r="Z128" i="26"/>
  <c r="Z128" i="25"/>
  <c r="AB88" i="25"/>
  <c r="AB88" i="26"/>
  <c r="V142" i="26"/>
  <c r="V142" i="25"/>
  <c r="Z88" i="26"/>
  <c r="Z88" i="25"/>
  <c r="T417" i="31"/>
  <c r="T390" i="31"/>
  <c r="T143" i="25"/>
  <c r="T143" i="26"/>
  <c r="T89" i="25"/>
  <c r="T89" i="26"/>
  <c r="Z417" i="31"/>
  <c r="Z390" i="31"/>
  <c r="Z129" i="26"/>
  <c r="Z129" i="25"/>
  <c r="Z89" i="26"/>
  <c r="Z89" i="25"/>
  <c r="X417" i="31"/>
  <c r="X390" i="31"/>
  <c r="X143" i="26"/>
  <c r="X143" i="25"/>
  <c r="X89" i="26"/>
  <c r="X89" i="25"/>
  <c r="Q417" i="31"/>
  <c r="S417" i="31"/>
  <c r="O403" i="31"/>
  <c r="Q403" i="31"/>
  <c r="Q390" i="31"/>
  <c r="O390" i="31"/>
  <c r="U157" i="25"/>
  <c r="U157" i="26"/>
  <c r="S157" i="25"/>
  <c r="S157" i="26"/>
  <c r="V143" i="26"/>
  <c r="V143" i="25"/>
  <c r="AA143" i="25"/>
  <c r="AA143" i="26"/>
  <c r="Y143" i="25"/>
  <c r="Y143" i="26"/>
  <c r="Q129" i="25"/>
  <c r="Q129" i="26"/>
  <c r="S129" i="25"/>
  <c r="S129" i="26"/>
  <c r="O89" i="25"/>
  <c r="O89" i="26"/>
  <c r="Q89" i="25"/>
  <c r="Q89" i="26"/>
  <c r="T402" i="31"/>
  <c r="R389" i="31"/>
  <c r="Z156" i="25"/>
  <c r="Z156" i="26"/>
  <c r="X142" i="26"/>
  <c r="X142" i="25"/>
  <c r="V128" i="26"/>
  <c r="V128" i="25"/>
  <c r="X88" i="26"/>
  <c r="X88" i="25"/>
  <c r="Z402" i="31"/>
  <c r="R142" i="25"/>
  <c r="R142" i="26"/>
  <c r="V88" i="26"/>
  <c r="V88" i="25"/>
  <c r="AB403" i="31"/>
  <c r="AB157" i="25"/>
  <c r="AB157" i="26"/>
  <c r="AB129" i="26"/>
  <c r="AB129" i="25"/>
  <c r="R417" i="31"/>
  <c r="R390" i="31"/>
  <c r="R129" i="26"/>
  <c r="R129" i="25"/>
  <c r="R89" i="26"/>
  <c r="R89" i="25"/>
  <c r="P417" i="31"/>
  <c r="P390" i="31"/>
  <c r="P143" i="26"/>
  <c r="P143" i="25"/>
  <c r="P89" i="26"/>
  <c r="P89" i="25"/>
  <c r="U417" i="31"/>
  <c r="W417" i="31"/>
  <c r="S403" i="31"/>
  <c r="U403" i="31"/>
  <c r="U390" i="31"/>
  <c r="S390" i="31"/>
  <c r="Y157" i="26"/>
  <c r="Y157" i="25"/>
  <c r="W157" i="25"/>
  <c r="W157" i="26"/>
  <c r="O143" i="25"/>
  <c r="O143" i="26"/>
  <c r="U129" i="25"/>
  <c r="U129" i="26"/>
  <c r="W129" i="25"/>
  <c r="W129" i="26"/>
  <c r="S89" i="25"/>
  <c r="S89" i="26"/>
  <c r="U89" i="25"/>
  <c r="U89" i="26"/>
  <c r="Z416" i="31"/>
  <c r="P402" i="31"/>
  <c r="V156" i="26"/>
  <c r="V156" i="25"/>
  <c r="T142" i="25"/>
  <c r="T142" i="26"/>
  <c r="R128" i="26"/>
  <c r="R128" i="25"/>
  <c r="T88" i="25"/>
  <c r="T88" i="26"/>
  <c r="V402" i="31"/>
  <c r="R88" i="26"/>
  <c r="R88" i="25"/>
  <c r="T403" i="31"/>
  <c r="T157" i="25"/>
  <c r="T157" i="26"/>
  <c r="T129" i="26"/>
  <c r="T129" i="25"/>
  <c r="Z403" i="31"/>
  <c r="Z157" i="25"/>
  <c r="Z157" i="26"/>
  <c r="Z143" i="25"/>
  <c r="Z143" i="26"/>
  <c r="X403" i="31"/>
  <c r="X157" i="25"/>
  <c r="X157" i="26"/>
  <c r="X129" i="25"/>
  <c r="X129" i="26"/>
  <c r="Y417" i="31"/>
  <c r="AA417" i="31"/>
  <c r="W403" i="31"/>
  <c r="Y403" i="31"/>
  <c r="Y390" i="31"/>
  <c r="W390" i="31"/>
  <c r="V157" i="26"/>
  <c r="V157" i="25"/>
  <c r="AA157" i="25"/>
  <c r="AA157" i="26"/>
  <c r="S143" i="25"/>
  <c r="S143" i="26"/>
  <c r="Q143" i="25"/>
  <c r="Q143" i="26"/>
  <c r="Y129" i="25"/>
  <c r="Y129" i="26"/>
  <c r="AA129" i="25"/>
  <c r="AA129" i="26"/>
  <c r="W89" i="25"/>
  <c r="W89" i="26"/>
  <c r="Y89" i="25"/>
  <c r="Y89" i="26"/>
  <c r="V416" i="31"/>
  <c r="AB402" i="31"/>
  <c r="Z389" i="31"/>
  <c r="R156" i="26"/>
  <c r="R156" i="25"/>
  <c r="P142" i="26"/>
  <c r="P142" i="25"/>
  <c r="P88" i="26"/>
  <c r="P88" i="25"/>
  <c r="R402" i="31"/>
  <c r="Z142" i="25"/>
  <c r="Z142" i="26"/>
  <c r="AB417" i="31"/>
  <c r="AB390" i="31"/>
  <c r="AB143" i="26"/>
  <c r="AB143" i="25"/>
  <c r="AB89" i="25"/>
  <c r="AB89" i="26"/>
  <c r="R403" i="31"/>
  <c r="R157" i="26"/>
  <c r="R157" i="25"/>
  <c r="R143" i="25"/>
  <c r="R143" i="26"/>
  <c r="P403" i="31"/>
  <c r="P157" i="25"/>
  <c r="P157" i="26"/>
  <c r="P129" i="25"/>
  <c r="P129" i="26"/>
  <c r="V417" i="31"/>
  <c r="O417" i="31"/>
  <c r="V403" i="31"/>
  <c r="AA403" i="31"/>
  <c r="V390" i="31"/>
  <c r="AA390" i="31"/>
  <c r="Q157" i="26"/>
  <c r="Q157" i="25"/>
  <c r="O157" i="25"/>
  <c r="O157" i="26"/>
  <c r="W143" i="25"/>
  <c r="W143" i="26"/>
  <c r="U143" i="25"/>
  <c r="U143" i="26"/>
  <c r="V129" i="26"/>
  <c r="V129" i="25"/>
  <c r="O129" i="26"/>
  <c r="O129" i="25"/>
  <c r="V89" i="26"/>
  <c r="V89" i="25"/>
  <c r="AA89" i="25"/>
  <c r="AA89" i="26"/>
  <c r="W2" i="23"/>
  <c r="BH4" i="23" s="1"/>
  <c r="R2" i="34"/>
  <c r="X2" i="7"/>
  <c r="T18" i="5" l="1"/>
  <c r="Q24" i="51"/>
  <c r="B116" i="25"/>
  <c r="B117" i="25" s="1"/>
  <c r="B118" i="25" s="1"/>
  <c r="B119" i="25" s="1"/>
  <c r="B120" i="25" s="1"/>
  <c r="B121" i="25" s="1"/>
  <c r="B122" i="25" s="1"/>
  <c r="B123" i="25" s="1"/>
  <c r="B124" i="25" s="1"/>
  <c r="B125" i="25" s="1"/>
  <c r="B126" i="25" s="1"/>
  <c r="B115" i="25"/>
  <c r="B156" i="26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55" i="26"/>
  <c r="BL49" i="28"/>
  <c r="BL7" i="28" s="1"/>
  <c r="B142" i="26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41" i="26"/>
  <c r="B156" i="25"/>
  <c r="B157" i="25" s="1"/>
  <c r="B158" i="25" s="1"/>
  <c r="B159" i="25" s="1"/>
  <c r="B160" i="25" s="1"/>
  <c r="B161" i="25" s="1"/>
  <c r="B162" i="25" s="1"/>
  <c r="B163" i="25" s="1"/>
  <c r="B164" i="25" s="1"/>
  <c r="B165" i="25" s="1"/>
  <c r="B166" i="25" s="1"/>
  <c r="B155" i="25"/>
  <c r="AO30" i="25"/>
  <c r="BG30" i="25"/>
  <c r="BH4" i="25"/>
  <c r="N48" i="4"/>
  <c r="B365" i="3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64" i="31"/>
  <c r="B61" i="3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60" i="31"/>
  <c r="B200" i="28"/>
  <c r="B201" i="28" s="1"/>
  <c r="B202" i="28" s="1"/>
  <c r="B203" i="28" s="1"/>
  <c r="B204" i="28" s="1"/>
  <c r="B205" i="28" s="1"/>
  <c r="B206" i="28" s="1"/>
  <c r="B207" i="28" s="1"/>
  <c r="B208" i="28" s="1"/>
  <c r="B209" i="28" s="1"/>
  <c r="B210" i="28" s="1"/>
  <c r="B199" i="28"/>
  <c r="BF49" i="28"/>
  <c r="BF7" i="28" s="1"/>
  <c r="BJ49" i="28"/>
  <c r="BJ7" i="28" s="1"/>
  <c r="B88" i="25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87" i="25"/>
  <c r="B102" i="25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01" i="25"/>
  <c r="B142" i="25"/>
  <c r="B143" i="25" s="1"/>
  <c r="B144" i="25" s="1"/>
  <c r="B145" i="25" s="1"/>
  <c r="B146" i="25" s="1"/>
  <c r="B147" i="25" s="1"/>
  <c r="B148" i="25" s="1"/>
  <c r="B149" i="25" s="1"/>
  <c r="B150" i="25" s="1"/>
  <c r="B151" i="25" s="1"/>
  <c r="B152" i="25" s="1"/>
  <c r="B141" i="25"/>
  <c r="B116" i="26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15" i="26"/>
  <c r="R428" i="31"/>
  <c r="R467" i="31"/>
  <c r="V428" i="31"/>
  <c r="V467" i="31"/>
  <c r="Z428" i="31"/>
  <c r="Z467" i="31"/>
  <c r="O428" i="31"/>
  <c r="O467" i="31"/>
  <c r="S428" i="31"/>
  <c r="S467" i="31"/>
  <c r="W428" i="31"/>
  <c r="W467" i="31"/>
  <c r="AA428" i="31"/>
  <c r="AA467" i="31"/>
  <c r="P428" i="31"/>
  <c r="P467" i="31"/>
  <c r="T428" i="31"/>
  <c r="T467" i="31"/>
  <c r="X428" i="31"/>
  <c r="X467" i="31"/>
  <c r="AB428" i="31"/>
  <c r="AB467" i="31"/>
  <c r="Q428" i="31"/>
  <c r="Q467" i="31"/>
  <c r="U428" i="31"/>
  <c r="U467" i="31"/>
  <c r="Y428" i="31"/>
  <c r="Y467" i="31"/>
  <c r="R316" i="31"/>
  <c r="R363" i="31"/>
  <c r="V316" i="31"/>
  <c r="V363" i="31"/>
  <c r="Z316" i="31"/>
  <c r="Z363" i="31"/>
  <c r="S316" i="31"/>
  <c r="S363" i="31"/>
  <c r="W316" i="31"/>
  <c r="W363" i="31"/>
  <c r="AA316" i="31"/>
  <c r="AA363" i="31"/>
  <c r="P316" i="31"/>
  <c r="P363" i="31"/>
  <c r="T316" i="31"/>
  <c r="T363" i="31"/>
  <c r="X316" i="31"/>
  <c r="X363" i="31"/>
  <c r="AB316" i="31"/>
  <c r="AB363" i="31"/>
  <c r="O316" i="31"/>
  <c r="O363" i="31"/>
  <c r="Q316" i="31"/>
  <c r="Q363" i="31"/>
  <c r="U316" i="31"/>
  <c r="U363" i="31"/>
  <c r="Y316" i="31"/>
  <c r="Y363" i="31"/>
  <c r="R166" i="31"/>
  <c r="R214" i="31"/>
  <c r="R278" i="31"/>
  <c r="V166" i="31"/>
  <c r="V214" i="31"/>
  <c r="V278" i="31"/>
  <c r="Z166" i="31"/>
  <c r="Z214" i="31"/>
  <c r="Z278" i="31"/>
  <c r="O166" i="31"/>
  <c r="O214" i="31"/>
  <c r="O278" i="31"/>
  <c r="S166" i="31"/>
  <c r="S214" i="31"/>
  <c r="S278" i="31"/>
  <c r="W166" i="31"/>
  <c r="W214" i="31"/>
  <c r="W278" i="31"/>
  <c r="AA166" i="31"/>
  <c r="AA214" i="31"/>
  <c r="AA278" i="31"/>
  <c r="P166" i="31"/>
  <c r="P278" i="31"/>
  <c r="P214" i="31"/>
  <c r="T166" i="31"/>
  <c r="T278" i="31"/>
  <c r="T214" i="31"/>
  <c r="X166" i="31"/>
  <c r="X278" i="31"/>
  <c r="X214" i="31"/>
  <c r="AB166" i="31"/>
  <c r="AB278" i="31"/>
  <c r="AB214" i="31"/>
  <c r="Q166" i="31"/>
  <c r="Q214" i="31"/>
  <c r="Q278" i="31"/>
  <c r="U166" i="31"/>
  <c r="U214" i="31"/>
  <c r="U278" i="31"/>
  <c r="Y166" i="31"/>
  <c r="Y214" i="31"/>
  <c r="Y278" i="31"/>
  <c r="O59" i="31"/>
  <c r="O126" i="31"/>
  <c r="S59" i="31"/>
  <c r="S126" i="31"/>
  <c r="W59" i="31"/>
  <c r="W126" i="31"/>
  <c r="AA59" i="31"/>
  <c r="AA126" i="31"/>
  <c r="R59" i="31"/>
  <c r="R126" i="31"/>
  <c r="V59" i="31"/>
  <c r="V126" i="31"/>
  <c r="Z59" i="31"/>
  <c r="Z126" i="31"/>
  <c r="P59" i="31"/>
  <c r="P126" i="31"/>
  <c r="T59" i="31"/>
  <c r="T126" i="31"/>
  <c r="X59" i="31"/>
  <c r="X126" i="31"/>
  <c r="AB59" i="31"/>
  <c r="AB126" i="31"/>
  <c r="Q59" i="31"/>
  <c r="Q126" i="31"/>
  <c r="U59" i="31"/>
  <c r="U126" i="31"/>
  <c r="Y59" i="31"/>
  <c r="Y126" i="31"/>
  <c r="P86" i="28"/>
  <c r="P236" i="28"/>
  <c r="AZ235" i="28" s="1"/>
  <c r="T86" i="28"/>
  <c r="T236" i="28"/>
  <c r="BD235" i="28" s="1"/>
  <c r="X86" i="28"/>
  <c r="X236" i="28"/>
  <c r="AB86" i="28"/>
  <c r="AB236" i="28"/>
  <c r="BL236" i="28" s="1"/>
  <c r="R112" i="28"/>
  <c r="R151" i="28"/>
  <c r="R48" i="28"/>
  <c r="R301" i="28"/>
  <c r="R198" i="28"/>
  <c r="R262" i="28"/>
  <c r="V112" i="28"/>
  <c r="V151" i="28"/>
  <c r="V48" i="28"/>
  <c r="BF48" i="28" s="1"/>
  <c r="BF12" i="28" s="1"/>
  <c r="V301" i="28"/>
  <c r="V198" i="28"/>
  <c r="BF198" i="28" s="1"/>
  <c r="V262" i="28"/>
  <c r="Z112" i="28"/>
  <c r="Z151" i="28"/>
  <c r="Z48" i="28"/>
  <c r="BJ48" i="28" s="1"/>
  <c r="BJ12" i="28" s="1"/>
  <c r="Z301" i="28"/>
  <c r="Z198" i="28"/>
  <c r="BJ198" i="28" s="1"/>
  <c r="Z262" i="28"/>
  <c r="Q86" i="28"/>
  <c r="Q236" i="28"/>
  <c r="BA236" i="28" s="1"/>
  <c r="U86" i="28"/>
  <c r="U236" i="28"/>
  <c r="BE236" i="28" s="1"/>
  <c r="Y86" i="28"/>
  <c r="Y236" i="28"/>
  <c r="BI236" i="28" s="1"/>
  <c r="O151" i="28"/>
  <c r="O48" i="28"/>
  <c r="O112" i="28"/>
  <c r="O301" i="28"/>
  <c r="O198" i="28"/>
  <c r="AY198" i="28" s="1"/>
  <c r="O262" i="28"/>
  <c r="S151" i="28"/>
  <c r="S48" i="28"/>
  <c r="S112" i="28"/>
  <c r="S301" i="28"/>
  <c r="S198" i="28"/>
  <c r="BC197" i="28" s="1"/>
  <c r="S262" i="28"/>
  <c r="W151" i="28"/>
  <c r="W48" i="28"/>
  <c r="W112" i="28"/>
  <c r="W301" i="28"/>
  <c r="W198" i="28"/>
  <c r="BG197" i="28" s="1"/>
  <c r="W262" i="28"/>
  <c r="AA151" i="28"/>
  <c r="AA48" i="28"/>
  <c r="AA112" i="28"/>
  <c r="AA301" i="28"/>
  <c r="AA198" i="28"/>
  <c r="BK198" i="28" s="1"/>
  <c r="AA262" i="28"/>
  <c r="R86" i="28"/>
  <c r="R236" i="28"/>
  <c r="V86" i="28"/>
  <c r="V236" i="28"/>
  <c r="BF236" i="28" s="1"/>
  <c r="Z86" i="28"/>
  <c r="Z236" i="28"/>
  <c r="BJ236" i="28" s="1"/>
  <c r="P48" i="28"/>
  <c r="P112" i="28"/>
  <c r="P151" i="28"/>
  <c r="P262" i="28"/>
  <c r="P301" i="28"/>
  <c r="P198" i="28"/>
  <c r="AZ197" i="28" s="1"/>
  <c r="T48" i="28"/>
  <c r="T112" i="28"/>
  <c r="T151" i="28"/>
  <c r="T262" i="28"/>
  <c r="T301" i="28"/>
  <c r="T198" i="28"/>
  <c r="BD197" i="28" s="1"/>
  <c r="X48" i="28"/>
  <c r="X112" i="28"/>
  <c r="X151" i="28"/>
  <c r="X262" i="28"/>
  <c r="X301" i="28"/>
  <c r="X198" i="28"/>
  <c r="AB48" i="28"/>
  <c r="BL47" i="28" s="1"/>
  <c r="AB112" i="28"/>
  <c r="AB151" i="28"/>
  <c r="AB262" i="28"/>
  <c r="AB301" i="28"/>
  <c r="AB198" i="28"/>
  <c r="BL197" i="28" s="1"/>
  <c r="AZ73" i="28"/>
  <c r="AZ14" i="28" s="1"/>
  <c r="O86" i="28"/>
  <c r="O236" i="28"/>
  <c r="AY236" i="28" s="1"/>
  <c r="S86" i="28"/>
  <c r="S236" i="28"/>
  <c r="BC236" i="28" s="1"/>
  <c r="W86" i="28"/>
  <c r="W236" i="28"/>
  <c r="BG235" i="28" s="1"/>
  <c r="AA86" i="28"/>
  <c r="AA236" i="28"/>
  <c r="BK235" i="28" s="1"/>
  <c r="Q48" i="28"/>
  <c r="Q112" i="28"/>
  <c r="Q151" i="28"/>
  <c r="Q301" i="28"/>
  <c r="Q198" i="28"/>
  <c r="BA198" i="28" s="1"/>
  <c r="Q262" i="28"/>
  <c r="U48" i="28"/>
  <c r="U112" i="28"/>
  <c r="U151" i="28"/>
  <c r="U301" i="28"/>
  <c r="U198" i="28"/>
  <c r="BE198" i="28" s="1"/>
  <c r="U262" i="28"/>
  <c r="Y48" i="28"/>
  <c r="Y112" i="28"/>
  <c r="Y151" i="28"/>
  <c r="Y301" i="28"/>
  <c r="Y198" i="28"/>
  <c r="BI198" i="28" s="1"/>
  <c r="Y262" i="28"/>
  <c r="O140" i="26"/>
  <c r="O100" i="26"/>
  <c r="O33" i="26"/>
  <c r="S140" i="26"/>
  <c r="S100" i="26"/>
  <c r="S33" i="26"/>
  <c r="W140" i="26"/>
  <c r="W100" i="26"/>
  <c r="W33" i="26"/>
  <c r="AA100" i="26"/>
  <c r="AA33" i="26"/>
  <c r="AA140" i="26"/>
  <c r="T33" i="26"/>
  <c r="T140" i="26"/>
  <c r="T100" i="26"/>
  <c r="X33" i="26"/>
  <c r="X140" i="26"/>
  <c r="X100" i="26"/>
  <c r="Q100" i="26"/>
  <c r="Q140" i="26"/>
  <c r="Q33" i="26"/>
  <c r="U100" i="26"/>
  <c r="U140" i="26"/>
  <c r="U33" i="26"/>
  <c r="Y140" i="26"/>
  <c r="Y33" i="26"/>
  <c r="Y100" i="26"/>
  <c r="P33" i="26"/>
  <c r="P140" i="26"/>
  <c r="P100" i="26"/>
  <c r="AB100" i="26"/>
  <c r="AB33" i="26"/>
  <c r="AB140" i="26"/>
  <c r="R33" i="26"/>
  <c r="R100" i="26"/>
  <c r="R140" i="26"/>
  <c r="V33" i="26"/>
  <c r="V100" i="26"/>
  <c r="V140" i="26"/>
  <c r="Z140" i="26"/>
  <c r="Z33" i="26"/>
  <c r="Z100" i="26"/>
  <c r="B35" i="26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34" i="26"/>
  <c r="C226" i="34"/>
  <c r="B226" i="34" s="1"/>
  <c r="BD73" i="28"/>
  <c r="BJ73" i="28"/>
  <c r="BJ14" i="28" s="1"/>
  <c r="BH73" i="28"/>
  <c r="BH14" i="28" s="1"/>
  <c r="BL73" i="28"/>
  <c r="BF73" i="28"/>
  <c r="BF14" i="28" s="1"/>
  <c r="AB8" i="28"/>
  <c r="BL183" i="28"/>
  <c r="BL33" i="28"/>
  <c r="BL4" i="28"/>
  <c r="BK30" i="26"/>
  <c r="BL199" i="31"/>
  <c r="BL44" i="31"/>
  <c r="BL348" i="31"/>
  <c r="BL500" i="31"/>
  <c r="BL9" i="31"/>
  <c r="BJ30" i="26"/>
  <c r="R86" i="26"/>
  <c r="R114" i="26"/>
  <c r="R154" i="26"/>
  <c r="V86" i="26"/>
  <c r="V114" i="26"/>
  <c r="V154" i="26"/>
  <c r="Z86" i="26"/>
  <c r="Z154" i="26"/>
  <c r="Z114" i="26"/>
  <c r="B224" i="28"/>
  <c r="B225" i="28" s="1"/>
  <c r="B226" i="28" s="1"/>
  <c r="B227" i="28" s="1"/>
  <c r="B228" i="28" s="1"/>
  <c r="B229" i="28" s="1"/>
  <c r="B230" i="28" s="1"/>
  <c r="B231" i="28" s="1"/>
  <c r="B232" i="28" s="1"/>
  <c r="B233" i="28" s="1"/>
  <c r="B234" i="28" s="1"/>
  <c r="P252" i="31"/>
  <c r="P401" i="31"/>
  <c r="P98" i="31"/>
  <c r="T401" i="31"/>
  <c r="T252" i="31"/>
  <c r="T98" i="31"/>
  <c r="X401" i="31"/>
  <c r="X252" i="31"/>
  <c r="X98" i="31"/>
  <c r="AB401" i="31"/>
  <c r="AB252" i="31"/>
  <c r="AB98" i="31"/>
  <c r="B389" i="3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118" i="34"/>
  <c r="B115" i="34"/>
  <c r="B116" i="34" s="1"/>
  <c r="B117" i="34" s="1"/>
  <c r="Z183" i="28"/>
  <c r="BJ183" i="28"/>
  <c r="BJ33" i="28"/>
  <c r="BJ4" i="28"/>
  <c r="O114" i="26"/>
  <c r="O154" i="26"/>
  <c r="O86" i="26"/>
  <c r="S114" i="26"/>
  <c r="S154" i="26"/>
  <c r="S86" i="26"/>
  <c r="W114" i="26"/>
  <c r="W154" i="26"/>
  <c r="W86" i="26"/>
  <c r="AA114" i="26"/>
  <c r="AA154" i="26"/>
  <c r="AA86" i="26"/>
  <c r="Q401" i="31"/>
  <c r="Q252" i="31"/>
  <c r="Q98" i="31"/>
  <c r="U401" i="31"/>
  <c r="U252" i="31"/>
  <c r="U98" i="31"/>
  <c r="Y401" i="31"/>
  <c r="Y252" i="31"/>
  <c r="Y98" i="31"/>
  <c r="B82" i="34"/>
  <c r="B79" i="34"/>
  <c r="B80" i="34" s="1"/>
  <c r="B81" i="34" s="1"/>
  <c r="B112" i="34"/>
  <c r="B109" i="34"/>
  <c r="B110" i="34" s="1"/>
  <c r="B111" i="34" s="1"/>
  <c r="T199" i="31"/>
  <c r="BD199" i="31"/>
  <c r="BD44" i="31"/>
  <c r="BD348" i="31"/>
  <c r="BD500" i="31"/>
  <c r="BD9" i="31"/>
  <c r="P154" i="26"/>
  <c r="P86" i="26"/>
  <c r="P114" i="26"/>
  <c r="T154" i="26"/>
  <c r="T86" i="26"/>
  <c r="T114" i="26"/>
  <c r="X154" i="26"/>
  <c r="X86" i="26"/>
  <c r="X114" i="26"/>
  <c r="AB154" i="26"/>
  <c r="AB86" i="26"/>
  <c r="AB114" i="26"/>
  <c r="B128" i="26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R401" i="31"/>
  <c r="R252" i="31"/>
  <c r="R98" i="31"/>
  <c r="V401" i="31"/>
  <c r="V252" i="31"/>
  <c r="V98" i="31"/>
  <c r="Z401" i="31"/>
  <c r="Z252" i="31"/>
  <c r="Z98" i="31"/>
  <c r="B76" i="34"/>
  <c r="B73" i="34"/>
  <c r="B74" i="34" s="1"/>
  <c r="B75" i="34" s="1"/>
  <c r="B106" i="34"/>
  <c r="B103" i="34"/>
  <c r="B104" i="34" s="1"/>
  <c r="B105" i="34" s="1"/>
  <c r="I423" i="31"/>
  <c r="Q379" i="31"/>
  <c r="Q484" i="31"/>
  <c r="Q445" i="31"/>
  <c r="Q457" i="31"/>
  <c r="Q471" i="31"/>
  <c r="BI73" i="28"/>
  <c r="BI14" i="28" s="1"/>
  <c r="Q86" i="26"/>
  <c r="Q114" i="26"/>
  <c r="Q154" i="26"/>
  <c r="U154" i="26"/>
  <c r="U86" i="26"/>
  <c r="U114" i="26"/>
  <c r="Y86" i="26"/>
  <c r="Y114" i="26"/>
  <c r="Y154" i="26"/>
  <c r="O401" i="31"/>
  <c r="O252" i="31"/>
  <c r="O98" i="31"/>
  <c r="S401" i="31"/>
  <c r="S252" i="31"/>
  <c r="S98" i="31"/>
  <c r="W401" i="31"/>
  <c r="W252" i="31"/>
  <c r="W98" i="31"/>
  <c r="AA401" i="31"/>
  <c r="AA252" i="31"/>
  <c r="AA98" i="31"/>
  <c r="O414" i="31"/>
  <c r="O180" i="31"/>
  <c r="O291" i="31"/>
  <c r="O112" i="31"/>
  <c r="O442" i="31"/>
  <c r="O265" i="31"/>
  <c r="O481" i="31"/>
  <c r="O330" i="31"/>
  <c r="O140" i="31"/>
  <c r="B124" i="34"/>
  <c r="B121" i="34"/>
  <c r="B122" i="34" s="1"/>
  <c r="B123" i="34" s="1"/>
  <c r="AX236" i="28"/>
  <c r="AX235" i="28"/>
  <c r="AX48" i="28"/>
  <c r="AX12" i="28" s="1"/>
  <c r="AX47" i="28"/>
  <c r="AX6" i="28" s="1"/>
  <c r="BI37" i="7"/>
  <c r="X37" i="7"/>
  <c r="AP37" i="7" s="1"/>
  <c r="BI113" i="7"/>
  <c r="BI81" i="7"/>
  <c r="BI6" i="7"/>
  <c r="M26" i="32"/>
  <c r="M48" i="32"/>
  <c r="M69" i="32"/>
  <c r="AX4" i="32"/>
  <c r="AX26" i="32"/>
  <c r="H80" i="32"/>
  <c r="H38" i="32"/>
  <c r="H59" i="32"/>
  <c r="Y26" i="32"/>
  <c r="Y48" i="32"/>
  <c r="Y69" i="32"/>
  <c r="BJ4" i="32"/>
  <c r="BJ26" i="32"/>
  <c r="B72" i="25"/>
  <c r="B73" i="25" s="1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R277" i="34"/>
  <c r="R139" i="34"/>
  <c r="T277" i="34"/>
  <c r="T139" i="34"/>
  <c r="R288" i="34"/>
  <c r="R260" i="34"/>
  <c r="AM9" i="34"/>
  <c r="T260" i="34"/>
  <c r="AO9" i="34"/>
  <c r="Y43" i="23"/>
  <c r="BJ46" i="23"/>
  <c r="BJ26" i="23"/>
  <c r="W8" i="23"/>
  <c r="BH46" i="23"/>
  <c r="BH26" i="23"/>
  <c r="X8" i="7"/>
  <c r="E86" i="1"/>
  <c r="AV86" i="1" s="1"/>
  <c r="AV85" i="1"/>
  <c r="O126" i="28"/>
  <c r="O165" i="28"/>
  <c r="O99" i="28"/>
  <c r="S126" i="28"/>
  <c r="S165" i="28"/>
  <c r="S99" i="28"/>
  <c r="W126" i="28"/>
  <c r="W165" i="28"/>
  <c r="W99" i="28"/>
  <c r="AA126" i="28"/>
  <c r="AA165" i="28"/>
  <c r="AA99" i="28"/>
  <c r="Q99" i="28"/>
  <c r="Q126" i="28"/>
  <c r="Q165" i="28"/>
  <c r="U99" i="28"/>
  <c r="U126" i="28"/>
  <c r="U165" i="28"/>
  <c r="Y99" i="28"/>
  <c r="Y126" i="28"/>
  <c r="Y165" i="28"/>
  <c r="R99" i="28"/>
  <c r="R126" i="28"/>
  <c r="R165" i="28"/>
  <c r="V99" i="28"/>
  <c r="V126" i="28"/>
  <c r="V165" i="28"/>
  <c r="Z99" i="28"/>
  <c r="Z126" i="28"/>
  <c r="Z165" i="28"/>
  <c r="P165" i="28"/>
  <c r="P99" i="28"/>
  <c r="P126" i="28"/>
  <c r="T165" i="28"/>
  <c r="T99" i="28"/>
  <c r="T126" i="28"/>
  <c r="X165" i="28"/>
  <c r="X99" i="28"/>
  <c r="X126" i="28"/>
  <c r="AB165" i="28"/>
  <c r="AB99" i="28"/>
  <c r="AB126" i="28"/>
  <c r="B74" i="28"/>
  <c r="B75" i="28" s="1"/>
  <c r="B76" i="28" s="1"/>
  <c r="B77" i="28" s="1"/>
  <c r="B78" i="28" s="1"/>
  <c r="B79" i="28" s="1"/>
  <c r="B80" i="28" s="1"/>
  <c r="B81" i="28" s="1"/>
  <c r="B82" i="28" s="1"/>
  <c r="B83" i="28" s="1"/>
  <c r="B84" i="28" s="1"/>
  <c r="B128" i="25"/>
  <c r="B129" i="25" s="1"/>
  <c r="B130" i="25" s="1"/>
  <c r="B131" i="25" s="1"/>
  <c r="B132" i="25" s="1"/>
  <c r="B133" i="25" s="1"/>
  <c r="B134" i="25" s="1"/>
  <c r="B135" i="25" s="1"/>
  <c r="B136" i="25" s="1"/>
  <c r="B137" i="25" s="1"/>
  <c r="B138" i="25" s="1"/>
  <c r="B72" i="26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402" i="3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246" i="34"/>
  <c r="O393" i="31"/>
  <c r="O397" i="31" s="1"/>
  <c r="T393" i="31"/>
  <c r="T399" i="31" s="1"/>
  <c r="X393" i="31"/>
  <c r="X395" i="31" s="1"/>
  <c r="AB393" i="31"/>
  <c r="AB394" i="31" s="1"/>
  <c r="Q473" i="31"/>
  <c r="Q475" i="31" s="1"/>
  <c r="V473" i="31"/>
  <c r="V475" i="31" s="1"/>
  <c r="Z473" i="31"/>
  <c r="Z477" i="31" s="1"/>
  <c r="O486" i="31"/>
  <c r="O492" i="31" s="1"/>
  <c r="T486" i="31"/>
  <c r="T487" i="31" s="1"/>
  <c r="X486" i="31"/>
  <c r="X490" i="31" s="1"/>
  <c r="AB486" i="31"/>
  <c r="AB487" i="31" s="1"/>
  <c r="P393" i="31"/>
  <c r="P397" i="31" s="1"/>
  <c r="U393" i="31"/>
  <c r="U395" i="31" s="1"/>
  <c r="Y393" i="31"/>
  <c r="Y396" i="31" s="1"/>
  <c r="S473" i="31"/>
  <c r="S477" i="31" s="1"/>
  <c r="W473" i="31"/>
  <c r="W479" i="31" s="1"/>
  <c r="AA473" i="31"/>
  <c r="AA476" i="31" s="1"/>
  <c r="P486" i="31"/>
  <c r="P492" i="31" s="1"/>
  <c r="U486" i="31"/>
  <c r="U490" i="31" s="1"/>
  <c r="Y486" i="31"/>
  <c r="Y490" i="31" s="1"/>
  <c r="Q393" i="31"/>
  <c r="Q396" i="31" s="1"/>
  <c r="V393" i="31"/>
  <c r="V395" i="31" s="1"/>
  <c r="Z393" i="31"/>
  <c r="Z395" i="31" s="1"/>
  <c r="O473" i="31"/>
  <c r="O474" i="31" s="1"/>
  <c r="T473" i="31"/>
  <c r="T478" i="31" s="1"/>
  <c r="X473" i="31"/>
  <c r="X474" i="31" s="1"/>
  <c r="AB473" i="31"/>
  <c r="AB475" i="31" s="1"/>
  <c r="Q486" i="31"/>
  <c r="Q492" i="31" s="1"/>
  <c r="V486" i="31"/>
  <c r="V490" i="31" s="1"/>
  <c r="Z486" i="31"/>
  <c r="Z491" i="31" s="1"/>
  <c r="S393" i="31"/>
  <c r="S395" i="31" s="1"/>
  <c r="W393" i="31"/>
  <c r="W395" i="31" s="1"/>
  <c r="AA393" i="31"/>
  <c r="AA399" i="31" s="1"/>
  <c r="P473" i="31"/>
  <c r="P478" i="31" s="1"/>
  <c r="U473" i="31"/>
  <c r="U477" i="31" s="1"/>
  <c r="Y473" i="31"/>
  <c r="Y477" i="31" s="1"/>
  <c r="S486" i="31"/>
  <c r="S491" i="31" s="1"/>
  <c r="W486" i="31"/>
  <c r="W491" i="31" s="1"/>
  <c r="AA486" i="31"/>
  <c r="AA491" i="31" s="1"/>
  <c r="AA41" i="4"/>
  <c r="AA36" i="4"/>
  <c r="AA40" i="4"/>
  <c r="AA37" i="4"/>
  <c r="AA38" i="4"/>
  <c r="AA39" i="4"/>
  <c r="N36" i="4"/>
  <c r="B56" i="23"/>
  <c r="S40" i="4"/>
  <c r="S36" i="4"/>
  <c r="S38" i="4"/>
  <c r="S41" i="4"/>
  <c r="S39" i="4"/>
  <c r="S37" i="4"/>
  <c r="N41" i="4"/>
  <c r="N37" i="4"/>
  <c r="N38" i="4"/>
  <c r="N39" i="4"/>
  <c r="N40" i="4"/>
  <c r="N33" i="4"/>
  <c r="AF34" i="4" s="1"/>
  <c r="N64" i="4"/>
  <c r="AF65" i="4" s="1"/>
  <c r="I81" i="4"/>
  <c r="I38" i="4"/>
  <c r="W139" i="26"/>
  <c r="AC7" i="32"/>
  <c r="AC8" i="32" s="1"/>
  <c r="S39" i="7"/>
  <c r="Z71" i="25"/>
  <c r="AB233" i="28"/>
  <c r="I109" i="25"/>
  <c r="X99" i="25"/>
  <c r="B216" i="34"/>
  <c r="Q205" i="28"/>
  <c r="U46" i="25"/>
  <c r="D202" i="34"/>
  <c r="Q98" i="28"/>
  <c r="AB197" i="28"/>
  <c r="N211" i="28"/>
  <c r="O127" i="25"/>
  <c r="Z127" i="25"/>
  <c r="O71" i="25"/>
  <c r="W231" i="28"/>
  <c r="P210" i="28"/>
  <c r="H135" i="7"/>
  <c r="AA14" i="26"/>
  <c r="AA158" i="26" s="1"/>
  <c r="AA14" i="25"/>
  <c r="AA118" i="25" s="1"/>
  <c r="X85" i="26"/>
  <c r="R71" i="25"/>
  <c r="R127" i="25"/>
  <c r="N96" i="7"/>
  <c r="AC53" i="7"/>
  <c r="O234" i="28"/>
  <c r="W210" i="28"/>
  <c r="AF18" i="25"/>
  <c r="AF19" i="25" s="1"/>
  <c r="I69" i="25" s="1"/>
  <c r="Y85" i="26"/>
  <c r="S139" i="26"/>
  <c r="W71" i="25"/>
  <c r="W127" i="25"/>
  <c r="T230" i="28"/>
  <c r="O64" i="7"/>
  <c r="H125" i="1"/>
  <c r="H72" i="1"/>
  <c r="B100" i="34"/>
  <c r="B58" i="34"/>
  <c r="B30" i="34"/>
  <c r="B31" i="34" s="1"/>
  <c r="B32" i="34" s="1"/>
  <c r="B33" i="34" s="1"/>
  <c r="B236" i="34"/>
  <c r="B295" i="34"/>
  <c r="B292" i="34"/>
  <c r="B293" i="34" s="1"/>
  <c r="B239" i="34"/>
  <c r="B249" i="34"/>
  <c r="B248" i="34"/>
  <c r="B224" i="34"/>
  <c r="B94" i="34"/>
  <c r="B233" i="34"/>
  <c r="O46" i="26"/>
  <c r="Q99" i="26"/>
  <c r="P139" i="25"/>
  <c r="W46" i="26"/>
  <c r="Q153" i="26"/>
  <c r="Y153" i="26"/>
  <c r="S46" i="26"/>
  <c r="U99" i="26"/>
  <c r="S71" i="25"/>
  <c r="AA71" i="25"/>
  <c r="S127" i="25"/>
  <c r="AA127" i="25"/>
  <c r="V71" i="25"/>
  <c r="V127" i="25"/>
  <c r="B195" i="34"/>
  <c r="B194" i="34"/>
  <c r="N454" i="31"/>
  <c r="N480" i="31"/>
  <c r="N466" i="31"/>
  <c r="N441" i="31"/>
  <c r="B221" i="34"/>
  <c r="T64" i="7"/>
  <c r="H104" i="7"/>
  <c r="B242" i="34"/>
  <c r="R85" i="26"/>
  <c r="X139" i="26"/>
  <c r="AD33" i="25"/>
  <c r="S42" i="25"/>
  <c r="W43" i="25"/>
  <c r="W40" i="25"/>
  <c r="AA44" i="25"/>
  <c r="X45" i="25"/>
  <c r="X41" i="25"/>
  <c r="AB45" i="25"/>
  <c r="P44" i="25"/>
  <c r="P40" i="25"/>
  <c r="U43" i="25"/>
  <c r="Q41" i="25"/>
  <c r="W45" i="25"/>
  <c r="AA41" i="25"/>
  <c r="X42" i="25"/>
  <c r="AB42" i="25"/>
  <c r="P45" i="25"/>
  <c r="S45" i="25"/>
  <c r="S40" i="25"/>
  <c r="W41" i="25"/>
  <c r="AA45" i="25"/>
  <c r="AA42" i="25"/>
  <c r="X40" i="25"/>
  <c r="AB44" i="25"/>
  <c r="AB40" i="25"/>
  <c r="P41" i="25"/>
  <c r="U44" i="25"/>
  <c r="U41" i="25"/>
  <c r="Q44" i="25"/>
  <c r="Q45" i="25"/>
  <c r="S43" i="25"/>
  <c r="S44" i="25"/>
  <c r="W44" i="25"/>
  <c r="AA43" i="25"/>
  <c r="AA40" i="25"/>
  <c r="X43" i="25"/>
  <c r="AB41" i="25"/>
  <c r="AB43" i="25"/>
  <c r="P42" i="25"/>
  <c r="U42" i="25"/>
  <c r="U45" i="25"/>
  <c r="Q42" i="25"/>
  <c r="Q43" i="25"/>
  <c r="S41" i="25"/>
  <c r="W42" i="25"/>
  <c r="X44" i="25"/>
  <c r="P43" i="25"/>
  <c r="U40" i="25"/>
  <c r="Q40" i="25"/>
  <c r="O45" i="25"/>
  <c r="O44" i="25"/>
  <c r="V45" i="25"/>
  <c r="Z41" i="25"/>
  <c r="Y42" i="25"/>
  <c r="Y41" i="25"/>
  <c r="T40" i="25"/>
  <c r="T42" i="25"/>
  <c r="T43" i="25"/>
  <c r="V43" i="25"/>
  <c r="Z43" i="25"/>
  <c r="Y45" i="25"/>
  <c r="T44" i="25"/>
  <c r="V44" i="25"/>
  <c r="Z42" i="25"/>
  <c r="Y43" i="25"/>
  <c r="T45" i="25"/>
  <c r="O43" i="25"/>
  <c r="O42" i="25"/>
  <c r="V42" i="25"/>
  <c r="Z44" i="25"/>
  <c r="Y40" i="25"/>
  <c r="O41" i="25"/>
  <c r="V41" i="25"/>
  <c r="Z45" i="25"/>
  <c r="O40" i="25"/>
  <c r="V40" i="25"/>
  <c r="Z40" i="25"/>
  <c r="Y44" i="25"/>
  <c r="T41" i="25"/>
  <c r="N44" i="25"/>
  <c r="N43" i="25"/>
  <c r="N42" i="25"/>
  <c r="N45" i="25"/>
  <c r="N40" i="25"/>
  <c r="N41" i="25"/>
  <c r="AD47" i="25"/>
  <c r="Z53" i="25"/>
  <c r="S57" i="25"/>
  <c r="Y57" i="25"/>
  <c r="Y55" i="25"/>
  <c r="U53" i="25"/>
  <c r="T57" i="25"/>
  <c r="T56" i="25"/>
  <c r="N53" i="25"/>
  <c r="AA52" i="25"/>
  <c r="AA53" i="25"/>
  <c r="P54" i="25"/>
  <c r="P52" i="25"/>
  <c r="AB57" i="25"/>
  <c r="O52" i="25"/>
  <c r="O55" i="25"/>
  <c r="V52" i="25"/>
  <c r="W52" i="25"/>
  <c r="W54" i="25"/>
  <c r="X52" i="25"/>
  <c r="T52" i="25"/>
  <c r="P55" i="25"/>
  <c r="AB52" i="25"/>
  <c r="V57" i="25"/>
  <c r="W55" i="25"/>
  <c r="X53" i="25"/>
  <c r="Z55" i="25"/>
  <c r="Z56" i="25"/>
  <c r="S56" i="25"/>
  <c r="S54" i="25"/>
  <c r="U57" i="25"/>
  <c r="N56" i="25"/>
  <c r="AA55" i="25"/>
  <c r="P56" i="25"/>
  <c r="AB54" i="25"/>
  <c r="O53" i="25"/>
  <c r="V54" i="25"/>
  <c r="W57" i="25"/>
  <c r="X55" i="25"/>
  <c r="Z57" i="25"/>
  <c r="S52" i="25"/>
  <c r="U52" i="25"/>
  <c r="T55" i="25"/>
  <c r="AA57" i="25"/>
  <c r="P53" i="25"/>
  <c r="AB56" i="25"/>
  <c r="O54" i="25"/>
  <c r="V56" i="25"/>
  <c r="Z54" i="25"/>
  <c r="S53" i="25"/>
  <c r="Y54" i="25"/>
  <c r="Y56" i="25"/>
  <c r="U55" i="25"/>
  <c r="N57" i="25"/>
  <c r="N54" i="25"/>
  <c r="AA54" i="25"/>
  <c r="AB53" i="25"/>
  <c r="O57" i="25"/>
  <c r="V55" i="25"/>
  <c r="X54" i="25"/>
  <c r="Y52" i="25"/>
  <c r="U56" i="25"/>
  <c r="T54" i="25"/>
  <c r="N55" i="25"/>
  <c r="AB55" i="25"/>
  <c r="V53" i="25"/>
  <c r="X56" i="25"/>
  <c r="Z52" i="25"/>
  <c r="S55" i="25"/>
  <c r="Y53" i="25"/>
  <c r="U54" i="25"/>
  <c r="T53" i="25"/>
  <c r="N52" i="25"/>
  <c r="AA56" i="25"/>
  <c r="P57" i="25"/>
  <c r="O56" i="25"/>
  <c r="W56" i="25"/>
  <c r="W53" i="25"/>
  <c r="X57" i="25"/>
  <c r="Q55" i="25"/>
  <c r="Q56" i="25"/>
  <c r="Q57" i="25"/>
  <c r="Q52" i="25"/>
  <c r="Q54" i="25"/>
  <c r="Q53" i="25"/>
  <c r="P71" i="25"/>
  <c r="T71" i="25"/>
  <c r="X71" i="25"/>
  <c r="AB71" i="25"/>
  <c r="Y79" i="25"/>
  <c r="Z80" i="25"/>
  <c r="Z79" i="25"/>
  <c r="Y81" i="25"/>
  <c r="Y80" i="25"/>
  <c r="Z82" i="25"/>
  <c r="Z81" i="25"/>
  <c r="Y83" i="25"/>
  <c r="Y82" i="25"/>
  <c r="Z84" i="25"/>
  <c r="Z83" i="25"/>
  <c r="Y84" i="25"/>
  <c r="X84" i="25"/>
  <c r="X79" i="25"/>
  <c r="V82" i="25"/>
  <c r="V84" i="25"/>
  <c r="T83" i="25"/>
  <c r="Q80" i="25"/>
  <c r="Q79" i="25"/>
  <c r="U80" i="25"/>
  <c r="O80" i="25"/>
  <c r="P81" i="25"/>
  <c r="AB80" i="25"/>
  <c r="AB79" i="25"/>
  <c r="P82" i="25"/>
  <c r="AB81" i="25"/>
  <c r="T84" i="25"/>
  <c r="T81" i="25"/>
  <c r="U83" i="25"/>
  <c r="O82" i="25"/>
  <c r="P80" i="25"/>
  <c r="AB82" i="25"/>
  <c r="T80" i="25"/>
  <c r="T82" i="25"/>
  <c r="Q81" i="25"/>
  <c r="P79" i="25"/>
  <c r="AB84" i="25"/>
  <c r="X80" i="25"/>
  <c r="X81" i="25"/>
  <c r="V80" i="25"/>
  <c r="V79" i="25"/>
  <c r="T79" i="25"/>
  <c r="Q82" i="25"/>
  <c r="U81" i="25"/>
  <c r="U82" i="25"/>
  <c r="O83" i="25"/>
  <c r="O81" i="25"/>
  <c r="P84" i="25"/>
  <c r="X82" i="25"/>
  <c r="V81" i="25"/>
  <c r="Q83" i="25"/>
  <c r="U84" i="25"/>
  <c r="O79" i="25"/>
  <c r="P83" i="25"/>
  <c r="X83" i="25"/>
  <c r="V83" i="25"/>
  <c r="Q84" i="25"/>
  <c r="U79" i="25"/>
  <c r="O84" i="25"/>
  <c r="AB83" i="25"/>
  <c r="W84" i="25"/>
  <c r="S83" i="25"/>
  <c r="AA80" i="25"/>
  <c r="S82" i="25"/>
  <c r="N80" i="25"/>
  <c r="AA81" i="25"/>
  <c r="AA83" i="25"/>
  <c r="S80" i="25"/>
  <c r="AA82" i="25"/>
  <c r="N84" i="25"/>
  <c r="W81" i="25"/>
  <c r="N82" i="25"/>
  <c r="N83" i="25"/>
  <c r="W80" i="25"/>
  <c r="N79" i="25"/>
  <c r="AA79" i="25"/>
  <c r="N81" i="25"/>
  <c r="W79" i="25"/>
  <c r="S79" i="25"/>
  <c r="W83" i="25"/>
  <c r="S81" i="25"/>
  <c r="AA84" i="25"/>
  <c r="W82" i="25"/>
  <c r="S84" i="25"/>
  <c r="AD86" i="25"/>
  <c r="P97" i="25"/>
  <c r="P95" i="25"/>
  <c r="U94" i="25"/>
  <c r="Q93" i="25"/>
  <c r="Q96" i="25"/>
  <c r="S96" i="25"/>
  <c r="S98" i="25"/>
  <c r="W98" i="25"/>
  <c r="AA96" i="25"/>
  <c r="AA98" i="25"/>
  <c r="X97" i="25"/>
  <c r="X95" i="25"/>
  <c r="AB94" i="25"/>
  <c r="P94" i="25"/>
  <c r="Q95" i="25"/>
  <c r="S95" i="25"/>
  <c r="W97" i="25"/>
  <c r="AA97" i="25"/>
  <c r="X96" i="25"/>
  <c r="AB93" i="25"/>
  <c r="P98" i="25"/>
  <c r="U97" i="25"/>
  <c r="U95" i="25"/>
  <c r="Q98" i="25"/>
  <c r="S94" i="25"/>
  <c r="W95" i="25"/>
  <c r="W94" i="25"/>
  <c r="AA93" i="25"/>
  <c r="X98" i="25"/>
  <c r="AB96" i="25"/>
  <c r="AB95" i="25"/>
  <c r="P93" i="25"/>
  <c r="U93" i="25"/>
  <c r="U96" i="25"/>
  <c r="Q94" i="25"/>
  <c r="S97" i="25"/>
  <c r="W96" i="25"/>
  <c r="W93" i="25"/>
  <c r="AA94" i="25"/>
  <c r="X94" i="25"/>
  <c r="AB97" i="25"/>
  <c r="AB98" i="25"/>
  <c r="P96" i="25"/>
  <c r="U98" i="25"/>
  <c r="Q97" i="25"/>
  <c r="S93" i="25"/>
  <c r="AA95" i="25"/>
  <c r="X93" i="25"/>
  <c r="T94" i="25"/>
  <c r="O95" i="25"/>
  <c r="O93" i="25"/>
  <c r="V98" i="25"/>
  <c r="V93" i="25"/>
  <c r="Z93" i="25"/>
  <c r="Y94" i="25"/>
  <c r="T96" i="25"/>
  <c r="T93" i="25"/>
  <c r="N95" i="25"/>
  <c r="O97" i="25"/>
  <c r="Z97" i="25"/>
  <c r="Y93" i="25"/>
  <c r="Y96" i="25"/>
  <c r="T98" i="25"/>
  <c r="Z95" i="25"/>
  <c r="T95" i="25"/>
  <c r="O96" i="25"/>
  <c r="O94" i="25"/>
  <c r="V94" i="25"/>
  <c r="V97" i="25"/>
  <c r="Z98" i="25"/>
  <c r="Z96" i="25"/>
  <c r="Y97" i="25"/>
  <c r="Y95" i="25"/>
  <c r="V95" i="25"/>
  <c r="Z94" i="25"/>
  <c r="T97" i="25"/>
  <c r="N96" i="25"/>
  <c r="O98" i="25"/>
  <c r="V96" i="25"/>
  <c r="Y98" i="25"/>
  <c r="N98" i="25"/>
  <c r="N93" i="25"/>
  <c r="N97" i="25"/>
  <c r="N94" i="25"/>
  <c r="P127" i="25"/>
  <c r="T127" i="25"/>
  <c r="X127" i="25"/>
  <c r="AB127" i="25"/>
  <c r="I520" i="31"/>
  <c r="I533" i="31"/>
  <c r="I476" i="31"/>
  <c r="I462" i="31"/>
  <c r="I384" i="31"/>
  <c r="I489" i="31"/>
  <c r="I450" i="31"/>
  <c r="T85" i="26"/>
  <c r="R139" i="26"/>
  <c r="AB139" i="26"/>
  <c r="AD59" i="25"/>
  <c r="S69" i="25"/>
  <c r="S68" i="25"/>
  <c r="W70" i="25"/>
  <c r="AA66" i="25"/>
  <c r="AA65" i="25"/>
  <c r="X65" i="25"/>
  <c r="AB67" i="25"/>
  <c r="AB66" i="25"/>
  <c r="P69" i="25"/>
  <c r="U65" i="25"/>
  <c r="U70" i="25"/>
  <c r="Q65" i="25"/>
  <c r="Q66" i="25"/>
  <c r="S67" i="25"/>
  <c r="W69" i="25"/>
  <c r="AA70" i="25"/>
  <c r="AB68" i="25"/>
  <c r="U69" i="25"/>
  <c r="U68" i="25"/>
  <c r="Q70" i="25"/>
  <c r="S70" i="25"/>
  <c r="W67" i="25"/>
  <c r="W65" i="25"/>
  <c r="AA68" i="25"/>
  <c r="X68" i="25"/>
  <c r="X66" i="25"/>
  <c r="AB69" i="25"/>
  <c r="P68" i="25"/>
  <c r="P70" i="25"/>
  <c r="U66" i="25"/>
  <c r="Q67" i="25"/>
  <c r="S65" i="25"/>
  <c r="W68" i="25"/>
  <c r="W66" i="25"/>
  <c r="AA69" i="25"/>
  <c r="X69" i="25"/>
  <c r="X67" i="25"/>
  <c r="AB70" i="25"/>
  <c r="P66" i="25"/>
  <c r="P65" i="25"/>
  <c r="U67" i="25"/>
  <c r="Q68" i="25"/>
  <c r="S66" i="25"/>
  <c r="AA67" i="25"/>
  <c r="X70" i="25"/>
  <c r="AB65" i="25"/>
  <c r="P67" i="25"/>
  <c r="Q69" i="25"/>
  <c r="Y69" i="25"/>
  <c r="Y67" i="25"/>
  <c r="T65" i="25"/>
  <c r="N69" i="25"/>
  <c r="O66" i="25"/>
  <c r="V66" i="25"/>
  <c r="V65" i="25"/>
  <c r="Z66" i="25"/>
  <c r="Z69" i="25"/>
  <c r="Z65" i="25"/>
  <c r="Y70" i="25"/>
  <c r="T68" i="25"/>
  <c r="N67" i="25"/>
  <c r="O70" i="25"/>
  <c r="V68" i="25"/>
  <c r="Z67" i="25"/>
  <c r="N66" i="25"/>
  <c r="V70" i="25"/>
  <c r="Z68" i="25"/>
  <c r="Y65" i="25"/>
  <c r="Y68" i="25"/>
  <c r="T66" i="25"/>
  <c r="N65" i="25"/>
  <c r="O67" i="25"/>
  <c r="O68" i="25"/>
  <c r="V67" i="25"/>
  <c r="T67" i="25"/>
  <c r="N70" i="25"/>
  <c r="O69" i="25"/>
  <c r="Y66" i="25"/>
  <c r="T70" i="25"/>
  <c r="T69" i="25"/>
  <c r="N68" i="25"/>
  <c r="O65" i="25"/>
  <c r="V69" i="25"/>
  <c r="Z70" i="25"/>
  <c r="Q71" i="25"/>
  <c r="U71" i="25"/>
  <c r="T113" i="25"/>
  <c r="Q127" i="25"/>
  <c r="U127" i="25"/>
  <c r="AD128" i="25"/>
  <c r="S133" i="25"/>
  <c r="S136" i="25"/>
  <c r="Y138" i="25"/>
  <c r="Y134" i="25"/>
  <c r="AB138" i="25"/>
  <c r="V137" i="25"/>
  <c r="U138" i="25"/>
  <c r="U133" i="25"/>
  <c r="X135" i="25"/>
  <c r="AA137" i="25"/>
  <c r="AA138" i="25"/>
  <c r="Q135" i="25"/>
  <c r="Q137" i="25"/>
  <c r="P135" i="25"/>
  <c r="T134" i="25"/>
  <c r="T133" i="25"/>
  <c r="W137" i="25"/>
  <c r="W136" i="25"/>
  <c r="O137" i="25"/>
  <c r="O136" i="25"/>
  <c r="Z135" i="25"/>
  <c r="Q136" i="25"/>
  <c r="P137" i="25"/>
  <c r="T138" i="25"/>
  <c r="W134" i="25"/>
  <c r="O134" i="25"/>
  <c r="Z136" i="25"/>
  <c r="S134" i="25"/>
  <c r="AB137" i="25"/>
  <c r="AB136" i="25"/>
  <c r="V136" i="25"/>
  <c r="V134" i="25"/>
  <c r="U136" i="25"/>
  <c r="X134" i="25"/>
  <c r="X136" i="25"/>
  <c r="AA135" i="25"/>
  <c r="Q133" i="25"/>
  <c r="P136" i="25"/>
  <c r="T135" i="25"/>
  <c r="W138" i="25"/>
  <c r="Z133" i="25"/>
  <c r="S135" i="25"/>
  <c r="Y133" i="25"/>
  <c r="AB133" i="25"/>
  <c r="V133" i="25"/>
  <c r="U137" i="25"/>
  <c r="AA136" i="25"/>
  <c r="Q134" i="25"/>
  <c r="T136" i="25"/>
  <c r="W133" i="25"/>
  <c r="O133" i="25"/>
  <c r="Z134" i="25"/>
  <c r="S137" i="25"/>
  <c r="S138" i="25"/>
  <c r="Y135" i="25"/>
  <c r="Y137" i="25"/>
  <c r="AB135" i="25"/>
  <c r="V138" i="25"/>
  <c r="U135" i="25"/>
  <c r="U134" i="25"/>
  <c r="X137" i="25"/>
  <c r="X133" i="25"/>
  <c r="AA134" i="25"/>
  <c r="P133" i="25"/>
  <c r="Z137" i="25"/>
  <c r="Y136" i="25"/>
  <c r="P134" i="25"/>
  <c r="O138" i="25"/>
  <c r="Z138" i="25"/>
  <c r="AB134" i="25"/>
  <c r="V135" i="25"/>
  <c r="N138" i="25"/>
  <c r="X138" i="25"/>
  <c r="AA133" i="25"/>
  <c r="Q138" i="25"/>
  <c r="P138" i="25"/>
  <c r="T137" i="25"/>
  <c r="W135" i="25"/>
  <c r="O135" i="25"/>
  <c r="N137" i="25"/>
  <c r="N133" i="25"/>
  <c r="N134" i="25"/>
  <c r="N136" i="25"/>
  <c r="N135" i="25"/>
  <c r="X51" i="31"/>
  <c r="I54" i="35"/>
  <c r="P51" i="31"/>
  <c r="U51" i="31"/>
  <c r="Q51" i="31"/>
  <c r="V51" i="31"/>
  <c r="Z51" i="31"/>
  <c r="T51" i="31"/>
  <c r="AB51" i="31"/>
  <c r="Q54" i="35"/>
  <c r="Y51" i="31"/>
  <c r="S51" i="31"/>
  <c r="W51" i="31"/>
  <c r="AA51" i="31"/>
  <c r="O51" i="31"/>
  <c r="N186" i="31"/>
  <c r="N473" i="31"/>
  <c r="D54" i="35"/>
  <c r="N78" i="28"/>
  <c r="N172" i="31"/>
  <c r="N393" i="31"/>
  <c r="N486" i="31"/>
  <c r="N51" i="31"/>
  <c r="P179" i="35"/>
  <c r="P184" i="35" s="1"/>
  <c r="P25" i="35"/>
  <c r="AI25" i="35" s="1"/>
  <c r="AC46" i="23"/>
  <c r="AC27" i="23"/>
  <c r="AC86" i="7"/>
  <c r="W39" i="7"/>
  <c r="O39" i="7"/>
  <c r="T39" i="7"/>
  <c r="N39" i="7"/>
  <c r="Y96" i="7"/>
  <c r="R96" i="7"/>
  <c r="X96" i="7"/>
  <c r="P96" i="7"/>
  <c r="H92" i="7"/>
  <c r="H123" i="7"/>
  <c r="H72" i="7"/>
  <c r="AE7" i="7"/>
  <c r="AE8" i="7" s="1"/>
  <c r="H125" i="7" s="1"/>
  <c r="Z39" i="7"/>
  <c r="T96" i="7"/>
  <c r="H47" i="7"/>
  <c r="R39" i="7"/>
  <c r="U96" i="7"/>
  <c r="I75" i="29"/>
  <c r="I62" i="29"/>
  <c r="I505" i="29"/>
  <c r="I480" i="29"/>
  <c r="I454" i="29"/>
  <c r="I428" i="29"/>
  <c r="I404" i="29"/>
  <c r="I371" i="29"/>
  <c r="I345" i="29"/>
  <c r="I320" i="29"/>
  <c r="I294" i="29"/>
  <c r="I269" i="29"/>
  <c r="I244" i="29"/>
  <c r="I211" i="29"/>
  <c r="I186" i="29"/>
  <c r="I160" i="29"/>
  <c r="I133" i="29"/>
  <c r="I108" i="29"/>
  <c r="I518" i="29"/>
  <c r="I492" i="29"/>
  <c r="I467" i="29"/>
  <c r="I441" i="29"/>
  <c r="I416" i="29"/>
  <c r="I391" i="29"/>
  <c r="I358" i="29"/>
  <c r="I333" i="29"/>
  <c r="I307" i="29"/>
  <c r="I281" i="29"/>
  <c r="I257" i="29"/>
  <c r="I224" i="29"/>
  <c r="I198" i="29"/>
  <c r="I173" i="29"/>
  <c r="I147" i="29"/>
  <c r="I120" i="29"/>
  <c r="I95" i="29"/>
  <c r="I74" i="29"/>
  <c r="I61" i="29"/>
  <c r="I504" i="29"/>
  <c r="I479" i="29"/>
  <c r="I453" i="29"/>
  <c r="I427" i="29"/>
  <c r="I403" i="29"/>
  <c r="I370" i="29"/>
  <c r="I344" i="29"/>
  <c r="I319" i="29"/>
  <c r="I293" i="29"/>
  <c r="I268" i="29"/>
  <c r="I243" i="29"/>
  <c r="I210" i="29"/>
  <c r="I185" i="29"/>
  <c r="I159" i="29"/>
  <c r="I132" i="29"/>
  <c r="I107" i="29"/>
  <c r="I517" i="29"/>
  <c r="I466" i="29"/>
  <c r="I491" i="29"/>
  <c r="I440" i="29"/>
  <c r="I415" i="29"/>
  <c r="I390" i="29"/>
  <c r="I357" i="29"/>
  <c r="I332" i="29"/>
  <c r="I306" i="29"/>
  <c r="I280" i="29"/>
  <c r="I256" i="29"/>
  <c r="I223" i="29"/>
  <c r="I197" i="29"/>
  <c r="I172" i="29"/>
  <c r="I146" i="29"/>
  <c r="I119" i="29"/>
  <c r="I94" i="29"/>
  <c r="I60" i="29"/>
  <c r="I73" i="29"/>
  <c r="I516" i="29"/>
  <c r="I490" i="29"/>
  <c r="I465" i="29"/>
  <c r="I439" i="29"/>
  <c r="I414" i="29"/>
  <c r="I389" i="29"/>
  <c r="I356" i="29"/>
  <c r="I331" i="29"/>
  <c r="I305" i="29"/>
  <c r="I279" i="29"/>
  <c r="I255" i="29"/>
  <c r="I222" i="29"/>
  <c r="I196" i="29"/>
  <c r="I171" i="29"/>
  <c r="I145" i="29"/>
  <c r="I118" i="29"/>
  <c r="I93" i="29"/>
  <c r="I503" i="29"/>
  <c r="I478" i="29"/>
  <c r="I452" i="29"/>
  <c r="I426" i="29"/>
  <c r="I402" i="29"/>
  <c r="I369" i="29"/>
  <c r="I343" i="29"/>
  <c r="I318" i="29"/>
  <c r="I292" i="29"/>
  <c r="I267" i="29"/>
  <c r="I242" i="29"/>
  <c r="I209" i="29"/>
  <c r="I184" i="29"/>
  <c r="I158" i="29"/>
  <c r="I131" i="29"/>
  <c r="I106" i="29"/>
  <c r="I160" i="28"/>
  <c r="I310" i="28"/>
  <c r="I296" i="28"/>
  <c r="I173" i="28"/>
  <c r="I284" i="28"/>
  <c r="I323" i="28"/>
  <c r="I271" i="28"/>
  <c r="I219" i="28"/>
  <c r="P85" i="26"/>
  <c r="U85" i="26"/>
  <c r="Z85" i="26"/>
  <c r="O139" i="26"/>
  <c r="T139" i="26"/>
  <c r="Z139" i="26"/>
  <c r="AA46" i="26"/>
  <c r="Q85" i="26"/>
  <c r="V85" i="26"/>
  <c r="AB85" i="26"/>
  <c r="Y99" i="26"/>
  <c r="P139" i="26"/>
  <c r="V139" i="26"/>
  <c r="AA139" i="26"/>
  <c r="U153" i="26"/>
  <c r="R386" i="29"/>
  <c r="R103" i="29"/>
  <c r="P143" i="35"/>
  <c r="AI143" i="35" s="1"/>
  <c r="P154" i="35"/>
  <c r="AI154" i="35" s="1"/>
  <c r="P43" i="1"/>
  <c r="H50" i="1"/>
  <c r="S379" i="29"/>
  <c r="AK379" i="29" s="1"/>
  <c r="S83" i="29"/>
  <c r="S232" i="29"/>
  <c r="O58" i="26"/>
  <c r="X58" i="26"/>
  <c r="S113" i="26"/>
  <c r="AB71" i="26"/>
  <c r="O85" i="26"/>
  <c r="S85" i="26"/>
  <c r="W85" i="26"/>
  <c r="AB113" i="26"/>
  <c r="Q139" i="26"/>
  <c r="U139" i="26"/>
  <c r="O276" i="28"/>
  <c r="O315" i="28"/>
  <c r="S315" i="28"/>
  <c r="S276" i="28"/>
  <c r="W276" i="28"/>
  <c r="W315" i="28"/>
  <c r="AA315" i="28"/>
  <c r="AA276" i="28"/>
  <c r="P276" i="28"/>
  <c r="P315" i="28"/>
  <c r="T276" i="28"/>
  <c r="T315" i="28"/>
  <c r="X276" i="28"/>
  <c r="X315" i="28"/>
  <c r="AB276" i="28"/>
  <c r="AB315" i="28"/>
  <c r="Q315" i="28"/>
  <c r="Q276" i="28"/>
  <c r="U315" i="28"/>
  <c r="U276" i="28"/>
  <c r="Y315" i="28"/>
  <c r="Y276" i="28"/>
  <c r="R276" i="28"/>
  <c r="R315" i="28"/>
  <c r="V315" i="28"/>
  <c r="V276" i="28"/>
  <c r="Z276" i="28"/>
  <c r="Z315" i="28"/>
  <c r="AB36" i="26"/>
  <c r="S320" i="31"/>
  <c r="AK321" i="31" s="1"/>
  <c r="S204" i="31"/>
  <c r="AK205" i="31" s="1"/>
  <c r="S218" i="31"/>
  <c r="AK219" i="31" s="1"/>
  <c r="S281" i="31"/>
  <c r="AK282" i="31" s="1"/>
  <c r="S255" i="31"/>
  <c r="AK256" i="31" s="1"/>
  <c r="S306" i="31"/>
  <c r="AK307" i="31" s="1"/>
  <c r="S268" i="31"/>
  <c r="AK269" i="31" s="1"/>
  <c r="S242" i="31"/>
  <c r="AK243" i="31" s="1"/>
  <c r="S333" i="31"/>
  <c r="AK334" i="31" s="1"/>
  <c r="S294" i="31"/>
  <c r="AK295" i="31" s="1"/>
  <c r="S230" i="31"/>
  <c r="AK231" i="31" s="1"/>
  <c r="T23" i="31"/>
  <c r="T88" i="31" s="1"/>
  <c r="Z14" i="26"/>
  <c r="T320" i="31"/>
  <c r="AL321" i="31" s="1"/>
  <c r="T294" i="31"/>
  <c r="AL295" i="31" s="1"/>
  <c r="T268" i="31"/>
  <c r="AL269" i="31" s="1"/>
  <c r="T242" i="31"/>
  <c r="AL243" i="31" s="1"/>
  <c r="T204" i="31"/>
  <c r="AL205" i="31" s="1"/>
  <c r="T281" i="31"/>
  <c r="AL282" i="31" s="1"/>
  <c r="T255" i="31"/>
  <c r="AL256" i="31" s="1"/>
  <c r="T230" i="31"/>
  <c r="AL231" i="31" s="1"/>
  <c r="T306" i="31"/>
  <c r="AL307" i="31" s="1"/>
  <c r="T333" i="31"/>
  <c r="AL334" i="31" s="1"/>
  <c r="T218" i="31"/>
  <c r="AL219" i="31" s="1"/>
  <c r="AA320" i="31"/>
  <c r="AS321" i="31" s="1"/>
  <c r="AA204" i="31"/>
  <c r="AS205" i="31" s="1"/>
  <c r="AA306" i="31"/>
  <c r="AS307" i="31" s="1"/>
  <c r="AA281" i="31"/>
  <c r="AS282" i="31" s="1"/>
  <c r="AA294" i="31"/>
  <c r="AS295" i="31" s="1"/>
  <c r="AA242" i="31"/>
  <c r="AS243" i="31" s="1"/>
  <c r="AA268" i="31"/>
  <c r="AS269" i="31" s="1"/>
  <c r="AA333" i="31"/>
  <c r="AS334" i="31" s="1"/>
  <c r="AA218" i="31"/>
  <c r="AS219" i="31" s="1"/>
  <c r="AA255" i="31"/>
  <c r="AS256" i="31" s="1"/>
  <c r="AA230" i="31"/>
  <c r="AS231" i="31" s="1"/>
  <c r="R218" i="31"/>
  <c r="R204" i="31"/>
  <c r="R306" i="31"/>
  <c r="R294" i="31"/>
  <c r="R281" i="31"/>
  <c r="R230" i="31"/>
  <c r="R320" i="31"/>
  <c r="R268" i="31"/>
  <c r="R242" i="31"/>
  <c r="R333" i="31"/>
  <c r="R255" i="31"/>
  <c r="R14" i="26"/>
  <c r="R144" i="26" s="1"/>
  <c r="Z23" i="31"/>
  <c r="Z184" i="31" s="1"/>
  <c r="AR185" i="31" s="1"/>
  <c r="Q320" i="31"/>
  <c r="AI321" i="31" s="1"/>
  <c r="Q204" i="31"/>
  <c r="AI205" i="31" s="1"/>
  <c r="Q268" i="31"/>
  <c r="AI269" i="31" s="1"/>
  <c r="Q242" i="31"/>
  <c r="AI243" i="31" s="1"/>
  <c r="Q306" i="31"/>
  <c r="AI307" i="31" s="1"/>
  <c r="Q333" i="31"/>
  <c r="AI334" i="31" s="1"/>
  <c r="Q218" i="31"/>
  <c r="AI219" i="31" s="1"/>
  <c r="Q255" i="31"/>
  <c r="AI256" i="31" s="1"/>
  <c r="Q294" i="31"/>
  <c r="AI295" i="31" s="1"/>
  <c r="Q281" i="31"/>
  <c r="AI282" i="31" s="1"/>
  <c r="Q230" i="31"/>
  <c r="AI231" i="31" s="1"/>
  <c r="R36" i="26"/>
  <c r="U36" i="26"/>
  <c r="P36" i="26"/>
  <c r="N210" i="29"/>
  <c r="N207" i="29"/>
  <c r="N208" i="29"/>
  <c r="N209" i="29"/>
  <c r="N212" i="29"/>
  <c r="N211" i="29"/>
  <c r="S211" i="29"/>
  <c r="S207" i="29"/>
  <c r="S209" i="29"/>
  <c r="S210" i="29"/>
  <c r="S208" i="29"/>
  <c r="S212" i="29"/>
  <c r="W212" i="29"/>
  <c r="W210" i="29"/>
  <c r="W208" i="29"/>
  <c r="W209" i="29"/>
  <c r="W207" i="29"/>
  <c r="W211" i="29"/>
  <c r="AA212" i="29"/>
  <c r="AA210" i="29"/>
  <c r="AA209" i="29"/>
  <c r="AA211" i="29"/>
  <c r="AA208" i="29"/>
  <c r="AA207" i="29"/>
  <c r="P223" i="29"/>
  <c r="P225" i="29"/>
  <c r="P224" i="29"/>
  <c r="P222" i="29"/>
  <c r="P220" i="29"/>
  <c r="P221" i="29"/>
  <c r="U220" i="29"/>
  <c r="U221" i="29"/>
  <c r="U223" i="29"/>
  <c r="U225" i="29"/>
  <c r="U224" i="29"/>
  <c r="U222" i="29"/>
  <c r="Y224" i="29"/>
  <c r="Y220" i="29"/>
  <c r="Y221" i="29"/>
  <c r="Y222" i="29"/>
  <c r="Y225" i="29"/>
  <c r="Y223" i="29"/>
  <c r="O211" i="29"/>
  <c r="O207" i="29"/>
  <c r="O210" i="29"/>
  <c r="O209" i="29"/>
  <c r="O208" i="29"/>
  <c r="O212" i="29"/>
  <c r="T207" i="29"/>
  <c r="T210" i="29"/>
  <c r="T208" i="29"/>
  <c r="T209" i="29"/>
  <c r="T212" i="29"/>
  <c r="T211" i="29"/>
  <c r="X209" i="29"/>
  <c r="X211" i="29"/>
  <c r="X212" i="29"/>
  <c r="X208" i="29"/>
  <c r="X207" i="29"/>
  <c r="X210" i="29"/>
  <c r="AB209" i="29"/>
  <c r="AB210" i="29"/>
  <c r="AB212" i="29"/>
  <c r="AB207" i="29"/>
  <c r="AB211" i="29"/>
  <c r="AB208" i="29"/>
  <c r="Q221" i="29"/>
  <c r="Q225" i="29"/>
  <c r="Q224" i="29"/>
  <c r="Q220" i="29"/>
  <c r="Q223" i="29"/>
  <c r="Q222" i="29"/>
  <c r="V221" i="29"/>
  <c r="V224" i="29"/>
  <c r="V223" i="29"/>
  <c r="V220" i="29"/>
  <c r="V225" i="29"/>
  <c r="V222" i="29"/>
  <c r="Z224" i="29"/>
  <c r="Z223" i="29"/>
  <c r="Z225" i="29"/>
  <c r="Z220" i="29"/>
  <c r="Z222" i="29"/>
  <c r="Z221" i="29"/>
  <c r="P210" i="29"/>
  <c r="P212" i="29"/>
  <c r="P207" i="29"/>
  <c r="P209" i="29"/>
  <c r="P208" i="29"/>
  <c r="P211" i="29"/>
  <c r="U210" i="29"/>
  <c r="U207" i="29"/>
  <c r="U209" i="29"/>
  <c r="U212" i="29"/>
  <c r="U211" i="29"/>
  <c r="U208" i="29"/>
  <c r="Y212" i="29"/>
  <c r="Y209" i="29"/>
  <c r="Y207" i="29"/>
  <c r="Y210" i="29"/>
  <c r="Y208" i="29"/>
  <c r="Y211" i="29"/>
  <c r="N223" i="29"/>
  <c r="N220" i="29"/>
  <c r="N225" i="29"/>
  <c r="N224" i="29"/>
  <c r="N221" i="29"/>
  <c r="N222" i="29"/>
  <c r="S220" i="29"/>
  <c r="S224" i="29"/>
  <c r="S223" i="29"/>
  <c r="S221" i="29"/>
  <c r="S225" i="29"/>
  <c r="S222" i="29"/>
  <c r="W222" i="29"/>
  <c r="W224" i="29"/>
  <c r="W220" i="29"/>
  <c r="W225" i="29"/>
  <c r="W223" i="29"/>
  <c r="W221" i="29"/>
  <c r="AA222" i="29"/>
  <c r="AA220" i="29"/>
  <c r="AA221" i="29"/>
  <c r="AA223" i="29"/>
  <c r="AA224" i="29"/>
  <c r="AA225" i="29"/>
  <c r="Q209" i="29"/>
  <c r="Q210" i="29"/>
  <c r="Q207" i="29"/>
  <c r="Q211" i="29"/>
  <c r="Q208" i="29"/>
  <c r="Q212" i="29"/>
  <c r="V211" i="29"/>
  <c r="V208" i="29"/>
  <c r="V210" i="29"/>
  <c r="V212" i="29"/>
  <c r="V207" i="29"/>
  <c r="V209" i="29"/>
  <c r="Z212" i="29"/>
  <c r="Z208" i="29"/>
  <c r="Z209" i="29"/>
  <c r="Z207" i="29"/>
  <c r="Z211" i="29"/>
  <c r="Z210" i="29"/>
  <c r="O223" i="29"/>
  <c r="O222" i="29"/>
  <c r="O224" i="29"/>
  <c r="O220" i="29"/>
  <c r="O225" i="29"/>
  <c r="O221" i="29"/>
  <c r="T223" i="29"/>
  <c r="T224" i="29"/>
  <c r="T222" i="29"/>
  <c r="T225" i="29"/>
  <c r="T221" i="29"/>
  <c r="T220" i="29"/>
  <c r="X221" i="29"/>
  <c r="X225" i="29"/>
  <c r="X224" i="29"/>
  <c r="X222" i="29"/>
  <c r="X223" i="29"/>
  <c r="X220" i="29"/>
  <c r="AB222" i="29"/>
  <c r="AB224" i="29"/>
  <c r="AB223" i="29"/>
  <c r="AB220" i="29"/>
  <c r="AB221" i="29"/>
  <c r="AB225" i="29"/>
  <c r="I338" i="31"/>
  <c r="I325" i="31"/>
  <c r="I299" i="31"/>
  <c r="U97" i="31"/>
  <c r="N329" i="31"/>
  <c r="N290" i="31"/>
  <c r="N315" i="31"/>
  <c r="Q353" i="31"/>
  <c r="I149" i="31"/>
  <c r="I175" i="31"/>
  <c r="I209" i="31"/>
  <c r="I189" i="31"/>
  <c r="I135" i="31"/>
  <c r="I409" i="31"/>
  <c r="I54" i="31"/>
  <c r="V72" i="31"/>
  <c r="X153" i="31"/>
  <c r="R153" i="31"/>
  <c r="W72" i="31"/>
  <c r="Q318" i="28"/>
  <c r="Q291" i="28"/>
  <c r="Q279" i="28"/>
  <c r="Q266" i="28"/>
  <c r="Q305" i="28"/>
  <c r="U318" i="28"/>
  <c r="U305" i="28"/>
  <c r="U291" i="28"/>
  <c r="U279" i="28"/>
  <c r="U266" i="28"/>
  <c r="Y305" i="28"/>
  <c r="Y279" i="28"/>
  <c r="Y266" i="28"/>
  <c r="Y291" i="28"/>
  <c r="Y318" i="28"/>
  <c r="R266" i="28"/>
  <c r="R279" i="28"/>
  <c r="R305" i="28"/>
  <c r="R318" i="28"/>
  <c r="R291" i="28"/>
  <c r="V266" i="28"/>
  <c r="V305" i="28"/>
  <c r="V291" i="28"/>
  <c r="V318" i="28"/>
  <c r="V279" i="28"/>
  <c r="Z318" i="28"/>
  <c r="Z266" i="28"/>
  <c r="Z291" i="28"/>
  <c r="Z305" i="28"/>
  <c r="Z279" i="28"/>
  <c r="O318" i="28"/>
  <c r="O279" i="28"/>
  <c r="O305" i="28"/>
  <c r="O266" i="28"/>
  <c r="O291" i="28"/>
  <c r="S318" i="28"/>
  <c r="S305" i="28"/>
  <c r="S279" i="28"/>
  <c r="S266" i="28"/>
  <c r="S291" i="28"/>
  <c r="W318" i="28"/>
  <c r="W279" i="28"/>
  <c r="W266" i="28"/>
  <c r="W305" i="28"/>
  <c r="W291" i="28"/>
  <c r="AA318" i="28"/>
  <c r="AA279" i="28"/>
  <c r="AA291" i="28"/>
  <c r="AA305" i="28"/>
  <c r="AA266" i="28"/>
  <c r="P305" i="28"/>
  <c r="P318" i="28"/>
  <c r="P291" i="28"/>
  <c r="P279" i="28"/>
  <c r="P266" i="28"/>
  <c r="T305" i="28"/>
  <c r="T291" i="28"/>
  <c r="T279" i="28"/>
  <c r="T266" i="28"/>
  <c r="T318" i="28"/>
  <c r="X305" i="28"/>
  <c r="X291" i="28"/>
  <c r="X318" i="28"/>
  <c r="X279" i="28"/>
  <c r="X266" i="28"/>
  <c r="AB305" i="28"/>
  <c r="AB291" i="28"/>
  <c r="AB318" i="28"/>
  <c r="AB279" i="28"/>
  <c r="AB266" i="28"/>
  <c r="N305" i="28"/>
  <c r="N266" i="28"/>
  <c r="N279" i="28"/>
  <c r="N318" i="28"/>
  <c r="N291" i="28"/>
  <c r="U168" i="28"/>
  <c r="W168" i="28"/>
  <c r="AA168" i="28"/>
  <c r="T168" i="28"/>
  <c r="X168" i="28"/>
  <c r="AB168" i="28"/>
  <c r="N168" i="28"/>
  <c r="Q155" i="28"/>
  <c r="Q168" i="28"/>
  <c r="Y155" i="28"/>
  <c r="Y168" i="28"/>
  <c r="R155" i="28"/>
  <c r="R168" i="28"/>
  <c r="V155" i="28"/>
  <c r="V168" i="28"/>
  <c r="Z155" i="28"/>
  <c r="Z168" i="28"/>
  <c r="O155" i="28"/>
  <c r="O168" i="28"/>
  <c r="S155" i="28"/>
  <c r="S168" i="28"/>
  <c r="P155" i="28"/>
  <c r="P168" i="28"/>
  <c r="P58" i="26"/>
  <c r="AB58" i="26"/>
  <c r="T113" i="26"/>
  <c r="T58" i="26"/>
  <c r="Q71" i="26"/>
  <c r="X113" i="26"/>
  <c r="S127" i="26"/>
  <c r="V71" i="26"/>
  <c r="P113" i="26"/>
  <c r="Y127" i="26"/>
  <c r="R197" i="28"/>
  <c r="I57" i="28"/>
  <c r="X197" i="28"/>
  <c r="AA231" i="28"/>
  <c r="I257" i="28"/>
  <c r="W141" i="28"/>
  <c r="W155" i="28"/>
  <c r="AA141" i="28"/>
  <c r="AA155" i="28"/>
  <c r="T141" i="28"/>
  <c r="T155" i="28"/>
  <c r="X141" i="28"/>
  <c r="X155" i="28"/>
  <c r="AB141" i="28"/>
  <c r="AB155" i="28"/>
  <c r="N141" i="28"/>
  <c r="N155" i="28"/>
  <c r="U141" i="28"/>
  <c r="U155" i="28"/>
  <c r="X36" i="26"/>
  <c r="Z36" i="26"/>
  <c r="T36" i="26"/>
  <c r="V36" i="26"/>
  <c r="T15" i="4"/>
  <c r="T64" i="4" s="1"/>
  <c r="AL65" i="4" s="1"/>
  <c r="R15" i="4"/>
  <c r="R64" i="4" s="1"/>
  <c r="Q15" i="4"/>
  <c r="Q64" i="4" s="1"/>
  <c r="AI65" i="4" s="1"/>
  <c r="AA15" i="4"/>
  <c r="AA64" i="4" s="1"/>
  <c r="AS65" i="4" s="1"/>
  <c r="S15" i="4"/>
  <c r="S64" i="4" s="1"/>
  <c r="AK65" i="4" s="1"/>
  <c r="AE48" i="32"/>
  <c r="AE69" i="32" s="1"/>
  <c r="AE26" i="32" s="1"/>
  <c r="AQ48" i="32"/>
  <c r="AQ69" i="32" s="1"/>
  <c r="AQ26" i="32" s="1"/>
  <c r="S132" i="31"/>
  <c r="W132" i="31"/>
  <c r="AA132" i="31"/>
  <c r="P146" i="31"/>
  <c r="U146" i="31"/>
  <c r="Y146" i="31"/>
  <c r="Z259" i="28"/>
  <c r="V98" i="28"/>
  <c r="S257" i="28"/>
  <c r="I146" i="28"/>
  <c r="I121" i="28"/>
  <c r="I134" i="28"/>
  <c r="Q129" i="28"/>
  <c r="Q141" i="28"/>
  <c r="Y129" i="28"/>
  <c r="Y141" i="28"/>
  <c r="R129" i="28"/>
  <c r="R141" i="28"/>
  <c r="V129" i="28"/>
  <c r="V141" i="28"/>
  <c r="Z129" i="28"/>
  <c r="Z141" i="28"/>
  <c r="O129" i="28"/>
  <c r="O141" i="28"/>
  <c r="S129" i="28"/>
  <c r="S141" i="28"/>
  <c r="P129" i="28"/>
  <c r="P141" i="28"/>
  <c r="U116" i="28"/>
  <c r="U129" i="28"/>
  <c r="W116" i="28"/>
  <c r="W129" i="28"/>
  <c r="AA116" i="28"/>
  <c r="AA129" i="28"/>
  <c r="T116" i="28"/>
  <c r="T129" i="28"/>
  <c r="X116" i="28"/>
  <c r="X129" i="28"/>
  <c r="AB116" i="28"/>
  <c r="AB129" i="28"/>
  <c r="N116" i="28"/>
  <c r="N129" i="28"/>
  <c r="R64" i="28"/>
  <c r="R116" i="28"/>
  <c r="V64" i="28"/>
  <c r="V116" i="28"/>
  <c r="Z64" i="28"/>
  <c r="Z116" i="28"/>
  <c r="Q64" i="28"/>
  <c r="Q116" i="28"/>
  <c r="Y64" i="28"/>
  <c r="Y116" i="28"/>
  <c r="O64" i="28"/>
  <c r="O116" i="28"/>
  <c r="S64" i="28"/>
  <c r="S116" i="28"/>
  <c r="P64" i="28"/>
  <c r="P116" i="28"/>
  <c r="R111" i="31"/>
  <c r="I437" i="31"/>
  <c r="I358" i="31"/>
  <c r="O400" i="31"/>
  <c r="I43" i="28"/>
  <c r="I193" i="28"/>
  <c r="I69" i="28"/>
  <c r="AF8" i="28"/>
  <c r="I58" i="28" s="1"/>
  <c r="W98" i="28"/>
  <c r="U248" i="28"/>
  <c r="I81" i="28"/>
  <c r="O98" i="28"/>
  <c r="V248" i="28"/>
  <c r="N202" i="28"/>
  <c r="AF203" i="28" s="1"/>
  <c r="N188" i="28"/>
  <c r="AF189" i="28" s="1"/>
  <c r="T44" i="4"/>
  <c r="W44" i="4"/>
  <c r="P44" i="4"/>
  <c r="Z44" i="4"/>
  <c r="AA44" i="4"/>
  <c r="V44" i="4"/>
  <c r="X44" i="4"/>
  <c r="R44" i="4"/>
  <c r="S44" i="4"/>
  <c r="W38" i="28"/>
  <c r="W64" i="28"/>
  <c r="AA38" i="28"/>
  <c r="AA64" i="28"/>
  <c r="T38" i="28"/>
  <c r="T64" i="28"/>
  <c r="X38" i="28"/>
  <c r="X64" i="28"/>
  <c r="AB38" i="28"/>
  <c r="AB64" i="28"/>
  <c r="U38" i="28"/>
  <c r="U64" i="28"/>
  <c r="N64" i="28"/>
  <c r="S247" i="28"/>
  <c r="N242" i="28"/>
  <c r="U85" i="28"/>
  <c r="T209" i="28"/>
  <c r="N205" i="28"/>
  <c r="Q245" i="28"/>
  <c r="P233" i="28"/>
  <c r="N206" i="28"/>
  <c r="S209" i="28"/>
  <c r="Y85" i="28"/>
  <c r="R98" i="28"/>
  <c r="Z98" i="28"/>
  <c r="P248" i="28"/>
  <c r="Z248" i="28"/>
  <c r="O244" i="28"/>
  <c r="Y232" i="28"/>
  <c r="S205" i="28"/>
  <c r="U98" i="28"/>
  <c r="S197" i="28"/>
  <c r="AB205" i="28"/>
  <c r="O235" i="28"/>
  <c r="T248" i="28"/>
  <c r="O89" i="28"/>
  <c r="O38" i="28"/>
  <c r="S52" i="28"/>
  <c r="AK53" i="28" s="1"/>
  <c r="S38" i="28"/>
  <c r="P52" i="28"/>
  <c r="AH53" i="28" s="1"/>
  <c r="P38" i="28"/>
  <c r="Q102" i="28"/>
  <c r="Q38" i="28"/>
  <c r="Y52" i="28"/>
  <c r="AQ53" i="28" s="1"/>
  <c r="Y38" i="28"/>
  <c r="R76" i="28"/>
  <c r="R38" i="28"/>
  <c r="V52" i="28"/>
  <c r="AN53" i="28" s="1"/>
  <c r="V38" i="28"/>
  <c r="Z102" i="28"/>
  <c r="Z38" i="28"/>
  <c r="I80" i="31"/>
  <c r="I107" i="31"/>
  <c r="I396" i="31"/>
  <c r="Z13" i="26"/>
  <c r="AA13" i="26"/>
  <c r="AF8" i="31"/>
  <c r="O132" i="31"/>
  <c r="T132" i="31"/>
  <c r="X132" i="31"/>
  <c r="AB132" i="31"/>
  <c r="Q146" i="31"/>
  <c r="V146" i="31"/>
  <c r="Z146" i="31"/>
  <c r="O104" i="28"/>
  <c r="T104" i="28"/>
  <c r="AB104" i="28"/>
  <c r="BL99" i="28" s="1"/>
  <c r="BL16" i="28" s="1"/>
  <c r="Q132" i="31"/>
  <c r="V132" i="31"/>
  <c r="Z132" i="31"/>
  <c r="O146" i="31"/>
  <c r="T146" i="31"/>
  <c r="X146" i="31"/>
  <c r="AB146" i="31"/>
  <c r="O158" i="31"/>
  <c r="T158" i="31"/>
  <c r="X158" i="31"/>
  <c r="AB158" i="31"/>
  <c r="Q381" i="31"/>
  <c r="V381" i="31"/>
  <c r="Z381" i="31"/>
  <c r="P158" i="31"/>
  <c r="U158" i="31"/>
  <c r="Y158" i="31"/>
  <c r="S381" i="31"/>
  <c r="W381" i="31"/>
  <c r="AA381" i="31"/>
  <c r="O79" i="28"/>
  <c r="Q158" i="31"/>
  <c r="V158" i="31"/>
  <c r="Z158" i="31"/>
  <c r="O381" i="31"/>
  <c r="T381" i="31"/>
  <c r="X381" i="31"/>
  <c r="AB381" i="31"/>
  <c r="AA104" i="28"/>
  <c r="P132" i="31"/>
  <c r="U132" i="31"/>
  <c r="Y132" i="31"/>
  <c r="S146" i="31"/>
  <c r="W146" i="31"/>
  <c r="AA146" i="31"/>
  <c r="S158" i="31"/>
  <c r="W158" i="31"/>
  <c r="AA158" i="31"/>
  <c r="P381" i="31"/>
  <c r="U381" i="31"/>
  <c r="Y381" i="31"/>
  <c r="X14" i="4"/>
  <c r="X60" i="4"/>
  <c r="N45" i="4"/>
  <c r="N76" i="4"/>
  <c r="AF77" i="4" s="1"/>
  <c r="Y85" i="25"/>
  <c r="U85" i="25"/>
  <c r="Q85" i="25"/>
  <c r="AA85" i="25"/>
  <c r="V85" i="25"/>
  <c r="P85" i="25"/>
  <c r="Z85" i="25"/>
  <c r="T85" i="25"/>
  <c r="O85" i="25"/>
  <c r="Z139" i="25"/>
  <c r="V139" i="25"/>
  <c r="R139" i="25"/>
  <c r="X139" i="25"/>
  <c r="S139" i="25"/>
  <c r="AB139" i="25"/>
  <c r="W139" i="25"/>
  <c r="Q139" i="25"/>
  <c r="W85" i="25"/>
  <c r="T139" i="25"/>
  <c r="Z46" i="25"/>
  <c r="V46" i="25"/>
  <c r="T99" i="25"/>
  <c r="S99" i="25"/>
  <c r="AB99" i="25"/>
  <c r="P99" i="25"/>
  <c r="AB153" i="25"/>
  <c r="Q153" i="25"/>
  <c r="Y153" i="25"/>
  <c r="X85" i="25"/>
  <c r="U139" i="25"/>
  <c r="T153" i="25"/>
  <c r="R85" i="25"/>
  <c r="AB85" i="25"/>
  <c r="O139" i="25"/>
  <c r="Y139" i="25"/>
  <c r="U153" i="25"/>
  <c r="T43" i="1"/>
  <c r="P46" i="26"/>
  <c r="T46" i="26"/>
  <c r="X46" i="26"/>
  <c r="AB46" i="26"/>
  <c r="R99" i="26"/>
  <c r="V99" i="26"/>
  <c r="Z99" i="26"/>
  <c r="R153" i="26"/>
  <c r="V153" i="26"/>
  <c r="Z153" i="26"/>
  <c r="Q46" i="26"/>
  <c r="U46" i="26"/>
  <c r="Y46" i="26"/>
  <c r="O99" i="26"/>
  <c r="S99" i="26"/>
  <c r="W99" i="26"/>
  <c r="AA99" i="26"/>
  <c r="O153" i="26"/>
  <c r="S153" i="26"/>
  <c r="W153" i="26"/>
  <c r="AA153" i="26"/>
  <c r="R46" i="26"/>
  <c r="V46" i="26"/>
  <c r="P99" i="26"/>
  <c r="T99" i="26"/>
  <c r="X99" i="26"/>
  <c r="P153" i="26"/>
  <c r="T153" i="26"/>
  <c r="X153" i="26"/>
  <c r="Q418" i="31"/>
  <c r="Q432" i="31"/>
  <c r="V400" i="31"/>
  <c r="N303" i="31"/>
  <c r="N251" i="31"/>
  <c r="N227" i="31"/>
  <c r="N264" i="31"/>
  <c r="N239" i="31"/>
  <c r="N277" i="31"/>
  <c r="AB400" i="31"/>
  <c r="I121" i="31"/>
  <c r="I311" i="31"/>
  <c r="I260" i="31"/>
  <c r="I247" i="31"/>
  <c r="I235" i="31"/>
  <c r="I223" i="31"/>
  <c r="I286" i="31"/>
  <c r="I273" i="31"/>
  <c r="T82" i="28"/>
  <c r="P159" i="35"/>
  <c r="AI159" i="35" s="1"/>
  <c r="P105" i="35"/>
  <c r="AI105" i="35" s="1"/>
  <c r="AT500" i="31"/>
  <c r="AB199" i="31"/>
  <c r="Y97" i="31"/>
  <c r="R97" i="31"/>
  <c r="X97" i="31"/>
  <c r="P97" i="31"/>
  <c r="Y111" i="31"/>
  <c r="U111" i="31"/>
  <c r="S388" i="31"/>
  <c r="O388" i="31"/>
  <c r="T97" i="31"/>
  <c r="Z111" i="31"/>
  <c r="W388" i="31"/>
  <c r="T44" i="31"/>
  <c r="AL500" i="31"/>
  <c r="I93" i="31"/>
  <c r="I372" i="31"/>
  <c r="N107" i="1"/>
  <c r="V43" i="1"/>
  <c r="N43" i="1"/>
  <c r="X43" i="1"/>
  <c r="V107" i="1"/>
  <c r="AD249" i="28"/>
  <c r="S79" i="28"/>
  <c r="X81" i="28"/>
  <c r="U205" i="28"/>
  <c r="W209" i="28"/>
  <c r="AB207" i="28"/>
  <c r="Q207" i="28"/>
  <c r="T229" i="28"/>
  <c r="AB255" i="28"/>
  <c r="W234" i="28"/>
  <c r="X233" i="28"/>
  <c r="U232" i="28"/>
  <c r="S231" i="28"/>
  <c r="X82" i="28"/>
  <c r="Y208" i="28"/>
  <c r="T206" i="28"/>
  <c r="T208" i="28"/>
  <c r="V206" i="28"/>
  <c r="Z208" i="28"/>
  <c r="N246" i="28"/>
  <c r="AD48" i="28"/>
  <c r="Q85" i="28"/>
  <c r="AB85" i="28"/>
  <c r="P205" i="28"/>
  <c r="S206" i="28"/>
  <c r="AA208" i="28"/>
  <c r="P232" i="28"/>
  <c r="R235" i="28"/>
  <c r="X84" i="28"/>
  <c r="O210" i="28"/>
  <c r="V207" i="28"/>
  <c r="W205" i="28"/>
  <c r="T210" i="28"/>
  <c r="S234" i="28"/>
  <c r="T233" i="28"/>
  <c r="Q232" i="28"/>
  <c r="O231" i="28"/>
  <c r="Q208" i="28"/>
  <c r="X206" i="28"/>
  <c r="X208" i="28"/>
  <c r="V210" i="28"/>
  <c r="Z206" i="28"/>
  <c r="Q209" i="28"/>
  <c r="X205" i="28"/>
  <c r="U206" i="28"/>
  <c r="P230" i="28"/>
  <c r="AB232" i="28"/>
  <c r="N52" i="28"/>
  <c r="N89" i="28"/>
  <c r="N102" i="28"/>
  <c r="X260" i="28"/>
  <c r="U256" i="28"/>
  <c r="W257" i="28"/>
  <c r="Y258" i="28"/>
  <c r="AB259" i="28"/>
  <c r="AA260" i="28"/>
  <c r="T255" i="28"/>
  <c r="S256" i="28"/>
  <c r="U257" i="28"/>
  <c r="S258" i="28"/>
  <c r="U260" i="28"/>
  <c r="AA257" i="28"/>
  <c r="P259" i="28"/>
  <c r="O260" i="28"/>
  <c r="X255" i="28"/>
  <c r="W256" i="28"/>
  <c r="Y257" i="28"/>
  <c r="W258" i="28"/>
  <c r="V259" i="28"/>
  <c r="N259" i="28"/>
  <c r="Q257" i="28"/>
  <c r="P255" i="28"/>
  <c r="T259" i="28"/>
  <c r="O257" i="28"/>
  <c r="Z82" i="28"/>
  <c r="S80" i="28"/>
  <c r="X83" i="28"/>
  <c r="V81" i="28"/>
  <c r="T84" i="28"/>
  <c r="P246" i="28"/>
  <c r="T246" i="28"/>
  <c r="AA85" i="28"/>
  <c r="W85" i="28"/>
  <c r="S85" i="28"/>
  <c r="O85" i="28"/>
  <c r="Z85" i="28"/>
  <c r="V85" i="28"/>
  <c r="R85" i="28"/>
  <c r="U235" i="28"/>
  <c r="Z235" i="28"/>
  <c r="S235" i="28"/>
  <c r="AA258" i="28"/>
  <c r="AA256" i="28"/>
  <c r="W260" i="28"/>
  <c r="U258" i="28"/>
  <c r="Q260" i="28"/>
  <c r="O258" i="28"/>
  <c r="O256" i="28"/>
  <c r="S260" i="28"/>
  <c r="Q258" i="28"/>
  <c r="I244" i="28"/>
  <c r="I231" i="28"/>
  <c r="P85" i="28"/>
  <c r="X85" i="28"/>
  <c r="S210" i="28"/>
  <c r="AA210" i="28"/>
  <c r="O208" i="28"/>
  <c r="AA206" i="28"/>
  <c r="O206" i="28"/>
  <c r="V205" i="28"/>
  <c r="AB210" i="28"/>
  <c r="Y209" i="28"/>
  <c r="V208" i="28"/>
  <c r="T207" i="28"/>
  <c r="O205" i="28"/>
  <c r="N210" i="28"/>
  <c r="O209" i="28"/>
  <c r="P208" i="28"/>
  <c r="N207" i="28"/>
  <c r="P206" i="28"/>
  <c r="S207" i="28"/>
  <c r="P209" i="28"/>
  <c r="Z209" i="28"/>
  <c r="U207" i="28"/>
  <c r="W206" i="28"/>
  <c r="T205" i="28"/>
  <c r="X210" i="28"/>
  <c r="U209" i="28"/>
  <c r="P207" i="28"/>
  <c r="AA205" i="28"/>
  <c r="Z210" i="28"/>
  <c r="AA209" i="28"/>
  <c r="AB208" i="28"/>
  <c r="Z207" i="28"/>
  <c r="AB206" i="28"/>
  <c r="Y205" i="28"/>
  <c r="AA207" i="28"/>
  <c r="X209" i="28"/>
  <c r="Y235" i="28"/>
  <c r="Y229" i="28"/>
  <c r="AB230" i="28"/>
  <c r="AF10" i="29"/>
  <c r="Q247" i="28"/>
  <c r="S243" i="28"/>
  <c r="Q246" i="28"/>
  <c r="T244" i="28"/>
  <c r="W242" i="28"/>
  <c r="X243" i="28"/>
  <c r="N243" i="28"/>
  <c r="S244" i="28"/>
  <c r="U245" i="28"/>
  <c r="X246" i="28"/>
  <c r="W247" i="28"/>
  <c r="W244" i="28"/>
  <c r="Y245" i="28"/>
  <c r="AB246" i="28"/>
  <c r="B204" i="34"/>
  <c r="B203" i="34"/>
  <c r="I149" i="26"/>
  <c r="I95" i="26"/>
  <c r="I54" i="26"/>
  <c r="I163" i="26"/>
  <c r="I109" i="26"/>
  <c r="AF8" i="26"/>
  <c r="I42" i="26"/>
  <c r="I67" i="26"/>
  <c r="Y84" i="28"/>
  <c r="Y80" i="28"/>
  <c r="S84" i="28"/>
  <c r="S81" i="28"/>
  <c r="X80" i="28"/>
  <c r="AB79" i="28"/>
  <c r="Q79" i="28"/>
  <c r="Y82" i="28"/>
  <c r="P81" i="28"/>
  <c r="V83" i="28"/>
  <c r="Z84" i="28"/>
  <c r="AB84" i="28"/>
  <c r="X79" i="28"/>
  <c r="T80" i="28"/>
  <c r="AB81" i="28"/>
  <c r="Z83" i="28"/>
  <c r="W79" i="28"/>
  <c r="W80" i="28"/>
  <c r="Z81" i="28"/>
  <c r="AB82" i="28"/>
  <c r="AB83" i="28"/>
  <c r="V82" i="28"/>
  <c r="AA79" i="28"/>
  <c r="AA80" i="28"/>
  <c r="P82" i="28"/>
  <c r="P83" i="28"/>
  <c r="P84" i="28"/>
  <c r="U83" i="28"/>
  <c r="V79" i="28"/>
  <c r="O247" i="28"/>
  <c r="AA244" i="28"/>
  <c r="T83" i="28"/>
  <c r="V84" i="28"/>
  <c r="T81" i="28"/>
  <c r="I81" i="26"/>
  <c r="I50" i="29"/>
  <c r="I149" i="25"/>
  <c r="Z58" i="26"/>
  <c r="V58" i="26"/>
  <c r="R58" i="26"/>
  <c r="Y58" i="26"/>
  <c r="U58" i="26"/>
  <c r="Q58" i="26"/>
  <c r="Z113" i="26"/>
  <c r="V113" i="26"/>
  <c r="R113" i="26"/>
  <c r="Y113" i="26"/>
  <c r="U113" i="26"/>
  <c r="Q113" i="26"/>
  <c r="AB46" i="25"/>
  <c r="X46" i="25"/>
  <c r="T46" i="25"/>
  <c r="P46" i="25"/>
  <c r="AA46" i="25"/>
  <c r="W46" i="25"/>
  <c r="S46" i="25"/>
  <c r="O46" i="25"/>
  <c r="Z99" i="25"/>
  <c r="V99" i="25"/>
  <c r="R99" i="25"/>
  <c r="Y99" i="25"/>
  <c r="U99" i="25"/>
  <c r="Q99" i="25"/>
  <c r="AA153" i="25"/>
  <c r="W153" i="25"/>
  <c r="S153" i="25"/>
  <c r="O153" i="25"/>
  <c r="Z153" i="25"/>
  <c r="V153" i="25"/>
  <c r="R153" i="25"/>
  <c r="AA197" i="28"/>
  <c r="V197" i="28"/>
  <c r="P197" i="28"/>
  <c r="Z197" i="28"/>
  <c r="T197" i="28"/>
  <c r="O197" i="28"/>
  <c r="Z72" i="31"/>
  <c r="U72" i="31"/>
  <c r="O72" i="31"/>
  <c r="AA72" i="31"/>
  <c r="S72" i="31"/>
  <c r="Y72" i="31"/>
  <c r="R72" i="31"/>
  <c r="Z153" i="31"/>
  <c r="T153" i="31"/>
  <c r="O153" i="31"/>
  <c r="AB153" i="31"/>
  <c r="V153" i="31"/>
  <c r="AA153" i="31"/>
  <c r="S153" i="31"/>
  <c r="X400" i="31"/>
  <c r="S400" i="31"/>
  <c r="Z400" i="31"/>
  <c r="R400" i="31"/>
  <c r="W400" i="31"/>
  <c r="P400" i="31"/>
  <c r="X64" i="7"/>
  <c r="S64" i="7"/>
  <c r="Y64" i="7"/>
  <c r="Q64" i="7"/>
  <c r="W64" i="7"/>
  <c r="P64" i="7"/>
  <c r="S58" i="26"/>
  <c r="AA58" i="26"/>
  <c r="O113" i="26"/>
  <c r="W113" i="26"/>
  <c r="Q46" i="25"/>
  <c r="Y46" i="25"/>
  <c r="O99" i="25"/>
  <c r="W99" i="25"/>
  <c r="P153" i="25"/>
  <c r="X153" i="25"/>
  <c r="W197" i="28"/>
  <c r="V234" i="28"/>
  <c r="AA232" i="28"/>
  <c r="Q231" i="28"/>
  <c r="V230" i="28"/>
  <c r="N230" i="28"/>
  <c r="V229" i="28"/>
  <c r="AA233" i="28"/>
  <c r="O232" i="28"/>
  <c r="Z230" i="28"/>
  <c r="Q229" i="28"/>
  <c r="V233" i="28"/>
  <c r="V231" i="28"/>
  <c r="U230" i="28"/>
  <c r="Z229" i="28"/>
  <c r="P229" i="28"/>
  <c r="P153" i="31"/>
  <c r="AA400" i="31"/>
  <c r="I49" i="29"/>
  <c r="AA64" i="7"/>
  <c r="AA235" i="28"/>
  <c r="V235" i="28"/>
  <c r="Q235" i="28"/>
  <c r="AB97" i="31"/>
  <c r="V97" i="31"/>
  <c r="Q97" i="31"/>
  <c r="Y39" i="7"/>
  <c r="U39" i="7"/>
  <c r="Q39" i="7"/>
  <c r="AA96" i="7"/>
  <c r="W96" i="7"/>
  <c r="S96" i="7"/>
  <c r="O96" i="7"/>
  <c r="S208" i="28"/>
  <c r="Q210" i="28"/>
  <c r="N245" i="28"/>
  <c r="P39" i="7"/>
  <c r="V39" i="7"/>
  <c r="AA39" i="7"/>
  <c r="Q96" i="7"/>
  <c r="V96" i="7"/>
  <c r="Y248" i="28"/>
  <c r="Q248" i="28"/>
  <c r="W111" i="31"/>
  <c r="O111" i="31"/>
  <c r="Z388" i="31"/>
  <c r="R388" i="31"/>
  <c r="P107" i="1"/>
  <c r="W107" i="1"/>
  <c r="R71" i="26"/>
  <c r="X71" i="26"/>
  <c r="T127" i="26"/>
  <c r="AA127" i="26"/>
  <c r="S58" i="25"/>
  <c r="Z113" i="25"/>
  <c r="I107" i="28"/>
  <c r="I207" i="28"/>
  <c r="I94" i="28"/>
  <c r="R107" i="1"/>
  <c r="X107" i="1"/>
  <c r="T71" i="26"/>
  <c r="Y71" i="26"/>
  <c r="O127" i="26"/>
  <c r="U127" i="26"/>
  <c r="S107" i="1"/>
  <c r="AA107" i="1"/>
  <c r="P71" i="26"/>
  <c r="U71" i="26"/>
  <c r="P127" i="26"/>
  <c r="AA71" i="26"/>
  <c r="W71" i="26"/>
  <c r="S71" i="26"/>
  <c r="O71" i="26"/>
  <c r="Z127" i="26"/>
  <c r="V127" i="26"/>
  <c r="R127" i="26"/>
  <c r="AB127" i="26"/>
  <c r="W127" i="26"/>
  <c r="Q127" i="26"/>
  <c r="Z58" i="25"/>
  <c r="V58" i="25"/>
  <c r="R58" i="25"/>
  <c r="AB58" i="25"/>
  <c r="W58" i="25"/>
  <c r="Q58" i="25"/>
  <c r="AA58" i="25"/>
  <c r="U58" i="25"/>
  <c r="P58" i="25"/>
  <c r="Y58" i="25"/>
  <c r="T58" i="25"/>
  <c r="O58" i="25"/>
  <c r="Y113" i="25"/>
  <c r="U113" i="25"/>
  <c r="Q113" i="25"/>
  <c r="X113" i="25"/>
  <c r="S113" i="25"/>
  <c r="AB113" i="25"/>
  <c r="W113" i="25"/>
  <c r="R113" i="25"/>
  <c r="AA113" i="25"/>
  <c r="V113" i="25"/>
  <c r="P113" i="25"/>
  <c r="Y73" i="28"/>
  <c r="U73" i="28"/>
  <c r="Q73" i="28"/>
  <c r="AB73" i="28"/>
  <c r="X73" i="28"/>
  <c r="T73" i="28"/>
  <c r="P73" i="28"/>
  <c r="AA73" i="28"/>
  <c r="S73" i="28"/>
  <c r="Z73" i="28"/>
  <c r="R73" i="28"/>
  <c r="W73" i="28"/>
  <c r="O73" i="28"/>
  <c r="AB223" i="28"/>
  <c r="X223" i="28"/>
  <c r="T223" i="28"/>
  <c r="P223" i="28"/>
  <c r="W223" i="28"/>
  <c r="R223" i="28"/>
  <c r="AA223" i="28"/>
  <c r="V223" i="28"/>
  <c r="Q223" i="28"/>
  <c r="Z223" i="28"/>
  <c r="U223" i="28"/>
  <c r="O223" i="28"/>
  <c r="S223" i="28"/>
  <c r="Y84" i="31"/>
  <c r="U84" i="31"/>
  <c r="Q84" i="31"/>
  <c r="Z84" i="31"/>
  <c r="T84" i="31"/>
  <c r="O84" i="31"/>
  <c r="X84" i="31"/>
  <c r="S84" i="31"/>
  <c r="AB84" i="31"/>
  <c r="W84" i="31"/>
  <c r="R84" i="31"/>
  <c r="P84" i="31"/>
  <c r="AA84" i="31"/>
  <c r="AB362" i="31"/>
  <c r="X362" i="31"/>
  <c r="T362" i="31"/>
  <c r="P362" i="31"/>
  <c r="Y362" i="31"/>
  <c r="S362" i="31"/>
  <c r="W362" i="31"/>
  <c r="R362" i="31"/>
  <c r="AA362" i="31"/>
  <c r="V362" i="31"/>
  <c r="Q362" i="31"/>
  <c r="O362" i="31"/>
  <c r="Z362" i="31"/>
  <c r="AB413" i="31"/>
  <c r="X413" i="31"/>
  <c r="T413" i="31"/>
  <c r="P413" i="31"/>
  <c r="Y413" i="31"/>
  <c r="S413" i="31"/>
  <c r="W413" i="31"/>
  <c r="R413" i="31"/>
  <c r="AA413" i="31"/>
  <c r="V413" i="31"/>
  <c r="Q413" i="31"/>
  <c r="O413" i="31"/>
  <c r="Z413" i="31"/>
  <c r="Z127" i="7"/>
  <c r="U127" i="7"/>
  <c r="O127" i="7"/>
  <c r="V127" i="7"/>
  <c r="N127" i="7"/>
  <c r="AA127" i="7"/>
  <c r="S127" i="7"/>
  <c r="Y127" i="7"/>
  <c r="R127" i="7"/>
  <c r="W127" i="7"/>
  <c r="Q127" i="7"/>
  <c r="AE7" i="23"/>
  <c r="H33" i="23"/>
  <c r="AD99" i="28"/>
  <c r="N209" i="28"/>
  <c r="N208" i="28"/>
  <c r="W81" i="28"/>
  <c r="Q82" i="28"/>
  <c r="AA82" i="28"/>
  <c r="Y83" i="28"/>
  <c r="U84" i="28"/>
  <c r="T79" i="28"/>
  <c r="Y79" i="28"/>
  <c r="P80" i="28"/>
  <c r="U80" i="28"/>
  <c r="Z80" i="28"/>
  <c r="Y81" i="28"/>
  <c r="S82" i="28"/>
  <c r="Q83" i="28"/>
  <c r="AA83" i="28"/>
  <c r="W84" i="28"/>
  <c r="T234" i="28"/>
  <c r="Z233" i="28"/>
  <c r="O233" i="28"/>
  <c r="V232" i="28"/>
  <c r="AA234" i="28"/>
  <c r="X230" i="28"/>
  <c r="X229" i="28"/>
  <c r="X231" i="28"/>
  <c r="T232" i="28"/>
  <c r="N234" i="28"/>
  <c r="AB234" i="28"/>
  <c r="Y98" i="28"/>
  <c r="S98" i="28"/>
  <c r="X248" i="28"/>
  <c r="R248" i="28"/>
  <c r="AA111" i="31"/>
  <c r="V111" i="31"/>
  <c r="Q111" i="31"/>
  <c r="AA388" i="31"/>
  <c r="V388" i="31"/>
  <c r="Q388" i="31"/>
  <c r="Y51" i="7"/>
  <c r="Z51" i="7"/>
  <c r="P79" i="28"/>
  <c r="U79" i="28"/>
  <c r="Z79" i="28"/>
  <c r="Q80" i="28"/>
  <c r="V80" i="28"/>
  <c r="AB80" i="28"/>
  <c r="Q81" i="28"/>
  <c r="AA81" i="28"/>
  <c r="W82" i="28"/>
  <c r="S83" i="28"/>
  <c r="AA84" i="28"/>
  <c r="N229" i="28"/>
  <c r="U229" i="28"/>
  <c r="AB229" i="28"/>
  <c r="Q230" i="28"/>
  <c r="Y230" i="28"/>
  <c r="P231" i="28"/>
  <c r="Z231" i="28"/>
  <c r="W232" i="28"/>
  <c r="U233" i="28"/>
  <c r="S255" i="28"/>
  <c r="N258" i="28"/>
  <c r="U388" i="31"/>
  <c r="U51" i="7"/>
  <c r="Y197" i="28"/>
  <c r="U197" i="28"/>
  <c r="Q197" i="28"/>
  <c r="AB72" i="31"/>
  <c r="X72" i="31"/>
  <c r="T72" i="31"/>
  <c r="P72" i="31"/>
  <c r="Y153" i="31"/>
  <c r="U153" i="31"/>
  <c r="Q153" i="31"/>
  <c r="Y400" i="31"/>
  <c r="U400" i="31"/>
  <c r="Q400" i="31"/>
  <c r="Z64" i="7"/>
  <c r="V64" i="7"/>
  <c r="R64" i="7"/>
  <c r="N64" i="7"/>
  <c r="AD198" i="28"/>
  <c r="P73" i="35"/>
  <c r="AI73" i="35" s="1"/>
  <c r="P164" i="35"/>
  <c r="AI164" i="35" s="1"/>
  <c r="O107" i="1"/>
  <c r="T107" i="1"/>
  <c r="Z107" i="1"/>
  <c r="H92" i="1"/>
  <c r="R43" i="1"/>
  <c r="Z43" i="1"/>
  <c r="AA54" i="1"/>
  <c r="W54" i="1"/>
  <c r="S54" i="1"/>
  <c r="O54" i="1"/>
  <c r="Y54" i="1"/>
  <c r="Q54" i="1"/>
  <c r="Z54" i="1"/>
  <c r="V54" i="1"/>
  <c r="R54" i="1"/>
  <c r="N54" i="1"/>
  <c r="U54" i="1"/>
  <c r="P54" i="1"/>
  <c r="X54" i="1"/>
  <c r="Q96" i="1"/>
  <c r="AE6" i="1"/>
  <c r="H61" i="1"/>
  <c r="Y96" i="1"/>
  <c r="Q107" i="1"/>
  <c r="U107" i="1"/>
  <c r="Z91" i="25"/>
  <c r="V91" i="25"/>
  <c r="R91" i="25"/>
  <c r="N91" i="25"/>
  <c r="X91" i="25"/>
  <c r="P91" i="25"/>
  <c r="AA91" i="25"/>
  <c r="S91" i="25"/>
  <c r="Y91" i="25"/>
  <c r="U91" i="25"/>
  <c r="Q91" i="25"/>
  <c r="AB91" i="25"/>
  <c r="T91" i="25"/>
  <c r="W91" i="25"/>
  <c r="O91" i="25"/>
  <c r="AH49" i="32"/>
  <c r="H33" i="50" s="1"/>
  <c r="AA42" i="7"/>
  <c r="Q51" i="7"/>
  <c r="V51" i="7"/>
  <c r="R51" i="7"/>
  <c r="X51" i="7"/>
  <c r="N51" i="7"/>
  <c r="T51" i="7"/>
  <c r="Z90" i="31"/>
  <c r="BJ85" i="31" s="1"/>
  <c r="Q104" i="31"/>
  <c r="BA97" i="31" s="1"/>
  <c r="V369" i="31"/>
  <c r="BF364" i="31" s="1"/>
  <c r="P121" i="35"/>
  <c r="AI121" i="35" s="1"/>
  <c r="P137" i="35"/>
  <c r="AI137" i="35" s="1"/>
  <c r="Y77" i="31"/>
  <c r="U54" i="35"/>
  <c r="P65" i="31"/>
  <c r="AZ60" i="31" s="1"/>
  <c r="Q35" i="4"/>
  <c r="Z35" i="4"/>
  <c r="H39" i="1"/>
  <c r="H103" i="1"/>
  <c r="O43" i="1"/>
  <c r="S43" i="1"/>
  <c r="W43" i="1"/>
  <c r="AA43" i="1"/>
  <c r="H114" i="1"/>
  <c r="U96" i="1"/>
  <c r="Q43" i="1"/>
  <c r="U43" i="1"/>
  <c r="W35" i="4"/>
  <c r="O35" i="4"/>
  <c r="T35" i="4"/>
  <c r="AB35" i="4"/>
  <c r="P35" i="4"/>
  <c r="U35" i="4"/>
  <c r="T2" i="29"/>
  <c r="AL40" i="29" s="1"/>
  <c r="AL83" i="29" s="1"/>
  <c r="AL232" i="29" s="1"/>
  <c r="M5" i="5"/>
  <c r="Z2" i="32"/>
  <c r="T2" i="4"/>
  <c r="S2" i="7"/>
  <c r="K5" i="5"/>
  <c r="Z52" i="28"/>
  <c r="AR53" i="28" s="1"/>
  <c r="U24" i="31"/>
  <c r="W24" i="31"/>
  <c r="X24" i="31"/>
  <c r="Y24" i="31"/>
  <c r="Z76" i="28"/>
  <c r="AR77" i="28" s="1"/>
  <c r="AB24" i="31"/>
  <c r="Z24" i="31"/>
  <c r="P24" i="31"/>
  <c r="V24" i="31"/>
  <c r="O24" i="31"/>
  <c r="Y22" i="7"/>
  <c r="Y118" i="7" s="1"/>
  <c r="T25" i="31"/>
  <c r="O22" i="7"/>
  <c r="O118" i="7" s="1"/>
  <c r="V22" i="7"/>
  <c r="V118" i="7" s="1"/>
  <c r="N14" i="26"/>
  <c r="Y89" i="28"/>
  <c r="M24" i="7"/>
  <c r="Y76" i="28"/>
  <c r="AQ77" i="28" s="1"/>
  <c r="P102" i="28"/>
  <c r="P89" i="28"/>
  <c r="V89" i="28"/>
  <c r="P76" i="28"/>
  <c r="AH77" i="28" s="1"/>
  <c r="Y102" i="28"/>
  <c r="S89" i="28"/>
  <c r="S102" i="28"/>
  <c r="Z89" i="28"/>
  <c r="S76" i="28"/>
  <c r="AK77" i="28" s="1"/>
  <c r="T102" i="28"/>
  <c r="T76" i="28"/>
  <c r="AL77" i="28" s="1"/>
  <c r="T52" i="28"/>
  <c r="AL53" i="28" s="1"/>
  <c r="T89" i="28"/>
  <c r="N76" i="25"/>
  <c r="N158" i="25"/>
  <c r="N130" i="25"/>
  <c r="N49" i="25"/>
  <c r="N144" i="25"/>
  <c r="N118" i="25"/>
  <c r="AB76" i="28"/>
  <c r="AT77" i="28" s="1"/>
  <c r="AB52" i="28"/>
  <c r="AT53" i="28" s="1"/>
  <c r="AB89" i="28"/>
  <c r="AB102" i="28"/>
  <c r="W22" i="7"/>
  <c r="W118" i="7" s="1"/>
  <c r="U22" i="7"/>
  <c r="U118" i="7" s="1"/>
  <c r="N22" i="7"/>
  <c r="N118" i="7" s="1"/>
  <c r="S22" i="7"/>
  <c r="S118" i="7" s="1"/>
  <c r="Q22" i="7"/>
  <c r="Q118" i="7" s="1"/>
  <c r="W23" i="7"/>
  <c r="W130" i="7" s="1"/>
  <c r="R22" i="7"/>
  <c r="R118" i="7" s="1"/>
  <c r="Y87" i="7"/>
  <c r="Y89" i="7" s="1"/>
  <c r="W76" i="28"/>
  <c r="AO77" i="28" s="1"/>
  <c r="W52" i="28"/>
  <c r="AO53" i="28" s="1"/>
  <c r="Y25" i="31"/>
  <c r="W25" i="31"/>
  <c r="O25" i="31"/>
  <c r="X25" i="31"/>
  <c r="AB25" i="31"/>
  <c r="U25" i="31"/>
  <c r="R25" i="31"/>
  <c r="S25" i="31"/>
  <c r="N25" i="31"/>
  <c r="R102" i="28"/>
  <c r="R89" i="28"/>
  <c r="R52" i="28"/>
  <c r="AA76" i="28"/>
  <c r="AS77" i="28" s="1"/>
  <c r="AA89" i="28"/>
  <c r="X89" i="28"/>
  <c r="X76" i="28"/>
  <c r="AP77" i="28" s="1"/>
  <c r="X102" i="28"/>
  <c r="X52" i="28"/>
  <c r="AP53" i="28" s="1"/>
  <c r="R23" i="7"/>
  <c r="R130" i="7" s="1"/>
  <c r="Q23" i="7"/>
  <c r="Q130" i="7" s="1"/>
  <c r="M23" i="7"/>
  <c r="M130" i="7" s="1"/>
  <c r="T23" i="7"/>
  <c r="T130" i="7" s="1"/>
  <c r="Z23" i="7"/>
  <c r="Z130" i="7" s="1"/>
  <c r="N23" i="7"/>
  <c r="N130" i="7" s="1"/>
  <c r="O23" i="7"/>
  <c r="O130" i="7" s="1"/>
  <c r="S23" i="7"/>
  <c r="S130" i="7" s="1"/>
  <c r="X23" i="7"/>
  <c r="X130" i="7" s="1"/>
  <c r="V23" i="7"/>
  <c r="V130" i="7" s="1"/>
  <c r="Y23" i="7"/>
  <c r="Y130" i="7" s="1"/>
  <c r="AA23" i="7"/>
  <c r="AA130" i="7" s="1"/>
  <c r="V25" i="31"/>
  <c r="N90" i="25"/>
  <c r="N62" i="25"/>
  <c r="N37" i="25"/>
  <c r="N104" i="25"/>
  <c r="Q42" i="7"/>
  <c r="Z27" i="7"/>
  <c r="Q27" i="7"/>
  <c r="AA27" i="7"/>
  <c r="R27" i="7"/>
  <c r="X27" i="7"/>
  <c r="X87" i="7" s="1"/>
  <c r="X89" i="7" s="1"/>
  <c r="P27" i="7"/>
  <c r="P87" i="7" s="1"/>
  <c r="P89" i="7" s="1"/>
  <c r="O27" i="7"/>
  <c r="V27" i="7"/>
  <c r="W27" i="7"/>
  <c r="W99" i="7" s="1"/>
  <c r="T27" i="7"/>
  <c r="S27" i="7"/>
  <c r="N27" i="7"/>
  <c r="U89" i="28"/>
  <c r="U52" i="28"/>
  <c r="AM53" i="28" s="1"/>
  <c r="U76" i="28"/>
  <c r="AM77" i="28" s="1"/>
  <c r="U102" i="28"/>
  <c r="Y99" i="7"/>
  <c r="N226" i="28"/>
  <c r="AF227" i="28" s="1"/>
  <c r="W89" i="28"/>
  <c r="O102" i="28"/>
  <c r="W102" i="28"/>
  <c r="Z25" i="31"/>
  <c r="P25" i="31"/>
  <c r="U27" i="7"/>
  <c r="M27" i="7"/>
  <c r="AA25" i="31"/>
  <c r="V102" i="28"/>
  <c r="V76" i="28"/>
  <c r="AN77" i="28" s="1"/>
  <c r="P17" i="28"/>
  <c r="P214" i="28" s="1"/>
  <c r="V23" i="31"/>
  <c r="AB23" i="31"/>
  <c r="P23" i="31"/>
  <c r="Z22" i="7"/>
  <c r="Z118" i="7" s="1"/>
  <c r="P104" i="31"/>
  <c r="AZ97" i="31" s="1"/>
  <c r="Q76" i="28"/>
  <c r="AI77" i="28" s="1"/>
  <c r="N239" i="28"/>
  <c r="AF240" i="28" s="1"/>
  <c r="AA102" i="28"/>
  <c r="O52" i="28"/>
  <c r="AG53" i="28" s="1"/>
  <c r="Q404" i="31"/>
  <c r="Q367" i="31"/>
  <c r="Q52" i="28"/>
  <c r="AI53" i="28" s="1"/>
  <c r="N252" i="28"/>
  <c r="AF253" i="28" s="1"/>
  <c r="O76" i="28"/>
  <c r="AG77" i="28" s="1"/>
  <c r="Q391" i="31"/>
  <c r="Q89" i="28"/>
  <c r="AA52" i="28"/>
  <c r="AS53" i="28" s="1"/>
  <c r="I393" i="31"/>
  <c r="N96" i="1"/>
  <c r="R96" i="1"/>
  <c r="V96" i="1"/>
  <c r="Z96" i="1"/>
  <c r="O96" i="1"/>
  <c r="S96" i="1"/>
  <c r="W96" i="1"/>
  <c r="AA96" i="1"/>
  <c r="P96" i="1"/>
  <c r="T96" i="1"/>
  <c r="N76" i="28"/>
  <c r="J35" i="38"/>
  <c r="P36" i="25" s="1"/>
  <c r="Q35" i="38"/>
  <c r="W36" i="25" s="1"/>
  <c r="S35" i="38"/>
  <c r="N35" i="38"/>
  <c r="T35" i="38"/>
  <c r="Z36" i="25" s="1"/>
  <c r="I35" i="38"/>
  <c r="O36" i="25" s="1"/>
  <c r="K35" i="38"/>
  <c r="Q36" i="25" s="1"/>
  <c r="L35" i="38"/>
  <c r="R36" i="25" s="1"/>
  <c r="R35" i="38"/>
  <c r="X36" i="25" s="1"/>
  <c r="M35" i="38"/>
  <c r="S36" i="25" s="1"/>
  <c r="AB35" i="25"/>
  <c r="R35" i="25"/>
  <c r="P35" i="25"/>
  <c r="N35" i="25"/>
  <c r="O2" i="29"/>
  <c r="AG40" i="29" s="1"/>
  <c r="AG83" i="29" s="1"/>
  <c r="AG232" i="29" s="1"/>
  <c r="R9" i="35"/>
  <c r="E7" i="36"/>
  <c r="M2" i="7"/>
  <c r="P369" i="31"/>
  <c r="AZ364" i="31" s="1"/>
  <c r="S65" i="31"/>
  <c r="BC60" i="31" s="1"/>
  <c r="W65" i="31"/>
  <c r="BG60" i="31" s="1"/>
  <c r="V65" i="31"/>
  <c r="BF60" i="31" s="1"/>
  <c r="Z65" i="31"/>
  <c r="BJ60" i="31" s="1"/>
  <c r="Q90" i="31"/>
  <c r="BA84" i="31" s="1"/>
  <c r="BA19" i="31" s="1"/>
  <c r="V90" i="31"/>
  <c r="BF84" i="31" s="1"/>
  <c r="BF19" i="31" s="1"/>
  <c r="O77" i="31"/>
  <c r="AY72" i="31" s="1"/>
  <c r="AY18" i="31" s="1"/>
  <c r="T77" i="31"/>
  <c r="BD72" i="31" s="1"/>
  <c r="BD18" i="31" s="1"/>
  <c r="X77" i="31"/>
  <c r="BH72" i="31" s="1"/>
  <c r="BH18" i="31" s="1"/>
  <c r="AB77" i="31"/>
  <c r="BL72" i="31" s="1"/>
  <c r="BL18" i="31" s="1"/>
  <c r="V104" i="31"/>
  <c r="Z104" i="31"/>
  <c r="BJ99" i="31" s="1"/>
  <c r="Y65" i="31"/>
  <c r="BI60" i="31" s="1"/>
  <c r="S90" i="31"/>
  <c r="BC84" i="31" s="1"/>
  <c r="BC19" i="31" s="1"/>
  <c r="W90" i="31"/>
  <c r="BG84" i="31" s="1"/>
  <c r="BG19" i="31" s="1"/>
  <c r="P77" i="31"/>
  <c r="AZ72" i="31" s="1"/>
  <c r="AZ18" i="31" s="1"/>
  <c r="U77" i="31"/>
  <c r="O65" i="31"/>
  <c r="AY60" i="31" s="1"/>
  <c r="T65" i="31"/>
  <c r="BD60" i="31" s="1"/>
  <c r="X65" i="31"/>
  <c r="BH60" i="31" s="1"/>
  <c r="Q369" i="31"/>
  <c r="BA364" i="31" s="1"/>
  <c r="Z369" i="31"/>
  <c r="BJ364" i="31" s="1"/>
  <c r="Y369" i="31"/>
  <c r="BI364" i="31" s="1"/>
  <c r="S104" i="31"/>
  <c r="BC97" i="31" s="1"/>
  <c r="W104" i="31"/>
  <c r="BG97" i="31" s="1"/>
  <c r="S369" i="31"/>
  <c r="BC364" i="31" s="1"/>
  <c r="W369" i="31"/>
  <c r="BG364" i="31" s="1"/>
  <c r="AA369" i="31"/>
  <c r="BK364" i="31" s="1"/>
  <c r="O90" i="31"/>
  <c r="AY84" i="31" s="1"/>
  <c r="AY19" i="31" s="1"/>
  <c r="X90" i="31"/>
  <c r="BH84" i="31" s="1"/>
  <c r="BH19" i="31" s="1"/>
  <c r="AB90" i="31"/>
  <c r="BL84" i="31" s="1"/>
  <c r="BL19" i="31" s="1"/>
  <c r="Q77" i="31"/>
  <c r="V77" i="31"/>
  <c r="BF72" i="31" s="1"/>
  <c r="BF18" i="31" s="1"/>
  <c r="Z77" i="31"/>
  <c r="BJ72" i="31" s="1"/>
  <c r="BJ18" i="31" s="1"/>
  <c r="O104" i="31"/>
  <c r="AY99" i="31" s="1"/>
  <c r="T104" i="31"/>
  <c r="BD97" i="31" s="1"/>
  <c r="X104" i="31"/>
  <c r="BH97" i="31" s="1"/>
  <c r="AB104" i="31"/>
  <c r="BL99" i="31" s="1"/>
  <c r="O369" i="31"/>
  <c r="AY364" i="31" s="1"/>
  <c r="T369" i="31"/>
  <c r="BD364" i="31" s="1"/>
  <c r="X369" i="31"/>
  <c r="AB369" i="31"/>
  <c r="BL364" i="31" s="1"/>
  <c r="U65" i="31"/>
  <c r="BE60" i="31" s="1"/>
  <c r="P90" i="31"/>
  <c r="AZ84" i="31" s="1"/>
  <c r="AZ19" i="31" s="1"/>
  <c r="U90" i="31"/>
  <c r="BE85" i="31" s="1"/>
  <c r="Y90" i="31"/>
  <c r="BI85" i="31" s="1"/>
  <c r="S77" i="31"/>
  <c r="BC72" i="31" s="1"/>
  <c r="BC18" i="31" s="1"/>
  <c r="U104" i="31"/>
  <c r="BE97" i="31" s="1"/>
  <c r="Y104" i="31"/>
  <c r="BI97" i="31" s="1"/>
  <c r="U369" i="31"/>
  <c r="BE364" i="31" s="1"/>
  <c r="H5" i="5"/>
  <c r="P20" i="1"/>
  <c r="R2" i="26"/>
  <c r="AP29" i="4"/>
  <c r="AP60" i="4" s="1"/>
  <c r="N2" i="23"/>
  <c r="AY4" i="23" s="1"/>
  <c r="I7" i="36"/>
  <c r="P2" i="29"/>
  <c r="AH40" i="29" s="1"/>
  <c r="AH83" i="29" s="1"/>
  <c r="AH232" i="29" s="1"/>
  <c r="Q2" i="29"/>
  <c r="AI40" i="29" s="1"/>
  <c r="AI83" i="29" s="1"/>
  <c r="AI232" i="29" s="1"/>
  <c r="X2" i="29"/>
  <c r="AP40" i="29" s="1"/>
  <c r="AP83" i="29" s="1"/>
  <c r="AP232" i="29" s="1"/>
  <c r="N9" i="35"/>
  <c r="N149" i="35" s="1"/>
  <c r="AG149" i="35" s="1"/>
  <c r="M2" i="34"/>
  <c r="N2" i="32"/>
  <c r="X2" i="31"/>
  <c r="O2" i="23"/>
  <c r="AZ4" i="23" s="1"/>
  <c r="P2" i="31"/>
  <c r="R2" i="31"/>
  <c r="V2" i="34"/>
  <c r="R32" i="38"/>
  <c r="AA2" i="28"/>
  <c r="T2" i="28"/>
  <c r="X2" i="32"/>
  <c r="M4" i="25"/>
  <c r="S7" i="36"/>
  <c r="AA2" i="7"/>
  <c r="AB2" i="4"/>
  <c r="AB2" i="26"/>
  <c r="BL30" i="26" s="1"/>
  <c r="V2" i="29"/>
  <c r="AN40" i="29" s="1"/>
  <c r="AN83" i="29" s="1"/>
  <c r="AN232" i="29" s="1"/>
  <c r="S5" i="5"/>
  <c r="Z2" i="31"/>
  <c r="Z2" i="4"/>
  <c r="Y2" i="7"/>
  <c r="Y81" i="1"/>
  <c r="Q5" i="5"/>
  <c r="X2" i="28"/>
  <c r="E9" i="35"/>
  <c r="E149" i="35" s="1"/>
  <c r="X149" i="35" s="1"/>
  <c r="O2" i="31"/>
  <c r="F7" i="36"/>
  <c r="Q2" i="28"/>
  <c r="W2" i="32"/>
  <c r="O2" i="4"/>
  <c r="AG29" i="4" s="1"/>
  <c r="AG60" i="4" s="1"/>
  <c r="O2" i="26"/>
  <c r="Q7" i="36"/>
  <c r="Z2" i="25"/>
  <c r="X2" i="34"/>
  <c r="AR33" i="28"/>
  <c r="AR183" i="28" s="1"/>
  <c r="O2" i="25"/>
  <c r="X2" i="26"/>
  <c r="O7" i="36"/>
  <c r="V20" i="1"/>
  <c r="N2" i="26"/>
  <c r="N2" i="7"/>
  <c r="X2" i="25"/>
  <c r="O2" i="28"/>
  <c r="W2" i="7"/>
  <c r="W2" i="4"/>
  <c r="T32" i="38"/>
  <c r="Z2" i="29"/>
  <c r="AR40" i="29" s="1"/>
  <c r="AR83" i="29" s="1"/>
  <c r="AR232" i="29" s="1"/>
  <c r="AB20" i="31"/>
  <c r="AB8" i="31"/>
  <c r="Y2" i="29"/>
  <c r="AQ40" i="29" s="1"/>
  <c r="AQ83" i="29" s="1"/>
  <c r="AQ232" i="29" s="1"/>
  <c r="W2" i="34"/>
  <c r="F9" i="35"/>
  <c r="F149" i="35" s="1"/>
  <c r="Y149" i="35" s="1"/>
  <c r="N2" i="34"/>
  <c r="U2" i="34"/>
  <c r="W2" i="29"/>
  <c r="AO40" i="29" s="1"/>
  <c r="AO83" i="29" s="1"/>
  <c r="AO232" i="29" s="1"/>
  <c r="I77" i="31"/>
  <c r="AP113" i="7"/>
  <c r="AP81" i="7" s="1"/>
  <c r="Y8" i="1"/>
  <c r="Y2" i="31"/>
  <c r="Y2" i="25"/>
  <c r="O9" i="35"/>
  <c r="O149" i="35" s="1"/>
  <c r="AH149" i="35" s="1"/>
  <c r="Y2" i="26"/>
  <c r="Y2" i="4"/>
  <c r="W2" i="31"/>
  <c r="N7" i="36"/>
  <c r="P2" i="25"/>
  <c r="T2" i="26"/>
  <c r="T2" i="25"/>
  <c r="S28" i="1"/>
  <c r="S2" i="23"/>
  <c r="BD4" i="23" s="1"/>
  <c r="T5" i="5"/>
  <c r="I104" i="31"/>
  <c r="Z2" i="34"/>
  <c r="P5" i="5"/>
  <c r="AA2" i="32"/>
  <c r="V2" i="7"/>
  <c r="AA20" i="1"/>
  <c r="AB2" i="25"/>
  <c r="BL30" i="25" s="1"/>
  <c r="G7" i="36"/>
  <c r="S32" i="38"/>
  <c r="Y2" i="28"/>
  <c r="J32" i="38"/>
  <c r="V2" i="32"/>
  <c r="W2" i="26"/>
  <c r="R7" i="36"/>
  <c r="U32" i="38"/>
  <c r="I406" i="31"/>
  <c r="X2" i="23"/>
  <c r="BI4" i="23" s="1"/>
  <c r="P2" i="28"/>
  <c r="O20" i="1"/>
  <c r="X21" i="7"/>
  <c r="I120" i="26"/>
  <c r="R5" i="5"/>
  <c r="P7" i="36"/>
  <c r="O2" i="32"/>
  <c r="P2" i="26"/>
  <c r="W2" i="28"/>
  <c r="P2" i="4"/>
  <c r="K7" i="36"/>
  <c r="I118" i="31"/>
  <c r="N32" i="38"/>
  <c r="S2" i="32"/>
  <c r="J9" i="35"/>
  <c r="J149" i="35" s="1"/>
  <c r="AC149" i="35" s="1"/>
  <c r="AB2" i="29"/>
  <c r="AT40" i="29" s="1"/>
  <c r="AT83" i="29" s="1"/>
  <c r="AT232" i="29" s="1"/>
  <c r="Q32" i="38"/>
  <c r="AA2" i="23"/>
  <c r="BL4" i="23" s="1"/>
  <c r="M9" i="35"/>
  <c r="M149" i="35" s="1"/>
  <c r="AF149" i="35" s="1"/>
  <c r="V2" i="23"/>
  <c r="BG4" i="23" s="1"/>
  <c r="O2" i="7"/>
  <c r="AA104" i="31"/>
  <c r="BK97" i="31" s="1"/>
  <c r="AA90" i="31"/>
  <c r="BK85" i="31" s="1"/>
  <c r="AA77" i="31"/>
  <c r="BK72" i="31" s="1"/>
  <c r="BK18" i="31" s="1"/>
  <c r="S150" i="25"/>
  <c r="P89" i="35"/>
  <c r="AI89" i="35" s="1"/>
  <c r="X81" i="7"/>
  <c r="X113" i="7"/>
  <c r="T108" i="25"/>
  <c r="U121" i="25"/>
  <c r="AA107" i="25"/>
  <c r="AP49" i="32"/>
  <c r="P33" i="50" s="1"/>
  <c r="AN49" i="32"/>
  <c r="N33" i="50" s="1"/>
  <c r="O5" i="5"/>
  <c r="U2" i="7"/>
  <c r="H120" i="7"/>
  <c r="U2" i="26"/>
  <c r="H89" i="7"/>
  <c r="K9" i="35"/>
  <c r="K149" i="35" s="1"/>
  <c r="AD149" i="35" s="1"/>
  <c r="V2" i="25"/>
  <c r="U2" i="29"/>
  <c r="AM40" i="29" s="1"/>
  <c r="AM83" i="29" s="1"/>
  <c r="AM232" i="29" s="1"/>
  <c r="V2" i="31"/>
  <c r="L9" i="35"/>
  <c r="L149" i="35" s="1"/>
  <c r="AE149" i="35" s="1"/>
  <c r="T2" i="7"/>
  <c r="U2" i="32"/>
  <c r="T9" i="34"/>
  <c r="T192" i="34"/>
  <c r="AB500" i="31"/>
  <c r="Z33" i="28"/>
  <c r="S2" i="34"/>
  <c r="P32" i="38"/>
  <c r="H32" i="38"/>
  <c r="T2" i="32"/>
  <c r="M7" i="36"/>
  <c r="V2" i="26"/>
  <c r="V2" i="4"/>
  <c r="Y28" i="1"/>
  <c r="L2" i="34"/>
  <c r="H44" i="7"/>
  <c r="S2" i="28"/>
  <c r="G5" i="5"/>
  <c r="I104" i="28"/>
  <c r="V2" i="28"/>
  <c r="U2" i="23"/>
  <c r="BF4" i="23" s="1"/>
  <c r="L5" i="5"/>
  <c r="S20" i="29"/>
  <c r="S40" i="29"/>
  <c r="T348" i="31"/>
  <c r="AL348" i="31" s="1"/>
  <c r="P2" i="34"/>
  <c r="R2" i="25"/>
  <c r="R2" i="29"/>
  <c r="AJ40" i="29" s="1"/>
  <c r="AJ83" i="29" s="1"/>
  <c r="AJ232" i="29" s="1"/>
  <c r="Q2" i="7"/>
  <c r="Q2" i="23"/>
  <c r="BB4" i="23" s="1"/>
  <c r="R2" i="4"/>
  <c r="R2" i="28"/>
  <c r="Q2" i="26"/>
  <c r="P2" i="23"/>
  <c r="BA4" i="23" s="1"/>
  <c r="G9" i="35"/>
  <c r="G149" i="35" s="1"/>
  <c r="Z149" i="35" s="1"/>
  <c r="Q2" i="25"/>
  <c r="P2" i="7"/>
  <c r="P2" i="32"/>
  <c r="J5" i="5"/>
  <c r="O2" i="34"/>
  <c r="K32" i="38"/>
  <c r="W30" i="25"/>
  <c r="H102" i="34"/>
  <c r="H120" i="34"/>
  <c r="U2" i="28"/>
  <c r="H9" i="35"/>
  <c r="H149" i="35" s="1"/>
  <c r="AA149" i="35" s="1"/>
  <c r="L32" i="38"/>
  <c r="S2" i="26"/>
  <c r="S2" i="31"/>
  <c r="I120" i="25"/>
  <c r="I54" i="28"/>
  <c r="I91" i="28"/>
  <c r="I146" i="25"/>
  <c r="D9" i="35"/>
  <c r="D149" i="35" s="1"/>
  <c r="W149" i="35" s="1"/>
  <c r="M20" i="1"/>
  <c r="N2" i="29"/>
  <c r="AF40" i="29" s="1"/>
  <c r="AF83" i="29" s="1"/>
  <c r="AF232" i="29" s="1"/>
  <c r="N2" i="31"/>
  <c r="M2" i="23"/>
  <c r="AX4" i="23" s="1"/>
  <c r="N2" i="25"/>
  <c r="N2" i="4"/>
  <c r="N60" i="4" s="1"/>
  <c r="N2" i="28"/>
  <c r="M4" i="31"/>
  <c r="I65" i="31"/>
  <c r="I420" i="31"/>
  <c r="Z2" i="23"/>
  <c r="BK4" i="23" s="1"/>
  <c r="Z2" i="7"/>
  <c r="AA2" i="25"/>
  <c r="AA2" i="31"/>
  <c r="Z8" i="1"/>
  <c r="AA2" i="29"/>
  <c r="AS40" i="29" s="1"/>
  <c r="AS83" i="29" s="1"/>
  <c r="AS232" i="29" s="1"/>
  <c r="AA2" i="4"/>
  <c r="Y2" i="34"/>
  <c r="Q9" i="35"/>
  <c r="Q149" i="35" s="1"/>
  <c r="AJ149" i="35" s="1"/>
  <c r="Q28" i="1"/>
  <c r="Q8" i="1"/>
  <c r="Q2" i="34"/>
  <c r="S2" i="4"/>
  <c r="S60" i="4" s="1"/>
  <c r="M32" i="38"/>
  <c r="R2" i="7"/>
  <c r="R2" i="32"/>
  <c r="R2" i="23"/>
  <c r="BC4" i="23" s="1"/>
  <c r="S2" i="25"/>
  <c r="J7" i="36"/>
  <c r="Q20" i="1"/>
  <c r="AL44" i="31"/>
  <c r="AL199" i="31" s="1"/>
  <c r="Y8" i="32"/>
  <c r="Q2" i="32"/>
  <c r="Q2" i="4"/>
  <c r="Q2" i="31"/>
  <c r="I9" i="35"/>
  <c r="U2" i="4"/>
  <c r="U60" i="4" s="1"/>
  <c r="L7" i="36"/>
  <c r="N5" i="5"/>
  <c r="U2" i="25"/>
  <c r="U2" i="31"/>
  <c r="T2" i="23"/>
  <c r="BE4" i="23" s="1"/>
  <c r="L4" i="32"/>
  <c r="I160" i="25"/>
  <c r="T288" i="34"/>
  <c r="Y17" i="32"/>
  <c r="M4" i="29"/>
  <c r="Y23" i="23"/>
  <c r="N8" i="1"/>
  <c r="N20" i="1"/>
  <c r="L4" i="23"/>
  <c r="H50" i="23"/>
  <c r="N81" i="1"/>
  <c r="N28" i="1"/>
  <c r="I47" i="4"/>
  <c r="R192" i="34"/>
  <c r="R9" i="34"/>
  <c r="AB183" i="28"/>
  <c r="AT33" i="28"/>
  <c r="AT183" i="28" s="1"/>
  <c r="AB33" i="28"/>
  <c r="AB15" i="28"/>
  <c r="H90" i="34"/>
  <c r="H96" i="34"/>
  <c r="H111" i="1"/>
  <c r="H36" i="1"/>
  <c r="H12" i="34"/>
  <c r="M8" i="32"/>
  <c r="AO23" i="23"/>
  <c r="AO43" i="23" s="1"/>
  <c r="W15" i="23"/>
  <c r="W43" i="23"/>
  <c r="I78" i="26"/>
  <c r="X20" i="1"/>
  <c r="X28" i="1"/>
  <c r="W23" i="23"/>
  <c r="M17" i="32"/>
  <c r="AB348" i="31"/>
  <c r="AT348" i="31" s="1"/>
  <c r="I132" i="26"/>
  <c r="H78" i="34"/>
  <c r="AQ23" i="23"/>
  <c r="AQ43" i="23" s="1"/>
  <c r="Y15" i="23"/>
  <c r="Y8" i="23"/>
  <c r="I46" i="29"/>
  <c r="X81" i="1"/>
  <c r="AB44" i="31"/>
  <c r="AT44" i="31"/>
  <c r="AT199" i="31" s="1"/>
  <c r="S8" i="29"/>
  <c r="I106" i="26"/>
  <c r="H114" i="34"/>
  <c r="H66" i="34"/>
  <c r="H72" i="34"/>
  <c r="Z8" i="26"/>
  <c r="AR30" i="26" s="1"/>
  <c r="Z30" i="26"/>
  <c r="Z15" i="28"/>
  <c r="Z8" i="28"/>
  <c r="L4" i="7"/>
  <c r="H132" i="7"/>
  <c r="H101" i="7"/>
  <c r="H69" i="7"/>
  <c r="I106" i="25"/>
  <c r="T500" i="31"/>
  <c r="T20" i="31"/>
  <c r="T8" i="31"/>
  <c r="I78" i="28"/>
  <c r="I241" i="28"/>
  <c r="I228" i="28"/>
  <c r="I204" i="28"/>
  <c r="M4" i="28"/>
  <c r="AF5" i="28" s="1"/>
  <c r="AI9" i="35"/>
  <c r="AI5" i="35" s="1"/>
  <c r="P41" i="35"/>
  <c r="AI41" i="35" s="1"/>
  <c r="P57" i="35"/>
  <c r="AI57" i="35" s="1"/>
  <c r="I64" i="26"/>
  <c r="I160" i="26"/>
  <c r="M4" i="26"/>
  <c r="I51" i="26"/>
  <c r="I92" i="26"/>
  <c r="X8" i="1"/>
  <c r="AA8" i="26"/>
  <c r="AS30" i="26" s="1"/>
  <c r="AA30" i="26"/>
  <c r="W8" i="25"/>
  <c r="W13" i="25"/>
  <c r="H100" i="1"/>
  <c r="H47" i="1"/>
  <c r="L4" i="1"/>
  <c r="H89" i="1"/>
  <c r="H30" i="34"/>
  <c r="L296" i="34"/>
  <c r="M296" i="34" s="1"/>
  <c r="N296" i="34" s="1"/>
  <c r="O296" i="34" s="1"/>
  <c r="P296" i="34" s="1"/>
  <c r="Q296" i="34" s="1"/>
  <c r="R296" i="34" s="1"/>
  <c r="S296" i="34" s="1"/>
  <c r="T296" i="34" s="1"/>
  <c r="U296" i="34" s="1"/>
  <c r="V296" i="34" s="1"/>
  <c r="W296" i="34" s="1"/>
  <c r="X296" i="34" s="1"/>
  <c r="Y296" i="34" s="1"/>
  <c r="Z296" i="34" s="1"/>
  <c r="H54" i="34"/>
  <c r="K4" i="34"/>
  <c r="H108" i="34"/>
  <c r="H292" i="34"/>
  <c r="I506" i="31"/>
  <c r="I158" i="31"/>
  <c r="I369" i="31"/>
  <c r="X29" i="4"/>
  <c r="X8" i="4"/>
  <c r="AS49" i="32"/>
  <c r="S33" i="50" s="1"/>
  <c r="AO49" i="32"/>
  <c r="O33" i="50" s="1"/>
  <c r="AM49" i="32"/>
  <c r="M33" i="50" s="1"/>
  <c r="AK49" i="32"/>
  <c r="K33" i="50" s="1"/>
  <c r="AJ49" i="32"/>
  <c r="J33" i="50" s="1"/>
  <c r="AL49" i="32"/>
  <c r="L33" i="50" s="1"/>
  <c r="AQ49" i="32"/>
  <c r="Q33" i="50" s="1"/>
  <c r="AG49" i="32"/>
  <c r="G33" i="50" s="1"/>
  <c r="AF49" i="32"/>
  <c r="F33" i="50" s="1"/>
  <c r="U42" i="7"/>
  <c r="Y42" i="7"/>
  <c r="U101" i="28"/>
  <c r="AA101" i="28"/>
  <c r="S101" i="28"/>
  <c r="V101" i="28"/>
  <c r="Y101" i="28"/>
  <c r="Q101" i="28"/>
  <c r="W101" i="28"/>
  <c r="O101" i="28"/>
  <c r="P101" i="28"/>
  <c r="R101" i="28"/>
  <c r="Y251" i="28"/>
  <c r="Q251" i="28"/>
  <c r="W251" i="28"/>
  <c r="O251" i="28"/>
  <c r="U251" i="28"/>
  <c r="AA251" i="28"/>
  <c r="S251" i="28"/>
  <c r="V251" i="28"/>
  <c r="N251" i="28"/>
  <c r="X251" i="28"/>
  <c r="Z251" i="28"/>
  <c r="P225" i="28"/>
  <c r="R225" i="28"/>
  <c r="T225" i="28"/>
  <c r="N225" i="28"/>
  <c r="X225" i="28"/>
  <c r="Z225" i="28"/>
  <c r="AB225" i="28"/>
  <c r="Y225" i="28"/>
  <c r="Q225" i="28"/>
  <c r="W225" i="28"/>
  <c r="O225" i="28"/>
  <c r="N35" i="26"/>
  <c r="U55" i="38"/>
  <c r="Q55" i="38"/>
  <c r="M55" i="38"/>
  <c r="I55" i="38"/>
  <c r="AA116" i="26"/>
  <c r="N116" i="26"/>
  <c r="W116" i="26"/>
  <c r="S116" i="26"/>
  <c r="O116" i="26"/>
  <c r="T22" i="7"/>
  <c r="T118" i="7" s="1"/>
  <c r="K55" i="38"/>
  <c r="AB102" i="26"/>
  <c r="Y102" i="26"/>
  <c r="W102" i="26"/>
  <c r="AA102" i="26"/>
  <c r="X102" i="26"/>
  <c r="N102" i="26"/>
  <c r="T102" i="26"/>
  <c r="Q102" i="26"/>
  <c r="O102" i="26"/>
  <c r="Q116" i="26"/>
  <c r="N100" i="31"/>
  <c r="AA100" i="31"/>
  <c r="W100" i="31"/>
  <c r="S100" i="31"/>
  <c r="O100" i="31"/>
  <c r="P22" i="7"/>
  <c r="P118" i="7" s="1"/>
  <c r="X22" i="7"/>
  <c r="X118" i="7" s="1"/>
  <c r="AB74" i="25"/>
  <c r="Y74" i="25"/>
  <c r="AA74" i="25"/>
  <c r="X74" i="25"/>
  <c r="N74" i="25"/>
  <c r="W74" i="25"/>
  <c r="T74" i="25"/>
  <c r="Q74" i="25"/>
  <c r="O74" i="25"/>
  <c r="S55" i="38"/>
  <c r="S102" i="26"/>
  <c r="Y116" i="26"/>
  <c r="U100" i="31"/>
  <c r="P47" i="25"/>
  <c r="S47" i="25"/>
  <c r="Q60" i="26"/>
  <c r="U60" i="26"/>
  <c r="Y60" i="26"/>
  <c r="P87" i="28"/>
  <c r="S87" i="28"/>
  <c r="AB87" i="28"/>
  <c r="R200" i="28"/>
  <c r="X200" i="28"/>
  <c r="BH199" i="28" s="1"/>
  <c r="Z201" i="28"/>
  <c r="T224" i="28"/>
  <c r="BD223" i="28" s="1"/>
  <c r="AB224" i="28"/>
  <c r="BL223" i="28" s="1"/>
  <c r="R237" i="28"/>
  <c r="X237" i="28"/>
  <c r="Z238" i="28"/>
  <c r="T250" i="28"/>
  <c r="AB250" i="28"/>
  <c r="P61" i="31"/>
  <c r="S61" i="31"/>
  <c r="U61" i="31"/>
  <c r="Q73" i="31"/>
  <c r="U73" i="31"/>
  <c r="Y73" i="31"/>
  <c r="Q154" i="31"/>
  <c r="U154" i="31"/>
  <c r="Y154" i="31"/>
  <c r="U17" i="28"/>
  <c r="U214" i="28" s="1"/>
  <c r="O24" i="7"/>
  <c r="R24" i="7"/>
  <c r="T24" i="7"/>
  <c r="W24" i="7"/>
  <c r="Z24" i="7"/>
  <c r="O35" i="25"/>
  <c r="S35" i="25"/>
  <c r="W35" i="25"/>
  <c r="AA35" i="25"/>
  <c r="T47" i="25"/>
  <c r="W47" i="25"/>
  <c r="Y47" i="25"/>
  <c r="AB47" i="25"/>
  <c r="Q60" i="25"/>
  <c r="U60" i="25"/>
  <c r="Y60" i="25"/>
  <c r="P102" i="25"/>
  <c r="S102" i="25"/>
  <c r="U102" i="25"/>
  <c r="Q116" i="25"/>
  <c r="U116" i="25"/>
  <c r="Y116" i="25"/>
  <c r="O47" i="26"/>
  <c r="Q47" i="26"/>
  <c r="T47" i="26"/>
  <c r="W47" i="26"/>
  <c r="Y47" i="26"/>
  <c r="AB47" i="26"/>
  <c r="AA60" i="26"/>
  <c r="O74" i="26"/>
  <c r="Q74" i="26"/>
  <c r="T74" i="26"/>
  <c r="W74" i="26"/>
  <c r="Y74" i="26"/>
  <c r="AB74" i="26"/>
  <c r="P50" i="28"/>
  <c r="AZ49" i="28" s="1"/>
  <c r="AZ7" i="28" s="1"/>
  <c r="S50" i="28"/>
  <c r="BC49" i="28" s="1"/>
  <c r="BC7" i="28" s="1"/>
  <c r="U50" i="28"/>
  <c r="BE49" i="28" s="1"/>
  <c r="BE7" i="28" s="1"/>
  <c r="X50" i="28"/>
  <c r="BH49" i="28" s="1"/>
  <c r="AA50" i="28"/>
  <c r="BK49" i="28" s="1"/>
  <c r="BK7" i="28" s="1"/>
  <c r="O74" i="28"/>
  <c r="AY73" i="28" s="1"/>
  <c r="AY14" i="28" s="1"/>
  <c r="S74" i="28"/>
  <c r="BC73" i="28" s="1"/>
  <c r="BC14" i="28" s="1"/>
  <c r="W74" i="28"/>
  <c r="BG73" i="28" s="1"/>
  <c r="BG14" i="28" s="1"/>
  <c r="AA74" i="28"/>
  <c r="BK73" i="28" s="1"/>
  <c r="BK14" i="28" s="1"/>
  <c r="T87" i="28"/>
  <c r="W87" i="28"/>
  <c r="Y87" i="28"/>
  <c r="O100" i="28"/>
  <c r="S100" i="28"/>
  <c r="W100" i="28"/>
  <c r="AA100" i="28"/>
  <c r="Y61" i="31"/>
  <c r="AB61" i="31"/>
  <c r="P86" i="31"/>
  <c r="S86" i="31"/>
  <c r="U86" i="31"/>
  <c r="X86" i="31"/>
  <c r="AA86" i="31"/>
  <c r="O114" i="31"/>
  <c r="Q114" i="31"/>
  <c r="T114" i="31"/>
  <c r="W114" i="31"/>
  <c r="Y114" i="31"/>
  <c r="AB114" i="31"/>
  <c r="P365" i="31"/>
  <c r="S365" i="31"/>
  <c r="U365" i="31"/>
  <c r="X365" i="31"/>
  <c r="AA365" i="31"/>
  <c r="I50" i="4"/>
  <c r="AF8" i="4"/>
  <c r="I70" i="4" s="1"/>
  <c r="O23" i="31"/>
  <c r="Q23" i="31"/>
  <c r="U23" i="31"/>
  <c r="W23" i="31"/>
  <c r="Y23" i="31"/>
  <c r="O17" i="28"/>
  <c r="O214" i="28" s="1"/>
  <c r="N24" i="7"/>
  <c r="P24" i="7"/>
  <c r="S24" i="7"/>
  <c r="V24" i="7"/>
  <c r="X24" i="7"/>
  <c r="Q35" i="25"/>
  <c r="U35" i="25"/>
  <c r="N47" i="25"/>
  <c r="U47" i="25"/>
  <c r="X47" i="25"/>
  <c r="O60" i="25"/>
  <c r="S60" i="25"/>
  <c r="W60" i="25"/>
  <c r="O102" i="25"/>
  <c r="Q102" i="25"/>
  <c r="T102" i="25"/>
  <c r="O116" i="25"/>
  <c r="S116" i="25"/>
  <c r="W116" i="25"/>
  <c r="T128" i="26"/>
  <c r="P47" i="26"/>
  <c r="S47" i="26"/>
  <c r="U47" i="26"/>
  <c r="X47" i="26"/>
  <c r="N74" i="26"/>
  <c r="P74" i="26"/>
  <c r="S74" i="26"/>
  <c r="U74" i="26"/>
  <c r="X74" i="26"/>
  <c r="N142" i="26"/>
  <c r="N156" i="26"/>
  <c r="O50" i="28"/>
  <c r="AY49" i="28" s="1"/>
  <c r="AY7" i="28" s="1"/>
  <c r="Q50" i="28"/>
  <c r="BA49" i="28" s="1"/>
  <c r="BA7" i="28" s="1"/>
  <c r="T50" i="28"/>
  <c r="BD49" i="28" s="1"/>
  <c r="BD7" i="28" s="1"/>
  <c r="W50" i="28"/>
  <c r="BG49" i="28" s="1"/>
  <c r="BG7" i="28" s="1"/>
  <c r="Y50" i="28"/>
  <c r="BI49" i="28" s="1"/>
  <c r="BI7" i="28" s="1"/>
  <c r="Q74" i="28"/>
  <c r="BA73" i="28" s="1"/>
  <c r="BA14" i="28" s="1"/>
  <c r="U74" i="28"/>
  <c r="BE73" i="28" s="1"/>
  <c r="BE14" i="28" s="1"/>
  <c r="N87" i="28"/>
  <c r="U87" i="28"/>
  <c r="X87" i="28"/>
  <c r="Q100" i="28"/>
  <c r="U100" i="28"/>
  <c r="N61" i="31"/>
  <c r="X61" i="31"/>
  <c r="O86" i="31"/>
  <c r="Q86" i="31"/>
  <c r="T86" i="31"/>
  <c r="W86" i="31"/>
  <c r="Y86" i="31"/>
  <c r="P114" i="31"/>
  <c r="S114" i="31"/>
  <c r="U114" i="31"/>
  <c r="X114" i="31"/>
  <c r="O365" i="31"/>
  <c r="Q365" i="31"/>
  <c r="T365" i="31"/>
  <c r="W365" i="31"/>
  <c r="Y365" i="31"/>
  <c r="Y247" i="28"/>
  <c r="T247" i="28"/>
  <c r="W246" i="28"/>
  <c r="AA245" i="28"/>
  <c r="V245" i="28"/>
  <c r="P245" i="28"/>
  <c r="AB244" i="28"/>
  <c r="V244" i="28"/>
  <c r="Q244" i="28"/>
  <c r="AA247" i="28"/>
  <c r="Y243" i="28"/>
  <c r="U243" i="28"/>
  <c r="Q243" i="28"/>
  <c r="AB242" i="28"/>
  <c r="X242" i="28"/>
  <c r="T242" i="28"/>
  <c r="P242" i="28"/>
  <c r="V247" i="28"/>
  <c r="P247" i="28"/>
  <c r="V246" i="28"/>
  <c r="O246" i="28"/>
  <c r="W245" i="28"/>
  <c r="O245" i="28"/>
  <c r="Y244" i="28"/>
  <c r="AB243" i="28"/>
  <c r="W243" i="28"/>
  <c r="AA242" i="28"/>
  <c r="V242" i="28"/>
  <c r="Q242" i="28"/>
  <c r="Z247" i="28"/>
  <c r="Z246" i="28"/>
  <c r="S246" i="28"/>
  <c r="Z245" i="28"/>
  <c r="S245" i="28"/>
  <c r="AD236" i="28"/>
  <c r="U244" i="28"/>
  <c r="Z243" i="28"/>
  <c r="T243" i="28"/>
  <c r="O243" i="28"/>
  <c r="Y242" i="28"/>
  <c r="S242" i="28"/>
  <c r="Z244" i="28"/>
  <c r="X245" i="28"/>
  <c r="Y246" i="28"/>
  <c r="X247" i="28"/>
  <c r="Z260" i="28"/>
  <c r="AA259" i="28"/>
  <c r="S259" i="28"/>
  <c r="Z258" i="28"/>
  <c r="Z257" i="28"/>
  <c r="Y260" i="28"/>
  <c r="X256" i="28"/>
  <c r="W255" i="28"/>
  <c r="T260" i="28"/>
  <c r="Y259" i="28"/>
  <c r="O259" i="28"/>
  <c r="T258" i="28"/>
  <c r="X257" i="28"/>
  <c r="N257" i="28"/>
  <c r="Y256" i="28"/>
  <c r="Q256" i="28"/>
  <c r="AA255" i="28"/>
  <c r="U255" i="28"/>
  <c r="N255" i="28"/>
  <c r="AB260" i="28"/>
  <c r="P260" i="28"/>
  <c r="W259" i="28"/>
  <c r="AB258" i="28"/>
  <c r="P258" i="28"/>
  <c r="V257" i="28"/>
  <c r="V258" i="28"/>
  <c r="P257" i="28"/>
  <c r="V256" i="28"/>
  <c r="N256" i="28"/>
  <c r="V255" i="28"/>
  <c r="V260" i="28"/>
  <c r="Q259" i="28"/>
  <c r="AB257" i="28"/>
  <c r="AB256" i="28"/>
  <c r="T256" i="28"/>
  <c r="Z255" i="28"/>
  <c r="Q255" i="28"/>
  <c r="U259" i="28"/>
  <c r="O242" i="28"/>
  <c r="Z242" i="28"/>
  <c r="V243" i="28"/>
  <c r="P244" i="28"/>
  <c r="AB245" i="28"/>
  <c r="AA246" i="28"/>
  <c r="AB247" i="28"/>
  <c r="O255" i="28"/>
  <c r="P256" i="28"/>
  <c r="T257" i="28"/>
  <c r="N260" i="28"/>
  <c r="N247" i="28"/>
  <c r="N244" i="28"/>
  <c r="U242" i="28"/>
  <c r="P243" i="28"/>
  <c r="AA243" i="28"/>
  <c r="X244" i="28"/>
  <c r="T245" i="28"/>
  <c r="U246" i="28"/>
  <c r="U247" i="28"/>
  <c r="Y255" i="28"/>
  <c r="Z256" i="28"/>
  <c r="X258" i="28"/>
  <c r="U81" i="28"/>
  <c r="U82" i="28"/>
  <c r="W83" i="28"/>
  <c r="Q84" i="28"/>
  <c r="Y210" i="28"/>
  <c r="AB209" i="28"/>
  <c r="U208" i="28"/>
  <c r="Y207" i="28"/>
  <c r="O207" i="28"/>
  <c r="Y206" i="28"/>
  <c r="Q206" i="28"/>
  <c r="Z205" i="28"/>
  <c r="W207" i="28"/>
  <c r="W208" i="28"/>
  <c r="V209" i="28"/>
  <c r="U210" i="28"/>
  <c r="Z234" i="28"/>
  <c r="U234" i="28"/>
  <c r="P234" i="28"/>
  <c r="Y233" i="28"/>
  <c r="S233" i="28"/>
  <c r="N233" i="28"/>
  <c r="X232" i="28"/>
  <c r="S232" i="28"/>
  <c r="N232" i="28"/>
  <c r="Y231" i="28"/>
  <c r="T231" i="28"/>
  <c r="N231" i="28"/>
  <c r="AA230" i="28"/>
  <c r="W230" i="28"/>
  <c r="S230" i="28"/>
  <c r="O230" i="28"/>
  <c r="AA229" i="28"/>
  <c r="W229" i="28"/>
  <c r="S229" i="28"/>
  <c r="O229" i="28"/>
  <c r="U231" i="28"/>
  <c r="AB231" i="28"/>
  <c r="Z232" i="28"/>
  <c r="Q233" i="28"/>
  <c r="W233" i="28"/>
  <c r="Q234" i="28"/>
  <c r="X234" i="28"/>
  <c r="AC128" i="7"/>
  <c r="I68" i="31"/>
  <c r="I509" i="31"/>
  <c r="AB235" i="28"/>
  <c r="X235" i="28"/>
  <c r="T235" i="28"/>
  <c r="P235" i="28"/>
  <c r="AA97" i="31"/>
  <c r="W97" i="31"/>
  <c r="S97" i="31"/>
  <c r="O97" i="31"/>
  <c r="AA51" i="7"/>
  <c r="W51" i="7"/>
  <c r="S51" i="7"/>
  <c r="O51" i="7"/>
  <c r="B12" i="34"/>
  <c r="B13" i="34" s="1"/>
  <c r="B14" i="34" s="1"/>
  <c r="B15" i="34" s="1"/>
  <c r="B16" i="34" s="1"/>
  <c r="AB98" i="28"/>
  <c r="X98" i="28"/>
  <c r="T98" i="28"/>
  <c r="P98" i="28"/>
  <c r="AA248" i="28"/>
  <c r="W248" i="28"/>
  <c r="S248" i="28"/>
  <c r="O248" i="28"/>
  <c r="AB111" i="31"/>
  <c r="X111" i="31"/>
  <c r="T111" i="31"/>
  <c r="P111" i="31"/>
  <c r="AB388" i="31"/>
  <c r="X388" i="31"/>
  <c r="T388" i="31"/>
  <c r="P388" i="31"/>
  <c r="X127" i="7"/>
  <c r="T127" i="7"/>
  <c r="P127" i="7"/>
  <c r="AC98" i="7"/>
  <c r="I158" i="28" l="1"/>
  <c r="I321" i="28"/>
  <c r="I217" i="28"/>
  <c r="I294" i="28"/>
  <c r="I171" i="28"/>
  <c r="I269" i="28"/>
  <c r="I308" i="28"/>
  <c r="I282" i="28"/>
  <c r="I144" i="28"/>
  <c r="I132" i="28"/>
  <c r="I119" i="28"/>
  <c r="I191" i="28"/>
  <c r="I67" i="28"/>
  <c r="I41" i="28"/>
  <c r="I92" i="28"/>
  <c r="I55" i="28"/>
  <c r="I205" i="28"/>
  <c r="I255" i="28"/>
  <c r="I229" i="28"/>
  <c r="I105" i="28"/>
  <c r="I79" i="28"/>
  <c r="I242" i="28"/>
  <c r="BF12" i="31"/>
  <c r="BL14" i="28"/>
  <c r="BD14" i="28"/>
  <c r="BH7" i="28"/>
  <c r="AZ12" i="31"/>
  <c r="BJ12" i="31"/>
  <c r="BE12" i="31"/>
  <c r="BD12" i="31"/>
  <c r="AY12" i="31"/>
  <c r="BG12" i="31"/>
  <c r="BC12" i="31"/>
  <c r="BI12" i="31"/>
  <c r="BL4" i="25"/>
  <c r="BK30" i="25"/>
  <c r="AY4" i="25"/>
  <c r="AX30" i="25"/>
  <c r="BC4" i="25"/>
  <c r="BB30" i="25"/>
  <c r="BA4" i="25"/>
  <c r="AZ30" i="25"/>
  <c r="BH30" i="25"/>
  <c r="BI4" i="25"/>
  <c r="Q18" i="5"/>
  <c r="N24" i="51"/>
  <c r="R18" i="5"/>
  <c r="O24" i="51"/>
  <c r="M18" i="5"/>
  <c r="J24" i="51"/>
  <c r="BG87" i="25"/>
  <c r="BG85" i="25"/>
  <c r="BG86" i="25"/>
  <c r="BE86" i="25"/>
  <c r="BE85" i="25"/>
  <c r="BE87" i="25"/>
  <c r="AZ87" i="25"/>
  <c r="AZ86" i="25"/>
  <c r="AZ85" i="25"/>
  <c r="BF86" i="25"/>
  <c r="BF87" i="25"/>
  <c r="BF85" i="25"/>
  <c r="AM30" i="25"/>
  <c r="BF4" i="25"/>
  <c r="BE30" i="25"/>
  <c r="BD4" i="25"/>
  <c r="BC30" i="25"/>
  <c r="BK4" i="25"/>
  <c r="BJ30" i="25"/>
  <c r="O18" i="5"/>
  <c r="L24" i="51"/>
  <c r="I18" i="5"/>
  <c r="F24" i="51"/>
  <c r="BD87" i="25"/>
  <c r="BD86" i="25"/>
  <c r="BD85" i="25"/>
  <c r="BI86" i="25"/>
  <c r="BI85" i="25"/>
  <c r="BI87" i="25"/>
  <c r="BH87" i="25"/>
  <c r="BH86" i="25"/>
  <c r="BH85" i="25"/>
  <c r="BJ87" i="25"/>
  <c r="BJ86" i="25"/>
  <c r="BJ85" i="25"/>
  <c r="AF171" i="31"/>
  <c r="AF185" i="31"/>
  <c r="BG4" i="25"/>
  <c r="BF30" i="25"/>
  <c r="BE4" i="25"/>
  <c r="BD30" i="25"/>
  <c r="BJ4" i="25"/>
  <c r="BI30" i="25"/>
  <c r="AY30" i="25"/>
  <c r="AZ4" i="25"/>
  <c r="U18" i="5"/>
  <c r="R24" i="51"/>
  <c r="P18" i="5"/>
  <c r="M24" i="51"/>
  <c r="N18" i="5"/>
  <c r="K24" i="51"/>
  <c r="H18" i="5"/>
  <c r="E24" i="51"/>
  <c r="S15" i="51"/>
  <c r="BL87" i="25"/>
  <c r="BL86" i="25"/>
  <c r="BL85" i="25"/>
  <c r="BC87" i="25"/>
  <c r="BC85" i="25"/>
  <c r="BC86" i="25"/>
  <c r="AX86" i="25"/>
  <c r="AX87" i="25"/>
  <c r="AX85" i="25"/>
  <c r="AF50" i="31"/>
  <c r="AX73" i="28"/>
  <c r="AX14" i="28" s="1"/>
  <c r="AI30" i="25"/>
  <c r="BB4" i="25"/>
  <c r="BA30" i="25"/>
  <c r="S18" i="5"/>
  <c r="P24" i="51"/>
  <c r="J18" i="5"/>
  <c r="G24" i="51"/>
  <c r="L18" i="5"/>
  <c r="I24" i="51"/>
  <c r="K18" i="5"/>
  <c r="H24" i="51"/>
  <c r="AY87" i="25"/>
  <c r="AY85" i="25"/>
  <c r="AY86" i="25"/>
  <c r="BA86" i="25"/>
  <c r="BA85" i="25"/>
  <c r="BA87" i="25"/>
  <c r="BK87" i="25"/>
  <c r="BK86" i="25"/>
  <c r="BK85" i="25"/>
  <c r="Z254" i="34"/>
  <c r="V254" i="34"/>
  <c r="R254" i="34"/>
  <c r="N254" i="34"/>
  <c r="Y254" i="34"/>
  <c r="U254" i="34"/>
  <c r="Q254" i="34"/>
  <c r="M254" i="34"/>
  <c r="X254" i="34"/>
  <c r="T254" i="34"/>
  <c r="P254" i="34"/>
  <c r="L254" i="34"/>
  <c r="W254" i="34"/>
  <c r="S254" i="34"/>
  <c r="O254" i="34"/>
  <c r="Y200" i="34"/>
  <c r="U200" i="34"/>
  <c r="Q200" i="34"/>
  <c r="M200" i="34"/>
  <c r="X200" i="34"/>
  <c r="T200" i="34"/>
  <c r="P200" i="34"/>
  <c r="L200" i="34"/>
  <c r="W200" i="34"/>
  <c r="S200" i="34"/>
  <c r="O200" i="34"/>
  <c r="Z200" i="34"/>
  <c r="V200" i="34"/>
  <c r="R200" i="34"/>
  <c r="N200" i="34"/>
  <c r="BH58" i="31"/>
  <c r="AY362" i="31"/>
  <c r="BH362" i="31"/>
  <c r="AZ362" i="31"/>
  <c r="BG362" i="31"/>
  <c r="AZ58" i="31"/>
  <c r="BF58" i="31"/>
  <c r="BJ362" i="31"/>
  <c r="AI380" i="31"/>
  <c r="BI58" i="31"/>
  <c r="BC58" i="31"/>
  <c r="BE58" i="31"/>
  <c r="BD58" i="31"/>
  <c r="BJ58" i="31"/>
  <c r="BG58" i="31"/>
  <c r="AY58" i="31"/>
  <c r="BE362" i="31"/>
  <c r="BH363" i="31"/>
  <c r="BH364" i="31"/>
  <c r="BH12" i="31" s="1"/>
  <c r="BI362" i="31"/>
  <c r="BA362" i="31"/>
  <c r="BL362" i="31"/>
  <c r="BD362" i="31"/>
  <c r="BK362" i="31"/>
  <c r="BC362" i="31"/>
  <c r="BF362" i="31"/>
  <c r="BG198" i="28"/>
  <c r="BF47" i="28"/>
  <c r="BK236" i="28"/>
  <c r="BJ47" i="28"/>
  <c r="BF197" i="28"/>
  <c r="BK363" i="31"/>
  <c r="AY59" i="31"/>
  <c r="BI59" i="31"/>
  <c r="BF98" i="31"/>
  <c r="BH59" i="31"/>
  <c r="BE363" i="31"/>
  <c r="BF363" i="31"/>
  <c r="BA235" i="28"/>
  <c r="BF235" i="28"/>
  <c r="BC235" i="28"/>
  <c r="BC198" i="28"/>
  <c r="BK197" i="28"/>
  <c r="AZ236" i="28"/>
  <c r="BL235" i="28"/>
  <c r="BI235" i="28"/>
  <c r="BD236" i="28"/>
  <c r="AZ198" i="28"/>
  <c r="BA197" i="28"/>
  <c r="BI197" i="28"/>
  <c r="BE197" i="28"/>
  <c r="BL198" i="28"/>
  <c r="BJ197" i="28"/>
  <c r="BE235" i="28"/>
  <c r="BD198" i="28"/>
  <c r="AY235" i="28"/>
  <c r="AY197" i="28"/>
  <c r="BJ235" i="28"/>
  <c r="BL48" i="28"/>
  <c r="BL12" i="28" s="1"/>
  <c r="BG236" i="28"/>
  <c r="AY363" i="31"/>
  <c r="BG363" i="31"/>
  <c r="BI363" i="31"/>
  <c r="BD363" i="31"/>
  <c r="AZ363" i="31"/>
  <c r="Y197" i="34"/>
  <c r="U197" i="34"/>
  <c r="Q197" i="34"/>
  <c r="M197" i="34"/>
  <c r="X197" i="34"/>
  <c r="T197" i="34"/>
  <c r="P197" i="34"/>
  <c r="L197" i="34"/>
  <c r="W197" i="34"/>
  <c r="S197" i="34"/>
  <c r="O197" i="34"/>
  <c r="Z197" i="34"/>
  <c r="V197" i="34"/>
  <c r="R197" i="34"/>
  <c r="N197" i="34"/>
  <c r="W218" i="34"/>
  <c r="S218" i="34"/>
  <c r="O218" i="34"/>
  <c r="Z218" i="34"/>
  <c r="V218" i="34"/>
  <c r="R218" i="34"/>
  <c r="N218" i="34"/>
  <c r="Y218" i="34"/>
  <c r="U218" i="34"/>
  <c r="Q218" i="34"/>
  <c r="M218" i="34"/>
  <c r="X218" i="34"/>
  <c r="T218" i="34"/>
  <c r="P218" i="34"/>
  <c r="L218" i="34"/>
  <c r="BI72" i="31"/>
  <c r="BI18" i="31" s="1"/>
  <c r="Z206" i="34"/>
  <c r="V206" i="34"/>
  <c r="R206" i="34"/>
  <c r="N206" i="34"/>
  <c r="Y206" i="34"/>
  <c r="U206" i="34"/>
  <c r="Q206" i="34"/>
  <c r="M206" i="34"/>
  <c r="X206" i="34"/>
  <c r="T206" i="34"/>
  <c r="P206" i="34"/>
  <c r="L206" i="34"/>
  <c r="W206" i="34"/>
  <c r="S206" i="34"/>
  <c r="O206" i="34"/>
  <c r="BL363" i="31"/>
  <c r="BC363" i="31"/>
  <c r="W230" i="34"/>
  <c r="S230" i="34"/>
  <c r="O230" i="34"/>
  <c r="Z230" i="34"/>
  <c r="V230" i="34"/>
  <c r="R230" i="34"/>
  <c r="N230" i="34"/>
  <c r="Y230" i="34"/>
  <c r="U230" i="34"/>
  <c r="Q230" i="34"/>
  <c r="M230" i="34"/>
  <c r="X230" i="34"/>
  <c r="T230" i="34"/>
  <c r="P230" i="34"/>
  <c r="L230" i="34"/>
  <c r="B228" i="34"/>
  <c r="B227" i="34"/>
  <c r="Y101" i="7"/>
  <c r="BJ96" i="7" s="1"/>
  <c r="W101" i="7"/>
  <c r="AO99" i="7" s="1"/>
  <c r="AM46" i="34"/>
  <c r="BE9" i="34"/>
  <c r="AO46" i="34"/>
  <c r="BG9" i="34"/>
  <c r="BA83" i="7"/>
  <c r="BD99" i="28"/>
  <c r="BD16" i="28" s="1"/>
  <c r="BA98" i="31"/>
  <c r="BJ59" i="31"/>
  <c r="BH85" i="31"/>
  <c r="BE98" i="31"/>
  <c r="BK99" i="31"/>
  <c r="BF59" i="31"/>
  <c r="BE59" i="31"/>
  <c r="AY98" i="31"/>
  <c r="BK84" i="31"/>
  <c r="BK19" i="31" s="1"/>
  <c r="BF99" i="31"/>
  <c r="BL97" i="31"/>
  <c r="BG85" i="31"/>
  <c r="BG59" i="31"/>
  <c r="AY97" i="31"/>
  <c r="BI84" i="31"/>
  <c r="BI19" i="31" s="1"/>
  <c r="BF97" i="31"/>
  <c r="BD59" i="31"/>
  <c r="BL85" i="31"/>
  <c r="BF85" i="31"/>
  <c r="BK98" i="31"/>
  <c r="AZ85" i="31"/>
  <c r="BE30" i="26"/>
  <c r="P33" i="28"/>
  <c r="AZ183" i="28"/>
  <c r="AZ33" i="28"/>
  <c r="AZ4" i="28"/>
  <c r="Y33" i="28"/>
  <c r="BI4" i="28"/>
  <c r="BI183" i="28"/>
  <c r="BI33" i="28"/>
  <c r="U379" i="31"/>
  <c r="AM380" i="31" s="1"/>
  <c r="U484" i="31"/>
  <c r="AM485" i="31" s="1"/>
  <c r="U471" i="31"/>
  <c r="AM472" i="31" s="1"/>
  <c r="U445" i="31"/>
  <c r="U457" i="31"/>
  <c r="AZ98" i="31"/>
  <c r="BE84" i="31"/>
  <c r="BE19" i="31" s="1"/>
  <c r="BC252" i="31"/>
  <c r="BC251" i="31"/>
  <c r="AX183" i="28"/>
  <c r="AX33" i="28"/>
  <c r="AX4" i="28"/>
  <c r="S199" i="31"/>
  <c r="BC500" i="31"/>
  <c r="BC348" i="31"/>
  <c r="BC199" i="31"/>
  <c r="BC44" i="31"/>
  <c r="BC9" i="31"/>
  <c r="S15" i="28"/>
  <c r="BC4" i="28"/>
  <c r="BC183" i="28"/>
  <c r="BC33" i="28"/>
  <c r="W199" i="31"/>
  <c r="BG500" i="31"/>
  <c r="BG348" i="31"/>
  <c r="BG199" i="31"/>
  <c r="BG44" i="31"/>
  <c r="BG9" i="31"/>
  <c r="Q15" i="28"/>
  <c r="BA4" i="28"/>
  <c r="BA183" i="28"/>
  <c r="BA33" i="28"/>
  <c r="N379" i="31"/>
  <c r="N471" i="31"/>
  <c r="AF472" i="31" s="1"/>
  <c r="N445" i="31"/>
  <c r="N484" i="31"/>
  <c r="AF485" i="31" s="1"/>
  <c r="N457" i="31"/>
  <c r="Y379" i="31"/>
  <c r="AQ380" i="31" s="1"/>
  <c r="Y484" i="31"/>
  <c r="AQ485" i="31" s="1"/>
  <c r="Y445" i="31"/>
  <c r="Y457" i="31"/>
  <c r="Y471" i="31"/>
  <c r="AQ472" i="31" s="1"/>
  <c r="BC99" i="31"/>
  <c r="BD98" i="28"/>
  <c r="BD15" i="28" s="1"/>
  <c r="BH99" i="31"/>
  <c r="BL98" i="28"/>
  <c r="BL15" i="28" s="1"/>
  <c r="BI98" i="31"/>
  <c r="BG98" i="31"/>
  <c r="BJ98" i="31"/>
  <c r="BI213" i="31"/>
  <c r="BI214" i="31"/>
  <c r="BG252" i="31"/>
  <c r="BG251" i="31"/>
  <c r="BF252" i="31"/>
  <c r="BF251" i="31"/>
  <c r="BG213" i="31"/>
  <c r="BG214" i="31"/>
  <c r="BC213" i="31"/>
  <c r="BC214" i="31"/>
  <c r="BJ213" i="31"/>
  <c r="BJ214" i="31"/>
  <c r="BL251" i="31"/>
  <c r="BL252" i="31"/>
  <c r="BE72" i="31"/>
  <c r="BE18" i="31" s="1"/>
  <c r="AA199" i="31"/>
  <c r="BK500" i="31"/>
  <c r="BK348" i="31"/>
  <c r="BK199" i="31"/>
  <c r="BK44" i="31"/>
  <c r="BK9" i="31"/>
  <c r="S13" i="26"/>
  <c r="BC30" i="26"/>
  <c r="R33" i="28"/>
  <c r="BB33" i="28"/>
  <c r="BB4" i="28"/>
  <c r="BB183" i="28"/>
  <c r="V33" i="28"/>
  <c r="BF183" i="28"/>
  <c r="BF33" i="28"/>
  <c r="BF4" i="28"/>
  <c r="BF30" i="26"/>
  <c r="BD30" i="26"/>
  <c r="Y199" i="31"/>
  <c r="BI500" i="31"/>
  <c r="BI44" i="31"/>
  <c r="BI9" i="31"/>
  <c r="BI348" i="31"/>
  <c r="BI199" i="31"/>
  <c r="O15" i="28"/>
  <c r="AY183" i="28"/>
  <c r="AY33" i="28"/>
  <c r="AY4" i="28"/>
  <c r="AY30" i="26"/>
  <c r="Z199" i="31"/>
  <c r="BJ9" i="31"/>
  <c r="BJ348" i="31"/>
  <c r="BJ199" i="31"/>
  <c r="BJ44" i="31"/>
  <c r="BJ500" i="31"/>
  <c r="X199" i="31"/>
  <c r="BH199" i="31"/>
  <c r="BH44" i="31"/>
  <c r="BH9" i="31"/>
  <c r="BH348" i="31"/>
  <c r="BH500" i="31"/>
  <c r="AA379" i="31"/>
  <c r="AS380" i="31" s="1"/>
  <c r="AA484" i="31"/>
  <c r="AS485" i="31" s="1"/>
  <c r="AA471" i="31"/>
  <c r="AS472" i="31" s="1"/>
  <c r="AA445" i="31"/>
  <c r="AA457" i="31"/>
  <c r="Z379" i="31"/>
  <c r="AR380" i="31" s="1"/>
  <c r="Z471" i="31"/>
  <c r="AR472" i="31" s="1"/>
  <c r="Z457" i="31"/>
  <c r="Z445" i="31"/>
  <c r="Z484" i="31"/>
  <c r="AR485" i="31" s="1"/>
  <c r="AA37" i="26"/>
  <c r="S379" i="31"/>
  <c r="AK380" i="31" s="1"/>
  <c r="S484" i="31"/>
  <c r="AK485" i="31" s="1"/>
  <c r="S471" i="31"/>
  <c r="AK472" i="31" s="1"/>
  <c r="S445" i="31"/>
  <c r="S457" i="31"/>
  <c r="X379" i="31"/>
  <c r="AP380" i="31" s="1"/>
  <c r="X445" i="31"/>
  <c r="X471" i="31"/>
  <c r="AP472" i="31" s="1"/>
  <c r="X457" i="31"/>
  <c r="X484" i="31"/>
  <c r="AP485" i="31" s="1"/>
  <c r="BC85" i="31"/>
  <c r="BE99" i="31"/>
  <c r="BC98" i="31"/>
  <c r="BA363" i="31"/>
  <c r="AY85" i="31"/>
  <c r="BA99" i="31"/>
  <c r="BJ84" i="31"/>
  <c r="BJ19" i="31" s="1"/>
  <c r="BJ363" i="31"/>
  <c r="BD99" i="31"/>
  <c r="BC59" i="31"/>
  <c r="AZ59" i="31"/>
  <c r="BL98" i="31"/>
  <c r="BI99" i="31"/>
  <c r="BG99" i="31"/>
  <c r="BJ97" i="31"/>
  <c r="BE213" i="31"/>
  <c r="BE214" i="31"/>
  <c r="BK252" i="31"/>
  <c r="BK251" i="31"/>
  <c r="BL213" i="31"/>
  <c r="BL214" i="31"/>
  <c r="AZ214" i="31"/>
  <c r="AZ213" i="31"/>
  <c r="BJ251" i="31"/>
  <c r="BJ252" i="31"/>
  <c r="BA251" i="31"/>
  <c r="BA252" i="31"/>
  <c r="W8" i="28"/>
  <c r="BG183" i="28"/>
  <c r="BG33" i="28"/>
  <c r="BG4" i="28"/>
  <c r="BH30" i="26"/>
  <c r="AA15" i="28"/>
  <c r="BK4" i="28"/>
  <c r="BK183" i="28"/>
  <c r="BK33" i="28"/>
  <c r="P199" i="31"/>
  <c r="AZ199" i="31"/>
  <c r="AZ44" i="31"/>
  <c r="AZ348" i="31"/>
  <c r="AZ9" i="31"/>
  <c r="AZ500" i="31"/>
  <c r="BB30" i="26"/>
  <c r="W379" i="31"/>
  <c r="AO380" i="31" s="1"/>
  <c r="W484" i="31"/>
  <c r="AO485" i="31" s="1"/>
  <c r="W445" i="31"/>
  <c r="W457" i="31"/>
  <c r="W471" i="31"/>
  <c r="AO472" i="31" s="1"/>
  <c r="BA85" i="31"/>
  <c r="BH98" i="31"/>
  <c r="BH213" i="31"/>
  <c r="BH214" i="31"/>
  <c r="BI252" i="31"/>
  <c r="BI251" i="31"/>
  <c r="BF214" i="31"/>
  <c r="BF213" i="31"/>
  <c r="BH252" i="31"/>
  <c r="BH251" i="31"/>
  <c r="BA500" i="31"/>
  <c r="BA44" i="31"/>
  <c r="BA9" i="31"/>
  <c r="BA348" i="31"/>
  <c r="BA199" i="31"/>
  <c r="N199" i="31"/>
  <c r="AX9" i="31"/>
  <c r="AX348" i="31"/>
  <c r="AX44" i="31"/>
  <c r="AX500" i="31"/>
  <c r="AX199" i="31"/>
  <c r="BE4" i="28"/>
  <c r="BE183" i="28"/>
  <c r="BE33" i="28"/>
  <c r="Q13" i="26"/>
  <c r="BA30" i="26"/>
  <c r="AZ30" i="26"/>
  <c r="BG30" i="26"/>
  <c r="AX30" i="26"/>
  <c r="AP33" i="28"/>
  <c r="AP183" i="28" s="1"/>
  <c r="BH183" i="28"/>
  <c r="BH33" i="28"/>
  <c r="BH4" i="28"/>
  <c r="P379" i="31"/>
  <c r="AH380" i="31" s="1"/>
  <c r="P445" i="31"/>
  <c r="P457" i="31"/>
  <c r="P471" i="31"/>
  <c r="AH472" i="31" s="1"/>
  <c r="P484" i="31"/>
  <c r="AH485" i="31" s="1"/>
  <c r="AB379" i="31"/>
  <c r="AT380" i="31" s="1"/>
  <c r="AB445" i="31"/>
  <c r="AB484" i="31"/>
  <c r="AT485" i="31" s="1"/>
  <c r="AB471" i="31"/>
  <c r="AT472" i="31" s="1"/>
  <c r="AB457" i="31"/>
  <c r="AZ99" i="31"/>
  <c r="BD98" i="31"/>
  <c r="BD213" i="31"/>
  <c r="BD214" i="31"/>
  <c r="BA72" i="31"/>
  <c r="BA18" i="31" s="1"/>
  <c r="U199" i="31"/>
  <c r="BE500" i="31"/>
  <c r="BE199" i="31"/>
  <c r="BE44" i="31"/>
  <c r="BE9" i="31"/>
  <c r="BE348" i="31"/>
  <c r="V199" i="31"/>
  <c r="BF9" i="31"/>
  <c r="BF348" i="31"/>
  <c r="BF199" i="31"/>
  <c r="BF44" i="31"/>
  <c r="BF500" i="31"/>
  <c r="BI30" i="26"/>
  <c r="O199" i="31"/>
  <c r="AY500" i="31"/>
  <c r="AY9" i="31"/>
  <c r="AY348" i="31"/>
  <c r="AY199" i="31"/>
  <c r="AY44" i="31"/>
  <c r="T183" i="28"/>
  <c r="BD183" i="28"/>
  <c r="BD33" i="28"/>
  <c r="BD4" i="28"/>
  <c r="R199" i="31"/>
  <c r="BB9" i="31"/>
  <c r="BB348" i="31"/>
  <c r="BB199" i="31"/>
  <c r="BB44" i="31"/>
  <c r="BB500" i="31"/>
  <c r="V379" i="31"/>
  <c r="AN380" i="31" s="1"/>
  <c r="V471" i="31"/>
  <c r="AN472" i="31" s="1"/>
  <c r="V457" i="31"/>
  <c r="V484" i="31"/>
  <c r="AN485" i="31" s="1"/>
  <c r="V445" i="31"/>
  <c r="R379" i="31"/>
  <c r="R471" i="31"/>
  <c r="R457" i="31"/>
  <c r="R445" i="31"/>
  <c r="R484" i="31"/>
  <c r="O379" i="31"/>
  <c r="AG380" i="31" s="1"/>
  <c r="O484" i="31"/>
  <c r="AG485" i="31" s="1"/>
  <c r="O445" i="31"/>
  <c r="O457" i="31"/>
  <c r="O471" i="31"/>
  <c r="AG472" i="31" s="1"/>
  <c r="T379" i="31"/>
  <c r="AL380" i="31" s="1"/>
  <c r="T445" i="31"/>
  <c r="T471" i="31"/>
  <c r="AL472" i="31" s="1"/>
  <c r="T484" i="31"/>
  <c r="AL485" i="31" s="1"/>
  <c r="T457" i="31"/>
  <c r="BA213" i="31"/>
  <c r="BA214" i="31"/>
  <c r="AY251" i="31"/>
  <c r="AY252" i="31"/>
  <c r="BK214" i="31"/>
  <c r="BK213" i="31"/>
  <c r="AY213" i="31"/>
  <c r="AY214" i="31"/>
  <c r="BE251" i="31"/>
  <c r="BE252" i="31"/>
  <c r="BD252" i="31"/>
  <c r="BD251" i="31"/>
  <c r="AZ252" i="31"/>
  <c r="AZ251" i="31"/>
  <c r="BI47" i="28"/>
  <c r="BI48" i="28"/>
  <c r="BI12" i="28" s="1"/>
  <c r="AY48" i="28"/>
  <c r="AY12" i="28" s="1"/>
  <c r="AY47" i="28"/>
  <c r="BC48" i="28"/>
  <c r="BC12" i="28" s="1"/>
  <c r="BC47" i="28"/>
  <c r="BG48" i="28"/>
  <c r="BG12" i="28" s="1"/>
  <c r="BG47" i="28"/>
  <c r="AY98" i="28"/>
  <c r="AY15" i="28" s="1"/>
  <c r="AY99" i="28"/>
  <c r="AY16" i="28" s="1"/>
  <c r="BK48" i="28"/>
  <c r="BK12" i="28" s="1"/>
  <c r="BK47" i="28"/>
  <c r="AZ48" i="28"/>
  <c r="AZ47" i="28"/>
  <c r="BH235" i="28"/>
  <c r="BH236" i="28"/>
  <c r="BD47" i="28"/>
  <c r="BD48" i="28"/>
  <c r="BK99" i="28"/>
  <c r="BK16" i="28" s="1"/>
  <c r="BK98" i="28"/>
  <c r="BK15" i="28" s="1"/>
  <c r="BH48" i="28"/>
  <c r="BH12" i="28" s="1"/>
  <c r="BH47" i="28"/>
  <c r="BH197" i="28"/>
  <c r="BH198" i="28"/>
  <c r="AX184" i="28"/>
  <c r="BA47" i="28"/>
  <c r="BA48" i="28"/>
  <c r="BA12" i="28" s="1"/>
  <c r="BE47" i="28"/>
  <c r="BE48" i="28"/>
  <c r="BE12" i="28" s="1"/>
  <c r="BA37" i="7"/>
  <c r="P37" i="7"/>
  <c r="AH37" i="7" s="1"/>
  <c r="Q37" i="7"/>
  <c r="AI37" i="7" s="1"/>
  <c r="BB37" i="7"/>
  <c r="T37" i="7"/>
  <c r="AL37" i="7" s="1"/>
  <c r="BE37" i="7"/>
  <c r="BG37" i="7"/>
  <c r="V37" i="7"/>
  <c r="AN37" i="7" s="1"/>
  <c r="BH37" i="7"/>
  <c r="W37" i="7"/>
  <c r="AO37" i="7" s="1"/>
  <c r="BD37" i="7"/>
  <c r="S37" i="7"/>
  <c r="AK37" i="7" s="1"/>
  <c r="U37" i="7"/>
  <c r="AM37" i="7" s="1"/>
  <c r="BF37" i="7"/>
  <c r="M37" i="7"/>
  <c r="AE37" i="7" s="1"/>
  <c r="AX37" i="7"/>
  <c r="R37" i="7"/>
  <c r="AJ37" i="7" s="1"/>
  <c r="BC37" i="7"/>
  <c r="BL37" i="7"/>
  <c r="AA37" i="7"/>
  <c r="AS37" i="7" s="1"/>
  <c r="BK37" i="7"/>
  <c r="Z37" i="7"/>
  <c r="AR37" i="7" s="1"/>
  <c r="AZ37" i="7"/>
  <c r="O37" i="7"/>
  <c r="AG37" i="7" s="1"/>
  <c r="AY37" i="7"/>
  <c r="N37" i="7"/>
  <c r="AF37" i="7" s="1"/>
  <c r="Y37" i="7"/>
  <c r="AQ37" i="7" s="1"/>
  <c r="BJ37" i="7"/>
  <c r="P90" i="7"/>
  <c r="AX81" i="7"/>
  <c r="AX6" i="7"/>
  <c r="AX113" i="7"/>
  <c r="BC6" i="7"/>
  <c r="BC113" i="7"/>
  <c r="BC81" i="7"/>
  <c r="BK6" i="7"/>
  <c r="BK113" i="7"/>
  <c r="BK81" i="7"/>
  <c r="AZ6" i="7"/>
  <c r="AZ113" i="7"/>
  <c r="AZ81" i="7"/>
  <c r="AY6" i="7"/>
  <c r="AY113" i="7"/>
  <c r="AY81" i="7"/>
  <c r="BJ81" i="7"/>
  <c r="BJ113" i="7"/>
  <c r="BJ6" i="7"/>
  <c r="BF81" i="7"/>
  <c r="BF6" i="7"/>
  <c r="BF113" i="7"/>
  <c r="BL6" i="7"/>
  <c r="BL113" i="7"/>
  <c r="BL81" i="7"/>
  <c r="BA113" i="7"/>
  <c r="BA81" i="7"/>
  <c r="BA6" i="7"/>
  <c r="BB81" i="7"/>
  <c r="BB113" i="7"/>
  <c r="BB6" i="7"/>
  <c r="BE113" i="7"/>
  <c r="BE81" i="7"/>
  <c r="BE6" i="7"/>
  <c r="BG6" i="7"/>
  <c r="BG81" i="7"/>
  <c r="BG113" i="7"/>
  <c r="BH6" i="7"/>
  <c r="BH113" i="7"/>
  <c r="BH81" i="7"/>
  <c r="BD6" i="7"/>
  <c r="BD113" i="7"/>
  <c r="BD81" i="7"/>
  <c r="H61" i="32"/>
  <c r="H82" i="32"/>
  <c r="H40" i="32"/>
  <c r="R69" i="32"/>
  <c r="R26" i="32"/>
  <c r="R48" i="32"/>
  <c r="BC4" i="32"/>
  <c r="BC26" i="32"/>
  <c r="O69" i="32"/>
  <c r="O26" i="32"/>
  <c r="O48" i="32"/>
  <c r="AZ4" i="32"/>
  <c r="AZ26" i="32"/>
  <c r="V26" i="32"/>
  <c r="V48" i="32"/>
  <c r="V69" i="32"/>
  <c r="BG26" i="32"/>
  <c r="BG4" i="32"/>
  <c r="AA69" i="32"/>
  <c r="AA26" i="32"/>
  <c r="AA48" i="32"/>
  <c r="BL4" i="32"/>
  <c r="BL26" i="32"/>
  <c r="X48" i="32"/>
  <c r="X69" i="32"/>
  <c r="X26" i="32"/>
  <c r="BI4" i="32"/>
  <c r="BI26" i="32"/>
  <c r="H81" i="32"/>
  <c r="H60" i="32"/>
  <c r="H39" i="32"/>
  <c r="AI48" i="32"/>
  <c r="AI69" i="32" s="1"/>
  <c r="AI26" i="32" s="1"/>
  <c r="Q26" i="32"/>
  <c r="Q48" i="32"/>
  <c r="Q69" i="32"/>
  <c r="BB4" i="32"/>
  <c r="BB26" i="32"/>
  <c r="S8" i="32"/>
  <c r="S69" i="32"/>
  <c r="S26" i="32"/>
  <c r="S48" i="32"/>
  <c r="BD4" i="32"/>
  <c r="BD26" i="32"/>
  <c r="N26" i="32"/>
  <c r="N48" i="32"/>
  <c r="N69" i="32"/>
  <c r="AY26" i="32"/>
  <c r="AY4" i="32"/>
  <c r="Z69" i="32"/>
  <c r="Z26" i="32"/>
  <c r="Z48" i="32"/>
  <c r="BK26" i="32"/>
  <c r="BK4" i="32"/>
  <c r="P48" i="32"/>
  <c r="P69" i="32"/>
  <c r="P26" i="32"/>
  <c r="BA4" i="32"/>
  <c r="BA26" i="32"/>
  <c r="T48" i="32"/>
  <c r="T26" i="32"/>
  <c r="T69" i="32"/>
  <c r="BE4" i="32"/>
  <c r="BE26" i="32"/>
  <c r="U26" i="32"/>
  <c r="U48" i="32"/>
  <c r="U69" i="32"/>
  <c r="BF4" i="32"/>
  <c r="BF26" i="32"/>
  <c r="W69" i="32"/>
  <c r="W26" i="32"/>
  <c r="W48" i="32"/>
  <c r="BH4" i="32"/>
  <c r="BH26" i="32"/>
  <c r="Q277" i="34"/>
  <c r="Q139" i="34"/>
  <c r="Y277" i="34"/>
  <c r="Y139" i="34"/>
  <c r="O277" i="34"/>
  <c r="O139" i="34"/>
  <c r="W277" i="34"/>
  <c r="W139" i="34"/>
  <c r="V277" i="34"/>
  <c r="V139" i="34"/>
  <c r="L277" i="34"/>
  <c r="L139" i="34"/>
  <c r="S277" i="34"/>
  <c r="S139" i="34"/>
  <c r="U277" i="34"/>
  <c r="U139" i="34"/>
  <c r="X277" i="34"/>
  <c r="X139" i="34"/>
  <c r="P277" i="34"/>
  <c r="P139" i="34"/>
  <c r="Z277" i="34"/>
  <c r="Z139" i="34"/>
  <c r="N277" i="34"/>
  <c r="N139" i="34"/>
  <c r="M277" i="34"/>
  <c r="M139" i="34"/>
  <c r="Q288" i="34"/>
  <c r="Q260" i="34"/>
  <c r="AL9" i="34"/>
  <c r="O9" i="34"/>
  <c r="O260" i="34"/>
  <c r="AJ9" i="34"/>
  <c r="W192" i="34"/>
  <c r="W260" i="34"/>
  <c r="AR9" i="34"/>
  <c r="V192" i="34"/>
  <c r="V260" i="34"/>
  <c r="AQ9" i="34"/>
  <c r="L288" i="34"/>
  <c r="L260" i="34"/>
  <c r="AG9" i="34"/>
  <c r="S9" i="34"/>
  <c r="S260" i="34"/>
  <c r="AN9" i="34"/>
  <c r="U192" i="34"/>
  <c r="U260" i="34"/>
  <c r="AP9" i="34"/>
  <c r="X288" i="34"/>
  <c r="X260" i="34"/>
  <c r="AS9" i="34"/>
  <c r="Y192" i="34"/>
  <c r="Y260" i="34"/>
  <c r="AT9" i="34"/>
  <c r="P260" i="34"/>
  <c r="AK9" i="34"/>
  <c r="Z192" i="34"/>
  <c r="Z260" i="34"/>
  <c r="AU9" i="34"/>
  <c r="N260" i="34"/>
  <c r="AI9" i="34"/>
  <c r="M192" i="34"/>
  <c r="M260" i="34"/>
  <c r="AH9" i="34"/>
  <c r="M15" i="23"/>
  <c r="AX46" i="23"/>
  <c r="AX26" i="23"/>
  <c r="P23" i="23"/>
  <c r="BA26" i="23"/>
  <c r="BA46" i="23"/>
  <c r="R43" i="23"/>
  <c r="BC46" i="23"/>
  <c r="BC26" i="23"/>
  <c r="AM23" i="23"/>
  <c r="AM43" i="23" s="1"/>
  <c r="BF46" i="23"/>
  <c r="BF26" i="23"/>
  <c r="X43" i="23"/>
  <c r="BI26" i="23"/>
  <c r="BI46" i="23"/>
  <c r="T23" i="23"/>
  <c r="BE26" i="23"/>
  <c r="BE46" i="23"/>
  <c r="AF23" i="23"/>
  <c r="AF43" i="23" s="1"/>
  <c r="AY46" i="23"/>
  <c r="AY26" i="23"/>
  <c r="BB26" i="23"/>
  <c r="BB46" i="23"/>
  <c r="Z15" i="23"/>
  <c r="BK46" i="23"/>
  <c r="BK26" i="23"/>
  <c r="V23" i="23"/>
  <c r="BG46" i="23"/>
  <c r="BG26" i="23"/>
  <c r="O43" i="23"/>
  <c r="AZ46" i="23"/>
  <c r="AZ26" i="23"/>
  <c r="AA23" i="23"/>
  <c r="BL46" i="23"/>
  <c r="BL26" i="23"/>
  <c r="AK23" i="23"/>
  <c r="AK43" i="23" s="1"/>
  <c r="BD46" i="23"/>
  <c r="BD26" i="23"/>
  <c r="AA81" i="7"/>
  <c r="Y113" i="7"/>
  <c r="R21" i="7"/>
  <c r="O81" i="7"/>
  <c r="N8" i="7"/>
  <c r="Q8" i="7"/>
  <c r="T8" i="7"/>
  <c r="S8" i="7"/>
  <c r="W209" i="34"/>
  <c r="S209" i="34"/>
  <c r="O209" i="34"/>
  <c r="Z209" i="34"/>
  <c r="V209" i="34"/>
  <c r="R209" i="34"/>
  <c r="N209" i="34"/>
  <c r="Y209" i="34"/>
  <c r="U209" i="34"/>
  <c r="Q209" i="34"/>
  <c r="M209" i="34"/>
  <c r="X209" i="34"/>
  <c r="T209" i="34"/>
  <c r="P209" i="34"/>
  <c r="L209" i="34"/>
  <c r="AI28" i="1"/>
  <c r="AI117" i="1"/>
  <c r="AI64" i="1"/>
  <c r="AI81" i="1"/>
  <c r="AI53" i="1"/>
  <c r="AI42" i="1"/>
  <c r="AI106" i="1"/>
  <c r="AI95" i="1"/>
  <c r="AP42" i="1"/>
  <c r="AP106" i="1"/>
  <c r="AP28" i="1"/>
  <c r="AP117" i="1"/>
  <c r="AP64" i="1"/>
  <c r="AP95" i="1"/>
  <c r="AP53" i="1"/>
  <c r="AP81" i="1"/>
  <c r="AF64" i="1"/>
  <c r="AF81" i="1"/>
  <c r="AF53" i="1"/>
  <c r="AF95" i="1"/>
  <c r="AF42" i="1"/>
  <c r="AF106" i="1"/>
  <c r="AF117" i="1"/>
  <c r="AF28" i="1"/>
  <c r="AR64" i="1"/>
  <c r="AR81" i="1"/>
  <c r="AR53" i="1"/>
  <c r="AR95" i="1"/>
  <c r="AR42" i="1"/>
  <c r="AR106" i="1"/>
  <c r="AR117" i="1"/>
  <c r="AR28" i="1"/>
  <c r="AQ28" i="1"/>
  <c r="AQ117" i="1"/>
  <c r="AQ64" i="1"/>
  <c r="AQ81" i="1"/>
  <c r="AQ53" i="1"/>
  <c r="AQ95" i="1"/>
  <c r="AQ106" i="1"/>
  <c r="AQ42" i="1"/>
  <c r="AI485" i="31"/>
  <c r="AH87" i="7"/>
  <c r="AF62" i="4"/>
  <c r="AI392" i="31"/>
  <c r="AI472" i="31"/>
  <c r="W420" i="31"/>
  <c r="Q434" i="31"/>
  <c r="AI433" i="31" s="1"/>
  <c r="Y434" i="31"/>
  <c r="T434" i="31"/>
  <c r="P459" i="31"/>
  <c r="S447" i="31"/>
  <c r="AA434" i="31"/>
  <c r="P420" i="31"/>
  <c r="T420" i="31"/>
  <c r="S420" i="31"/>
  <c r="U434" i="31"/>
  <c r="O434" i="31"/>
  <c r="P434" i="31"/>
  <c r="V420" i="31"/>
  <c r="AA406" i="31"/>
  <c r="Y447" i="31"/>
  <c r="Y452" i="31" s="1"/>
  <c r="AB459" i="31"/>
  <c r="AB465" i="31" s="1"/>
  <c r="AA459" i="31"/>
  <c r="AA465" i="31" s="1"/>
  <c r="AB406" i="31"/>
  <c r="Z447" i="31"/>
  <c r="Z450" i="31" s="1"/>
  <c r="Z406" i="31"/>
  <c r="X447" i="31"/>
  <c r="X452" i="31" s="1"/>
  <c r="P406" i="31"/>
  <c r="U420" i="31"/>
  <c r="X420" i="31"/>
  <c r="O459" i="31"/>
  <c r="O463" i="31" s="1"/>
  <c r="Q459" i="31"/>
  <c r="AI458" i="31" s="1"/>
  <c r="O406" i="31"/>
  <c r="AB447" i="31"/>
  <c r="AB453" i="31" s="1"/>
  <c r="Z420" i="31"/>
  <c r="O420" i="31"/>
  <c r="Z434" i="31"/>
  <c r="AB434" i="31"/>
  <c r="Y420" i="31"/>
  <c r="Y459" i="31"/>
  <c r="W406" i="31"/>
  <c r="U447" i="31"/>
  <c r="X459" i="31"/>
  <c r="X463" i="31" s="1"/>
  <c r="W459" i="31"/>
  <c r="Z459" i="31"/>
  <c r="Z461" i="31" s="1"/>
  <c r="X406" i="31"/>
  <c r="V447" i="31"/>
  <c r="V449" i="31" s="1"/>
  <c r="V406" i="31"/>
  <c r="T447" i="31"/>
  <c r="T449" i="31" s="1"/>
  <c r="AA447" i="31"/>
  <c r="U406" i="31"/>
  <c r="W434" i="31"/>
  <c r="S434" i="31"/>
  <c r="AB420" i="31"/>
  <c r="AA420" i="31"/>
  <c r="Q420" i="31"/>
  <c r="V434" i="31"/>
  <c r="X434" i="31"/>
  <c r="U459" i="31"/>
  <c r="S406" i="31"/>
  <c r="P447" i="31"/>
  <c r="P449" i="31" s="1"/>
  <c r="T459" i="31"/>
  <c r="S459" i="31"/>
  <c r="V459" i="31"/>
  <c r="V462" i="31" s="1"/>
  <c r="T406" i="31"/>
  <c r="Q447" i="31"/>
  <c r="Q449" i="31" s="1"/>
  <c r="Q406" i="31"/>
  <c r="O447" i="31"/>
  <c r="O452" i="31" s="1"/>
  <c r="Y406" i="31"/>
  <c r="W447" i="31"/>
  <c r="W448" i="31" s="1"/>
  <c r="R252" i="29"/>
  <c r="AJ251" i="29" s="1"/>
  <c r="AE251" i="29" s="1"/>
  <c r="O54" i="35"/>
  <c r="Y35" i="4"/>
  <c r="N54" i="35"/>
  <c r="X35" i="4"/>
  <c r="W40" i="4"/>
  <c r="W39" i="4"/>
  <c r="W38" i="4"/>
  <c r="W37" i="4"/>
  <c r="W36" i="4"/>
  <c r="W41" i="4"/>
  <c r="L54" i="35"/>
  <c r="V35" i="4"/>
  <c r="AB40" i="4"/>
  <c r="AB38" i="4"/>
  <c r="AB36" i="4"/>
  <c r="AB37" i="4"/>
  <c r="AB41" i="4"/>
  <c r="AB39" i="4"/>
  <c r="Z41" i="4"/>
  <c r="Z37" i="4"/>
  <c r="Z39" i="4"/>
  <c r="Z40" i="4"/>
  <c r="Z36" i="4"/>
  <c r="Z38" i="4"/>
  <c r="AF53" i="28"/>
  <c r="AL201" i="31"/>
  <c r="AI201" i="31"/>
  <c r="AS201" i="31"/>
  <c r="AK201" i="31"/>
  <c r="K54" i="35"/>
  <c r="J54" i="35"/>
  <c r="G54" i="35"/>
  <c r="P37" i="4"/>
  <c r="P40" i="4"/>
  <c r="P38" i="4"/>
  <c r="P39" i="4"/>
  <c r="P36" i="4"/>
  <c r="P41" i="4"/>
  <c r="O37" i="4"/>
  <c r="O40" i="4"/>
  <c r="O38" i="4"/>
  <c r="O36" i="4"/>
  <c r="O39" i="4"/>
  <c r="O41" i="4"/>
  <c r="I82" i="4"/>
  <c r="I39" i="4"/>
  <c r="T45" i="4"/>
  <c r="T33" i="4"/>
  <c r="AL34" i="4" s="1"/>
  <c r="AA45" i="4"/>
  <c r="AS46" i="4" s="1"/>
  <c r="AA33" i="4"/>
  <c r="Q76" i="4"/>
  <c r="Q33" i="4"/>
  <c r="S76" i="4"/>
  <c r="S33" i="4"/>
  <c r="AK34" i="4" s="1"/>
  <c r="R45" i="4"/>
  <c r="R33" i="4"/>
  <c r="AI368" i="31"/>
  <c r="W251" i="34"/>
  <c r="S251" i="34"/>
  <c r="O251" i="34"/>
  <c r="Y251" i="34"/>
  <c r="U251" i="34"/>
  <c r="Q251" i="34"/>
  <c r="M251" i="34"/>
  <c r="X251" i="34"/>
  <c r="T251" i="34"/>
  <c r="P251" i="34"/>
  <c r="L251" i="34"/>
  <c r="Z251" i="34"/>
  <c r="V251" i="34"/>
  <c r="R251" i="34"/>
  <c r="N251" i="34"/>
  <c r="H48" i="7"/>
  <c r="AL103" i="28"/>
  <c r="N489" i="31"/>
  <c r="AA130" i="26"/>
  <c r="AG103" i="28"/>
  <c r="AA76" i="26"/>
  <c r="AA118" i="26"/>
  <c r="AF93" i="25"/>
  <c r="AA144" i="26"/>
  <c r="AF77" i="28"/>
  <c r="I97" i="25"/>
  <c r="AA90" i="26"/>
  <c r="AA104" i="26"/>
  <c r="N477" i="31"/>
  <c r="AA49" i="26"/>
  <c r="AA62" i="26"/>
  <c r="AS103" i="28"/>
  <c r="AT103" i="28"/>
  <c r="N55" i="28"/>
  <c r="W212" i="34"/>
  <c r="S212" i="34"/>
  <c r="O212" i="34"/>
  <c r="Z212" i="34"/>
  <c r="V212" i="34"/>
  <c r="R212" i="34"/>
  <c r="N212" i="34"/>
  <c r="Y212" i="34"/>
  <c r="U212" i="34"/>
  <c r="Q212" i="34"/>
  <c r="M212" i="34"/>
  <c r="X212" i="34"/>
  <c r="T212" i="34"/>
  <c r="P212" i="34"/>
  <c r="L212" i="34"/>
  <c r="H136" i="7"/>
  <c r="I125" i="25"/>
  <c r="I151" i="25"/>
  <c r="AB211" i="28"/>
  <c r="X211" i="28"/>
  <c r="T211" i="28"/>
  <c r="P211" i="28"/>
  <c r="U211" i="28"/>
  <c r="AA211" i="28"/>
  <c r="W211" i="28"/>
  <c r="S211" i="28"/>
  <c r="O211" i="28"/>
  <c r="Z211" i="28"/>
  <c r="V211" i="28"/>
  <c r="R211" i="28"/>
  <c r="Y211" i="28"/>
  <c r="Q211" i="28"/>
  <c r="I82" i="25"/>
  <c r="I110" i="25"/>
  <c r="O14" i="26"/>
  <c r="O104" i="26" s="1"/>
  <c r="O14" i="25"/>
  <c r="O118" i="25" s="1"/>
  <c r="T14" i="26"/>
  <c r="T37" i="26" s="1"/>
  <c r="T14" i="25"/>
  <c r="T158" i="25" s="1"/>
  <c r="V14" i="26"/>
  <c r="V144" i="26" s="1"/>
  <c r="V14" i="25"/>
  <c r="U14" i="26"/>
  <c r="U118" i="26" s="1"/>
  <c r="U14" i="25"/>
  <c r="U144" i="25" s="1"/>
  <c r="W14" i="26"/>
  <c r="W104" i="26" s="1"/>
  <c r="W14" i="25"/>
  <c r="W49" i="25" s="1"/>
  <c r="AF20" i="25"/>
  <c r="I84" i="25" s="1"/>
  <c r="I164" i="25"/>
  <c r="I44" i="25"/>
  <c r="I68" i="25"/>
  <c r="I136" i="25"/>
  <c r="P14" i="26"/>
  <c r="P90" i="26" s="1"/>
  <c r="P14" i="25"/>
  <c r="P158" i="25" s="1"/>
  <c r="I124" i="25"/>
  <c r="I150" i="25"/>
  <c r="I137" i="25"/>
  <c r="I83" i="25"/>
  <c r="I96" i="25"/>
  <c r="I55" i="25"/>
  <c r="X14" i="26"/>
  <c r="X37" i="26" s="1"/>
  <c r="X14" i="25"/>
  <c r="Y14" i="26"/>
  <c r="Y104" i="26" s="1"/>
  <c r="Y14" i="25"/>
  <c r="AB14" i="26"/>
  <c r="AB104" i="26" s="1"/>
  <c r="AB14" i="25"/>
  <c r="AB130" i="25" s="1"/>
  <c r="Q14" i="26"/>
  <c r="Q104" i="26" s="1"/>
  <c r="Q14" i="25"/>
  <c r="Q144" i="25" s="1"/>
  <c r="S14" i="26"/>
  <c r="S118" i="26" s="1"/>
  <c r="S14" i="25"/>
  <c r="S130" i="25" s="1"/>
  <c r="I111" i="25"/>
  <c r="I165" i="25"/>
  <c r="I56" i="25"/>
  <c r="I43" i="25"/>
  <c r="H73" i="1"/>
  <c r="H126" i="1"/>
  <c r="B70" i="34"/>
  <c r="Z35" i="25"/>
  <c r="Y36" i="25"/>
  <c r="Y35" i="25"/>
  <c r="X35" i="25"/>
  <c r="T36" i="25"/>
  <c r="T35" i="25"/>
  <c r="Z466" i="31"/>
  <c r="AB466" i="31"/>
  <c r="W466" i="31"/>
  <c r="Q466" i="31"/>
  <c r="AA466" i="31"/>
  <c r="U466" i="31"/>
  <c r="P466" i="31"/>
  <c r="Y466" i="31"/>
  <c r="T466" i="31"/>
  <c r="O466" i="31"/>
  <c r="X466" i="31"/>
  <c r="S466" i="31"/>
  <c r="V466" i="31"/>
  <c r="R466" i="31"/>
  <c r="I535" i="31"/>
  <c r="I522" i="31"/>
  <c r="I491" i="31"/>
  <c r="I452" i="31"/>
  <c r="I478" i="31"/>
  <c r="I464" i="31"/>
  <c r="I386" i="31"/>
  <c r="Z480" i="31"/>
  <c r="R480" i="31"/>
  <c r="W480" i="31"/>
  <c r="P480" i="31"/>
  <c r="AB480" i="31"/>
  <c r="V480" i="31"/>
  <c r="O480" i="31"/>
  <c r="AA480" i="31"/>
  <c r="T480" i="31"/>
  <c r="S480" i="31"/>
  <c r="Q480" i="31"/>
  <c r="Y480" i="31"/>
  <c r="X480" i="31"/>
  <c r="U480" i="31"/>
  <c r="Z454" i="31"/>
  <c r="AA454" i="31"/>
  <c r="U454" i="31"/>
  <c r="P454" i="31"/>
  <c r="Y454" i="31"/>
  <c r="T454" i="31"/>
  <c r="O454" i="31"/>
  <c r="X454" i="31"/>
  <c r="S454" i="31"/>
  <c r="AB454" i="31"/>
  <c r="W454" i="31"/>
  <c r="Q454" i="31"/>
  <c r="V454" i="31"/>
  <c r="R454" i="31"/>
  <c r="S176" i="45"/>
  <c r="I521" i="31"/>
  <c r="I534" i="31"/>
  <c r="I490" i="31"/>
  <c r="I451" i="31"/>
  <c r="I477" i="31"/>
  <c r="I463" i="31"/>
  <c r="I385" i="31"/>
  <c r="X441" i="31"/>
  <c r="U441" i="31"/>
  <c r="AB441" i="31"/>
  <c r="Q441" i="31"/>
  <c r="Z441" i="31"/>
  <c r="P441" i="31"/>
  <c r="V441" i="31"/>
  <c r="O441" i="31"/>
  <c r="R441" i="31"/>
  <c r="S441" i="31"/>
  <c r="AA441" i="31"/>
  <c r="T441" i="31"/>
  <c r="W441" i="31"/>
  <c r="Y441" i="31"/>
  <c r="Q65" i="31"/>
  <c r="BA60" i="31" s="1"/>
  <c r="BA12" i="31" s="1"/>
  <c r="W77" i="31"/>
  <c r="T90" i="31"/>
  <c r="AB65" i="31"/>
  <c r="BL60" i="31" s="1"/>
  <c r="BL12" i="31" s="1"/>
  <c r="F54" i="35"/>
  <c r="P53" i="4" s="1"/>
  <c r="AA65" i="31"/>
  <c r="BK60" i="31" s="1"/>
  <c r="BK12" i="31" s="1"/>
  <c r="Q49" i="4"/>
  <c r="R51" i="31"/>
  <c r="N80" i="28"/>
  <c r="N79" i="28"/>
  <c r="Y52" i="4"/>
  <c r="X52" i="4"/>
  <c r="M54" i="35"/>
  <c r="W52" i="4" s="1"/>
  <c r="U49" i="4"/>
  <c r="T49" i="4"/>
  <c r="V49" i="4"/>
  <c r="P54" i="35"/>
  <c r="R54" i="35"/>
  <c r="AB49" i="4" s="1"/>
  <c r="N83" i="28"/>
  <c r="N81" i="28"/>
  <c r="N82" i="28"/>
  <c r="N84" i="28"/>
  <c r="E54" i="35"/>
  <c r="O52" i="4" s="1"/>
  <c r="N420" i="31"/>
  <c r="N90" i="31"/>
  <c r="N459" i="31"/>
  <c r="N132" i="31"/>
  <c r="N65" i="31"/>
  <c r="AX58" i="31" s="1"/>
  <c r="N447" i="31"/>
  <c r="N369" i="31"/>
  <c r="D134" i="35"/>
  <c r="N406" i="31"/>
  <c r="N381" i="31"/>
  <c r="N77" i="31"/>
  <c r="N104" i="31"/>
  <c r="AX97" i="31" s="1"/>
  <c r="N434" i="31"/>
  <c r="N158" i="31"/>
  <c r="N146" i="31"/>
  <c r="R25" i="35"/>
  <c r="AK25" i="35" s="1"/>
  <c r="R149" i="35"/>
  <c r="AK149" i="35" s="1"/>
  <c r="I25" i="35"/>
  <c r="AB25" i="35" s="1"/>
  <c r="I149" i="35"/>
  <c r="AB149" i="35" s="1"/>
  <c r="F179" i="35"/>
  <c r="F184" i="35" s="1"/>
  <c r="F25" i="35"/>
  <c r="Y25" i="35" s="1"/>
  <c r="D179" i="35"/>
  <c r="D184" i="35" s="1"/>
  <c r="D25" i="35"/>
  <c r="W25" i="35" s="1"/>
  <c r="H179" i="35"/>
  <c r="H184" i="35" s="1"/>
  <c r="H25" i="35"/>
  <c r="AA25" i="35" s="1"/>
  <c r="G179" i="35"/>
  <c r="G184" i="35" s="1"/>
  <c r="G25" i="35"/>
  <c r="Z25" i="35" s="1"/>
  <c r="M179" i="35"/>
  <c r="M184" i="35" s="1"/>
  <c r="M25" i="35"/>
  <c r="AF25" i="35" s="1"/>
  <c r="J179" i="35"/>
  <c r="J184" i="35" s="1"/>
  <c r="J25" i="35"/>
  <c r="AC25" i="35" s="1"/>
  <c r="O179" i="35"/>
  <c r="O184" i="35" s="1"/>
  <c r="O25" i="35"/>
  <c r="AH25" i="35" s="1"/>
  <c r="E179" i="35"/>
  <c r="E184" i="35" s="1"/>
  <c r="E25" i="35"/>
  <c r="X25" i="35" s="1"/>
  <c r="N179" i="35"/>
  <c r="N184" i="35" s="1"/>
  <c r="N25" i="35"/>
  <c r="AG25" i="35" s="1"/>
  <c r="Q179" i="35"/>
  <c r="Q184" i="35" s="1"/>
  <c r="Q25" i="35"/>
  <c r="AJ25" i="35" s="1"/>
  <c r="L179" i="35"/>
  <c r="L184" i="35" s="1"/>
  <c r="L25" i="35"/>
  <c r="AE25" i="35" s="1"/>
  <c r="K179" i="35"/>
  <c r="K184" i="35" s="1"/>
  <c r="K25" i="35"/>
  <c r="AD25" i="35" s="1"/>
  <c r="S143" i="28"/>
  <c r="AK292" i="28"/>
  <c r="S157" i="28"/>
  <c r="AK156" i="28" s="1"/>
  <c r="AK280" i="28"/>
  <c r="S131" i="28"/>
  <c r="AK130" i="28" s="1"/>
  <c r="AK319" i="28"/>
  <c r="S170" i="28"/>
  <c r="AK169" i="28" s="1"/>
  <c r="AK306" i="28"/>
  <c r="P118" i="28"/>
  <c r="AH267" i="28"/>
  <c r="AF215" i="28"/>
  <c r="N66" i="28"/>
  <c r="N104" i="28"/>
  <c r="AX98" i="28" s="1"/>
  <c r="AX15" i="28" s="1"/>
  <c r="AI292" i="28"/>
  <c r="Q143" i="28"/>
  <c r="AQ292" i="28"/>
  <c r="Y143" i="28"/>
  <c r="U66" i="28"/>
  <c r="BE61" i="28" s="1"/>
  <c r="BE13" i="28" s="1"/>
  <c r="AM215" i="28"/>
  <c r="T143" i="28"/>
  <c r="AL292" i="28"/>
  <c r="AL306" i="28"/>
  <c r="AL319" i="28"/>
  <c r="T157" i="28"/>
  <c r="AL156" i="28" s="1"/>
  <c r="AL280" i="28"/>
  <c r="T131" i="28"/>
  <c r="T170" i="28"/>
  <c r="AL169" i="28" s="1"/>
  <c r="Q118" i="28"/>
  <c r="AI267" i="28"/>
  <c r="AG215" i="28"/>
  <c r="O66" i="28"/>
  <c r="AY61" i="28" s="1"/>
  <c r="AY13" i="28" s="1"/>
  <c r="AB118" i="28"/>
  <c r="AT117" i="28" s="1"/>
  <c r="AT267" i="28"/>
  <c r="Z104" i="28"/>
  <c r="AS267" i="28"/>
  <c r="AA118" i="28"/>
  <c r="Y104" i="28"/>
  <c r="AF292" i="28"/>
  <c r="N143" i="28"/>
  <c r="AF306" i="28"/>
  <c r="N157" i="28"/>
  <c r="N131" i="28"/>
  <c r="AF280" i="28"/>
  <c r="N170" i="28"/>
  <c r="AF319" i="28"/>
  <c r="AA66" i="28"/>
  <c r="BK61" i="28" s="1"/>
  <c r="BK13" i="28" s="1"/>
  <c r="Z66" i="28"/>
  <c r="BJ61" i="28" s="1"/>
  <c r="BJ13" i="28" s="1"/>
  <c r="U143" i="28"/>
  <c r="AM292" i="28"/>
  <c r="AH215" i="28"/>
  <c r="P66" i="28"/>
  <c r="AG292" i="28"/>
  <c r="O143" i="28"/>
  <c r="AG142" i="28" s="1"/>
  <c r="AG319" i="28"/>
  <c r="O170" i="28"/>
  <c r="AG169" i="28" s="1"/>
  <c r="O157" i="28"/>
  <c r="AG156" i="28" s="1"/>
  <c r="AG306" i="28"/>
  <c r="AG280" i="28"/>
  <c r="O131" i="28"/>
  <c r="AG130" i="28" s="1"/>
  <c r="AB66" i="28"/>
  <c r="BL61" i="28" s="1"/>
  <c r="BL13" i="28" s="1"/>
  <c r="Z170" i="28"/>
  <c r="AR169" i="28" s="1"/>
  <c r="Z157" i="28"/>
  <c r="AR156" i="28" s="1"/>
  <c r="AR306" i="28"/>
  <c r="AR319" i="28"/>
  <c r="Z131" i="28"/>
  <c r="AR280" i="28"/>
  <c r="X118" i="28"/>
  <c r="AP117" i="28" s="1"/>
  <c r="AP267" i="28"/>
  <c r="V104" i="28"/>
  <c r="Y131" i="28"/>
  <c r="AQ130" i="28" s="1"/>
  <c r="Y170" i="28"/>
  <c r="AQ169" i="28" s="1"/>
  <c r="Y157" i="28"/>
  <c r="AQ156" i="28" s="1"/>
  <c r="AQ306" i="28"/>
  <c r="AQ280" i="28"/>
  <c r="AQ319" i="28"/>
  <c r="AO267" i="28"/>
  <c r="W118" i="28"/>
  <c r="U104" i="28"/>
  <c r="BE98" i="28" s="1"/>
  <c r="BE15" i="28" s="1"/>
  <c r="AA143" i="28"/>
  <c r="AS292" i="28"/>
  <c r="AA170" i="28"/>
  <c r="AS169" i="28" s="1"/>
  <c r="AA157" i="28"/>
  <c r="AS156" i="28" s="1"/>
  <c r="AS306" i="28"/>
  <c r="AS319" i="28"/>
  <c r="AA131" i="28"/>
  <c r="AS280" i="28"/>
  <c r="Y118" i="28"/>
  <c r="AQ267" i="28"/>
  <c r="W66" i="28"/>
  <c r="BG61" i="28" s="1"/>
  <c r="BG13" i="28" s="1"/>
  <c r="W104" i="28"/>
  <c r="BG99" i="28" s="1"/>
  <c r="BG16" i="28" s="1"/>
  <c r="AR292" i="28"/>
  <c r="Z143" i="28"/>
  <c r="V66" i="28"/>
  <c r="BF61" i="28" s="1"/>
  <c r="BF13" i="28" s="1"/>
  <c r="AH292" i="28"/>
  <c r="P143" i="28"/>
  <c r="AT292" i="28"/>
  <c r="AB143" i="28"/>
  <c r="AT319" i="28"/>
  <c r="AT280" i="28"/>
  <c r="AB157" i="28"/>
  <c r="AT156" i="28" s="1"/>
  <c r="AT306" i="28"/>
  <c r="AB131" i="28"/>
  <c r="AT130" i="28" s="1"/>
  <c r="AB170" i="28"/>
  <c r="AT169" i="28" s="1"/>
  <c r="AR267" i="28"/>
  <c r="Z118" i="28"/>
  <c r="X66" i="28"/>
  <c r="BH61" i="28" s="1"/>
  <c r="BH13" i="28" s="1"/>
  <c r="X104" i="28"/>
  <c r="V170" i="28"/>
  <c r="AN169" i="28" s="1"/>
  <c r="V131" i="28"/>
  <c r="AN306" i="28"/>
  <c r="AN319" i="28"/>
  <c r="V157" i="28"/>
  <c r="AN156" i="28" s="1"/>
  <c r="AN280" i="28"/>
  <c r="T118" i="28"/>
  <c r="AL267" i="28"/>
  <c r="Q104" i="28"/>
  <c r="BA98" i="28" s="1"/>
  <c r="BA15" i="28" s="1"/>
  <c r="U157" i="28"/>
  <c r="AM156" i="28" s="1"/>
  <c r="AM306" i="28"/>
  <c r="U170" i="28"/>
  <c r="AM169" i="28" s="1"/>
  <c r="AM280" i="28"/>
  <c r="U131" i="28"/>
  <c r="AM319" i="28"/>
  <c r="AK267" i="28"/>
  <c r="S118" i="28"/>
  <c r="P104" i="28"/>
  <c r="W143" i="28"/>
  <c r="AO292" i="28"/>
  <c r="W170" i="28"/>
  <c r="AO169" i="28" s="1"/>
  <c r="W157" i="28"/>
  <c r="AO156" i="28" s="1"/>
  <c r="AO280" i="28"/>
  <c r="W131" i="28"/>
  <c r="AO319" i="28"/>
  <c r="AO306" i="28"/>
  <c r="U118" i="28"/>
  <c r="AM267" i="28"/>
  <c r="S66" i="28"/>
  <c r="BC61" i="28" s="1"/>
  <c r="BC13" i="28" s="1"/>
  <c r="S104" i="28"/>
  <c r="BC99" i="28" s="1"/>
  <c r="BC16" i="28" s="1"/>
  <c r="AN292" i="28"/>
  <c r="V143" i="28"/>
  <c r="Q66" i="28"/>
  <c r="BA61" i="28" s="1"/>
  <c r="BA13" i="28" s="1"/>
  <c r="Y66" i="28"/>
  <c r="BI61" i="28" s="1"/>
  <c r="BI13" i="28" s="1"/>
  <c r="AP292" i="28"/>
  <c r="X143" i="28"/>
  <c r="AP280" i="28"/>
  <c r="AP306" i="28"/>
  <c r="X157" i="28"/>
  <c r="AP156" i="28" s="1"/>
  <c r="AP319" i="28"/>
  <c r="X131" i="28"/>
  <c r="AP130" i="28" s="1"/>
  <c r="X170" i="28"/>
  <c r="AP169" i="28" s="1"/>
  <c r="AN267" i="28"/>
  <c r="V118" i="28"/>
  <c r="T66" i="28"/>
  <c r="AI319" i="28"/>
  <c r="Q131" i="28"/>
  <c r="AI280" i="28"/>
  <c r="Q170" i="28"/>
  <c r="AI169" i="28" s="1"/>
  <c r="Q157" i="28"/>
  <c r="AI156" i="28" s="1"/>
  <c r="AI306" i="28"/>
  <c r="AG267" i="28"/>
  <c r="O118" i="28"/>
  <c r="AH306" i="28"/>
  <c r="AH280" i="28"/>
  <c r="P157" i="28"/>
  <c r="AH156" i="28" s="1"/>
  <c r="AH319" i="28"/>
  <c r="P131" i="28"/>
  <c r="P170" i="28"/>
  <c r="AH169" i="28" s="1"/>
  <c r="N118" i="28"/>
  <c r="AF267" i="28"/>
  <c r="P93" i="7"/>
  <c r="P94" i="7"/>
  <c r="H106" i="7"/>
  <c r="H49" i="7"/>
  <c r="H137" i="7"/>
  <c r="H73" i="7"/>
  <c r="H61" i="7"/>
  <c r="H124" i="7"/>
  <c r="H105" i="7"/>
  <c r="H62" i="7"/>
  <c r="H93" i="7"/>
  <c r="I76" i="29"/>
  <c r="I63" i="29"/>
  <c r="I519" i="29"/>
  <c r="I493" i="29"/>
  <c r="I468" i="29"/>
  <c r="I442" i="29"/>
  <c r="I417" i="29"/>
  <c r="I392" i="29"/>
  <c r="I359" i="29"/>
  <c r="I334" i="29"/>
  <c r="I308" i="29"/>
  <c r="I282" i="29"/>
  <c r="I258" i="29"/>
  <c r="I225" i="29"/>
  <c r="I199" i="29"/>
  <c r="I174" i="29"/>
  <c r="I148" i="29"/>
  <c r="I121" i="29"/>
  <c r="I96" i="29"/>
  <c r="I506" i="29"/>
  <c r="I455" i="29"/>
  <c r="I481" i="29"/>
  <c r="I429" i="29"/>
  <c r="I405" i="29"/>
  <c r="I372" i="29"/>
  <c r="I346" i="29"/>
  <c r="I321" i="29"/>
  <c r="I295" i="29"/>
  <c r="I270" i="29"/>
  <c r="I245" i="29"/>
  <c r="I212" i="29"/>
  <c r="I187" i="29"/>
  <c r="I161" i="29"/>
  <c r="I134" i="29"/>
  <c r="I109" i="29"/>
  <c r="I52" i="29"/>
  <c r="I161" i="28"/>
  <c r="I285" i="28"/>
  <c r="I324" i="28"/>
  <c r="I272" i="28"/>
  <c r="I220" i="28"/>
  <c r="I311" i="28"/>
  <c r="I297" i="28"/>
  <c r="I174" i="28"/>
  <c r="I208" i="28"/>
  <c r="I245" i="28"/>
  <c r="I232" i="28"/>
  <c r="I258" i="28"/>
  <c r="I82" i="28"/>
  <c r="T394" i="31"/>
  <c r="AM31" i="45"/>
  <c r="AM27" i="45"/>
  <c r="AM30" i="45"/>
  <c r="R506" i="31"/>
  <c r="AM34" i="45"/>
  <c r="AM26" i="45"/>
  <c r="AM37" i="45"/>
  <c r="AM33" i="45"/>
  <c r="AM29" i="45"/>
  <c r="AM28" i="45"/>
  <c r="AM35" i="45"/>
  <c r="R70" i="29"/>
  <c r="AM36" i="45"/>
  <c r="AM32" i="45"/>
  <c r="R154" i="35"/>
  <c r="AK154" i="35" s="1"/>
  <c r="R179" i="35"/>
  <c r="R184" i="35" s="1"/>
  <c r="I154" i="35"/>
  <c r="AB154" i="35" s="1"/>
  <c r="I179" i="35"/>
  <c r="I184" i="35" s="1"/>
  <c r="F143" i="35"/>
  <c r="Y143" i="35" s="1"/>
  <c r="F154" i="35"/>
  <c r="Y154" i="35" s="1"/>
  <c r="Q143" i="35"/>
  <c r="AJ143" i="35" s="1"/>
  <c r="Q154" i="35"/>
  <c r="AJ154" i="35" s="1"/>
  <c r="L143" i="35"/>
  <c r="AE143" i="35" s="1"/>
  <c r="L154" i="35"/>
  <c r="AE154" i="35" s="1"/>
  <c r="K143" i="35"/>
  <c r="AD143" i="35" s="1"/>
  <c r="K154" i="35"/>
  <c r="AD154" i="35" s="1"/>
  <c r="N143" i="35"/>
  <c r="AG143" i="35" s="1"/>
  <c r="N154" i="35"/>
  <c r="AG154" i="35" s="1"/>
  <c r="D143" i="35"/>
  <c r="W143" i="35" s="1"/>
  <c r="D154" i="35"/>
  <c r="W154" i="35" s="1"/>
  <c r="H143" i="35"/>
  <c r="AA143" i="35" s="1"/>
  <c r="H154" i="35"/>
  <c r="AA154" i="35" s="1"/>
  <c r="G143" i="35"/>
  <c r="Z143" i="35" s="1"/>
  <c r="G154" i="35"/>
  <c r="Z154" i="35" s="1"/>
  <c r="M143" i="35"/>
  <c r="AF143" i="35" s="1"/>
  <c r="M154" i="35"/>
  <c r="AF154" i="35" s="1"/>
  <c r="J143" i="35"/>
  <c r="AC143" i="35" s="1"/>
  <c r="J154" i="35"/>
  <c r="AC154" i="35" s="1"/>
  <c r="O143" i="35"/>
  <c r="AH143" i="35" s="1"/>
  <c r="O154" i="35"/>
  <c r="AH154" i="35" s="1"/>
  <c r="E143" i="35"/>
  <c r="X143" i="35" s="1"/>
  <c r="E154" i="35"/>
  <c r="X154" i="35" s="1"/>
  <c r="R105" i="35"/>
  <c r="AK105" i="35" s="1"/>
  <c r="R143" i="35"/>
  <c r="AK143" i="35" s="1"/>
  <c r="I105" i="35"/>
  <c r="AB105" i="35" s="1"/>
  <c r="I143" i="35"/>
  <c r="AB143" i="35" s="1"/>
  <c r="AA398" i="31"/>
  <c r="AA37" i="25"/>
  <c r="R158" i="26"/>
  <c r="AA62" i="25"/>
  <c r="X20" i="29"/>
  <c r="X379" i="29"/>
  <c r="AP379" i="29" s="1"/>
  <c r="X83" i="29"/>
  <c r="X232" i="29"/>
  <c r="R232" i="29"/>
  <c r="R379" i="29"/>
  <c r="AJ379" i="29" s="1"/>
  <c r="R83" i="29"/>
  <c r="U379" i="29"/>
  <c r="AM379" i="29" s="1"/>
  <c r="U83" i="29"/>
  <c r="U232" i="29"/>
  <c r="Y379" i="29"/>
  <c r="AQ379" i="29" s="1"/>
  <c r="Y83" i="29"/>
  <c r="Y232" i="29"/>
  <c r="Q40" i="29"/>
  <c r="Q379" i="29"/>
  <c r="AI379" i="29" s="1"/>
  <c r="Q83" i="29"/>
  <c r="Q232" i="29"/>
  <c r="T379" i="29"/>
  <c r="AL379" i="29" s="1"/>
  <c r="T83" i="29"/>
  <c r="T232" i="29"/>
  <c r="N232" i="29"/>
  <c r="N379" i="29"/>
  <c r="AF379" i="29" s="1"/>
  <c r="N83" i="29"/>
  <c r="W40" i="29"/>
  <c r="W379" i="29"/>
  <c r="AO379" i="29" s="1"/>
  <c r="W83" i="29"/>
  <c r="W232" i="29"/>
  <c r="Z232" i="29"/>
  <c r="Z379" i="29"/>
  <c r="AR379" i="29" s="1"/>
  <c r="Z83" i="29"/>
  <c r="AA20" i="29"/>
  <c r="AA379" i="29"/>
  <c r="AS379" i="29" s="1"/>
  <c r="AA83" i="29"/>
  <c r="AA232" i="29"/>
  <c r="AB379" i="29"/>
  <c r="AT379" i="29" s="1"/>
  <c r="AB83" i="29"/>
  <c r="AB232" i="29"/>
  <c r="V20" i="29"/>
  <c r="V232" i="29"/>
  <c r="V379" i="29"/>
  <c r="AN379" i="29" s="1"/>
  <c r="V83" i="29"/>
  <c r="P379" i="29"/>
  <c r="AH379" i="29" s="1"/>
  <c r="P83" i="29"/>
  <c r="P232" i="29"/>
  <c r="O8" i="29"/>
  <c r="O379" i="29"/>
  <c r="AG379" i="29" s="1"/>
  <c r="O83" i="29"/>
  <c r="O232" i="29"/>
  <c r="O489" i="31"/>
  <c r="U479" i="31"/>
  <c r="AA396" i="31"/>
  <c r="T395" i="31"/>
  <c r="V476" i="31"/>
  <c r="W488" i="31"/>
  <c r="U474" i="31"/>
  <c r="X488" i="31"/>
  <c r="V474" i="31"/>
  <c r="W490" i="31"/>
  <c r="X491" i="31"/>
  <c r="N487" i="31"/>
  <c r="T397" i="31"/>
  <c r="S398" i="31"/>
  <c r="S396" i="31"/>
  <c r="AA395" i="31"/>
  <c r="W492" i="31"/>
  <c r="N490" i="31"/>
  <c r="U478" i="31"/>
  <c r="AB398" i="31"/>
  <c r="AB397" i="31"/>
  <c r="AB399" i="31"/>
  <c r="T396" i="31"/>
  <c r="T398" i="31"/>
  <c r="S399" i="31"/>
  <c r="AA397" i="31"/>
  <c r="AA394" i="31"/>
  <c r="X492" i="31"/>
  <c r="O490" i="31"/>
  <c r="O488" i="31"/>
  <c r="V479" i="31"/>
  <c r="W487" i="31"/>
  <c r="N492" i="31"/>
  <c r="N488" i="31"/>
  <c r="U475" i="31"/>
  <c r="X487" i="31"/>
  <c r="O487" i="31"/>
  <c r="O491" i="31"/>
  <c r="V478" i="31"/>
  <c r="U476" i="31"/>
  <c r="S394" i="31"/>
  <c r="AB395" i="31"/>
  <c r="AB396" i="31"/>
  <c r="S397" i="31"/>
  <c r="X489" i="31"/>
  <c r="V477" i="31"/>
  <c r="W489" i="31"/>
  <c r="N491" i="31"/>
  <c r="W398" i="31"/>
  <c r="S490" i="31"/>
  <c r="Y478" i="31"/>
  <c r="P475" i="31"/>
  <c r="Z104" i="26"/>
  <c r="Z76" i="26"/>
  <c r="R118" i="26"/>
  <c r="Z130" i="26"/>
  <c r="Z474" i="31"/>
  <c r="W399" i="31"/>
  <c r="AA492" i="31"/>
  <c r="W396" i="31"/>
  <c r="X397" i="31"/>
  <c r="AB490" i="31"/>
  <c r="Q478" i="31"/>
  <c r="R49" i="26"/>
  <c r="AA104" i="25"/>
  <c r="Z130" i="31"/>
  <c r="AR131" i="31" s="1"/>
  <c r="AA76" i="25"/>
  <c r="Z144" i="26"/>
  <c r="R104" i="26"/>
  <c r="AA130" i="25"/>
  <c r="AA90" i="25"/>
  <c r="AS93" i="25" s="1"/>
  <c r="Z90" i="26"/>
  <c r="AA49" i="25"/>
  <c r="AA144" i="25"/>
  <c r="R130" i="26"/>
  <c r="R37" i="26"/>
  <c r="R90" i="26"/>
  <c r="R62" i="26"/>
  <c r="Z37" i="26"/>
  <c r="AA158" i="25"/>
  <c r="Z49" i="26"/>
  <c r="Z118" i="26"/>
  <c r="Z62" i="26"/>
  <c r="R76" i="26"/>
  <c r="Z158" i="26"/>
  <c r="R76" i="4"/>
  <c r="Q45" i="4"/>
  <c r="T144" i="31"/>
  <c r="AL145" i="31" s="1"/>
  <c r="T102" i="31"/>
  <c r="AL103" i="31" s="1"/>
  <c r="T170" i="31"/>
  <c r="AL171" i="31" s="1"/>
  <c r="P188" i="28"/>
  <c r="AH189" i="28" s="1"/>
  <c r="P252" i="28"/>
  <c r="AH253" i="28" s="1"/>
  <c r="P239" i="28"/>
  <c r="AH240" i="28" s="1"/>
  <c r="P202" i="28"/>
  <c r="AH203" i="28" s="1"/>
  <c r="P226" i="28"/>
  <c r="AH227" i="28" s="1"/>
  <c r="O252" i="28"/>
  <c r="AG253" i="28" s="1"/>
  <c r="O226" i="28"/>
  <c r="AG227" i="28" s="1"/>
  <c r="O239" i="28"/>
  <c r="AG240" i="28" s="1"/>
  <c r="O202" i="28"/>
  <c r="AG203" i="28" s="1"/>
  <c r="O188" i="28"/>
  <c r="AG189" i="28" s="1"/>
  <c r="U188" i="28"/>
  <c r="AM189" i="28" s="1"/>
  <c r="U226" i="28"/>
  <c r="AM227" i="28" s="1"/>
  <c r="U252" i="28"/>
  <c r="AM253" i="28" s="1"/>
  <c r="U239" i="28"/>
  <c r="AM240" i="28" s="1"/>
  <c r="U202" i="28"/>
  <c r="AM203" i="28" s="1"/>
  <c r="R76" i="25"/>
  <c r="Y306" i="31"/>
  <c r="AQ307" i="31" s="1"/>
  <c r="Y333" i="31"/>
  <c r="AQ334" i="31" s="1"/>
  <c r="Y204" i="31"/>
  <c r="AQ205" i="31" s="1"/>
  <c r="Y255" i="31"/>
  <c r="AQ256" i="31" s="1"/>
  <c r="Y242" i="31"/>
  <c r="AQ243" i="31" s="1"/>
  <c r="Y268" i="31"/>
  <c r="AQ269" i="31" s="1"/>
  <c r="Y294" i="31"/>
  <c r="AQ295" i="31" s="1"/>
  <c r="Y281" i="31"/>
  <c r="AQ282" i="31" s="1"/>
  <c r="Y218" i="31"/>
  <c r="AQ219" i="31" s="1"/>
  <c r="Y230" i="31"/>
  <c r="AQ231" i="31" s="1"/>
  <c r="Y320" i="31"/>
  <c r="AQ321" i="31" s="1"/>
  <c r="Z75" i="31"/>
  <c r="AR76" i="31" s="1"/>
  <c r="Z102" i="31"/>
  <c r="AR103" i="31" s="1"/>
  <c r="Z63" i="31"/>
  <c r="AR64" i="31" s="1"/>
  <c r="T156" i="31"/>
  <c r="AL157" i="31" s="1"/>
  <c r="V294" i="31"/>
  <c r="AN295" i="31" s="1"/>
  <c r="V320" i="31"/>
  <c r="AN321" i="31" s="1"/>
  <c r="V218" i="31"/>
  <c r="AN219" i="31" s="1"/>
  <c r="V268" i="31"/>
  <c r="AN269" i="31" s="1"/>
  <c r="V204" i="31"/>
  <c r="AN205" i="31" s="1"/>
  <c r="V242" i="31"/>
  <c r="AN243" i="31" s="1"/>
  <c r="V255" i="31"/>
  <c r="AN256" i="31" s="1"/>
  <c r="V306" i="31"/>
  <c r="AN307" i="31" s="1"/>
  <c r="V230" i="31"/>
  <c r="AN231" i="31" s="1"/>
  <c r="V281" i="31"/>
  <c r="AN282" i="31" s="1"/>
  <c r="V333" i="31"/>
  <c r="AN334" i="31" s="1"/>
  <c r="W218" i="31"/>
  <c r="AO219" i="31" s="1"/>
  <c r="W333" i="31"/>
  <c r="AO334" i="31" s="1"/>
  <c r="W204" i="31"/>
  <c r="AO205" i="31" s="1"/>
  <c r="W306" i="31"/>
  <c r="AO307" i="31" s="1"/>
  <c r="W242" i="31"/>
  <c r="AO243" i="31" s="1"/>
  <c r="W255" i="31"/>
  <c r="AO256" i="31" s="1"/>
  <c r="W281" i="31"/>
  <c r="AO282" i="31" s="1"/>
  <c r="W268" i="31"/>
  <c r="AO269" i="31" s="1"/>
  <c r="W320" i="31"/>
  <c r="AO321" i="31" s="1"/>
  <c r="W294" i="31"/>
  <c r="AO295" i="31" s="1"/>
  <c r="W230" i="31"/>
  <c r="AO231" i="31" s="1"/>
  <c r="Z49" i="31"/>
  <c r="AR50" i="31" s="1"/>
  <c r="Z170" i="31"/>
  <c r="AR171" i="31" s="1"/>
  <c r="T184" i="31"/>
  <c r="AL185" i="31" s="1"/>
  <c r="X23" i="31"/>
  <c r="U333" i="31"/>
  <c r="AM334" i="31" s="1"/>
  <c r="U204" i="31"/>
  <c r="AM205" i="31" s="1"/>
  <c r="U268" i="31"/>
  <c r="AM269" i="31" s="1"/>
  <c r="U242" i="31"/>
  <c r="AM243" i="31" s="1"/>
  <c r="U306" i="31"/>
  <c r="AM307" i="31" s="1"/>
  <c r="U320" i="31"/>
  <c r="AM321" i="31" s="1"/>
  <c r="U281" i="31"/>
  <c r="AM282" i="31" s="1"/>
  <c r="U218" i="31"/>
  <c r="AM219" i="31" s="1"/>
  <c r="U230" i="31"/>
  <c r="AM231" i="31" s="1"/>
  <c r="U255" i="31"/>
  <c r="AM256" i="31" s="1"/>
  <c r="U294" i="31"/>
  <c r="AM295" i="31" s="1"/>
  <c r="U23" i="29"/>
  <c r="U217" i="29" s="1"/>
  <c r="AM218" i="29" s="1"/>
  <c r="T75" i="31"/>
  <c r="AL76" i="31" s="1"/>
  <c r="Z88" i="31"/>
  <c r="AR89" i="31" s="1"/>
  <c r="Z333" i="31"/>
  <c r="AR334" i="31" s="1"/>
  <c r="Z294" i="31"/>
  <c r="AR295" i="31" s="1"/>
  <c r="Z218" i="31"/>
  <c r="AR219" i="31" s="1"/>
  <c r="Z230" i="31"/>
  <c r="AR231" i="31" s="1"/>
  <c r="Z306" i="31"/>
  <c r="AR307" i="31" s="1"/>
  <c r="Z281" i="31"/>
  <c r="AR282" i="31" s="1"/>
  <c r="Z320" i="31"/>
  <c r="AR321" i="31" s="1"/>
  <c r="Z204" i="31"/>
  <c r="AR205" i="31" s="1"/>
  <c r="Z268" i="31"/>
  <c r="AR269" i="31" s="1"/>
  <c r="Z255" i="31"/>
  <c r="AR256" i="31" s="1"/>
  <c r="Z242" i="31"/>
  <c r="AR243" i="31" s="1"/>
  <c r="X333" i="31"/>
  <c r="AP334" i="31" s="1"/>
  <c r="X294" i="31"/>
  <c r="AP295" i="31" s="1"/>
  <c r="X255" i="31"/>
  <c r="AP256" i="31" s="1"/>
  <c r="X268" i="31"/>
  <c r="AP269" i="31" s="1"/>
  <c r="X306" i="31"/>
  <c r="AP307" i="31" s="1"/>
  <c r="X242" i="31"/>
  <c r="AP243" i="31" s="1"/>
  <c r="X320" i="31"/>
  <c r="AP321" i="31" s="1"/>
  <c r="X204" i="31"/>
  <c r="AP205" i="31" s="1"/>
  <c r="X230" i="31"/>
  <c r="AP231" i="31" s="1"/>
  <c r="X218" i="31"/>
  <c r="AP219" i="31" s="1"/>
  <c r="X281" i="31"/>
  <c r="AP282" i="31" s="1"/>
  <c r="T116" i="31"/>
  <c r="T49" i="31"/>
  <c r="AL50" i="31" s="1"/>
  <c r="T130" i="31"/>
  <c r="AL131" i="31" s="1"/>
  <c r="P294" i="31"/>
  <c r="AH295" i="31" s="1"/>
  <c r="P333" i="31"/>
  <c r="AH334" i="31" s="1"/>
  <c r="P218" i="31"/>
  <c r="AH219" i="31" s="1"/>
  <c r="P320" i="31"/>
  <c r="AH321" i="31" s="1"/>
  <c r="P230" i="31"/>
  <c r="AH231" i="31" s="1"/>
  <c r="P255" i="31"/>
  <c r="AH256" i="31" s="1"/>
  <c r="P306" i="31"/>
  <c r="AH307" i="31" s="1"/>
  <c r="P204" i="31"/>
  <c r="AH205" i="31" s="1"/>
  <c r="P242" i="31"/>
  <c r="AH243" i="31" s="1"/>
  <c r="P281" i="31"/>
  <c r="AH282" i="31" s="1"/>
  <c r="P268" i="31"/>
  <c r="AH269" i="31" s="1"/>
  <c r="AA23" i="31"/>
  <c r="AA184" i="31" s="1"/>
  <c r="AS185" i="31" s="1"/>
  <c r="S23" i="31"/>
  <c r="S184" i="31" s="1"/>
  <c r="AK185" i="31" s="1"/>
  <c r="Z144" i="25"/>
  <c r="Z156" i="31"/>
  <c r="AR157" i="31" s="1"/>
  <c r="Z116" i="31"/>
  <c r="T63" i="31"/>
  <c r="AL64" i="31" s="1"/>
  <c r="O320" i="31"/>
  <c r="AG321" i="31" s="1"/>
  <c r="O204" i="31"/>
  <c r="AG205" i="31" s="1"/>
  <c r="O218" i="31"/>
  <c r="AG219" i="31" s="1"/>
  <c r="O281" i="31"/>
  <c r="AG282" i="31" s="1"/>
  <c r="O242" i="31"/>
  <c r="AG243" i="31" s="1"/>
  <c r="O294" i="31"/>
  <c r="AG295" i="31" s="1"/>
  <c r="O333" i="31"/>
  <c r="AG334" i="31" s="1"/>
  <c r="O268" i="31"/>
  <c r="AG269" i="31" s="1"/>
  <c r="O230" i="31"/>
  <c r="AG231" i="31" s="1"/>
  <c r="O306" i="31"/>
  <c r="AG307" i="31" s="1"/>
  <c r="O255" i="31"/>
  <c r="AG256" i="31" s="1"/>
  <c r="AB294" i="31"/>
  <c r="AT295" i="31" s="1"/>
  <c r="AB333" i="31"/>
  <c r="AT334" i="31" s="1"/>
  <c r="AB230" i="31"/>
  <c r="AT231" i="31" s="1"/>
  <c r="AB306" i="31"/>
  <c r="AT307" i="31" s="1"/>
  <c r="AB218" i="31"/>
  <c r="AT219" i="31" s="1"/>
  <c r="AB320" i="31"/>
  <c r="AT321" i="31" s="1"/>
  <c r="AB242" i="31"/>
  <c r="AT243" i="31" s="1"/>
  <c r="AB281" i="31"/>
  <c r="AT282" i="31" s="1"/>
  <c r="AB255" i="31"/>
  <c r="AT256" i="31" s="1"/>
  <c r="AB268" i="31"/>
  <c r="AT269" i="31" s="1"/>
  <c r="AB204" i="31"/>
  <c r="AT205" i="31" s="1"/>
  <c r="Z144" i="31"/>
  <c r="AR145" i="31" s="1"/>
  <c r="R23" i="31"/>
  <c r="S45" i="4"/>
  <c r="U399" i="31"/>
  <c r="O399" i="31"/>
  <c r="AB492" i="31"/>
  <c r="S492" i="31"/>
  <c r="Y475" i="31"/>
  <c r="P477" i="31"/>
  <c r="O398" i="31"/>
  <c r="X394" i="31"/>
  <c r="O394" i="31"/>
  <c r="AB491" i="31"/>
  <c r="T492" i="31"/>
  <c r="Z479" i="31"/>
  <c r="S489" i="31"/>
  <c r="P474" i="31"/>
  <c r="Z478" i="31"/>
  <c r="X399" i="31"/>
  <c r="O396" i="31"/>
  <c r="AB488" i="31"/>
  <c r="T489" i="31"/>
  <c r="Z475" i="31"/>
  <c r="Q477" i="31"/>
  <c r="AA487" i="31"/>
  <c r="S488" i="31"/>
  <c r="P476" i="31"/>
  <c r="Z398" i="31"/>
  <c r="AB476" i="31"/>
  <c r="Y488" i="31"/>
  <c r="P395" i="31"/>
  <c r="X479" i="31"/>
  <c r="V397" i="31"/>
  <c r="Q488" i="31"/>
  <c r="S474" i="31"/>
  <c r="U396" i="31"/>
  <c r="V398" i="31"/>
  <c r="Q491" i="31"/>
  <c r="P487" i="31"/>
  <c r="N478" i="31"/>
  <c r="X396" i="31"/>
  <c r="X398" i="31"/>
  <c r="W394" i="31"/>
  <c r="W397" i="31"/>
  <c r="O395" i="31"/>
  <c r="O477" i="31"/>
  <c r="W475" i="31"/>
  <c r="AB489" i="31"/>
  <c r="T491" i="31"/>
  <c r="T490" i="31"/>
  <c r="Z476" i="31"/>
  <c r="Q474" i="31"/>
  <c r="Q476" i="31"/>
  <c r="AA489" i="31"/>
  <c r="AA490" i="31"/>
  <c r="S487" i="31"/>
  <c r="Y476" i="31"/>
  <c r="Y474" i="31"/>
  <c r="P479" i="31"/>
  <c r="V399" i="31"/>
  <c r="Z487" i="31"/>
  <c r="X477" i="31"/>
  <c r="Y489" i="31"/>
  <c r="W474" i="31"/>
  <c r="T488" i="31"/>
  <c r="Q479" i="31"/>
  <c r="AA488" i="31"/>
  <c r="Y479" i="31"/>
  <c r="Q395" i="31"/>
  <c r="Z397" i="31"/>
  <c r="Z492" i="31"/>
  <c r="Q489" i="31"/>
  <c r="T475" i="31"/>
  <c r="O479" i="31"/>
  <c r="U491" i="31"/>
  <c r="P491" i="31"/>
  <c r="W478" i="31"/>
  <c r="N476" i="31"/>
  <c r="Q399" i="31"/>
  <c r="V487" i="31"/>
  <c r="U488" i="31"/>
  <c r="P399" i="31"/>
  <c r="V394" i="31"/>
  <c r="U397" i="31"/>
  <c r="Z490" i="31"/>
  <c r="AB479" i="31"/>
  <c r="X476" i="31"/>
  <c r="O475" i="31"/>
  <c r="Y492" i="31"/>
  <c r="P488" i="31"/>
  <c r="AA477" i="31"/>
  <c r="S479" i="31"/>
  <c r="N474" i="31"/>
  <c r="S426" i="29"/>
  <c r="S428" i="29"/>
  <c r="S425" i="29"/>
  <c r="S427" i="29"/>
  <c r="S429" i="29"/>
  <c r="S424" i="29"/>
  <c r="P396" i="31"/>
  <c r="Y399" i="31"/>
  <c r="Q394" i="31"/>
  <c r="U398" i="31"/>
  <c r="V396" i="31"/>
  <c r="Y395" i="31"/>
  <c r="Z396" i="31"/>
  <c r="Y398" i="31"/>
  <c r="Z489" i="31"/>
  <c r="V488" i="31"/>
  <c r="Q487" i="31"/>
  <c r="Q490" i="31"/>
  <c r="AB477" i="31"/>
  <c r="AB474" i="31"/>
  <c r="X478" i="31"/>
  <c r="T477" i="31"/>
  <c r="O478" i="31"/>
  <c r="O476" i="31"/>
  <c r="Y487" i="31"/>
  <c r="Y491" i="31"/>
  <c r="U489" i="31"/>
  <c r="P489" i="31"/>
  <c r="AA478" i="31"/>
  <c r="AA475" i="31"/>
  <c r="W477" i="31"/>
  <c r="W476" i="31"/>
  <c r="S478" i="31"/>
  <c r="N479" i="31"/>
  <c r="Z518" i="29"/>
  <c r="Z519" i="29"/>
  <c r="Z516" i="29"/>
  <c r="Z515" i="29"/>
  <c r="Z514" i="29"/>
  <c r="Z517" i="29"/>
  <c r="Q518" i="29"/>
  <c r="Q517" i="29"/>
  <c r="Q514" i="29"/>
  <c r="Q519" i="29"/>
  <c r="Q516" i="29"/>
  <c r="Q515" i="29"/>
  <c r="X502" i="29"/>
  <c r="X506" i="29"/>
  <c r="X504" i="29"/>
  <c r="X505" i="29"/>
  <c r="X503" i="29"/>
  <c r="X501" i="29"/>
  <c r="O501" i="29"/>
  <c r="O504" i="29"/>
  <c r="O502" i="29"/>
  <c r="O505" i="29"/>
  <c r="O503" i="29"/>
  <c r="O506" i="29"/>
  <c r="V428" i="29"/>
  <c r="V425" i="29"/>
  <c r="V424" i="29"/>
  <c r="V427" i="29"/>
  <c r="V429" i="29"/>
  <c r="V426" i="29"/>
  <c r="Y518" i="29"/>
  <c r="Y519" i="29"/>
  <c r="Y514" i="29"/>
  <c r="Y516" i="29"/>
  <c r="Y515" i="29"/>
  <c r="Y517" i="29"/>
  <c r="P515" i="29"/>
  <c r="P514" i="29"/>
  <c r="P517" i="29"/>
  <c r="P518" i="29"/>
  <c r="P519" i="29"/>
  <c r="P516" i="29"/>
  <c r="W501" i="29"/>
  <c r="W502" i="29"/>
  <c r="W503" i="29"/>
  <c r="W505" i="29"/>
  <c r="W504" i="29"/>
  <c r="W506" i="29"/>
  <c r="N505" i="29"/>
  <c r="N506" i="29"/>
  <c r="N503" i="29"/>
  <c r="N502" i="29"/>
  <c r="N504" i="29"/>
  <c r="N501" i="29"/>
  <c r="U427" i="29"/>
  <c r="U426" i="29"/>
  <c r="U428" i="29"/>
  <c r="U424" i="29"/>
  <c r="U429" i="29"/>
  <c r="U425" i="29"/>
  <c r="X517" i="29"/>
  <c r="X519" i="29"/>
  <c r="X518" i="29"/>
  <c r="X516" i="29"/>
  <c r="X515" i="29"/>
  <c r="X514" i="29"/>
  <c r="O516" i="29"/>
  <c r="O515" i="29"/>
  <c r="O519" i="29"/>
  <c r="O518" i="29"/>
  <c r="O517" i="29"/>
  <c r="O514" i="29"/>
  <c r="V506" i="29"/>
  <c r="V504" i="29"/>
  <c r="V501" i="29"/>
  <c r="V503" i="29"/>
  <c r="V502" i="29"/>
  <c r="V505" i="29"/>
  <c r="AB424" i="29"/>
  <c r="AB429" i="29"/>
  <c r="AB425" i="29"/>
  <c r="AB426" i="29"/>
  <c r="AB427" i="29"/>
  <c r="AB428" i="29"/>
  <c r="T428" i="29"/>
  <c r="T426" i="29"/>
  <c r="T427" i="29"/>
  <c r="T429" i="29"/>
  <c r="T425" i="29"/>
  <c r="T424" i="29"/>
  <c r="W516" i="29"/>
  <c r="W518" i="29"/>
  <c r="W514" i="29"/>
  <c r="W515" i="29"/>
  <c r="W517" i="29"/>
  <c r="W519" i="29"/>
  <c r="N518" i="29"/>
  <c r="N517" i="29"/>
  <c r="N519" i="29"/>
  <c r="N516" i="29"/>
  <c r="N515" i="29"/>
  <c r="N514" i="29"/>
  <c r="U506" i="29"/>
  <c r="U504" i="29"/>
  <c r="U501" i="29"/>
  <c r="U502" i="29"/>
  <c r="U503" i="29"/>
  <c r="U505" i="29"/>
  <c r="AA428" i="29"/>
  <c r="AA425" i="29"/>
  <c r="AA424" i="29"/>
  <c r="AA426" i="29"/>
  <c r="AA427" i="29"/>
  <c r="AA429" i="29"/>
  <c r="P394" i="31"/>
  <c r="Q397" i="31"/>
  <c r="Q398" i="31"/>
  <c r="Z394" i="31"/>
  <c r="Z399" i="31"/>
  <c r="V492" i="31"/>
  <c r="V489" i="31"/>
  <c r="AB478" i="31"/>
  <c r="T474" i="31"/>
  <c r="T479" i="31"/>
  <c r="U487" i="31"/>
  <c r="AA474" i="31"/>
  <c r="AA479" i="31"/>
  <c r="S476" i="31"/>
  <c r="AB518" i="29"/>
  <c r="AB515" i="29"/>
  <c r="AB514" i="29"/>
  <c r="AB517" i="29"/>
  <c r="AB519" i="29"/>
  <c r="AB516" i="29"/>
  <c r="T519" i="29"/>
  <c r="T514" i="29"/>
  <c r="T515" i="29"/>
  <c r="T516" i="29"/>
  <c r="T518" i="29"/>
  <c r="T517" i="29"/>
  <c r="Z501" i="29"/>
  <c r="Z502" i="29"/>
  <c r="Z504" i="29"/>
  <c r="Z503" i="29"/>
  <c r="Z505" i="29"/>
  <c r="Z506" i="29"/>
  <c r="Q502" i="29"/>
  <c r="Q506" i="29"/>
  <c r="Q503" i="29"/>
  <c r="Q504" i="29"/>
  <c r="Q501" i="29"/>
  <c r="Q505" i="29"/>
  <c r="X424" i="29"/>
  <c r="X425" i="29"/>
  <c r="X428" i="29"/>
  <c r="X426" i="29"/>
  <c r="X427" i="29"/>
  <c r="X429" i="29"/>
  <c r="O426" i="29"/>
  <c r="O425" i="29"/>
  <c r="O424" i="29"/>
  <c r="O429" i="29"/>
  <c r="O428" i="29"/>
  <c r="O427" i="29"/>
  <c r="AA515" i="29"/>
  <c r="AA519" i="29"/>
  <c r="AA516" i="29"/>
  <c r="AA518" i="29"/>
  <c r="AA517" i="29"/>
  <c r="AA514" i="29"/>
  <c r="S515" i="29"/>
  <c r="S516" i="29"/>
  <c r="S517" i="29"/>
  <c r="S518" i="29"/>
  <c r="S514" i="29"/>
  <c r="S519" i="29"/>
  <c r="Y506" i="29"/>
  <c r="Y502" i="29"/>
  <c r="Y503" i="29"/>
  <c r="Y501" i="29"/>
  <c r="Y505" i="29"/>
  <c r="Y504" i="29"/>
  <c r="P504" i="29"/>
  <c r="P502" i="29"/>
  <c r="P506" i="29"/>
  <c r="P503" i="29"/>
  <c r="P505" i="29"/>
  <c r="P501" i="29"/>
  <c r="W426" i="29"/>
  <c r="W429" i="29"/>
  <c r="W428" i="29"/>
  <c r="W424" i="29"/>
  <c r="W425" i="29"/>
  <c r="W427" i="29"/>
  <c r="N425" i="29"/>
  <c r="N429" i="29"/>
  <c r="N427" i="29"/>
  <c r="N428" i="29"/>
  <c r="N424" i="29"/>
  <c r="N426" i="29"/>
  <c r="P398" i="31"/>
  <c r="Y394" i="31"/>
  <c r="Y397" i="31"/>
  <c r="U394" i="31"/>
  <c r="Z488" i="31"/>
  <c r="V491" i="31"/>
  <c r="X475" i="31"/>
  <c r="T476" i="31"/>
  <c r="U492" i="31"/>
  <c r="P490" i="31"/>
  <c r="S475" i="31"/>
  <c r="N475" i="31"/>
  <c r="V517" i="29"/>
  <c r="V514" i="29"/>
  <c r="V515" i="29"/>
  <c r="V519" i="29"/>
  <c r="V518" i="29"/>
  <c r="V516" i="29"/>
  <c r="AB505" i="29"/>
  <c r="AB502" i="29"/>
  <c r="AB503" i="29"/>
  <c r="AB506" i="29"/>
  <c r="AB504" i="29"/>
  <c r="AB501" i="29"/>
  <c r="T505" i="29"/>
  <c r="T506" i="29"/>
  <c r="T501" i="29"/>
  <c r="T502" i="29"/>
  <c r="T504" i="29"/>
  <c r="T503" i="29"/>
  <c r="Z428" i="29"/>
  <c r="Z424" i="29"/>
  <c r="Z427" i="29"/>
  <c r="Z429" i="29"/>
  <c r="Z425" i="29"/>
  <c r="Z426" i="29"/>
  <c r="Q425" i="29"/>
  <c r="Q428" i="29"/>
  <c r="Q426" i="29"/>
  <c r="Q424" i="29"/>
  <c r="Q427" i="29"/>
  <c r="Q429" i="29"/>
  <c r="U514" i="29"/>
  <c r="U516" i="29"/>
  <c r="U515" i="29"/>
  <c r="U517" i="29"/>
  <c r="U518" i="29"/>
  <c r="U519" i="29"/>
  <c r="AA504" i="29"/>
  <c r="AA503" i="29"/>
  <c r="AA501" i="29"/>
  <c r="AA502" i="29"/>
  <c r="AA506" i="29"/>
  <c r="AA505" i="29"/>
  <c r="S503" i="29"/>
  <c r="S504" i="29"/>
  <c r="S501" i="29"/>
  <c r="S502" i="29"/>
  <c r="S506" i="29"/>
  <c r="S505" i="29"/>
  <c r="Y428" i="29"/>
  <c r="Y424" i="29"/>
  <c r="Y425" i="29"/>
  <c r="Y427" i="29"/>
  <c r="Y426" i="29"/>
  <c r="Y429" i="29"/>
  <c r="P429" i="29"/>
  <c r="P428" i="29"/>
  <c r="P424" i="29"/>
  <c r="P425" i="29"/>
  <c r="P426" i="29"/>
  <c r="P427" i="29"/>
  <c r="AA80" i="31"/>
  <c r="U144" i="29"/>
  <c r="U143" i="29"/>
  <c r="U147" i="29"/>
  <c r="U148" i="29"/>
  <c r="U146" i="29"/>
  <c r="U145" i="29"/>
  <c r="X144" i="29"/>
  <c r="X143" i="29"/>
  <c r="X147" i="29"/>
  <c r="X146" i="29"/>
  <c r="X145" i="29"/>
  <c r="X148" i="29"/>
  <c r="W404" i="29"/>
  <c r="W403" i="29"/>
  <c r="W400" i="29"/>
  <c r="W402" i="29"/>
  <c r="W401" i="29"/>
  <c r="W405" i="29"/>
  <c r="S108" i="31"/>
  <c r="Z405" i="29"/>
  <c r="Z403" i="29"/>
  <c r="Z401" i="29"/>
  <c r="Z404" i="29"/>
  <c r="Z402" i="29"/>
  <c r="Z400" i="29"/>
  <c r="W132" i="29"/>
  <c r="W134" i="29"/>
  <c r="W130" i="29"/>
  <c r="W129" i="29"/>
  <c r="W131" i="29"/>
  <c r="W133" i="29"/>
  <c r="AB79" i="31"/>
  <c r="Q107" i="29"/>
  <c r="Q109" i="29"/>
  <c r="Q104" i="29"/>
  <c r="Q105" i="29"/>
  <c r="Q108" i="29"/>
  <c r="Q106" i="29"/>
  <c r="P401" i="29"/>
  <c r="P404" i="29"/>
  <c r="P405" i="29"/>
  <c r="P403" i="29"/>
  <c r="P402" i="29"/>
  <c r="P400" i="29"/>
  <c r="P147" i="29"/>
  <c r="P144" i="29"/>
  <c r="P148" i="29"/>
  <c r="P145" i="29"/>
  <c r="P146" i="29"/>
  <c r="P143" i="29"/>
  <c r="Y81" i="31"/>
  <c r="O383" i="31"/>
  <c r="O384" i="31"/>
  <c r="O387" i="31"/>
  <c r="O385" i="31"/>
  <c r="O382" i="31"/>
  <c r="O386" i="31"/>
  <c r="W384" i="31"/>
  <c r="W385" i="31"/>
  <c r="W382" i="31"/>
  <c r="W386" i="31"/>
  <c r="W383" i="31"/>
  <c r="W387" i="31"/>
  <c r="AA107" i="29"/>
  <c r="AA105" i="29"/>
  <c r="AA106" i="29"/>
  <c r="AA109" i="29"/>
  <c r="AA104" i="29"/>
  <c r="AA108" i="29"/>
  <c r="AA148" i="29"/>
  <c r="AA146" i="29"/>
  <c r="AA145" i="29"/>
  <c r="AA147" i="29"/>
  <c r="AA143" i="29"/>
  <c r="AA144" i="29"/>
  <c r="U402" i="29"/>
  <c r="U403" i="29"/>
  <c r="U405" i="29"/>
  <c r="U404" i="29"/>
  <c r="U401" i="29"/>
  <c r="U400" i="29"/>
  <c r="S81" i="31"/>
  <c r="O400" i="29"/>
  <c r="O401" i="29"/>
  <c r="O405" i="29"/>
  <c r="O404" i="29"/>
  <c r="O402" i="29"/>
  <c r="O403" i="29"/>
  <c r="O143" i="29"/>
  <c r="O148" i="29"/>
  <c r="O147" i="29"/>
  <c r="O144" i="29"/>
  <c r="O145" i="29"/>
  <c r="O146" i="29"/>
  <c r="Q81" i="31"/>
  <c r="O129" i="29"/>
  <c r="O132" i="29"/>
  <c r="O133" i="29"/>
  <c r="O130" i="29"/>
  <c r="O134" i="29"/>
  <c r="O131" i="29"/>
  <c r="Y404" i="29"/>
  <c r="Y401" i="29"/>
  <c r="Y402" i="29"/>
  <c r="Y403" i="29"/>
  <c r="Y400" i="29"/>
  <c r="Y405" i="29"/>
  <c r="T67" i="31"/>
  <c r="U81" i="31"/>
  <c r="Z148" i="29"/>
  <c r="Z143" i="29"/>
  <c r="Z145" i="29"/>
  <c r="Z144" i="29"/>
  <c r="Z147" i="29"/>
  <c r="Z146" i="29"/>
  <c r="T79" i="31"/>
  <c r="Z106" i="29"/>
  <c r="Z107" i="29"/>
  <c r="Z105" i="29"/>
  <c r="Z108" i="29"/>
  <c r="Z104" i="29"/>
  <c r="Z109" i="29"/>
  <c r="W109" i="29"/>
  <c r="W104" i="29"/>
  <c r="W105" i="29"/>
  <c r="W107" i="29"/>
  <c r="W106" i="29"/>
  <c r="W108" i="29"/>
  <c r="Z93" i="31"/>
  <c r="Y384" i="31"/>
  <c r="Y386" i="31"/>
  <c r="Y383" i="31"/>
  <c r="Y382" i="31"/>
  <c r="Y385" i="31"/>
  <c r="Y387" i="31"/>
  <c r="W160" i="31"/>
  <c r="X382" i="31"/>
  <c r="X386" i="31"/>
  <c r="X385" i="31"/>
  <c r="X383" i="31"/>
  <c r="X387" i="31"/>
  <c r="X384" i="31"/>
  <c r="V159" i="31"/>
  <c r="Z385" i="31"/>
  <c r="Z384" i="31"/>
  <c r="Z382" i="31"/>
  <c r="Z386" i="31"/>
  <c r="Z383" i="31"/>
  <c r="Z387" i="31"/>
  <c r="X163" i="31"/>
  <c r="Z95" i="29"/>
  <c r="Z91" i="29"/>
  <c r="Z96" i="29"/>
  <c r="Z93" i="29"/>
  <c r="Z94" i="29"/>
  <c r="Z92" i="29"/>
  <c r="Q96" i="29"/>
  <c r="Q91" i="29"/>
  <c r="Q92" i="29"/>
  <c r="Q93" i="29"/>
  <c r="Q94" i="29"/>
  <c r="Q95" i="29"/>
  <c r="Y56" i="31"/>
  <c r="Y52" i="31"/>
  <c r="Y55" i="31"/>
  <c r="Y54" i="31"/>
  <c r="Y57" i="31"/>
  <c r="Y53" i="31"/>
  <c r="P54" i="31"/>
  <c r="P55" i="31"/>
  <c r="P52" i="31"/>
  <c r="P57" i="31"/>
  <c r="P56" i="31"/>
  <c r="P53" i="31"/>
  <c r="AB57" i="31"/>
  <c r="AB53" i="31"/>
  <c r="AB55" i="31"/>
  <c r="AB56" i="31"/>
  <c r="AB54" i="31"/>
  <c r="AB52" i="31"/>
  <c r="T56" i="31"/>
  <c r="T52" i="31"/>
  <c r="T55" i="31"/>
  <c r="T53" i="31"/>
  <c r="T57" i="31"/>
  <c r="T54" i="31"/>
  <c r="W54" i="31"/>
  <c r="W52" i="31"/>
  <c r="W57" i="31"/>
  <c r="W55" i="31"/>
  <c r="W53" i="31"/>
  <c r="W56" i="31"/>
  <c r="N55" i="31"/>
  <c r="N57" i="31"/>
  <c r="N52" i="31"/>
  <c r="N53" i="31"/>
  <c r="N56" i="31"/>
  <c r="N54" i="31"/>
  <c r="AA132" i="29"/>
  <c r="AA129" i="29"/>
  <c r="AA131" i="29"/>
  <c r="AA130" i="29"/>
  <c r="AA134" i="29"/>
  <c r="AA133" i="29"/>
  <c r="Y148" i="29"/>
  <c r="Y146" i="29"/>
  <c r="Y144" i="29"/>
  <c r="Y145" i="29"/>
  <c r="Y143" i="29"/>
  <c r="Y147" i="29"/>
  <c r="Y134" i="29"/>
  <c r="Y133" i="29"/>
  <c r="Y132" i="29"/>
  <c r="Y131" i="29"/>
  <c r="Y129" i="29"/>
  <c r="Y130" i="29"/>
  <c r="AB404" i="29"/>
  <c r="AB400" i="29"/>
  <c r="AB401" i="29"/>
  <c r="AB405" i="29"/>
  <c r="AB402" i="29"/>
  <c r="AB403" i="29"/>
  <c r="AB144" i="29"/>
  <c r="AB146" i="29"/>
  <c r="AB143" i="29"/>
  <c r="AB145" i="29"/>
  <c r="AB147" i="29"/>
  <c r="AB148" i="29"/>
  <c r="Z81" i="31"/>
  <c r="AB132" i="29"/>
  <c r="AB130" i="29"/>
  <c r="AB131" i="29"/>
  <c r="AB133" i="29"/>
  <c r="AB129" i="29"/>
  <c r="AB134" i="29"/>
  <c r="AA403" i="29"/>
  <c r="AA405" i="29"/>
  <c r="AA402" i="29"/>
  <c r="AA400" i="29"/>
  <c r="AA401" i="29"/>
  <c r="AA404" i="29"/>
  <c r="O108" i="29"/>
  <c r="O107" i="29"/>
  <c r="O109" i="29"/>
  <c r="O104" i="29"/>
  <c r="O105" i="29"/>
  <c r="O106" i="29"/>
  <c r="P83" i="31"/>
  <c r="V148" i="29"/>
  <c r="V146" i="29"/>
  <c r="V143" i="29"/>
  <c r="V147" i="29"/>
  <c r="V145" i="29"/>
  <c r="V144" i="29"/>
  <c r="O83" i="31"/>
  <c r="V109" i="29"/>
  <c r="V105" i="29"/>
  <c r="V108" i="29"/>
  <c r="V104" i="29"/>
  <c r="V107" i="29"/>
  <c r="V106" i="29"/>
  <c r="S104" i="29"/>
  <c r="S105" i="29"/>
  <c r="S106" i="29"/>
  <c r="S109" i="29"/>
  <c r="S108" i="29"/>
  <c r="S107" i="29"/>
  <c r="U386" i="31"/>
  <c r="U383" i="31"/>
  <c r="U384" i="31"/>
  <c r="U387" i="31"/>
  <c r="U382" i="31"/>
  <c r="U385" i="31"/>
  <c r="S160" i="31"/>
  <c r="T384" i="31"/>
  <c r="T382" i="31"/>
  <c r="T386" i="31"/>
  <c r="T385" i="31"/>
  <c r="T383" i="31"/>
  <c r="T387" i="31"/>
  <c r="AA384" i="31"/>
  <c r="AA383" i="31"/>
  <c r="AA387" i="31"/>
  <c r="AA385" i="31"/>
  <c r="AA382" i="31"/>
  <c r="AA386" i="31"/>
  <c r="Y159" i="31"/>
  <c r="V382" i="31"/>
  <c r="V386" i="31"/>
  <c r="V383" i="31"/>
  <c r="V387" i="31"/>
  <c r="V384" i="31"/>
  <c r="V385" i="31"/>
  <c r="T164" i="31"/>
  <c r="V53" i="31"/>
  <c r="V56" i="31"/>
  <c r="V55" i="31"/>
  <c r="V52" i="31"/>
  <c r="V54" i="31"/>
  <c r="V57" i="31"/>
  <c r="Y92" i="29"/>
  <c r="Y94" i="29"/>
  <c r="Y93" i="29"/>
  <c r="Y95" i="29"/>
  <c r="Y91" i="29"/>
  <c r="Y96" i="29"/>
  <c r="P92" i="29"/>
  <c r="P91" i="29"/>
  <c r="P93" i="29"/>
  <c r="P95" i="29"/>
  <c r="P96" i="29"/>
  <c r="P94" i="29"/>
  <c r="AB96" i="29"/>
  <c r="AB93" i="29"/>
  <c r="AB91" i="29"/>
  <c r="AB94" i="29"/>
  <c r="AB95" i="29"/>
  <c r="AB92" i="29"/>
  <c r="T92" i="29"/>
  <c r="T96" i="29"/>
  <c r="T93" i="29"/>
  <c r="T91" i="29"/>
  <c r="T95" i="29"/>
  <c r="T94" i="29"/>
  <c r="W94" i="29"/>
  <c r="W91" i="29"/>
  <c r="W95" i="29"/>
  <c r="W96" i="29"/>
  <c r="W92" i="29"/>
  <c r="W93" i="29"/>
  <c r="N91" i="29"/>
  <c r="N93" i="29"/>
  <c r="N96" i="29"/>
  <c r="N94" i="29"/>
  <c r="N95" i="29"/>
  <c r="N92" i="29"/>
  <c r="U129" i="29"/>
  <c r="U130" i="29"/>
  <c r="U132" i="29"/>
  <c r="U133" i="29"/>
  <c r="U134" i="29"/>
  <c r="U131" i="29"/>
  <c r="X400" i="29"/>
  <c r="X403" i="29"/>
  <c r="X402" i="29"/>
  <c r="X405" i="29"/>
  <c r="X404" i="29"/>
  <c r="X401" i="29"/>
  <c r="V83" i="31"/>
  <c r="X95" i="31"/>
  <c r="V132" i="29"/>
  <c r="V129" i="29"/>
  <c r="V134" i="29"/>
  <c r="V131" i="29"/>
  <c r="V130" i="29"/>
  <c r="V133" i="29"/>
  <c r="V403" i="29"/>
  <c r="V404" i="29"/>
  <c r="V401" i="29"/>
  <c r="V400" i="29"/>
  <c r="V405" i="29"/>
  <c r="V402" i="29"/>
  <c r="P387" i="31"/>
  <c r="P384" i="31"/>
  <c r="P385" i="31"/>
  <c r="P383" i="31"/>
  <c r="P382" i="31"/>
  <c r="P386" i="31"/>
  <c r="U161" i="31"/>
  <c r="Q384" i="31"/>
  <c r="Q386" i="31"/>
  <c r="Q383" i="31"/>
  <c r="Q382" i="31"/>
  <c r="Q385" i="31"/>
  <c r="Q387" i="31"/>
  <c r="O163" i="31"/>
  <c r="V93" i="29"/>
  <c r="V96" i="29"/>
  <c r="V95" i="29"/>
  <c r="V91" i="29"/>
  <c r="V94" i="29"/>
  <c r="V92" i="29"/>
  <c r="U53" i="31"/>
  <c r="U57" i="31"/>
  <c r="U56" i="31"/>
  <c r="U52" i="31"/>
  <c r="U54" i="31"/>
  <c r="U55" i="31"/>
  <c r="X53" i="31"/>
  <c r="X52" i="31"/>
  <c r="X54" i="31"/>
  <c r="X57" i="31"/>
  <c r="X55" i="31"/>
  <c r="X56" i="31"/>
  <c r="O53" i="31"/>
  <c r="O57" i="31"/>
  <c r="O54" i="31"/>
  <c r="O55" i="31"/>
  <c r="O52" i="31"/>
  <c r="O56" i="31"/>
  <c r="AA56" i="31"/>
  <c r="AA53" i="31"/>
  <c r="AA57" i="31"/>
  <c r="AA54" i="31"/>
  <c r="AA55" i="31"/>
  <c r="AA52" i="31"/>
  <c r="S55" i="31"/>
  <c r="S57" i="31"/>
  <c r="S54" i="31"/>
  <c r="S53" i="31"/>
  <c r="S56" i="31"/>
  <c r="S52" i="31"/>
  <c r="P134" i="29"/>
  <c r="P131" i="29"/>
  <c r="P132" i="29"/>
  <c r="P129" i="29"/>
  <c r="P133" i="29"/>
  <c r="P130" i="29"/>
  <c r="T106" i="31"/>
  <c r="T132" i="29"/>
  <c r="T134" i="29"/>
  <c r="T129" i="29"/>
  <c r="T133" i="29"/>
  <c r="T131" i="29"/>
  <c r="T130" i="29"/>
  <c r="S402" i="29"/>
  <c r="S403" i="29"/>
  <c r="S400" i="29"/>
  <c r="S401" i="29"/>
  <c r="S404" i="29"/>
  <c r="S405" i="29"/>
  <c r="Q401" i="29"/>
  <c r="Q404" i="29"/>
  <c r="Q402" i="29"/>
  <c r="Q405" i="29"/>
  <c r="Q403" i="29"/>
  <c r="Q400" i="29"/>
  <c r="X105" i="29"/>
  <c r="X108" i="29"/>
  <c r="X106" i="29"/>
  <c r="X104" i="29"/>
  <c r="X107" i="29"/>
  <c r="X109" i="29"/>
  <c r="S91" i="31"/>
  <c r="Y109" i="29"/>
  <c r="Y105" i="29"/>
  <c r="Y107" i="29"/>
  <c r="Y106" i="29"/>
  <c r="Y108" i="29"/>
  <c r="Y104" i="29"/>
  <c r="X81" i="31"/>
  <c r="Q132" i="29"/>
  <c r="Q131" i="29"/>
  <c r="Q130" i="29"/>
  <c r="Q129" i="29"/>
  <c r="Q134" i="29"/>
  <c r="Q133" i="29"/>
  <c r="P107" i="29"/>
  <c r="P108" i="29"/>
  <c r="P105" i="29"/>
  <c r="P106" i="29"/>
  <c r="P109" i="29"/>
  <c r="P104" i="29"/>
  <c r="Q148" i="29"/>
  <c r="Q146" i="29"/>
  <c r="Q147" i="29"/>
  <c r="Q144" i="29"/>
  <c r="Q145" i="29"/>
  <c r="Q143" i="29"/>
  <c r="AA164" i="31"/>
  <c r="AB384" i="31"/>
  <c r="AB382" i="31"/>
  <c r="AB386" i="31"/>
  <c r="AB387" i="31"/>
  <c r="AB385" i="31"/>
  <c r="AB383" i="31"/>
  <c r="Z159" i="31"/>
  <c r="S384" i="31"/>
  <c r="S385" i="31"/>
  <c r="S382" i="31"/>
  <c r="S386" i="31"/>
  <c r="S383" i="31"/>
  <c r="S387" i="31"/>
  <c r="P162" i="31"/>
  <c r="AB160" i="31"/>
  <c r="Z53" i="31"/>
  <c r="Z56" i="31"/>
  <c r="Z57" i="31"/>
  <c r="Z54" i="31"/>
  <c r="Z55" i="31"/>
  <c r="Z52" i="31"/>
  <c r="Q55" i="31"/>
  <c r="Q53" i="31"/>
  <c r="Q56" i="31"/>
  <c r="Q54" i="31"/>
  <c r="Q52" i="31"/>
  <c r="Q57" i="31"/>
  <c r="U95" i="29"/>
  <c r="U96" i="29"/>
  <c r="U94" i="29"/>
  <c r="U92" i="29"/>
  <c r="U93" i="29"/>
  <c r="U91" i="29"/>
  <c r="X95" i="29"/>
  <c r="X91" i="29"/>
  <c r="X92" i="29"/>
  <c r="X93" i="29"/>
  <c r="X94" i="29"/>
  <c r="X96" i="29"/>
  <c r="O93" i="29"/>
  <c r="O96" i="29"/>
  <c r="O92" i="29"/>
  <c r="O91" i="29"/>
  <c r="O95" i="29"/>
  <c r="O94" i="29"/>
  <c r="AA96" i="29"/>
  <c r="AA92" i="29"/>
  <c r="AA94" i="29"/>
  <c r="AA93" i="29"/>
  <c r="AA95" i="29"/>
  <c r="AA91" i="29"/>
  <c r="S95" i="29"/>
  <c r="S93" i="29"/>
  <c r="S96" i="29"/>
  <c r="S91" i="29"/>
  <c r="S94" i="29"/>
  <c r="S92" i="29"/>
  <c r="V315" i="31"/>
  <c r="R315" i="31"/>
  <c r="AA315" i="31"/>
  <c r="Q315" i="31"/>
  <c r="W315" i="31"/>
  <c r="T315" i="31"/>
  <c r="U315" i="31"/>
  <c r="P315" i="31"/>
  <c r="Z315" i="31"/>
  <c r="AB315" i="31"/>
  <c r="S315" i="31"/>
  <c r="X315" i="31"/>
  <c r="Y315" i="31"/>
  <c r="O315" i="31"/>
  <c r="I340" i="31"/>
  <c r="I327" i="31"/>
  <c r="I301" i="31"/>
  <c r="I339" i="31"/>
  <c r="I326" i="31"/>
  <c r="I300" i="31"/>
  <c r="AA290" i="31"/>
  <c r="Y290" i="31"/>
  <c r="Q290" i="31"/>
  <c r="X290" i="31"/>
  <c r="P290" i="31"/>
  <c r="U290" i="31"/>
  <c r="AB290" i="31"/>
  <c r="T290" i="31"/>
  <c r="V290" i="31"/>
  <c r="W290" i="31"/>
  <c r="Z290" i="31"/>
  <c r="O290" i="31"/>
  <c r="R290" i="31"/>
  <c r="S290" i="31"/>
  <c r="R329" i="31"/>
  <c r="X329" i="31"/>
  <c r="AA329" i="31"/>
  <c r="T329" i="31"/>
  <c r="P329" i="31"/>
  <c r="AB329" i="31"/>
  <c r="W329" i="31"/>
  <c r="Y329" i="31"/>
  <c r="U329" i="31"/>
  <c r="S329" i="31"/>
  <c r="Z329" i="31"/>
  <c r="Q329" i="31"/>
  <c r="O329" i="31"/>
  <c r="V329" i="31"/>
  <c r="V353" i="31"/>
  <c r="AB353" i="31"/>
  <c r="Z353" i="31"/>
  <c r="T353" i="31"/>
  <c r="I137" i="31"/>
  <c r="I211" i="31"/>
  <c r="I191" i="31"/>
  <c r="I177" i="31"/>
  <c r="I136" i="31"/>
  <c r="I210" i="31"/>
  <c r="I190" i="31"/>
  <c r="I176" i="31"/>
  <c r="W130" i="31"/>
  <c r="AO131" i="31" s="1"/>
  <c r="W184" i="31"/>
  <c r="AO185" i="31" s="1"/>
  <c r="W170" i="31"/>
  <c r="AO171" i="31" s="1"/>
  <c r="O130" i="31"/>
  <c r="AG131" i="31" s="1"/>
  <c r="O184" i="31"/>
  <c r="AG185" i="31" s="1"/>
  <c r="O170" i="31"/>
  <c r="AG171" i="31" s="1"/>
  <c r="AB130" i="31"/>
  <c r="AT131" i="31" s="1"/>
  <c r="AB170" i="31"/>
  <c r="AT171" i="31" s="1"/>
  <c r="AB184" i="31"/>
  <c r="AT185" i="31" s="1"/>
  <c r="U130" i="31"/>
  <c r="AM131" i="31" s="1"/>
  <c r="U170" i="31"/>
  <c r="AM171" i="31" s="1"/>
  <c r="U184" i="31"/>
  <c r="AM185" i="31" s="1"/>
  <c r="V130" i="31"/>
  <c r="AN131" i="31" s="1"/>
  <c r="V184" i="31"/>
  <c r="AN185" i="31" s="1"/>
  <c r="V170" i="31"/>
  <c r="AN171" i="31" s="1"/>
  <c r="Y130" i="31"/>
  <c r="AQ131" i="31" s="1"/>
  <c r="Y170" i="31"/>
  <c r="AQ171" i="31" s="1"/>
  <c r="Y184" i="31"/>
  <c r="AQ185" i="31" s="1"/>
  <c r="Q130" i="31"/>
  <c r="AI131" i="31" s="1"/>
  <c r="Q184" i="31"/>
  <c r="AI185" i="31" s="1"/>
  <c r="Q170" i="31"/>
  <c r="AI171" i="31" s="1"/>
  <c r="P130" i="31"/>
  <c r="AH131" i="31" s="1"/>
  <c r="P170" i="31"/>
  <c r="AH171" i="31" s="1"/>
  <c r="P184" i="31"/>
  <c r="AH185" i="31" s="1"/>
  <c r="I56" i="31"/>
  <c r="I151" i="31"/>
  <c r="I55" i="31"/>
  <c r="I150" i="31"/>
  <c r="W49" i="31"/>
  <c r="AO50" i="31" s="1"/>
  <c r="W144" i="31"/>
  <c r="AO145" i="31" s="1"/>
  <c r="O49" i="31"/>
  <c r="AG50" i="31" s="1"/>
  <c r="O144" i="31"/>
  <c r="AG145" i="31" s="1"/>
  <c r="AB49" i="31"/>
  <c r="AT50" i="31" s="1"/>
  <c r="AB144" i="31"/>
  <c r="AT145" i="31" s="1"/>
  <c r="U49" i="31"/>
  <c r="AM50" i="31" s="1"/>
  <c r="U144" i="31"/>
  <c r="AM145" i="31" s="1"/>
  <c r="V49" i="31"/>
  <c r="AN50" i="31" s="1"/>
  <c r="V144" i="31"/>
  <c r="AN145" i="31" s="1"/>
  <c r="Y49" i="31"/>
  <c r="AQ50" i="31" s="1"/>
  <c r="Y144" i="31"/>
  <c r="AQ145" i="31" s="1"/>
  <c r="Q49" i="31"/>
  <c r="AI50" i="31" s="1"/>
  <c r="Q144" i="31"/>
  <c r="AI145" i="31" s="1"/>
  <c r="P49" i="31"/>
  <c r="AH50" i="31" s="1"/>
  <c r="P144" i="31"/>
  <c r="AH145" i="31" s="1"/>
  <c r="I236" i="31"/>
  <c r="I69" i="31"/>
  <c r="I224" i="31"/>
  <c r="S35" i="26"/>
  <c r="S36" i="26"/>
  <c r="W35" i="26"/>
  <c r="W36" i="26"/>
  <c r="AA35" i="26"/>
  <c r="AA36" i="26"/>
  <c r="Y35" i="26"/>
  <c r="Y36" i="26"/>
  <c r="Q35" i="26"/>
  <c r="Q36" i="26"/>
  <c r="O35" i="26"/>
  <c r="O36" i="26"/>
  <c r="T76" i="4"/>
  <c r="O15" i="4"/>
  <c r="O64" i="4" s="1"/>
  <c r="AG65" i="4" s="1"/>
  <c r="W15" i="4"/>
  <c r="W64" i="4" s="1"/>
  <c r="AO65" i="4" s="1"/>
  <c r="P15" i="4"/>
  <c r="P64" i="4" s="1"/>
  <c r="AH65" i="4" s="1"/>
  <c r="Y15" i="4"/>
  <c r="Y64" i="4" s="1"/>
  <c r="AQ65" i="4" s="1"/>
  <c r="U15" i="4"/>
  <c r="U64" i="4" s="1"/>
  <c r="AM65" i="4" s="1"/>
  <c r="AA76" i="4"/>
  <c r="AB15" i="4"/>
  <c r="AB64" i="4" s="1"/>
  <c r="AT65" i="4" s="1"/>
  <c r="V15" i="4"/>
  <c r="V64" i="4" s="1"/>
  <c r="AN65" i="4" s="1"/>
  <c r="Z15" i="4"/>
  <c r="Z64" i="4" s="1"/>
  <c r="AR65" i="4" s="1"/>
  <c r="X15" i="4"/>
  <c r="X64" i="4" s="1"/>
  <c r="AP65" i="4" s="1"/>
  <c r="X192" i="34"/>
  <c r="P17" i="32"/>
  <c r="AH48" i="32"/>
  <c r="AH69" i="32" s="1"/>
  <c r="AH26" i="32" s="1"/>
  <c r="AL48" i="32"/>
  <c r="AL69" i="32" s="1"/>
  <c r="AL26" i="32" s="1"/>
  <c r="AT30" i="25"/>
  <c r="P30" i="25"/>
  <c r="AH30" i="25"/>
  <c r="X8" i="25"/>
  <c r="AP30" i="25"/>
  <c r="N17" i="32"/>
  <c r="AF48" i="32"/>
  <c r="AF69" i="32" s="1"/>
  <c r="AF26" i="32" s="1"/>
  <c r="AR48" i="32"/>
  <c r="AR69" i="32" s="1"/>
  <c r="AR26" i="32" s="1"/>
  <c r="Z17" i="32"/>
  <c r="S8" i="25"/>
  <c r="AK30" i="25"/>
  <c r="Z8" i="32"/>
  <c r="AS30" i="25"/>
  <c r="AF30" i="25"/>
  <c r="U17" i="32"/>
  <c r="AM48" i="32"/>
  <c r="AM69" i="32" s="1"/>
  <c r="AM26" i="32" s="1"/>
  <c r="O17" i="32"/>
  <c r="AG48" i="32"/>
  <c r="AG69" i="32" s="1"/>
  <c r="AG26" i="32" s="1"/>
  <c r="T8" i="25"/>
  <c r="AL30" i="25"/>
  <c r="Y30" i="25"/>
  <c r="AQ30" i="25"/>
  <c r="AG30" i="25"/>
  <c r="N8" i="23"/>
  <c r="R17" i="32"/>
  <c r="AJ48" i="32"/>
  <c r="AJ69" i="32" s="1"/>
  <c r="AJ26" i="32" s="1"/>
  <c r="R8" i="25"/>
  <c r="AJ30" i="25"/>
  <c r="V13" i="25"/>
  <c r="AN30" i="25"/>
  <c r="AK48" i="32"/>
  <c r="AK69" i="32" s="1"/>
  <c r="AK26" i="32" s="1"/>
  <c r="AN48" i="32"/>
  <c r="AN69" i="32" s="1"/>
  <c r="AN26" i="32" s="1"/>
  <c r="AA8" i="32"/>
  <c r="AS48" i="32"/>
  <c r="AS69" i="32" s="1"/>
  <c r="AS26" i="32" s="1"/>
  <c r="X8" i="32"/>
  <c r="AP48" i="32"/>
  <c r="AP69" i="32" s="1"/>
  <c r="AP26" i="32" s="1"/>
  <c r="Z13" i="25"/>
  <c r="AR30" i="25"/>
  <c r="AO48" i="32"/>
  <c r="AO69" i="32" s="1"/>
  <c r="AO26" i="32" s="1"/>
  <c r="I135" i="28"/>
  <c r="I122" i="28"/>
  <c r="I147" i="28"/>
  <c r="I439" i="31"/>
  <c r="I360" i="31"/>
  <c r="I287" i="31"/>
  <c r="I359" i="31"/>
  <c r="N432" i="31"/>
  <c r="N353" i="31"/>
  <c r="AF354" i="31" s="1"/>
  <c r="Y432" i="31"/>
  <c r="Y353" i="31"/>
  <c r="X432" i="31"/>
  <c r="X353" i="31"/>
  <c r="R432" i="31"/>
  <c r="R353" i="31"/>
  <c r="O432" i="31"/>
  <c r="O353" i="31"/>
  <c r="P432" i="31"/>
  <c r="P353" i="31"/>
  <c r="AA432" i="31"/>
  <c r="AA353" i="31"/>
  <c r="S432" i="31"/>
  <c r="S353" i="31"/>
  <c r="U432" i="31"/>
  <c r="U353" i="31"/>
  <c r="W432" i="31"/>
  <c r="W353" i="31"/>
  <c r="I44" i="28"/>
  <c r="I194" i="28"/>
  <c r="I70" i="28"/>
  <c r="I108" i="28"/>
  <c r="I95" i="28"/>
  <c r="Q44" i="4"/>
  <c r="Y44" i="4"/>
  <c r="AB44" i="4"/>
  <c r="U44" i="4"/>
  <c r="N33" i="28"/>
  <c r="AF33" i="28"/>
  <c r="AF183" i="28" s="1"/>
  <c r="I122" i="31"/>
  <c r="I163" i="31"/>
  <c r="I424" i="31"/>
  <c r="I248" i="31"/>
  <c r="I397" i="31"/>
  <c r="I94" i="31"/>
  <c r="I162" i="31"/>
  <c r="I410" i="31"/>
  <c r="I261" i="31"/>
  <c r="I274" i="31"/>
  <c r="I373" i="31"/>
  <c r="AF10" i="31"/>
  <c r="I314" i="31" s="1"/>
  <c r="I312" i="31"/>
  <c r="P30" i="26"/>
  <c r="P13" i="26"/>
  <c r="X8" i="26"/>
  <c r="AP30" i="26" s="1"/>
  <c r="X13" i="26"/>
  <c r="W8" i="26"/>
  <c r="AO30" i="26" s="1"/>
  <c r="W13" i="26"/>
  <c r="N13" i="26"/>
  <c r="AB13" i="26"/>
  <c r="V13" i="26"/>
  <c r="U8" i="26"/>
  <c r="AM30" i="26" s="1"/>
  <c r="U13" i="26"/>
  <c r="T30" i="26"/>
  <c r="T13" i="26"/>
  <c r="O30" i="26"/>
  <c r="O13" i="26"/>
  <c r="R8" i="26"/>
  <c r="AJ30" i="26" s="1"/>
  <c r="R13" i="26"/>
  <c r="Y13" i="26"/>
  <c r="I398" i="31"/>
  <c r="I70" i="31"/>
  <c r="I95" i="31"/>
  <c r="I82" i="31"/>
  <c r="I425" i="31"/>
  <c r="I109" i="31"/>
  <c r="I374" i="31"/>
  <c r="I511" i="31"/>
  <c r="I510" i="31"/>
  <c r="I438" i="31"/>
  <c r="I108" i="31"/>
  <c r="I81" i="31"/>
  <c r="N104" i="26"/>
  <c r="N37" i="26"/>
  <c r="R315" i="29"/>
  <c r="R353" i="29"/>
  <c r="O82" i="28"/>
  <c r="R302" i="29"/>
  <c r="R264" i="29"/>
  <c r="R366" i="29"/>
  <c r="R340" i="29"/>
  <c r="R276" i="29"/>
  <c r="R239" i="29"/>
  <c r="O83" i="28"/>
  <c r="R289" i="29"/>
  <c r="R328" i="29"/>
  <c r="AB375" i="31"/>
  <c r="AA372" i="31"/>
  <c r="X373" i="31"/>
  <c r="W370" i="31"/>
  <c r="Z373" i="31"/>
  <c r="P373" i="31"/>
  <c r="S374" i="31"/>
  <c r="Q375" i="31"/>
  <c r="U370" i="31"/>
  <c r="O370" i="31"/>
  <c r="Y371" i="31"/>
  <c r="V373" i="31"/>
  <c r="Y91" i="31"/>
  <c r="AB106" i="31"/>
  <c r="AB93" i="31"/>
  <c r="V108" i="31"/>
  <c r="S66" i="31"/>
  <c r="P69" i="31"/>
  <c r="U109" i="31"/>
  <c r="U94" i="31"/>
  <c r="X109" i="31"/>
  <c r="W94" i="31"/>
  <c r="V95" i="31"/>
  <c r="Y108" i="31"/>
  <c r="V69" i="31"/>
  <c r="Q110" i="31"/>
  <c r="P94" i="31"/>
  <c r="X67" i="31"/>
  <c r="Y70" i="31"/>
  <c r="Q92" i="31"/>
  <c r="O67" i="31"/>
  <c r="AA91" i="31"/>
  <c r="AA107" i="31"/>
  <c r="O107" i="31"/>
  <c r="O92" i="31"/>
  <c r="Z110" i="31"/>
  <c r="Z68" i="31"/>
  <c r="W71" i="31"/>
  <c r="P108" i="31"/>
  <c r="T107" i="28"/>
  <c r="O84" i="28"/>
  <c r="O80" i="28"/>
  <c r="O105" i="28"/>
  <c r="O81" i="28"/>
  <c r="AB106" i="28"/>
  <c r="V14" i="4"/>
  <c r="V60" i="4"/>
  <c r="Y8" i="4"/>
  <c r="Y60" i="4"/>
  <c r="AA29" i="4"/>
  <c r="AA60" i="4"/>
  <c r="O29" i="4"/>
  <c r="O60" i="4"/>
  <c r="Q8" i="4"/>
  <c r="Q60" i="4"/>
  <c r="AJ29" i="4"/>
  <c r="AJ60" i="4" s="1"/>
  <c r="R60" i="4"/>
  <c r="AO29" i="4"/>
  <c r="AO60" i="4" s="1"/>
  <c r="W60" i="4"/>
  <c r="P8" i="4"/>
  <c r="P60" i="4"/>
  <c r="AT29" i="4"/>
  <c r="AT60" i="4" s="1"/>
  <c r="AB60" i="4"/>
  <c r="AR29" i="4"/>
  <c r="AR60" i="4" s="1"/>
  <c r="Z60" i="4"/>
  <c r="T29" i="4"/>
  <c r="T60" i="4"/>
  <c r="P111" i="25"/>
  <c r="X108" i="25"/>
  <c r="T109" i="25"/>
  <c r="T367" i="31"/>
  <c r="AL368" i="31" s="1"/>
  <c r="T432" i="31"/>
  <c r="Z404" i="31"/>
  <c r="Z432" i="31"/>
  <c r="V404" i="31"/>
  <c r="V432" i="31"/>
  <c r="AB404" i="31"/>
  <c r="AB432" i="31"/>
  <c r="R264" i="31"/>
  <c r="AA264" i="31"/>
  <c r="Q264" i="31"/>
  <c r="W264" i="31"/>
  <c r="V264" i="31"/>
  <c r="X264" i="31"/>
  <c r="Y264" i="31"/>
  <c r="U264" i="31"/>
  <c r="T264" i="31"/>
  <c r="Z264" i="31"/>
  <c r="AB264" i="31"/>
  <c r="S264" i="31"/>
  <c r="O264" i="31"/>
  <c r="P264" i="31"/>
  <c r="R227" i="31"/>
  <c r="W227" i="31"/>
  <c r="AB227" i="31"/>
  <c r="Y227" i="31"/>
  <c r="X227" i="31"/>
  <c r="T227" i="31"/>
  <c r="P227" i="31"/>
  <c r="U227" i="31"/>
  <c r="Z227" i="31"/>
  <c r="V227" i="31"/>
  <c r="Q227" i="31"/>
  <c r="AA227" i="31"/>
  <c r="S227" i="31"/>
  <c r="O227" i="31"/>
  <c r="Z277" i="31"/>
  <c r="R277" i="31"/>
  <c r="AA277" i="31"/>
  <c r="W277" i="31"/>
  <c r="P277" i="31"/>
  <c r="AB277" i="31"/>
  <c r="V277" i="31"/>
  <c r="O277" i="31"/>
  <c r="T277" i="31"/>
  <c r="S277" i="31"/>
  <c r="Y277" i="31"/>
  <c r="X277" i="31"/>
  <c r="Q277" i="31"/>
  <c r="U277" i="31"/>
  <c r="S251" i="31"/>
  <c r="AB251" i="31"/>
  <c r="Z251" i="31"/>
  <c r="O251" i="31"/>
  <c r="V251" i="31"/>
  <c r="T251" i="31"/>
  <c r="U251" i="31"/>
  <c r="W251" i="31"/>
  <c r="R251" i="31"/>
  <c r="Y251" i="31"/>
  <c r="AA251" i="31"/>
  <c r="X251" i="31"/>
  <c r="Q251" i="31"/>
  <c r="P251" i="31"/>
  <c r="Y239" i="31"/>
  <c r="X239" i="31"/>
  <c r="Z239" i="31"/>
  <c r="P239" i="31"/>
  <c r="W239" i="31"/>
  <c r="U239" i="31"/>
  <c r="V239" i="31"/>
  <c r="AB239" i="31"/>
  <c r="T239" i="31"/>
  <c r="R239" i="31"/>
  <c r="Q239" i="31"/>
  <c r="O239" i="31"/>
  <c r="AA239" i="31"/>
  <c r="S239" i="31"/>
  <c r="Z303" i="31"/>
  <c r="U303" i="31"/>
  <c r="P303" i="31"/>
  <c r="O303" i="31"/>
  <c r="Q303" i="31"/>
  <c r="X303" i="31"/>
  <c r="AB303" i="31"/>
  <c r="T303" i="31"/>
  <c r="W303" i="31"/>
  <c r="AA303" i="31"/>
  <c r="R303" i="31"/>
  <c r="S303" i="31"/>
  <c r="Y303" i="31"/>
  <c r="V303" i="31"/>
  <c r="I249" i="31"/>
  <c r="I313" i="31"/>
  <c r="I262" i="31"/>
  <c r="I237" i="31"/>
  <c r="I225" i="31"/>
  <c r="I288" i="31"/>
  <c r="I275" i="31"/>
  <c r="I123" i="31"/>
  <c r="I411" i="31"/>
  <c r="L159" i="35"/>
  <c r="AE159" i="35" s="1"/>
  <c r="L105" i="35"/>
  <c r="AE105" i="35" s="1"/>
  <c r="J159" i="35"/>
  <c r="AC159" i="35" s="1"/>
  <c r="J105" i="35"/>
  <c r="AC105" i="35" s="1"/>
  <c r="N159" i="35"/>
  <c r="AG159" i="35" s="1"/>
  <c r="N105" i="35"/>
  <c r="AG105" i="35" s="1"/>
  <c r="Q159" i="35"/>
  <c r="AJ159" i="35" s="1"/>
  <c r="Q105" i="35"/>
  <c r="AJ105" i="35" s="1"/>
  <c r="K159" i="35"/>
  <c r="AD159" i="35" s="1"/>
  <c r="K105" i="35"/>
  <c r="AD105" i="35" s="1"/>
  <c r="M159" i="35"/>
  <c r="AF159" i="35" s="1"/>
  <c r="M105" i="35"/>
  <c r="AF105" i="35" s="1"/>
  <c r="F159" i="35"/>
  <c r="Y159" i="35" s="1"/>
  <c r="F105" i="35"/>
  <c r="Y105" i="35" s="1"/>
  <c r="D159" i="35"/>
  <c r="W159" i="35" s="1"/>
  <c r="D105" i="35"/>
  <c r="W105" i="35" s="1"/>
  <c r="H159" i="35"/>
  <c r="AA159" i="35" s="1"/>
  <c r="H105" i="35"/>
  <c r="AA105" i="35" s="1"/>
  <c r="G159" i="35"/>
  <c r="Z159" i="35" s="1"/>
  <c r="G105" i="35"/>
  <c r="Z105" i="35" s="1"/>
  <c r="O159" i="35"/>
  <c r="AH159" i="35" s="1"/>
  <c r="O105" i="35"/>
  <c r="AH105" i="35" s="1"/>
  <c r="E159" i="35"/>
  <c r="X159" i="35" s="1"/>
  <c r="E105" i="35"/>
  <c r="X105" i="35" s="1"/>
  <c r="AI500" i="31"/>
  <c r="Q199" i="31"/>
  <c r="P116" i="31"/>
  <c r="AB102" i="31"/>
  <c r="AT103" i="31" s="1"/>
  <c r="N90" i="26"/>
  <c r="T404" i="31"/>
  <c r="AA49" i="4"/>
  <c r="S50" i="4"/>
  <c r="T391" i="31"/>
  <c r="AL392" i="31" s="1"/>
  <c r="AJ44" i="31"/>
  <c r="AJ199" i="31" s="1"/>
  <c r="AJ500" i="31"/>
  <c r="W44" i="31"/>
  <c r="AO500" i="31"/>
  <c r="P500" i="31"/>
  <c r="AH500" i="31"/>
  <c r="U500" i="31"/>
  <c r="AM500" i="31"/>
  <c r="AF500" i="31"/>
  <c r="AF44" i="31"/>
  <c r="AF199" i="31" s="1"/>
  <c r="AK44" i="31"/>
  <c r="AK199" i="31" s="1"/>
  <c r="AK500" i="31"/>
  <c r="Y500" i="31"/>
  <c r="AQ500" i="31"/>
  <c r="Z44" i="31"/>
  <c r="AR500" i="31"/>
  <c r="AA44" i="31"/>
  <c r="AS500" i="31"/>
  <c r="V500" i="31"/>
  <c r="AN500" i="31"/>
  <c r="O44" i="31"/>
  <c r="AG500" i="31"/>
  <c r="X44" i="31"/>
  <c r="AP500" i="31"/>
  <c r="T418" i="31"/>
  <c r="P8" i="31"/>
  <c r="N118" i="26"/>
  <c r="AM15" i="45"/>
  <c r="P20" i="29"/>
  <c r="O8" i="31"/>
  <c r="AE9" i="7"/>
  <c r="H94" i="7"/>
  <c r="H74" i="7"/>
  <c r="AC9" i="32"/>
  <c r="I136" i="26"/>
  <c r="I124" i="26"/>
  <c r="I68" i="26"/>
  <c r="I82" i="26"/>
  <c r="I164" i="26"/>
  <c r="I150" i="26"/>
  <c r="I55" i="26"/>
  <c r="I43" i="26"/>
  <c r="I110" i="26"/>
  <c r="I96" i="26"/>
  <c r="AM78" i="45"/>
  <c r="S78" i="45" s="1"/>
  <c r="AM77" i="45"/>
  <c r="S77" i="45" s="1"/>
  <c r="AM75" i="45"/>
  <c r="S75" i="45" s="1"/>
  <c r="AM80" i="45"/>
  <c r="S80" i="45" s="1"/>
  <c r="AM21" i="45"/>
  <c r="S21" i="45" s="1"/>
  <c r="AM83" i="45"/>
  <c r="S83" i="45" s="1"/>
  <c r="AM76" i="45"/>
  <c r="S76" i="45" s="1"/>
  <c r="R190" i="28"/>
  <c r="AM84" i="45"/>
  <c r="S84" i="45" s="1"/>
  <c r="AM81" i="45"/>
  <c r="S81" i="45" s="1"/>
  <c r="AM74" i="45"/>
  <c r="S74" i="45" s="1"/>
  <c r="AM85" i="45"/>
  <c r="S85" i="45" s="1"/>
  <c r="P92" i="7"/>
  <c r="P95" i="7"/>
  <c r="AM82" i="45"/>
  <c r="S82" i="45" s="1"/>
  <c r="AM79" i="45"/>
  <c r="S79" i="45" s="1"/>
  <c r="AM69" i="45"/>
  <c r="S69" i="45" s="1"/>
  <c r="S21" i="35"/>
  <c r="AM53" i="45"/>
  <c r="S53" i="45" s="1"/>
  <c r="H34" i="23"/>
  <c r="H54" i="23"/>
  <c r="AE8" i="23"/>
  <c r="AS23" i="23"/>
  <c r="AS43" i="23" s="1"/>
  <c r="S17" i="32"/>
  <c r="AA15" i="23"/>
  <c r="AA8" i="23"/>
  <c r="AB29" i="4"/>
  <c r="V8" i="32"/>
  <c r="AA43" i="23"/>
  <c r="V8" i="29"/>
  <c r="S113" i="7"/>
  <c r="T40" i="29"/>
  <c r="Q8" i="29"/>
  <c r="R500" i="31"/>
  <c r="N158" i="26"/>
  <c r="R164" i="35"/>
  <c r="AK164" i="35" s="1"/>
  <c r="R159" i="35"/>
  <c r="AK159" i="35" s="1"/>
  <c r="I164" i="35"/>
  <c r="AB164" i="35" s="1"/>
  <c r="I159" i="35"/>
  <c r="AB159" i="35" s="1"/>
  <c r="H73" i="35"/>
  <c r="AA73" i="35" s="1"/>
  <c r="H164" i="35"/>
  <c r="AA164" i="35" s="1"/>
  <c r="N73" i="35"/>
  <c r="AG73" i="35" s="1"/>
  <c r="N164" i="35"/>
  <c r="AG164" i="35" s="1"/>
  <c r="O73" i="35"/>
  <c r="AH73" i="35" s="1"/>
  <c r="O164" i="35"/>
  <c r="AH164" i="35" s="1"/>
  <c r="E73" i="35"/>
  <c r="X73" i="35" s="1"/>
  <c r="E164" i="35"/>
  <c r="X164" i="35" s="1"/>
  <c r="J73" i="35"/>
  <c r="AC73" i="35" s="1"/>
  <c r="J164" i="35"/>
  <c r="AC164" i="35" s="1"/>
  <c r="D73" i="35"/>
  <c r="W73" i="35" s="1"/>
  <c r="D164" i="35"/>
  <c r="W164" i="35" s="1"/>
  <c r="M73" i="35"/>
  <c r="AF73" i="35" s="1"/>
  <c r="M164" i="35"/>
  <c r="AF164" i="35" s="1"/>
  <c r="F73" i="35"/>
  <c r="Y73" i="35" s="1"/>
  <c r="F164" i="35"/>
  <c r="Y164" i="35" s="1"/>
  <c r="Q73" i="35"/>
  <c r="AJ73" i="35" s="1"/>
  <c r="Q164" i="35"/>
  <c r="AJ164" i="35" s="1"/>
  <c r="G73" i="35"/>
  <c r="Z73" i="35" s="1"/>
  <c r="G164" i="35"/>
  <c r="Z164" i="35" s="1"/>
  <c r="L73" i="35"/>
  <c r="AE73" i="35" s="1"/>
  <c r="L164" i="35"/>
  <c r="AE164" i="35" s="1"/>
  <c r="K73" i="35"/>
  <c r="AD73" i="35" s="1"/>
  <c r="K164" i="35"/>
  <c r="AD164" i="35" s="1"/>
  <c r="I137" i="35"/>
  <c r="AB137" i="35" s="1"/>
  <c r="I73" i="35"/>
  <c r="AB73" i="35" s="1"/>
  <c r="R57" i="35"/>
  <c r="AK57" i="35" s="1"/>
  <c r="R73" i="35"/>
  <c r="AK73" i="35" s="1"/>
  <c r="N9" i="34"/>
  <c r="M23" i="23"/>
  <c r="W8" i="4"/>
  <c r="N288" i="34"/>
  <c r="P348" i="31"/>
  <c r="AH348" i="31" s="1"/>
  <c r="T14" i="4"/>
  <c r="Z8" i="4"/>
  <c r="W33" i="28"/>
  <c r="P20" i="31"/>
  <c r="M288" i="34"/>
  <c r="N192" i="34"/>
  <c r="Z14" i="4"/>
  <c r="W15" i="28"/>
  <c r="AH44" i="31"/>
  <c r="AH199" i="31" s="1"/>
  <c r="P44" i="31"/>
  <c r="M9" i="34"/>
  <c r="P8" i="29"/>
  <c r="P40" i="29"/>
  <c r="AB30" i="26"/>
  <c r="AB8" i="26"/>
  <c r="AT30" i="26" s="1"/>
  <c r="H104" i="1"/>
  <c r="H51" i="1"/>
  <c r="H40" i="1"/>
  <c r="H115" i="1"/>
  <c r="AE7" i="1"/>
  <c r="H62" i="1"/>
  <c r="H93" i="1"/>
  <c r="Y38" i="25"/>
  <c r="U38" i="25"/>
  <c r="Q38" i="25"/>
  <c r="W38" i="25"/>
  <c r="O38" i="25"/>
  <c r="Z38" i="25"/>
  <c r="R38" i="25"/>
  <c r="AB38" i="25"/>
  <c r="X38" i="25"/>
  <c r="T38" i="25"/>
  <c r="P38" i="25"/>
  <c r="AA38" i="25"/>
  <c r="S38" i="25"/>
  <c r="V38" i="25"/>
  <c r="Z63" i="25"/>
  <c r="V63" i="25"/>
  <c r="R63" i="25"/>
  <c r="S63" i="25"/>
  <c r="Y63" i="25"/>
  <c r="U63" i="25"/>
  <c r="Q63" i="25"/>
  <c r="W63" i="25"/>
  <c r="AB63" i="25"/>
  <c r="X63" i="25"/>
  <c r="T63" i="25"/>
  <c r="P63" i="25"/>
  <c r="AA63" i="25"/>
  <c r="O63" i="25"/>
  <c r="W14" i="4"/>
  <c r="N21" i="7"/>
  <c r="U134" i="35"/>
  <c r="V118" i="31"/>
  <c r="U102" i="35"/>
  <c r="S118" i="31"/>
  <c r="T118" i="31"/>
  <c r="P118" i="31"/>
  <c r="AA118" i="31"/>
  <c r="X118" i="31"/>
  <c r="Y118" i="31"/>
  <c r="Q118" i="31"/>
  <c r="AM20" i="45"/>
  <c r="R193" i="29"/>
  <c r="AM10" i="45"/>
  <c r="AM14" i="45"/>
  <c r="AM49" i="45"/>
  <c r="S49" i="45" s="1"/>
  <c r="AM52" i="45"/>
  <c r="S52" i="45" s="1"/>
  <c r="AM44" i="45"/>
  <c r="S44" i="45" s="1"/>
  <c r="AM59" i="45"/>
  <c r="S59" i="45" s="1"/>
  <c r="R142" i="29"/>
  <c r="AM63" i="45"/>
  <c r="S63" i="45" s="1"/>
  <c r="R115" i="29"/>
  <c r="R155" i="29"/>
  <c r="AM42" i="45"/>
  <c r="S42" i="45" s="1"/>
  <c r="AM11" i="45"/>
  <c r="AM16" i="45"/>
  <c r="AM58" i="45"/>
  <c r="S58" i="45" s="1"/>
  <c r="AM45" i="45"/>
  <c r="S45" i="45" s="1"/>
  <c r="AM67" i="45"/>
  <c r="S67" i="45" s="1"/>
  <c r="R411" i="29"/>
  <c r="AM64" i="45"/>
  <c r="S64" i="45" s="1"/>
  <c r="R168" i="29"/>
  <c r="AM46" i="45"/>
  <c r="S46" i="45" s="1"/>
  <c r="AM12" i="45"/>
  <c r="AM66" i="45"/>
  <c r="S66" i="45" s="1"/>
  <c r="AM18" i="45"/>
  <c r="AM48" i="45"/>
  <c r="S48" i="45" s="1"/>
  <c r="AM68" i="45"/>
  <c r="S68" i="45" s="1"/>
  <c r="R181" i="29"/>
  <c r="AM60" i="45"/>
  <c r="S60" i="45" s="1"/>
  <c r="R399" i="29"/>
  <c r="AM65" i="45"/>
  <c r="S65" i="45" s="1"/>
  <c r="AM43" i="45"/>
  <c r="S43" i="45" s="1"/>
  <c r="AM50" i="45"/>
  <c r="S50" i="45" s="1"/>
  <c r="R128" i="29"/>
  <c r="AM13" i="45"/>
  <c r="AM47" i="45"/>
  <c r="S47" i="45" s="1"/>
  <c r="R90" i="29"/>
  <c r="AM17" i="45"/>
  <c r="AM19" i="45"/>
  <c r="AM51" i="45"/>
  <c r="S51" i="45" s="1"/>
  <c r="R219" i="29"/>
  <c r="AM62" i="45"/>
  <c r="S62" i="45" s="1"/>
  <c r="R206" i="29"/>
  <c r="AM61" i="45"/>
  <c r="S61" i="45" s="1"/>
  <c r="H57" i="35"/>
  <c r="AA57" i="35" s="1"/>
  <c r="H137" i="35"/>
  <c r="AA137" i="35" s="1"/>
  <c r="L57" i="35"/>
  <c r="AE57" i="35" s="1"/>
  <c r="L137" i="35"/>
  <c r="AE137" i="35" s="1"/>
  <c r="K41" i="35"/>
  <c r="AD41" i="35" s="1"/>
  <c r="K137" i="35"/>
  <c r="AD137" i="35" s="1"/>
  <c r="O89" i="35"/>
  <c r="AH89" i="35" s="1"/>
  <c r="O137" i="35"/>
  <c r="AH137" i="35" s="1"/>
  <c r="N41" i="35"/>
  <c r="AG41" i="35" s="1"/>
  <c r="N137" i="35"/>
  <c r="AG137" i="35" s="1"/>
  <c r="W9" i="35"/>
  <c r="W5" i="35" s="1"/>
  <c r="D137" i="35"/>
  <c r="W137" i="35" s="1"/>
  <c r="G57" i="35"/>
  <c r="Z57" i="35" s="1"/>
  <c r="G137" i="35"/>
  <c r="Z137" i="35" s="1"/>
  <c r="M89" i="35"/>
  <c r="AF89" i="35" s="1"/>
  <c r="M137" i="35"/>
  <c r="AF137" i="35" s="1"/>
  <c r="J57" i="35"/>
  <c r="AC57" i="35" s="1"/>
  <c r="J137" i="35"/>
  <c r="AC137" i="35" s="1"/>
  <c r="E41" i="35"/>
  <c r="X41" i="35" s="1"/>
  <c r="E137" i="35"/>
  <c r="X137" i="35" s="1"/>
  <c r="AJ9" i="35"/>
  <c r="AJ5" i="35" s="1"/>
  <c r="Q137" i="35"/>
  <c r="AJ137" i="35" s="1"/>
  <c r="F89" i="35"/>
  <c r="Y89" i="35" s="1"/>
  <c r="F137" i="35"/>
  <c r="Y137" i="35" s="1"/>
  <c r="R121" i="35"/>
  <c r="AK121" i="35" s="1"/>
  <c r="R137" i="35"/>
  <c r="AK137" i="35" s="1"/>
  <c r="X110" i="25"/>
  <c r="P121" i="25"/>
  <c r="T112" i="25"/>
  <c r="Y81" i="7"/>
  <c r="R20" i="31"/>
  <c r="N15" i="23"/>
  <c r="N43" i="23"/>
  <c r="N8" i="32"/>
  <c r="S21" i="7"/>
  <c r="AK113" i="7"/>
  <c r="AK81" i="7" s="1"/>
  <c r="AA8" i="28"/>
  <c r="T8" i="29"/>
  <c r="AO33" i="28"/>
  <c r="AO183" i="28" s="1"/>
  <c r="T20" i="29"/>
  <c r="S81" i="7"/>
  <c r="R8" i="31"/>
  <c r="AS33" i="28"/>
  <c r="AS183" i="28" s="1"/>
  <c r="T8" i="4"/>
  <c r="V40" i="29"/>
  <c r="W183" i="28"/>
  <c r="N123" i="25"/>
  <c r="T110" i="25"/>
  <c r="V123" i="25"/>
  <c r="N148" i="25"/>
  <c r="T111" i="25"/>
  <c r="T107" i="25"/>
  <c r="S124" i="25"/>
  <c r="O8" i="26"/>
  <c r="AG30" i="26" s="1"/>
  <c r="Q21" i="7"/>
  <c r="X15" i="23"/>
  <c r="AA183" i="28"/>
  <c r="AL29" i="4"/>
  <c r="AL60" i="4" s="1"/>
  <c r="X30" i="25"/>
  <c r="Y8" i="25"/>
  <c r="AA33" i="28"/>
  <c r="Y21" i="7"/>
  <c r="R348" i="31"/>
  <c r="AJ348" i="31" s="1"/>
  <c r="N23" i="23"/>
  <c r="R44" i="31"/>
  <c r="X13" i="25"/>
  <c r="Q20" i="29"/>
  <c r="M81" i="1"/>
  <c r="N81" i="7"/>
  <c r="X112" i="25"/>
  <c r="X111" i="25"/>
  <c r="X109" i="25"/>
  <c r="X107" i="25"/>
  <c r="S108" i="25"/>
  <c r="U81" i="1"/>
  <c r="O40" i="29"/>
  <c r="O20" i="29"/>
  <c r="O81" i="1"/>
  <c r="T122" i="25"/>
  <c r="T121" i="25"/>
  <c r="T149" i="25"/>
  <c r="P148" i="25"/>
  <c r="O152" i="25"/>
  <c r="O151" i="25"/>
  <c r="O150" i="25"/>
  <c r="AA151" i="25"/>
  <c r="O148" i="25"/>
  <c r="O147" i="25"/>
  <c r="AB149" i="25"/>
  <c r="Q147" i="25"/>
  <c r="Y124" i="25"/>
  <c r="T124" i="25"/>
  <c r="T123" i="25"/>
  <c r="T126" i="25"/>
  <c r="Y107" i="25"/>
  <c r="AB112" i="25"/>
  <c r="W108" i="25"/>
  <c r="V151" i="25"/>
  <c r="V149" i="25"/>
  <c r="P109" i="25"/>
  <c r="P107" i="25"/>
  <c r="P110" i="25"/>
  <c r="P112" i="25"/>
  <c r="P108" i="25"/>
  <c r="K57" i="35"/>
  <c r="AD57" i="35" s="1"/>
  <c r="V152" i="25"/>
  <c r="AB156" i="31"/>
  <c r="AT157" i="31" s="1"/>
  <c r="N23" i="29"/>
  <c r="N76" i="26"/>
  <c r="N49" i="26"/>
  <c r="N62" i="26"/>
  <c r="AB391" i="31"/>
  <c r="AT392" i="31" s="1"/>
  <c r="N144" i="26"/>
  <c r="N130" i="26"/>
  <c r="AB88" i="31"/>
  <c r="AT89" i="31" s="1"/>
  <c r="M42" i="7"/>
  <c r="AB75" i="31"/>
  <c r="AT76" i="31" s="1"/>
  <c r="V418" i="31"/>
  <c r="P88" i="31"/>
  <c r="AH89" i="31" s="1"/>
  <c r="P102" i="31"/>
  <c r="AH103" i="31" s="1"/>
  <c r="P75" i="31"/>
  <c r="AH76" i="31" s="1"/>
  <c r="P63" i="31"/>
  <c r="AH64" i="31" s="1"/>
  <c r="AB116" i="31"/>
  <c r="AB63" i="31"/>
  <c r="P156" i="31"/>
  <c r="AH157" i="31" s="1"/>
  <c r="R99" i="7"/>
  <c r="Z367" i="31"/>
  <c r="AR368" i="31" s="1"/>
  <c r="N116" i="31"/>
  <c r="N88" i="31"/>
  <c r="N75" i="31"/>
  <c r="N102" i="31"/>
  <c r="N156" i="31"/>
  <c r="U87" i="7"/>
  <c r="U89" i="7" s="1"/>
  <c r="U99" i="7"/>
  <c r="O99" i="7"/>
  <c r="O87" i="7"/>
  <c r="AA87" i="7"/>
  <c r="AA89" i="7" s="1"/>
  <c r="AA99" i="7"/>
  <c r="N367" i="31"/>
  <c r="N391" i="31"/>
  <c r="AF392" i="31" s="1"/>
  <c r="N404" i="31"/>
  <c r="N418" i="31"/>
  <c r="AB418" i="31"/>
  <c r="AB367" i="31"/>
  <c r="AT368" i="31" s="1"/>
  <c r="Y404" i="31"/>
  <c r="Y418" i="31"/>
  <c r="Y367" i="31"/>
  <c r="AQ368" i="31" s="1"/>
  <c r="Y391" i="31"/>
  <c r="AQ392" i="31" s="1"/>
  <c r="P418" i="31"/>
  <c r="P367" i="31"/>
  <c r="AH368" i="31" s="1"/>
  <c r="P404" i="31"/>
  <c r="P391" i="31"/>
  <c r="AH392" i="31" s="1"/>
  <c r="T99" i="7"/>
  <c r="T87" i="7"/>
  <c r="T89" i="7" s="1"/>
  <c r="P99" i="7"/>
  <c r="Q99" i="7"/>
  <c r="Q87" i="7"/>
  <c r="Q89" i="7" s="1"/>
  <c r="S367" i="31"/>
  <c r="AK368" i="31" s="1"/>
  <c r="S418" i="31"/>
  <c r="S404" i="31"/>
  <c r="S391" i="31"/>
  <c r="AK392" i="31" s="1"/>
  <c r="X404" i="31"/>
  <c r="X391" i="31"/>
  <c r="AP392" i="31" s="1"/>
  <c r="X367" i="31"/>
  <c r="AP368" i="31" s="1"/>
  <c r="X418" i="31"/>
  <c r="AA25" i="29"/>
  <c r="O25" i="29"/>
  <c r="V25" i="29"/>
  <c r="R25" i="29"/>
  <c r="AB25" i="29"/>
  <c r="Y25" i="29"/>
  <c r="P25" i="29"/>
  <c r="W25" i="29"/>
  <c r="T25" i="29"/>
  <c r="S25" i="29"/>
  <c r="X25" i="29"/>
  <c r="Q25" i="29"/>
  <c r="N25" i="29"/>
  <c r="U25" i="29"/>
  <c r="Z25" i="29"/>
  <c r="AA404" i="31"/>
  <c r="AA418" i="31"/>
  <c r="AA391" i="31"/>
  <c r="AS392" i="31" s="1"/>
  <c r="AA367" i="31"/>
  <c r="AS368" i="31" s="1"/>
  <c r="N99" i="7"/>
  <c r="N87" i="7"/>
  <c r="W87" i="7"/>
  <c r="W89" i="7" s="1"/>
  <c r="X99" i="7"/>
  <c r="Z87" i="7"/>
  <c r="Z89" i="7" s="1"/>
  <c r="Z99" i="7"/>
  <c r="V391" i="31"/>
  <c r="AN392" i="31" s="1"/>
  <c r="V367" i="31"/>
  <c r="AN368" i="31" s="1"/>
  <c r="R367" i="31"/>
  <c r="R418" i="31"/>
  <c r="R391" i="31"/>
  <c r="R404" i="31"/>
  <c r="O404" i="31"/>
  <c r="O418" i="31"/>
  <c r="O367" i="31"/>
  <c r="AG368" i="31" s="1"/>
  <c r="O391" i="31"/>
  <c r="AG392" i="31" s="1"/>
  <c r="V116" i="31"/>
  <c r="V102" i="31"/>
  <c r="AN103" i="31" s="1"/>
  <c r="V63" i="31"/>
  <c r="AN64" i="31" s="1"/>
  <c r="V75" i="31"/>
  <c r="AN76" i="31" s="1"/>
  <c r="V156" i="31"/>
  <c r="AN157" i="31" s="1"/>
  <c r="V88" i="31"/>
  <c r="AN89" i="31" s="1"/>
  <c r="M87" i="7"/>
  <c r="M99" i="7"/>
  <c r="Z418" i="31"/>
  <c r="Z391" i="31"/>
  <c r="AR392" i="31" s="1"/>
  <c r="S87" i="7"/>
  <c r="S89" i="7" s="1"/>
  <c r="S99" i="7"/>
  <c r="V99" i="7"/>
  <c r="V87" i="7"/>
  <c r="V89" i="7" s="1"/>
  <c r="R87" i="7"/>
  <c r="R89" i="7" s="1"/>
  <c r="U404" i="31"/>
  <c r="U391" i="31"/>
  <c r="AM392" i="31" s="1"/>
  <c r="U418" i="31"/>
  <c r="U367" i="31"/>
  <c r="AM368" i="31" s="1"/>
  <c r="W391" i="31"/>
  <c r="AO392" i="31" s="1"/>
  <c r="W404" i="31"/>
  <c r="W418" i="31"/>
  <c r="W367" i="31"/>
  <c r="AO368" i="31" s="1"/>
  <c r="P8" i="7"/>
  <c r="AK9" i="35"/>
  <c r="AK5" i="35" s="1"/>
  <c r="N121" i="35"/>
  <c r="AG121" i="35" s="1"/>
  <c r="P13" i="25"/>
  <c r="O23" i="23"/>
  <c r="F41" i="35"/>
  <c r="Y41" i="35" s="1"/>
  <c r="S23" i="23"/>
  <c r="AH113" i="7"/>
  <c r="AH81" i="7" s="1"/>
  <c r="U23" i="23"/>
  <c r="R89" i="35"/>
  <c r="AK89" i="35" s="1"/>
  <c r="F57" i="35"/>
  <c r="Y57" i="35" s="1"/>
  <c r="R41" i="35"/>
  <c r="AK41" i="35" s="1"/>
  <c r="X17" i="32"/>
  <c r="S33" i="28"/>
  <c r="AB8" i="4"/>
  <c r="S8" i="23"/>
  <c r="S8" i="28"/>
  <c r="AR44" i="31"/>
  <c r="AR199" i="31" s="1"/>
  <c r="Y9" i="35"/>
  <c r="Y5" i="35" s="1"/>
  <c r="AB8" i="29"/>
  <c r="U43" i="23"/>
  <c r="P8" i="25"/>
  <c r="O13" i="25"/>
  <c r="U30" i="26"/>
  <c r="U8" i="23"/>
  <c r="S183" i="28"/>
  <c r="S43" i="23"/>
  <c r="AG23" i="23"/>
  <c r="AG43" i="23" s="1"/>
  <c r="O28" i="1"/>
  <c r="AB13" i="25"/>
  <c r="Y8" i="26"/>
  <c r="AQ30" i="26" s="1"/>
  <c r="AK33" i="28"/>
  <c r="AK183" i="28" s="1"/>
  <c r="O8" i="1"/>
  <c r="N8" i="26"/>
  <c r="AF30" i="26" s="1"/>
  <c r="S15" i="23"/>
  <c r="U15" i="23"/>
  <c r="AB30" i="25"/>
  <c r="O8" i="25"/>
  <c r="S192" i="34"/>
  <c r="Y30" i="26"/>
  <c r="AB8" i="25"/>
  <c r="S148" i="25"/>
  <c r="S151" i="25"/>
  <c r="S147" i="25"/>
  <c r="U8" i="32"/>
  <c r="AS113" i="7"/>
  <c r="AS81" i="7" s="1"/>
  <c r="W81" i="1"/>
  <c r="J121" i="35"/>
  <c r="AC121" i="35" s="1"/>
  <c r="X20" i="31"/>
  <c r="J89" i="35"/>
  <c r="AC89" i="35" s="1"/>
  <c r="M81" i="7"/>
  <c r="X8" i="31"/>
  <c r="P8" i="1"/>
  <c r="M8" i="7"/>
  <c r="P183" i="28"/>
  <c r="O57" i="35"/>
  <c r="AH57" i="35" s="1"/>
  <c r="S20" i="1"/>
  <c r="P15" i="28"/>
  <c r="M21" i="7"/>
  <c r="P8" i="28"/>
  <c r="V288" i="34"/>
  <c r="Q192" i="34"/>
  <c r="AP44" i="31"/>
  <c r="AP199" i="31" s="1"/>
  <c r="Z8" i="29"/>
  <c r="T8" i="32"/>
  <c r="Q33" i="28"/>
  <c r="AA8" i="1"/>
  <c r="AE113" i="7"/>
  <c r="AE81" i="7" s="1"/>
  <c r="AH9" i="35"/>
  <c r="AH5" i="35" s="1"/>
  <c r="S8" i="1"/>
  <c r="W8" i="1"/>
  <c r="O8" i="28"/>
  <c r="M113" i="7"/>
  <c r="AH33" i="28"/>
  <c r="AH183" i="28" s="1"/>
  <c r="V9" i="34"/>
  <c r="Z9" i="34"/>
  <c r="X500" i="31"/>
  <c r="Q14" i="4"/>
  <c r="T43" i="23"/>
  <c r="R28" i="1"/>
  <c r="P28" i="1"/>
  <c r="W8" i="29"/>
  <c r="AL33" i="28"/>
  <c r="AL183" i="28" s="1"/>
  <c r="T21" i="7"/>
  <c r="X348" i="31"/>
  <c r="AP348" i="31" s="1"/>
  <c r="AG33" i="28"/>
  <c r="AG183" i="28" s="1"/>
  <c r="Q8" i="28"/>
  <c r="W20" i="1"/>
  <c r="AD9" i="35"/>
  <c r="AD5" i="35" s="1"/>
  <c r="V15" i="23"/>
  <c r="Z8" i="31"/>
  <c r="P8" i="26"/>
  <c r="AH30" i="26" s="1"/>
  <c r="E121" i="35"/>
  <c r="X121" i="35" s="1"/>
  <c r="AN23" i="23"/>
  <c r="AN43" i="23" s="1"/>
  <c r="X23" i="23"/>
  <c r="AA21" i="7"/>
  <c r="AA113" i="7"/>
  <c r="AN113" i="7"/>
  <c r="AN81" i="7" s="1"/>
  <c r="Z8" i="25"/>
  <c r="T8" i="28"/>
  <c r="R30" i="26"/>
  <c r="S44" i="31"/>
  <c r="R13" i="25"/>
  <c r="AS29" i="4"/>
  <c r="AS60" i="4" s="1"/>
  <c r="S348" i="31"/>
  <c r="AK348" i="31" s="1"/>
  <c r="AA348" i="31"/>
  <c r="AS348" i="31" s="1"/>
  <c r="W20" i="29"/>
  <c r="O15" i="23"/>
  <c r="AA8" i="25"/>
  <c r="P81" i="1"/>
  <c r="P8" i="23"/>
  <c r="Z500" i="31"/>
  <c r="G41" i="35"/>
  <c r="Z41" i="35" s="1"/>
  <c r="W8" i="32"/>
  <c r="Z20" i="29"/>
  <c r="N89" i="35"/>
  <c r="AG89" i="35" s="1"/>
  <c r="O30" i="25"/>
  <c r="L192" i="34"/>
  <c r="W8" i="7"/>
  <c r="W113" i="7"/>
  <c r="V8" i="7"/>
  <c r="AB40" i="29"/>
  <c r="W21" i="7"/>
  <c r="E57" i="35"/>
  <c r="X57" i="35" s="1"/>
  <c r="E89" i="35"/>
  <c r="X89" i="35" s="1"/>
  <c r="V43" i="23"/>
  <c r="N30" i="26"/>
  <c r="X40" i="29"/>
  <c r="V21" i="7"/>
  <c r="T13" i="25"/>
  <c r="O8" i="23"/>
  <c r="AO113" i="7"/>
  <c r="AO81" i="7" s="1"/>
  <c r="R20" i="1"/>
  <c r="W81" i="7"/>
  <c r="X9" i="35"/>
  <c r="X5" i="35" s="1"/>
  <c r="W288" i="34"/>
  <c r="AG9" i="35"/>
  <c r="AG5" i="35" s="1"/>
  <c r="W20" i="31"/>
  <c r="W500" i="31"/>
  <c r="R8" i="4"/>
  <c r="V113" i="7"/>
  <c r="T15" i="28"/>
  <c r="S20" i="31"/>
  <c r="O8" i="32"/>
  <c r="AB14" i="4"/>
  <c r="X33" i="28"/>
  <c r="W9" i="34"/>
  <c r="W28" i="1"/>
  <c r="V20" i="31"/>
  <c r="T30" i="25"/>
  <c r="T33" i="28"/>
  <c r="R8" i="1"/>
  <c r="V81" i="1"/>
  <c r="AJ113" i="7"/>
  <c r="AJ81" i="7" s="1"/>
  <c r="U288" i="34"/>
  <c r="N57" i="35"/>
  <c r="AG57" i="35" s="1"/>
  <c r="W17" i="32"/>
  <c r="AB20" i="29"/>
  <c r="V81" i="7"/>
  <c r="AA8" i="7"/>
  <c r="K89" i="35"/>
  <c r="AD89" i="35" s="1"/>
  <c r="K121" i="35"/>
  <c r="AD121" i="35" s="1"/>
  <c r="V8" i="23"/>
  <c r="V8" i="31"/>
  <c r="W348" i="31"/>
  <c r="AO348" i="31" s="1"/>
  <c r="W8" i="31"/>
  <c r="AO44" i="31"/>
  <c r="AO199" i="31" s="1"/>
  <c r="X8" i="29"/>
  <c r="O348" i="31"/>
  <c r="AG348" i="31" s="1"/>
  <c r="AG44" i="31"/>
  <c r="AG199" i="31" s="1"/>
  <c r="J41" i="35"/>
  <c r="AC41" i="35" s="1"/>
  <c r="S81" i="1"/>
  <c r="O33" i="28"/>
  <c r="X183" i="28"/>
  <c r="Z288" i="34"/>
  <c r="O14" i="4"/>
  <c r="M43" i="23"/>
  <c r="AN44" i="31"/>
  <c r="AN199" i="31" s="1"/>
  <c r="X15" i="28"/>
  <c r="AI29" i="4"/>
  <c r="AI60" i="4" s="1"/>
  <c r="W29" i="4"/>
  <c r="U8" i="1"/>
  <c r="F121" i="35"/>
  <c r="Y121" i="35" s="1"/>
  <c r="D41" i="35"/>
  <c r="W41" i="35" s="1"/>
  <c r="Y15" i="28"/>
  <c r="S288" i="34"/>
  <c r="D89" i="35"/>
  <c r="W89" i="35" s="1"/>
  <c r="Y8" i="28"/>
  <c r="T17" i="32"/>
  <c r="O183" i="28"/>
  <c r="Q183" i="28"/>
  <c r="AA28" i="1"/>
  <c r="O500" i="31"/>
  <c r="X8" i="28"/>
  <c r="AF9" i="35"/>
  <c r="AF5" i="35" s="1"/>
  <c r="M121" i="35"/>
  <c r="AF121" i="35" s="1"/>
  <c r="AF113" i="7"/>
  <c r="AF81" i="7" s="1"/>
  <c r="N113" i="7"/>
  <c r="Z30" i="25"/>
  <c r="Z20" i="31"/>
  <c r="Z348" i="31"/>
  <c r="AR348" i="31" s="1"/>
  <c r="O21" i="7"/>
  <c r="X9" i="34"/>
  <c r="O8" i="4"/>
  <c r="AC9" i="35"/>
  <c r="AC5" i="35" s="1"/>
  <c r="Z29" i="4"/>
  <c r="V28" i="1"/>
  <c r="Z21" i="7"/>
  <c r="S13" i="25"/>
  <c r="V8" i="1"/>
  <c r="AQ33" i="28"/>
  <c r="AQ183" i="28" s="1"/>
  <c r="Q29" i="4"/>
  <c r="L89" i="35"/>
  <c r="AE89" i="35" s="1"/>
  <c r="U8" i="31"/>
  <c r="U28" i="1"/>
  <c r="AM44" i="31"/>
  <c r="AM199" i="31" s="1"/>
  <c r="Y183" i="28"/>
  <c r="R113" i="7"/>
  <c r="Z40" i="29"/>
  <c r="AI33" i="28"/>
  <c r="AI183" i="28" s="1"/>
  <c r="AA81" i="1"/>
  <c r="X30" i="26"/>
  <c r="U20" i="1"/>
  <c r="O20" i="31"/>
  <c r="Y8" i="7"/>
  <c r="AQ113" i="7"/>
  <c r="AQ81" i="7" s="1"/>
  <c r="AG113" i="7"/>
  <c r="AG81" i="7" s="1"/>
  <c r="O8" i="7"/>
  <c r="T8" i="26"/>
  <c r="AL30" i="26" s="1"/>
  <c r="T15" i="23"/>
  <c r="U9" i="34"/>
  <c r="P14" i="4"/>
  <c r="O113" i="7"/>
  <c r="AQ44" i="31"/>
  <c r="AQ199" i="31" s="1"/>
  <c r="AQ29" i="4"/>
  <c r="AQ60" i="4" s="1"/>
  <c r="Y8" i="31"/>
  <c r="Y348" i="31"/>
  <c r="AQ348" i="31" s="1"/>
  <c r="Y8" i="29"/>
  <c r="AA17" i="32"/>
  <c r="Y14" i="4"/>
  <c r="AH29" i="4"/>
  <c r="AH60" i="4" s="1"/>
  <c r="Y20" i="31"/>
  <c r="M57" i="35"/>
  <c r="AF57" i="35" s="1"/>
  <c r="M41" i="35"/>
  <c r="AF41" i="35" s="1"/>
  <c r="O41" i="35"/>
  <c r="AH41" i="35" s="1"/>
  <c r="O121" i="35"/>
  <c r="AH121" i="35" s="1"/>
  <c r="U40" i="29"/>
  <c r="Y20" i="29"/>
  <c r="V17" i="32"/>
  <c r="U8" i="29"/>
  <c r="Y40" i="29"/>
  <c r="Y29" i="4"/>
  <c r="P29" i="4"/>
  <c r="Y44" i="31"/>
  <c r="X8" i="23"/>
  <c r="AP23" i="23"/>
  <c r="AP43" i="23" s="1"/>
  <c r="W30" i="26"/>
  <c r="Y13" i="25"/>
  <c r="S49" i="4"/>
  <c r="S48" i="4"/>
  <c r="S51" i="4"/>
  <c r="U124" i="25"/>
  <c r="S52" i="4"/>
  <c r="S53" i="4"/>
  <c r="U125" i="25"/>
  <c r="V150" i="25"/>
  <c r="V147" i="25"/>
  <c r="Y123" i="25"/>
  <c r="Y125" i="25"/>
  <c r="Z122" i="25"/>
  <c r="S149" i="25"/>
  <c r="S152" i="25"/>
  <c r="V122" i="25"/>
  <c r="U152" i="25"/>
  <c r="U149" i="25"/>
  <c r="U148" i="25"/>
  <c r="U147" i="25"/>
  <c r="U150" i="25"/>
  <c r="P125" i="25"/>
  <c r="P124" i="25"/>
  <c r="S112" i="25"/>
  <c r="Z148" i="25"/>
  <c r="Z149" i="25"/>
  <c r="Z151" i="25"/>
  <c r="Z150" i="25"/>
  <c r="Z147" i="25"/>
  <c r="Z152" i="25"/>
  <c r="S107" i="25"/>
  <c r="N121" i="25"/>
  <c r="R29" i="4"/>
  <c r="Q57" i="35"/>
  <c r="AJ57" i="35" s="1"/>
  <c r="R30" i="25"/>
  <c r="U113" i="7"/>
  <c r="R14" i="4"/>
  <c r="T81" i="7"/>
  <c r="U20" i="29"/>
  <c r="V8" i="4"/>
  <c r="R8" i="32"/>
  <c r="Y9" i="34"/>
  <c r="N8" i="29"/>
  <c r="AA20" i="31"/>
  <c r="AL113" i="7"/>
  <c r="AL81" i="7" s="1"/>
  <c r="L41" i="35"/>
  <c r="AE41" i="35" s="1"/>
  <c r="AE9" i="35"/>
  <c r="AE5" i="35" s="1"/>
  <c r="N20" i="29"/>
  <c r="L9" i="34"/>
  <c r="T113" i="7"/>
  <c r="X125" i="25"/>
  <c r="X126" i="25"/>
  <c r="X123" i="25"/>
  <c r="X122" i="25"/>
  <c r="X124" i="25"/>
  <c r="X121" i="25"/>
  <c r="AA150" i="25"/>
  <c r="AA52" i="4"/>
  <c r="AA112" i="25"/>
  <c r="AA111" i="25"/>
  <c r="AA108" i="25"/>
  <c r="AA110" i="25"/>
  <c r="AA109" i="25"/>
  <c r="U126" i="25"/>
  <c r="U122" i="25"/>
  <c r="U123" i="25"/>
  <c r="AA121" i="25"/>
  <c r="AA122" i="25"/>
  <c r="AA125" i="25"/>
  <c r="AA124" i="25"/>
  <c r="AA123" i="25"/>
  <c r="AA126" i="25"/>
  <c r="P150" i="25"/>
  <c r="U112" i="25"/>
  <c r="U110" i="25"/>
  <c r="U107" i="25"/>
  <c r="U109" i="25"/>
  <c r="U108" i="25"/>
  <c r="U111" i="25"/>
  <c r="O122" i="25"/>
  <c r="Y147" i="25"/>
  <c r="Y148" i="25"/>
  <c r="Y149" i="25"/>
  <c r="Y151" i="25"/>
  <c r="Y152" i="25"/>
  <c r="Y150" i="25"/>
  <c r="N108" i="25"/>
  <c r="V109" i="25"/>
  <c r="V110" i="25"/>
  <c r="V111" i="25"/>
  <c r="V107" i="25"/>
  <c r="V108" i="25"/>
  <c r="V112" i="25"/>
  <c r="AA51" i="4"/>
  <c r="AA50" i="4"/>
  <c r="AA48" i="4"/>
  <c r="AA53" i="4"/>
  <c r="Q150" i="25"/>
  <c r="Q149" i="25"/>
  <c r="O109" i="25"/>
  <c r="O110" i="25"/>
  <c r="O108" i="25"/>
  <c r="O111" i="25"/>
  <c r="O112" i="25"/>
  <c r="O107" i="25"/>
  <c r="W126" i="25"/>
  <c r="W121" i="25"/>
  <c r="W124" i="25"/>
  <c r="W122" i="25"/>
  <c r="W123" i="25"/>
  <c r="W125" i="25"/>
  <c r="N183" i="28"/>
  <c r="V8" i="25"/>
  <c r="U8" i="7"/>
  <c r="O192" i="34"/>
  <c r="V8" i="28"/>
  <c r="U81" i="7"/>
  <c r="U21" i="7"/>
  <c r="L121" i="35"/>
  <c r="AE121" i="35" s="1"/>
  <c r="V44" i="31"/>
  <c r="V348" i="31"/>
  <c r="AN348" i="31" s="1"/>
  <c r="V30" i="25"/>
  <c r="AM113" i="7"/>
  <c r="AM81" i="7" s="1"/>
  <c r="AA30" i="25"/>
  <c r="R81" i="1"/>
  <c r="M8" i="1"/>
  <c r="AL23" i="23"/>
  <c r="AL43" i="23" s="1"/>
  <c r="T8" i="23"/>
  <c r="AA13" i="25"/>
  <c r="V8" i="26"/>
  <c r="AN30" i="26" s="1"/>
  <c r="Q121" i="35"/>
  <c r="AJ121" i="35" s="1"/>
  <c r="T81" i="1"/>
  <c r="T20" i="1"/>
  <c r="T28" i="1"/>
  <c r="T8" i="1"/>
  <c r="AN29" i="4"/>
  <c r="AN60" i="4" s="1"/>
  <c r="M8" i="23"/>
  <c r="O288" i="34"/>
  <c r="V183" i="28"/>
  <c r="AA8" i="31"/>
  <c r="AE23" i="23"/>
  <c r="AE43" i="23" s="1"/>
  <c r="P43" i="23"/>
  <c r="P8" i="32"/>
  <c r="V30" i="26"/>
  <c r="AH23" i="23"/>
  <c r="AH43" i="23" s="1"/>
  <c r="V29" i="4"/>
  <c r="AA9" i="35"/>
  <c r="AA5" i="35" s="1"/>
  <c r="R40" i="29"/>
  <c r="H89" i="35"/>
  <c r="AA89" i="35" s="1"/>
  <c r="R8" i="29"/>
  <c r="V15" i="28"/>
  <c r="Y288" i="34"/>
  <c r="AN33" i="28"/>
  <c r="AN183" i="28" s="1"/>
  <c r="P15" i="23"/>
  <c r="U20" i="31"/>
  <c r="N40" i="29"/>
  <c r="AR23" i="23"/>
  <c r="AR43" i="23" s="1"/>
  <c r="Z23" i="23"/>
  <c r="Z8" i="23"/>
  <c r="N15" i="28"/>
  <c r="P21" i="7"/>
  <c r="P81" i="7"/>
  <c r="Q89" i="35"/>
  <c r="AJ89" i="35" s="1"/>
  <c r="U44" i="31"/>
  <c r="U348" i="31"/>
  <c r="AM348" i="31" s="1"/>
  <c r="U8" i="4"/>
  <c r="U14" i="4"/>
  <c r="AM29" i="4"/>
  <c r="AM60" i="4" s="1"/>
  <c r="U29" i="4"/>
  <c r="I121" i="35"/>
  <c r="AB121" i="35" s="1"/>
  <c r="I89" i="35"/>
  <c r="AB89" i="35" s="1"/>
  <c r="I41" i="35"/>
  <c r="AB41" i="35" s="1"/>
  <c r="AB9" i="35"/>
  <c r="AB5" i="35" s="1"/>
  <c r="I57" i="35"/>
  <c r="AB57" i="35" s="1"/>
  <c r="S30" i="25"/>
  <c r="R8" i="7"/>
  <c r="R81" i="7"/>
  <c r="AA40" i="29"/>
  <c r="AA8" i="29"/>
  <c r="Z81" i="7"/>
  <c r="Z113" i="7"/>
  <c r="Z8" i="7"/>
  <c r="AR113" i="7"/>
  <c r="AR81" i="7" s="1"/>
  <c r="D121" i="35"/>
  <c r="W121" i="35" s="1"/>
  <c r="D57" i="35"/>
  <c r="W57" i="35" s="1"/>
  <c r="S8" i="26"/>
  <c r="AK30" i="26" s="1"/>
  <c r="S30" i="26"/>
  <c r="H121" i="35"/>
  <c r="AA121" i="35" s="1"/>
  <c r="H41" i="35"/>
  <c r="AA41" i="35" s="1"/>
  <c r="Q23" i="23"/>
  <c r="Q43" i="23"/>
  <c r="AI23" i="23"/>
  <c r="AI43" i="23" s="1"/>
  <c r="Q8" i="23"/>
  <c r="Q15" i="23"/>
  <c r="P192" i="34"/>
  <c r="P288" i="34"/>
  <c r="P9" i="34"/>
  <c r="Z28" i="1"/>
  <c r="Z20" i="1"/>
  <c r="Z81" i="1"/>
  <c r="N20" i="31"/>
  <c r="N44" i="31"/>
  <c r="N8" i="31"/>
  <c r="N500" i="31"/>
  <c r="N348" i="31"/>
  <c r="AF348" i="31" s="1"/>
  <c r="Z43" i="23"/>
  <c r="Q41" i="35"/>
  <c r="AJ41" i="35" s="1"/>
  <c r="N8" i="28"/>
  <c r="AK29" i="4"/>
  <c r="AK60" i="4" s="1"/>
  <c r="S8" i="4"/>
  <c r="S14" i="4"/>
  <c r="S29" i="4"/>
  <c r="AS44" i="31"/>
  <c r="AS199" i="31" s="1"/>
  <c r="AA500" i="31"/>
  <c r="AF29" i="4"/>
  <c r="AF60" i="4" s="1"/>
  <c r="N29" i="4"/>
  <c r="N14" i="4"/>
  <c r="N8" i="4"/>
  <c r="Q8" i="25"/>
  <c r="Q30" i="25"/>
  <c r="Q13" i="25"/>
  <c r="R15" i="28"/>
  <c r="R183" i="28"/>
  <c r="R8" i="28"/>
  <c r="AJ33" i="28"/>
  <c r="AJ183" i="28" s="1"/>
  <c r="R20" i="29"/>
  <c r="U13" i="25"/>
  <c r="U30" i="25"/>
  <c r="U8" i="25"/>
  <c r="Q348" i="31"/>
  <c r="AI348" i="31" s="1"/>
  <c r="Q8" i="31"/>
  <c r="Q44" i="31"/>
  <c r="Q500" i="31"/>
  <c r="Q20" i="31"/>
  <c r="AI44" i="31"/>
  <c r="AI199" i="31" s="1"/>
  <c r="R23" i="23"/>
  <c r="AJ23" i="23"/>
  <c r="AJ43" i="23" s="1"/>
  <c r="R8" i="23"/>
  <c r="U8" i="28"/>
  <c r="U183" i="28"/>
  <c r="AM33" i="28"/>
  <c r="AM183" i="28" s="1"/>
  <c r="U15" i="28"/>
  <c r="U33" i="28"/>
  <c r="Q8" i="26"/>
  <c r="AI30" i="26" s="1"/>
  <c r="Q30" i="26"/>
  <c r="R15" i="23"/>
  <c r="P113" i="7"/>
  <c r="Q81" i="7"/>
  <c r="AI113" i="7"/>
  <c r="AI81" i="7" s="1"/>
  <c r="Q113" i="7"/>
  <c r="Q8" i="32"/>
  <c r="Q17" i="32"/>
  <c r="Q9" i="34"/>
  <c r="AA14" i="4"/>
  <c r="AA8" i="4"/>
  <c r="N13" i="25"/>
  <c r="N8" i="25"/>
  <c r="N30" i="25"/>
  <c r="M28" i="1"/>
  <c r="S8" i="31"/>
  <c r="S500" i="31"/>
  <c r="G121" i="35"/>
  <c r="Z121" i="35" s="1"/>
  <c r="Z9" i="35"/>
  <c r="Z5" i="35" s="1"/>
  <c r="G89" i="35"/>
  <c r="Z89" i="35" s="1"/>
  <c r="T236" i="34"/>
  <c r="O194" i="34"/>
  <c r="Y236" i="34"/>
  <c r="Z215" i="34"/>
  <c r="U233" i="34"/>
  <c r="L248" i="34"/>
  <c r="L236" i="34"/>
  <c r="L221" i="34"/>
  <c r="L245" i="34"/>
  <c r="S224" i="34"/>
  <c r="W242" i="34"/>
  <c r="M215" i="34"/>
  <c r="Z227" i="34"/>
  <c r="S227" i="34"/>
  <c r="Y227" i="34"/>
  <c r="N227" i="34"/>
  <c r="O239" i="34"/>
  <c r="Z239" i="34"/>
  <c r="Z224" i="34"/>
  <c r="U194" i="34"/>
  <c r="Y233" i="34"/>
  <c r="X194" i="34"/>
  <c r="O227" i="34"/>
  <c r="S245" i="34"/>
  <c r="Y248" i="34"/>
  <c r="P245" i="34"/>
  <c r="W239" i="34"/>
  <c r="W215" i="34"/>
  <c r="M221" i="34"/>
  <c r="L203" i="34"/>
  <c r="Q221" i="34"/>
  <c r="P215" i="34"/>
  <c r="R245" i="34"/>
  <c r="U227" i="34"/>
  <c r="O221" i="34"/>
  <c r="W224" i="34"/>
  <c r="T239" i="34"/>
  <c r="U242" i="34"/>
  <c r="V233" i="34"/>
  <c r="U245" i="34"/>
  <c r="V194" i="34"/>
  <c r="Z248" i="34"/>
  <c r="U203" i="34"/>
  <c r="O203" i="34"/>
  <c r="P242" i="34"/>
  <c r="T242" i="34"/>
  <c r="O215" i="34"/>
  <c r="M227" i="34"/>
  <c r="N236" i="34"/>
  <c r="P194" i="34"/>
  <c r="Z245" i="34"/>
  <c r="M224" i="34"/>
  <c r="U224" i="34"/>
  <c r="O224" i="34"/>
  <c r="N194" i="34"/>
  <c r="R224" i="34"/>
  <c r="Y242" i="34"/>
  <c r="T233" i="34"/>
  <c r="M233" i="34"/>
  <c r="M245" i="34"/>
  <c r="T245" i="34"/>
  <c r="W227" i="34"/>
  <c r="S242" i="34"/>
  <c r="T224" i="34"/>
  <c r="X221" i="34"/>
  <c r="R221" i="34"/>
  <c r="X203" i="34"/>
  <c r="W194" i="34"/>
  <c r="S239" i="34"/>
  <c r="O233" i="34"/>
  <c r="R233" i="34"/>
  <c r="W221" i="34"/>
  <c r="V245" i="34"/>
  <c r="S203" i="34"/>
  <c r="S233" i="34"/>
  <c r="T227" i="34"/>
  <c r="Q236" i="34"/>
  <c r="T248" i="34"/>
  <c r="W245" i="34"/>
  <c r="N245" i="34"/>
  <c r="L227" i="34"/>
  <c r="V248" i="34"/>
  <c r="V215" i="34"/>
  <c r="V227" i="34"/>
  <c r="W236" i="34"/>
  <c r="N215" i="34"/>
  <c r="N242" i="34"/>
  <c r="L194" i="34"/>
  <c r="X236" i="34"/>
  <c r="X215" i="34"/>
  <c r="P239" i="34"/>
  <c r="O248" i="34"/>
  <c r="Y203" i="34"/>
  <c r="Y215" i="34"/>
  <c r="L239" i="34"/>
  <c r="L224" i="34"/>
  <c r="R215" i="34"/>
  <c r="M242" i="34"/>
  <c r="Q224" i="34"/>
  <c r="O242" i="34"/>
  <c r="R239" i="34"/>
  <c r="Z221" i="34"/>
  <c r="M248" i="34"/>
  <c r="S194" i="34"/>
  <c r="T215" i="34"/>
  <c r="V242" i="34"/>
  <c r="Q233" i="34"/>
  <c r="S215" i="34"/>
  <c r="S236" i="34"/>
  <c r="P236" i="34"/>
  <c r="M203" i="34"/>
  <c r="V236" i="34"/>
  <c r="R236" i="34"/>
  <c r="V203" i="34"/>
  <c r="L242" i="34"/>
  <c r="N224" i="34"/>
  <c r="U239" i="34"/>
  <c r="P203" i="34"/>
  <c r="Y221" i="34"/>
  <c r="S221" i="34"/>
  <c r="S248" i="34"/>
  <c r="U248" i="34"/>
  <c r="X248" i="34"/>
  <c r="Z233" i="34"/>
  <c r="W203" i="34"/>
  <c r="R227" i="34"/>
  <c r="Q242" i="34"/>
  <c r="R194" i="34"/>
  <c r="Q239" i="34"/>
  <c r="P224" i="34"/>
  <c r="Y239" i="34"/>
  <c r="N203" i="34"/>
  <c r="X245" i="34"/>
  <c r="M239" i="34"/>
  <c r="M194" i="34"/>
  <c r="N221" i="34"/>
  <c r="R242" i="34"/>
  <c r="V221" i="34"/>
  <c r="V224" i="34"/>
  <c r="N248" i="34"/>
  <c r="X233" i="34"/>
  <c r="P233" i="34"/>
  <c r="Q245" i="34"/>
  <c r="P248" i="34"/>
  <c r="Z203" i="34"/>
  <c r="Z236" i="34"/>
  <c r="N239" i="34"/>
  <c r="L215" i="34"/>
  <c r="W248" i="34"/>
  <c r="Z194" i="34"/>
  <c r="X239" i="34"/>
  <c r="T194" i="34"/>
  <c r="X227" i="34"/>
  <c r="Q248" i="34"/>
  <c r="M236" i="34"/>
  <c r="O236" i="34"/>
  <c r="T203" i="34"/>
  <c r="R203" i="34"/>
  <c r="V239" i="34"/>
  <c r="Q203" i="34"/>
  <c r="P221" i="34"/>
  <c r="W233" i="34"/>
  <c r="T221" i="34"/>
  <c r="N233" i="34"/>
  <c r="Y194" i="34"/>
  <c r="U236" i="34"/>
  <c r="R248" i="34"/>
  <c r="U215" i="34"/>
  <c r="X242" i="34"/>
  <c r="Z242" i="34"/>
  <c r="Q215" i="34"/>
  <c r="Q227" i="34"/>
  <c r="Y245" i="34"/>
  <c r="U221" i="34"/>
  <c r="Y224" i="34"/>
  <c r="Q194" i="34"/>
  <c r="O245" i="34"/>
  <c r="L233" i="34"/>
  <c r="X224" i="34"/>
  <c r="P227" i="34"/>
  <c r="R381" i="31"/>
  <c r="Q416" i="31"/>
  <c r="X42" i="7"/>
  <c r="N42" i="7"/>
  <c r="W63" i="31"/>
  <c r="AO64" i="31" s="1"/>
  <c r="W116" i="31"/>
  <c r="W156" i="31"/>
  <c r="AO157" i="31" s="1"/>
  <c r="W88" i="31"/>
  <c r="AO89" i="31" s="1"/>
  <c r="W75" i="31"/>
  <c r="W102" i="31"/>
  <c r="AO103" i="31" s="1"/>
  <c r="O102" i="31"/>
  <c r="AG103" i="31" s="1"/>
  <c r="O156" i="31"/>
  <c r="AG157" i="31" s="1"/>
  <c r="O88" i="31"/>
  <c r="AG89" i="31" s="1"/>
  <c r="O116" i="31"/>
  <c r="O63" i="31"/>
  <c r="AG64" i="31" s="1"/>
  <c r="O75" i="31"/>
  <c r="AG76" i="31" s="1"/>
  <c r="X156" i="26"/>
  <c r="X156" i="25"/>
  <c r="O42" i="7"/>
  <c r="R65" i="31"/>
  <c r="BB60" i="31" s="1"/>
  <c r="R90" i="31"/>
  <c r="Q156" i="25"/>
  <c r="Q156" i="26"/>
  <c r="P128" i="25"/>
  <c r="P128" i="26"/>
  <c r="V42" i="7"/>
  <c r="U156" i="31"/>
  <c r="AM157" i="31" s="1"/>
  <c r="U88" i="31"/>
  <c r="AM89" i="31" s="1"/>
  <c r="U116" i="31"/>
  <c r="U102" i="31"/>
  <c r="AM103" i="31" s="1"/>
  <c r="U75" i="31"/>
  <c r="AM76" i="31" s="1"/>
  <c r="U63" i="31"/>
  <c r="AM64" i="31" s="1"/>
  <c r="AF9" i="4"/>
  <c r="I71" i="4" s="1"/>
  <c r="I51" i="4"/>
  <c r="O416" i="31"/>
  <c r="S156" i="25"/>
  <c r="S156" i="26"/>
  <c r="O142" i="26"/>
  <c r="O142" i="25"/>
  <c r="W42" i="7"/>
  <c r="AA156" i="25"/>
  <c r="AA156" i="26"/>
  <c r="X389" i="31"/>
  <c r="AA389" i="31"/>
  <c r="O389" i="31"/>
  <c r="T416" i="31"/>
  <c r="U389" i="31"/>
  <c r="AB389" i="31"/>
  <c r="R118" i="31"/>
  <c r="R77" i="31"/>
  <c r="BB72" i="31" s="1"/>
  <c r="S42" i="7"/>
  <c r="Y402" i="31"/>
  <c r="O156" i="26"/>
  <c r="O156" i="25"/>
  <c r="T42" i="7"/>
  <c r="AB416" i="31"/>
  <c r="W156" i="26"/>
  <c r="W156" i="25"/>
  <c r="S389" i="31"/>
  <c r="Q389" i="31"/>
  <c r="T389" i="31"/>
  <c r="R47" i="4"/>
  <c r="R158" i="31"/>
  <c r="R146" i="31"/>
  <c r="U142" i="26"/>
  <c r="U142" i="25"/>
  <c r="U128" i="26"/>
  <c r="U128" i="25"/>
  <c r="S88" i="26"/>
  <c r="S88" i="25"/>
  <c r="Z42" i="7"/>
  <c r="R35" i="4"/>
  <c r="R369" i="31"/>
  <c r="BB364" i="31" s="1"/>
  <c r="W416" i="31"/>
  <c r="P42" i="7"/>
  <c r="Y116" i="31"/>
  <c r="Y88" i="31"/>
  <c r="AQ89" i="31" s="1"/>
  <c r="Y63" i="31"/>
  <c r="AQ64" i="31" s="1"/>
  <c r="Y156" i="31"/>
  <c r="AQ157" i="31" s="1"/>
  <c r="Y75" i="31"/>
  <c r="AQ76" i="31" s="1"/>
  <c r="Y102" i="31"/>
  <c r="AQ103" i="31" s="1"/>
  <c r="Q156" i="31"/>
  <c r="AI157" i="31" s="1"/>
  <c r="Q102" i="31"/>
  <c r="AI103" i="31" s="1"/>
  <c r="Q88" i="31"/>
  <c r="AI89" i="31" s="1"/>
  <c r="Q116" i="31"/>
  <c r="Q63" i="31"/>
  <c r="Q75" i="31"/>
  <c r="AI76" i="31" s="1"/>
  <c r="X416" i="31"/>
  <c r="Q402" i="31"/>
  <c r="AB156" i="26"/>
  <c r="AB156" i="25"/>
  <c r="AA142" i="26"/>
  <c r="AA142" i="25"/>
  <c r="Y88" i="25"/>
  <c r="Y88" i="26"/>
  <c r="R42" i="7"/>
  <c r="S416" i="31"/>
  <c r="S142" i="25"/>
  <c r="S142" i="26"/>
  <c r="P389" i="31"/>
  <c r="W389" i="31"/>
  <c r="Y389" i="31"/>
  <c r="AZ184" i="28" l="1"/>
  <c r="AZ12" i="28"/>
  <c r="BD184" i="28"/>
  <c r="BD12" i="28"/>
  <c r="BI184" i="28"/>
  <c r="BG184" i="28"/>
  <c r="AZ59" i="25"/>
  <c r="AZ58" i="25"/>
  <c r="AZ14" i="25" s="1"/>
  <c r="BG59" i="25"/>
  <c r="BG58" i="25"/>
  <c r="BG14" i="25" s="1"/>
  <c r="BC59" i="25"/>
  <c r="BC58" i="25"/>
  <c r="BC14" i="25" s="1"/>
  <c r="BF33" i="25"/>
  <c r="BF34" i="25"/>
  <c r="BF32" i="25"/>
  <c r="BD34" i="25"/>
  <c r="BD33" i="25"/>
  <c r="BD32" i="25"/>
  <c r="BJ34" i="25"/>
  <c r="BJ33" i="25"/>
  <c r="BJ32" i="25"/>
  <c r="BE34" i="25"/>
  <c r="BE33" i="25"/>
  <c r="BE32" i="25"/>
  <c r="BB185" i="28"/>
  <c r="AW185" i="28" s="1"/>
  <c r="N384" i="31"/>
  <c r="E18" i="5"/>
  <c r="AY59" i="25"/>
  <c r="AY58" i="25"/>
  <c r="AY14" i="25" s="1"/>
  <c r="BE58" i="25"/>
  <c r="BE14" i="25" s="1"/>
  <c r="BE59" i="25"/>
  <c r="BK34" i="25"/>
  <c r="BK33" i="25"/>
  <c r="BK32" i="25"/>
  <c r="BD59" i="25"/>
  <c r="BD58" i="25"/>
  <c r="BD14" i="25" s="1"/>
  <c r="BA58" i="25"/>
  <c r="BA14" i="25" s="1"/>
  <c r="BA59" i="25"/>
  <c r="BC34" i="25"/>
  <c r="BC33" i="25"/>
  <c r="BC32" i="25"/>
  <c r="BH34" i="25"/>
  <c r="BH33" i="25"/>
  <c r="BH32" i="25"/>
  <c r="AY34" i="25"/>
  <c r="AY33" i="25"/>
  <c r="AY32" i="25"/>
  <c r="BI32" i="25"/>
  <c r="BI34" i="25"/>
  <c r="BI33" i="25"/>
  <c r="AF130" i="28"/>
  <c r="AX413" i="31"/>
  <c r="BH59" i="25"/>
  <c r="BH58" i="25"/>
  <c r="BH14" i="25" s="1"/>
  <c r="BG34" i="25"/>
  <c r="BG33" i="25"/>
  <c r="BG32" i="25"/>
  <c r="AF156" i="28"/>
  <c r="AF131" i="31"/>
  <c r="BF59" i="25"/>
  <c r="BF58" i="25"/>
  <c r="BF14" i="25" s="1"/>
  <c r="BL34" i="25"/>
  <c r="BL33" i="25"/>
  <c r="BL32" i="25"/>
  <c r="BK59" i="25"/>
  <c r="BK58" i="25"/>
  <c r="BK14" i="25" s="1"/>
  <c r="BL59" i="25"/>
  <c r="BL58" i="25"/>
  <c r="BL14" i="25" s="1"/>
  <c r="BI58" i="25"/>
  <c r="BI14" i="25" s="1"/>
  <c r="BI59" i="25"/>
  <c r="BJ58" i="25"/>
  <c r="BJ14" i="25" s="1"/>
  <c r="BJ59" i="25"/>
  <c r="AZ34" i="25"/>
  <c r="AZ33" i="25"/>
  <c r="AZ32" i="25"/>
  <c r="BA32" i="25"/>
  <c r="BA34" i="25"/>
  <c r="BA33" i="25"/>
  <c r="AF169" i="28"/>
  <c r="AF145" i="31"/>
  <c r="BL58" i="31"/>
  <c r="AX60" i="31"/>
  <c r="BK58" i="31"/>
  <c r="BB362" i="31"/>
  <c r="BB58" i="31"/>
  <c r="AX364" i="31"/>
  <c r="AW364" i="31" s="1"/>
  <c r="AX362" i="31"/>
  <c r="BA58" i="31"/>
  <c r="BF184" i="28"/>
  <c r="BK184" i="28"/>
  <c r="AL458" i="31"/>
  <c r="AY184" i="28"/>
  <c r="BL184" i="28"/>
  <c r="BJ184" i="28"/>
  <c r="BA184" i="28"/>
  <c r="BC184" i="28"/>
  <c r="BE184" i="28"/>
  <c r="P49" i="26"/>
  <c r="AQ99" i="7"/>
  <c r="Z101" i="7"/>
  <c r="BK96" i="7" s="1"/>
  <c r="N89" i="7"/>
  <c r="P101" i="7"/>
  <c r="BA96" i="7" s="1"/>
  <c r="O101" i="7"/>
  <c r="AZ96" i="7" s="1"/>
  <c r="V101" i="7"/>
  <c r="BG96" i="7" s="1"/>
  <c r="N101" i="7"/>
  <c r="AY96" i="7" s="1"/>
  <c r="AA101" i="7"/>
  <c r="BL96" i="7" s="1"/>
  <c r="U101" i="7"/>
  <c r="AM99" i="7" s="1"/>
  <c r="R101" i="7"/>
  <c r="BC96" i="7" s="1"/>
  <c r="BH96" i="7"/>
  <c r="S101" i="7"/>
  <c r="AK99" i="7" s="1"/>
  <c r="M101" i="7"/>
  <c r="AX96" i="7" s="1"/>
  <c r="X101" i="7"/>
  <c r="BI96" i="7" s="1"/>
  <c r="T101" i="7"/>
  <c r="AL99" i="7" s="1"/>
  <c r="M89" i="7"/>
  <c r="AE87" i="7" s="1"/>
  <c r="Q101" i="7"/>
  <c r="BB96" i="7" s="1"/>
  <c r="O89" i="7"/>
  <c r="AG87" i="7" s="1"/>
  <c r="S409" i="31"/>
  <c r="BC400" i="31"/>
  <c r="BC13" i="31" s="1"/>
  <c r="BC401" i="31"/>
  <c r="BC29" i="31" s="1"/>
  <c r="BK400" i="31"/>
  <c r="BK13" i="31" s="1"/>
  <c r="BK401" i="31"/>
  <c r="BK29" i="31" s="1"/>
  <c r="BI400" i="31"/>
  <c r="BI13" i="31" s="1"/>
  <c r="BI401" i="31"/>
  <c r="BI29" i="31" s="1"/>
  <c r="T407" i="31"/>
  <c r="BD401" i="31"/>
  <c r="BD29" i="31" s="1"/>
  <c r="BD400" i="31"/>
  <c r="BD13" i="31" s="1"/>
  <c r="W410" i="31"/>
  <c r="BG400" i="31"/>
  <c r="BG13" i="31" s="1"/>
  <c r="BG401" i="31"/>
  <c r="BG29" i="31" s="1"/>
  <c r="AY400" i="31"/>
  <c r="AY13" i="31" s="1"/>
  <c r="AY401" i="31"/>
  <c r="AY29" i="31" s="1"/>
  <c r="N407" i="31"/>
  <c r="AX400" i="31"/>
  <c r="AX13" i="31" s="1"/>
  <c r="AX401" i="31"/>
  <c r="P408" i="31"/>
  <c r="AZ401" i="31"/>
  <c r="AZ29" i="31" s="1"/>
  <c r="AZ400" i="31"/>
  <c r="AZ13" i="31" s="1"/>
  <c r="AI405" i="31"/>
  <c r="BA400" i="31"/>
  <c r="BA13" i="31" s="1"/>
  <c r="BA401" i="31"/>
  <c r="BA29" i="31" s="1"/>
  <c r="U410" i="31"/>
  <c r="BE400" i="31"/>
  <c r="BE13" i="31" s="1"/>
  <c r="BE401" i="31"/>
  <c r="BE29" i="31" s="1"/>
  <c r="BF400" i="31"/>
  <c r="BF13" i="31" s="1"/>
  <c r="BF401" i="31"/>
  <c r="BF29" i="31" s="1"/>
  <c r="AB411" i="31"/>
  <c r="BL401" i="31"/>
  <c r="BL29" i="31" s="1"/>
  <c r="BL400" i="31"/>
  <c r="BL13" i="31" s="1"/>
  <c r="X411" i="31"/>
  <c r="BH401" i="31"/>
  <c r="BH29" i="31" s="1"/>
  <c r="BH400" i="31"/>
  <c r="BH13" i="31" s="1"/>
  <c r="Z410" i="31"/>
  <c r="BJ400" i="31"/>
  <c r="BJ13" i="31" s="1"/>
  <c r="BJ401" i="31"/>
  <c r="BJ29" i="31" s="1"/>
  <c r="BB83" i="7"/>
  <c r="P91" i="7"/>
  <c r="AH46" i="34"/>
  <c r="AZ9" i="34"/>
  <c r="AK46" i="34"/>
  <c r="BC9" i="34"/>
  <c r="AP46" i="34"/>
  <c r="BH9" i="34"/>
  <c r="AR46" i="34"/>
  <c r="BJ9" i="34"/>
  <c r="AQ46" i="34"/>
  <c r="BI9" i="34"/>
  <c r="AI46" i="34"/>
  <c r="BA9" i="34"/>
  <c r="AN46" i="34"/>
  <c r="BF9" i="34"/>
  <c r="AJ46" i="34"/>
  <c r="BB9" i="34"/>
  <c r="AU46" i="34"/>
  <c r="BM9" i="34"/>
  <c r="AS46" i="34"/>
  <c r="BK9" i="34"/>
  <c r="AT46" i="34"/>
  <c r="BL9" i="34"/>
  <c r="AG46" i="34"/>
  <c r="AY9" i="34"/>
  <c r="AL46" i="34"/>
  <c r="BD9" i="34"/>
  <c r="AF458" i="31"/>
  <c r="AF446" i="31"/>
  <c r="AJ380" i="31"/>
  <c r="AS446" i="31"/>
  <c r="P158" i="26"/>
  <c r="BK200" i="31"/>
  <c r="BJ200" i="31"/>
  <c r="BG200" i="31"/>
  <c r="BE99" i="28"/>
  <c r="BE16" i="28" s="1"/>
  <c r="AF65" i="28"/>
  <c r="AX61" i="28"/>
  <c r="AX13" i="28" s="1"/>
  <c r="N371" i="31"/>
  <c r="AX363" i="31"/>
  <c r="AA68" i="31"/>
  <c r="BK59" i="31"/>
  <c r="X437" i="31"/>
  <c r="BH427" i="31"/>
  <c r="BH11" i="31" s="1"/>
  <c r="BH428" i="31"/>
  <c r="BH17" i="31" s="1"/>
  <c r="AB436" i="31"/>
  <c r="BL428" i="31"/>
  <c r="BL427" i="31"/>
  <c r="P439" i="31"/>
  <c r="AZ427" i="31"/>
  <c r="AZ11" i="31" s="1"/>
  <c r="AZ428" i="31"/>
  <c r="AZ17" i="31" s="1"/>
  <c r="BC111" i="31"/>
  <c r="BC112" i="31"/>
  <c r="AZ99" i="28"/>
  <c r="AZ16" i="28" s="1"/>
  <c r="AZ98" i="28"/>
  <c r="AZ15" i="28" s="1"/>
  <c r="V440" i="31"/>
  <c r="BF428" i="31"/>
  <c r="BF17" i="31" s="1"/>
  <c r="BF427" i="31"/>
  <c r="BF11" i="31" s="1"/>
  <c r="S438" i="31"/>
  <c r="BC428" i="31"/>
  <c r="BC17" i="31" s="1"/>
  <c r="BC427" i="31"/>
  <c r="BC11" i="31" s="1"/>
  <c r="Z435" i="31"/>
  <c r="BJ427" i="31"/>
  <c r="BJ11" i="31" s="1"/>
  <c r="BJ428" i="31"/>
  <c r="BJ17" i="31" s="1"/>
  <c r="U423" i="31"/>
  <c r="BE414" i="31"/>
  <c r="BE413" i="31"/>
  <c r="T440" i="31"/>
  <c r="BD428" i="31"/>
  <c r="BD17" i="31" s="1"/>
  <c r="BD427" i="31"/>
  <c r="BD11" i="31" s="1"/>
  <c r="BB112" i="31"/>
  <c r="BB111" i="31"/>
  <c r="BK112" i="31"/>
  <c r="BK111" i="31"/>
  <c r="W49" i="26"/>
  <c r="AL65" i="28"/>
  <c r="BD61" i="28"/>
  <c r="BD13" i="28" s="1"/>
  <c r="BJ99" i="28"/>
  <c r="BJ16" i="28" s="1"/>
  <c r="BJ98" i="28"/>
  <c r="BJ15" i="28" s="1"/>
  <c r="N437" i="31"/>
  <c r="AX427" i="31"/>
  <c r="AX428" i="31"/>
  <c r="AF64" i="31"/>
  <c r="AX59" i="31"/>
  <c r="N425" i="31"/>
  <c r="AX414" i="31"/>
  <c r="BL59" i="31"/>
  <c r="Q422" i="31"/>
  <c r="BA413" i="31"/>
  <c r="BA414" i="31"/>
  <c r="W438" i="31"/>
  <c r="BG428" i="31"/>
  <c r="BG17" i="31" s="1"/>
  <c r="BG427" i="31"/>
  <c r="BG11" i="31" s="1"/>
  <c r="O422" i="31"/>
  <c r="AY414" i="31"/>
  <c r="AY413" i="31"/>
  <c r="U437" i="31"/>
  <c r="BE427" i="31"/>
  <c r="BE11" i="31" s="1"/>
  <c r="BE428" i="31"/>
  <c r="BE17" i="31" s="1"/>
  <c r="AA440" i="31"/>
  <c r="BK427" i="31"/>
  <c r="BK428" i="31"/>
  <c r="Y438" i="31"/>
  <c r="BI427" i="31"/>
  <c r="BI11" i="31" s="1"/>
  <c r="BI428" i="31"/>
  <c r="BI17" i="31" s="1"/>
  <c r="BG98" i="28"/>
  <c r="BG15" i="28" s="1"/>
  <c r="BA99" i="28"/>
  <c r="BA16" i="28" s="1"/>
  <c r="BC98" i="28"/>
  <c r="BC15" i="28" s="1"/>
  <c r="BF200" i="31"/>
  <c r="BL200" i="31"/>
  <c r="BE200" i="31"/>
  <c r="BC200" i="31"/>
  <c r="BI200" i="31"/>
  <c r="BB363" i="31"/>
  <c r="BB59" i="31"/>
  <c r="BI112" i="31"/>
  <c r="BI111" i="31"/>
  <c r="BD112" i="31"/>
  <c r="BD111" i="31"/>
  <c r="AJ505" i="31"/>
  <c r="BB502" i="31"/>
  <c r="BF99" i="28"/>
  <c r="BF16" i="28" s="1"/>
  <c r="BF98" i="28"/>
  <c r="BF15" i="28" s="1"/>
  <c r="N79" i="31"/>
  <c r="AX72" i="31"/>
  <c r="W81" i="31"/>
  <c r="BG72" i="31"/>
  <c r="BG18" i="31" s="1"/>
  <c r="AB426" i="31"/>
  <c r="BL414" i="31"/>
  <c r="BL413" i="31"/>
  <c r="X425" i="31"/>
  <c r="BH413" i="31"/>
  <c r="BH414" i="31"/>
  <c r="T425" i="31"/>
  <c r="BD414" i="31"/>
  <c r="BD413" i="31"/>
  <c r="BG414" i="31"/>
  <c r="BG413" i="31"/>
  <c r="BH112" i="31"/>
  <c r="BH111" i="31"/>
  <c r="AX85" i="31"/>
  <c r="AX84" i="31"/>
  <c r="AX19" i="31" s="1"/>
  <c r="Q67" i="31"/>
  <c r="BA59" i="31"/>
  <c r="O438" i="31"/>
  <c r="AY428" i="31"/>
  <c r="AY17" i="31" s="1"/>
  <c r="AY427" i="31"/>
  <c r="AY11" i="31" s="1"/>
  <c r="P424" i="31"/>
  <c r="AZ413" i="31"/>
  <c r="AZ414" i="31"/>
  <c r="BA200" i="31"/>
  <c r="BB84" i="31"/>
  <c r="BB19" i="31" s="1"/>
  <c r="BB85" i="31"/>
  <c r="V130" i="26"/>
  <c r="BA111" i="31"/>
  <c r="BA21" i="31" s="1"/>
  <c r="BA112" i="31"/>
  <c r="BA20" i="31" s="1"/>
  <c r="AZ112" i="31"/>
  <c r="AZ20" i="31" s="1"/>
  <c r="AZ111" i="31"/>
  <c r="BF111" i="31"/>
  <c r="BF21" i="31" s="1"/>
  <c r="BF112" i="31"/>
  <c r="BH98" i="28"/>
  <c r="BH15" i="28" s="1"/>
  <c r="BH99" i="28"/>
  <c r="BH16" i="28" s="1"/>
  <c r="AH65" i="28"/>
  <c r="AZ61" i="28"/>
  <c r="AZ13" i="28" s="1"/>
  <c r="BI98" i="28"/>
  <c r="BI15" i="28" s="1"/>
  <c r="BI99" i="28"/>
  <c r="BI16" i="28" s="1"/>
  <c r="AX99" i="28"/>
  <c r="AX16" i="28" s="1"/>
  <c r="N106" i="31"/>
  <c r="AX99" i="31"/>
  <c r="AX98" i="31"/>
  <c r="T95" i="31"/>
  <c r="BD84" i="31"/>
  <c r="BD19" i="31" s="1"/>
  <c r="BD85" i="31"/>
  <c r="AL446" i="31"/>
  <c r="AK458" i="31"/>
  <c r="BK414" i="31"/>
  <c r="BK413" i="31"/>
  <c r="Y423" i="31"/>
  <c r="BI413" i="31"/>
  <c r="BI414" i="31"/>
  <c r="Z424" i="31"/>
  <c r="BJ413" i="31"/>
  <c r="BJ414" i="31"/>
  <c r="V425" i="31"/>
  <c r="BF413" i="31"/>
  <c r="BF414" i="31"/>
  <c r="BC414" i="31"/>
  <c r="BC413" i="31"/>
  <c r="AK446" i="31"/>
  <c r="Q439" i="31"/>
  <c r="BA427" i="31"/>
  <c r="BA428" i="31"/>
  <c r="AY200" i="31"/>
  <c r="BD200" i="31"/>
  <c r="BH200" i="31"/>
  <c r="AZ200" i="31"/>
  <c r="BH184" i="28"/>
  <c r="U511" i="29"/>
  <c r="AM512" i="29" s="1"/>
  <c r="U473" i="29"/>
  <c r="AM474" i="29" s="1"/>
  <c r="U485" i="29"/>
  <c r="AM486" i="29" s="1"/>
  <c r="U498" i="29"/>
  <c r="AM499" i="29" s="1"/>
  <c r="S485" i="29"/>
  <c r="AK486" i="29" s="1"/>
  <c r="S498" i="29"/>
  <c r="AK499" i="29" s="1"/>
  <c r="S511" i="29"/>
  <c r="AK512" i="29" s="1"/>
  <c r="S473" i="29"/>
  <c r="AK474" i="29" s="1"/>
  <c r="O485" i="29"/>
  <c r="AG486" i="29" s="1"/>
  <c r="O498" i="29"/>
  <c r="AG499" i="29" s="1"/>
  <c r="O511" i="29"/>
  <c r="AG512" i="29" s="1"/>
  <c r="O473" i="29"/>
  <c r="AG474" i="29" s="1"/>
  <c r="N473" i="29"/>
  <c r="AF474" i="29" s="1"/>
  <c r="N485" i="29"/>
  <c r="AF486" i="29" s="1"/>
  <c r="N498" i="29"/>
  <c r="AF499" i="29" s="1"/>
  <c r="N511" i="29"/>
  <c r="AF512" i="29" s="1"/>
  <c r="AB498" i="29"/>
  <c r="AT499" i="29" s="1"/>
  <c r="AB511" i="29"/>
  <c r="AT512" i="29" s="1"/>
  <c r="AB473" i="29"/>
  <c r="AT474" i="29" s="1"/>
  <c r="AB485" i="29"/>
  <c r="AT486" i="29" s="1"/>
  <c r="Y511" i="29"/>
  <c r="AQ512" i="29" s="1"/>
  <c r="Y473" i="29"/>
  <c r="AQ474" i="29" s="1"/>
  <c r="Y485" i="29"/>
  <c r="AQ486" i="29" s="1"/>
  <c r="Y498" i="29"/>
  <c r="AQ499" i="29" s="1"/>
  <c r="T498" i="29"/>
  <c r="AL499" i="29" s="1"/>
  <c r="T511" i="29"/>
  <c r="AL512" i="29" s="1"/>
  <c r="T473" i="29"/>
  <c r="AL474" i="29" s="1"/>
  <c r="T485" i="29"/>
  <c r="AL486" i="29" s="1"/>
  <c r="AA485" i="29"/>
  <c r="AS486" i="29" s="1"/>
  <c r="AA498" i="29"/>
  <c r="AS499" i="29" s="1"/>
  <c r="AA511" i="29"/>
  <c r="AS512" i="29" s="1"/>
  <c r="AA473" i="29"/>
  <c r="AS474" i="29" s="1"/>
  <c r="Q511" i="29"/>
  <c r="AI512" i="29" s="1"/>
  <c r="Q473" i="29"/>
  <c r="AI474" i="29" s="1"/>
  <c r="Q485" i="29"/>
  <c r="AI486" i="29" s="1"/>
  <c r="Q498" i="29"/>
  <c r="AI499" i="29" s="1"/>
  <c r="W485" i="29"/>
  <c r="AO486" i="29" s="1"/>
  <c r="W498" i="29"/>
  <c r="AO499" i="29" s="1"/>
  <c r="W511" i="29"/>
  <c r="AO512" i="29" s="1"/>
  <c r="W473" i="29"/>
  <c r="AO474" i="29" s="1"/>
  <c r="R473" i="29"/>
  <c r="AJ474" i="29" s="1"/>
  <c r="R485" i="29"/>
  <c r="AJ486" i="29" s="1"/>
  <c r="R498" i="29"/>
  <c r="AJ499" i="29" s="1"/>
  <c r="R511" i="29"/>
  <c r="AJ512" i="29" s="1"/>
  <c r="Z473" i="29"/>
  <c r="AR474" i="29" s="1"/>
  <c r="Z485" i="29"/>
  <c r="AR486" i="29" s="1"/>
  <c r="Z498" i="29"/>
  <c r="AR499" i="29" s="1"/>
  <c r="Z511" i="29"/>
  <c r="AR512" i="29" s="1"/>
  <c r="X498" i="29"/>
  <c r="AP499" i="29" s="1"/>
  <c r="X511" i="29"/>
  <c r="AP512" i="29" s="1"/>
  <c r="X473" i="29"/>
  <c r="AP474" i="29" s="1"/>
  <c r="X485" i="29"/>
  <c r="AP486" i="29" s="1"/>
  <c r="P498" i="29"/>
  <c r="AH499" i="29" s="1"/>
  <c r="P511" i="29"/>
  <c r="AH512" i="29" s="1"/>
  <c r="P473" i="29"/>
  <c r="AH474" i="29" s="1"/>
  <c r="P485" i="29"/>
  <c r="AH486" i="29" s="1"/>
  <c r="V473" i="29"/>
  <c r="AN474" i="29" s="1"/>
  <c r="V485" i="29"/>
  <c r="AN486" i="29" s="1"/>
  <c r="V498" i="29"/>
  <c r="AN499" i="29" s="1"/>
  <c r="V511" i="29"/>
  <c r="AN512" i="29" s="1"/>
  <c r="H83" i="32"/>
  <c r="H41" i="32"/>
  <c r="H62" i="32"/>
  <c r="Y130" i="26"/>
  <c r="AI419" i="31"/>
  <c r="AI446" i="31"/>
  <c r="AL42" i="1"/>
  <c r="AL106" i="1"/>
  <c r="AL28" i="1"/>
  <c r="AL117" i="1"/>
  <c r="AL64" i="1"/>
  <c r="AL81" i="1"/>
  <c r="AL95" i="1"/>
  <c r="AL53" i="1"/>
  <c r="AJ64" i="1"/>
  <c r="AJ81" i="1"/>
  <c r="AJ53" i="1"/>
  <c r="AJ95" i="1"/>
  <c r="AJ42" i="1"/>
  <c r="AJ106" i="1"/>
  <c r="AJ28" i="1"/>
  <c r="AJ117" i="1"/>
  <c r="AH42" i="1"/>
  <c r="AH106" i="1"/>
  <c r="AH28" i="1"/>
  <c r="AH117" i="1"/>
  <c r="AH64" i="1"/>
  <c r="AH53" i="1"/>
  <c r="AH95" i="1"/>
  <c r="AH81" i="1"/>
  <c r="AG53" i="1"/>
  <c r="AG95" i="1"/>
  <c r="AG42" i="1"/>
  <c r="AG106" i="1"/>
  <c r="AG28" i="1"/>
  <c r="AG117" i="1"/>
  <c r="AG64" i="1"/>
  <c r="AG81" i="1"/>
  <c r="AO53" i="1"/>
  <c r="AO95" i="1"/>
  <c r="AO42" i="1"/>
  <c r="AO106" i="1"/>
  <c r="AO28" i="1"/>
  <c r="AO117" i="1"/>
  <c r="AO81" i="1"/>
  <c r="AO64" i="1"/>
  <c r="AE28" i="1"/>
  <c r="AE117" i="1"/>
  <c r="AE64" i="1"/>
  <c r="AE81" i="1"/>
  <c r="AE53" i="1"/>
  <c r="AE106" i="1"/>
  <c r="AE42" i="1"/>
  <c r="AE95" i="1"/>
  <c r="AK53" i="1"/>
  <c r="AK95" i="1"/>
  <c r="AK42" i="1"/>
  <c r="AK106" i="1"/>
  <c r="AK28" i="1"/>
  <c r="AK117" i="1"/>
  <c r="AK81" i="1"/>
  <c r="AK64" i="1"/>
  <c r="AM28" i="1"/>
  <c r="AM117" i="1"/>
  <c r="AM64" i="1"/>
  <c r="AM81" i="1"/>
  <c r="AM53" i="1"/>
  <c r="AM95" i="1"/>
  <c r="AM106" i="1"/>
  <c r="AM42" i="1"/>
  <c r="AS53" i="1"/>
  <c r="AS95" i="1"/>
  <c r="AS42" i="1"/>
  <c r="AS106" i="1"/>
  <c r="AS28" i="1"/>
  <c r="AS117" i="1"/>
  <c r="AS64" i="1"/>
  <c r="AS81" i="1"/>
  <c r="AN64" i="1"/>
  <c r="AN81" i="1"/>
  <c r="AN53" i="1"/>
  <c r="AN95" i="1"/>
  <c r="AN42" i="1"/>
  <c r="AN106" i="1"/>
  <c r="AN117" i="1"/>
  <c r="AN28" i="1"/>
  <c r="Y158" i="26"/>
  <c r="Y118" i="26"/>
  <c r="T49" i="26"/>
  <c r="Y76" i="26"/>
  <c r="Q49" i="26"/>
  <c r="Q62" i="26"/>
  <c r="Q76" i="26"/>
  <c r="P76" i="26"/>
  <c r="I110" i="31"/>
  <c r="AP405" i="31"/>
  <c r="AQ419" i="31"/>
  <c r="AT405" i="31"/>
  <c r="AR405" i="31"/>
  <c r="AO433" i="31"/>
  <c r="AK433" i="31"/>
  <c r="AH433" i="31"/>
  <c r="AQ433" i="31"/>
  <c r="AH458" i="31"/>
  <c r="AP458" i="31"/>
  <c r="AR446" i="31"/>
  <c r="AO405" i="31"/>
  <c r="AR419" i="31"/>
  <c r="AG405" i="31"/>
  <c r="AS405" i="31"/>
  <c r="AK405" i="31"/>
  <c r="AL419" i="31"/>
  <c r="AL405" i="31"/>
  <c r="AN405" i="31"/>
  <c r="AM433" i="31"/>
  <c r="AS433" i="31"/>
  <c r="AG433" i="31"/>
  <c r="AP433" i="31"/>
  <c r="AT458" i="31"/>
  <c r="AG446" i="31"/>
  <c r="AN458" i="31"/>
  <c r="T461" i="31"/>
  <c r="AS458" i="31"/>
  <c r="AR458" i="31"/>
  <c r="AM458" i="31"/>
  <c r="AN446" i="31"/>
  <c r="AQ446" i="31"/>
  <c r="AO419" i="31"/>
  <c r="AG419" i="31"/>
  <c r="AS419" i="31"/>
  <c r="AP419" i="31"/>
  <c r="AH419" i="31"/>
  <c r="AQ405" i="31"/>
  <c r="AN433" i="31"/>
  <c r="AL433" i="31"/>
  <c r="AT446" i="31"/>
  <c r="AM446" i="31"/>
  <c r="AO458" i="31"/>
  <c r="AM405" i="31"/>
  <c r="AK419" i="31"/>
  <c r="AH405" i="31"/>
  <c r="AT419" i="31"/>
  <c r="AN419" i="31"/>
  <c r="AT433" i="31"/>
  <c r="AR433" i="31"/>
  <c r="AP446" i="31"/>
  <c r="AO446" i="31"/>
  <c r="AQ458" i="31"/>
  <c r="AM419" i="31"/>
  <c r="R510" i="31"/>
  <c r="R511" i="31"/>
  <c r="R507" i="31"/>
  <c r="R512" i="31"/>
  <c r="R508" i="31"/>
  <c r="R509" i="31"/>
  <c r="AG458" i="31"/>
  <c r="AH446" i="31"/>
  <c r="S156" i="45"/>
  <c r="N16" i="29" s="1"/>
  <c r="R46" i="29"/>
  <c r="V71" i="5"/>
  <c r="R57" i="29"/>
  <c r="W18" i="31"/>
  <c r="AO513" i="31" s="1"/>
  <c r="N20" i="50" s="1"/>
  <c r="R517" i="31"/>
  <c r="R76" i="29"/>
  <c r="R72" i="29"/>
  <c r="R74" i="29"/>
  <c r="R75" i="29"/>
  <c r="AJ70" i="29"/>
  <c r="AE70" i="29" s="1"/>
  <c r="R71" i="29"/>
  <c r="R73" i="29"/>
  <c r="S17" i="31"/>
  <c r="AK524" i="31" s="1"/>
  <c r="J19" i="50" s="1"/>
  <c r="R530" i="31"/>
  <c r="R447" i="31"/>
  <c r="AJ446" i="31" s="1"/>
  <c r="R406" i="31"/>
  <c r="R420" i="31"/>
  <c r="R459" i="31"/>
  <c r="AJ458" i="31" s="1"/>
  <c r="R216" i="28"/>
  <c r="AF185" i="28"/>
  <c r="R293" i="28"/>
  <c r="R268" i="28"/>
  <c r="R281" i="28"/>
  <c r="R320" i="28"/>
  <c r="R307" i="28"/>
  <c r="R66" i="4"/>
  <c r="R78" i="4"/>
  <c r="V40" i="4"/>
  <c r="V37" i="4"/>
  <c r="V39" i="4"/>
  <c r="V38" i="4"/>
  <c r="V36" i="4"/>
  <c r="V41" i="4"/>
  <c r="X36" i="4"/>
  <c r="X37" i="4"/>
  <c r="X41" i="4"/>
  <c r="X40" i="4"/>
  <c r="X39" i="4"/>
  <c r="X38" i="4"/>
  <c r="Y40" i="4"/>
  <c r="Y38" i="4"/>
  <c r="Y36" i="4"/>
  <c r="Y39" i="4"/>
  <c r="Y37" i="4"/>
  <c r="Y41" i="4"/>
  <c r="AM185" i="28"/>
  <c r="AG185" i="28"/>
  <c r="AH185" i="28"/>
  <c r="U191" i="29"/>
  <c r="AM192" i="29" s="1"/>
  <c r="I126" i="25"/>
  <c r="P118" i="26"/>
  <c r="P37" i="26"/>
  <c r="Y49" i="26"/>
  <c r="Y144" i="26"/>
  <c r="Y90" i="26"/>
  <c r="X62" i="26"/>
  <c r="P62" i="26"/>
  <c r="P144" i="26"/>
  <c r="U49" i="26"/>
  <c r="Q144" i="26"/>
  <c r="P104" i="26"/>
  <c r="Y62" i="26"/>
  <c r="Y37" i="26"/>
  <c r="P130" i="26"/>
  <c r="Q158" i="26"/>
  <c r="Q118" i="26"/>
  <c r="Q130" i="26"/>
  <c r="Q37" i="26"/>
  <c r="Q90" i="26"/>
  <c r="AP201" i="31"/>
  <c r="AM201" i="31"/>
  <c r="AT201" i="31"/>
  <c r="AH201" i="31"/>
  <c r="AQ201" i="31"/>
  <c r="AR201" i="31"/>
  <c r="AO201" i="31"/>
  <c r="AG201" i="31"/>
  <c r="AN201" i="31"/>
  <c r="U38" i="4"/>
  <c r="U40" i="4"/>
  <c r="U39" i="4"/>
  <c r="U37" i="4"/>
  <c r="U41" i="4"/>
  <c r="U36" i="4"/>
  <c r="T41" i="4"/>
  <c r="T39" i="4"/>
  <c r="T37" i="4"/>
  <c r="T36" i="4"/>
  <c r="T38" i="4"/>
  <c r="T40" i="4"/>
  <c r="AJ34" i="4"/>
  <c r="Q38" i="4"/>
  <c r="Q40" i="4"/>
  <c r="Q39" i="4"/>
  <c r="Q37" i="4"/>
  <c r="Q41" i="4"/>
  <c r="Q36" i="4"/>
  <c r="AS34" i="4"/>
  <c r="AS31" i="4" s="1"/>
  <c r="AI34" i="4"/>
  <c r="I83" i="4"/>
  <c r="I40" i="4"/>
  <c r="Z45" i="4"/>
  <c r="AR46" i="4" s="1"/>
  <c r="Z33" i="4"/>
  <c r="AR34" i="4" s="1"/>
  <c r="U76" i="4"/>
  <c r="U33" i="4"/>
  <c r="AM34" i="4" s="1"/>
  <c r="O45" i="4"/>
  <c r="AG46" i="4" s="1"/>
  <c r="O33" i="4"/>
  <c r="AG34" i="4" s="1"/>
  <c r="V76" i="4"/>
  <c r="V33" i="4"/>
  <c r="AN34" i="4" s="1"/>
  <c r="Y45" i="4"/>
  <c r="AQ46" i="4" s="1"/>
  <c r="Y33" i="4"/>
  <c r="AQ34" i="4" s="1"/>
  <c r="AB76" i="4"/>
  <c r="AB33" i="4"/>
  <c r="AT34" i="4" s="1"/>
  <c r="P76" i="4"/>
  <c r="P33" i="4"/>
  <c r="AH34" i="4" s="1"/>
  <c r="X76" i="4"/>
  <c r="X33" i="4"/>
  <c r="AP34" i="4" s="1"/>
  <c r="W45" i="4"/>
  <c r="AO46" i="4" s="1"/>
  <c r="W33" i="4"/>
  <c r="AO34" i="4" s="1"/>
  <c r="AF157" i="31"/>
  <c r="AF89" i="31"/>
  <c r="Q53" i="4"/>
  <c r="N451" i="31"/>
  <c r="AF405" i="31"/>
  <c r="Q52" i="4"/>
  <c r="Q48" i="4"/>
  <c r="Q50" i="4"/>
  <c r="AI46" i="4"/>
  <c r="I57" i="25"/>
  <c r="AF368" i="31"/>
  <c r="T104" i="26"/>
  <c r="U158" i="26"/>
  <c r="AF76" i="31"/>
  <c r="U48" i="4"/>
  <c r="AF380" i="31"/>
  <c r="X49" i="26"/>
  <c r="I112" i="25"/>
  <c r="I138" i="25"/>
  <c r="AI64" i="31"/>
  <c r="T76" i="26"/>
  <c r="T118" i="26"/>
  <c r="X90" i="26"/>
  <c r="X50" i="4"/>
  <c r="Y51" i="4"/>
  <c r="U52" i="4"/>
  <c r="U51" i="4"/>
  <c r="U104" i="26"/>
  <c r="AT64" i="31"/>
  <c r="I152" i="25"/>
  <c r="I98" i="25"/>
  <c r="I45" i="25"/>
  <c r="AQ117" i="31"/>
  <c r="AQ46" i="31" s="1"/>
  <c r="T158" i="26"/>
  <c r="T130" i="26"/>
  <c r="X144" i="26"/>
  <c r="X51" i="4"/>
  <c r="P51" i="4"/>
  <c r="U76" i="26"/>
  <c r="I166" i="25"/>
  <c r="I70" i="25"/>
  <c r="AS65" i="25"/>
  <c r="AI117" i="31"/>
  <c r="W158" i="26"/>
  <c r="AL117" i="31"/>
  <c r="O37" i="26"/>
  <c r="AN117" i="31"/>
  <c r="AN46" i="31" s="1"/>
  <c r="AJ368" i="31"/>
  <c r="AF103" i="31"/>
  <c r="V118" i="26"/>
  <c r="AF433" i="31"/>
  <c r="AK46" i="4"/>
  <c r="AK31" i="4" s="1"/>
  <c r="AS40" i="25"/>
  <c r="AF46" i="4"/>
  <c r="AF31" i="4" s="1"/>
  <c r="AL89" i="31"/>
  <c r="AO76" i="31"/>
  <c r="O76" i="26"/>
  <c r="X49" i="4"/>
  <c r="AF419" i="31"/>
  <c r="W76" i="26"/>
  <c r="AH117" i="31"/>
  <c r="AH46" i="31" s="1"/>
  <c r="AL46" i="4"/>
  <c r="AL31" i="4" s="1"/>
  <c r="Q132" i="28"/>
  <c r="AI130" i="28"/>
  <c r="V123" i="28"/>
  <c r="AN117" i="28"/>
  <c r="X147" i="28"/>
  <c r="AP142" i="28"/>
  <c r="Q67" i="28"/>
  <c r="AI65" i="28"/>
  <c r="S106" i="28"/>
  <c r="AK103" i="28"/>
  <c r="U122" i="28"/>
  <c r="AM117" i="28"/>
  <c r="W144" i="28"/>
  <c r="AO142" i="28"/>
  <c r="T120" i="28"/>
  <c r="AL117" i="28"/>
  <c r="X70" i="28"/>
  <c r="AP65" i="28"/>
  <c r="P145" i="28"/>
  <c r="AH142" i="28"/>
  <c r="Z145" i="28"/>
  <c r="AR142" i="28"/>
  <c r="W70" i="28"/>
  <c r="AO65" i="28"/>
  <c r="AA132" i="28"/>
  <c r="AS130" i="28"/>
  <c r="W124" i="28"/>
  <c r="AO117" i="28"/>
  <c r="V107" i="28"/>
  <c r="AN103" i="28"/>
  <c r="Z136" i="28"/>
  <c r="AR130" i="28"/>
  <c r="Z69" i="28"/>
  <c r="AR65" i="28"/>
  <c r="AA121" i="28"/>
  <c r="AS117" i="28"/>
  <c r="Q124" i="28"/>
  <c r="AI117" i="28"/>
  <c r="T145" i="28"/>
  <c r="AL142" i="28"/>
  <c r="P134" i="28"/>
  <c r="AH130" i="28"/>
  <c r="S72" i="28"/>
  <c r="AK65" i="28"/>
  <c r="P108" i="28"/>
  <c r="AH103" i="28"/>
  <c r="U135" i="28"/>
  <c r="AM130" i="28"/>
  <c r="V135" i="28"/>
  <c r="AN130" i="28"/>
  <c r="N148" i="28"/>
  <c r="AF142" i="28"/>
  <c r="O69" i="28"/>
  <c r="AG65" i="28"/>
  <c r="Q147" i="28"/>
  <c r="AI142" i="28"/>
  <c r="O124" i="28"/>
  <c r="AG117" i="28"/>
  <c r="V147" i="28"/>
  <c r="AN142" i="28"/>
  <c r="S120" i="28"/>
  <c r="AK117" i="28"/>
  <c r="Q109" i="28"/>
  <c r="AI103" i="28"/>
  <c r="Z123" i="28"/>
  <c r="AR117" i="28"/>
  <c r="AB146" i="28"/>
  <c r="AT142" i="28"/>
  <c r="W109" i="28"/>
  <c r="AO103" i="28"/>
  <c r="Y124" i="28"/>
  <c r="AQ117" i="28"/>
  <c r="AA147" i="28"/>
  <c r="AS142" i="28"/>
  <c r="AB69" i="28"/>
  <c r="AT65" i="28"/>
  <c r="U144" i="28"/>
  <c r="AM142" i="28"/>
  <c r="AA67" i="28"/>
  <c r="AS65" i="28"/>
  <c r="Z107" i="28"/>
  <c r="AR103" i="28"/>
  <c r="T137" i="28"/>
  <c r="AL130" i="28"/>
  <c r="U72" i="28"/>
  <c r="AM65" i="28"/>
  <c r="N122" i="28"/>
  <c r="AF117" i="28"/>
  <c r="Y67" i="28"/>
  <c r="AQ65" i="28"/>
  <c r="W136" i="28"/>
  <c r="AO130" i="28"/>
  <c r="X109" i="28"/>
  <c r="AP103" i="28"/>
  <c r="V69" i="28"/>
  <c r="AN65" i="28"/>
  <c r="U110" i="28"/>
  <c r="AM103" i="28"/>
  <c r="Y105" i="28"/>
  <c r="AQ103" i="28"/>
  <c r="Y145" i="28"/>
  <c r="AQ142" i="28"/>
  <c r="N110" i="28"/>
  <c r="AF103" i="28"/>
  <c r="P123" i="28"/>
  <c r="AH117" i="28"/>
  <c r="S147" i="28"/>
  <c r="AK142" i="28"/>
  <c r="S76" i="26"/>
  <c r="T62" i="26"/>
  <c r="T144" i="26"/>
  <c r="X130" i="26"/>
  <c r="U130" i="26"/>
  <c r="U144" i="26"/>
  <c r="U90" i="26"/>
  <c r="T90" i="26"/>
  <c r="X76" i="26"/>
  <c r="X118" i="26"/>
  <c r="AB62" i="26"/>
  <c r="U37" i="26"/>
  <c r="U62" i="26"/>
  <c r="S49" i="26"/>
  <c r="O62" i="26"/>
  <c r="W90" i="26"/>
  <c r="W130" i="26"/>
  <c r="O130" i="26"/>
  <c r="O118" i="26"/>
  <c r="O49" i="26"/>
  <c r="AB90" i="26"/>
  <c r="V104" i="26"/>
  <c r="S158" i="26"/>
  <c r="V62" i="26"/>
  <c r="V49" i="26"/>
  <c r="W118" i="26"/>
  <c r="W62" i="26"/>
  <c r="O90" i="26"/>
  <c r="V37" i="26"/>
  <c r="V158" i="26"/>
  <c r="W37" i="26"/>
  <c r="O144" i="26"/>
  <c r="O158" i="26"/>
  <c r="AB130" i="26"/>
  <c r="V90" i="26"/>
  <c r="V76" i="26"/>
  <c r="W144" i="26"/>
  <c r="AB37" i="26"/>
  <c r="AB49" i="26"/>
  <c r="S37" i="26"/>
  <c r="S104" i="26"/>
  <c r="S62" i="26"/>
  <c r="S90" i="26"/>
  <c r="AB76" i="26"/>
  <c r="AB144" i="26"/>
  <c r="S144" i="26"/>
  <c r="AB118" i="26"/>
  <c r="AB158" i="26"/>
  <c r="S130" i="26"/>
  <c r="I289" i="31"/>
  <c r="R101" i="55"/>
  <c r="AJ102" i="55" s="1"/>
  <c r="AE102" i="55" s="1"/>
  <c r="X158" i="26"/>
  <c r="X104" i="26"/>
  <c r="X48" i="4"/>
  <c r="I124" i="31"/>
  <c r="R114" i="55"/>
  <c r="AJ115" i="55" s="1"/>
  <c r="AE115" i="55" s="1"/>
  <c r="R88" i="55"/>
  <c r="AJ89" i="55" s="1"/>
  <c r="AE89" i="55" s="1"/>
  <c r="R48" i="55"/>
  <c r="AJ49" i="55" s="1"/>
  <c r="AE49" i="55" s="1"/>
  <c r="N386" i="31"/>
  <c r="R152" i="55"/>
  <c r="AJ153" i="55" s="1"/>
  <c r="AE153" i="55" s="1"/>
  <c r="R36" i="55"/>
  <c r="R126" i="55"/>
  <c r="AJ127" i="55" s="1"/>
  <c r="AE127" i="55" s="1"/>
  <c r="R139" i="55"/>
  <c r="AJ140" i="55" s="1"/>
  <c r="AE140" i="55" s="1"/>
  <c r="R61" i="55"/>
  <c r="AJ62" i="55" s="1"/>
  <c r="AE62" i="55" s="1"/>
  <c r="R75" i="55"/>
  <c r="AJ76" i="55" s="1"/>
  <c r="AE76" i="55" s="1"/>
  <c r="H74" i="1"/>
  <c r="H127" i="1"/>
  <c r="N67" i="31"/>
  <c r="R94" i="29"/>
  <c r="H102" i="45"/>
  <c r="R146" i="25"/>
  <c r="R132" i="25"/>
  <c r="R135" i="25" s="1"/>
  <c r="AJ327" i="29"/>
  <c r="AE327" i="29" s="1"/>
  <c r="AJ339" i="29"/>
  <c r="AE339" i="29" s="1"/>
  <c r="H146" i="45"/>
  <c r="H38" i="45"/>
  <c r="S38" i="45"/>
  <c r="O102" i="35"/>
  <c r="V48" i="4"/>
  <c r="V53" i="4"/>
  <c r="X53" i="4"/>
  <c r="Q51" i="4"/>
  <c r="R120" i="25"/>
  <c r="R64" i="25"/>
  <c r="R69" i="25" s="1"/>
  <c r="R415" i="29"/>
  <c r="R106" i="25"/>
  <c r="N38" i="25"/>
  <c r="AJ288" i="29"/>
  <c r="AE288" i="29" s="1"/>
  <c r="AJ238" i="29"/>
  <c r="H118" i="45"/>
  <c r="AJ314" i="29"/>
  <c r="AE314" i="29" s="1"/>
  <c r="H181" i="45"/>
  <c r="S181" i="45"/>
  <c r="F102" i="35"/>
  <c r="N102" i="35"/>
  <c r="R160" i="25"/>
  <c r="R165" i="25" s="1"/>
  <c r="H54" i="45"/>
  <c r="N63" i="25"/>
  <c r="AJ263" i="29"/>
  <c r="AE263" i="29" s="1"/>
  <c r="R223" i="29"/>
  <c r="R78" i="25"/>
  <c r="R82" i="25" s="1"/>
  <c r="R39" i="25"/>
  <c r="R45" i="25" s="1"/>
  <c r="H22" i="45"/>
  <c r="AJ275" i="29"/>
  <c r="AE275" i="29" s="1"/>
  <c r="AJ365" i="29"/>
  <c r="AE365" i="29" s="1"/>
  <c r="AJ301" i="29"/>
  <c r="AE301" i="29" s="1"/>
  <c r="AJ352" i="29"/>
  <c r="AE352" i="29" s="1"/>
  <c r="G102" i="35"/>
  <c r="H134" i="45"/>
  <c r="V52" i="4"/>
  <c r="R212" i="29"/>
  <c r="R92" i="25"/>
  <c r="H70" i="45"/>
  <c r="S70" i="45"/>
  <c r="R51" i="25"/>
  <c r="R52" i="25" s="1"/>
  <c r="H161" i="45"/>
  <c r="S161" i="45"/>
  <c r="H86" i="45"/>
  <c r="S86" i="45"/>
  <c r="I523" i="31"/>
  <c r="I536" i="31"/>
  <c r="I453" i="31"/>
  <c r="I479" i="31"/>
  <c r="I465" i="31"/>
  <c r="I387" i="31"/>
  <c r="I492" i="31"/>
  <c r="J102" i="35"/>
  <c r="Z49" i="4"/>
  <c r="Z48" i="4"/>
  <c r="Z52" i="4"/>
  <c r="Y50" i="4"/>
  <c r="W50" i="4"/>
  <c r="V50" i="4"/>
  <c r="W49" i="4"/>
  <c r="Y48" i="4"/>
  <c r="V51" i="4"/>
  <c r="R132" i="31"/>
  <c r="R434" i="31"/>
  <c r="R486" i="31"/>
  <c r="R393" i="31"/>
  <c r="R322" i="31"/>
  <c r="AB52" i="4"/>
  <c r="AB53" i="4"/>
  <c r="AB51" i="4"/>
  <c r="AB50" i="4"/>
  <c r="S140" i="35"/>
  <c r="R244" i="31"/>
  <c r="AJ243" i="31" s="1"/>
  <c r="AE243" i="31" s="1"/>
  <c r="R206" i="31"/>
  <c r="H118" i="35"/>
  <c r="P50" i="4"/>
  <c r="P48" i="4"/>
  <c r="P49" i="4"/>
  <c r="P52" i="4"/>
  <c r="AB118" i="31"/>
  <c r="R102" i="35"/>
  <c r="U118" i="31"/>
  <c r="K102" i="35"/>
  <c r="Z355" i="31"/>
  <c r="AR354" i="31" s="1"/>
  <c r="P134" i="35"/>
  <c r="T355" i="31"/>
  <c r="AL354" i="31" s="1"/>
  <c r="J134" i="35"/>
  <c r="P355" i="31"/>
  <c r="AH354" i="31" s="1"/>
  <c r="F134" i="35"/>
  <c r="AB355" i="31"/>
  <c r="AT354" i="31" s="1"/>
  <c r="R134" i="35"/>
  <c r="H86" i="35"/>
  <c r="I102" i="35"/>
  <c r="W48" i="4"/>
  <c r="W53" i="4"/>
  <c r="W51" i="4"/>
  <c r="Y53" i="4"/>
  <c r="Y49" i="4"/>
  <c r="Q102" i="35"/>
  <c r="R172" i="31"/>
  <c r="R270" i="31"/>
  <c r="AJ269" i="31" s="1"/>
  <c r="AE269" i="31" s="1"/>
  <c r="R335" i="31"/>
  <c r="AJ334" i="31" s="1"/>
  <c r="AE334" i="31" s="1"/>
  <c r="T53" i="4"/>
  <c r="T52" i="4"/>
  <c r="T50" i="4"/>
  <c r="T48" i="4"/>
  <c r="R78" i="28"/>
  <c r="R104" i="31"/>
  <c r="H102" i="35"/>
  <c r="R104" i="28"/>
  <c r="AB48" i="4"/>
  <c r="T51" i="4"/>
  <c r="Z118" i="31"/>
  <c r="P102" i="35"/>
  <c r="W118" i="31"/>
  <c r="M102" i="35"/>
  <c r="R355" i="31"/>
  <c r="AJ354" i="31" s="1"/>
  <c r="H134" i="35"/>
  <c r="AA355" i="31"/>
  <c r="AS354" i="31" s="1"/>
  <c r="Q134" i="35"/>
  <c r="V355" i="31"/>
  <c r="AN354" i="31" s="1"/>
  <c r="L134" i="35"/>
  <c r="Y355" i="31"/>
  <c r="AQ354" i="31" s="1"/>
  <c r="O134" i="35"/>
  <c r="R254" i="28"/>
  <c r="H38" i="35"/>
  <c r="U18" i="31"/>
  <c r="AM513" i="31" s="1"/>
  <c r="L20" i="50" s="1"/>
  <c r="T18" i="31"/>
  <c r="AL513" i="31" s="1"/>
  <c r="K20" i="50" s="1"/>
  <c r="P18" i="31"/>
  <c r="AH513" i="31" s="1"/>
  <c r="G20" i="50" s="1"/>
  <c r="N18" i="31"/>
  <c r="AF513" i="31" s="1"/>
  <c r="E20" i="50" s="1"/>
  <c r="Y18" i="31"/>
  <c r="AQ513" i="31" s="1"/>
  <c r="P20" i="50" s="1"/>
  <c r="X18" i="31"/>
  <c r="AP513" i="31" s="1"/>
  <c r="O20" i="50" s="1"/>
  <c r="N382" i="31"/>
  <c r="N387" i="31"/>
  <c r="H181" i="35"/>
  <c r="S181" i="35"/>
  <c r="R54" i="28"/>
  <c r="Z50" i="4"/>
  <c r="U50" i="4"/>
  <c r="W355" i="31"/>
  <c r="AO354" i="31" s="1"/>
  <c r="M134" i="35"/>
  <c r="X355" i="31"/>
  <c r="AP354" i="31" s="1"/>
  <c r="N134" i="35"/>
  <c r="H161" i="35"/>
  <c r="S161" i="35"/>
  <c r="R228" i="28"/>
  <c r="U53" i="4"/>
  <c r="R257" i="31"/>
  <c r="R232" i="31"/>
  <c r="AJ231" i="31" s="1"/>
  <c r="AE231" i="31" s="1"/>
  <c r="R308" i="31"/>
  <c r="R296" i="31"/>
  <c r="AJ295" i="31" s="1"/>
  <c r="AE295" i="31" s="1"/>
  <c r="R473" i="31"/>
  <c r="Z51" i="4"/>
  <c r="Z53" i="4"/>
  <c r="U355" i="31"/>
  <c r="AM354" i="31" s="1"/>
  <c r="K134" i="35"/>
  <c r="Q355" i="31"/>
  <c r="AI354" i="31" s="1"/>
  <c r="G134" i="35"/>
  <c r="R241" i="28"/>
  <c r="R283" i="31"/>
  <c r="AJ282" i="31" s="1"/>
  <c r="AE282" i="31" s="1"/>
  <c r="R220" i="31"/>
  <c r="BB215" i="31" s="1"/>
  <c r="AW215" i="31" s="1"/>
  <c r="H156" i="35"/>
  <c r="S156" i="35"/>
  <c r="R186" i="31"/>
  <c r="S355" i="31"/>
  <c r="AK354" i="31" s="1"/>
  <c r="I134" i="35"/>
  <c r="L102" i="35"/>
  <c r="H54" i="35"/>
  <c r="S176" i="35"/>
  <c r="N383" i="31"/>
  <c r="N385" i="31"/>
  <c r="O355" i="31"/>
  <c r="E134" i="35"/>
  <c r="O118" i="31"/>
  <c r="E102" i="35"/>
  <c r="N118" i="31"/>
  <c r="Y109" i="28"/>
  <c r="U106" i="28"/>
  <c r="U108" i="28"/>
  <c r="N106" i="28"/>
  <c r="N105" i="28"/>
  <c r="Y108" i="28"/>
  <c r="N107" i="28"/>
  <c r="X107" i="28"/>
  <c r="X110" i="28"/>
  <c r="Y106" i="28"/>
  <c r="Y110" i="28"/>
  <c r="Y107" i="28"/>
  <c r="U109" i="28"/>
  <c r="S105" i="28"/>
  <c r="P109" i="28"/>
  <c r="P110" i="28"/>
  <c r="P107" i="28"/>
  <c r="Q107" i="28"/>
  <c r="V105" i="28"/>
  <c r="Q105" i="28"/>
  <c r="W107" i="28"/>
  <c r="Q108" i="28"/>
  <c r="W110" i="28"/>
  <c r="V106" i="28"/>
  <c r="Z109" i="28"/>
  <c r="W108" i="28"/>
  <c r="V108" i="28"/>
  <c r="R157" i="28"/>
  <c r="AJ156" i="28" s="1"/>
  <c r="R170" i="28"/>
  <c r="AJ169" i="28" s="1"/>
  <c r="AE169" i="28" s="1"/>
  <c r="R131" i="28"/>
  <c r="R118" i="28"/>
  <c r="R204" i="28"/>
  <c r="S109" i="28"/>
  <c r="W106" i="28"/>
  <c r="X105" i="28"/>
  <c r="S110" i="28"/>
  <c r="Z108" i="28"/>
  <c r="N108" i="28"/>
  <c r="V110" i="28"/>
  <c r="Z106" i="28"/>
  <c r="N109" i="28"/>
  <c r="V109" i="28"/>
  <c r="U105" i="28"/>
  <c r="P105" i="28"/>
  <c r="X106" i="28"/>
  <c r="W105" i="28"/>
  <c r="Z110" i="28"/>
  <c r="R66" i="28"/>
  <c r="BB61" i="28" s="1"/>
  <c r="R143" i="28"/>
  <c r="P106" i="28"/>
  <c r="X108" i="28"/>
  <c r="S107" i="28"/>
  <c r="S108" i="28"/>
  <c r="Q106" i="28"/>
  <c r="Q110" i="28"/>
  <c r="Z105" i="28"/>
  <c r="U107" i="28"/>
  <c r="I162" i="28"/>
  <c r="I325" i="28"/>
  <c r="I273" i="28"/>
  <c r="I221" i="28"/>
  <c r="I312" i="28"/>
  <c r="I298" i="28"/>
  <c r="I175" i="28"/>
  <c r="I286" i="28"/>
  <c r="H156" i="45"/>
  <c r="H146" i="35"/>
  <c r="R90" i="25"/>
  <c r="P45" i="4"/>
  <c r="Y49" i="25"/>
  <c r="N52" i="4"/>
  <c r="N53" i="4"/>
  <c r="S88" i="31"/>
  <c r="AK89" i="31" s="1"/>
  <c r="O49" i="25"/>
  <c r="U409" i="31"/>
  <c r="S144" i="31"/>
  <c r="AK145" i="31" s="1"/>
  <c r="S130" i="31"/>
  <c r="AK131" i="31" s="1"/>
  <c r="S95" i="31"/>
  <c r="N436" i="31"/>
  <c r="S96" i="31"/>
  <c r="W411" i="31"/>
  <c r="V68" i="28"/>
  <c r="Y70" i="28"/>
  <c r="Z95" i="31"/>
  <c r="X94" i="31"/>
  <c r="AB407" i="31"/>
  <c r="Z148" i="28"/>
  <c r="U124" i="28"/>
  <c r="W119" i="28"/>
  <c r="W147" i="28"/>
  <c r="Z124" i="28"/>
  <c r="W123" i="28"/>
  <c r="U62" i="25"/>
  <c r="AM65" i="25" s="1"/>
  <c r="V158" i="25"/>
  <c r="W104" i="25"/>
  <c r="Y160" i="31"/>
  <c r="AB67" i="28"/>
  <c r="U68" i="28"/>
  <c r="AB71" i="28"/>
  <c r="P147" i="28"/>
  <c r="V162" i="31"/>
  <c r="W412" i="31"/>
  <c r="P148" i="28"/>
  <c r="S94" i="31"/>
  <c r="X440" i="31"/>
  <c r="X421" i="31"/>
  <c r="T409" i="31"/>
  <c r="Z134" i="28"/>
  <c r="Z462" i="31"/>
  <c r="P130" i="25"/>
  <c r="U118" i="25"/>
  <c r="R49" i="25"/>
  <c r="AB49" i="25"/>
  <c r="P144" i="25"/>
  <c r="S144" i="25"/>
  <c r="Y158" i="25"/>
  <c r="R158" i="25"/>
  <c r="S90" i="25"/>
  <c r="AK93" i="25" s="1"/>
  <c r="O90" i="25"/>
  <c r="AG93" i="25" s="1"/>
  <c r="S49" i="25"/>
  <c r="Z118" i="25"/>
  <c r="Z130" i="25"/>
  <c r="R130" i="25"/>
  <c r="S37" i="25"/>
  <c r="AK40" i="25" s="1"/>
  <c r="AB62" i="25"/>
  <c r="AT65" i="25" s="1"/>
  <c r="Z49" i="25"/>
  <c r="Z158" i="25"/>
  <c r="AB90" i="25"/>
  <c r="AT93" i="25" s="1"/>
  <c r="AB158" i="25"/>
  <c r="O144" i="25"/>
  <c r="AB76" i="25"/>
  <c r="T104" i="25"/>
  <c r="X158" i="25"/>
  <c r="X76" i="25"/>
  <c r="U130" i="25"/>
  <c r="U104" i="25"/>
  <c r="P104" i="25"/>
  <c r="P62" i="25"/>
  <c r="AH65" i="25" s="1"/>
  <c r="Q49" i="25"/>
  <c r="Z104" i="25"/>
  <c r="AB37" i="25"/>
  <c r="AT40" i="25" s="1"/>
  <c r="P118" i="25"/>
  <c r="X130" i="25"/>
  <c r="X90" i="25"/>
  <c r="AP93" i="25" s="1"/>
  <c r="U90" i="25"/>
  <c r="AM93" i="25" s="1"/>
  <c r="U37" i="25"/>
  <c r="AM40" i="25" s="1"/>
  <c r="P37" i="25"/>
  <c r="AH40" i="25" s="1"/>
  <c r="W158" i="25"/>
  <c r="V90" i="25"/>
  <c r="AN93" i="25" s="1"/>
  <c r="X49" i="25"/>
  <c r="X37" i="25"/>
  <c r="AP40" i="25" s="1"/>
  <c r="X62" i="25"/>
  <c r="AP65" i="25" s="1"/>
  <c r="X144" i="25"/>
  <c r="Q130" i="25"/>
  <c r="U76" i="25"/>
  <c r="P76" i="25"/>
  <c r="P90" i="25"/>
  <c r="AH93" i="25" s="1"/>
  <c r="AA102" i="31"/>
  <c r="AS103" i="31" s="1"/>
  <c r="V76" i="25"/>
  <c r="Q158" i="25"/>
  <c r="AA63" i="31"/>
  <c r="AS64" i="31" s="1"/>
  <c r="X104" i="25"/>
  <c r="X118" i="25"/>
  <c r="Q37" i="25"/>
  <c r="AI40" i="25" s="1"/>
  <c r="U49" i="25"/>
  <c r="U158" i="25"/>
  <c r="P49" i="25"/>
  <c r="AA170" i="31"/>
  <c r="AS171" i="31" s="1"/>
  <c r="S63" i="31"/>
  <c r="AK64" i="31" s="1"/>
  <c r="Y118" i="25"/>
  <c r="S49" i="31"/>
  <c r="AK50" i="31" s="1"/>
  <c r="S102" i="31"/>
  <c r="AK103" i="31" s="1"/>
  <c r="S116" i="31"/>
  <c r="AK117" i="31" s="1"/>
  <c r="V62" i="25"/>
  <c r="AN65" i="25" s="1"/>
  <c r="Y62" i="25"/>
  <c r="AQ65" i="25" s="1"/>
  <c r="Y37" i="25"/>
  <c r="AQ40" i="25" s="1"/>
  <c r="Y144" i="25"/>
  <c r="Y104" i="25"/>
  <c r="Q62" i="25"/>
  <c r="AI65" i="25" s="1"/>
  <c r="Q76" i="25"/>
  <c r="T49" i="25"/>
  <c r="T144" i="25"/>
  <c r="O62" i="25"/>
  <c r="AG65" i="25" s="1"/>
  <c r="O76" i="25"/>
  <c r="T76" i="25"/>
  <c r="T37" i="25"/>
  <c r="AL40" i="25" s="1"/>
  <c r="AA144" i="31"/>
  <c r="AS145" i="31" s="1"/>
  <c r="S170" i="31"/>
  <c r="AK171" i="31" s="1"/>
  <c r="S75" i="31"/>
  <c r="AK76" i="31" s="1"/>
  <c r="T62" i="25"/>
  <c r="AL65" i="25" s="1"/>
  <c r="O37" i="25"/>
  <c r="AG40" i="25" s="1"/>
  <c r="O104" i="25"/>
  <c r="O130" i="25"/>
  <c r="S156" i="31"/>
  <c r="AK157" i="31" s="1"/>
  <c r="AA156" i="31"/>
  <c r="AS157" i="31" s="1"/>
  <c r="V130" i="25"/>
  <c r="V104" i="25"/>
  <c r="Y76" i="25"/>
  <c r="Y90" i="25"/>
  <c r="AQ93" i="25" s="1"/>
  <c r="Y130" i="25"/>
  <c r="T130" i="25"/>
  <c r="T90" i="25"/>
  <c r="AL93" i="25" s="1"/>
  <c r="T118" i="25"/>
  <c r="O158" i="25"/>
  <c r="AA130" i="31"/>
  <c r="AS131" i="31" s="1"/>
  <c r="U88" i="29"/>
  <c r="AM89" i="29" s="1"/>
  <c r="AA75" i="31"/>
  <c r="AS76" i="31" s="1"/>
  <c r="AA88" i="31"/>
  <c r="AS89" i="31" s="1"/>
  <c r="V144" i="25"/>
  <c r="V49" i="25"/>
  <c r="V37" i="25"/>
  <c r="AN40" i="25" s="1"/>
  <c r="Q104" i="25"/>
  <c r="Q118" i="25"/>
  <c r="Z37" i="25"/>
  <c r="AR40" i="25" s="1"/>
  <c r="Z90" i="25"/>
  <c r="AR93" i="25" s="1"/>
  <c r="AB118" i="25"/>
  <c r="AB104" i="25"/>
  <c r="R62" i="25"/>
  <c r="R37" i="25"/>
  <c r="R104" i="25"/>
  <c r="S76" i="25"/>
  <c r="S62" i="25"/>
  <c r="AK65" i="25" s="1"/>
  <c r="U204" i="29"/>
  <c r="AM205" i="29" s="1"/>
  <c r="AA116" i="31"/>
  <c r="AS117" i="31" s="1"/>
  <c r="V118" i="25"/>
  <c r="Q90" i="25"/>
  <c r="AI93" i="25" s="1"/>
  <c r="Z62" i="25"/>
  <c r="AR65" i="25" s="1"/>
  <c r="Z76" i="25"/>
  <c r="W62" i="25"/>
  <c r="AO65" i="25" s="1"/>
  <c r="R144" i="25"/>
  <c r="R118" i="25"/>
  <c r="S158" i="25"/>
  <c r="AB144" i="25"/>
  <c r="S118" i="25"/>
  <c r="S104" i="25"/>
  <c r="AA49" i="31"/>
  <c r="AS50" i="31" s="1"/>
  <c r="Y23" i="29"/>
  <c r="Y191" i="29" s="1"/>
  <c r="AQ192" i="29" s="1"/>
  <c r="Y17" i="28"/>
  <c r="Y214" i="28" s="1"/>
  <c r="AQ215" i="28" s="1"/>
  <c r="AB23" i="29"/>
  <c r="AB204" i="29" s="1"/>
  <c r="AT205" i="29" s="1"/>
  <c r="AB17" i="28"/>
  <c r="AB214" i="28" s="1"/>
  <c r="AT215" i="28" s="1"/>
  <c r="W37" i="25"/>
  <c r="AO40" i="25" s="1"/>
  <c r="W118" i="25"/>
  <c r="W130" i="25"/>
  <c r="T23" i="29"/>
  <c r="T204" i="29" s="1"/>
  <c r="AL205" i="29" s="1"/>
  <c r="T17" i="28"/>
  <c r="T214" i="28" s="1"/>
  <c r="AL215" i="28" s="1"/>
  <c r="U166" i="29"/>
  <c r="AM167" i="29" s="1"/>
  <c r="U179" i="29"/>
  <c r="AM180" i="29" s="1"/>
  <c r="U113" i="29"/>
  <c r="AM114" i="29" s="1"/>
  <c r="P23" i="29"/>
  <c r="R23" i="29"/>
  <c r="R101" i="29" s="1"/>
  <c r="AJ102" i="29" s="1"/>
  <c r="R17" i="28"/>
  <c r="R214" i="28" s="1"/>
  <c r="W90" i="25"/>
  <c r="AO93" i="25" s="1"/>
  <c r="Q23" i="29"/>
  <c r="Q179" i="29" s="1"/>
  <c r="AI180" i="29" s="1"/>
  <c r="Q17" i="28"/>
  <c r="Q214" i="28" s="1"/>
  <c r="AI215" i="28" s="1"/>
  <c r="X23" i="29"/>
  <c r="X166" i="29" s="1"/>
  <c r="AP167" i="29" s="1"/>
  <c r="X17" i="28"/>
  <c r="X214" i="28" s="1"/>
  <c r="AP215" i="28" s="1"/>
  <c r="U126" i="29"/>
  <c r="AM127" i="29" s="1"/>
  <c r="U153" i="29"/>
  <c r="AM154" i="29" s="1"/>
  <c r="O23" i="29"/>
  <c r="V23" i="29"/>
  <c r="V153" i="29" s="1"/>
  <c r="AN154" i="29" s="1"/>
  <c r="V17" i="28"/>
  <c r="V214" i="28" s="1"/>
  <c r="AN215" i="28" s="1"/>
  <c r="AA23" i="29"/>
  <c r="AA217" i="29" s="1"/>
  <c r="AS218" i="29" s="1"/>
  <c r="AA17" i="28"/>
  <c r="AA214" i="28" s="1"/>
  <c r="AS215" i="28" s="1"/>
  <c r="R102" i="31"/>
  <c r="R63" i="31"/>
  <c r="AJ64" i="31" s="1"/>
  <c r="R170" i="31"/>
  <c r="R144" i="31"/>
  <c r="AJ145" i="31" s="1"/>
  <c r="R116" i="31"/>
  <c r="AJ117" i="31" s="1"/>
  <c r="R130" i="31"/>
  <c r="R49" i="31"/>
  <c r="AJ50" i="31" s="1"/>
  <c r="R156" i="31"/>
  <c r="AJ157" i="31" s="1"/>
  <c r="R184" i="31"/>
  <c r="R88" i="31"/>
  <c r="AJ89" i="31" s="1"/>
  <c r="R75" i="31"/>
  <c r="AJ76" i="31" s="1"/>
  <c r="X170" i="31"/>
  <c r="AP171" i="31" s="1"/>
  <c r="X88" i="31"/>
  <c r="AP89" i="31" s="1"/>
  <c r="X184" i="31"/>
  <c r="AP185" i="31" s="1"/>
  <c r="X49" i="31"/>
  <c r="AP50" i="31" s="1"/>
  <c r="X156" i="31"/>
  <c r="AP157" i="31" s="1"/>
  <c r="X144" i="31"/>
  <c r="AP145" i="31" s="1"/>
  <c r="X63" i="31"/>
  <c r="AP64" i="31" s="1"/>
  <c r="X130" i="31"/>
  <c r="AP131" i="31" s="1"/>
  <c r="X75" i="31"/>
  <c r="AP76" i="31" s="1"/>
  <c r="X102" i="31"/>
  <c r="AP103" i="31" s="1"/>
  <c r="X116" i="31"/>
  <c r="AP117" i="31" s="1"/>
  <c r="Z23" i="29"/>
  <c r="Z113" i="29" s="1"/>
  <c r="AR114" i="29" s="1"/>
  <c r="Z17" i="28"/>
  <c r="Z214" i="28" s="1"/>
  <c r="AR215" i="28" s="1"/>
  <c r="W76" i="25"/>
  <c r="W144" i="25"/>
  <c r="S23" i="29"/>
  <c r="S179" i="29" s="1"/>
  <c r="AK180" i="29" s="1"/>
  <c r="S17" i="28"/>
  <c r="S214" i="28" s="1"/>
  <c r="AK215" i="28" s="1"/>
  <c r="W23" i="29"/>
  <c r="W140" i="29" s="1"/>
  <c r="AO141" i="29" s="1"/>
  <c r="W17" i="28"/>
  <c r="W214" i="28" s="1"/>
  <c r="AO215" i="28" s="1"/>
  <c r="U101" i="29"/>
  <c r="AM102" i="29" s="1"/>
  <c r="U140" i="29"/>
  <c r="AM141" i="29" s="1"/>
  <c r="Z434" i="29"/>
  <c r="AR435" i="29" s="1"/>
  <c r="Z397" i="29"/>
  <c r="AR398" i="29" s="1"/>
  <c r="Z460" i="29"/>
  <c r="AR461" i="29" s="1"/>
  <c r="Z421" i="29"/>
  <c r="AR422" i="29" s="1"/>
  <c r="Z384" i="29"/>
  <c r="AR385" i="29" s="1"/>
  <c r="Z447" i="29"/>
  <c r="AR448" i="29" s="1"/>
  <c r="Z409" i="29"/>
  <c r="AR410" i="29" s="1"/>
  <c r="V434" i="29"/>
  <c r="AN435" i="29" s="1"/>
  <c r="V397" i="29"/>
  <c r="AN398" i="29" s="1"/>
  <c r="V421" i="29"/>
  <c r="AN422" i="29" s="1"/>
  <c r="V384" i="29"/>
  <c r="AN385" i="29" s="1"/>
  <c r="V409" i="29"/>
  <c r="AN410" i="29" s="1"/>
  <c r="V460" i="29"/>
  <c r="AN461" i="29" s="1"/>
  <c r="V447" i="29"/>
  <c r="AN448" i="29" s="1"/>
  <c r="W76" i="4"/>
  <c r="N434" i="29"/>
  <c r="AF435" i="29" s="1"/>
  <c r="N397" i="29"/>
  <c r="AF398" i="29" s="1"/>
  <c r="N447" i="29"/>
  <c r="AF448" i="29" s="1"/>
  <c r="N460" i="29"/>
  <c r="AF461" i="29" s="1"/>
  <c r="N421" i="29"/>
  <c r="AF422" i="29" s="1"/>
  <c r="N409" i="29"/>
  <c r="AF410" i="29" s="1"/>
  <c r="N384" i="29"/>
  <c r="AF385" i="29" s="1"/>
  <c r="T409" i="29"/>
  <c r="AL410" i="29" s="1"/>
  <c r="T460" i="29"/>
  <c r="AL461" i="29" s="1"/>
  <c r="T434" i="29"/>
  <c r="AL435" i="29" s="1"/>
  <c r="T397" i="29"/>
  <c r="AL398" i="29" s="1"/>
  <c r="T447" i="29"/>
  <c r="AL448" i="29" s="1"/>
  <c r="T384" i="29"/>
  <c r="AL385" i="29" s="1"/>
  <c r="T421" i="29"/>
  <c r="AL422" i="29" s="1"/>
  <c r="AB409" i="29"/>
  <c r="AT410" i="29" s="1"/>
  <c r="AB421" i="29"/>
  <c r="AT422" i="29" s="1"/>
  <c r="AB384" i="29"/>
  <c r="AT385" i="29" s="1"/>
  <c r="AB447" i="29"/>
  <c r="AT448" i="29" s="1"/>
  <c r="AB397" i="29"/>
  <c r="AT398" i="29" s="1"/>
  <c r="AB460" i="29"/>
  <c r="AT461" i="29" s="1"/>
  <c r="AB434" i="29"/>
  <c r="AT435" i="29" s="1"/>
  <c r="AA460" i="29"/>
  <c r="AS461" i="29" s="1"/>
  <c r="AA421" i="29"/>
  <c r="AS422" i="29" s="1"/>
  <c r="AA384" i="29"/>
  <c r="AS385" i="29" s="1"/>
  <c r="AA434" i="29"/>
  <c r="AS435" i="29" s="1"/>
  <c r="AA397" i="29"/>
  <c r="AS398" i="29" s="1"/>
  <c r="AA409" i="29"/>
  <c r="AS410" i="29" s="1"/>
  <c r="AA447" i="29"/>
  <c r="AS448" i="29" s="1"/>
  <c r="N153" i="29"/>
  <c r="AF154" i="29" s="1"/>
  <c r="N88" i="29"/>
  <c r="AF89" i="29" s="1"/>
  <c r="N191" i="29"/>
  <c r="AF192" i="29" s="1"/>
  <c r="N217" i="29"/>
  <c r="AF218" i="29" s="1"/>
  <c r="N113" i="29"/>
  <c r="AF114" i="29" s="1"/>
  <c r="N204" i="29"/>
  <c r="AF205" i="29" s="1"/>
  <c r="N179" i="29"/>
  <c r="AF180" i="29" s="1"/>
  <c r="N140" i="29"/>
  <c r="AF141" i="29" s="1"/>
  <c r="N126" i="29"/>
  <c r="AF127" i="29" s="1"/>
  <c r="N166" i="29"/>
  <c r="AF167" i="29" s="1"/>
  <c r="N101" i="29"/>
  <c r="AF102" i="29" s="1"/>
  <c r="Q447" i="29"/>
  <c r="AI448" i="29" s="1"/>
  <c r="Q421" i="29"/>
  <c r="AI422" i="29" s="1"/>
  <c r="Q384" i="29"/>
  <c r="AI385" i="29" s="1"/>
  <c r="Q409" i="29"/>
  <c r="AI410" i="29" s="1"/>
  <c r="Q397" i="29"/>
  <c r="AI398" i="29" s="1"/>
  <c r="Q460" i="29"/>
  <c r="AI461" i="29" s="1"/>
  <c r="Q434" i="29"/>
  <c r="AI435" i="29" s="1"/>
  <c r="W460" i="29"/>
  <c r="AO461" i="29" s="1"/>
  <c r="W421" i="29"/>
  <c r="AO422" i="29" s="1"/>
  <c r="W384" i="29"/>
  <c r="AO385" i="29" s="1"/>
  <c r="W409" i="29"/>
  <c r="AO410" i="29" s="1"/>
  <c r="W447" i="29"/>
  <c r="AO448" i="29" s="1"/>
  <c r="W397" i="29"/>
  <c r="AO398" i="29" s="1"/>
  <c r="W434" i="29"/>
  <c r="AO435" i="29" s="1"/>
  <c r="R434" i="29"/>
  <c r="R397" i="29"/>
  <c r="R409" i="29"/>
  <c r="R447" i="29"/>
  <c r="R460" i="29"/>
  <c r="R384" i="29"/>
  <c r="AJ385" i="29" s="1"/>
  <c r="R421" i="29"/>
  <c r="X409" i="29"/>
  <c r="AP410" i="29" s="1"/>
  <c r="X447" i="29"/>
  <c r="AP448" i="29" s="1"/>
  <c r="X384" i="29"/>
  <c r="AP385" i="29" s="1"/>
  <c r="X421" i="29"/>
  <c r="AP422" i="29" s="1"/>
  <c r="X397" i="29"/>
  <c r="AP398" i="29" s="1"/>
  <c r="X460" i="29"/>
  <c r="AP461" i="29" s="1"/>
  <c r="X434" i="29"/>
  <c r="AP435" i="29" s="1"/>
  <c r="P409" i="29"/>
  <c r="AH410" i="29" s="1"/>
  <c r="P460" i="29"/>
  <c r="AH461" i="29" s="1"/>
  <c r="P434" i="29"/>
  <c r="AH435" i="29" s="1"/>
  <c r="P397" i="29"/>
  <c r="AH398" i="29" s="1"/>
  <c r="P421" i="29"/>
  <c r="AH422" i="29" s="1"/>
  <c r="P384" i="29"/>
  <c r="AH385" i="29" s="1"/>
  <c r="P447" i="29"/>
  <c r="AH448" i="29" s="1"/>
  <c r="U447" i="29"/>
  <c r="AM448" i="29" s="1"/>
  <c r="U460" i="29"/>
  <c r="AM461" i="29" s="1"/>
  <c r="U434" i="29"/>
  <c r="AM435" i="29" s="1"/>
  <c r="U397" i="29"/>
  <c r="AM398" i="29" s="1"/>
  <c r="U421" i="29"/>
  <c r="AM422" i="29" s="1"/>
  <c r="U384" i="29"/>
  <c r="AM385" i="29" s="1"/>
  <c r="U409" i="29"/>
  <c r="AM410" i="29" s="1"/>
  <c r="S460" i="29"/>
  <c r="AK461" i="29" s="1"/>
  <c r="S421" i="29"/>
  <c r="AK422" i="29" s="1"/>
  <c r="S384" i="29"/>
  <c r="AK385" i="29" s="1"/>
  <c r="S447" i="29"/>
  <c r="AK448" i="29" s="1"/>
  <c r="S434" i="29"/>
  <c r="AK435" i="29" s="1"/>
  <c r="S409" i="29"/>
  <c r="AK410" i="29" s="1"/>
  <c r="S397" i="29"/>
  <c r="AK398" i="29" s="1"/>
  <c r="Y447" i="29"/>
  <c r="AQ448" i="29" s="1"/>
  <c r="Y460" i="29"/>
  <c r="AQ461" i="29" s="1"/>
  <c r="Y434" i="29"/>
  <c r="AQ435" i="29" s="1"/>
  <c r="Y397" i="29"/>
  <c r="AQ398" i="29" s="1"/>
  <c r="Y421" i="29"/>
  <c r="AQ422" i="29" s="1"/>
  <c r="Y409" i="29"/>
  <c r="AQ410" i="29" s="1"/>
  <c r="Y384" i="29"/>
  <c r="AQ385" i="29" s="1"/>
  <c r="O460" i="29"/>
  <c r="AG461" i="29" s="1"/>
  <c r="O421" i="29"/>
  <c r="AG422" i="29" s="1"/>
  <c r="O384" i="29"/>
  <c r="AG385" i="29" s="1"/>
  <c r="O434" i="29"/>
  <c r="AG435" i="29" s="1"/>
  <c r="O397" i="29"/>
  <c r="AG398" i="29" s="1"/>
  <c r="O447" i="29"/>
  <c r="AG448" i="29" s="1"/>
  <c r="O409" i="29"/>
  <c r="AG410" i="29" s="1"/>
  <c r="N421" i="31"/>
  <c r="X422" i="31"/>
  <c r="Y424" i="31"/>
  <c r="V122" i="28"/>
  <c r="Z121" i="28"/>
  <c r="Z144" i="28"/>
  <c r="AA134" i="28"/>
  <c r="Q123" i="28"/>
  <c r="V448" i="31"/>
  <c r="Z463" i="31"/>
  <c r="O460" i="31"/>
  <c r="W436" i="31"/>
  <c r="AB438" i="31"/>
  <c r="N438" i="31"/>
  <c r="Y422" i="31"/>
  <c r="N435" i="31"/>
  <c r="W407" i="31"/>
  <c r="AB164" i="31"/>
  <c r="AB421" i="31"/>
  <c r="X149" i="28"/>
  <c r="X69" i="28"/>
  <c r="AB147" i="28"/>
  <c r="AA133" i="28"/>
  <c r="O146" i="28"/>
  <c r="V450" i="31"/>
  <c r="O461" i="31"/>
  <c r="X435" i="31"/>
  <c r="Q440" i="31"/>
  <c r="U412" i="31"/>
  <c r="W408" i="31"/>
  <c r="AB424" i="31"/>
  <c r="AB422" i="31"/>
  <c r="U408" i="31"/>
  <c r="U411" i="31"/>
  <c r="V453" i="31"/>
  <c r="Z465" i="31"/>
  <c r="O464" i="31"/>
  <c r="W159" i="31"/>
  <c r="T411" i="31"/>
  <c r="Y161" i="31"/>
  <c r="AA163" i="31"/>
  <c r="U69" i="28"/>
  <c r="Z137" i="28"/>
  <c r="O147" i="28"/>
  <c r="AA462" i="31"/>
  <c r="Y451" i="31"/>
  <c r="U162" i="31"/>
  <c r="W161" i="31"/>
  <c r="Y147" i="28"/>
  <c r="AB72" i="28"/>
  <c r="O144" i="28"/>
  <c r="T465" i="31"/>
  <c r="S106" i="31"/>
  <c r="N412" i="31"/>
  <c r="N408" i="31"/>
  <c r="W163" i="31"/>
  <c r="W164" i="31"/>
  <c r="Q135" i="28"/>
  <c r="S71" i="28"/>
  <c r="AB144" i="28"/>
  <c r="U67" i="28"/>
  <c r="Z70" i="28"/>
  <c r="W120" i="28"/>
  <c r="N374" i="31"/>
  <c r="S109" i="31"/>
  <c r="W162" i="31"/>
  <c r="Q411" i="31"/>
  <c r="W78" i="31"/>
  <c r="P422" i="31"/>
  <c r="V120" i="28"/>
  <c r="W133" i="28"/>
  <c r="V133" i="28"/>
  <c r="Y71" i="28"/>
  <c r="W121" i="28"/>
  <c r="W122" i="28"/>
  <c r="S435" i="31"/>
  <c r="T124" i="28"/>
  <c r="V72" i="28"/>
  <c r="P149" i="28"/>
  <c r="Z96" i="31"/>
  <c r="O439" i="31"/>
  <c r="S436" i="31"/>
  <c r="Z425" i="31"/>
  <c r="AB161" i="31"/>
  <c r="P426" i="31"/>
  <c r="U123" i="28"/>
  <c r="W149" i="28"/>
  <c r="T122" i="28"/>
  <c r="X67" i="28"/>
  <c r="Y149" i="28"/>
  <c r="V71" i="28"/>
  <c r="V67" i="28"/>
  <c r="AA71" i="28"/>
  <c r="P144" i="28"/>
  <c r="P122" i="28"/>
  <c r="Z94" i="31"/>
  <c r="S437" i="31"/>
  <c r="Z426" i="31"/>
  <c r="Y146" i="28"/>
  <c r="P146" i="28"/>
  <c r="X93" i="31"/>
  <c r="Z92" i="31"/>
  <c r="N410" i="31"/>
  <c r="O424" i="31"/>
  <c r="O161" i="31"/>
  <c r="O162" i="31"/>
  <c r="X71" i="28"/>
  <c r="AB145" i="28"/>
  <c r="Y144" i="28"/>
  <c r="V70" i="28"/>
  <c r="N144" i="28"/>
  <c r="T144" i="28"/>
  <c r="S148" i="28"/>
  <c r="AB452" i="31"/>
  <c r="N463" i="31"/>
  <c r="P68" i="28"/>
  <c r="P69" i="28"/>
  <c r="N137" i="28"/>
  <c r="N134" i="28"/>
  <c r="AB66" i="31"/>
  <c r="AB69" i="31"/>
  <c r="O68" i="28"/>
  <c r="O72" i="28"/>
  <c r="O67" i="28"/>
  <c r="O70" i="28"/>
  <c r="T134" i="28"/>
  <c r="T133" i="28"/>
  <c r="T136" i="28"/>
  <c r="Y412" i="31"/>
  <c r="Y407" i="31"/>
  <c r="AA410" i="31"/>
  <c r="AA409" i="31"/>
  <c r="S465" i="31"/>
  <c r="S464" i="31"/>
  <c r="P450" i="31"/>
  <c r="U464" i="31"/>
  <c r="U461" i="31"/>
  <c r="AA451" i="31"/>
  <c r="AA453" i="31"/>
  <c r="AA452" i="31"/>
  <c r="V410" i="31"/>
  <c r="V412" i="31"/>
  <c r="Q461" i="31"/>
  <c r="Q465" i="31"/>
  <c r="Q464" i="31"/>
  <c r="P464" i="31"/>
  <c r="AB68" i="31"/>
  <c r="AB71" i="31"/>
  <c r="P411" i="31"/>
  <c r="T162" i="31"/>
  <c r="P412" i="31"/>
  <c r="P67" i="28"/>
  <c r="S69" i="28"/>
  <c r="O71" i="28"/>
  <c r="T132" i="28"/>
  <c r="O136" i="28"/>
  <c r="O134" i="28"/>
  <c r="W108" i="31"/>
  <c r="W107" i="31"/>
  <c r="W105" i="31"/>
  <c r="Y133" i="28"/>
  <c r="Y132" i="28"/>
  <c r="Y135" i="28"/>
  <c r="Y136" i="28"/>
  <c r="Y134" i="28"/>
  <c r="AB123" i="28"/>
  <c r="AB122" i="28"/>
  <c r="S450" i="31"/>
  <c r="S451" i="31"/>
  <c r="X412" i="31"/>
  <c r="X410" i="31"/>
  <c r="W465" i="31"/>
  <c r="W461" i="31"/>
  <c r="U449" i="31"/>
  <c r="U452" i="31"/>
  <c r="Y465" i="31"/>
  <c r="Y462" i="31"/>
  <c r="Y437" i="31"/>
  <c r="Y439" i="31"/>
  <c r="W426" i="31"/>
  <c r="W424" i="31"/>
  <c r="U424" i="31"/>
  <c r="U425" i="31"/>
  <c r="AA422" i="31"/>
  <c r="AA424" i="31"/>
  <c r="AA423" i="31"/>
  <c r="Y435" i="31"/>
  <c r="T159" i="31"/>
  <c r="T426" i="31"/>
  <c r="Z421" i="31"/>
  <c r="Q410" i="31"/>
  <c r="Y408" i="31"/>
  <c r="AB410" i="31"/>
  <c r="P71" i="28"/>
  <c r="S67" i="28"/>
  <c r="W135" i="28"/>
  <c r="O133" i="28"/>
  <c r="Y137" i="28"/>
  <c r="T68" i="28"/>
  <c r="X137" i="28"/>
  <c r="N82" i="31"/>
  <c r="N83" i="31"/>
  <c r="T119" i="28"/>
  <c r="AB448" i="31"/>
  <c r="AB137" i="28"/>
  <c r="AB132" i="28"/>
  <c r="W463" i="31"/>
  <c r="Z120" i="28"/>
  <c r="Z122" i="28"/>
  <c r="Z146" i="28"/>
  <c r="Z149" i="28"/>
  <c r="AA136" i="28"/>
  <c r="AA135" i="28"/>
  <c r="U453" i="31"/>
  <c r="N78" i="31"/>
  <c r="S110" i="31"/>
  <c r="S439" i="31"/>
  <c r="AA425" i="31"/>
  <c r="T421" i="31"/>
  <c r="AA411" i="31"/>
  <c r="O421" i="31"/>
  <c r="O425" i="31"/>
  <c r="O426" i="31"/>
  <c r="W425" i="31"/>
  <c r="O119" i="28"/>
  <c r="X132" i="28"/>
  <c r="T123" i="28"/>
  <c r="AA137" i="28"/>
  <c r="T135" i="28"/>
  <c r="U134" i="28"/>
  <c r="U132" i="28"/>
  <c r="U70" i="28"/>
  <c r="U71" i="28"/>
  <c r="V160" i="31"/>
  <c r="V163" i="31"/>
  <c r="V164" i="31"/>
  <c r="X462" i="31"/>
  <c r="P462" i="31"/>
  <c r="X92" i="31"/>
  <c r="O159" i="31"/>
  <c r="X145" i="28"/>
  <c r="W452" i="31"/>
  <c r="T70" i="31"/>
  <c r="N411" i="31"/>
  <c r="N372" i="31"/>
  <c r="T105" i="31"/>
  <c r="O435" i="31"/>
  <c r="Y164" i="31"/>
  <c r="S412" i="31"/>
  <c r="AB412" i="31"/>
  <c r="AA412" i="31"/>
  <c r="V407" i="31"/>
  <c r="T410" i="31"/>
  <c r="T412" i="31"/>
  <c r="S407" i="31"/>
  <c r="Y409" i="31"/>
  <c r="T408" i="31"/>
  <c r="S408" i="31"/>
  <c r="AB162" i="31"/>
  <c r="T422" i="31"/>
  <c r="AA408" i="31"/>
  <c r="Z408" i="31"/>
  <c r="Z412" i="31"/>
  <c r="Z409" i="31"/>
  <c r="Y72" i="28"/>
  <c r="Y69" i="28"/>
  <c r="Y68" i="28"/>
  <c r="S70" i="28"/>
  <c r="S68" i="28"/>
  <c r="W134" i="28"/>
  <c r="P120" i="28"/>
  <c r="P124" i="28"/>
  <c r="S145" i="28"/>
  <c r="S149" i="28"/>
  <c r="Q136" i="28"/>
  <c r="V149" i="28"/>
  <c r="V145" i="28"/>
  <c r="X119" i="28"/>
  <c r="X122" i="28"/>
  <c r="X120" i="28"/>
  <c r="Q163" i="31"/>
  <c r="Q164" i="31"/>
  <c r="Q162" i="31"/>
  <c r="S161" i="31"/>
  <c r="S159" i="31"/>
  <c r="W450" i="31"/>
  <c r="W449" i="31"/>
  <c r="W453" i="31"/>
  <c r="O448" i="31"/>
  <c r="O449" i="31"/>
  <c r="O451" i="31"/>
  <c r="Z448" i="31"/>
  <c r="Z452" i="31"/>
  <c r="Z453" i="31"/>
  <c r="AA460" i="31"/>
  <c r="AA461" i="31"/>
  <c r="AA463" i="31"/>
  <c r="Y453" i="31"/>
  <c r="Y448" i="31"/>
  <c r="Y450" i="31"/>
  <c r="N449" i="31"/>
  <c r="N448" i="31"/>
  <c r="N453" i="31"/>
  <c r="X451" i="31"/>
  <c r="X453" i="31"/>
  <c r="X450" i="31"/>
  <c r="Q453" i="31"/>
  <c r="Q448" i="31"/>
  <c r="Q452" i="31"/>
  <c r="V465" i="31"/>
  <c r="V461" i="31"/>
  <c r="V460" i="31"/>
  <c r="AB460" i="31"/>
  <c r="AB462" i="31"/>
  <c r="AB461" i="31"/>
  <c r="V426" i="31"/>
  <c r="V422" i="31"/>
  <c r="V424" i="31"/>
  <c r="S425" i="31"/>
  <c r="S424" i="31"/>
  <c r="S421" i="31"/>
  <c r="S422" i="31"/>
  <c r="S426" i="31"/>
  <c r="P425" i="31"/>
  <c r="P423" i="31"/>
  <c r="T451" i="31"/>
  <c r="T448" i="31"/>
  <c r="T450" i="31"/>
  <c r="O412" i="31"/>
  <c r="O410" i="31"/>
  <c r="O411" i="31"/>
  <c r="N464" i="31"/>
  <c r="N460" i="31"/>
  <c r="N462" i="31"/>
  <c r="T68" i="31"/>
  <c r="W106" i="31"/>
  <c r="Y163" i="31"/>
  <c r="S423" i="31"/>
  <c r="Q161" i="31"/>
  <c r="V423" i="31"/>
  <c r="O436" i="31"/>
  <c r="V421" i="31"/>
  <c r="AB159" i="31"/>
  <c r="AB163" i="31"/>
  <c r="O409" i="31"/>
  <c r="O408" i="31"/>
  <c r="O407" i="31"/>
  <c r="S410" i="31"/>
  <c r="V144" i="28"/>
  <c r="X121" i="28"/>
  <c r="X448" i="31"/>
  <c r="Q451" i="31"/>
  <c r="V464" i="31"/>
  <c r="Q69" i="28"/>
  <c r="AB464" i="31"/>
  <c r="W451" i="31"/>
  <c r="Z132" i="28"/>
  <c r="Z133" i="28"/>
  <c r="Z135" i="28"/>
  <c r="O450" i="31"/>
  <c r="T160" i="31"/>
  <c r="T161" i="31"/>
  <c r="Z449" i="31"/>
  <c r="N450" i="31"/>
  <c r="T452" i="31"/>
  <c r="N465" i="31"/>
  <c r="N163" i="31"/>
  <c r="N160" i="31"/>
  <c r="N161" i="31"/>
  <c r="Y411" i="31"/>
  <c r="Y410" i="31"/>
  <c r="Q412" i="31"/>
  <c r="Q409" i="31"/>
  <c r="Q407" i="31"/>
  <c r="T463" i="31"/>
  <c r="T460" i="31"/>
  <c r="T464" i="31"/>
  <c r="P410" i="31"/>
  <c r="P409" i="31"/>
  <c r="P407" i="31"/>
  <c r="S460" i="31"/>
  <c r="S463" i="31"/>
  <c r="S461" i="31"/>
  <c r="P453" i="31"/>
  <c r="P452" i="31"/>
  <c r="P448" i="31"/>
  <c r="U463" i="31"/>
  <c r="U460" i="31"/>
  <c r="U462" i="31"/>
  <c r="AA449" i="31"/>
  <c r="AA450" i="31"/>
  <c r="AA448" i="31"/>
  <c r="V408" i="31"/>
  <c r="V409" i="31"/>
  <c r="Q460" i="31"/>
  <c r="Q463" i="31"/>
  <c r="Q462" i="31"/>
  <c r="X460" i="31"/>
  <c r="X461" i="31"/>
  <c r="X465" i="31"/>
  <c r="P460" i="31"/>
  <c r="P461" i="31"/>
  <c r="P463" i="31"/>
  <c r="S107" i="31"/>
  <c r="W110" i="31"/>
  <c r="S105" i="31"/>
  <c r="T108" i="31"/>
  <c r="N409" i="31"/>
  <c r="S162" i="31"/>
  <c r="Q160" i="31"/>
  <c r="Q408" i="31"/>
  <c r="T423" i="31"/>
  <c r="AA407" i="31"/>
  <c r="V411" i="31"/>
  <c r="Q159" i="31"/>
  <c r="T163" i="31"/>
  <c r="S411" i="31"/>
  <c r="AB408" i="31"/>
  <c r="T424" i="31"/>
  <c r="P421" i="31"/>
  <c r="Z407" i="31"/>
  <c r="AB409" i="31"/>
  <c r="Z411" i="31"/>
  <c r="O120" i="28"/>
  <c r="Q72" i="28"/>
  <c r="X123" i="28"/>
  <c r="X449" i="31"/>
  <c r="Q450" i="31"/>
  <c r="V463" i="31"/>
  <c r="S462" i="31"/>
  <c r="AB463" i="31"/>
  <c r="U121" i="28"/>
  <c r="U120" i="28"/>
  <c r="W145" i="28"/>
  <c r="P451" i="31"/>
  <c r="U465" i="31"/>
  <c r="P137" i="28"/>
  <c r="P133" i="28"/>
  <c r="P135" i="28"/>
  <c r="W72" i="28"/>
  <c r="W71" i="28"/>
  <c r="W69" i="28"/>
  <c r="AA145" i="28"/>
  <c r="AA146" i="28"/>
  <c r="O453" i="31"/>
  <c r="Z451" i="31"/>
  <c r="AA464" i="31"/>
  <c r="T462" i="31"/>
  <c r="Y449" i="31"/>
  <c r="N452" i="31"/>
  <c r="T453" i="31"/>
  <c r="N461" i="31"/>
  <c r="X464" i="31"/>
  <c r="N67" i="28"/>
  <c r="N72" i="28"/>
  <c r="S133" i="28"/>
  <c r="S137" i="28"/>
  <c r="P465" i="31"/>
  <c r="V124" i="28"/>
  <c r="X148" i="28"/>
  <c r="W481" i="29"/>
  <c r="W479" i="29"/>
  <c r="W477" i="29"/>
  <c r="W480" i="29"/>
  <c r="W478" i="29"/>
  <c r="W476" i="29"/>
  <c r="O478" i="29"/>
  <c r="O477" i="29"/>
  <c r="O480" i="29"/>
  <c r="O481" i="29"/>
  <c r="O479" i="29"/>
  <c r="O476" i="29"/>
  <c r="Z480" i="29"/>
  <c r="Z481" i="29"/>
  <c r="Z478" i="29"/>
  <c r="Z477" i="29"/>
  <c r="Z479" i="29"/>
  <c r="Z476" i="29"/>
  <c r="AA492" i="29"/>
  <c r="AA489" i="29"/>
  <c r="AA488" i="29"/>
  <c r="AA493" i="29"/>
  <c r="AA490" i="29"/>
  <c r="AA491" i="29"/>
  <c r="Y480" i="29"/>
  <c r="Y476" i="29"/>
  <c r="Y481" i="29"/>
  <c r="Y477" i="29"/>
  <c r="Y478" i="29"/>
  <c r="Y479" i="29"/>
  <c r="N481" i="29"/>
  <c r="N477" i="29"/>
  <c r="N479" i="29"/>
  <c r="N478" i="29"/>
  <c r="N480" i="29"/>
  <c r="N476" i="29"/>
  <c r="X476" i="29"/>
  <c r="X480" i="29"/>
  <c r="X479" i="29"/>
  <c r="X478" i="29"/>
  <c r="X477" i="29"/>
  <c r="X481" i="29"/>
  <c r="Q476" i="29"/>
  <c r="Q479" i="29"/>
  <c r="Q480" i="29"/>
  <c r="Q481" i="29"/>
  <c r="Q478" i="29"/>
  <c r="Q477" i="29"/>
  <c r="V493" i="29"/>
  <c r="V489" i="29"/>
  <c r="V490" i="29"/>
  <c r="V491" i="29"/>
  <c r="V492" i="29"/>
  <c r="V488" i="29"/>
  <c r="AB492" i="29"/>
  <c r="AB491" i="29"/>
  <c r="AB493" i="29"/>
  <c r="AB489" i="29"/>
  <c r="AB490" i="29"/>
  <c r="AB488" i="29"/>
  <c r="S440" i="29"/>
  <c r="S441" i="29"/>
  <c r="S442" i="29"/>
  <c r="S439" i="29"/>
  <c r="S438" i="29"/>
  <c r="S437" i="29"/>
  <c r="V454" i="29"/>
  <c r="V455" i="29"/>
  <c r="V453" i="29"/>
  <c r="V451" i="29"/>
  <c r="V452" i="29"/>
  <c r="V450" i="29"/>
  <c r="O466" i="29"/>
  <c r="O468" i="29"/>
  <c r="O464" i="29"/>
  <c r="O463" i="29"/>
  <c r="O467" i="29"/>
  <c r="O465" i="29"/>
  <c r="S452" i="29"/>
  <c r="S450" i="29"/>
  <c r="S453" i="29"/>
  <c r="S455" i="29"/>
  <c r="S454" i="29"/>
  <c r="S451" i="29"/>
  <c r="P453" i="29"/>
  <c r="P454" i="29"/>
  <c r="P455" i="29"/>
  <c r="P451" i="29"/>
  <c r="P450" i="29"/>
  <c r="P452" i="29"/>
  <c r="T477" i="29"/>
  <c r="T480" i="29"/>
  <c r="T479" i="29"/>
  <c r="T478" i="29"/>
  <c r="T481" i="29"/>
  <c r="T476" i="29"/>
  <c r="O439" i="29"/>
  <c r="O442" i="29"/>
  <c r="O438" i="29"/>
  <c r="O437" i="29"/>
  <c r="O441" i="29"/>
  <c r="O440" i="29"/>
  <c r="N489" i="29"/>
  <c r="N491" i="29"/>
  <c r="N492" i="29"/>
  <c r="N488" i="29"/>
  <c r="N493" i="29"/>
  <c r="N490" i="29"/>
  <c r="N440" i="29"/>
  <c r="N437" i="29"/>
  <c r="N438" i="29"/>
  <c r="N442" i="29"/>
  <c r="N439" i="29"/>
  <c r="N441" i="29"/>
  <c r="T71" i="31"/>
  <c r="N81" i="31"/>
  <c r="X96" i="31"/>
  <c r="N370" i="31"/>
  <c r="AB67" i="31"/>
  <c r="N373" i="31"/>
  <c r="AB70" i="31"/>
  <c r="W83" i="31"/>
  <c r="V439" i="31"/>
  <c r="S440" i="31"/>
  <c r="N440" i="31"/>
  <c r="T437" i="31"/>
  <c r="Y436" i="31"/>
  <c r="Q437" i="31"/>
  <c r="X161" i="31"/>
  <c r="W439" i="31"/>
  <c r="X408" i="31"/>
  <c r="N424" i="31"/>
  <c r="X407" i="31"/>
  <c r="Z422" i="31"/>
  <c r="P159" i="31"/>
  <c r="N426" i="31"/>
  <c r="N423" i="31"/>
  <c r="AB423" i="31"/>
  <c r="O423" i="31"/>
  <c r="Y425" i="31"/>
  <c r="X409" i="31"/>
  <c r="X438" i="31"/>
  <c r="X426" i="31"/>
  <c r="AA161" i="31"/>
  <c r="P160" i="31"/>
  <c r="Z161" i="31"/>
  <c r="Z160" i="31"/>
  <c r="U159" i="31"/>
  <c r="U421" i="31"/>
  <c r="AA421" i="31"/>
  <c r="W422" i="31"/>
  <c r="Q424" i="31"/>
  <c r="AB425" i="31"/>
  <c r="Q426" i="31"/>
  <c r="T70" i="28"/>
  <c r="V121" i="28"/>
  <c r="X133" i="28"/>
  <c r="X134" i="28"/>
  <c r="X144" i="28"/>
  <c r="P70" i="28"/>
  <c r="U145" i="28"/>
  <c r="X72" i="28"/>
  <c r="AB136" i="28"/>
  <c r="AB134" i="28"/>
  <c r="AB148" i="28"/>
  <c r="W68" i="28"/>
  <c r="Y120" i="28"/>
  <c r="AA148" i="28"/>
  <c r="AB68" i="28"/>
  <c r="O137" i="28"/>
  <c r="O149" i="28"/>
  <c r="O148" i="28"/>
  <c r="Z67" i="28"/>
  <c r="AA70" i="28"/>
  <c r="AA68" i="28"/>
  <c r="N145" i="28"/>
  <c r="AB120" i="28"/>
  <c r="AB124" i="28"/>
  <c r="Q144" i="28"/>
  <c r="N69" i="28"/>
  <c r="P119" i="28"/>
  <c r="S132" i="28"/>
  <c r="S134" i="28"/>
  <c r="S144" i="28"/>
  <c r="AA123" i="28"/>
  <c r="AA124" i="28"/>
  <c r="AA119" i="28"/>
  <c r="U133" i="28"/>
  <c r="S448" i="31"/>
  <c r="AB450" i="31"/>
  <c r="V452" i="31"/>
  <c r="V451" i="31"/>
  <c r="Z460" i="31"/>
  <c r="Z464" i="31"/>
  <c r="W462" i="31"/>
  <c r="W464" i="31"/>
  <c r="O462" i="31"/>
  <c r="Y464" i="31"/>
  <c r="U451" i="31"/>
  <c r="U448" i="31"/>
  <c r="U439" i="29"/>
  <c r="U437" i="29"/>
  <c r="U438" i="29"/>
  <c r="U440" i="29"/>
  <c r="U441" i="29"/>
  <c r="U442" i="29"/>
  <c r="V481" i="29"/>
  <c r="V477" i="29"/>
  <c r="V476" i="29"/>
  <c r="V480" i="29"/>
  <c r="V479" i="29"/>
  <c r="V478" i="29"/>
  <c r="Z492" i="29"/>
  <c r="Z489" i="29"/>
  <c r="Z488" i="29"/>
  <c r="Z493" i="29"/>
  <c r="Z490" i="29"/>
  <c r="Z491" i="29"/>
  <c r="O492" i="29"/>
  <c r="O488" i="29"/>
  <c r="O493" i="29"/>
  <c r="O489" i="29"/>
  <c r="O491" i="29"/>
  <c r="O490" i="29"/>
  <c r="W438" i="29"/>
  <c r="W442" i="29"/>
  <c r="W440" i="29"/>
  <c r="W441" i="29"/>
  <c r="W437" i="29"/>
  <c r="W439" i="29"/>
  <c r="N465" i="29"/>
  <c r="N468" i="29"/>
  <c r="N466" i="29"/>
  <c r="N463" i="29"/>
  <c r="N467" i="29"/>
  <c r="N464" i="29"/>
  <c r="T466" i="29"/>
  <c r="T465" i="29"/>
  <c r="T463" i="29"/>
  <c r="T468" i="29"/>
  <c r="T467" i="29"/>
  <c r="T464" i="29"/>
  <c r="Q468" i="29"/>
  <c r="Q464" i="29"/>
  <c r="Q466" i="29"/>
  <c r="Q467" i="29"/>
  <c r="Q465" i="29"/>
  <c r="Q463" i="29"/>
  <c r="X450" i="29"/>
  <c r="X451" i="29"/>
  <c r="X454" i="29"/>
  <c r="X452" i="29"/>
  <c r="X455" i="29"/>
  <c r="X453" i="29"/>
  <c r="Y455" i="29"/>
  <c r="Y450" i="29"/>
  <c r="Y452" i="29"/>
  <c r="Y451" i="29"/>
  <c r="Y453" i="29"/>
  <c r="Y454" i="29"/>
  <c r="X466" i="29"/>
  <c r="X463" i="29"/>
  <c r="X468" i="29"/>
  <c r="X465" i="29"/>
  <c r="X464" i="29"/>
  <c r="X467" i="29"/>
  <c r="Q455" i="29"/>
  <c r="Q454" i="29"/>
  <c r="Q450" i="29"/>
  <c r="Q453" i="29"/>
  <c r="Q452" i="29"/>
  <c r="Q451" i="29"/>
  <c r="AB455" i="29"/>
  <c r="AB451" i="29"/>
  <c r="AB450" i="29"/>
  <c r="AB454" i="29"/>
  <c r="AB452" i="29"/>
  <c r="AB453" i="29"/>
  <c r="AB466" i="29"/>
  <c r="AB467" i="29"/>
  <c r="AB464" i="29"/>
  <c r="AB463" i="29"/>
  <c r="AB468" i="29"/>
  <c r="AB465" i="29"/>
  <c r="N452" i="29"/>
  <c r="N454" i="29"/>
  <c r="N453" i="29"/>
  <c r="N450" i="29"/>
  <c r="N451" i="29"/>
  <c r="N455" i="29"/>
  <c r="W463" i="29"/>
  <c r="W464" i="29"/>
  <c r="W466" i="29"/>
  <c r="W465" i="29"/>
  <c r="W467" i="29"/>
  <c r="W468" i="29"/>
  <c r="AA162" i="31"/>
  <c r="T71" i="28"/>
  <c r="T69" i="28"/>
  <c r="X135" i="28"/>
  <c r="AB133" i="28"/>
  <c r="O135" i="28"/>
  <c r="Z68" i="28"/>
  <c r="AA72" i="28"/>
  <c r="N147" i="28"/>
  <c r="AB121" i="28"/>
  <c r="AB119" i="28"/>
  <c r="N71" i="28"/>
  <c r="N70" i="28"/>
  <c r="S135" i="28"/>
  <c r="N124" i="28"/>
  <c r="AA122" i="28"/>
  <c r="U136" i="28"/>
  <c r="S453" i="31"/>
  <c r="S449" i="31"/>
  <c r="AB451" i="31"/>
  <c r="W460" i="31"/>
  <c r="Y461" i="31"/>
  <c r="Y463" i="31"/>
  <c r="U450" i="31"/>
  <c r="Y440" i="29"/>
  <c r="Y441" i="29"/>
  <c r="Y438" i="29"/>
  <c r="Y439" i="29"/>
  <c r="Y437" i="29"/>
  <c r="Y442" i="29"/>
  <c r="Q438" i="29"/>
  <c r="Q441" i="29"/>
  <c r="Q442" i="29"/>
  <c r="Q440" i="29"/>
  <c r="Q439" i="29"/>
  <c r="Q437" i="29"/>
  <c r="AB440" i="29"/>
  <c r="AB439" i="29"/>
  <c r="AB441" i="29"/>
  <c r="AB442" i="29"/>
  <c r="AB438" i="29"/>
  <c r="AB437" i="29"/>
  <c r="T488" i="29"/>
  <c r="T492" i="29"/>
  <c r="T490" i="29"/>
  <c r="T489" i="29"/>
  <c r="T491" i="29"/>
  <c r="T493" i="29"/>
  <c r="AA441" i="29"/>
  <c r="AA439" i="29"/>
  <c r="AA442" i="29"/>
  <c r="AA440" i="29"/>
  <c r="AA437" i="29"/>
  <c r="AA438" i="29"/>
  <c r="P437" i="29"/>
  <c r="P438" i="29"/>
  <c r="P439" i="29"/>
  <c r="P441" i="29"/>
  <c r="P442" i="29"/>
  <c r="P440" i="29"/>
  <c r="Z439" i="29"/>
  <c r="Z442" i="29"/>
  <c r="Z437" i="29"/>
  <c r="Z440" i="29"/>
  <c r="Z438" i="29"/>
  <c r="Z441" i="29"/>
  <c r="T439" i="29"/>
  <c r="T441" i="29"/>
  <c r="T440" i="29"/>
  <c r="T438" i="29"/>
  <c r="T437" i="29"/>
  <c r="T442" i="29"/>
  <c r="S488" i="29"/>
  <c r="S491" i="29"/>
  <c r="S493" i="29"/>
  <c r="S492" i="29"/>
  <c r="S490" i="29"/>
  <c r="S489" i="29"/>
  <c r="P478" i="29"/>
  <c r="P481" i="29"/>
  <c r="P476" i="29"/>
  <c r="P479" i="29"/>
  <c r="P477" i="29"/>
  <c r="P480" i="29"/>
  <c r="U492" i="29"/>
  <c r="U490" i="29"/>
  <c r="U488" i="29"/>
  <c r="U489" i="29"/>
  <c r="U493" i="29"/>
  <c r="U491" i="29"/>
  <c r="P468" i="29"/>
  <c r="P465" i="29"/>
  <c r="P467" i="29"/>
  <c r="P463" i="29"/>
  <c r="P466" i="29"/>
  <c r="P464" i="29"/>
  <c r="U465" i="29"/>
  <c r="U464" i="29"/>
  <c r="U468" i="29"/>
  <c r="U466" i="29"/>
  <c r="U463" i="29"/>
  <c r="U467" i="29"/>
  <c r="T453" i="29"/>
  <c r="T450" i="29"/>
  <c r="T455" i="29"/>
  <c r="T452" i="29"/>
  <c r="T454" i="29"/>
  <c r="T451" i="29"/>
  <c r="AA466" i="29"/>
  <c r="AA467" i="29"/>
  <c r="AA464" i="29"/>
  <c r="AA465" i="29"/>
  <c r="AA468" i="29"/>
  <c r="AA463" i="29"/>
  <c r="AA478" i="29"/>
  <c r="AA476" i="29"/>
  <c r="AA479" i="29"/>
  <c r="AA477" i="29"/>
  <c r="AA481" i="29"/>
  <c r="AA480" i="29"/>
  <c r="V439" i="29"/>
  <c r="V442" i="29"/>
  <c r="V437" i="29"/>
  <c r="V441" i="29"/>
  <c r="V438" i="29"/>
  <c r="V440" i="29"/>
  <c r="Q488" i="29"/>
  <c r="Q493" i="29"/>
  <c r="Q490" i="29"/>
  <c r="Q489" i="29"/>
  <c r="Q491" i="29"/>
  <c r="Q492" i="29"/>
  <c r="X492" i="29"/>
  <c r="X491" i="29"/>
  <c r="X493" i="29"/>
  <c r="X489" i="29"/>
  <c r="X488" i="29"/>
  <c r="X490" i="29"/>
  <c r="P493" i="29"/>
  <c r="P490" i="29"/>
  <c r="P489" i="29"/>
  <c r="P488" i="29"/>
  <c r="P492" i="29"/>
  <c r="P491" i="29"/>
  <c r="T66" i="31"/>
  <c r="N80" i="31"/>
  <c r="X91" i="31"/>
  <c r="N375" i="31"/>
  <c r="S93" i="31"/>
  <c r="Y440" i="31"/>
  <c r="AB439" i="31"/>
  <c r="U422" i="31"/>
  <c r="Y426" i="31"/>
  <c r="X423" i="31"/>
  <c r="X424" i="31"/>
  <c r="U164" i="31"/>
  <c r="X164" i="31"/>
  <c r="Y421" i="31"/>
  <c r="Z423" i="31"/>
  <c r="W409" i="31"/>
  <c r="X83" i="31"/>
  <c r="U426" i="31"/>
  <c r="U163" i="31"/>
  <c r="N164" i="31"/>
  <c r="N422" i="31"/>
  <c r="W421" i="31"/>
  <c r="Q425" i="31"/>
  <c r="W423" i="31"/>
  <c r="Q421" i="31"/>
  <c r="AA426" i="31"/>
  <c r="Q423" i="31"/>
  <c r="T72" i="28"/>
  <c r="V119" i="28"/>
  <c r="X136" i="28"/>
  <c r="X146" i="28"/>
  <c r="P72" i="28"/>
  <c r="V146" i="28"/>
  <c r="W132" i="28"/>
  <c r="W137" i="28"/>
  <c r="X68" i="28"/>
  <c r="AB135" i="28"/>
  <c r="AB149" i="28"/>
  <c r="W67" i="28"/>
  <c r="AA144" i="28"/>
  <c r="AB70" i="28"/>
  <c r="O132" i="28"/>
  <c r="O145" i="28"/>
  <c r="Z72" i="28"/>
  <c r="AA69" i="28"/>
  <c r="N146" i="28"/>
  <c r="N149" i="28"/>
  <c r="N68" i="28"/>
  <c r="P121" i="28"/>
  <c r="S136" i="28"/>
  <c r="S146" i="28"/>
  <c r="P132" i="28"/>
  <c r="P136" i="28"/>
  <c r="N120" i="28"/>
  <c r="N119" i="28"/>
  <c r="U407" i="31"/>
  <c r="U137" i="28"/>
  <c r="S452" i="31"/>
  <c r="AB449" i="31"/>
  <c r="O465" i="31"/>
  <c r="Y460" i="31"/>
  <c r="S481" i="29"/>
  <c r="S479" i="29"/>
  <c r="S476" i="29"/>
  <c r="S478" i="29"/>
  <c r="S480" i="29"/>
  <c r="S477" i="29"/>
  <c r="AB479" i="29"/>
  <c r="AB481" i="29"/>
  <c r="AB476" i="29"/>
  <c r="AB480" i="29"/>
  <c r="AB477" i="29"/>
  <c r="AB478" i="29"/>
  <c r="X438" i="29"/>
  <c r="X437" i="29"/>
  <c r="X439" i="29"/>
  <c r="X441" i="29"/>
  <c r="X442" i="29"/>
  <c r="X440" i="29"/>
  <c r="W491" i="29"/>
  <c r="W489" i="29"/>
  <c r="W488" i="29"/>
  <c r="W490" i="29"/>
  <c r="W492" i="29"/>
  <c r="W493" i="29"/>
  <c r="U479" i="29"/>
  <c r="U476" i="29"/>
  <c r="U477" i="29"/>
  <c r="U478" i="29"/>
  <c r="U480" i="29"/>
  <c r="U481" i="29"/>
  <c r="Y490" i="29"/>
  <c r="Y492" i="29"/>
  <c r="Y489" i="29"/>
  <c r="Y488" i="29"/>
  <c r="Y491" i="29"/>
  <c r="Y493" i="29"/>
  <c r="Y465" i="29"/>
  <c r="Y464" i="29"/>
  <c r="Y463" i="29"/>
  <c r="Y466" i="29"/>
  <c r="Y468" i="29"/>
  <c r="Y467" i="29"/>
  <c r="W454" i="29"/>
  <c r="W451" i="29"/>
  <c r="W455" i="29"/>
  <c r="W450" i="29"/>
  <c r="W452" i="29"/>
  <c r="W453" i="29"/>
  <c r="U453" i="29"/>
  <c r="U455" i="29"/>
  <c r="U452" i="29"/>
  <c r="U450" i="29"/>
  <c r="U451" i="29"/>
  <c r="U454" i="29"/>
  <c r="V463" i="29"/>
  <c r="V464" i="29"/>
  <c r="V465" i="29"/>
  <c r="V466" i="29"/>
  <c r="V467" i="29"/>
  <c r="V468" i="29"/>
  <c r="AA453" i="29"/>
  <c r="AA451" i="29"/>
  <c r="AA455" i="29"/>
  <c r="AA454" i="29"/>
  <c r="AA452" i="29"/>
  <c r="AA450" i="29"/>
  <c r="S466" i="29"/>
  <c r="S465" i="29"/>
  <c r="S464" i="29"/>
  <c r="S463" i="29"/>
  <c r="S468" i="29"/>
  <c r="S467" i="29"/>
  <c r="Z468" i="29"/>
  <c r="Z467" i="29"/>
  <c r="Z464" i="29"/>
  <c r="Z465" i="29"/>
  <c r="Z463" i="29"/>
  <c r="Z466" i="29"/>
  <c r="O450" i="29"/>
  <c r="O454" i="29"/>
  <c r="O453" i="29"/>
  <c r="O455" i="29"/>
  <c r="O451" i="29"/>
  <c r="O452" i="29"/>
  <c r="Z455" i="29"/>
  <c r="Z453" i="29"/>
  <c r="Z454" i="29"/>
  <c r="Z450" i="29"/>
  <c r="Z451" i="29"/>
  <c r="Z452" i="29"/>
  <c r="R119" i="31"/>
  <c r="Z161" i="29"/>
  <c r="Z157" i="29"/>
  <c r="Z160" i="29"/>
  <c r="Z158" i="29"/>
  <c r="Z159" i="29"/>
  <c r="Z156" i="29"/>
  <c r="S156" i="29"/>
  <c r="S159" i="29"/>
  <c r="S160" i="29"/>
  <c r="S158" i="29"/>
  <c r="S157" i="29"/>
  <c r="S161" i="29"/>
  <c r="AA392" i="29"/>
  <c r="AA390" i="29"/>
  <c r="AA387" i="29"/>
  <c r="AA389" i="29"/>
  <c r="AA388" i="29"/>
  <c r="AA391" i="29"/>
  <c r="N392" i="29"/>
  <c r="N389" i="29"/>
  <c r="N388" i="29"/>
  <c r="N390" i="29"/>
  <c r="N387" i="29"/>
  <c r="N391" i="29"/>
  <c r="N173" i="29"/>
  <c r="N171" i="29"/>
  <c r="N172" i="29"/>
  <c r="N169" i="29"/>
  <c r="N174" i="29"/>
  <c r="N170" i="29"/>
  <c r="Q162" i="28"/>
  <c r="Q161" i="28"/>
  <c r="Q159" i="28"/>
  <c r="Q163" i="28"/>
  <c r="Q160" i="28"/>
  <c r="Q158" i="28"/>
  <c r="V182" i="29"/>
  <c r="V187" i="29"/>
  <c r="V185" i="29"/>
  <c r="V183" i="29"/>
  <c r="V184" i="29"/>
  <c r="V186" i="29"/>
  <c r="T221" i="28"/>
  <c r="T217" i="28"/>
  <c r="T220" i="28"/>
  <c r="T219" i="28"/>
  <c r="T222" i="28"/>
  <c r="T218" i="28"/>
  <c r="X313" i="28"/>
  <c r="X309" i="28"/>
  <c r="X311" i="28"/>
  <c r="X308" i="28"/>
  <c r="X312" i="28"/>
  <c r="X310" i="28"/>
  <c r="AB188" i="31"/>
  <c r="AB190" i="31"/>
  <c r="AB192" i="31"/>
  <c r="AB187" i="31"/>
  <c r="AB191" i="31"/>
  <c r="AB189" i="31"/>
  <c r="P199" i="29"/>
  <c r="P197" i="29"/>
  <c r="P196" i="29"/>
  <c r="P194" i="29"/>
  <c r="P195" i="29"/>
  <c r="P198" i="29"/>
  <c r="W171" i="28"/>
  <c r="W176" i="28"/>
  <c r="W172" i="28"/>
  <c r="W175" i="28"/>
  <c r="W173" i="28"/>
  <c r="W174" i="28"/>
  <c r="W297" i="28"/>
  <c r="W296" i="28"/>
  <c r="W294" i="28"/>
  <c r="W298" i="28"/>
  <c r="W299" i="28"/>
  <c r="W295" i="28"/>
  <c r="AA194" i="29"/>
  <c r="AA196" i="29"/>
  <c r="AA198" i="29"/>
  <c r="AA199" i="29"/>
  <c r="AA195" i="29"/>
  <c r="AA197" i="29"/>
  <c r="X118" i="29"/>
  <c r="X120" i="29"/>
  <c r="X121" i="29"/>
  <c r="X119" i="29"/>
  <c r="X116" i="29"/>
  <c r="X117" i="29"/>
  <c r="R56" i="31"/>
  <c r="R53" i="31"/>
  <c r="R52" i="31"/>
  <c r="R57" i="31"/>
  <c r="R55" i="31"/>
  <c r="R54" i="31"/>
  <c r="P321" i="28"/>
  <c r="P322" i="28"/>
  <c r="P325" i="28"/>
  <c r="P326" i="28"/>
  <c r="P324" i="28"/>
  <c r="P323" i="28"/>
  <c r="S138" i="31"/>
  <c r="S135" i="31"/>
  <c r="S136" i="31"/>
  <c r="S137" i="31"/>
  <c r="S133" i="31"/>
  <c r="S134" i="31"/>
  <c r="V172" i="28"/>
  <c r="V171" i="28"/>
  <c r="V174" i="28"/>
  <c r="V176" i="28"/>
  <c r="V173" i="28"/>
  <c r="V175" i="28"/>
  <c r="Z149" i="31"/>
  <c r="Z152" i="31"/>
  <c r="Z151" i="31"/>
  <c r="Z150" i="31"/>
  <c r="Z148" i="31"/>
  <c r="Z147" i="31"/>
  <c r="AB163" i="28"/>
  <c r="AB162" i="28"/>
  <c r="AB161" i="28"/>
  <c r="AB159" i="28"/>
  <c r="AB158" i="28"/>
  <c r="AB160" i="28"/>
  <c r="AB309" i="28"/>
  <c r="AB310" i="28"/>
  <c r="AB312" i="28"/>
  <c r="AB311" i="28"/>
  <c r="AB313" i="28"/>
  <c r="AB308" i="28"/>
  <c r="O148" i="31"/>
  <c r="O151" i="31"/>
  <c r="O150" i="31"/>
  <c r="O149" i="31"/>
  <c r="O152" i="31"/>
  <c r="O147" i="31"/>
  <c r="U162" i="28"/>
  <c r="U158" i="28"/>
  <c r="U163" i="28"/>
  <c r="U161" i="28"/>
  <c r="U159" i="28"/>
  <c r="U160" i="28"/>
  <c r="W173" i="31"/>
  <c r="W174" i="31"/>
  <c r="W177" i="31"/>
  <c r="W175" i="31"/>
  <c r="W176" i="31"/>
  <c r="W178" i="31"/>
  <c r="X271" i="28"/>
  <c r="X272" i="28"/>
  <c r="X274" i="28"/>
  <c r="X270" i="28"/>
  <c r="X273" i="28"/>
  <c r="X269" i="28"/>
  <c r="AB134" i="31"/>
  <c r="AB135" i="31"/>
  <c r="AB138" i="31"/>
  <c r="AB137" i="31"/>
  <c r="AB133" i="31"/>
  <c r="AB136" i="31"/>
  <c r="O312" i="28"/>
  <c r="O310" i="28"/>
  <c r="O311" i="28"/>
  <c r="O308" i="28"/>
  <c r="O313" i="28"/>
  <c r="O309" i="28"/>
  <c r="O285" i="28"/>
  <c r="O284" i="28"/>
  <c r="O286" i="28"/>
  <c r="O283" i="28"/>
  <c r="O287" i="28"/>
  <c r="O282" i="28"/>
  <c r="T187" i="31"/>
  <c r="T188" i="31"/>
  <c r="T192" i="31"/>
  <c r="T189" i="31"/>
  <c r="T190" i="31"/>
  <c r="T191" i="31"/>
  <c r="Z219" i="28"/>
  <c r="Z221" i="28"/>
  <c r="Z217" i="28"/>
  <c r="Z220" i="28"/>
  <c r="Z218" i="28"/>
  <c r="Z222" i="28"/>
  <c r="N172" i="28"/>
  <c r="N174" i="28"/>
  <c r="N176" i="28"/>
  <c r="N175" i="28"/>
  <c r="N173" i="28"/>
  <c r="N171" i="28"/>
  <c r="P177" i="31"/>
  <c r="P173" i="31"/>
  <c r="P178" i="31"/>
  <c r="P176" i="31"/>
  <c r="P174" i="31"/>
  <c r="P175" i="31"/>
  <c r="P119" i="29"/>
  <c r="P120" i="29"/>
  <c r="P117" i="29"/>
  <c r="P118" i="29"/>
  <c r="P116" i="29"/>
  <c r="P121" i="29"/>
  <c r="W274" i="28"/>
  <c r="W269" i="28"/>
  <c r="W273" i="28"/>
  <c r="W272" i="28"/>
  <c r="W271" i="28"/>
  <c r="W270" i="28"/>
  <c r="Y313" i="28"/>
  <c r="Y311" i="28"/>
  <c r="Y310" i="28"/>
  <c r="Y308" i="28"/>
  <c r="Y312" i="28"/>
  <c r="Y309" i="28"/>
  <c r="O135" i="31"/>
  <c r="O137" i="31"/>
  <c r="O134" i="31"/>
  <c r="O133" i="31"/>
  <c r="O138" i="31"/>
  <c r="O136" i="31"/>
  <c r="T175" i="28"/>
  <c r="T171" i="28"/>
  <c r="T172" i="28"/>
  <c r="T173" i="28"/>
  <c r="T176" i="28"/>
  <c r="T174" i="28"/>
  <c r="Y297" i="28"/>
  <c r="Y295" i="28"/>
  <c r="Y294" i="28"/>
  <c r="Y298" i="28"/>
  <c r="Y296" i="28"/>
  <c r="Y299" i="28"/>
  <c r="S308" i="28"/>
  <c r="S311" i="28"/>
  <c r="S309" i="28"/>
  <c r="S310" i="28"/>
  <c r="S312" i="28"/>
  <c r="S313" i="28"/>
  <c r="S286" i="28"/>
  <c r="S283" i="28"/>
  <c r="S285" i="28"/>
  <c r="S284" i="28"/>
  <c r="S287" i="28"/>
  <c r="S282" i="28"/>
  <c r="W191" i="31"/>
  <c r="W188" i="31"/>
  <c r="W187" i="31"/>
  <c r="W189" i="31"/>
  <c r="W190" i="31"/>
  <c r="W192" i="31"/>
  <c r="Z297" i="28"/>
  <c r="Z296" i="28"/>
  <c r="Z299" i="28"/>
  <c r="Z295" i="28"/>
  <c r="Z294" i="28"/>
  <c r="Z298" i="28"/>
  <c r="AA312" i="28"/>
  <c r="AA308" i="28"/>
  <c r="AA313" i="28"/>
  <c r="AA309" i="28"/>
  <c r="AA311" i="28"/>
  <c r="AA310" i="28"/>
  <c r="AA283" i="28"/>
  <c r="AA284" i="28"/>
  <c r="AA285" i="28"/>
  <c r="AA286" i="28"/>
  <c r="AA282" i="28"/>
  <c r="AA287" i="28"/>
  <c r="N187" i="29"/>
  <c r="N185" i="29"/>
  <c r="N183" i="29"/>
  <c r="N184" i="29"/>
  <c r="N182" i="29"/>
  <c r="N186" i="29"/>
  <c r="AA116" i="29"/>
  <c r="AA121" i="29"/>
  <c r="AA117" i="29"/>
  <c r="AA118" i="29"/>
  <c r="AA119" i="29"/>
  <c r="AA120" i="29"/>
  <c r="T110" i="31"/>
  <c r="Q158" i="29"/>
  <c r="Q156" i="29"/>
  <c r="Q160" i="29"/>
  <c r="Q159" i="29"/>
  <c r="Q157" i="29"/>
  <c r="Q161" i="29"/>
  <c r="X156" i="29"/>
  <c r="X160" i="29"/>
  <c r="X158" i="29"/>
  <c r="X157" i="29"/>
  <c r="X161" i="29"/>
  <c r="X159" i="29"/>
  <c r="T161" i="29"/>
  <c r="T159" i="29"/>
  <c r="T157" i="29"/>
  <c r="T158" i="29"/>
  <c r="T156" i="29"/>
  <c r="T160" i="29"/>
  <c r="V159" i="29"/>
  <c r="V158" i="29"/>
  <c r="V157" i="29"/>
  <c r="V156" i="29"/>
  <c r="V161" i="29"/>
  <c r="V160" i="29"/>
  <c r="U391" i="29"/>
  <c r="U387" i="29"/>
  <c r="U390" i="29"/>
  <c r="U389" i="29"/>
  <c r="U388" i="29"/>
  <c r="U392" i="29"/>
  <c r="Q390" i="29"/>
  <c r="Q392" i="29"/>
  <c r="Q388" i="29"/>
  <c r="Q387" i="29"/>
  <c r="Q389" i="29"/>
  <c r="Q391" i="29"/>
  <c r="P387" i="29"/>
  <c r="P390" i="29"/>
  <c r="P391" i="29"/>
  <c r="P389" i="29"/>
  <c r="P392" i="29"/>
  <c r="P388" i="29"/>
  <c r="AB389" i="29"/>
  <c r="AB390" i="29"/>
  <c r="AB388" i="29"/>
  <c r="AB387" i="29"/>
  <c r="AB391" i="29"/>
  <c r="AB392" i="29"/>
  <c r="X160" i="31"/>
  <c r="O164" i="31"/>
  <c r="Z162" i="31"/>
  <c r="O122" i="28"/>
  <c r="U146" i="28"/>
  <c r="U147" i="28"/>
  <c r="Q71" i="28"/>
  <c r="V134" i="28"/>
  <c r="V132" i="28"/>
  <c r="Y119" i="28"/>
  <c r="Y123" i="28"/>
  <c r="N132" i="28"/>
  <c r="N133" i="28"/>
  <c r="Q120" i="28"/>
  <c r="Q119" i="28"/>
  <c r="T148" i="28"/>
  <c r="T149" i="28"/>
  <c r="Q145" i="28"/>
  <c r="Q149" i="28"/>
  <c r="N138" i="31"/>
  <c r="N133" i="31"/>
  <c r="N136" i="31"/>
  <c r="N135" i="31"/>
  <c r="N137" i="31"/>
  <c r="N134" i="31"/>
  <c r="P188" i="31"/>
  <c r="P187" i="31"/>
  <c r="P192" i="31"/>
  <c r="P189" i="31"/>
  <c r="P190" i="31"/>
  <c r="P191" i="31"/>
  <c r="Q174" i="28"/>
  <c r="Q172" i="28"/>
  <c r="Q171" i="28"/>
  <c r="Q173" i="28"/>
  <c r="Q176" i="28"/>
  <c r="Q175" i="28"/>
  <c r="V150" i="31"/>
  <c r="V148" i="31"/>
  <c r="V152" i="31"/>
  <c r="V147" i="31"/>
  <c r="V151" i="31"/>
  <c r="V149" i="31"/>
  <c r="V272" i="28"/>
  <c r="V274" i="28"/>
  <c r="V269" i="28"/>
  <c r="V270" i="28"/>
  <c r="V271" i="28"/>
  <c r="V273" i="28"/>
  <c r="X323" i="28"/>
  <c r="X325" i="28"/>
  <c r="X321" i="28"/>
  <c r="X322" i="28"/>
  <c r="X326" i="28"/>
  <c r="X324" i="28"/>
  <c r="X298" i="28"/>
  <c r="X297" i="28"/>
  <c r="X295" i="28"/>
  <c r="X294" i="28"/>
  <c r="X299" i="28"/>
  <c r="X296" i="28"/>
  <c r="Z169" i="29"/>
  <c r="Z173" i="29"/>
  <c r="Z174" i="29"/>
  <c r="Z171" i="29"/>
  <c r="Z172" i="29"/>
  <c r="Z170" i="29"/>
  <c r="AB195" i="29"/>
  <c r="AB197" i="29"/>
  <c r="AB194" i="29"/>
  <c r="AB198" i="29"/>
  <c r="AB196" i="29"/>
  <c r="AB199" i="29"/>
  <c r="Y220" i="28"/>
  <c r="Y221" i="28"/>
  <c r="Y217" i="28"/>
  <c r="Y222" i="28"/>
  <c r="Y218" i="28"/>
  <c r="Y219" i="28"/>
  <c r="S220" i="28"/>
  <c r="S222" i="28"/>
  <c r="S219" i="28"/>
  <c r="S218" i="28"/>
  <c r="S221" i="28"/>
  <c r="S217" i="28"/>
  <c r="W309" i="28"/>
  <c r="W313" i="28"/>
  <c r="W312" i="28"/>
  <c r="W308" i="28"/>
  <c r="W311" i="28"/>
  <c r="W310" i="28"/>
  <c r="W282" i="28"/>
  <c r="W286" i="28"/>
  <c r="W287" i="28"/>
  <c r="W284" i="28"/>
  <c r="W285" i="28"/>
  <c r="W283" i="28"/>
  <c r="Y136" i="31"/>
  <c r="Y134" i="31"/>
  <c r="Y137" i="31"/>
  <c r="Y138" i="31"/>
  <c r="Y135" i="31"/>
  <c r="Y133" i="31"/>
  <c r="AA188" i="31"/>
  <c r="AA189" i="31"/>
  <c r="AA190" i="31"/>
  <c r="AA187" i="31"/>
  <c r="AA192" i="31"/>
  <c r="AA191" i="31"/>
  <c r="W120" i="29"/>
  <c r="W117" i="29"/>
  <c r="W118" i="29"/>
  <c r="W119" i="29"/>
  <c r="W121" i="29"/>
  <c r="W116" i="29"/>
  <c r="P163" i="28"/>
  <c r="P158" i="28"/>
  <c r="P159" i="28"/>
  <c r="P161" i="28"/>
  <c r="P162" i="28"/>
  <c r="P160" i="28"/>
  <c r="P313" i="28"/>
  <c r="P311" i="28"/>
  <c r="P308" i="28"/>
  <c r="P312" i="28"/>
  <c r="P310" i="28"/>
  <c r="P309" i="28"/>
  <c r="S169" i="29"/>
  <c r="S170" i="29"/>
  <c r="S171" i="29"/>
  <c r="S172" i="29"/>
  <c r="S173" i="29"/>
  <c r="S174" i="29"/>
  <c r="V161" i="28"/>
  <c r="V162" i="28"/>
  <c r="V159" i="28"/>
  <c r="V163" i="28"/>
  <c r="V158" i="28"/>
  <c r="V160" i="28"/>
  <c r="X176" i="31"/>
  <c r="X175" i="31"/>
  <c r="X178" i="31"/>
  <c r="X173" i="31"/>
  <c r="X177" i="31"/>
  <c r="X174" i="31"/>
  <c r="Z187" i="29"/>
  <c r="Z182" i="29"/>
  <c r="Z183" i="29"/>
  <c r="Z185" i="29"/>
  <c r="Z186" i="29"/>
  <c r="Z184" i="29"/>
  <c r="X218" i="28"/>
  <c r="X219" i="28"/>
  <c r="X217" i="28"/>
  <c r="X220" i="28"/>
  <c r="X221" i="28"/>
  <c r="X222" i="28"/>
  <c r="AB325" i="28"/>
  <c r="AB324" i="28"/>
  <c r="AB321" i="28"/>
  <c r="AB323" i="28"/>
  <c r="AB326" i="28"/>
  <c r="AB322" i="28"/>
  <c r="AB298" i="28"/>
  <c r="AB299" i="28"/>
  <c r="AB295" i="28"/>
  <c r="AB297" i="28"/>
  <c r="AB294" i="28"/>
  <c r="AB296" i="28"/>
  <c r="O185" i="29"/>
  <c r="O186" i="29"/>
  <c r="O187" i="29"/>
  <c r="O184" i="29"/>
  <c r="O182" i="29"/>
  <c r="O183" i="29"/>
  <c r="X134" i="29"/>
  <c r="X130" i="29"/>
  <c r="X131" i="29"/>
  <c r="X132" i="29"/>
  <c r="X133" i="29"/>
  <c r="X129" i="29"/>
  <c r="U173" i="28"/>
  <c r="U171" i="28"/>
  <c r="U176" i="28"/>
  <c r="U174" i="28"/>
  <c r="U175" i="28"/>
  <c r="U172" i="28"/>
  <c r="Y151" i="31"/>
  <c r="Y149" i="31"/>
  <c r="Y148" i="31"/>
  <c r="Y152" i="31"/>
  <c r="Y150" i="31"/>
  <c r="Y147" i="31"/>
  <c r="Z287" i="28"/>
  <c r="Z285" i="28"/>
  <c r="Z283" i="28"/>
  <c r="Z286" i="28"/>
  <c r="Z284" i="28"/>
  <c r="Z282" i="28"/>
  <c r="Z326" i="28"/>
  <c r="Z323" i="28"/>
  <c r="Z321" i="28"/>
  <c r="Z324" i="28"/>
  <c r="Z322" i="28"/>
  <c r="Z325" i="28"/>
  <c r="AB171" i="29"/>
  <c r="AB174" i="29"/>
  <c r="AB172" i="29"/>
  <c r="AB169" i="29"/>
  <c r="AB173" i="29"/>
  <c r="AB170" i="29"/>
  <c r="AB219" i="28"/>
  <c r="AB222" i="28"/>
  <c r="AB218" i="28"/>
  <c r="AB217" i="28"/>
  <c r="AB220" i="28"/>
  <c r="AB221" i="28"/>
  <c r="O171" i="28"/>
  <c r="O176" i="28"/>
  <c r="O175" i="28"/>
  <c r="O173" i="28"/>
  <c r="O174" i="28"/>
  <c r="O172" i="28"/>
  <c r="O297" i="28"/>
  <c r="O295" i="28"/>
  <c r="O299" i="28"/>
  <c r="O298" i="28"/>
  <c r="O296" i="28"/>
  <c r="O294" i="28"/>
  <c r="Q172" i="29"/>
  <c r="Q174" i="29"/>
  <c r="Q169" i="29"/>
  <c r="Q171" i="29"/>
  <c r="Q170" i="29"/>
  <c r="Q173" i="29"/>
  <c r="T194" i="29"/>
  <c r="T198" i="29"/>
  <c r="T199" i="29"/>
  <c r="T197" i="29"/>
  <c r="T196" i="29"/>
  <c r="T195" i="29"/>
  <c r="Q196" i="29"/>
  <c r="Q195" i="29"/>
  <c r="Q197" i="29"/>
  <c r="Q198" i="29"/>
  <c r="Q194" i="29"/>
  <c r="Q199" i="29"/>
  <c r="N161" i="28"/>
  <c r="N160" i="28"/>
  <c r="N158" i="28"/>
  <c r="N162" i="28"/>
  <c r="N163" i="28"/>
  <c r="N159" i="28"/>
  <c r="S148" i="31"/>
  <c r="S150" i="31"/>
  <c r="S149" i="31"/>
  <c r="S147" i="31"/>
  <c r="S152" i="31"/>
  <c r="S151" i="31"/>
  <c r="AB106" i="29"/>
  <c r="AB108" i="29"/>
  <c r="AB107" i="29"/>
  <c r="AB109" i="29"/>
  <c r="AB105" i="29"/>
  <c r="AB104" i="29"/>
  <c r="Y322" i="28"/>
  <c r="Y323" i="28"/>
  <c r="Y325" i="28"/>
  <c r="Y326" i="28"/>
  <c r="Y321" i="28"/>
  <c r="Y324" i="28"/>
  <c r="Y283" i="28"/>
  <c r="Y285" i="28"/>
  <c r="Y287" i="28"/>
  <c r="Y286" i="28"/>
  <c r="Y284" i="28"/>
  <c r="Y282" i="28"/>
  <c r="AA174" i="29"/>
  <c r="AA169" i="29"/>
  <c r="AA170" i="29"/>
  <c r="AA173" i="29"/>
  <c r="AA171" i="29"/>
  <c r="AA172" i="29"/>
  <c r="AB269" i="28"/>
  <c r="AB273" i="28"/>
  <c r="AB272" i="28"/>
  <c r="AB274" i="28"/>
  <c r="AB270" i="28"/>
  <c r="AB271" i="28"/>
  <c r="O174" i="29"/>
  <c r="O172" i="29"/>
  <c r="O171" i="29"/>
  <c r="O170" i="29"/>
  <c r="O169" i="29"/>
  <c r="O173" i="29"/>
  <c r="T287" i="28"/>
  <c r="T285" i="28"/>
  <c r="T282" i="28"/>
  <c r="T286" i="28"/>
  <c r="T284" i="28"/>
  <c r="T283" i="28"/>
  <c r="V177" i="31"/>
  <c r="V173" i="31"/>
  <c r="V174" i="31"/>
  <c r="V176" i="31"/>
  <c r="V178" i="31"/>
  <c r="V175" i="31"/>
  <c r="X183" i="29"/>
  <c r="X187" i="29"/>
  <c r="X184" i="29"/>
  <c r="X185" i="29"/>
  <c r="X186" i="29"/>
  <c r="X182" i="29"/>
  <c r="U218" i="28"/>
  <c r="U217" i="28"/>
  <c r="U219" i="28"/>
  <c r="U221" i="28"/>
  <c r="U222" i="28"/>
  <c r="U220" i="28"/>
  <c r="P272" i="28"/>
  <c r="P274" i="28"/>
  <c r="P273" i="28"/>
  <c r="P270" i="28"/>
  <c r="P269" i="28"/>
  <c r="P271" i="28"/>
  <c r="S175" i="28"/>
  <c r="S172" i="28"/>
  <c r="S174" i="28"/>
  <c r="S173" i="28"/>
  <c r="S171" i="28"/>
  <c r="S176" i="28"/>
  <c r="S297" i="28"/>
  <c r="S299" i="28"/>
  <c r="S295" i="28"/>
  <c r="S296" i="28"/>
  <c r="S298" i="28"/>
  <c r="S294" i="28"/>
  <c r="U171" i="29"/>
  <c r="U172" i="29"/>
  <c r="U169" i="29"/>
  <c r="U170" i="29"/>
  <c r="U173" i="29"/>
  <c r="U174" i="29"/>
  <c r="W198" i="29"/>
  <c r="W199" i="29"/>
  <c r="W196" i="29"/>
  <c r="W195" i="29"/>
  <c r="W194" i="29"/>
  <c r="W197" i="29"/>
  <c r="T119" i="29"/>
  <c r="T121" i="29"/>
  <c r="T117" i="29"/>
  <c r="T116" i="29"/>
  <c r="T118" i="29"/>
  <c r="T120" i="29"/>
  <c r="N405" i="29"/>
  <c r="N402" i="29"/>
  <c r="N404" i="29"/>
  <c r="N403" i="29"/>
  <c r="N401" i="29"/>
  <c r="N400" i="29"/>
  <c r="P299" i="28"/>
  <c r="P296" i="28"/>
  <c r="P297" i="28"/>
  <c r="P294" i="28"/>
  <c r="P295" i="28"/>
  <c r="P298" i="28"/>
  <c r="V218" i="28"/>
  <c r="V222" i="28"/>
  <c r="V221" i="28"/>
  <c r="V217" i="28"/>
  <c r="V219" i="28"/>
  <c r="V220" i="28"/>
  <c r="AA176" i="28"/>
  <c r="AA175" i="28"/>
  <c r="AA174" i="28"/>
  <c r="AA173" i="28"/>
  <c r="AA172" i="28"/>
  <c r="AA171" i="28"/>
  <c r="N148" i="31"/>
  <c r="N149" i="31"/>
  <c r="N152" i="31"/>
  <c r="N151" i="31"/>
  <c r="N147" i="31"/>
  <c r="N150" i="31"/>
  <c r="Y121" i="29"/>
  <c r="Y117" i="29"/>
  <c r="Y118" i="29"/>
  <c r="Y120" i="29"/>
  <c r="Y116" i="29"/>
  <c r="Y119" i="29"/>
  <c r="R372" i="31"/>
  <c r="R94" i="31"/>
  <c r="R385" i="31"/>
  <c r="R384" i="31"/>
  <c r="R382" i="31"/>
  <c r="R386" i="31"/>
  <c r="R383" i="31"/>
  <c r="R387" i="31"/>
  <c r="T69" i="31"/>
  <c r="Z91" i="31"/>
  <c r="W109" i="31"/>
  <c r="T107" i="31"/>
  <c r="S92" i="31"/>
  <c r="AB161" i="29"/>
  <c r="AB157" i="29"/>
  <c r="AB160" i="29"/>
  <c r="AB156" i="29"/>
  <c r="AB158" i="29"/>
  <c r="AB159" i="29"/>
  <c r="AA157" i="29"/>
  <c r="AA159" i="29"/>
  <c r="AA158" i="29"/>
  <c r="AA161" i="29"/>
  <c r="AA156" i="29"/>
  <c r="AA160" i="29"/>
  <c r="U159" i="29"/>
  <c r="U161" i="29"/>
  <c r="U158" i="29"/>
  <c r="U157" i="29"/>
  <c r="U156" i="29"/>
  <c r="U160" i="29"/>
  <c r="O159" i="29"/>
  <c r="O156" i="29"/>
  <c r="O158" i="29"/>
  <c r="O160" i="29"/>
  <c r="O157" i="29"/>
  <c r="O161" i="29"/>
  <c r="Z391" i="29"/>
  <c r="Z387" i="29"/>
  <c r="Z388" i="29"/>
  <c r="Z390" i="29"/>
  <c r="Z389" i="29"/>
  <c r="Z392" i="29"/>
  <c r="T392" i="29"/>
  <c r="T388" i="29"/>
  <c r="T390" i="29"/>
  <c r="T387" i="29"/>
  <c r="T391" i="29"/>
  <c r="T389" i="29"/>
  <c r="V390" i="29"/>
  <c r="V392" i="29"/>
  <c r="V388" i="29"/>
  <c r="V391" i="29"/>
  <c r="V387" i="29"/>
  <c r="V389" i="29"/>
  <c r="Y392" i="29"/>
  <c r="Y388" i="29"/>
  <c r="Y391" i="29"/>
  <c r="Y390" i="29"/>
  <c r="Y389" i="29"/>
  <c r="Y387" i="29"/>
  <c r="X162" i="31"/>
  <c r="N162" i="31"/>
  <c r="S163" i="31"/>
  <c r="S164" i="31"/>
  <c r="Y162" i="31"/>
  <c r="N159" i="31"/>
  <c r="V161" i="31"/>
  <c r="U160" i="31"/>
  <c r="AA159" i="31"/>
  <c r="P164" i="31"/>
  <c r="P161" i="31"/>
  <c r="AA160" i="31"/>
  <c r="P163" i="31"/>
  <c r="O123" i="28"/>
  <c r="Q133" i="28"/>
  <c r="Q134" i="28"/>
  <c r="T67" i="28"/>
  <c r="U149" i="28"/>
  <c r="U148" i="28"/>
  <c r="Q68" i="28"/>
  <c r="V148" i="28"/>
  <c r="U119" i="28"/>
  <c r="W146" i="28"/>
  <c r="W148" i="28"/>
  <c r="T121" i="28"/>
  <c r="V137" i="28"/>
  <c r="V136" i="28"/>
  <c r="Z119" i="28"/>
  <c r="Y148" i="28"/>
  <c r="Z147" i="28"/>
  <c r="Y121" i="28"/>
  <c r="Y122" i="28"/>
  <c r="AA149" i="28"/>
  <c r="X124" i="28"/>
  <c r="Z71" i="28"/>
  <c r="N135" i="28"/>
  <c r="N136" i="28"/>
  <c r="Q122" i="28"/>
  <c r="Q121" i="28"/>
  <c r="T146" i="28"/>
  <c r="T147" i="28"/>
  <c r="Q146" i="28"/>
  <c r="Q148" i="28"/>
  <c r="S119" i="28"/>
  <c r="N121" i="28"/>
  <c r="N123" i="28"/>
  <c r="AA120" i="28"/>
  <c r="S124" i="28"/>
  <c r="N177" i="31"/>
  <c r="N174" i="31"/>
  <c r="N178" i="31"/>
  <c r="N173" i="31"/>
  <c r="N175" i="31"/>
  <c r="N176" i="31"/>
  <c r="P184" i="29"/>
  <c r="P186" i="29"/>
  <c r="P185" i="29"/>
  <c r="P187" i="29"/>
  <c r="P183" i="29"/>
  <c r="P182" i="29"/>
  <c r="O269" i="28"/>
  <c r="O270" i="28"/>
  <c r="O272" i="28"/>
  <c r="O273" i="28"/>
  <c r="O271" i="28"/>
  <c r="O274" i="28"/>
  <c r="Q311" i="28"/>
  <c r="Q310" i="28"/>
  <c r="Q313" i="28"/>
  <c r="Q312" i="28"/>
  <c r="Q309" i="28"/>
  <c r="Q308" i="28"/>
  <c r="T137" i="31"/>
  <c r="T136" i="31"/>
  <c r="T134" i="31"/>
  <c r="T135" i="31"/>
  <c r="T138" i="31"/>
  <c r="T133" i="31"/>
  <c r="V187" i="31"/>
  <c r="V190" i="31"/>
  <c r="V191" i="31"/>
  <c r="V192" i="31"/>
  <c r="V188" i="31"/>
  <c r="V189" i="31"/>
  <c r="X175" i="28"/>
  <c r="X173" i="28"/>
  <c r="X172" i="28"/>
  <c r="X174" i="28"/>
  <c r="X171" i="28"/>
  <c r="X176" i="28"/>
  <c r="AB152" i="31"/>
  <c r="AB150" i="31"/>
  <c r="AB147" i="31"/>
  <c r="AB149" i="31"/>
  <c r="AB148" i="31"/>
  <c r="AB151" i="31"/>
  <c r="Q218" i="28"/>
  <c r="Q221" i="28"/>
  <c r="Q220" i="28"/>
  <c r="Q219" i="28"/>
  <c r="Q217" i="28"/>
  <c r="Q222" i="28"/>
  <c r="Z196" i="29"/>
  <c r="Z199" i="29"/>
  <c r="Z198" i="29"/>
  <c r="Z197" i="29"/>
  <c r="Z194" i="29"/>
  <c r="Z195" i="29"/>
  <c r="W324" i="28"/>
  <c r="W326" i="28"/>
  <c r="W323" i="28"/>
  <c r="W325" i="28"/>
  <c r="W321" i="28"/>
  <c r="W322" i="28"/>
  <c r="Y173" i="31"/>
  <c r="Y178" i="31"/>
  <c r="Y175" i="31"/>
  <c r="Y176" i="31"/>
  <c r="Y177" i="31"/>
  <c r="Y174" i="31"/>
  <c r="AA183" i="29"/>
  <c r="AA184" i="29"/>
  <c r="AA187" i="29"/>
  <c r="AA182" i="29"/>
  <c r="AA186" i="29"/>
  <c r="AA185" i="29"/>
  <c r="T147" i="29"/>
  <c r="T148" i="29"/>
  <c r="T145" i="29"/>
  <c r="T144" i="29"/>
  <c r="T143" i="29"/>
  <c r="T146" i="29"/>
  <c r="P284" i="28"/>
  <c r="P285" i="28"/>
  <c r="P287" i="28"/>
  <c r="P283" i="28"/>
  <c r="P282" i="28"/>
  <c r="P286" i="28"/>
  <c r="U150" i="31"/>
  <c r="U147" i="31"/>
  <c r="U151" i="31"/>
  <c r="U149" i="31"/>
  <c r="U152" i="31"/>
  <c r="U148" i="31"/>
  <c r="V284" i="28"/>
  <c r="V283" i="28"/>
  <c r="V282" i="28"/>
  <c r="V285" i="28"/>
  <c r="V286" i="28"/>
  <c r="V287" i="28"/>
  <c r="V325" i="28"/>
  <c r="V322" i="28"/>
  <c r="V323" i="28"/>
  <c r="V326" i="28"/>
  <c r="V321" i="28"/>
  <c r="V324" i="28"/>
  <c r="X173" i="29"/>
  <c r="X170" i="29"/>
  <c r="X169" i="29"/>
  <c r="X174" i="29"/>
  <c r="X172" i="29"/>
  <c r="X171" i="29"/>
  <c r="AB171" i="28"/>
  <c r="AB174" i="28"/>
  <c r="AB175" i="28"/>
  <c r="AB176" i="28"/>
  <c r="AB173" i="28"/>
  <c r="AB172" i="28"/>
  <c r="O195" i="29"/>
  <c r="O197" i="29"/>
  <c r="O199" i="29"/>
  <c r="O198" i="29"/>
  <c r="O194" i="29"/>
  <c r="O196" i="29"/>
  <c r="Y273" i="28"/>
  <c r="Y271" i="28"/>
  <c r="Y270" i="28"/>
  <c r="Y274" i="28"/>
  <c r="Y272" i="28"/>
  <c r="Y269" i="28"/>
  <c r="S271" i="28"/>
  <c r="S270" i="28"/>
  <c r="S272" i="28"/>
  <c r="S269" i="28"/>
  <c r="S273" i="28"/>
  <c r="S274" i="28"/>
  <c r="U312" i="28"/>
  <c r="U308" i="28"/>
  <c r="U310" i="28"/>
  <c r="U311" i="28"/>
  <c r="U313" i="28"/>
  <c r="U309" i="28"/>
  <c r="W135" i="31"/>
  <c r="W133" i="31"/>
  <c r="W134" i="31"/>
  <c r="W138" i="31"/>
  <c r="W136" i="31"/>
  <c r="W137" i="31"/>
  <c r="Y188" i="31"/>
  <c r="Y192" i="31"/>
  <c r="Y191" i="31"/>
  <c r="Y189" i="31"/>
  <c r="Y187" i="31"/>
  <c r="Y190" i="31"/>
  <c r="Z173" i="28"/>
  <c r="Z172" i="28"/>
  <c r="Z174" i="28"/>
  <c r="Z176" i="28"/>
  <c r="Z175" i="28"/>
  <c r="Z171" i="28"/>
  <c r="O159" i="28"/>
  <c r="O160" i="28"/>
  <c r="O158" i="28"/>
  <c r="O163" i="28"/>
  <c r="O161" i="28"/>
  <c r="O162" i="28"/>
  <c r="T151" i="31"/>
  <c r="T150" i="31"/>
  <c r="T149" i="31"/>
  <c r="T147" i="31"/>
  <c r="T152" i="31"/>
  <c r="T148" i="31"/>
  <c r="U297" i="28"/>
  <c r="U296" i="28"/>
  <c r="U299" i="28"/>
  <c r="U294" i="28"/>
  <c r="U295" i="28"/>
  <c r="U298" i="28"/>
  <c r="N283" i="28"/>
  <c r="N287" i="28"/>
  <c r="N286" i="28"/>
  <c r="N285" i="28"/>
  <c r="N282" i="28"/>
  <c r="N284" i="28"/>
  <c r="N325" i="28"/>
  <c r="N326" i="28"/>
  <c r="N323" i="28"/>
  <c r="N322" i="28"/>
  <c r="N324" i="28"/>
  <c r="N321" i="28"/>
  <c r="P135" i="31"/>
  <c r="P136" i="31"/>
  <c r="P138" i="31"/>
  <c r="P134" i="31"/>
  <c r="P137" i="31"/>
  <c r="P133" i="31"/>
  <c r="S189" i="31"/>
  <c r="S192" i="31"/>
  <c r="S187" i="31"/>
  <c r="S190" i="31"/>
  <c r="S188" i="31"/>
  <c r="S191" i="31"/>
  <c r="Y176" i="28"/>
  <c r="Y172" i="28"/>
  <c r="Y175" i="28"/>
  <c r="Y174" i="28"/>
  <c r="Y171" i="28"/>
  <c r="Y173" i="28"/>
  <c r="Q152" i="31"/>
  <c r="Q149" i="31"/>
  <c r="Q148" i="31"/>
  <c r="Q147" i="31"/>
  <c r="Q151" i="31"/>
  <c r="Q150" i="31"/>
  <c r="Q271" i="28"/>
  <c r="Q274" i="28"/>
  <c r="Q273" i="28"/>
  <c r="Q272" i="28"/>
  <c r="Q270" i="28"/>
  <c r="Q269" i="28"/>
  <c r="T322" i="28"/>
  <c r="T325" i="28"/>
  <c r="T326" i="28"/>
  <c r="T324" i="28"/>
  <c r="T321" i="28"/>
  <c r="T323" i="28"/>
  <c r="T297" i="28"/>
  <c r="T294" i="28"/>
  <c r="T295" i="28"/>
  <c r="T299" i="28"/>
  <c r="T298" i="28"/>
  <c r="T296" i="28"/>
  <c r="V171" i="29"/>
  <c r="V174" i="29"/>
  <c r="V170" i="29"/>
  <c r="V173" i="29"/>
  <c r="V172" i="29"/>
  <c r="V169" i="29"/>
  <c r="X198" i="29"/>
  <c r="X199" i="29"/>
  <c r="X196" i="29"/>
  <c r="X194" i="29"/>
  <c r="X195" i="29"/>
  <c r="X197" i="29"/>
  <c r="Q297" i="28"/>
  <c r="Q294" i="28"/>
  <c r="Q295" i="28"/>
  <c r="Q299" i="28"/>
  <c r="Q298" i="28"/>
  <c r="Q296" i="28"/>
  <c r="S161" i="28"/>
  <c r="S162" i="28"/>
  <c r="S160" i="28"/>
  <c r="S158" i="28"/>
  <c r="S163" i="28"/>
  <c r="S159" i="28"/>
  <c r="W151" i="31"/>
  <c r="W148" i="31"/>
  <c r="W152" i="31"/>
  <c r="W147" i="31"/>
  <c r="W150" i="31"/>
  <c r="W149" i="31"/>
  <c r="N109" i="29"/>
  <c r="N106" i="29"/>
  <c r="N104" i="29"/>
  <c r="N107" i="29"/>
  <c r="N108" i="29"/>
  <c r="N105" i="29"/>
  <c r="U116" i="29"/>
  <c r="U120" i="29"/>
  <c r="U117" i="29"/>
  <c r="U119" i="29"/>
  <c r="U121" i="29"/>
  <c r="U118" i="29"/>
  <c r="Q117" i="29"/>
  <c r="Q118" i="29"/>
  <c r="Q119" i="29"/>
  <c r="Q116" i="29"/>
  <c r="Q121" i="29"/>
  <c r="Q120" i="29"/>
  <c r="U109" i="29"/>
  <c r="U106" i="29"/>
  <c r="U107" i="29"/>
  <c r="U104" i="29"/>
  <c r="U108" i="29"/>
  <c r="U105" i="29"/>
  <c r="AA160" i="28"/>
  <c r="AA162" i="28"/>
  <c r="AA161" i="28"/>
  <c r="AA159" i="28"/>
  <c r="AA158" i="28"/>
  <c r="AA163" i="28"/>
  <c r="N188" i="31"/>
  <c r="N192" i="31"/>
  <c r="N190" i="31"/>
  <c r="N189" i="31"/>
  <c r="N191" i="31"/>
  <c r="N187" i="31"/>
  <c r="R160" i="31"/>
  <c r="R80" i="31"/>
  <c r="N160" i="29"/>
  <c r="N158" i="29"/>
  <c r="N157" i="29"/>
  <c r="N159" i="29"/>
  <c r="N161" i="29"/>
  <c r="N156" i="29"/>
  <c r="W161" i="29"/>
  <c r="W159" i="29"/>
  <c r="W157" i="29"/>
  <c r="W160" i="29"/>
  <c r="W156" i="29"/>
  <c r="W158" i="29"/>
  <c r="S390" i="29"/>
  <c r="S387" i="29"/>
  <c r="S388" i="29"/>
  <c r="S392" i="29"/>
  <c r="S391" i="29"/>
  <c r="S389" i="29"/>
  <c r="R255" i="29"/>
  <c r="R256" i="29"/>
  <c r="R258" i="29"/>
  <c r="R253" i="29"/>
  <c r="R254" i="29"/>
  <c r="R257" i="29"/>
  <c r="AA271" i="28"/>
  <c r="AA272" i="28"/>
  <c r="AA269" i="28"/>
  <c r="AA273" i="28"/>
  <c r="AA270" i="28"/>
  <c r="AA274" i="28"/>
  <c r="T173" i="31"/>
  <c r="T177" i="31"/>
  <c r="T174" i="31"/>
  <c r="T178" i="31"/>
  <c r="T175" i="31"/>
  <c r="T176" i="31"/>
  <c r="X163" i="28"/>
  <c r="X162" i="28"/>
  <c r="X160" i="28"/>
  <c r="X158" i="28"/>
  <c r="X161" i="28"/>
  <c r="X159" i="28"/>
  <c r="Z138" i="31"/>
  <c r="Z137" i="31"/>
  <c r="Z136" i="31"/>
  <c r="Z133" i="31"/>
  <c r="Z134" i="31"/>
  <c r="Z135" i="31"/>
  <c r="U273" i="28"/>
  <c r="U271" i="28"/>
  <c r="U269" i="28"/>
  <c r="U272" i="28"/>
  <c r="U274" i="28"/>
  <c r="U270" i="28"/>
  <c r="Y174" i="29"/>
  <c r="Y170" i="29"/>
  <c r="Y172" i="29"/>
  <c r="Y169" i="29"/>
  <c r="Y171" i="29"/>
  <c r="Y173" i="29"/>
  <c r="N274" i="28"/>
  <c r="N270" i="28"/>
  <c r="N272" i="28"/>
  <c r="N271" i="28"/>
  <c r="N269" i="28"/>
  <c r="N273" i="28"/>
  <c r="U192" i="31"/>
  <c r="U191" i="31"/>
  <c r="U189" i="31"/>
  <c r="U190" i="31"/>
  <c r="U188" i="31"/>
  <c r="U187" i="31"/>
  <c r="V116" i="29"/>
  <c r="V118" i="29"/>
  <c r="V120" i="29"/>
  <c r="V119" i="29"/>
  <c r="V117" i="29"/>
  <c r="V121" i="29"/>
  <c r="S122" i="28"/>
  <c r="S123" i="28"/>
  <c r="Y182" i="29"/>
  <c r="Y187" i="29"/>
  <c r="Y184" i="29"/>
  <c r="Y186" i="29"/>
  <c r="Y183" i="29"/>
  <c r="Y185" i="29"/>
  <c r="Z313" i="28"/>
  <c r="Z312" i="28"/>
  <c r="Z311" i="28"/>
  <c r="Z308" i="28"/>
  <c r="Z310" i="28"/>
  <c r="Z309" i="28"/>
  <c r="Q133" i="31"/>
  <c r="Q137" i="31"/>
  <c r="Q135" i="31"/>
  <c r="Q134" i="31"/>
  <c r="Q136" i="31"/>
  <c r="Q138" i="31"/>
  <c r="S182" i="29"/>
  <c r="S184" i="29"/>
  <c r="S183" i="29"/>
  <c r="S185" i="29"/>
  <c r="S187" i="29"/>
  <c r="S186" i="29"/>
  <c r="AA137" i="31"/>
  <c r="AA136" i="31"/>
  <c r="AA133" i="31"/>
  <c r="AA135" i="31"/>
  <c r="AA134" i="31"/>
  <c r="AA138" i="31"/>
  <c r="Q190" i="31"/>
  <c r="Q188" i="31"/>
  <c r="Q191" i="31"/>
  <c r="Q192" i="31"/>
  <c r="Q187" i="31"/>
  <c r="Q189" i="31"/>
  <c r="X149" i="31"/>
  <c r="X148" i="31"/>
  <c r="X147" i="31"/>
  <c r="X150" i="31"/>
  <c r="X152" i="31"/>
  <c r="X151" i="31"/>
  <c r="N222" i="28"/>
  <c r="N218" i="28"/>
  <c r="N220" i="28"/>
  <c r="N219" i="28"/>
  <c r="N221" i="28"/>
  <c r="N217" i="28"/>
  <c r="U133" i="31"/>
  <c r="U138" i="31"/>
  <c r="U137" i="31"/>
  <c r="U136" i="31"/>
  <c r="U135" i="31"/>
  <c r="U134" i="31"/>
  <c r="Z274" i="28"/>
  <c r="Z270" i="28"/>
  <c r="Z269" i="28"/>
  <c r="Z271" i="28"/>
  <c r="Z273" i="28"/>
  <c r="Z272" i="28"/>
  <c r="T109" i="31"/>
  <c r="Y159" i="29"/>
  <c r="Y160" i="29"/>
  <c r="Y156" i="29"/>
  <c r="Y157" i="29"/>
  <c r="Y158" i="29"/>
  <c r="Y161" i="29"/>
  <c r="P159" i="29"/>
  <c r="P157" i="29"/>
  <c r="P161" i="29"/>
  <c r="P156" i="29"/>
  <c r="P160" i="29"/>
  <c r="P158" i="29"/>
  <c r="W392" i="29"/>
  <c r="W387" i="29"/>
  <c r="W390" i="29"/>
  <c r="W389" i="29"/>
  <c r="W388" i="29"/>
  <c r="W391" i="29"/>
  <c r="O388" i="29"/>
  <c r="O392" i="29"/>
  <c r="O389" i="29"/>
  <c r="O387" i="29"/>
  <c r="O391" i="29"/>
  <c r="O390" i="29"/>
  <c r="X390" i="29"/>
  <c r="X392" i="29"/>
  <c r="X389" i="29"/>
  <c r="X391" i="29"/>
  <c r="X388" i="29"/>
  <c r="X387" i="29"/>
  <c r="X159" i="31"/>
  <c r="Z164" i="31"/>
  <c r="O160" i="31"/>
  <c r="Z163" i="31"/>
  <c r="O121" i="28"/>
  <c r="Q137" i="28"/>
  <c r="Q70" i="28"/>
  <c r="S121" i="28"/>
  <c r="P151" i="31"/>
  <c r="P148" i="31"/>
  <c r="P147" i="31"/>
  <c r="P150" i="31"/>
  <c r="P149" i="31"/>
  <c r="P152" i="31"/>
  <c r="Q322" i="28"/>
  <c r="Q325" i="28"/>
  <c r="Q321" i="28"/>
  <c r="Q323" i="28"/>
  <c r="Q324" i="28"/>
  <c r="Q326" i="28"/>
  <c r="Q287" i="28"/>
  <c r="Q283" i="28"/>
  <c r="Q285" i="28"/>
  <c r="Q284" i="28"/>
  <c r="Q286" i="28"/>
  <c r="Q282" i="28"/>
  <c r="T172" i="29"/>
  <c r="T174" i="29"/>
  <c r="T173" i="29"/>
  <c r="T169" i="29"/>
  <c r="T170" i="29"/>
  <c r="T171" i="29"/>
  <c r="X286" i="28"/>
  <c r="X282" i="28"/>
  <c r="X287" i="28"/>
  <c r="X283" i="28"/>
  <c r="X284" i="28"/>
  <c r="X285" i="28"/>
  <c r="Z178" i="31"/>
  <c r="Z174" i="31"/>
  <c r="Z175" i="31"/>
  <c r="Z177" i="31"/>
  <c r="Z176" i="31"/>
  <c r="Z173" i="31"/>
  <c r="AB187" i="29"/>
  <c r="AB184" i="29"/>
  <c r="AB183" i="29"/>
  <c r="AB182" i="29"/>
  <c r="AB186" i="29"/>
  <c r="AB185" i="29"/>
  <c r="V297" i="28"/>
  <c r="V298" i="28"/>
  <c r="V296" i="28"/>
  <c r="V294" i="28"/>
  <c r="V295" i="28"/>
  <c r="V299" i="28"/>
  <c r="W158" i="28"/>
  <c r="W163" i="28"/>
  <c r="W159" i="28"/>
  <c r="W162" i="28"/>
  <c r="W160" i="28"/>
  <c r="W161" i="28"/>
  <c r="AA148" i="31"/>
  <c r="AA147" i="31"/>
  <c r="AA152" i="31"/>
  <c r="AA150" i="31"/>
  <c r="AA149" i="31"/>
  <c r="AA151" i="31"/>
  <c r="S134" i="29"/>
  <c r="S130" i="29"/>
  <c r="S131" i="29"/>
  <c r="S129" i="29"/>
  <c r="S132" i="29"/>
  <c r="S133" i="29"/>
  <c r="N144" i="29"/>
  <c r="N145" i="29"/>
  <c r="N146" i="29"/>
  <c r="N147" i="29"/>
  <c r="N143" i="29"/>
  <c r="N148" i="29"/>
  <c r="N117" i="29"/>
  <c r="N121" i="29"/>
  <c r="N118" i="29"/>
  <c r="N119" i="29"/>
  <c r="N116" i="29"/>
  <c r="N120" i="29"/>
  <c r="T401" i="29"/>
  <c r="T400" i="29"/>
  <c r="T405" i="29"/>
  <c r="T402" i="29"/>
  <c r="T403" i="29"/>
  <c r="T404" i="29"/>
  <c r="P176" i="28"/>
  <c r="P172" i="28"/>
  <c r="P175" i="28"/>
  <c r="P173" i="28"/>
  <c r="P171" i="28"/>
  <c r="P174" i="28"/>
  <c r="S177" i="31"/>
  <c r="S175" i="31"/>
  <c r="S174" i="31"/>
  <c r="S178" i="31"/>
  <c r="S173" i="31"/>
  <c r="S176" i="31"/>
  <c r="U182" i="29"/>
  <c r="U187" i="29"/>
  <c r="U183" i="29"/>
  <c r="U184" i="29"/>
  <c r="U186" i="29"/>
  <c r="U185" i="29"/>
  <c r="T270" i="28"/>
  <c r="T274" i="28"/>
  <c r="T273" i="28"/>
  <c r="T272" i="28"/>
  <c r="T269" i="28"/>
  <c r="T271" i="28"/>
  <c r="V312" i="28"/>
  <c r="V311" i="28"/>
  <c r="V308" i="28"/>
  <c r="V313" i="28"/>
  <c r="V310" i="28"/>
  <c r="V309" i="28"/>
  <c r="X134" i="31"/>
  <c r="X133" i="31"/>
  <c r="X135" i="31"/>
  <c r="X138" i="31"/>
  <c r="X136" i="31"/>
  <c r="X137" i="31"/>
  <c r="Z188" i="31"/>
  <c r="Z192" i="31"/>
  <c r="Z190" i="31"/>
  <c r="Z189" i="31"/>
  <c r="Z187" i="31"/>
  <c r="Z191" i="31"/>
  <c r="AB282" i="28"/>
  <c r="AB287" i="28"/>
  <c r="AB286" i="28"/>
  <c r="AB283" i="28"/>
  <c r="AB284" i="28"/>
  <c r="AB285" i="28"/>
  <c r="O190" i="31"/>
  <c r="O188" i="31"/>
  <c r="O191" i="31"/>
  <c r="O187" i="31"/>
  <c r="O189" i="31"/>
  <c r="O192" i="31"/>
  <c r="U198" i="29"/>
  <c r="U194" i="29"/>
  <c r="U197" i="29"/>
  <c r="U196" i="29"/>
  <c r="U195" i="29"/>
  <c r="U199" i="29"/>
  <c r="W219" i="28"/>
  <c r="W217" i="28"/>
  <c r="W222" i="28"/>
  <c r="W218" i="28"/>
  <c r="W220" i="28"/>
  <c r="W221" i="28"/>
  <c r="AA294" i="28"/>
  <c r="AA297" i="28"/>
  <c r="AA296" i="28"/>
  <c r="AA295" i="28"/>
  <c r="AA298" i="28"/>
  <c r="AA299" i="28"/>
  <c r="U325" i="28"/>
  <c r="U326" i="28"/>
  <c r="U321" i="28"/>
  <c r="U324" i="28"/>
  <c r="U323" i="28"/>
  <c r="U322" i="28"/>
  <c r="U285" i="28"/>
  <c r="U284" i="28"/>
  <c r="U282" i="28"/>
  <c r="U286" i="28"/>
  <c r="U283" i="28"/>
  <c r="U287" i="28"/>
  <c r="W169" i="29"/>
  <c r="W174" i="29"/>
  <c r="W170" i="29"/>
  <c r="W172" i="29"/>
  <c r="W173" i="29"/>
  <c r="W171" i="29"/>
  <c r="Z161" i="28"/>
  <c r="Z158" i="28"/>
  <c r="Z163" i="28"/>
  <c r="Z162" i="28"/>
  <c r="Z160" i="28"/>
  <c r="Z159" i="28"/>
  <c r="AB175" i="31"/>
  <c r="AB174" i="31"/>
  <c r="AB178" i="31"/>
  <c r="AB176" i="31"/>
  <c r="AB173" i="31"/>
  <c r="AB177" i="31"/>
  <c r="O323" i="28"/>
  <c r="O325" i="28"/>
  <c r="O324" i="28"/>
  <c r="O321" i="28"/>
  <c r="O326" i="28"/>
  <c r="O322" i="28"/>
  <c r="Q175" i="31"/>
  <c r="Q173" i="31"/>
  <c r="Q174" i="31"/>
  <c r="Q177" i="31"/>
  <c r="Q178" i="31"/>
  <c r="Q176" i="31"/>
  <c r="T187" i="29"/>
  <c r="T184" i="29"/>
  <c r="T183" i="29"/>
  <c r="T182" i="29"/>
  <c r="T185" i="29"/>
  <c r="T186" i="29"/>
  <c r="P222" i="28"/>
  <c r="P220" i="28"/>
  <c r="P217" i="28"/>
  <c r="P221" i="28"/>
  <c r="P218" i="28"/>
  <c r="P219" i="28"/>
  <c r="Y198" i="29"/>
  <c r="Y197" i="29"/>
  <c r="Y195" i="29"/>
  <c r="Y196" i="29"/>
  <c r="Y199" i="29"/>
  <c r="Y194" i="29"/>
  <c r="AA221" i="28"/>
  <c r="AA222" i="28"/>
  <c r="AA218" i="28"/>
  <c r="AA217" i="28"/>
  <c r="AA219" i="28"/>
  <c r="AA220" i="28"/>
  <c r="N310" i="28"/>
  <c r="N313" i="28"/>
  <c r="N308" i="28"/>
  <c r="N309" i="28"/>
  <c r="N311" i="28"/>
  <c r="N312" i="28"/>
  <c r="N295" i="28"/>
  <c r="N297" i="28"/>
  <c r="N298" i="28"/>
  <c r="N299" i="28"/>
  <c r="N294" i="28"/>
  <c r="N296" i="28"/>
  <c r="P172" i="29"/>
  <c r="P171" i="29"/>
  <c r="P174" i="29"/>
  <c r="P170" i="29"/>
  <c r="P173" i="29"/>
  <c r="P169" i="29"/>
  <c r="S198" i="29"/>
  <c r="S199" i="29"/>
  <c r="S195" i="29"/>
  <c r="S194" i="29"/>
  <c r="S196" i="29"/>
  <c r="S197" i="29"/>
  <c r="O118" i="29"/>
  <c r="O117" i="29"/>
  <c r="O119" i="29"/>
  <c r="O120" i="29"/>
  <c r="O121" i="29"/>
  <c r="O116" i="29"/>
  <c r="W148" i="29"/>
  <c r="W143" i="29"/>
  <c r="W146" i="29"/>
  <c r="W145" i="29"/>
  <c r="W147" i="29"/>
  <c r="W144" i="29"/>
  <c r="Z120" i="29"/>
  <c r="Z116" i="29"/>
  <c r="Z119" i="29"/>
  <c r="Z121" i="29"/>
  <c r="Z118" i="29"/>
  <c r="Z117" i="29"/>
  <c r="Y162" i="28"/>
  <c r="Y160" i="28"/>
  <c r="Y159" i="28"/>
  <c r="Y163" i="28"/>
  <c r="Y158" i="28"/>
  <c r="Y161" i="28"/>
  <c r="AA175" i="31"/>
  <c r="AA178" i="31"/>
  <c r="AA177" i="31"/>
  <c r="AA176" i="31"/>
  <c r="AA174" i="31"/>
  <c r="AA173" i="31"/>
  <c r="O176" i="31"/>
  <c r="O178" i="31"/>
  <c r="O173" i="31"/>
  <c r="O175" i="31"/>
  <c r="O174" i="31"/>
  <c r="O177" i="31"/>
  <c r="Q185" i="29"/>
  <c r="Q186" i="29"/>
  <c r="Q182" i="29"/>
  <c r="Q187" i="29"/>
  <c r="Q183" i="29"/>
  <c r="Q184" i="29"/>
  <c r="O218" i="28"/>
  <c r="O219" i="28"/>
  <c r="O220" i="28"/>
  <c r="O222" i="28"/>
  <c r="O221" i="28"/>
  <c r="O217" i="28"/>
  <c r="T163" i="28"/>
  <c r="T160" i="28"/>
  <c r="T162" i="28"/>
  <c r="T158" i="28"/>
  <c r="T161" i="28"/>
  <c r="T159" i="28"/>
  <c r="T308" i="28"/>
  <c r="T312" i="28"/>
  <c r="T310" i="28"/>
  <c r="T311" i="28"/>
  <c r="T313" i="28"/>
  <c r="T309" i="28"/>
  <c r="V138" i="31"/>
  <c r="V134" i="31"/>
  <c r="V137" i="31"/>
  <c r="V135" i="31"/>
  <c r="V133" i="31"/>
  <c r="V136" i="31"/>
  <c r="X192" i="31"/>
  <c r="X190" i="31"/>
  <c r="X188" i="31"/>
  <c r="X187" i="31"/>
  <c r="X191" i="31"/>
  <c r="X189" i="31"/>
  <c r="V195" i="29"/>
  <c r="V199" i="29"/>
  <c r="V196" i="29"/>
  <c r="V194" i="29"/>
  <c r="V197" i="29"/>
  <c r="V198" i="29"/>
  <c r="S322" i="28"/>
  <c r="S324" i="28"/>
  <c r="S321" i="28"/>
  <c r="S326" i="28"/>
  <c r="S325" i="28"/>
  <c r="S323" i="28"/>
  <c r="U177" i="31"/>
  <c r="U173" i="31"/>
  <c r="U178" i="31"/>
  <c r="U174" i="31"/>
  <c r="U175" i="31"/>
  <c r="U176" i="31"/>
  <c r="W187" i="29"/>
  <c r="W185" i="29"/>
  <c r="W182" i="29"/>
  <c r="W183" i="29"/>
  <c r="W186" i="29"/>
  <c r="W184" i="29"/>
  <c r="Z129" i="29"/>
  <c r="Z132" i="29"/>
  <c r="Z131" i="29"/>
  <c r="Z134" i="29"/>
  <c r="Z133" i="29"/>
  <c r="Z130" i="29"/>
  <c r="N134" i="29"/>
  <c r="N133" i="29"/>
  <c r="N131" i="29"/>
  <c r="N132" i="29"/>
  <c r="N130" i="29"/>
  <c r="N129" i="29"/>
  <c r="T104" i="29"/>
  <c r="T105" i="29"/>
  <c r="T106" i="29"/>
  <c r="T107" i="29"/>
  <c r="T108" i="29"/>
  <c r="T109" i="29"/>
  <c r="S119" i="29"/>
  <c r="S116" i="29"/>
  <c r="S121" i="29"/>
  <c r="S117" i="29"/>
  <c r="S118" i="29"/>
  <c r="S120" i="29"/>
  <c r="AA324" i="28"/>
  <c r="AA323" i="28"/>
  <c r="AA321" i="28"/>
  <c r="AA322" i="28"/>
  <c r="AA325" i="28"/>
  <c r="AA326" i="28"/>
  <c r="N197" i="29"/>
  <c r="N196" i="29"/>
  <c r="N198" i="29"/>
  <c r="N195" i="29"/>
  <c r="N199" i="29"/>
  <c r="N194" i="29"/>
  <c r="AB117" i="29"/>
  <c r="AB118" i="29"/>
  <c r="AB121" i="29"/>
  <c r="AB116" i="29"/>
  <c r="AB119" i="29"/>
  <c r="AB120" i="29"/>
  <c r="S143" i="29"/>
  <c r="S144" i="29"/>
  <c r="S146" i="29"/>
  <c r="S148" i="29"/>
  <c r="S145" i="29"/>
  <c r="S147" i="29"/>
  <c r="I302" i="31"/>
  <c r="I341" i="31"/>
  <c r="I328" i="31"/>
  <c r="I192" i="31"/>
  <c r="I178" i="31"/>
  <c r="I212" i="31"/>
  <c r="I138" i="31"/>
  <c r="I57" i="31"/>
  <c r="I152" i="31"/>
  <c r="X45" i="4"/>
  <c r="U45" i="4"/>
  <c r="O76" i="4"/>
  <c r="AB45" i="4"/>
  <c r="Y76" i="4"/>
  <c r="V45" i="4"/>
  <c r="Z76" i="4"/>
  <c r="O53" i="4"/>
  <c r="I148" i="28"/>
  <c r="I123" i="28"/>
  <c r="I136" i="28"/>
  <c r="I512" i="31"/>
  <c r="I361" i="31"/>
  <c r="X371" i="31"/>
  <c r="I195" i="28"/>
  <c r="I71" i="28"/>
  <c r="I109" i="28"/>
  <c r="I209" i="28"/>
  <c r="I246" i="28"/>
  <c r="I45" i="28"/>
  <c r="I233" i="28"/>
  <c r="I83" i="28"/>
  <c r="I59" i="28"/>
  <c r="AF10" i="28"/>
  <c r="I259" i="28"/>
  <c r="I96" i="28"/>
  <c r="I412" i="31"/>
  <c r="I250" i="31"/>
  <c r="I238" i="31"/>
  <c r="I440" i="31"/>
  <c r="I375" i="31"/>
  <c r="I276" i="31"/>
  <c r="I263" i="31"/>
  <c r="I164" i="31"/>
  <c r="I399" i="31"/>
  <c r="I96" i="31"/>
  <c r="I83" i="31"/>
  <c r="I426" i="31"/>
  <c r="I71" i="31"/>
  <c r="I226" i="31"/>
  <c r="O51" i="4"/>
  <c r="O48" i="4"/>
  <c r="Q373" i="31"/>
  <c r="P370" i="31"/>
  <c r="Q107" i="31"/>
  <c r="O50" i="4"/>
  <c r="Q374" i="31"/>
  <c r="Q371" i="31"/>
  <c r="V375" i="31"/>
  <c r="AA373" i="31"/>
  <c r="X370" i="31"/>
  <c r="AA370" i="31"/>
  <c r="AA374" i="31"/>
  <c r="W371" i="31"/>
  <c r="O371" i="31"/>
  <c r="AA371" i="31"/>
  <c r="AA375" i="31"/>
  <c r="O372" i="31"/>
  <c r="Z371" i="31"/>
  <c r="X374" i="31"/>
  <c r="X375" i="31"/>
  <c r="X372" i="31"/>
  <c r="S375" i="31"/>
  <c r="AB371" i="31"/>
  <c r="O373" i="31"/>
  <c r="O374" i="31"/>
  <c r="Z372" i="31"/>
  <c r="Y375" i="31"/>
  <c r="O375" i="31"/>
  <c r="Q372" i="31"/>
  <c r="V370" i="31"/>
  <c r="Z374" i="31"/>
  <c r="Y374" i="31"/>
  <c r="Z375" i="31"/>
  <c r="S372" i="31"/>
  <c r="Q370" i="31"/>
  <c r="P371" i="31"/>
  <c r="V372" i="31"/>
  <c r="V374" i="31"/>
  <c r="Z370" i="31"/>
  <c r="V371" i="31"/>
  <c r="W374" i="31"/>
  <c r="U375" i="31"/>
  <c r="Y373" i="31"/>
  <c r="U371" i="31"/>
  <c r="W375" i="31"/>
  <c r="P372" i="31"/>
  <c r="Y370" i="31"/>
  <c r="U374" i="31"/>
  <c r="P375" i="31"/>
  <c r="W373" i="31"/>
  <c r="Y372" i="31"/>
  <c r="U373" i="31"/>
  <c r="S373" i="31"/>
  <c r="AB370" i="31"/>
  <c r="U372" i="31"/>
  <c r="P374" i="31"/>
  <c r="S371" i="31"/>
  <c r="AB374" i="31"/>
  <c r="W372" i="31"/>
  <c r="AB373" i="31"/>
  <c r="S370" i="31"/>
  <c r="AB372" i="31"/>
  <c r="Y106" i="31"/>
  <c r="S70" i="31"/>
  <c r="O69" i="31"/>
  <c r="P95" i="31"/>
  <c r="O68" i="31"/>
  <c r="V93" i="31"/>
  <c r="P71" i="31"/>
  <c r="Y71" i="31"/>
  <c r="AB91" i="31"/>
  <c r="Z69" i="31"/>
  <c r="V94" i="31"/>
  <c r="Z107" i="31"/>
  <c r="X71" i="31"/>
  <c r="Q93" i="31"/>
  <c r="X110" i="31"/>
  <c r="P96" i="31"/>
  <c r="P93" i="31"/>
  <c r="Q94" i="31"/>
  <c r="Y95" i="31"/>
  <c r="O110" i="31"/>
  <c r="Y94" i="31"/>
  <c r="S69" i="31"/>
  <c r="Y109" i="31"/>
  <c r="W67" i="31"/>
  <c r="Q95" i="31"/>
  <c r="AA95" i="31"/>
  <c r="AB94" i="31"/>
  <c r="U105" i="31"/>
  <c r="X70" i="31"/>
  <c r="Z108" i="31"/>
  <c r="P106" i="31"/>
  <c r="AB110" i="31"/>
  <c r="AB92" i="31"/>
  <c r="AB105" i="31"/>
  <c r="U107" i="31"/>
  <c r="T92" i="31"/>
  <c r="W91" i="31"/>
  <c r="Q109" i="31"/>
  <c r="AA108" i="31"/>
  <c r="AA93" i="31"/>
  <c r="Y110" i="31"/>
  <c r="U92" i="31"/>
  <c r="U108" i="31"/>
  <c r="V107" i="31"/>
  <c r="O106" i="31"/>
  <c r="Y96" i="31"/>
  <c r="W68" i="31"/>
  <c r="W70" i="31"/>
  <c r="AA67" i="31"/>
  <c r="AA109" i="31"/>
  <c r="V110" i="31"/>
  <c r="AA96" i="31"/>
  <c r="AA92" i="31"/>
  <c r="AB95" i="31"/>
  <c r="X108" i="31"/>
  <c r="Q96" i="31"/>
  <c r="O109" i="31"/>
  <c r="O108" i="31"/>
  <c r="Y93" i="31"/>
  <c r="Y107" i="31"/>
  <c r="Z105" i="31"/>
  <c r="S67" i="31"/>
  <c r="O105" i="31"/>
  <c r="V96" i="31"/>
  <c r="S68" i="31"/>
  <c r="V92" i="31"/>
  <c r="V91" i="31"/>
  <c r="AB96" i="31"/>
  <c r="X105" i="31"/>
  <c r="X106" i="31"/>
  <c r="Q106" i="31"/>
  <c r="Q105" i="31"/>
  <c r="Y105" i="31"/>
  <c r="X107" i="31"/>
  <c r="P91" i="31"/>
  <c r="U106" i="31"/>
  <c r="P92" i="31"/>
  <c r="X68" i="31"/>
  <c r="U110" i="31"/>
  <c r="Q91" i="31"/>
  <c r="Z106" i="31"/>
  <c r="AA94" i="31"/>
  <c r="Z109" i="31"/>
  <c r="Y92" i="31"/>
  <c r="W66" i="31"/>
  <c r="X66" i="31"/>
  <c r="X69" i="31"/>
  <c r="S71" i="31"/>
  <c r="W69" i="31"/>
  <c r="Q108" i="31"/>
  <c r="S124" i="31"/>
  <c r="AA71" i="31"/>
  <c r="AA110" i="31"/>
  <c r="T96" i="31"/>
  <c r="U93" i="31"/>
  <c r="Y69" i="31"/>
  <c r="T91" i="31"/>
  <c r="T94" i="31"/>
  <c r="O66" i="31"/>
  <c r="O95" i="31"/>
  <c r="Z70" i="31"/>
  <c r="Z71" i="31"/>
  <c r="V66" i="31"/>
  <c r="W95" i="31"/>
  <c r="Q70" i="31"/>
  <c r="V70" i="31"/>
  <c r="O93" i="31"/>
  <c r="P110" i="31"/>
  <c r="P68" i="31"/>
  <c r="Y122" i="31"/>
  <c r="P122" i="31"/>
  <c r="P105" i="31"/>
  <c r="Z66" i="31"/>
  <c r="O94" i="31"/>
  <c r="AA105" i="31"/>
  <c r="O71" i="31"/>
  <c r="Y68" i="31"/>
  <c r="T93" i="31"/>
  <c r="AA70" i="31"/>
  <c r="V71" i="31"/>
  <c r="Q71" i="31"/>
  <c r="W92" i="31"/>
  <c r="U96" i="31"/>
  <c r="P67" i="31"/>
  <c r="V109" i="31"/>
  <c r="AB108" i="31"/>
  <c r="AA69" i="31"/>
  <c r="AB107" i="31"/>
  <c r="U91" i="31"/>
  <c r="U95" i="31"/>
  <c r="Y67" i="31"/>
  <c r="AB109" i="31"/>
  <c r="O70" i="31"/>
  <c r="Y66" i="31"/>
  <c r="O91" i="31"/>
  <c r="Z67" i="31"/>
  <c r="W93" i="31"/>
  <c r="V67" i="31"/>
  <c r="Q69" i="31"/>
  <c r="Q68" i="31"/>
  <c r="V106" i="31"/>
  <c r="V68" i="31"/>
  <c r="W96" i="31"/>
  <c r="V105" i="31"/>
  <c r="P109" i="31"/>
  <c r="P107" i="31"/>
  <c r="P70" i="31"/>
  <c r="P66" i="31"/>
  <c r="Q122" i="31"/>
  <c r="X119" i="31"/>
  <c r="T120" i="31"/>
  <c r="V123" i="31"/>
  <c r="AA66" i="31"/>
  <c r="AA106" i="31"/>
  <c r="O96" i="31"/>
  <c r="Q66" i="31"/>
  <c r="AA122" i="31"/>
  <c r="U435" i="31"/>
  <c r="T439" i="31"/>
  <c r="P435" i="31"/>
  <c r="O440" i="31"/>
  <c r="U436" i="31"/>
  <c r="Z436" i="31"/>
  <c r="Q435" i="31"/>
  <c r="AB110" i="28"/>
  <c r="AB105" i="28"/>
  <c r="AB108" i="28"/>
  <c r="AB107" i="28"/>
  <c r="AB109" i="28"/>
  <c r="T110" i="28"/>
  <c r="T109" i="28"/>
  <c r="T108" i="28"/>
  <c r="T106" i="28"/>
  <c r="T105" i="28"/>
  <c r="AA110" i="28"/>
  <c r="AA108" i="28"/>
  <c r="AA105" i="28"/>
  <c r="AA109" i="28"/>
  <c r="AA106" i="28"/>
  <c r="O108" i="28"/>
  <c r="O106" i="28"/>
  <c r="O107" i="28"/>
  <c r="O109" i="28"/>
  <c r="O110" i="28"/>
  <c r="AA107" i="28"/>
  <c r="X78" i="31"/>
  <c r="O437" i="31"/>
  <c r="AA435" i="31"/>
  <c r="Z440" i="31"/>
  <c r="T438" i="31"/>
  <c r="Q80" i="31"/>
  <c r="Y80" i="31"/>
  <c r="W82" i="31"/>
  <c r="U80" i="31"/>
  <c r="X82" i="31"/>
  <c r="W80" i="31"/>
  <c r="W79" i="31"/>
  <c r="Q79" i="31"/>
  <c r="S79" i="31"/>
  <c r="Z80" i="31"/>
  <c r="V82" i="31"/>
  <c r="Q83" i="31"/>
  <c r="Z78" i="31"/>
  <c r="Q82" i="31"/>
  <c r="Z79" i="31"/>
  <c r="U78" i="31"/>
  <c r="AB81" i="31"/>
  <c r="P82" i="31"/>
  <c r="P80" i="31"/>
  <c r="U83" i="31"/>
  <c r="S78" i="31"/>
  <c r="S82" i="31"/>
  <c r="S80" i="31"/>
  <c r="U82" i="31"/>
  <c r="T83" i="31"/>
  <c r="U79" i="31"/>
  <c r="O49" i="4"/>
  <c r="N51" i="4"/>
  <c r="N50" i="4"/>
  <c r="N49" i="4"/>
  <c r="S83" i="31"/>
  <c r="X79" i="31"/>
  <c r="X80" i="31"/>
  <c r="V79" i="31"/>
  <c r="U438" i="31"/>
  <c r="X439" i="31"/>
  <c r="X436" i="31"/>
  <c r="V437" i="31"/>
  <c r="Z439" i="31"/>
  <c r="T436" i="31"/>
  <c r="Y82" i="31"/>
  <c r="P78" i="31"/>
  <c r="AA81" i="31"/>
  <c r="U440" i="31"/>
  <c r="V438" i="31"/>
  <c r="Z438" i="31"/>
  <c r="Z437" i="31"/>
  <c r="T435" i="31"/>
  <c r="AA439" i="31"/>
  <c r="W437" i="31"/>
  <c r="W440" i="31"/>
  <c r="AA436" i="31"/>
  <c r="AA438" i="31"/>
  <c r="V436" i="31"/>
  <c r="W435" i="31"/>
  <c r="P436" i="31"/>
  <c r="AA437" i="31"/>
  <c r="V435" i="31"/>
  <c r="N439" i="31"/>
  <c r="Q436" i="31"/>
  <c r="O79" i="31"/>
  <c r="AB80" i="31"/>
  <c r="P79" i="31"/>
  <c r="AA82" i="31"/>
  <c r="AB83" i="31"/>
  <c r="AB82" i="31"/>
  <c r="AB78" i="31"/>
  <c r="Q78" i="31"/>
  <c r="V81" i="31"/>
  <c r="Z82" i="31"/>
  <c r="Z83" i="31"/>
  <c r="O81" i="31"/>
  <c r="P81" i="31"/>
  <c r="AA79" i="31"/>
  <c r="T82" i="31"/>
  <c r="T80" i="31"/>
  <c r="T78" i="31"/>
  <c r="AA78" i="31"/>
  <c r="AA83" i="31"/>
  <c r="O80" i="31"/>
  <c r="P437" i="31"/>
  <c r="P438" i="31"/>
  <c r="Q438" i="31"/>
  <c r="AB435" i="31"/>
  <c r="AB437" i="31"/>
  <c r="P440" i="31"/>
  <c r="U439" i="31"/>
  <c r="AB440" i="31"/>
  <c r="Y78" i="31"/>
  <c r="Y83" i="31"/>
  <c r="Y79" i="31"/>
  <c r="O78" i="31"/>
  <c r="V80" i="31"/>
  <c r="T81" i="31"/>
  <c r="O82" i="31"/>
  <c r="V78" i="31"/>
  <c r="I151" i="26"/>
  <c r="AF10" i="26"/>
  <c r="I125" i="26"/>
  <c r="I56" i="26"/>
  <c r="I111" i="26"/>
  <c r="I44" i="26"/>
  <c r="I165" i="26"/>
  <c r="I137" i="26"/>
  <c r="I69" i="26"/>
  <c r="I97" i="26"/>
  <c r="I83" i="26"/>
  <c r="H138" i="7"/>
  <c r="H126" i="7"/>
  <c r="H50" i="7"/>
  <c r="H95" i="7"/>
  <c r="H63" i="7"/>
  <c r="H107" i="7"/>
  <c r="H75" i="7"/>
  <c r="H176" i="45"/>
  <c r="H176" i="35"/>
  <c r="Q93" i="7"/>
  <c r="Q90" i="7"/>
  <c r="Q94" i="7"/>
  <c r="H35" i="23"/>
  <c r="H55" i="23"/>
  <c r="AE9" i="23"/>
  <c r="AI99" i="7"/>
  <c r="Y103" i="7"/>
  <c r="Y106" i="7"/>
  <c r="Y105" i="7"/>
  <c r="Y107" i="7"/>
  <c r="Y104" i="7"/>
  <c r="Y102" i="7"/>
  <c r="W106" i="7"/>
  <c r="W102" i="7"/>
  <c r="W104" i="7"/>
  <c r="W105" i="7"/>
  <c r="W107" i="7"/>
  <c r="W103" i="7"/>
  <c r="H140" i="45"/>
  <c r="H140" i="35"/>
  <c r="H116" i="1"/>
  <c r="H94" i="1"/>
  <c r="H63" i="1"/>
  <c r="AE8" i="1"/>
  <c r="H105" i="1"/>
  <c r="H41" i="1"/>
  <c r="H52" i="1"/>
  <c r="X152" i="25"/>
  <c r="X148" i="25"/>
  <c r="W150" i="25"/>
  <c r="W152" i="25"/>
  <c r="Q124" i="25"/>
  <c r="Q121" i="25"/>
  <c r="N112" i="25"/>
  <c r="N110" i="25"/>
  <c r="O121" i="25"/>
  <c r="O124" i="25"/>
  <c r="O125" i="25"/>
  <c r="O126" i="25"/>
  <c r="O123" i="25"/>
  <c r="S126" i="25"/>
  <c r="S123" i="25"/>
  <c r="P151" i="25"/>
  <c r="N151" i="25"/>
  <c r="V126" i="25"/>
  <c r="S122" i="25"/>
  <c r="X147" i="25"/>
  <c r="W107" i="25"/>
  <c r="P122" i="25"/>
  <c r="P123" i="25"/>
  <c r="P126" i="25"/>
  <c r="V125" i="25"/>
  <c r="V124" i="25"/>
  <c r="W151" i="25"/>
  <c r="X150" i="25"/>
  <c r="S125" i="25"/>
  <c r="W148" i="25"/>
  <c r="T150" i="25"/>
  <c r="V121" i="25"/>
  <c r="X151" i="25"/>
  <c r="X149" i="25"/>
  <c r="S121" i="25"/>
  <c r="Q126" i="25"/>
  <c r="W112" i="25"/>
  <c r="Q125" i="25"/>
  <c r="Q122" i="25"/>
  <c r="Q123" i="25"/>
  <c r="N109" i="25"/>
  <c r="N150" i="25"/>
  <c r="N149" i="25"/>
  <c r="N126" i="25"/>
  <c r="N124" i="25"/>
  <c r="N122" i="25"/>
  <c r="N125" i="25"/>
  <c r="S111" i="25"/>
  <c r="N107" i="25"/>
  <c r="N111" i="25"/>
  <c r="W111" i="25"/>
  <c r="N152" i="25"/>
  <c r="S110" i="25"/>
  <c r="S109" i="25"/>
  <c r="Y122" i="25"/>
  <c r="Z107" i="25"/>
  <c r="Z108" i="25"/>
  <c r="Z111" i="25"/>
  <c r="Z110" i="25"/>
  <c r="Z112" i="25"/>
  <c r="Z109" i="25"/>
  <c r="W147" i="25"/>
  <c r="AB107" i="25"/>
  <c r="Y121" i="25"/>
  <c r="Y126" i="25"/>
  <c r="W149" i="25"/>
  <c r="Z124" i="25"/>
  <c r="AB150" i="25"/>
  <c r="AB147" i="25"/>
  <c r="AB152" i="25"/>
  <c r="T147" i="25"/>
  <c r="Z125" i="25"/>
  <c r="AB148" i="25"/>
  <c r="T152" i="25"/>
  <c r="AB151" i="25"/>
  <c r="T148" i="25"/>
  <c r="T151" i="25"/>
  <c r="N107" i="31"/>
  <c r="Q148" i="25"/>
  <c r="AA152" i="25"/>
  <c r="Q152" i="25"/>
  <c r="AA147" i="25"/>
  <c r="AA148" i="25"/>
  <c r="Y111" i="25"/>
  <c r="Q151" i="25"/>
  <c r="AA149" i="25"/>
  <c r="P149" i="25"/>
  <c r="P147" i="25"/>
  <c r="P152" i="25"/>
  <c r="Y108" i="25"/>
  <c r="Y110" i="25"/>
  <c r="Y112" i="25"/>
  <c r="Y109" i="25"/>
  <c r="AB109" i="25"/>
  <c r="AB108" i="25"/>
  <c r="W109" i="25"/>
  <c r="W110" i="25"/>
  <c r="AB111" i="25"/>
  <c r="AB110" i="25"/>
  <c r="AB122" i="25"/>
  <c r="AB123" i="25"/>
  <c r="AB126" i="25"/>
  <c r="AB121" i="25"/>
  <c r="AB125" i="25"/>
  <c r="AB124" i="25"/>
  <c r="Q107" i="25"/>
  <c r="Q110" i="25"/>
  <c r="Q109" i="25"/>
  <c r="Q108" i="25"/>
  <c r="Q111" i="25"/>
  <c r="Q112" i="25"/>
  <c r="Z121" i="25"/>
  <c r="Z126" i="25"/>
  <c r="Z123" i="25"/>
  <c r="N108" i="31"/>
  <c r="N105" i="31"/>
  <c r="N109" i="31"/>
  <c r="N110" i="31"/>
  <c r="N70" i="31"/>
  <c r="N68" i="31"/>
  <c r="N66" i="31"/>
  <c r="N69" i="31"/>
  <c r="N71" i="31"/>
  <c r="T372" i="31"/>
  <c r="T371" i="31"/>
  <c r="T375" i="31"/>
  <c r="U66" i="31"/>
  <c r="U70" i="31"/>
  <c r="U67" i="31"/>
  <c r="U71" i="31"/>
  <c r="U68" i="31"/>
  <c r="U69" i="31"/>
  <c r="N92" i="31"/>
  <c r="N91" i="31"/>
  <c r="N94" i="31"/>
  <c r="N95" i="31"/>
  <c r="N93" i="31"/>
  <c r="N96" i="31"/>
  <c r="T374" i="31"/>
  <c r="T370" i="31"/>
  <c r="T373" i="31"/>
  <c r="I52" i="4"/>
  <c r="AF10" i="4"/>
  <c r="AX29" i="31" l="1"/>
  <c r="BA17" i="31"/>
  <c r="AX12" i="31"/>
  <c r="BH21" i="31"/>
  <c r="BD21" i="31"/>
  <c r="BB12" i="31"/>
  <c r="BL17" i="31"/>
  <c r="AX17" i="31"/>
  <c r="BI20" i="31"/>
  <c r="BC21" i="31"/>
  <c r="BH20" i="31"/>
  <c r="BK21" i="31"/>
  <c r="BK17" i="31"/>
  <c r="BK20" i="31"/>
  <c r="BF20" i="31"/>
  <c r="BK11" i="31"/>
  <c r="AZ21" i="31"/>
  <c r="BD20" i="31"/>
  <c r="AX11" i="31"/>
  <c r="BI21" i="31"/>
  <c r="BC20" i="31"/>
  <c r="BA11" i="31"/>
  <c r="BL11" i="31"/>
  <c r="AE156" i="28"/>
  <c r="AN99" i="7"/>
  <c r="BB33" i="25"/>
  <c r="R396" i="31"/>
  <c r="AJ292" i="28"/>
  <c r="AE292" i="28" s="1"/>
  <c r="R95" i="25"/>
  <c r="BB85" i="25"/>
  <c r="AW85" i="25" s="1"/>
  <c r="BB87" i="25"/>
  <c r="BB86" i="25"/>
  <c r="AG99" i="7"/>
  <c r="AG83" i="7" s="1"/>
  <c r="AG82" i="7" s="1"/>
  <c r="G31" i="50" s="1"/>
  <c r="BB199" i="28"/>
  <c r="AW199" i="28" s="1"/>
  <c r="BB49" i="28"/>
  <c r="AW49" i="28" s="1"/>
  <c r="R259" i="28"/>
  <c r="AF40" i="25"/>
  <c r="AX34" i="25"/>
  <c r="AX33" i="25"/>
  <c r="AW33" i="25" s="1"/>
  <c r="AX32" i="25"/>
  <c r="AJ319" i="28"/>
  <c r="AE319" i="28" s="1"/>
  <c r="BD96" i="7"/>
  <c r="BB34" i="25"/>
  <c r="BB223" i="28"/>
  <c r="AW223" i="28" s="1"/>
  <c r="AG354" i="31"/>
  <c r="AG350" i="31" s="1"/>
  <c r="AF65" i="25"/>
  <c r="AX59" i="25"/>
  <c r="AX58" i="25"/>
  <c r="AJ280" i="28"/>
  <c r="AE280" i="28" s="1"/>
  <c r="BB32" i="25"/>
  <c r="BB59" i="25"/>
  <c r="AJ306" i="28"/>
  <c r="AE306" i="28" s="1"/>
  <c r="AJ267" i="28"/>
  <c r="AE267" i="28" s="1"/>
  <c r="BB58" i="25"/>
  <c r="BB14" i="25" s="1"/>
  <c r="AW60" i="31"/>
  <c r="AP99" i="7"/>
  <c r="AE99" i="7"/>
  <c r="AE83" i="7" s="1"/>
  <c r="AE82" i="7" s="1"/>
  <c r="E31" i="50" s="1"/>
  <c r="AH99" i="7"/>
  <c r="AH83" i="7" s="1"/>
  <c r="AH82" i="7" s="1"/>
  <c r="H31" i="50" s="1"/>
  <c r="BE96" i="7"/>
  <c r="AS99" i="7"/>
  <c r="N90" i="7"/>
  <c r="N95" i="7"/>
  <c r="AY83" i="7"/>
  <c r="N93" i="7"/>
  <c r="N92" i="7"/>
  <c r="N91" i="7"/>
  <c r="N94" i="7"/>
  <c r="AF99" i="7"/>
  <c r="AJ99" i="7"/>
  <c r="BF96" i="7"/>
  <c r="AF87" i="7"/>
  <c r="AR99" i="7"/>
  <c r="AZ83" i="7"/>
  <c r="O90" i="7"/>
  <c r="O91" i="7"/>
  <c r="O95" i="7"/>
  <c r="O93" i="7"/>
  <c r="O92" i="7"/>
  <c r="O94" i="7"/>
  <c r="M90" i="7"/>
  <c r="AX83" i="7"/>
  <c r="M91" i="7"/>
  <c r="M92" i="7"/>
  <c r="M95" i="7"/>
  <c r="M93" i="7"/>
  <c r="M94" i="7"/>
  <c r="AJ405" i="31"/>
  <c r="AE405" i="31" s="1"/>
  <c r="BB400" i="31"/>
  <c r="AW400" i="31" s="1"/>
  <c r="BB401" i="31"/>
  <c r="AW401" i="31" s="1"/>
  <c r="Q92" i="7"/>
  <c r="Q95" i="7"/>
  <c r="AI87" i="7"/>
  <c r="AI83" i="7" s="1"/>
  <c r="AI82" i="7" s="1"/>
  <c r="I31" i="50" s="1"/>
  <c r="Q91" i="7"/>
  <c r="AE380" i="31"/>
  <c r="BH45" i="31"/>
  <c r="BJ349" i="31"/>
  <c r="BC45" i="31"/>
  <c r="BC349" i="31"/>
  <c r="AW72" i="31"/>
  <c r="AJ40" i="25"/>
  <c r="BI45" i="31"/>
  <c r="AW58" i="31"/>
  <c r="BK45" i="31"/>
  <c r="AW362" i="31"/>
  <c r="AX349" i="31"/>
  <c r="BB198" i="28"/>
  <c r="AW198" i="28" s="1"/>
  <c r="BB197" i="28"/>
  <c r="O120" i="31"/>
  <c r="AY112" i="31"/>
  <c r="AY20" i="31" s="1"/>
  <c r="AY111" i="31"/>
  <c r="AY21" i="31" s="1"/>
  <c r="AJ256" i="31"/>
  <c r="AE256" i="31" s="1"/>
  <c r="BB251" i="31"/>
  <c r="AW251" i="31" s="1"/>
  <c r="BB252" i="31"/>
  <c r="AW252" i="31" s="1"/>
  <c r="W119" i="31"/>
  <c r="BG112" i="31"/>
  <c r="BG20" i="31" s="1"/>
  <c r="BG111" i="31"/>
  <c r="BG21" i="31" s="1"/>
  <c r="R79" i="28"/>
  <c r="BB73" i="28"/>
  <c r="BI349" i="31"/>
  <c r="AJ219" i="31"/>
  <c r="AE219" i="31" s="1"/>
  <c r="BB214" i="31"/>
  <c r="AW214" i="31" s="1"/>
  <c r="BB213" i="31"/>
  <c r="R109" i="31"/>
  <c r="BB98" i="31"/>
  <c r="BB99" i="31"/>
  <c r="BB97" i="31"/>
  <c r="BB13" i="31" s="1"/>
  <c r="AB124" i="31"/>
  <c r="BL111" i="31"/>
  <c r="BL21" i="31" s="1"/>
  <c r="BL112" i="31"/>
  <c r="BL20" i="31" s="1"/>
  <c r="BD45" i="31"/>
  <c r="AZ45" i="31"/>
  <c r="AW502" i="31"/>
  <c r="BG349" i="31"/>
  <c r="BL349" i="31"/>
  <c r="BB235" i="28"/>
  <c r="BB236" i="28"/>
  <c r="R107" i="28"/>
  <c r="BB98" i="28"/>
  <c r="BB99" i="28"/>
  <c r="U124" i="31"/>
  <c r="BE112" i="31"/>
  <c r="BE20" i="31" s="1"/>
  <c r="BE111" i="31"/>
  <c r="BE21" i="31" s="1"/>
  <c r="AJ419" i="31"/>
  <c r="AE419" i="31" s="1"/>
  <c r="BB414" i="31"/>
  <c r="BB20" i="31" s="1"/>
  <c r="BB413" i="31"/>
  <c r="AW413" i="31" s="1"/>
  <c r="AJ529" i="31"/>
  <c r="BB526" i="31"/>
  <c r="BB18" i="31" s="1"/>
  <c r="BB525" i="31"/>
  <c r="AZ349" i="31"/>
  <c r="AW84" i="31"/>
  <c r="BD349" i="31"/>
  <c r="BH349" i="31"/>
  <c r="BA349" i="31"/>
  <c r="AW59" i="31"/>
  <c r="AW61" i="28"/>
  <c r="N119" i="31"/>
  <c r="AX112" i="31"/>
  <c r="AX20" i="31" s="1"/>
  <c r="AX111" i="31"/>
  <c r="AX21" i="31" s="1"/>
  <c r="BB48" i="28"/>
  <c r="BB47" i="28"/>
  <c r="AW47" i="28" s="1"/>
  <c r="Z124" i="31"/>
  <c r="BJ112" i="31"/>
  <c r="BJ20" i="31" s="1"/>
  <c r="BJ111" i="31"/>
  <c r="BJ21" i="31" s="1"/>
  <c r="R439" i="31"/>
  <c r="BB428" i="31"/>
  <c r="BB427" i="31"/>
  <c r="AW427" i="31" s="1"/>
  <c r="AJ215" i="28"/>
  <c r="AE215" i="28" s="1"/>
  <c r="BB211" i="28"/>
  <c r="AW211" i="28" s="1"/>
  <c r="AJ516" i="31"/>
  <c r="AE516" i="31" s="1"/>
  <c r="BB513" i="31"/>
  <c r="BF349" i="31"/>
  <c r="BK349" i="31"/>
  <c r="BF45" i="31"/>
  <c r="BA45" i="31"/>
  <c r="AW85" i="31"/>
  <c r="AY349" i="31"/>
  <c r="BE349" i="31"/>
  <c r="AW363" i="31"/>
  <c r="AE512" i="29"/>
  <c r="AJ87" i="7"/>
  <c r="BC83" i="7"/>
  <c r="AE499" i="29"/>
  <c r="AE486" i="29"/>
  <c r="AE474" i="29"/>
  <c r="AB18" i="31"/>
  <c r="AT513" i="31" s="1"/>
  <c r="S20" i="50" s="1"/>
  <c r="R18" i="31"/>
  <c r="AA18" i="31"/>
  <c r="AS513" i="31" s="1"/>
  <c r="R20" i="50" s="1"/>
  <c r="Q18" i="31"/>
  <c r="AI513" i="31" s="1"/>
  <c r="H20" i="50" s="1"/>
  <c r="V18" i="31"/>
  <c r="AN513" i="31" s="1"/>
  <c r="M20" i="50" s="1"/>
  <c r="N18" i="29"/>
  <c r="AD18" i="29" s="1"/>
  <c r="R448" i="31"/>
  <c r="R409" i="31"/>
  <c r="AE458" i="31"/>
  <c r="Z18" i="31"/>
  <c r="AR513" i="31" s="1"/>
  <c r="Q20" i="50" s="1"/>
  <c r="O18" i="31"/>
  <c r="AG513" i="31" s="1"/>
  <c r="F20" i="50" s="1"/>
  <c r="S18" i="31"/>
  <c r="AK513" i="31" s="1"/>
  <c r="J20" i="50" s="1"/>
  <c r="Z17" i="31"/>
  <c r="AR524" i="31" s="1"/>
  <c r="Q19" i="50" s="1"/>
  <c r="AE446" i="31"/>
  <c r="R426" i="31"/>
  <c r="Y17" i="31"/>
  <c r="AQ524" i="31" s="1"/>
  <c r="P19" i="50" s="1"/>
  <c r="R17" i="31"/>
  <c r="S146" i="35"/>
  <c r="V17" i="31"/>
  <c r="AN524" i="31" s="1"/>
  <c r="M19" i="50" s="1"/>
  <c r="AA17" i="31"/>
  <c r="AS524" i="31" s="1"/>
  <c r="R19" i="50" s="1"/>
  <c r="T17" i="31"/>
  <c r="AL524" i="31" s="1"/>
  <c r="K19" i="50" s="1"/>
  <c r="W17" i="31"/>
  <c r="AO524" i="31" s="1"/>
  <c r="N19" i="50" s="1"/>
  <c r="P17" i="31"/>
  <c r="AH524" i="31" s="1"/>
  <c r="G19" i="50" s="1"/>
  <c r="R51" i="29"/>
  <c r="R50" i="29"/>
  <c r="R48" i="29"/>
  <c r="R52" i="29"/>
  <c r="AJ46" i="29"/>
  <c r="R49" i="29"/>
  <c r="R47" i="29"/>
  <c r="S54" i="45"/>
  <c r="R523" i="31"/>
  <c r="R520" i="31"/>
  <c r="R521" i="31"/>
  <c r="R522" i="31"/>
  <c r="R518" i="31"/>
  <c r="R519" i="31"/>
  <c r="X17" i="31"/>
  <c r="AP524" i="31" s="1"/>
  <c r="O19" i="50" s="1"/>
  <c r="AB17" i="31"/>
  <c r="AT524" i="31" s="1"/>
  <c r="S19" i="50" s="1"/>
  <c r="Q17" i="31"/>
  <c r="AI524" i="31" s="1"/>
  <c r="H19" i="50" s="1"/>
  <c r="U17" i="31"/>
  <c r="AM524" i="31" s="1"/>
  <c r="L19" i="50" s="1"/>
  <c r="R63" i="29"/>
  <c r="R59" i="29"/>
  <c r="AJ57" i="29"/>
  <c r="R62" i="29"/>
  <c r="R58" i="29"/>
  <c r="R60" i="29"/>
  <c r="R61" i="29"/>
  <c r="N17" i="31"/>
  <c r="O17" i="31"/>
  <c r="AG524" i="31" s="1"/>
  <c r="F19" i="50" s="1"/>
  <c r="R534" i="31"/>
  <c r="R536" i="31"/>
  <c r="R531" i="31"/>
  <c r="R532" i="31"/>
  <c r="R533" i="31"/>
  <c r="R535" i="31"/>
  <c r="R465" i="31"/>
  <c r="R72" i="4"/>
  <c r="R70" i="4"/>
  <c r="R68" i="4"/>
  <c r="R71" i="4"/>
  <c r="R69" i="4"/>
  <c r="R67" i="4"/>
  <c r="AJ65" i="4"/>
  <c r="AE65" i="4" s="1"/>
  <c r="AD16" i="29"/>
  <c r="AF41" i="29"/>
  <c r="E24" i="50" s="1"/>
  <c r="AL46" i="31"/>
  <c r="AF85" i="29"/>
  <c r="AF350" i="31"/>
  <c r="AI350" i="31"/>
  <c r="AP350" i="31"/>
  <c r="AQ350" i="31"/>
  <c r="AS350" i="31"/>
  <c r="AT350" i="31"/>
  <c r="AL350" i="31"/>
  <c r="AM350" i="31"/>
  <c r="AO350" i="31"/>
  <c r="AN350" i="31"/>
  <c r="AH350" i="31"/>
  <c r="AR350" i="31"/>
  <c r="AK350" i="31"/>
  <c r="AE34" i="4"/>
  <c r="AQ381" i="29"/>
  <c r="AQ380" i="29" s="1"/>
  <c r="P23" i="50" s="1"/>
  <c r="AF381" i="29"/>
  <c r="AI381" i="29"/>
  <c r="AI380" i="29" s="1"/>
  <c r="H23" i="50" s="1"/>
  <c r="AR381" i="29"/>
  <c r="AR380" i="29" s="1"/>
  <c r="Q23" i="50" s="1"/>
  <c r="AH381" i="29"/>
  <c r="AH380" i="29" s="1"/>
  <c r="G23" i="50" s="1"/>
  <c r="AO381" i="29"/>
  <c r="AO380" i="29" s="1"/>
  <c r="N23" i="50" s="1"/>
  <c r="AT381" i="29"/>
  <c r="AT380" i="29" s="1"/>
  <c r="S23" i="50" s="1"/>
  <c r="AL381" i="29"/>
  <c r="AL380" i="29" s="1"/>
  <c r="K23" i="50" s="1"/>
  <c r="AP381" i="29"/>
  <c r="AP380" i="29" s="1"/>
  <c r="O23" i="50" s="1"/>
  <c r="AG381" i="29"/>
  <c r="AG380" i="29" s="1"/>
  <c r="F23" i="50" s="1"/>
  <c r="AK381" i="29"/>
  <c r="AK380" i="29" s="1"/>
  <c r="J23" i="50" s="1"/>
  <c r="AM381" i="29"/>
  <c r="AM380" i="29" s="1"/>
  <c r="L23" i="50" s="1"/>
  <c r="AS381" i="29"/>
  <c r="AS380" i="29" s="1"/>
  <c r="R23" i="50" s="1"/>
  <c r="AN381" i="29"/>
  <c r="AN380" i="29" s="1"/>
  <c r="M23" i="50" s="1"/>
  <c r="AE238" i="29"/>
  <c r="AJ234" i="29"/>
  <c r="AJ233" i="29" s="1"/>
  <c r="I22" i="50" s="1"/>
  <c r="AM85" i="29"/>
  <c r="AM84" i="29" s="1"/>
  <c r="L21" i="50" s="1"/>
  <c r="AI46" i="31"/>
  <c r="AS46" i="31"/>
  <c r="AP46" i="31"/>
  <c r="AK46" i="31"/>
  <c r="AJ53" i="28"/>
  <c r="AE53" i="28" s="1"/>
  <c r="S54" i="35"/>
  <c r="R36" i="4"/>
  <c r="R40" i="4"/>
  <c r="R39" i="4"/>
  <c r="R38" i="4"/>
  <c r="R37" i="4"/>
  <c r="R41" i="4"/>
  <c r="I41" i="4"/>
  <c r="I72" i="4"/>
  <c r="AQ31" i="4"/>
  <c r="AI31" i="4"/>
  <c r="AG31" i="4"/>
  <c r="AR31" i="4"/>
  <c r="AO31" i="4"/>
  <c r="AJ410" i="29"/>
  <c r="AE410" i="29" s="1"/>
  <c r="R96" i="29"/>
  <c r="AJ93" i="25"/>
  <c r="AE93" i="25" s="1"/>
  <c r="AR117" i="31"/>
  <c r="AR46" i="31" s="1"/>
  <c r="R110" i="28"/>
  <c r="M105" i="7"/>
  <c r="R289" i="31"/>
  <c r="AJ185" i="31"/>
  <c r="AE185" i="31" s="1"/>
  <c r="AJ171" i="31"/>
  <c r="AE171" i="31" s="1"/>
  <c r="R53" i="25"/>
  <c r="R368" i="29"/>
  <c r="AE145" i="31"/>
  <c r="AE89" i="31"/>
  <c r="AE368" i="31"/>
  <c r="AT117" i="31"/>
  <c r="AT46" i="31" s="1"/>
  <c r="AJ433" i="31"/>
  <c r="AE433" i="31" s="1"/>
  <c r="M107" i="7"/>
  <c r="R331" i="29"/>
  <c r="AE76" i="31"/>
  <c r="M104" i="7"/>
  <c r="R334" i="29"/>
  <c r="AE64" i="31"/>
  <c r="AG117" i="31"/>
  <c r="AG46" i="31" s="1"/>
  <c r="M102" i="7"/>
  <c r="M103" i="7"/>
  <c r="M106" i="7"/>
  <c r="R332" i="29"/>
  <c r="AN46" i="4"/>
  <c r="AN31" i="4" s="1"/>
  <c r="AM46" i="4"/>
  <c r="AM31" i="4" s="1"/>
  <c r="AE157" i="31"/>
  <c r="R328" i="31"/>
  <c r="AJ321" i="31"/>
  <c r="AE321" i="31" s="1"/>
  <c r="AP46" i="4"/>
  <c r="AP31" i="4" s="1"/>
  <c r="AJ398" i="29"/>
  <c r="AE398" i="29" s="1"/>
  <c r="R476" i="31"/>
  <c r="AJ472" i="31"/>
  <c r="AE472" i="31" s="1"/>
  <c r="AT46" i="4"/>
  <c r="AT31" i="4" s="1"/>
  <c r="R330" i="29"/>
  <c r="R333" i="29"/>
  <c r="AJ435" i="29"/>
  <c r="AE435" i="29" s="1"/>
  <c r="AJ131" i="31"/>
  <c r="AE131" i="31" s="1"/>
  <c r="AJ65" i="25"/>
  <c r="R309" i="31"/>
  <c r="AJ307" i="31"/>
  <c r="AE307" i="31" s="1"/>
  <c r="R211" i="31"/>
  <c r="AJ205" i="31"/>
  <c r="AJ392" i="31"/>
  <c r="AE392" i="31" s="1"/>
  <c r="R490" i="31"/>
  <c r="AJ485" i="31"/>
  <c r="AE485" i="31" s="1"/>
  <c r="R83" i="25"/>
  <c r="R93" i="29"/>
  <c r="R329" i="29"/>
  <c r="R367" i="29"/>
  <c r="AJ103" i="31"/>
  <c r="AE103" i="31" s="1"/>
  <c r="AH46" i="4"/>
  <c r="AH31" i="4" s="1"/>
  <c r="AF117" i="31"/>
  <c r="AF46" i="31" s="1"/>
  <c r="AO117" i="31"/>
  <c r="AO46" i="31" s="1"/>
  <c r="AM117" i="31"/>
  <c r="AM46" i="31" s="1"/>
  <c r="AJ461" i="29"/>
  <c r="AE461" i="29" s="1"/>
  <c r="AJ422" i="29"/>
  <c r="AE422" i="29" s="1"/>
  <c r="R210" i="29"/>
  <c r="AE385" i="29"/>
  <c r="AJ448" i="29"/>
  <c r="AE448" i="29" s="1"/>
  <c r="R205" i="28"/>
  <c r="R256" i="28"/>
  <c r="R260" i="28"/>
  <c r="R257" i="28"/>
  <c r="R247" i="28"/>
  <c r="R232" i="28"/>
  <c r="R106" i="28"/>
  <c r="R72" i="28"/>
  <c r="AJ65" i="28"/>
  <c r="AE65" i="28" s="1"/>
  <c r="R108" i="28"/>
  <c r="AJ103" i="28"/>
  <c r="AE103" i="28" s="1"/>
  <c r="R146" i="28"/>
  <c r="AJ142" i="28"/>
  <c r="AE142" i="28" s="1"/>
  <c r="R80" i="28"/>
  <c r="AJ77" i="28"/>
  <c r="AE77" i="28" s="1"/>
  <c r="R83" i="28"/>
  <c r="R121" i="28"/>
  <c r="AJ117" i="28"/>
  <c r="AE117" i="28" s="1"/>
  <c r="R135" i="28"/>
  <c r="AJ130" i="28"/>
  <c r="AE130" i="28" s="1"/>
  <c r="R224" i="29"/>
  <c r="R412" i="29"/>
  <c r="R41" i="55"/>
  <c r="R38" i="55"/>
  <c r="R40" i="55"/>
  <c r="R37" i="55"/>
  <c r="R42" i="55"/>
  <c r="R39" i="55"/>
  <c r="AJ37" i="55"/>
  <c r="AE37" i="55" s="1"/>
  <c r="R94" i="55"/>
  <c r="R90" i="55"/>
  <c r="R92" i="55"/>
  <c r="R91" i="55"/>
  <c r="R89" i="55"/>
  <c r="R93" i="55"/>
  <c r="R255" i="28"/>
  <c r="R258" i="28"/>
  <c r="R95" i="29"/>
  <c r="R207" i="29"/>
  <c r="S134" i="45"/>
  <c r="R66" i="55"/>
  <c r="R62" i="55"/>
  <c r="R64" i="55"/>
  <c r="R65" i="55"/>
  <c r="R67" i="55"/>
  <c r="R63" i="55"/>
  <c r="R131" i="55"/>
  <c r="R127" i="55"/>
  <c r="R128" i="55"/>
  <c r="R130" i="55"/>
  <c r="R129" i="55"/>
  <c r="R132" i="55"/>
  <c r="R105" i="55"/>
  <c r="R107" i="55"/>
  <c r="R103" i="55"/>
  <c r="R106" i="55"/>
  <c r="R102" i="55"/>
  <c r="R104" i="55"/>
  <c r="R157" i="55"/>
  <c r="R153" i="55"/>
  <c r="R156" i="55"/>
  <c r="R155" i="55"/>
  <c r="R154" i="55"/>
  <c r="R158" i="55"/>
  <c r="R52" i="55"/>
  <c r="R53" i="55"/>
  <c r="R49" i="55"/>
  <c r="R54" i="55"/>
  <c r="R50" i="55"/>
  <c r="R51" i="55"/>
  <c r="R117" i="55"/>
  <c r="R116" i="55"/>
  <c r="R119" i="55"/>
  <c r="R118" i="55"/>
  <c r="R120" i="55"/>
  <c r="R115" i="55"/>
  <c r="R161" i="25"/>
  <c r="S38" i="35"/>
  <c r="R78" i="55"/>
  <c r="R80" i="55"/>
  <c r="R76" i="55"/>
  <c r="R79" i="55"/>
  <c r="R81" i="55"/>
  <c r="R77" i="55"/>
  <c r="R142" i="55"/>
  <c r="R145" i="55"/>
  <c r="R140" i="55"/>
  <c r="R143" i="55"/>
  <c r="R141" i="55"/>
  <c r="R144" i="55"/>
  <c r="H128" i="1"/>
  <c r="H75" i="1"/>
  <c r="R91" i="29"/>
  <c r="R92" i="29"/>
  <c r="R222" i="29"/>
  <c r="R225" i="29"/>
  <c r="R416" i="29"/>
  <c r="R220" i="29"/>
  <c r="R221" i="29"/>
  <c r="R98" i="25"/>
  <c r="R43" i="25"/>
  <c r="R94" i="25"/>
  <c r="R67" i="25"/>
  <c r="R93" i="25"/>
  <c r="R65" i="25"/>
  <c r="R97" i="25"/>
  <c r="R66" i="25"/>
  <c r="R138" i="25"/>
  <c r="R96" i="25"/>
  <c r="R70" i="25"/>
  <c r="R137" i="25"/>
  <c r="R57" i="25"/>
  <c r="R164" i="25"/>
  <c r="R166" i="25"/>
  <c r="R55" i="25"/>
  <c r="R133" i="25"/>
  <c r="R162" i="25"/>
  <c r="R163" i="25"/>
  <c r="R136" i="25"/>
  <c r="R80" i="25"/>
  <c r="R81" i="25"/>
  <c r="R372" i="29"/>
  <c r="R369" i="29"/>
  <c r="R229" i="28"/>
  <c r="R40" i="25"/>
  <c r="R44" i="25"/>
  <c r="R68" i="25"/>
  <c r="R54" i="25"/>
  <c r="R56" i="25"/>
  <c r="R84" i="25"/>
  <c r="R134" i="25"/>
  <c r="R208" i="29"/>
  <c r="R211" i="29"/>
  <c r="R370" i="29"/>
  <c r="R413" i="29"/>
  <c r="R414" i="29"/>
  <c r="S118" i="45"/>
  <c r="S102" i="45"/>
  <c r="R42" i="25"/>
  <c r="S86" i="35"/>
  <c r="S22" i="45"/>
  <c r="AA50" i="25"/>
  <c r="R41" i="25"/>
  <c r="R79" i="25"/>
  <c r="R209" i="29"/>
  <c r="R371" i="29"/>
  <c r="R417" i="29"/>
  <c r="S140" i="45"/>
  <c r="S146" i="45"/>
  <c r="W17" i="29"/>
  <c r="AO64" i="29" s="1"/>
  <c r="N25" i="50" s="1"/>
  <c r="O17" i="29"/>
  <c r="AG64" i="29" s="1"/>
  <c r="F25" i="50" s="1"/>
  <c r="Z17" i="29"/>
  <c r="AR64" i="29" s="1"/>
  <c r="Q25" i="50" s="1"/>
  <c r="Q17" i="29"/>
  <c r="AI64" i="29" s="1"/>
  <c r="H25" i="50" s="1"/>
  <c r="V17" i="29"/>
  <c r="AN64" i="29" s="1"/>
  <c r="M25" i="50" s="1"/>
  <c r="N17" i="29"/>
  <c r="AF64" i="29" s="1"/>
  <c r="E25" i="50" s="1"/>
  <c r="Y17" i="29"/>
  <c r="AQ64" i="29" s="1"/>
  <c r="P25" i="50" s="1"/>
  <c r="T17" i="29"/>
  <c r="AL64" i="29" s="1"/>
  <c r="K25" i="50" s="1"/>
  <c r="U17" i="29"/>
  <c r="AM64" i="29" s="1"/>
  <c r="L25" i="50" s="1"/>
  <c r="AB17" i="29"/>
  <c r="AT64" i="29" s="1"/>
  <c r="S25" i="50" s="1"/>
  <c r="S17" i="29"/>
  <c r="AK64" i="29" s="1"/>
  <c r="J25" i="50" s="1"/>
  <c r="X17" i="29"/>
  <c r="AP64" i="29" s="1"/>
  <c r="O25" i="50" s="1"/>
  <c r="P17" i="29"/>
  <c r="AH64" i="29" s="1"/>
  <c r="G25" i="50" s="1"/>
  <c r="AA17" i="29"/>
  <c r="AS64" i="29" s="1"/>
  <c r="R25" i="50" s="1"/>
  <c r="R17" i="29"/>
  <c r="AJ64" i="29" s="1"/>
  <c r="I25" i="50" s="1"/>
  <c r="R234" i="28"/>
  <c r="R84" i="28"/>
  <c r="R230" i="28"/>
  <c r="R231" i="28"/>
  <c r="R246" i="28"/>
  <c r="S102" i="35"/>
  <c r="S134" i="35"/>
  <c r="R82" i="28"/>
  <c r="R233" i="28"/>
  <c r="R81" i="28"/>
  <c r="S118" i="35"/>
  <c r="I163" i="28"/>
  <c r="I274" i="28"/>
  <c r="I222" i="28"/>
  <c r="I313" i="28"/>
  <c r="I299" i="28"/>
  <c r="I176" i="28"/>
  <c r="I287" i="28"/>
  <c r="I326" i="28"/>
  <c r="R145" i="28"/>
  <c r="Z204" i="29"/>
  <c r="AR205" i="29" s="1"/>
  <c r="X191" i="29"/>
  <c r="AP192" i="29" s="1"/>
  <c r="X179" i="29"/>
  <c r="AP180" i="29" s="1"/>
  <c r="T113" i="29"/>
  <c r="AL114" i="29" s="1"/>
  <c r="R487" i="31"/>
  <c r="AJ46" i="4"/>
  <c r="AJ31" i="4" s="1"/>
  <c r="T101" i="29"/>
  <c r="AL102" i="29" s="1"/>
  <c r="Z101" i="29"/>
  <c r="AR102" i="29" s="1"/>
  <c r="Y217" i="29"/>
  <c r="AQ218" i="29" s="1"/>
  <c r="T140" i="29"/>
  <c r="AL141" i="29" s="1"/>
  <c r="Z179" i="29"/>
  <c r="AR180" i="29" s="1"/>
  <c r="AA153" i="29"/>
  <c r="AS154" i="29" s="1"/>
  <c r="AB191" i="29"/>
  <c r="AT192" i="29" s="1"/>
  <c r="Z88" i="29"/>
  <c r="AR89" i="29" s="1"/>
  <c r="R411" i="31"/>
  <c r="R491" i="31"/>
  <c r="R421" i="31"/>
  <c r="R237" i="31"/>
  <c r="R422" i="31"/>
  <c r="R436" i="31"/>
  <c r="R478" i="31"/>
  <c r="R397" i="31"/>
  <c r="R83" i="31"/>
  <c r="Q153" i="29"/>
  <c r="AI154" i="29" s="1"/>
  <c r="W126" i="29"/>
  <c r="AO127" i="29" s="1"/>
  <c r="AA179" i="29"/>
  <c r="AS180" i="29" s="1"/>
  <c r="AA113" i="29"/>
  <c r="AS114" i="29" s="1"/>
  <c r="AA204" i="29"/>
  <c r="AS205" i="29" s="1"/>
  <c r="Q204" i="29"/>
  <c r="AI205" i="29" s="1"/>
  <c r="W191" i="29"/>
  <c r="AO192" i="29" s="1"/>
  <c r="Z166" i="29"/>
  <c r="AR167" i="29" s="1"/>
  <c r="Z153" i="29"/>
  <c r="AR154" i="29" s="1"/>
  <c r="AA191" i="29"/>
  <c r="AS192" i="29" s="1"/>
  <c r="AA126" i="29"/>
  <c r="AS127" i="29" s="1"/>
  <c r="Q88" i="29"/>
  <c r="AI89" i="29" s="1"/>
  <c r="W166" i="29"/>
  <c r="AO167" i="29" s="1"/>
  <c r="AA166" i="29"/>
  <c r="AS167" i="29" s="1"/>
  <c r="AA140" i="29"/>
  <c r="AS141" i="29" s="1"/>
  <c r="W204" i="29"/>
  <c r="AO205" i="29" s="1"/>
  <c r="W179" i="29"/>
  <c r="AO180" i="29" s="1"/>
  <c r="AA88" i="29"/>
  <c r="AS89" i="29" s="1"/>
  <c r="AA101" i="29"/>
  <c r="AS102" i="29" s="1"/>
  <c r="R140" i="29"/>
  <c r="AJ141" i="29" s="1"/>
  <c r="AB140" i="29"/>
  <c r="AT141" i="29" s="1"/>
  <c r="X88" i="29"/>
  <c r="AP89" i="29" s="1"/>
  <c r="S153" i="29"/>
  <c r="AK154" i="29" s="1"/>
  <c r="V113" i="29"/>
  <c r="AN114" i="29" s="1"/>
  <c r="R217" i="29"/>
  <c r="AJ218" i="29" s="1"/>
  <c r="AB153" i="29"/>
  <c r="AT154" i="29" s="1"/>
  <c r="AB179" i="29"/>
  <c r="AT180" i="29" s="1"/>
  <c r="X217" i="29"/>
  <c r="AP218" i="29" s="1"/>
  <c r="R88" i="29"/>
  <c r="AJ89" i="29" s="1"/>
  <c r="AB113" i="29"/>
  <c r="AT114" i="29" s="1"/>
  <c r="AB88" i="29"/>
  <c r="AT89" i="29" s="1"/>
  <c r="AB166" i="29"/>
  <c r="AT167" i="29" s="1"/>
  <c r="V126" i="29"/>
  <c r="AN127" i="29" s="1"/>
  <c r="AB217" i="29"/>
  <c r="AT218" i="29" s="1"/>
  <c r="X101" i="29"/>
  <c r="AP102" i="29" s="1"/>
  <c r="AB101" i="29"/>
  <c r="AT102" i="29" s="1"/>
  <c r="AB126" i="29"/>
  <c r="AT127" i="29" s="1"/>
  <c r="V217" i="29"/>
  <c r="AN218" i="29" s="1"/>
  <c r="AE50" i="31"/>
  <c r="R179" i="29"/>
  <c r="AJ180" i="29" s="1"/>
  <c r="R153" i="29"/>
  <c r="AJ154" i="29" s="1"/>
  <c r="T191" i="29"/>
  <c r="AL192" i="29" s="1"/>
  <c r="V140" i="29"/>
  <c r="AN141" i="29" s="1"/>
  <c r="X140" i="29"/>
  <c r="AP141" i="29" s="1"/>
  <c r="X113" i="29"/>
  <c r="AP114" i="29" s="1"/>
  <c r="X204" i="29"/>
  <c r="AP205" i="29" s="1"/>
  <c r="R126" i="29"/>
  <c r="AJ127" i="29" s="1"/>
  <c r="R113" i="29"/>
  <c r="AJ114" i="29" s="1"/>
  <c r="R166" i="29"/>
  <c r="AJ167" i="29" s="1"/>
  <c r="T126" i="29"/>
  <c r="AL127" i="29" s="1"/>
  <c r="T217" i="29"/>
  <c r="AL218" i="29" s="1"/>
  <c r="Z191" i="29"/>
  <c r="AR192" i="29" s="1"/>
  <c r="Z140" i="29"/>
  <c r="AR141" i="29" s="1"/>
  <c r="Z217" i="29"/>
  <c r="AR218" i="29" s="1"/>
  <c r="Y126" i="29"/>
  <c r="AQ127" i="29" s="1"/>
  <c r="V166" i="29"/>
  <c r="AN167" i="29" s="1"/>
  <c r="V204" i="29"/>
  <c r="AN205" i="29" s="1"/>
  <c r="R191" i="29"/>
  <c r="AJ192" i="29" s="1"/>
  <c r="T179" i="29"/>
  <c r="AL180" i="29" s="1"/>
  <c r="T166" i="29"/>
  <c r="AL167" i="29" s="1"/>
  <c r="S101" i="29"/>
  <c r="AK102" i="29" s="1"/>
  <c r="V191" i="29"/>
  <c r="AN192" i="29" s="1"/>
  <c r="V88" i="29"/>
  <c r="AN89" i="29" s="1"/>
  <c r="X126" i="29"/>
  <c r="AP127" i="29" s="1"/>
  <c r="X153" i="29"/>
  <c r="AP154" i="29" s="1"/>
  <c r="R204" i="29"/>
  <c r="AJ205" i="29" s="1"/>
  <c r="T88" i="29"/>
  <c r="AL89" i="29" s="1"/>
  <c r="T153" i="29"/>
  <c r="AL154" i="29" s="1"/>
  <c r="S217" i="29"/>
  <c r="AK218" i="29" s="1"/>
  <c r="Z126" i="29"/>
  <c r="AR127" i="29" s="1"/>
  <c r="V101" i="29"/>
  <c r="AN102" i="29" s="1"/>
  <c r="V179" i="29"/>
  <c r="AN180" i="29" s="1"/>
  <c r="Z188" i="28"/>
  <c r="AR189" i="28" s="1"/>
  <c r="Z239" i="28"/>
  <c r="AR240" i="28" s="1"/>
  <c r="Z226" i="28"/>
  <c r="AR227" i="28" s="1"/>
  <c r="Z202" i="28"/>
  <c r="AR203" i="28" s="1"/>
  <c r="Z252" i="28"/>
  <c r="AR253" i="28" s="1"/>
  <c r="V239" i="28"/>
  <c r="AN240" i="28" s="1"/>
  <c r="V202" i="28"/>
  <c r="AN203" i="28" s="1"/>
  <c r="V252" i="28"/>
  <c r="AN253" i="28" s="1"/>
  <c r="V226" i="28"/>
  <c r="AN227" i="28" s="1"/>
  <c r="V188" i="28"/>
  <c r="AN189" i="28" s="1"/>
  <c r="Q217" i="29"/>
  <c r="AI218" i="29" s="1"/>
  <c r="Q126" i="29"/>
  <c r="AI127" i="29" s="1"/>
  <c r="Q113" i="29"/>
  <c r="AI114" i="29" s="1"/>
  <c r="W113" i="29"/>
  <c r="AO114" i="29" s="1"/>
  <c r="W101" i="29"/>
  <c r="AO102" i="29" s="1"/>
  <c r="W217" i="29"/>
  <c r="AO218" i="29" s="1"/>
  <c r="S204" i="29"/>
  <c r="AK205" i="29" s="1"/>
  <c r="S126" i="29"/>
  <c r="AK127" i="29" s="1"/>
  <c r="Y101" i="29"/>
  <c r="AQ102" i="29" s="1"/>
  <c r="Y140" i="29"/>
  <c r="AQ141" i="29" s="1"/>
  <c r="Y153" i="29"/>
  <c r="AQ154" i="29" s="1"/>
  <c r="W188" i="28"/>
  <c r="AO189" i="28" s="1"/>
  <c r="W252" i="28"/>
  <c r="AO253" i="28" s="1"/>
  <c r="W239" i="28"/>
  <c r="AO240" i="28" s="1"/>
  <c r="W202" i="28"/>
  <c r="AO203" i="28" s="1"/>
  <c r="W226" i="28"/>
  <c r="AO227" i="28" s="1"/>
  <c r="X188" i="28"/>
  <c r="AP189" i="28" s="1"/>
  <c r="X252" i="28"/>
  <c r="AP253" i="28" s="1"/>
  <c r="X226" i="28"/>
  <c r="AP227" i="28" s="1"/>
  <c r="X202" i="28"/>
  <c r="AP203" i="28" s="1"/>
  <c r="X239" i="28"/>
  <c r="AP240" i="28" s="1"/>
  <c r="Q101" i="29"/>
  <c r="AI102" i="29" s="1"/>
  <c r="Q140" i="29"/>
  <c r="AI141" i="29" s="1"/>
  <c r="Q191" i="29"/>
  <c r="AI192" i="29" s="1"/>
  <c r="S88" i="29"/>
  <c r="AK89" i="29" s="1"/>
  <c r="S113" i="29"/>
  <c r="AK114" i="29" s="1"/>
  <c r="S140" i="29"/>
  <c r="AK141" i="29" s="1"/>
  <c r="Y166" i="29"/>
  <c r="AQ167" i="29" s="1"/>
  <c r="Y179" i="29"/>
  <c r="AQ180" i="29" s="1"/>
  <c r="Y113" i="29"/>
  <c r="AQ114" i="29" s="1"/>
  <c r="AA188" i="28"/>
  <c r="AS189" i="28" s="1"/>
  <c r="AA239" i="28"/>
  <c r="AS240" i="28" s="1"/>
  <c r="AA252" i="28"/>
  <c r="AS253" i="28" s="1"/>
  <c r="AA202" i="28"/>
  <c r="AS203" i="28" s="1"/>
  <c r="AA226" i="28"/>
  <c r="AS227" i="28" s="1"/>
  <c r="T239" i="28"/>
  <c r="AL240" i="28" s="1"/>
  <c r="T226" i="28"/>
  <c r="AL227" i="28" s="1"/>
  <c r="T252" i="28"/>
  <c r="AL253" i="28" s="1"/>
  <c r="T188" i="28"/>
  <c r="AL189" i="28" s="1"/>
  <c r="T202" i="28"/>
  <c r="AL203" i="28" s="1"/>
  <c r="R226" i="28"/>
  <c r="AJ227" i="28" s="1"/>
  <c r="R188" i="28"/>
  <c r="AJ189" i="28" s="1"/>
  <c r="R239" i="28"/>
  <c r="AJ240" i="28" s="1"/>
  <c r="R202" i="28"/>
  <c r="AJ203" i="28" s="1"/>
  <c r="R252" i="28"/>
  <c r="AJ253" i="28" s="1"/>
  <c r="P217" i="29"/>
  <c r="AH218" i="29" s="1"/>
  <c r="P126" i="29"/>
  <c r="AH127" i="29" s="1"/>
  <c r="P113" i="29"/>
  <c r="AH114" i="29" s="1"/>
  <c r="P204" i="29"/>
  <c r="AH205" i="29" s="1"/>
  <c r="P179" i="29"/>
  <c r="AH180" i="29" s="1"/>
  <c r="P191" i="29"/>
  <c r="AH192" i="29" s="1"/>
  <c r="P153" i="29"/>
  <c r="AH154" i="29" s="1"/>
  <c r="P88" i="29"/>
  <c r="AH89" i="29" s="1"/>
  <c r="P166" i="29"/>
  <c r="AH167" i="29" s="1"/>
  <c r="P140" i="29"/>
  <c r="AH141" i="29" s="1"/>
  <c r="P101" i="29"/>
  <c r="AH102" i="29" s="1"/>
  <c r="AB188" i="28"/>
  <c r="AT189" i="28" s="1"/>
  <c r="AB226" i="28"/>
  <c r="AT227" i="28" s="1"/>
  <c r="AB252" i="28"/>
  <c r="AT253" i="28" s="1"/>
  <c r="AB202" i="28"/>
  <c r="AT203" i="28" s="1"/>
  <c r="AB239" i="28"/>
  <c r="AT240" i="28" s="1"/>
  <c r="Q166" i="29"/>
  <c r="AI167" i="29" s="1"/>
  <c r="W153" i="29"/>
  <c r="AO154" i="29" s="1"/>
  <c r="W88" i="29"/>
  <c r="AO89" i="29" s="1"/>
  <c r="S166" i="29"/>
  <c r="AK167" i="29" s="1"/>
  <c r="S191" i="29"/>
  <c r="AK192" i="29" s="1"/>
  <c r="Y88" i="29"/>
  <c r="AQ89" i="29" s="1"/>
  <c r="Y204" i="29"/>
  <c r="AQ205" i="29" s="1"/>
  <c r="S188" i="28"/>
  <c r="AK189" i="28" s="1"/>
  <c r="S239" i="28"/>
  <c r="AK240" i="28" s="1"/>
  <c r="S226" i="28"/>
  <c r="AK227" i="28" s="1"/>
  <c r="S252" i="28"/>
  <c r="AK253" i="28" s="1"/>
  <c r="S202" i="28"/>
  <c r="AK203" i="28" s="1"/>
  <c r="O179" i="29"/>
  <c r="AG180" i="29" s="1"/>
  <c r="O113" i="29"/>
  <c r="AG114" i="29" s="1"/>
  <c r="O88" i="29"/>
  <c r="AG89" i="29" s="1"/>
  <c r="O140" i="29"/>
  <c r="AG141" i="29" s="1"/>
  <c r="O204" i="29"/>
  <c r="AG205" i="29" s="1"/>
  <c r="O191" i="29"/>
  <c r="AG192" i="29" s="1"/>
  <c r="O126" i="29"/>
  <c r="AG127" i="29" s="1"/>
  <c r="O217" i="29"/>
  <c r="AG218" i="29" s="1"/>
  <c r="O101" i="29"/>
  <c r="AG102" i="29" s="1"/>
  <c r="O166" i="29"/>
  <c r="AG167" i="29" s="1"/>
  <c r="O153" i="29"/>
  <c r="AG154" i="29" s="1"/>
  <c r="Q188" i="28"/>
  <c r="AI189" i="28" s="1"/>
  <c r="Q239" i="28"/>
  <c r="AI240" i="28" s="1"/>
  <c r="Q202" i="28"/>
  <c r="AI203" i="28" s="1"/>
  <c r="Q226" i="28"/>
  <c r="AI227" i="28" s="1"/>
  <c r="Q252" i="28"/>
  <c r="AI253" i="28" s="1"/>
  <c r="Y239" i="28"/>
  <c r="AQ240" i="28" s="1"/>
  <c r="Y202" i="28"/>
  <c r="AQ203" i="28" s="1"/>
  <c r="Y252" i="28"/>
  <c r="AQ253" i="28" s="1"/>
  <c r="Y188" i="28"/>
  <c r="AQ189" i="28" s="1"/>
  <c r="Y226" i="28"/>
  <c r="AQ227" i="28" s="1"/>
  <c r="R356" i="31"/>
  <c r="R373" i="31"/>
  <c r="R275" i="31"/>
  <c r="R323" i="31"/>
  <c r="R437" i="31"/>
  <c r="R314" i="31"/>
  <c r="R136" i="28"/>
  <c r="R408" i="31"/>
  <c r="R258" i="31"/>
  <c r="R463" i="31"/>
  <c r="R262" i="31"/>
  <c r="R287" i="31"/>
  <c r="R137" i="28"/>
  <c r="R479" i="31"/>
  <c r="R477" i="31"/>
  <c r="R488" i="31"/>
  <c r="R407" i="31"/>
  <c r="R424" i="31"/>
  <c r="R310" i="31"/>
  <c r="R263" i="31"/>
  <c r="R133" i="28"/>
  <c r="R149" i="28"/>
  <c r="R210" i="31"/>
  <c r="R474" i="31"/>
  <c r="R492" i="31"/>
  <c r="R207" i="31"/>
  <c r="R475" i="31"/>
  <c r="R489" i="31"/>
  <c r="R119" i="28"/>
  <c r="R398" i="31"/>
  <c r="R259" i="31"/>
  <c r="R260" i="31"/>
  <c r="R248" i="31"/>
  <c r="R124" i="28"/>
  <c r="R394" i="31"/>
  <c r="R261" i="31"/>
  <c r="R284" i="31"/>
  <c r="R238" i="31"/>
  <c r="R134" i="28"/>
  <c r="R144" i="28"/>
  <c r="R120" i="28"/>
  <c r="R410" i="31"/>
  <c r="R412" i="31"/>
  <c r="R425" i="31"/>
  <c r="R423" i="31"/>
  <c r="R271" i="31"/>
  <c r="R286" i="31"/>
  <c r="R122" i="28"/>
  <c r="R123" i="28"/>
  <c r="R208" i="31"/>
  <c r="R451" i="31"/>
  <c r="R461" i="31"/>
  <c r="R435" i="31"/>
  <c r="R288" i="31"/>
  <c r="R233" i="31"/>
  <c r="R209" i="31"/>
  <c r="R460" i="31"/>
  <c r="R464" i="29"/>
  <c r="R465" i="29"/>
  <c r="R467" i="29"/>
  <c r="R466" i="29"/>
  <c r="R468" i="29"/>
  <c r="R463" i="29"/>
  <c r="R374" i="31"/>
  <c r="R311" i="31"/>
  <c r="R453" i="29"/>
  <c r="R455" i="29"/>
  <c r="R451" i="29"/>
  <c r="R450" i="29"/>
  <c r="R452" i="29"/>
  <c r="R454" i="29"/>
  <c r="R93" i="31"/>
  <c r="R375" i="31"/>
  <c r="R395" i="31"/>
  <c r="R399" i="31"/>
  <c r="R438" i="31"/>
  <c r="R313" i="31"/>
  <c r="R272" i="31"/>
  <c r="R247" i="31"/>
  <c r="R245" i="31"/>
  <c r="R285" i="31"/>
  <c r="R235" i="31"/>
  <c r="R361" i="31"/>
  <c r="R68" i="28"/>
  <c r="R450" i="31"/>
  <c r="R452" i="31"/>
  <c r="R464" i="31"/>
  <c r="R440" i="29"/>
  <c r="R437" i="29"/>
  <c r="R442" i="29"/>
  <c r="R439" i="29"/>
  <c r="R441" i="29"/>
  <c r="R438" i="29"/>
  <c r="R515" i="29"/>
  <c r="R517" i="29"/>
  <c r="R514" i="29"/>
  <c r="R516" i="29"/>
  <c r="R519" i="29"/>
  <c r="R518" i="29"/>
  <c r="R501" i="29"/>
  <c r="R503" i="29"/>
  <c r="R502" i="29"/>
  <c r="R505" i="29"/>
  <c r="R504" i="29"/>
  <c r="R506" i="29"/>
  <c r="R490" i="29"/>
  <c r="R488" i="29"/>
  <c r="R489" i="29"/>
  <c r="R492" i="29"/>
  <c r="R493" i="29"/>
  <c r="R491" i="29"/>
  <c r="R426" i="29"/>
  <c r="R428" i="29"/>
  <c r="R427" i="29"/>
  <c r="R425" i="29"/>
  <c r="R424" i="29"/>
  <c r="R429" i="29"/>
  <c r="R96" i="31"/>
  <c r="R370" i="31"/>
  <c r="R312" i="31"/>
  <c r="R250" i="31"/>
  <c r="R246" i="31"/>
  <c r="R326" i="31"/>
  <c r="R453" i="31"/>
  <c r="R449" i="31"/>
  <c r="R371" i="31"/>
  <c r="R440" i="31"/>
  <c r="R274" i="31"/>
  <c r="R276" i="31"/>
  <c r="R249" i="31"/>
  <c r="R234" i="31"/>
  <c r="R360" i="31"/>
  <c r="R462" i="31"/>
  <c r="R476" i="29"/>
  <c r="R481" i="29"/>
  <c r="R479" i="29"/>
  <c r="R477" i="29"/>
  <c r="R478" i="29"/>
  <c r="R480" i="29"/>
  <c r="R305" i="29"/>
  <c r="R303" i="29"/>
  <c r="R307" i="29"/>
  <c r="R304" i="29"/>
  <c r="R306" i="29"/>
  <c r="R308" i="29"/>
  <c r="R120" i="29"/>
  <c r="R117" i="29"/>
  <c r="R121" i="29"/>
  <c r="R118" i="29"/>
  <c r="R116" i="29"/>
  <c r="R119" i="29"/>
  <c r="R321" i="28"/>
  <c r="R325" i="28"/>
  <c r="R326" i="28"/>
  <c r="R323" i="28"/>
  <c r="R324" i="28"/>
  <c r="R322" i="28"/>
  <c r="R91" i="31"/>
  <c r="R71" i="28"/>
  <c r="R70" i="28"/>
  <c r="R324" i="31"/>
  <c r="R346" i="29"/>
  <c r="R342" i="29"/>
  <c r="R343" i="29"/>
  <c r="R345" i="29"/>
  <c r="R344" i="29"/>
  <c r="R341" i="29"/>
  <c r="R290" i="29"/>
  <c r="R293" i="29"/>
  <c r="R295" i="29"/>
  <c r="R294" i="29"/>
  <c r="R292" i="29"/>
  <c r="R291" i="29"/>
  <c r="R194" i="29"/>
  <c r="R196" i="29"/>
  <c r="R195" i="29"/>
  <c r="R198" i="29"/>
  <c r="R197" i="29"/>
  <c r="R199" i="29"/>
  <c r="R313" i="28"/>
  <c r="R309" i="28"/>
  <c r="R312" i="28"/>
  <c r="R308" i="28"/>
  <c r="R310" i="28"/>
  <c r="R311" i="28"/>
  <c r="Z443" i="29"/>
  <c r="P443" i="29"/>
  <c r="V443" i="29"/>
  <c r="U443" i="29"/>
  <c r="Q443" i="29"/>
  <c r="T443" i="29"/>
  <c r="O443" i="29"/>
  <c r="AB443" i="29"/>
  <c r="AA443" i="29"/>
  <c r="X443" i="29"/>
  <c r="Y443" i="29"/>
  <c r="W443" i="29"/>
  <c r="R443" i="29"/>
  <c r="S443" i="29"/>
  <c r="AB162" i="29"/>
  <c r="R162" i="29"/>
  <c r="Z162" i="29"/>
  <c r="U162" i="29"/>
  <c r="X162" i="29"/>
  <c r="S162" i="29"/>
  <c r="Y162" i="29"/>
  <c r="T162" i="29"/>
  <c r="P162" i="29"/>
  <c r="W162" i="29"/>
  <c r="Q162" i="29"/>
  <c r="AA162" i="29"/>
  <c r="V162" i="29"/>
  <c r="O162" i="29"/>
  <c r="U406" i="29"/>
  <c r="Q406" i="29"/>
  <c r="X406" i="29"/>
  <c r="W406" i="29"/>
  <c r="AB406" i="29"/>
  <c r="O406" i="29"/>
  <c r="P406" i="29"/>
  <c r="T406" i="29"/>
  <c r="S406" i="29"/>
  <c r="R406" i="29"/>
  <c r="Z406" i="29"/>
  <c r="Y406" i="29"/>
  <c r="V406" i="29"/>
  <c r="AA406" i="29"/>
  <c r="T110" i="29"/>
  <c r="AB110" i="29"/>
  <c r="W110" i="29"/>
  <c r="O110" i="29"/>
  <c r="U110" i="29"/>
  <c r="Y110" i="29"/>
  <c r="R110" i="29"/>
  <c r="P110" i="29"/>
  <c r="V110" i="29"/>
  <c r="X110" i="29"/>
  <c r="Z110" i="29"/>
  <c r="Q110" i="29"/>
  <c r="S110" i="29"/>
  <c r="AA110" i="29"/>
  <c r="R150" i="31"/>
  <c r="R148" i="31"/>
  <c r="R149" i="31"/>
  <c r="R151" i="31"/>
  <c r="R152" i="31"/>
  <c r="R147" i="31"/>
  <c r="R280" i="29"/>
  <c r="R278" i="29"/>
  <c r="R282" i="29"/>
  <c r="R279" i="29"/>
  <c r="R277" i="29"/>
  <c r="R281" i="29"/>
  <c r="R95" i="31"/>
  <c r="R92" i="31"/>
  <c r="R273" i="31"/>
  <c r="R236" i="31"/>
  <c r="R358" i="31"/>
  <c r="R132" i="28"/>
  <c r="R147" i="28"/>
  <c r="R67" i="28"/>
  <c r="R69" i="28"/>
  <c r="R327" i="31"/>
  <c r="R325" i="31"/>
  <c r="R212" i="31"/>
  <c r="R161" i="28"/>
  <c r="R162" i="28"/>
  <c r="R159" i="28"/>
  <c r="R160" i="28"/>
  <c r="R163" i="28"/>
  <c r="R158" i="28"/>
  <c r="R106" i="29"/>
  <c r="R107" i="29"/>
  <c r="R105" i="29"/>
  <c r="R108" i="29"/>
  <c r="R109" i="29"/>
  <c r="R104" i="29"/>
  <c r="R129" i="29"/>
  <c r="R133" i="29"/>
  <c r="R134" i="29"/>
  <c r="R131" i="29"/>
  <c r="R132" i="29"/>
  <c r="R130" i="29"/>
  <c r="R218" i="28"/>
  <c r="R220" i="28"/>
  <c r="R219" i="28"/>
  <c r="R222" i="28"/>
  <c r="R221" i="28"/>
  <c r="R217" i="28"/>
  <c r="Y200" i="29"/>
  <c r="U200" i="29"/>
  <c r="Q200" i="29"/>
  <c r="Z200" i="29"/>
  <c r="V200" i="29"/>
  <c r="S200" i="29"/>
  <c r="O200" i="29"/>
  <c r="P200" i="29"/>
  <c r="T200" i="29"/>
  <c r="X200" i="29"/>
  <c r="W200" i="29"/>
  <c r="AB200" i="29"/>
  <c r="AA200" i="29"/>
  <c r="R200" i="29"/>
  <c r="V149" i="29"/>
  <c r="Y149" i="29"/>
  <c r="S149" i="29"/>
  <c r="W149" i="29"/>
  <c r="P149" i="29"/>
  <c r="AA149" i="29"/>
  <c r="U149" i="29"/>
  <c r="X149" i="29"/>
  <c r="T149" i="29"/>
  <c r="Z149" i="29"/>
  <c r="O149" i="29"/>
  <c r="AB149" i="29"/>
  <c r="R149" i="29"/>
  <c r="Q149" i="29"/>
  <c r="T213" i="29"/>
  <c r="V213" i="29"/>
  <c r="P213" i="29"/>
  <c r="O213" i="29"/>
  <c r="S213" i="29"/>
  <c r="R213" i="29"/>
  <c r="X213" i="29"/>
  <c r="Z213" i="29"/>
  <c r="AB213" i="29"/>
  <c r="U213" i="29"/>
  <c r="Q213" i="29"/>
  <c r="W213" i="29"/>
  <c r="Y213" i="29"/>
  <c r="AA213" i="29"/>
  <c r="O122" i="29"/>
  <c r="S122" i="29"/>
  <c r="R122" i="29"/>
  <c r="P122" i="29"/>
  <c r="Q122" i="29"/>
  <c r="Z122" i="29"/>
  <c r="W122" i="29"/>
  <c r="T122" i="29"/>
  <c r="U122" i="29"/>
  <c r="X122" i="29"/>
  <c r="AB122" i="29"/>
  <c r="V122" i="29"/>
  <c r="AA122" i="29"/>
  <c r="Y122" i="29"/>
  <c r="R359" i="29"/>
  <c r="R354" i="29"/>
  <c r="R357" i="29"/>
  <c r="R358" i="29"/>
  <c r="R355" i="29"/>
  <c r="R356" i="29"/>
  <c r="R192" i="31"/>
  <c r="R187" i="31"/>
  <c r="R188" i="31"/>
  <c r="R189" i="31"/>
  <c r="R190" i="31"/>
  <c r="R191" i="31"/>
  <c r="R138" i="31"/>
  <c r="R134" i="31"/>
  <c r="R133" i="31"/>
  <c r="R136" i="31"/>
  <c r="R137" i="31"/>
  <c r="R135" i="31"/>
  <c r="R240" i="29"/>
  <c r="R244" i="29"/>
  <c r="R243" i="29"/>
  <c r="R242" i="29"/>
  <c r="R245" i="29"/>
  <c r="R241" i="29"/>
  <c r="R286" i="28"/>
  <c r="R287" i="28"/>
  <c r="R284" i="28"/>
  <c r="R285" i="28"/>
  <c r="R282" i="28"/>
  <c r="R283" i="28"/>
  <c r="R402" i="29"/>
  <c r="R403" i="29"/>
  <c r="R404" i="29"/>
  <c r="R401" i="29"/>
  <c r="R405" i="29"/>
  <c r="R400" i="29"/>
  <c r="W188" i="29"/>
  <c r="Z188" i="29"/>
  <c r="P188" i="29"/>
  <c r="Y188" i="29"/>
  <c r="AA188" i="29"/>
  <c r="Q188" i="29"/>
  <c r="AB188" i="29"/>
  <c r="X188" i="29"/>
  <c r="S188" i="29"/>
  <c r="O188" i="29"/>
  <c r="T188" i="29"/>
  <c r="V188" i="29"/>
  <c r="R188" i="29"/>
  <c r="U188" i="29"/>
  <c r="O381" i="29"/>
  <c r="S381" i="29"/>
  <c r="R381" i="29"/>
  <c r="X381" i="29"/>
  <c r="P381" i="29"/>
  <c r="T381" i="29"/>
  <c r="W381" i="29"/>
  <c r="AB381" i="29"/>
  <c r="U381" i="29"/>
  <c r="V381" i="29"/>
  <c r="AA381" i="29"/>
  <c r="Y381" i="29"/>
  <c r="Q381" i="29"/>
  <c r="Z381" i="29"/>
  <c r="T418" i="29"/>
  <c r="AA418" i="29"/>
  <c r="Z418" i="29"/>
  <c r="U418" i="29"/>
  <c r="O418" i="29"/>
  <c r="AB418" i="29"/>
  <c r="V418" i="29"/>
  <c r="X418" i="29"/>
  <c r="W418" i="29"/>
  <c r="Y418" i="29"/>
  <c r="R418" i="29"/>
  <c r="P418" i="29"/>
  <c r="S418" i="29"/>
  <c r="Q418" i="29"/>
  <c r="P175" i="29"/>
  <c r="V175" i="29"/>
  <c r="U175" i="29"/>
  <c r="R175" i="29"/>
  <c r="Y175" i="29"/>
  <c r="O175" i="29"/>
  <c r="AA175" i="29"/>
  <c r="Z175" i="29"/>
  <c r="X175" i="29"/>
  <c r="Q175" i="29"/>
  <c r="S175" i="29"/>
  <c r="T175" i="29"/>
  <c r="AB175" i="29"/>
  <c r="W175" i="29"/>
  <c r="R187" i="29"/>
  <c r="R183" i="29"/>
  <c r="R182" i="29"/>
  <c r="R184" i="29"/>
  <c r="R185" i="29"/>
  <c r="R186" i="29"/>
  <c r="R272" i="28"/>
  <c r="R273" i="28"/>
  <c r="R269" i="28"/>
  <c r="R270" i="28"/>
  <c r="R271" i="28"/>
  <c r="R274" i="28"/>
  <c r="R316" i="29"/>
  <c r="R319" i="29"/>
  <c r="R320" i="29"/>
  <c r="R317" i="29"/>
  <c r="R321" i="29"/>
  <c r="R318" i="29"/>
  <c r="R175" i="31"/>
  <c r="R178" i="31"/>
  <c r="R176" i="31"/>
  <c r="R174" i="31"/>
  <c r="R173" i="31"/>
  <c r="R177" i="31"/>
  <c r="R359" i="31"/>
  <c r="R357" i="31"/>
  <c r="R148" i="28"/>
  <c r="R389" i="29"/>
  <c r="R387" i="29"/>
  <c r="R392" i="29"/>
  <c r="R391" i="29"/>
  <c r="R390" i="29"/>
  <c r="R388" i="29"/>
  <c r="R173" i="28"/>
  <c r="R172" i="28"/>
  <c r="R175" i="28"/>
  <c r="R171" i="28"/>
  <c r="R176" i="28"/>
  <c r="R174" i="28"/>
  <c r="R143" i="29"/>
  <c r="R144" i="29"/>
  <c r="R146" i="29"/>
  <c r="R147" i="29"/>
  <c r="R145" i="29"/>
  <c r="R148" i="29"/>
  <c r="R296" i="28"/>
  <c r="R297" i="28"/>
  <c r="R294" i="28"/>
  <c r="R298" i="28"/>
  <c r="R295" i="28"/>
  <c r="R299" i="28"/>
  <c r="V393" i="29"/>
  <c r="U393" i="29"/>
  <c r="AA393" i="29"/>
  <c r="S393" i="29"/>
  <c r="Z393" i="29"/>
  <c r="P393" i="29"/>
  <c r="AB393" i="29"/>
  <c r="X393" i="29"/>
  <c r="T393" i="29"/>
  <c r="W393" i="29"/>
  <c r="O393" i="29"/>
  <c r="R393" i="29"/>
  <c r="Q393" i="29"/>
  <c r="Y393" i="29"/>
  <c r="V430" i="29"/>
  <c r="U430" i="29"/>
  <c r="Y430" i="29"/>
  <c r="AB430" i="29"/>
  <c r="Q430" i="29"/>
  <c r="W430" i="29"/>
  <c r="Z430" i="29"/>
  <c r="X430" i="29"/>
  <c r="O430" i="29"/>
  <c r="AA430" i="29"/>
  <c r="R430" i="29"/>
  <c r="S430" i="29"/>
  <c r="T430" i="29"/>
  <c r="P430" i="29"/>
  <c r="AA135" i="29"/>
  <c r="P135" i="29"/>
  <c r="Y135" i="29"/>
  <c r="Z135" i="29"/>
  <c r="S135" i="29"/>
  <c r="AB135" i="29"/>
  <c r="V135" i="29"/>
  <c r="U135" i="29"/>
  <c r="W135" i="29"/>
  <c r="T135" i="29"/>
  <c r="Q135" i="29"/>
  <c r="O135" i="29"/>
  <c r="R135" i="29"/>
  <c r="X135" i="29"/>
  <c r="AB456" i="29"/>
  <c r="S456" i="29"/>
  <c r="Z456" i="29"/>
  <c r="R456" i="29"/>
  <c r="P456" i="29"/>
  <c r="U456" i="29"/>
  <c r="Y456" i="29"/>
  <c r="V456" i="29"/>
  <c r="AA456" i="29"/>
  <c r="W456" i="29"/>
  <c r="T456" i="29"/>
  <c r="Q456" i="29"/>
  <c r="X456" i="29"/>
  <c r="O456" i="29"/>
  <c r="R269" i="29"/>
  <c r="R265" i="29"/>
  <c r="R268" i="29"/>
  <c r="R270" i="29"/>
  <c r="R267" i="29"/>
  <c r="R266" i="29"/>
  <c r="R156" i="29"/>
  <c r="R157" i="29"/>
  <c r="R161" i="29"/>
  <c r="R159" i="29"/>
  <c r="R160" i="29"/>
  <c r="R158" i="29"/>
  <c r="R170" i="29"/>
  <c r="R174" i="29"/>
  <c r="R171" i="29"/>
  <c r="R172" i="29"/>
  <c r="R169" i="29"/>
  <c r="R173" i="29"/>
  <c r="R300" i="31"/>
  <c r="R297" i="31"/>
  <c r="R302" i="31"/>
  <c r="R301" i="31"/>
  <c r="R299" i="31"/>
  <c r="R298" i="31"/>
  <c r="R339" i="31"/>
  <c r="R341" i="31"/>
  <c r="R338" i="31"/>
  <c r="R336" i="31"/>
  <c r="R340" i="31"/>
  <c r="R337" i="31"/>
  <c r="R209" i="28"/>
  <c r="R206" i="28"/>
  <c r="R210" i="28"/>
  <c r="R191" i="28"/>
  <c r="R193" i="28"/>
  <c r="R194" i="28"/>
  <c r="R195" i="28"/>
  <c r="R196" i="28"/>
  <c r="R192" i="28"/>
  <c r="Y360" i="31"/>
  <c r="Y358" i="31"/>
  <c r="Y361" i="31"/>
  <c r="Y357" i="31"/>
  <c r="Y359" i="31"/>
  <c r="Y356" i="31"/>
  <c r="Q357" i="31"/>
  <c r="Q356" i="31"/>
  <c r="Q361" i="31"/>
  <c r="Q360" i="31"/>
  <c r="Q358" i="31"/>
  <c r="Q359" i="31"/>
  <c r="P360" i="31"/>
  <c r="P359" i="31"/>
  <c r="P361" i="31"/>
  <c r="P356" i="31"/>
  <c r="P358" i="31"/>
  <c r="P357" i="31"/>
  <c r="O361" i="31"/>
  <c r="O359" i="31"/>
  <c r="O357" i="31"/>
  <c r="O360" i="31"/>
  <c r="O358" i="31"/>
  <c r="O356" i="31"/>
  <c r="N360" i="31"/>
  <c r="N359" i="31"/>
  <c r="N361" i="31"/>
  <c r="N356" i="31"/>
  <c r="N357" i="31"/>
  <c r="N358" i="31"/>
  <c r="T360" i="31"/>
  <c r="T361" i="31"/>
  <c r="T357" i="31"/>
  <c r="T359" i="31"/>
  <c r="T358" i="31"/>
  <c r="T356" i="31"/>
  <c r="R208" i="28"/>
  <c r="R207" i="28"/>
  <c r="AA361" i="31"/>
  <c r="AA359" i="31"/>
  <c r="AA358" i="31"/>
  <c r="AA360" i="31"/>
  <c r="AA357" i="31"/>
  <c r="AA356" i="31"/>
  <c r="V358" i="31"/>
  <c r="V361" i="31"/>
  <c r="V357" i="31"/>
  <c r="V356" i="31"/>
  <c r="V360" i="31"/>
  <c r="V359" i="31"/>
  <c r="U357" i="31"/>
  <c r="U361" i="31"/>
  <c r="U359" i="31"/>
  <c r="U360" i="31"/>
  <c r="U356" i="31"/>
  <c r="U358" i="31"/>
  <c r="AB360" i="31"/>
  <c r="AB357" i="31"/>
  <c r="AB356" i="31"/>
  <c r="AB358" i="31"/>
  <c r="AB361" i="31"/>
  <c r="AB359" i="31"/>
  <c r="X358" i="31"/>
  <c r="X357" i="31"/>
  <c r="X359" i="31"/>
  <c r="X356" i="31"/>
  <c r="X361" i="31"/>
  <c r="X360" i="31"/>
  <c r="W358" i="31"/>
  <c r="W357" i="31"/>
  <c r="W356" i="31"/>
  <c r="W360" i="31"/>
  <c r="W359" i="31"/>
  <c r="W361" i="31"/>
  <c r="S359" i="31"/>
  <c r="S361" i="31"/>
  <c r="S357" i="31"/>
  <c r="S356" i="31"/>
  <c r="S360" i="31"/>
  <c r="S358" i="31"/>
  <c r="Z357" i="31"/>
  <c r="Z356" i="31"/>
  <c r="Z358" i="31"/>
  <c r="Z359" i="31"/>
  <c r="Z360" i="31"/>
  <c r="Z361" i="31"/>
  <c r="I124" i="28"/>
  <c r="I149" i="28"/>
  <c r="I137" i="28"/>
  <c r="I46" i="28"/>
  <c r="I196" i="28"/>
  <c r="I72" i="28"/>
  <c r="I210" i="28"/>
  <c r="I260" i="28"/>
  <c r="I60" i="28"/>
  <c r="I247" i="28"/>
  <c r="I97" i="28"/>
  <c r="I234" i="28"/>
  <c r="I110" i="28"/>
  <c r="I84" i="28"/>
  <c r="I53" i="4"/>
  <c r="I84" i="4"/>
  <c r="V119" i="31"/>
  <c r="Y124" i="31"/>
  <c r="U119" i="31"/>
  <c r="R225" i="31"/>
  <c r="R221" i="31"/>
  <c r="R223" i="31"/>
  <c r="R222" i="31"/>
  <c r="R224" i="31"/>
  <c r="R226" i="31"/>
  <c r="AA120" i="31"/>
  <c r="V121" i="31"/>
  <c r="V124" i="31"/>
  <c r="V122" i="31"/>
  <c r="V120" i="31"/>
  <c r="Z119" i="31"/>
  <c r="S121" i="31"/>
  <c r="N124" i="31"/>
  <c r="N122" i="31"/>
  <c r="N120" i="31"/>
  <c r="S123" i="31"/>
  <c r="Q119" i="31"/>
  <c r="O124" i="31"/>
  <c r="Q120" i="31"/>
  <c r="Q124" i="31"/>
  <c r="AA119" i="31"/>
  <c r="AA123" i="31"/>
  <c r="AA124" i="31"/>
  <c r="W121" i="31"/>
  <c r="N123" i="31"/>
  <c r="Z123" i="31"/>
  <c r="AA121" i="31"/>
  <c r="AB122" i="31"/>
  <c r="O122" i="31"/>
  <c r="X122" i="31"/>
  <c r="Q123" i="31"/>
  <c r="N121" i="31"/>
  <c r="W123" i="31"/>
  <c r="Z122" i="31"/>
  <c r="W124" i="31"/>
  <c r="O119" i="31"/>
  <c r="Q121" i="31"/>
  <c r="Y121" i="31"/>
  <c r="W120" i="31"/>
  <c r="W122" i="31"/>
  <c r="AB119" i="31"/>
  <c r="AB121" i="31"/>
  <c r="O123" i="31"/>
  <c r="AB123" i="31"/>
  <c r="AB120" i="31"/>
  <c r="Y119" i="31"/>
  <c r="O121" i="31"/>
  <c r="X121" i="31"/>
  <c r="S122" i="31"/>
  <c r="T121" i="31"/>
  <c r="U121" i="31"/>
  <c r="Y123" i="31"/>
  <c r="S120" i="31"/>
  <c r="Z120" i="31"/>
  <c r="U122" i="31"/>
  <c r="X124" i="31"/>
  <c r="T122" i="31"/>
  <c r="T123" i="31"/>
  <c r="P119" i="31"/>
  <c r="P123" i="31"/>
  <c r="X123" i="31"/>
  <c r="S119" i="31"/>
  <c r="T124" i="31"/>
  <c r="Z121" i="31"/>
  <c r="Y120" i="31"/>
  <c r="U120" i="31"/>
  <c r="U123" i="31"/>
  <c r="X120" i="31"/>
  <c r="T119" i="31"/>
  <c r="P124" i="31"/>
  <c r="P120" i="31"/>
  <c r="P121" i="31"/>
  <c r="R82" i="31"/>
  <c r="R81" i="31"/>
  <c r="R79" i="31"/>
  <c r="R78" i="31"/>
  <c r="R120" i="31"/>
  <c r="R107" i="31"/>
  <c r="R106" i="31"/>
  <c r="R164" i="31"/>
  <c r="R124" i="31"/>
  <c r="R105" i="28"/>
  <c r="R109" i="28"/>
  <c r="R244" i="28"/>
  <c r="R122" i="31"/>
  <c r="R243" i="28"/>
  <c r="R245" i="28"/>
  <c r="R242" i="28"/>
  <c r="R110" i="31"/>
  <c r="R108" i="31"/>
  <c r="R162" i="31"/>
  <c r="R105" i="31"/>
  <c r="R123" i="31"/>
  <c r="R163" i="31"/>
  <c r="R161" i="31"/>
  <c r="R121" i="31"/>
  <c r="R159" i="31"/>
  <c r="AE505" i="31"/>
  <c r="I152" i="26"/>
  <c r="I70" i="26"/>
  <c r="I126" i="26"/>
  <c r="I57" i="26"/>
  <c r="I45" i="26"/>
  <c r="I138" i="26"/>
  <c r="I166" i="26"/>
  <c r="I112" i="26"/>
  <c r="I98" i="26"/>
  <c r="I84" i="26"/>
  <c r="R91" i="7"/>
  <c r="R90" i="7"/>
  <c r="R93" i="7"/>
  <c r="R92" i="7"/>
  <c r="R95" i="7"/>
  <c r="R94" i="7"/>
  <c r="H56" i="23"/>
  <c r="H36" i="23"/>
  <c r="N104" i="7"/>
  <c r="N107" i="7"/>
  <c r="N102" i="7"/>
  <c r="N103" i="7"/>
  <c r="N105" i="7"/>
  <c r="N106" i="7"/>
  <c r="Q107" i="7"/>
  <c r="Q104" i="7"/>
  <c r="Q106" i="7"/>
  <c r="Q103" i="7"/>
  <c r="Q102" i="7"/>
  <c r="Q105" i="7"/>
  <c r="X105" i="7"/>
  <c r="X107" i="7"/>
  <c r="X103" i="7"/>
  <c r="X104" i="7"/>
  <c r="X106" i="7"/>
  <c r="X102" i="7"/>
  <c r="O106" i="7"/>
  <c r="O103" i="7"/>
  <c r="O104" i="7"/>
  <c r="O107" i="7"/>
  <c r="O105" i="7"/>
  <c r="O102" i="7"/>
  <c r="V107" i="7"/>
  <c r="V104" i="7"/>
  <c r="V103" i="7"/>
  <c r="V105" i="7"/>
  <c r="V102" i="7"/>
  <c r="V106" i="7"/>
  <c r="T105" i="7"/>
  <c r="T102" i="7"/>
  <c r="T104" i="7"/>
  <c r="T106" i="7"/>
  <c r="T107" i="7"/>
  <c r="T103" i="7"/>
  <c r="R104" i="7"/>
  <c r="R107" i="7"/>
  <c r="R105" i="7"/>
  <c r="R103" i="7"/>
  <c r="R102" i="7"/>
  <c r="R106" i="7"/>
  <c r="Z104" i="7"/>
  <c r="Z103" i="7"/>
  <c r="Z106" i="7"/>
  <c r="Z102" i="7"/>
  <c r="Z107" i="7"/>
  <c r="Z105" i="7"/>
  <c r="S106" i="7"/>
  <c r="S107" i="7"/>
  <c r="S102" i="7"/>
  <c r="S103" i="7"/>
  <c r="S105" i="7"/>
  <c r="S104" i="7"/>
  <c r="U103" i="7"/>
  <c r="U107" i="7"/>
  <c r="U105" i="7"/>
  <c r="U104" i="7"/>
  <c r="U102" i="7"/>
  <c r="U106" i="7"/>
  <c r="P105" i="7"/>
  <c r="P104" i="7"/>
  <c r="P106" i="7"/>
  <c r="P102" i="7"/>
  <c r="P107" i="7"/>
  <c r="P103" i="7"/>
  <c r="AA106" i="7"/>
  <c r="AA104" i="7"/>
  <c r="AA105" i="7"/>
  <c r="AA103" i="7"/>
  <c r="AA102" i="7"/>
  <c r="AA107" i="7"/>
  <c r="H95" i="1"/>
  <c r="H42" i="1"/>
  <c r="H117" i="1"/>
  <c r="H53" i="1"/>
  <c r="H106" i="1"/>
  <c r="H64" i="1"/>
  <c r="N397" i="31"/>
  <c r="N399" i="31"/>
  <c r="N395" i="31"/>
  <c r="N396" i="31"/>
  <c r="N398" i="31"/>
  <c r="N394" i="31"/>
  <c r="R147" i="25"/>
  <c r="R152" i="25"/>
  <c r="R151" i="25"/>
  <c r="R148" i="25"/>
  <c r="R149" i="25"/>
  <c r="R150" i="25"/>
  <c r="R109" i="25"/>
  <c r="R107" i="25"/>
  <c r="R110" i="25"/>
  <c r="R108" i="25"/>
  <c r="R111" i="25"/>
  <c r="R112" i="25"/>
  <c r="R124" i="25"/>
  <c r="R125" i="25"/>
  <c r="R123" i="25"/>
  <c r="R122" i="25"/>
  <c r="R121" i="25"/>
  <c r="R126" i="25"/>
  <c r="R67" i="31"/>
  <c r="R70" i="31"/>
  <c r="R71" i="31"/>
  <c r="R66" i="31"/>
  <c r="R69" i="31"/>
  <c r="R68" i="31"/>
  <c r="BB17" i="31" l="1"/>
  <c r="AW17" i="31" s="1"/>
  <c r="AW99" i="28"/>
  <c r="BB16" i="28"/>
  <c r="AW16" i="28" s="1"/>
  <c r="AW98" i="28"/>
  <c r="BB15" i="28"/>
  <c r="AW15" i="28" s="1"/>
  <c r="BB21" i="31"/>
  <c r="BB12" i="28"/>
  <c r="AW12" i="28" s="1"/>
  <c r="BB13" i="28"/>
  <c r="AW13" i="28" s="1"/>
  <c r="AW73" i="28"/>
  <c r="BB14" i="28"/>
  <c r="AW14" i="28" s="1"/>
  <c r="BB7" i="28"/>
  <c r="AW7" i="28" s="1"/>
  <c r="BB11" i="31"/>
  <c r="AW98" i="31"/>
  <c r="BB29" i="31"/>
  <c r="BB24" i="31"/>
  <c r="AW96" i="7"/>
  <c r="AE354" i="31"/>
  <c r="AE40" i="25"/>
  <c r="AE65" i="25"/>
  <c r="AW58" i="25"/>
  <c r="AX14" i="25"/>
  <c r="AW14" i="25" s="1"/>
  <c r="AW34" i="25"/>
  <c r="AW87" i="25"/>
  <c r="AW59" i="25"/>
  <c r="AS52" i="25"/>
  <c r="BK46" i="25"/>
  <c r="AW32" i="25"/>
  <c r="AW86" i="25"/>
  <c r="AW12" i="31"/>
  <c r="AW414" i="31"/>
  <c r="BB349" i="31"/>
  <c r="AW349" i="31" s="1"/>
  <c r="AD99" i="7"/>
  <c r="AJ83" i="7"/>
  <c r="AJ82" i="7" s="1"/>
  <c r="J31" i="50" s="1"/>
  <c r="AF83" i="7"/>
  <c r="AF82" i="7" s="1"/>
  <c r="F31" i="50" s="1"/>
  <c r="AW13" i="31"/>
  <c r="BH10" i="31"/>
  <c r="AZ10" i="31"/>
  <c r="BB501" i="31"/>
  <c r="BC10" i="31"/>
  <c r="BF10" i="31"/>
  <c r="BG45" i="31"/>
  <c r="AW99" i="31"/>
  <c r="BK10" i="31"/>
  <c r="BL45" i="31"/>
  <c r="AX45" i="31"/>
  <c r="BI10" i="31"/>
  <c r="BD10" i="31"/>
  <c r="BJ10" i="31"/>
  <c r="BJ45" i="31"/>
  <c r="AW48" i="28"/>
  <c r="AW197" i="28"/>
  <c r="BB184" i="28"/>
  <c r="AW184" i="28" s="1"/>
  <c r="BG10" i="31"/>
  <c r="BA10" i="31"/>
  <c r="AW513" i="31"/>
  <c r="AW111" i="31"/>
  <c r="AW236" i="28"/>
  <c r="AW428" i="31"/>
  <c r="AY45" i="31"/>
  <c r="AY10" i="31"/>
  <c r="BL10" i="31"/>
  <c r="AW97" i="31"/>
  <c r="AW112" i="31"/>
  <c r="AW235" i="28"/>
  <c r="BB200" i="31"/>
  <c r="AW200" i="31" s="1"/>
  <c r="AW213" i="31"/>
  <c r="BB45" i="31"/>
  <c r="AW19" i="31"/>
  <c r="BE45" i="31"/>
  <c r="AX525" i="31"/>
  <c r="AX24" i="31" s="1"/>
  <c r="AX526" i="31"/>
  <c r="AX18" i="31" s="1"/>
  <c r="AK87" i="7"/>
  <c r="AK83" i="7" s="1"/>
  <c r="AK82" i="7" s="1"/>
  <c r="K31" i="50" s="1"/>
  <c r="BD83" i="7"/>
  <c r="L39" i="29"/>
  <c r="AH74" i="32"/>
  <c r="AH71" i="32" s="1"/>
  <c r="AO74" i="32"/>
  <c r="AO71" i="32" s="1"/>
  <c r="AM74" i="32"/>
  <c r="AM71" i="32" s="1"/>
  <c r="AQ74" i="32"/>
  <c r="AQ71" i="32" s="1"/>
  <c r="AP74" i="32"/>
  <c r="AP71" i="32" s="1"/>
  <c r="AF74" i="32"/>
  <c r="AF71" i="32" s="1"/>
  <c r="AK74" i="32"/>
  <c r="AK71" i="32" s="1"/>
  <c r="AG74" i="32"/>
  <c r="AG71" i="32" s="1"/>
  <c r="AR74" i="32"/>
  <c r="AR71" i="32" s="1"/>
  <c r="AL74" i="32"/>
  <c r="AL71" i="32" s="1"/>
  <c r="AI74" i="32"/>
  <c r="AI71" i="32" s="1"/>
  <c r="AS74" i="32"/>
  <c r="AS71" i="32" s="1"/>
  <c r="AJ74" i="32"/>
  <c r="AJ71" i="32" s="1"/>
  <c r="AN74" i="32"/>
  <c r="AN71" i="32" s="1"/>
  <c r="AF53" i="29"/>
  <c r="E26" i="50" s="1"/>
  <c r="AJ513" i="31"/>
  <c r="I20" i="50" s="1"/>
  <c r="V70" i="5"/>
  <c r="AD18" i="31"/>
  <c r="AE513" i="31" s="1"/>
  <c r="D20" i="50" s="1"/>
  <c r="AJ524" i="31"/>
  <c r="I19" i="50" s="1"/>
  <c r="V68" i="5"/>
  <c r="AE46" i="29"/>
  <c r="AE41" i="29" s="1"/>
  <c r="D24" i="50" s="1"/>
  <c r="AJ41" i="29"/>
  <c r="I24" i="50" s="1"/>
  <c r="AE57" i="29"/>
  <c r="AE53" i="29" s="1"/>
  <c r="D26" i="50" s="1"/>
  <c r="AJ53" i="29"/>
  <c r="I26" i="50" s="1"/>
  <c r="AD17" i="31"/>
  <c r="AL185" i="28"/>
  <c r="AR185" i="28"/>
  <c r="AI49" i="32"/>
  <c r="I33" i="50" s="1"/>
  <c r="AD50" i="32"/>
  <c r="AD49" i="32" s="1"/>
  <c r="D33" i="50" s="1"/>
  <c r="AS185" i="28"/>
  <c r="AQ185" i="28"/>
  <c r="AI185" i="28"/>
  <c r="AK185" i="28"/>
  <c r="AT185" i="28"/>
  <c r="AP185" i="28"/>
  <c r="AJ185" i="28"/>
  <c r="AO185" i="28"/>
  <c r="AN185" i="28"/>
  <c r="AJ350" i="31"/>
  <c r="AE189" i="28"/>
  <c r="AJ381" i="29"/>
  <c r="AJ380" i="29" s="1"/>
  <c r="I23" i="50" s="1"/>
  <c r="AJ85" i="29"/>
  <c r="AJ84" i="29" s="1"/>
  <c r="I21" i="50" s="1"/>
  <c r="AH85" i="29"/>
  <c r="AH84" i="29" s="1"/>
  <c r="G21" i="50" s="1"/>
  <c r="AR85" i="29"/>
  <c r="AR84" i="29" s="1"/>
  <c r="Q21" i="50" s="1"/>
  <c r="AP85" i="29"/>
  <c r="AP84" i="29" s="1"/>
  <c r="O21" i="50" s="1"/>
  <c r="AS85" i="29"/>
  <c r="AS84" i="29" s="1"/>
  <c r="R21" i="50" s="1"/>
  <c r="AK85" i="29"/>
  <c r="AK84" i="29" s="1"/>
  <c r="J21" i="50" s="1"/>
  <c r="AI85" i="29"/>
  <c r="AI84" i="29" s="1"/>
  <c r="H21" i="50" s="1"/>
  <c r="AG85" i="29"/>
  <c r="AG84" i="29" s="1"/>
  <c r="F21" i="50" s="1"/>
  <c r="AO85" i="29"/>
  <c r="AL85" i="29"/>
  <c r="AL84" i="29" s="1"/>
  <c r="K21" i="50" s="1"/>
  <c r="AN85" i="29"/>
  <c r="AN84" i="29" s="1"/>
  <c r="M21" i="50" s="1"/>
  <c r="AT85" i="29"/>
  <c r="AT84" i="29" s="1"/>
  <c r="S21" i="50" s="1"/>
  <c r="AQ85" i="29"/>
  <c r="AQ84" i="29" s="1"/>
  <c r="P21" i="50" s="1"/>
  <c r="AE89" i="29"/>
  <c r="AE205" i="31"/>
  <c r="AJ201" i="31"/>
  <c r="AJ46" i="31"/>
  <c r="T13" i="31"/>
  <c r="P13" i="31"/>
  <c r="AA13" i="31"/>
  <c r="Q13" i="31"/>
  <c r="V13" i="31"/>
  <c r="W13" i="31"/>
  <c r="X13" i="31"/>
  <c r="U13" i="31"/>
  <c r="Z13" i="31"/>
  <c r="AB13" i="31"/>
  <c r="Y13" i="31"/>
  <c r="O13" i="31"/>
  <c r="R13" i="31"/>
  <c r="S13" i="31"/>
  <c r="N14" i="29"/>
  <c r="AE192" i="29"/>
  <c r="AE114" i="29"/>
  <c r="AE240" i="28"/>
  <c r="AE253" i="28"/>
  <c r="AE227" i="28"/>
  <c r="AE205" i="29"/>
  <c r="AE180" i="29"/>
  <c r="AE141" i="29"/>
  <c r="AD17" i="29"/>
  <c r="AE64" i="29" s="1"/>
  <c r="D25" i="50" s="1"/>
  <c r="AE203" i="28"/>
  <c r="AE154" i="29"/>
  <c r="AE127" i="29"/>
  <c r="AE102" i="29"/>
  <c r="AE117" i="31"/>
  <c r="AE167" i="29"/>
  <c r="AE218" i="29"/>
  <c r="AJ30" i="55"/>
  <c r="Q50" i="25"/>
  <c r="O50" i="25"/>
  <c r="W50" i="25"/>
  <c r="X50" i="25"/>
  <c r="AB50" i="25"/>
  <c r="P50" i="25"/>
  <c r="P105" i="25"/>
  <c r="R50" i="25"/>
  <c r="N50" i="25"/>
  <c r="S50" i="25"/>
  <c r="U50" i="25"/>
  <c r="T50" i="25"/>
  <c r="V49" i="5"/>
  <c r="Y50" i="25"/>
  <c r="Z50" i="25"/>
  <c r="V50" i="25"/>
  <c r="V69" i="5"/>
  <c r="N15" i="29"/>
  <c r="AD15" i="29" s="1"/>
  <c r="V61" i="5"/>
  <c r="S10" i="31"/>
  <c r="Z10" i="31"/>
  <c r="Y10" i="31"/>
  <c r="R10" i="31"/>
  <c r="V11" i="31"/>
  <c r="X11" i="31"/>
  <c r="Q11" i="31"/>
  <c r="V10" i="31"/>
  <c r="W10" i="31"/>
  <c r="P10" i="31"/>
  <c r="U11" i="31"/>
  <c r="AB11" i="31"/>
  <c r="Y11" i="31"/>
  <c r="AA11" i="31"/>
  <c r="U10" i="31"/>
  <c r="AM45" i="31" s="1"/>
  <c r="L15" i="50" s="1"/>
  <c r="Q10" i="31"/>
  <c r="X10" i="31"/>
  <c r="T11" i="31"/>
  <c r="W11" i="31"/>
  <c r="P11" i="31"/>
  <c r="O10" i="31"/>
  <c r="R11" i="31"/>
  <c r="O11" i="31"/>
  <c r="T10" i="31"/>
  <c r="AA10" i="31"/>
  <c r="AB10" i="31"/>
  <c r="S11" i="31"/>
  <c r="Z11" i="31"/>
  <c r="AB12" i="31"/>
  <c r="V12" i="31"/>
  <c r="Y12" i="31"/>
  <c r="S12" i="31"/>
  <c r="Z12" i="31"/>
  <c r="R12" i="31"/>
  <c r="AA12" i="31"/>
  <c r="P12" i="31"/>
  <c r="T12" i="31"/>
  <c r="O12" i="31"/>
  <c r="U12" i="31"/>
  <c r="Q12" i="31"/>
  <c r="W12" i="31"/>
  <c r="X12" i="31"/>
  <c r="AA14" i="31"/>
  <c r="R14" i="31"/>
  <c r="Q14" i="31"/>
  <c r="W14" i="31"/>
  <c r="W15" i="31"/>
  <c r="O15" i="31"/>
  <c r="V15" i="31"/>
  <c r="Q15" i="31"/>
  <c r="Z15" i="31"/>
  <c r="U15" i="31"/>
  <c r="X15" i="31"/>
  <c r="T15" i="31"/>
  <c r="P15" i="31"/>
  <c r="S15" i="31"/>
  <c r="Y15" i="31"/>
  <c r="AA15" i="31"/>
  <c r="V14" i="31"/>
  <c r="Y14" i="31"/>
  <c r="Z14" i="31"/>
  <c r="U14" i="31"/>
  <c r="AB14" i="31"/>
  <c r="P14" i="31"/>
  <c r="O14" i="31"/>
  <c r="T14" i="31"/>
  <c r="S14" i="31"/>
  <c r="X14" i="31"/>
  <c r="AB15" i="31"/>
  <c r="R15" i="31"/>
  <c r="R48" i="4"/>
  <c r="R53" i="4"/>
  <c r="R50" i="4"/>
  <c r="R51" i="4"/>
  <c r="R49" i="4"/>
  <c r="R52" i="4"/>
  <c r="AE46" i="4"/>
  <c r="X284" i="29"/>
  <c r="R284" i="29"/>
  <c r="Y284" i="29"/>
  <c r="U284" i="29"/>
  <c r="W284" i="29"/>
  <c r="S284" i="29"/>
  <c r="AB284" i="29"/>
  <c r="AA284" i="29"/>
  <c r="O284" i="29"/>
  <c r="V284" i="29"/>
  <c r="T284" i="29"/>
  <c r="P284" i="29"/>
  <c r="Q284" i="29"/>
  <c r="Z284" i="29"/>
  <c r="Z431" i="29"/>
  <c r="W431" i="29"/>
  <c r="P431" i="29"/>
  <c r="U431" i="29"/>
  <c r="AB431" i="29"/>
  <c r="X431" i="29"/>
  <c r="Y431" i="29"/>
  <c r="O431" i="29"/>
  <c r="S431" i="29"/>
  <c r="R431" i="29"/>
  <c r="Q431" i="29"/>
  <c r="AA431" i="29"/>
  <c r="T431" i="29"/>
  <c r="V431" i="29"/>
  <c r="S90" i="7"/>
  <c r="S91" i="7"/>
  <c r="S94" i="7"/>
  <c r="S95" i="7"/>
  <c r="S92" i="7"/>
  <c r="S93" i="7"/>
  <c r="AW11" i="31" l="1"/>
  <c r="AK26" i="34"/>
  <c r="AW29" i="31"/>
  <c r="AL349" i="31"/>
  <c r="K17" i="50" s="1"/>
  <c r="AR52" i="25"/>
  <c r="BJ46" i="25"/>
  <c r="AM52" i="25"/>
  <c r="BE46" i="25"/>
  <c r="AH107" i="25"/>
  <c r="AZ101" i="25"/>
  <c r="AZ100" i="25"/>
  <c r="AZ99" i="25"/>
  <c r="AO52" i="25"/>
  <c r="BG46" i="25"/>
  <c r="AQ52" i="25"/>
  <c r="BI46" i="25"/>
  <c r="AK52" i="25"/>
  <c r="BC46" i="25"/>
  <c r="AH52" i="25"/>
  <c r="AZ46" i="25"/>
  <c r="AG52" i="25"/>
  <c r="AY46" i="25"/>
  <c r="AF52" i="25"/>
  <c r="AX46" i="25"/>
  <c r="AT52" i="25"/>
  <c r="BL46" i="25"/>
  <c r="AI52" i="25"/>
  <c r="BA46" i="25"/>
  <c r="AN52" i="25"/>
  <c r="BF46" i="25"/>
  <c r="AL52" i="25"/>
  <c r="BD46" i="25"/>
  <c r="AJ52" i="25"/>
  <c r="BB46" i="25"/>
  <c r="AP52" i="25"/>
  <c r="BH46" i="25"/>
  <c r="BK13" i="25"/>
  <c r="AI41" i="31"/>
  <c r="AN345" i="31"/>
  <c r="AS345" i="31"/>
  <c r="AO41" i="31"/>
  <c r="AQ41" i="31"/>
  <c r="AM345" i="31"/>
  <c r="AH41" i="31"/>
  <c r="AR41" i="31"/>
  <c r="AS41" i="31"/>
  <c r="AT345" i="31"/>
  <c r="AT41" i="31"/>
  <c r="AR345" i="31"/>
  <c r="AQ345" i="31"/>
  <c r="AP345" i="31"/>
  <c r="AP41" i="31"/>
  <c r="AO345" i="31"/>
  <c r="AL41" i="31"/>
  <c r="AK345" i="31"/>
  <c r="AK41" i="31"/>
  <c r="AJ345" i="31"/>
  <c r="AI345" i="31"/>
  <c r="AH345" i="31"/>
  <c r="AG345" i="31"/>
  <c r="AG41" i="31"/>
  <c r="AN41" i="31"/>
  <c r="AM41" i="31"/>
  <c r="AL345" i="31"/>
  <c r="AJ41" i="31"/>
  <c r="AW20" i="31"/>
  <c r="AH349" i="31"/>
  <c r="G17" i="50" s="1"/>
  <c r="AT349" i="31"/>
  <c r="S17" i="50" s="1"/>
  <c r="AG349" i="31"/>
  <c r="F17" i="50" s="1"/>
  <c r="AI349" i="31"/>
  <c r="H17" i="50" s="1"/>
  <c r="AG45" i="31"/>
  <c r="F15" i="50" s="1"/>
  <c r="AT45" i="31"/>
  <c r="S15" i="50" s="1"/>
  <c r="AS45" i="31"/>
  <c r="R15" i="50" s="1"/>
  <c r="AR349" i="31"/>
  <c r="Q17" i="50" s="1"/>
  <c r="AR45" i="31"/>
  <c r="Q15" i="50" s="1"/>
  <c r="AQ45" i="31"/>
  <c r="P15" i="50" s="1"/>
  <c r="AQ349" i="31"/>
  <c r="P17" i="50" s="1"/>
  <c r="AP349" i="31"/>
  <c r="O17" i="50" s="1"/>
  <c r="AO45" i="31"/>
  <c r="N15" i="50" s="1"/>
  <c r="AO349" i="31"/>
  <c r="N17" i="50" s="1"/>
  <c r="AM349" i="31"/>
  <c r="L17" i="50" s="1"/>
  <c r="AK45" i="31"/>
  <c r="J15" i="50" s="1"/>
  <c r="AH45" i="31"/>
  <c r="G15" i="50" s="1"/>
  <c r="AL45" i="31"/>
  <c r="K15" i="50" s="1"/>
  <c r="AP45" i="31"/>
  <c r="O15" i="50" s="1"/>
  <c r="AS349" i="31"/>
  <c r="R17" i="50" s="1"/>
  <c r="AK349" i="31"/>
  <c r="J17" i="50" s="1"/>
  <c r="AN349" i="31"/>
  <c r="M17" i="50" s="1"/>
  <c r="AI45" i="31"/>
  <c r="H15" i="50" s="1"/>
  <c r="AN45" i="31"/>
  <c r="M15" i="50" s="1"/>
  <c r="AJ349" i="31"/>
  <c r="I17" i="50" s="1"/>
  <c r="AJ45" i="31"/>
  <c r="I15" i="50" s="1"/>
  <c r="AW21" i="31"/>
  <c r="AW45" i="31"/>
  <c r="BB10" i="31"/>
  <c r="BE10" i="31"/>
  <c r="AD14" i="29"/>
  <c r="L378" i="29"/>
  <c r="B126" i="14"/>
  <c r="B154" i="14"/>
  <c r="B150" i="14"/>
  <c r="AW526" i="31"/>
  <c r="AW525" i="31"/>
  <c r="AX501" i="31"/>
  <c r="AW501" i="31" s="1"/>
  <c r="AW24" i="31"/>
  <c r="AL87" i="7"/>
  <c r="AL83" i="7" s="1"/>
  <c r="BE83" i="7"/>
  <c r="AE74" i="32"/>
  <c r="AD74" i="32" s="1"/>
  <c r="N533" i="31"/>
  <c r="N532" i="31"/>
  <c r="N535" i="31"/>
  <c r="N534" i="31"/>
  <c r="N536" i="31"/>
  <c r="AF529" i="31"/>
  <c r="N531" i="31"/>
  <c r="AK200" i="31"/>
  <c r="J16" i="50" s="1"/>
  <c r="AG200" i="31"/>
  <c r="F16" i="50" s="1"/>
  <c r="AQ200" i="31"/>
  <c r="P16" i="50" s="1"/>
  <c r="AP200" i="31"/>
  <c r="O16" i="50" s="1"/>
  <c r="AS200" i="31"/>
  <c r="R16" i="50" s="1"/>
  <c r="AF380" i="29"/>
  <c r="E23" i="50" s="1"/>
  <c r="AO200" i="31"/>
  <c r="N16" i="50" s="1"/>
  <c r="AH200" i="31"/>
  <c r="G16" i="50" s="1"/>
  <c r="AT200" i="31"/>
  <c r="S16" i="50" s="1"/>
  <c r="AN200" i="31"/>
  <c r="M16" i="50" s="1"/>
  <c r="AR200" i="31"/>
  <c r="Q16" i="50" s="1"/>
  <c r="AL200" i="31"/>
  <c r="K16" i="50" s="1"/>
  <c r="AI200" i="31"/>
  <c r="H16" i="50" s="1"/>
  <c r="AJ200" i="31"/>
  <c r="I16" i="50" s="1"/>
  <c r="AM200" i="31"/>
  <c r="L16" i="50" s="1"/>
  <c r="AE185" i="28"/>
  <c r="AE381" i="29"/>
  <c r="AE380" i="29" s="1"/>
  <c r="D23" i="50" s="1"/>
  <c r="AE85" i="29"/>
  <c r="AO84" i="29"/>
  <c r="N21" i="50" s="1"/>
  <c r="AE350" i="31"/>
  <c r="AE46" i="31"/>
  <c r="V59" i="5"/>
  <c r="AJ29" i="55"/>
  <c r="AE30" i="55"/>
  <c r="S119" i="25"/>
  <c r="V119" i="25"/>
  <c r="V105" i="25"/>
  <c r="N105" i="25"/>
  <c r="N12" i="29"/>
  <c r="V55" i="5"/>
  <c r="R119" i="25"/>
  <c r="T119" i="25"/>
  <c r="X105" i="25"/>
  <c r="O105" i="25"/>
  <c r="R105" i="25"/>
  <c r="P119" i="25"/>
  <c r="Y105" i="25"/>
  <c r="Z105" i="25"/>
  <c r="W119" i="25"/>
  <c r="Q119" i="25"/>
  <c r="T105" i="25"/>
  <c r="N13" i="29"/>
  <c r="AD13" i="29" s="1"/>
  <c r="V57" i="5"/>
  <c r="Z119" i="25"/>
  <c r="AA119" i="25"/>
  <c r="X119" i="25"/>
  <c r="U119" i="25"/>
  <c r="Q105" i="25"/>
  <c r="W105" i="25"/>
  <c r="N10" i="29"/>
  <c r="V51" i="5"/>
  <c r="O119" i="25"/>
  <c r="N119" i="25"/>
  <c r="AB119" i="25"/>
  <c r="Y119" i="25"/>
  <c r="S105" i="25"/>
  <c r="AB105" i="25"/>
  <c r="AA105" i="25"/>
  <c r="U105" i="25"/>
  <c r="N11" i="29"/>
  <c r="AD11" i="29" s="1"/>
  <c r="V53" i="5"/>
  <c r="V56" i="5"/>
  <c r="N13" i="31"/>
  <c r="AD13" i="31" s="1"/>
  <c r="V58" i="5"/>
  <c r="N14" i="31"/>
  <c r="V60" i="5"/>
  <c r="N15" i="31"/>
  <c r="AD15" i="31" s="1"/>
  <c r="V52" i="5"/>
  <c r="AD11" i="31"/>
  <c r="V50" i="5"/>
  <c r="N10" i="31"/>
  <c r="V54" i="5"/>
  <c r="N12" i="31"/>
  <c r="AE31" i="4"/>
  <c r="AE234" i="29"/>
  <c r="AE201" i="31"/>
  <c r="T92" i="7"/>
  <c r="T91" i="7"/>
  <c r="T90" i="7"/>
  <c r="T93" i="7"/>
  <c r="T94" i="7"/>
  <c r="T95" i="7"/>
  <c r="AE52" i="25" l="1"/>
  <c r="AS107" i="25"/>
  <c r="BK99" i="25"/>
  <c r="BK100" i="25"/>
  <c r="BK101" i="25"/>
  <c r="AT121" i="25"/>
  <c r="BL115" i="25"/>
  <c r="BL114" i="25"/>
  <c r="BL113" i="25"/>
  <c r="AP121" i="25"/>
  <c r="BH115" i="25"/>
  <c r="BH114" i="25"/>
  <c r="BH113" i="25"/>
  <c r="AR107" i="25"/>
  <c r="BJ100" i="25"/>
  <c r="BJ101" i="25"/>
  <c r="BJ99" i="25"/>
  <c r="AG107" i="25"/>
  <c r="AY101" i="25"/>
  <c r="AY100" i="25"/>
  <c r="AY99" i="25"/>
  <c r="AN121" i="25"/>
  <c r="BF114" i="25"/>
  <c r="BF113" i="25"/>
  <c r="BF115" i="25"/>
  <c r="BH13" i="25"/>
  <c r="BD13" i="25"/>
  <c r="BA13" i="25"/>
  <c r="AW46" i="25"/>
  <c r="AX13" i="25"/>
  <c r="AZ13" i="25"/>
  <c r="BI13" i="25"/>
  <c r="BE13" i="25"/>
  <c r="AT107" i="25"/>
  <c r="BL101" i="25"/>
  <c r="BL100" i="25"/>
  <c r="BL99" i="25"/>
  <c r="AF121" i="25"/>
  <c r="AX114" i="25"/>
  <c r="AX113" i="25"/>
  <c r="AX115" i="25"/>
  <c r="AO107" i="25"/>
  <c r="BG101" i="25"/>
  <c r="BG99" i="25"/>
  <c r="BG100" i="25"/>
  <c r="AS121" i="25"/>
  <c r="BK115" i="25"/>
  <c r="BK114" i="25"/>
  <c r="BK113" i="25"/>
  <c r="AL107" i="25"/>
  <c r="BD101" i="25"/>
  <c r="BD100" i="25"/>
  <c r="BD99" i="25"/>
  <c r="AQ107" i="25"/>
  <c r="BI101" i="25"/>
  <c r="BI100" i="25"/>
  <c r="BI99" i="25"/>
  <c r="AP107" i="25"/>
  <c r="BH101" i="25"/>
  <c r="BH100" i="25"/>
  <c r="BH99" i="25"/>
  <c r="AK121" i="25"/>
  <c r="BC115" i="25"/>
  <c r="BC113" i="25"/>
  <c r="BC114" i="25"/>
  <c r="AK107" i="25"/>
  <c r="BC99" i="25"/>
  <c r="BC101" i="25"/>
  <c r="BC100" i="25"/>
  <c r="AG121" i="25"/>
  <c r="AY115" i="25"/>
  <c r="AY113" i="25"/>
  <c r="AY114" i="25"/>
  <c r="AI107" i="25"/>
  <c r="BA101" i="25"/>
  <c r="BA100" i="25"/>
  <c r="BA99" i="25"/>
  <c r="AR121" i="25"/>
  <c r="BJ115" i="25"/>
  <c r="BJ113" i="25"/>
  <c r="BJ114" i="25"/>
  <c r="AI121" i="25"/>
  <c r="BA115" i="25"/>
  <c r="BA114" i="25"/>
  <c r="BA113" i="25"/>
  <c r="AH121" i="25"/>
  <c r="AZ115" i="25"/>
  <c r="AZ114" i="25"/>
  <c r="AZ113" i="25"/>
  <c r="AL121" i="25"/>
  <c r="BD115" i="25"/>
  <c r="BD114" i="25"/>
  <c r="BD113" i="25"/>
  <c r="AF107" i="25"/>
  <c r="AX101" i="25"/>
  <c r="AX100" i="25"/>
  <c r="AX99" i="25"/>
  <c r="BB13" i="25"/>
  <c r="BF13" i="25"/>
  <c r="BL13" i="25"/>
  <c r="AY13" i="25"/>
  <c r="BC13" i="25"/>
  <c r="BG13" i="25"/>
  <c r="BJ13" i="25"/>
  <c r="AM107" i="25"/>
  <c r="BE101" i="25"/>
  <c r="BE100" i="25"/>
  <c r="BE99" i="25"/>
  <c r="AQ121" i="25"/>
  <c r="BI115" i="25"/>
  <c r="BI114" i="25"/>
  <c r="BI113" i="25"/>
  <c r="AM121" i="25"/>
  <c r="BE115" i="25"/>
  <c r="BE114" i="25"/>
  <c r="BE113" i="25"/>
  <c r="AO121" i="25"/>
  <c r="BG113" i="25"/>
  <c r="BG114" i="25"/>
  <c r="BG115" i="25"/>
  <c r="AJ107" i="25"/>
  <c r="BB100" i="25"/>
  <c r="BB101" i="25"/>
  <c r="BB99" i="25"/>
  <c r="AJ121" i="25"/>
  <c r="BB115" i="25"/>
  <c r="BB113" i="25"/>
  <c r="BB114" i="25"/>
  <c r="AN107" i="25"/>
  <c r="BF100" i="25"/>
  <c r="BF99" i="25"/>
  <c r="BF101" i="25"/>
  <c r="AF345" i="31"/>
  <c r="AF45" i="31"/>
  <c r="E15" i="50" s="1"/>
  <c r="AF41" i="31"/>
  <c r="AF349" i="31"/>
  <c r="E17" i="50" s="1"/>
  <c r="L43" i="31"/>
  <c r="B71" i="14" s="1"/>
  <c r="L231" i="29"/>
  <c r="B98" i="14" s="1"/>
  <c r="L198" i="31"/>
  <c r="L347" i="31"/>
  <c r="B124" i="14"/>
  <c r="B116" i="14"/>
  <c r="B108" i="14"/>
  <c r="B122" i="14"/>
  <c r="B114" i="14"/>
  <c r="B106" i="14"/>
  <c r="B120" i="14"/>
  <c r="B112" i="14"/>
  <c r="B104" i="14"/>
  <c r="B110" i="14"/>
  <c r="B118" i="14"/>
  <c r="AW18" i="31"/>
  <c r="AX10" i="31"/>
  <c r="AW10" i="31" s="1"/>
  <c r="AM87" i="7"/>
  <c r="AM83" i="7" s="1"/>
  <c r="AM82" i="7" s="1"/>
  <c r="M31" i="50" s="1"/>
  <c r="BF83" i="7"/>
  <c r="AD10" i="29"/>
  <c r="L82" i="29"/>
  <c r="AE529" i="31"/>
  <c r="AE524" i="31" s="1"/>
  <c r="D19" i="50" s="1"/>
  <c r="AF524" i="31"/>
  <c r="E19" i="50" s="1"/>
  <c r="AD71" i="32"/>
  <c r="AE71" i="32"/>
  <c r="AL82" i="7"/>
  <c r="L31" i="50" s="1"/>
  <c r="AF233" i="29"/>
  <c r="E22" i="50" s="1"/>
  <c r="AE233" i="29"/>
  <c r="D22" i="50" s="1"/>
  <c r="AD12" i="31"/>
  <c r="AF200" i="31"/>
  <c r="E16" i="50" s="1"/>
  <c r="AE200" i="31"/>
  <c r="D16" i="50" s="1"/>
  <c r="AD10" i="31"/>
  <c r="AD14" i="31"/>
  <c r="AE349" i="31" s="1"/>
  <c r="AE84" i="29"/>
  <c r="D21" i="50" s="1"/>
  <c r="S145" i="25"/>
  <c r="AB145" i="25"/>
  <c r="U145" i="25"/>
  <c r="R145" i="25"/>
  <c r="AF84" i="29"/>
  <c r="E21" i="50" s="1"/>
  <c r="P145" i="25"/>
  <c r="AD12" i="29"/>
  <c r="T145" i="25"/>
  <c r="W145" i="25"/>
  <c r="AA145" i="25"/>
  <c r="X145" i="25"/>
  <c r="Q145" i="25"/>
  <c r="N145" i="25"/>
  <c r="O145" i="25"/>
  <c r="Y145" i="25"/>
  <c r="V145" i="25"/>
  <c r="Z145" i="25"/>
  <c r="U91" i="7"/>
  <c r="U95" i="7"/>
  <c r="U93" i="7"/>
  <c r="U92" i="7"/>
  <c r="U94" i="7"/>
  <c r="U90" i="7"/>
  <c r="AE121" i="25" l="1"/>
  <c r="AE107" i="25"/>
  <c r="AN147" i="25"/>
  <c r="BF141" i="25"/>
  <c r="BF7" i="25" s="1"/>
  <c r="BF140" i="25"/>
  <c r="BF12" i="25" s="1"/>
  <c r="BF139" i="25"/>
  <c r="BF6" i="25" s="1"/>
  <c r="AI147" i="25"/>
  <c r="BA141" i="25"/>
  <c r="BA7" i="25" s="1"/>
  <c r="BA140" i="25"/>
  <c r="BA12" i="25" s="1"/>
  <c r="BA139" i="25"/>
  <c r="BA6" i="25" s="1"/>
  <c r="AL147" i="25"/>
  <c r="BD141" i="25"/>
  <c r="BD7" i="25" s="1"/>
  <c r="BD140" i="25"/>
  <c r="BD12" i="25" s="1"/>
  <c r="BD139" i="25"/>
  <c r="BD6" i="25" s="1"/>
  <c r="AJ147" i="25"/>
  <c r="BB140" i="25"/>
  <c r="BB12" i="25" s="1"/>
  <c r="BB139" i="25"/>
  <c r="BB6" i="25" s="1"/>
  <c r="BB141" i="25"/>
  <c r="BB7" i="25" s="1"/>
  <c r="AW13" i="25"/>
  <c r="AW100" i="25"/>
  <c r="AW113" i="25"/>
  <c r="AQ147" i="25"/>
  <c r="BI141" i="25"/>
  <c r="BI7" i="25" s="1"/>
  <c r="BI140" i="25"/>
  <c r="BI12" i="25" s="1"/>
  <c r="BI139" i="25"/>
  <c r="BI6" i="25" s="1"/>
  <c r="AP147" i="25"/>
  <c r="BH141" i="25"/>
  <c r="BH140" i="25"/>
  <c r="BH12" i="25" s="1"/>
  <c r="BH139" i="25"/>
  <c r="BH6" i="25" s="1"/>
  <c r="AM147" i="25"/>
  <c r="BE141" i="25"/>
  <c r="BE7" i="25" s="1"/>
  <c r="BE140" i="25"/>
  <c r="BE12" i="25" s="1"/>
  <c r="BE139" i="25"/>
  <c r="BE6" i="25" s="1"/>
  <c r="AW101" i="25"/>
  <c r="AW115" i="25"/>
  <c r="AG147" i="25"/>
  <c r="AY141" i="25"/>
  <c r="AY7" i="25" s="1"/>
  <c r="AY140" i="25"/>
  <c r="AY12" i="25" s="1"/>
  <c r="AY139" i="25"/>
  <c r="AY6" i="25" s="1"/>
  <c r="AS147" i="25"/>
  <c r="BK139" i="25"/>
  <c r="BK6" i="25" s="1"/>
  <c r="BK141" i="25"/>
  <c r="BK7" i="25" s="1"/>
  <c r="BK140" i="25"/>
  <c r="BK12" i="25" s="1"/>
  <c r="AT147" i="25"/>
  <c r="BL141" i="25"/>
  <c r="BL7" i="25" s="1"/>
  <c r="BL140" i="25"/>
  <c r="BL12" i="25" s="1"/>
  <c r="BL139" i="25"/>
  <c r="BL6" i="25" s="1"/>
  <c r="BH7" i="25"/>
  <c r="AW114" i="25"/>
  <c r="AH147" i="25"/>
  <c r="AZ141" i="25"/>
  <c r="AZ7" i="25" s="1"/>
  <c r="AZ140" i="25"/>
  <c r="AZ12" i="25" s="1"/>
  <c r="AZ139" i="25"/>
  <c r="AZ6" i="25" s="1"/>
  <c r="AR147" i="25"/>
  <c r="BJ140" i="25"/>
  <c r="BJ12" i="25" s="1"/>
  <c r="BJ139" i="25"/>
  <c r="BJ6" i="25" s="1"/>
  <c r="BJ141" i="25"/>
  <c r="BJ7" i="25" s="1"/>
  <c r="AF147" i="25"/>
  <c r="AX141" i="25"/>
  <c r="AX140" i="25"/>
  <c r="AX139" i="25"/>
  <c r="AX6" i="25" s="1"/>
  <c r="AO147" i="25"/>
  <c r="BG141" i="25"/>
  <c r="BG7" i="25" s="1"/>
  <c r="BG140" i="25"/>
  <c r="BG12" i="25" s="1"/>
  <c r="BG139" i="25"/>
  <c r="BG6" i="25" s="1"/>
  <c r="AK147" i="25"/>
  <c r="BC139" i="25"/>
  <c r="BC6" i="25" s="1"/>
  <c r="BC141" i="25"/>
  <c r="BC7" i="25" s="1"/>
  <c r="BC140" i="25"/>
  <c r="BC12" i="25" s="1"/>
  <c r="AW99" i="25"/>
  <c r="B86" i="14"/>
  <c r="B63" i="14"/>
  <c r="B59" i="14"/>
  <c r="B65" i="14"/>
  <c r="B82" i="14"/>
  <c r="B79" i="14"/>
  <c r="B69" i="14"/>
  <c r="B77" i="14"/>
  <c r="B75" i="14"/>
  <c r="B61" i="14"/>
  <c r="B67" i="14"/>
  <c r="B73" i="14"/>
  <c r="B92" i="14"/>
  <c r="B96" i="14"/>
  <c r="B102" i="14"/>
  <c r="B84" i="14"/>
  <c r="B94" i="14"/>
  <c r="B90" i="14"/>
  <c r="B100" i="14"/>
  <c r="B88" i="14"/>
  <c r="B80" i="14"/>
  <c r="B62" i="14"/>
  <c r="B66" i="14"/>
  <c r="B70" i="14"/>
  <c r="B74" i="14"/>
  <c r="B78" i="14"/>
  <c r="B60" i="14"/>
  <c r="B64" i="14"/>
  <c r="B68" i="14"/>
  <c r="B72" i="14"/>
  <c r="B76" i="14"/>
  <c r="B119" i="14"/>
  <c r="B111" i="14"/>
  <c r="B103" i="14"/>
  <c r="B117" i="14"/>
  <c r="B109" i="14"/>
  <c r="B123" i="14"/>
  <c r="B115" i="14"/>
  <c r="B107" i="14"/>
  <c r="B113" i="14"/>
  <c r="B105" i="14"/>
  <c r="B121" i="14"/>
  <c r="B95" i="14"/>
  <c r="B87" i="14"/>
  <c r="B101" i="14"/>
  <c r="B93" i="14"/>
  <c r="B85" i="14"/>
  <c r="B99" i="14"/>
  <c r="B91" i="14"/>
  <c r="B83" i="14"/>
  <c r="B81" i="14"/>
  <c r="B97" i="14"/>
  <c r="B89" i="14"/>
  <c r="AN87" i="7"/>
  <c r="AN83" i="7" s="1"/>
  <c r="AN82" i="7" s="1"/>
  <c r="N31" i="50" s="1"/>
  <c r="BG83" i="7"/>
  <c r="D17" i="50"/>
  <c r="V91" i="7"/>
  <c r="V92" i="7"/>
  <c r="V94" i="7"/>
  <c r="V95" i="7"/>
  <c r="V90" i="7"/>
  <c r="V93" i="7"/>
  <c r="AE147" i="25" l="1"/>
  <c r="AW6" i="25"/>
  <c r="AW140" i="25"/>
  <c r="AX12" i="25"/>
  <c r="AW12" i="25" s="1"/>
  <c r="AW141" i="25"/>
  <c r="AW139" i="25"/>
  <c r="AX7" i="25"/>
  <c r="AO87" i="7"/>
  <c r="AO83" i="7" s="1"/>
  <c r="AO82" i="7" s="1"/>
  <c r="O31" i="50" s="1"/>
  <c r="BH83" i="7"/>
  <c r="O77" i="25"/>
  <c r="Y77" i="25"/>
  <c r="AB77" i="25"/>
  <c r="U159" i="25"/>
  <c r="N159" i="25"/>
  <c r="O159" i="25"/>
  <c r="V77" i="25"/>
  <c r="S77" i="25"/>
  <c r="P77" i="25"/>
  <c r="T159" i="25"/>
  <c r="Y159" i="25"/>
  <c r="R159" i="25"/>
  <c r="S159" i="25"/>
  <c r="Q77" i="25"/>
  <c r="Z77" i="25"/>
  <c r="W77" i="25"/>
  <c r="T77" i="25"/>
  <c r="X159" i="25"/>
  <c r="P159" i="25"/>
  <c r="V159" i="25"/>
  <c r="N77" i="25"/>
  <c r="U77" i="25"/>
  <c r="AA77" i="25"/>
  <c r="X77" i="25"/>
  <c r="Q159" i="25"/>
  <c r="AB159" i="25"/>
  <c r="Z159" i="25"/>
  <c r="AA159" i="25"/>
  <c r="R77" i="25"/>
  <c r="W159" i="25"/>
  <c r="W94" i="7"/>
  <c r="W91" i="7"/>
  <c r="W95" i="7"/>
  <c r="W90" i="7"/>
  <c r="W93" i="7"/>
  <c r="W92" i="7"/>
  <c r="AS79" i="25" l="1"/>
  <c r="BK73" i="25"/>
  <c r="BK72" i="25"/>
  <c r="BK24" i="25" s="1"/>
  <c r="BK71" i="25"/>
  <c r="AH161" i="25"/>
  <c r="AZ153" i="25"/>
  <c r="AZ155" i="25"/>
  <c r="AZ8" i="25" s="1"/>
  <c r="AZ154" i="25"/>
  <c r="AZ15" i="25" s="1"/>
  <c r="AR79" i="25"/>
  <c r="BJ73" i="25"/>
  <c r="BJ72" i="25"/>
  <c r="BJ24" i="25" s="1"/>
  <c r="BJ71" i="25"/>
  <c r="AQ161" i="25"/>
  <c r="BI155" i="25"/>
  <c r="BI154" i="25"/>
  <c r="BI15" i="25" s="1"/>
  <c r="BI153" i="25"/>
  <c r="AN79" i="25"/>
  <c r="BF73" i="25"/>
  <c r="BF72" i="25"/>
  <c r="BF24" i="25" s="1"/>
  <c r="BF71" i="25"/>
  <c r="AT79" i="25"/>
  <c r="BL73" i="25"/>
  <c r="BL72" i="25"/>
  <c r="BL24" i="25" s="1"/>
  <c r="BL71" i="25"/>
  <c r="AR161" i="25"/>
  <c r="BJ155" i="25"/>
  <c r="BJ8" i="25" s="1"/>
  <c r="BJ154" i="25"/>
  <c r="BJ15" i="25" s="1"/>
  <c r="BJ153" i="25"/>
  <c r="AO161" i="25"/>
  <c r="BG154" i="25"/>
  <c r="BG15" i="25" s="1"/>
  <c r="BG153" i="25"/>
  <c r="BG155" i="25"/>
  <c r="BG8" i="25" s="1"/>
  <c r="AT161" i="25"/>
  <c r="BL155" i="25"/>
  <c r="BL8" i="25" s="1"/>
  <c r="BL154" i="25"/>
  <c r="BL15" i="25" s="1"/>
  <c r="BL153" i="25"/>
  <c r="AM79" i="25"/>
  <c r="BE73" i="25"/>
  <c r="BE72" i="25"/>
  <c r="BE24" i="25" s="1"/>
  <c r="BE71" i="25"/>
  <c r="AP161" i="25"/>
  <c r="BH153" i="25"/>
  <c r="BH154" i="25"/>
  <c r="BH15" i="25" s="1"/>
  <c r="BH155" i="25"/>
  <c r="BH8" i="25" s="1"/>
  <c r="AI79" i="25"/>
  <c r="BA73" i="25"/>
  <c r="BA72" i="25"/>
  <c r="BA24" i="25" s="1"/>
  <c r="BA71" i="25"/>
  <c r="AL161" i="25"/>
  <c r="BD155" i="25"/>
  <c r="BD8" i="25" s="1"/>
  <c r="BD154" i="25"/>
  <c r="BD15" i="25" s="1"/>
  <c r="BD153" i="25"/>
  <c r="AG161" i="25"/>
  <c r="AY154" i="25"/>
  <c r="AY15" i="25" s="1"/>
  <c r="AY153" i="25"/>
  <c r="AY155" i="25"/>
  <c r="AY8" i="25" s="1"/>
  <c r="AQ79" i="25"/>
  <c r="BI71" i="25"/>
  <c r="BI73" i="25"/>
  <c r="BI72" i="25"/>
  <c r="BI24" i="25" s="1"/>
  <c r="AW7" i="25"/>
  <c r="AJ79" i="25"/>
  <c r="BB73" i="25"/>
  <c r="BB72" i="25"/>
  <c r="BB24" i="25" s="1"/>
  <c r="BB71" i="25"/>
  <c r="AI161" i="25"/>
  <c r="BA155" i="25"/>
  <c r="BA8" i="25" s="1"/>
  <c r="BA154" i="25"/>
  <c r="BA15" i="25" s="1"/>
  <c r="BA153" i="25"/>
  <c r="AF79" i="25"/>
  <c r="AX73" i="25"/>
  <c r="AX72" i="25"/>
  <c r="AX71" i="25"/>
  <c r="AL79" i="25"/>
  <c r="BD73" i="25"/>
  <c r="BD72" i="25"/>
  <c r="BD24" i="25" s="1"/>
  <c r="BD71" i="25"/>
  <c r="AK161" i="25"/>
  <c r="BC155" i="25"/>
  <c r="BC8" i="25" s="1"/>
  <c r="BC153" i="25"/>
  <c r="BC154" i="25"/>
  <c r="BC15" i="25" s="1"/>
  <c r="AH79" i="25"/>
  <c r="AZ73" i="25"/>
  <c r="AZ16" i="25" s="1"/>
  <c r="AZ72" i="25"/>
  <c r="AZ24" i="25" s="1"/>
  <c r="AZ71" i="25"/>
  <c r="AF161" i="25"/>
  <c r="AX155" i="25"/>
  <c r="AX8" i="25" s="1"/>
  <c r="AX154" i="25"/>
  <c r="AX153" i="25"/>
  <c r="AG79" i="25"/>
  <c r="AY73" i="25"/>
  <c r="AY72" i="25"/>
  <c r="AY24" i="25" s="1"/>
  <c r="AY71" i="25"/>
  <c r="AS161" i="25"/>
  <c r="BK155" i="25"/>
  <c r="BK8" i="25" s="1"/>
  <c r="BK153" i="25"/>
  <c r="BK154" i="25"/>
  <c r="BK15" i="25" s="1"/>
  <c r="AP79" i="25"/>
  <c r="BH73" i="25"/>
  <c r="BH16" i="25" s="1"/>
  <c r="BH72" i="25"/>
  <c r="BH24" i="25" s="1"/>
  <c r="BH71" i="25"/>
  <c r="AN161" i="25"/>
  <c r="BF155" i="25"/>
  <c r="BF8" i="25" s="1"/>
  <c r="BF154" i="25"/>
  <c r="BF15" i="25" s="1"/>
  <c r="BF153" i="25"/>
  <c r="AO79" i="25"/>
  <c r="BG73" i="25"/>
  <c r="BG72" i="25"/>
  <c r="BG24" i="25" s="1"/>
  <c r="BG71" i="25"/>
  <c r="AJ161" i="25"/>
  <c r="BB155" i="25"/>
  <c r="BB8" i="25" s="1"/>
  <c r="BB154" i="25"/>
  <c r="BB15" i="25" s="1"/>
  <c r="BB153" i="25"/>
  <c r="AK79" i="25"/>
  <c r="BC73" i="25"/>
  <c r="BC72" i="25"/>
  <c r="BC24" i="25" s="1"/>
  <c r="BC71" i="25"/>
  <c r="AM161" i="25"/>
  <c r="BE155" i="25"/>
  <c r="BE8" i="25" s="1"/>
  <c r="BE154" i="25"/>
  <c r="BE15" i="25" s="1"/>
  <c r="BE153" i="25"/>
  <c r="AP87" i="7"/>
  <c r="AP83" i="7" s="1"/>
  <c r="AP82" i="7" s="1"/>
  <c r="P31" i="50" s="1"/>
  <c r="BI83" i="7"/>
  <c r="Y131" i="25"/>
  <c r="BI127" i="25" s="1"/>
  <c r="BI22" i="25" s="1"/>
  <c r="X93" i="7"/>
  <c r="X90" i="7"/>
  <c r="X92" i="7"/>
  <c r="X95" i="7"/>
  <c r="X91" i="7"/>
  <c r="X94" i="7"/>
  <c r="AE161" i="25" l="1"/>
  <c r="AY16" i="25"/>
  <c r="BG16" i="25"/>
  <c r="AE79" i="25"/>
  <c r="BC16" i="25"/>
  <c r="BD16" i="25"/>
  <c r="BI16" i="25"/>
  <c r="AW73" i="25"/>
  <c r="AX16" i="25"/>
  <c r="BB16" i="25"/>
  <c r="BI9" i="25"/>
  <c r="BI31" i="25"/>
  <c r="BA16" i="25"/>
  <c r="BE16" i="25"/>
  <c r="BL16" i="25"/>
  <c r="BF16" i="25"/>
  <c r="AW155" i="25"/>
  <c r="BI8" i="25"/>
  <c r="BJ16" i="25"/>
  <c r="BK16" i="25"/>
  <c r="BC9" i="25"/>
  <c r="BG9" i="25"/>
  <c r="BH9" i="25"/>
  <c r="AY9" i="25"/>
  <c r="AW153" i="25"/>
  <c r="AZ9" i="25"/>
  <c r="BD9" i="25"/>
  <c r="AX9" i="25"/>
  <c r="AW71" i="25"/>
  <c r="BB9" i="25"/>
  <c r="AW154" i="25"/>
  <c r="AX15" i="25"/>
  <c r="AW15" i="25" s="1"/>
  <c r="AW72" i="25"/>
  <c r="AX24" i="25"/>
  <c r="BA9" i="25"/>
  <c r="BE9" i="25"/>
  <c r="BL9" i="25"/>
  <c r="BF9" i="25"/>
  <c r="BJ9" i="25"/>
  <c r="BK9" i="25"/>
  <c r="AQ87" i="7"/>
  <c r="AQ83" i="7" s="1"/>
  <c r="AQ82" i="7" s="1"/>
  <c r="Q31" i="50" s="1"/>
  <c r="BJ83" i="7"/>
  <c r="AQ133" i="25"/>
  <c r="AQ32" i="25" s="1"/>
  <c r="R131" i="25"/>
  <c r="BB127" i="25" s="1"/>
  <c r="BB22" i="25" s="1"/>
  <c r="V131" i="25"/>
  <c r="BF127" i="25" s="1"/>
  <c r="BF22" i="25" s="1"/>
  <c r="P131" i="25"/>
  <c r="AZ127" i="25" s="1"/>
  <c r="AZ22" i="25" s="1"/>
  <c r="N131" i="25"/>
  <c r="AX127" i="25" s="1"/>
  <c r="O131" i="25"/>
  <c r="AY127" i="25" s="1"/>
  <c r="AY22" i="25" s="1"/>
  <c r="AY5" i="25" s="1"/>
  <c r="T131" i="25"/>
  <c r="BD127" i="25" s="1"/>
  <c r="BD22" i="25" s="1"/>
  <c r="S131" i="25"/>
  <c r="BC127" i="25" s="1"/>
  <c r="BC22" i="25" s="1"/>
  <c r="Q131" i="25"/>
  <c r="BA127" i="25" s="1"/>
  <c r="BA22" i="25" s="1"/>
  <c r="W131" i="25"/>
  <c r="BG127" i="25" s="1"/>
  <c r="BG22" i="25" s="1"/>
  <c r="BG5" i="25" s="1"/>
  <c r="AA131" i="25"/>
  <c r="BK127" i="25" s="1"/>
  <c r="BK22" i="25" s="1"/>
  <c r="X131" i="25"/>
  <c r="BH127" i="25" s="1"/>
  <c r="BH22" i="25" s="1"/>
  <c r="Z131" i="25"/>
  <c r="BJ127" i="25" s="1"/>
  <c r="BJ22" i="25" s="1"/>
  <c r="U131" i="25"/>
  <c r="BE127" i="25" s="1"/>
  <c r="BE22" i="25" s="1"/>
  <c r="AB131" i="25"/>
  <c r="BL127" i="25" s="1"/>
  <c r="BL22" i="25" s="1"/>
  <c r="Y91" i="7"/>
  <c r="Y90" i="7"/>
  <c r="Y95" i="7"/>
  <c r="Y93" i="7"/>
  <c r="Y94" i="7"/>
  <c r="Y92" i="7"/>
  <c r="BJ5" i="25" l="1"/>
  <c r="BB5" i="25"/>
  <c r="BH5" i="25"/>
  <c r="BI5" i="25"/>
  <c r="BK5" i="25"/>
  <c r="BE5" i="25"/>
  <c r="BA5" i="25"/>
  <c r="BD5" i="25"/>
  <c r="AZ5" i="25"/>
  <c r="BF5" i="25"/>
  <c r="BL5" i="25"/>
  <c r="BC5" i="25"/>
  <c r="BK31" i="25"/>
  <c r="BF31" i="25"/>
  <c r="BA31" i="25"/>
  <c r="BD31" i="25"/>
  <c r="AW127" i="25"/>
  <c r="AX22" i="25"/>
  <c r="AW22" i="25" s="1"/>
  <c r="BE31" i="25"/>
  <c r="AX31" i="25"/>
  <c r="AY31" i="25"/>
  <c r="BG31" i="25"/>
  <c r="BJ31" i="25"/>
  <c r="BL31" i="25"/>
  <c r="AZ31" i="25"/>
  <c r="AW8" i="25"/>
  <c r="BB31" i="25"/>
  <c r="AW9" i="25"/>
  <c r="BH31" i="25"/>
  <c r="BC31" i="25"/>
  <c r="AW24" i="25"/>
  <c r="AW16" i="25"/>
  <c r="AR87" i="7"/>
  <c r="AR83" i="7" s="1"/>
  <c r="AR82" i="7" s="1"/>
  <c r="R31" i="50" s="1"/>
  <c r="BK83" i="7"/>
  <c r="AS133" i="25"/>
  <c r="AS32" i="25" s="1"/>
  <c r="AL133" i="25"/>
  <c r="AL32" i="25" s="1"/>
  <c r="AM133" i="25"/>
  <c r="AM32" i="25" s="1"/>
  <c r="AO133" i="25"/>
  <c r="AO32" i="25" s="1"/>
  <c r="AG133" i="25"/>
  <c r="AG32" i="25" s="1"/>
  <c r="AJ133" i="25"/>
  <c r="AJ32" i="25" s="1"/>
  <c r="AR133" i="25"/>
  <c r="AR32" i="25" s="1"/>
  <c r="AI133" i="25"/>
  <c r="AI32" i="25" s="1"/>
  <c r="AF133" i="25"/>
  <c r="AF32" i="25" s="1"/>
  <c r="AT133" i="25"/>
  <c r="AT32" i="25" s="1"/>
  <c r="AN133" i="25"/>
  <c r="AN32" i="25" s="1"/>
  <c r="AP133" i="25"/>
  <c r="AP32" i="25" s="1"/>
  <c r="AK133" i="25"/>
  <c r="AK32" i="25" s="1"/>
  <c r="AH133" i="25"/>
  <c r="AH32" i="25" s="1"/>
  <c r="Z90" i="7"/>
  <c r="Z91" i="7"/>
  <c r="Z94" i="7"/>
  <c r="Z93" i="7"/>
  <c r="Z95" i="7"/>
  <c r="Z92" i="7"/>
  <c r="AW31" i="25" l="1"/>
  <c r="AX5" i="25"/>
  <c r="AW5" i="25" s="1"/>
  <c r="AS87" i="7"/>
  <c r="AD87" i="7" s="1"/>
  <c r="BL83" i="7"/>
  <c r="AE133" i="25"/>
  <c r="AA95" i="7"/>
  <c r="AA91" i="7"/>
  <c r="AA90" i="7"/>
  <c r="AA93" i="7"/>
  <c r="AA94" i="7"/>
  <c r="AA92" i="7"/>
  <c r="AS83" i="7" l="1"/>
  <c r="AS82" i="7" s="1"/>
  <c r="S31" i="50" s="1"/>
  <c r="AW83" i="7"/>
  <c r="AE32" i="25"/>
  <c r="AE45" i="31"/>
  <c r="AD83" i="7" l="1"/>
  <c r="AD82" i="7" s="1"/>
  <c r="D31" i="50" s="1"/>
  <c r="AW13" i="7"/>
  <c r="U91" i="28"/>
  <c r="S91" i="28"/>
  <c r="AA91" i="28"/>
  <c r="Y91" i="28"/>
  <c r="W91" i="28"/>
  <c r="P91" i="28"/>
  <c r="T91" i="28"/>
  <c r="O91" i="28"/>
  <c r="Z91" i="28"/>
  <c r="V91" i="28"/>
  <c r="Q91" i="28"/>
  <c r="R91" i="28"/>
  <c r="AB91" i="28"/>
  <c r="U70" i="35"/>
  <c r="AN90" i="28" l="1"/>
  <c r="BF86" i="28"/>
  <c r="BF24" i="28" s="1"/>
  <c r="BF85" i="28"/>
  <c r="BF8" i="28" s="1"/>
  <c r="AH90" i="28"/>
  <c r="AZ86" i="28"/>
  <c r="AZ24" i="28" s="1"/>
  <c r="AZ85" i="28"/>
  <c r="AZ8" i="28" s="1"/>
  <c r="AK90" i="28"/>
  <c r="BC86" i="28"/>
  <c r="BC24" i="28" s="1"/>
  <c r="BC85" i="28"/>
  <c r="BC8" i="28" s="1"/>
  <c r="AJ90" i="28"/>
  <c r="BB86" i="28"/>
  <c r="BB24" i="28" s="1"/>
  <c r="BB85" i="28"/>
  <c r="BB8" i="28" s="1"/>
  <c r="AG90" i="28"/>
  <c r="AY85" i="28"/>
  <c r="AY8" i="28" s="1"/>
  <c r="AY86" i="28"/>
  <c r="AY24" i="28" s="1"/>
  <c r="AQ90" i="28"/>
  <c r="BI85" i="28"/>
  <c r="BI8" i="28" s="1"/>
  <c r="BI86" i="28"/>
  <c r="BI24" i="28" s="1"/>
  <c r="AI90" i="28"/>
  <c r="BA85" i="28"/>
  <c r="BA8" i="28" s="1"/>
  <c r="BA86" i="28"/>
  <c r="BA24" i="28" s="1"/>
  <c r="AL90" i="28"/>
  <c r="BD85" i="28"/>
  <c r="BD8" i="28" s="1"/>
  <c r="BD86" i="28"/>
  <c r="BD24" i="28" s="1"/>
  <c r="AS90" i="28"/>
  <c r="BK85" i="28"/>
  <c r="BK8" i="28" s="1"/>
  <c r="BK86" i="28"/>
  <c r="BK24" i="28" s="1"/>
  <c r="AT90" i="28"/>
  <c r="BL85" i="28"/>
  <c r="BL8" i="28" s="1"/>
  <c r="BL86" i="28"/>
  <c r="BL24" i="28" s="1"/>
  <c r="AR90" i="28"/>
  <c r="BJ86" i="28"/>
  <c r="BJ24" i="28" s="1"/>
  <c r="BJ85" i="28"/>
  <c r="BJ8" i="28" s="1"/>
  <c r="AO90" i="28"/>
  <c r="BG86" i="28"/>
  <c r="BG24" i="28" s="1"/>
  <c r="BG85" i="28"/>
  <c r="BG8" i="28" s="1"/>
  <c r="AM90" i="28"/>
  <c r="BE85" i="28"/>
  <c r="BE8" i="28" s="1"/>
  <c r="BE86" i="28"/>
  <c r="BE24" i="28" s="1"/>
  <c r="U40" i="28"/>
  <c r="K70" i="35"/>
  <c r="R40" i="28"/>
  <c r="H70" i="35"/>
  <c r="AJ77" i="4" s="1"/>
  <c r="AJ62" i="4" s="1"/>
  <c r="V40" i="28"/>
  <c r="L70" i="35"/>
  <c r="AN77" i="4" s="1"/>
  <c r="AN62" i="4" s="1"/>
  <c r="Z40" i="28"/>
  <c r="P70" i="35"/>
  <c r="AR77" i="4" s="1"/>
  <c r="AR62" i="4" s="1"/>
  <c r="Q40" i="28"/>
  <c r="G70" i="35"/>
  <c r="P40" i="28"/>
  <c r="F70" i="35"/>
  <c r="AH77" i="4" s="1"/>
  <c r="AH62" i="4" s="1"/>
  <c r="T40" i="28"/>
  <c r="J70" i="35"/>
  <c r="AL77" i="4" s="1"/>
  <c r="AL62" i="4" s="1"/>
  <c r="Y40" i="28"/>
  <c r="BI35" i="28" s="1"/>
  <c r="BI6" i="28" s="1"/>
  <c r="O70" i="35"/>
  <c r="AQ77" i="4" s="1"/>
  <c r="AQ62" i="4" s="1"/>
  <c r="X40" i="28"/>
  <c r="N70" i="35"/>
  <c r="W40" i="28"/>
  <c r="M70" i="35"/>
  <c r="AO77" i="4" s="1"/>
  <c r="AO62" i="4" s="1"/>
  <c r="AA40" i="28"/>
  <c r="Q70" i="35"/>
  <c r="AS77" i="4" s="1"/>
  <c r="AS62" i="4" s="1"/>
  <c r="AB40" i="28"/>
  <c r="R70" i="35"/>
  <c r="AT77" i="4" s="1"/>
  <c r="AT62" i="4" s="1"/>
  <c r="S40" i="28"/>
  <c r="BC35" i="28" s="1"/>
  <c r="BC6" i="28" s="1"/>
  <c r="I70" i="35"/>
  <c r="O40" i="28"/>
  <c r="E70" i="35"/>
  <c r="AG77" i="4" s="1"/>
  <c r="AG62" i="4" s="1"/>
  <c r="N91" i="28"/>
  <c r="AF39" i="28"/>
  <c r="D70" i="35"/>
  <c r="X91" i="28"/>
  <c r="AA96" i="28"/>
  <c r="Q94" i="28"/>
  <c r="D15" i="50"/>
  <c r="O95" i="28"/>
  <c r="R60" i="28"/>
  <c r="R57" i="28"/>
  <c r="R56" i="28"/>
  <c r="R58" i="28"/>
  <c r="R59" i="28"/>
  <c r="R55" i="28"/>
  <c r="AB59" i="28"/>
  <c r="AB58" i="28"/>
  <c r="AB60" i="28"/>
  <c r="AB57" i="28"/>
  <c r="AB55" i="28"/>
  <c r="AB56" i="28"/>
  <c r="T96" i="28"/>
  <c r="T92" i="28"/>
  <c r="T97" i="28"/>
  <c r="T95" i="28"/>
  <c r="T94" i="28"/>
  <c r="T93" i="28"/>
  <c r="V55" i="28"/>
  <c r="V59" i="28"/>
  <c r="V57" i="28"/>
  <c r="V56" i="28"/>
  <c r="V58" i="28"/>
  <c r="V60" i="28"/>
  <c r="O59" i="28"/>
  <c r="O56" i="28"/>
  <c r="O58" i="28"/>
  <c r="O60" i="28"/>
  <c r="O55" i="28"/>
  <c r="O57" i="28"/>
  <c r="S55" i="28"/>
  <c r="S57" i="28"/>
  <c r="S56" i="28"/>
  <c r="S59" i="28"/>
  <c r="S60" i="28"/>
  <c r="S58" i="28"/>
  <c r="Z59" i="28"/>
  <c r="Z55" i="28"/>
  <c r="Z60" i="28"/>
  <c r="Z57" i="28"/>
  <c r="Z58" i="28"/>
  <c r="Z56" i="28"/>
  <c r="Z93" i="28"/>
  <c r="Z96" i="28"/>
  <c r="Z92" i="28"/>
  <c r="Z94" i="28"/>
  <c r="Z97" i="28"/>
  <c r="Z95" i="28"/>
  <c r="P95" i="28"/>
  <c r="P96" i="28"/>
  <c r="P97" i="28"/>
  <c r="P94" i="28"/>
  <c r="P93" i="28"/>
  <c r="P92" i="28"/>
  <c r="AB93" i="28"/>
  <c r="AB97" i="28"/>
  <c r="AB96" i="28"/>
  <c r="AB94" i="28"/>
  <c r="AB92" i="28"/>
  <c r="AB95" i="28"/>
  <c r="Q59" i="28"/>
  <c r="Q58" i="28"/>
  <c r="Q55" i="28"/>
  <c r="Q57" i="28"/>
  <c r="Q56" i="28"/>
  <c r="Q60" i="28"/>
  <c r="P58" i="28"/>
  <c r="P60" i="28"/>
  <c r="P56" i="28"/>
  <c r="P59" i="28"/>
  <c r="P57" i="28"/>
  <c r="P55" i="28"/>
  <c r="T59" i="28"/>
  <c r="T55" i="28"/>
  <c r="T58" i="28"/>
  <c r="T60" i="28"/>
  <c r="T57" i="28"/>
  <c r="T56" i="28"/>
  <c r="N59" i="28"/>
  <c r="N60" i="28"/>
  <c r="N57" i="28"/>
  <c r="N56" i="28"/>
  <c r="N58" i="28"/>
  <c r="X58" i="28"/>
  <c r="X60" i="28"/>
  <c r="X55" i="28"/>
  <c r="X57" i="28"/>
  <c r="X59" i="28"/>
  <c r="X56" i="28"/>
  <c r="U56" i="28"/>
  <c r="U60" i="28"/>
  <c r="U59" i="28"/>
  <c r="U57" i="28"/>
  <c r="U58" i="28"/>
  <c r="U55" i="28"/>
  <c r="S94" i="28"/>
  <c r="S97" i="28"/>
  <c r="S93" i="28"/>
  <c r="S96" i="28"/>
  <c r="S95" i="28"/>
  <c r="S92" i="28"/>
  <c r="Y97" i="28"/>
  <c r="Y92" i="28"/>
  <c r="Y94" i="28"/>
  <c r="Y93" i="28"/>
  <c r="Y95" i="28"/>
  <c r="Y96" i="28"/>
  <c r="O92" i="28"/>
  <c r="O94" i="28"/>
  <c r="R94" i="28"/>
  <c r="R95" i="28"/>
  <c r="R92" i="28"/>
  <c r="R93" i="28"/>
  <c r="R97" i="28"/>
  <c r="R96" i="28"/>
  <c r="W55" i="28"/>
  <c r="W57" i="28"/>
  <c r="W60" i="28"/>
  <c r="W56" i="28"/>
  <c r="W58" i="28"/>
  <c r="W59" i="28"/>
  <c r="AA58" i="28"/>
  <c r="AA60" i="28"/>
  <c r="AA55" i="28"/>
  <c r="AA59" i="28"/>
  <c r="AA56" i="28"/>
  <c r="AA57" i="28"/>
  <c r="Y59" i="28"/>
  <c r="Y58" i="28"/>
  <c r="Y55" i="28"/>
  <c r="Y60" i="28"/>
  <c r="Y56" i="28"/>
  <c r="Y57" i="28"/>
  <c r="U93" i="28"/>
  <c r="U94" i="28"/>
  <c r="U92" i="28"/>
  <c r="U95" i="28"/>
  <c r="U97" i="28"/>
  <c r="U96" i="28"/>
  <c r="AY35" i="28" l="1"/>
  <c r="AY6" i="28" s="1"/>
  <c r="BC34" i="28"/>
  <c r="AP39" i="28"/>
  <c r="BH35" i="28"/>
  <c r="BH6" i="28" s="1"/>
  <c r="AI39" i="28"/>
  <c r="AI35" i="28" s="1"/>
  <c r="BA35" i="28"/>
  <c r="BA6" i="28" s="1"/>
  <c r="AN39" i="28"/>
  <c r="AN35" i="28" s="1"/>
  <c r="BF35" i="28"/>
  <c r="BF6" i="28" s="1"/>
  <c r="AM39" i="28"/>
  <c r="AM35" i="28" s="1"/>
  <c r="BE35" i="28"/>
  <c r="BE6" i="28" s="1"/>
  <c r="BH86" i="28"/>
  <c r="BH24" i="28" s="1"/>
  <c r="BH85" i="28"/>
  <c r="BH8" i="28" s="1"/>
  <c r="AX86" i="28"/>
  <c r="AX24" i="28" s="1"/>
  <c r="AX85" i="28"/>
  <c r="AX8" i="28" s="1"/>
  <c r="AS39" i="28"/>
  <c r="AS35" i="28" s="1"/>
  <c r="BK35" i="28"/>
  <c r="BK6" i="28" s="1"/>
  <c r="AL39" i="28"/>
  <c r="AL35" i="28" s="1"/>
  <c r="BD35" i="28"/>
  <c r="BD6" i="28" s="1"/>
  <c r="AY34" i="28"/>
  <c r="AT39" i="28"/>
  <c r="AT35" i="28" s="1"/>
  <c r="BL35" i="28"/>
  <c r="BL6" i="28" s="1"/>
  <c r="AO39" i="28"/>
  <c r="AO35" i="28" s="1"/>
  <c r="BG35" i="28"/>
  <c r="BG6" i="28" s="1"/>
  <c r="BI34" i="28"/>
  <c r="AH39" i="28"/>
  <c r="AH35" i="28" s="1"/>
  <c r="AZ35" i="28"/>
  <c r="AZ6" i="28" s="1"/>
  <c r="AR39" i="28"/>
  <c r="AR35" i="28" s="1"/>
  <c r="BJ35" i="28"/>
  <c r="BJ6" i="28" s="1"/>
  <c r="AJ39" i="28"/>
  <c r="AJ35" i="28" s="1"/>
  <c r="BB35" i="28"/>
  <c r="BB6" i="28" s="1"/>
  <c r="Y46" i="28"/>
  <c r="AQ39" i="28"/>
  <c r="AQ35" i="28" s="1"/>
  <c r="S43" i="28"/>
  <c r="AK39" i="28"/>
  <c r="AK35" i="28" s="1"/>
  <c r="O42" i="28"/>
  <c r="AG39" i="28"/>
  <c r="AG35" i="28" s="1"/>
  <c r="X45" i="28"/>
  <c r="Q44" i="28"/>
  <c r="U45" i="28"/>
  <c r="U43" i="28"/>
  <c r="V46" i="28"/>
  <c r="T43" i="28"/>
  <c r="V41" i="28"/>
  <c r="T45" i="28"/>
  <c r="S81" i="4"/>
  <c r="AK77" i="4"/>
  <c r="AK62" i="4" s="1"/>
  <c r="U41" i="28"/>
  <c r="Q43" i="28"/>
  <c r="AA43" i="28"/>
  <c r="S41" i="28"/>
  <c r="AA46" i="28"/>
  <c r="X42" i="28"/>
  <c r="T44" i="28"/>
  <c r="V42" i="28"/>
  <c r="AA41" i="28"/>
  <c r="X41" i="28"/>
  <c r="T41" i="28"/>
  <c r="Q41" i="28"/>
  <c r="V45" i="28"/>
  <c r="AA45" i="28"/>
  <c r="U44" i="28"/>
  <c r="U42" i="28"/>
  <c r="X43" i="28"/>
  <c r="T42" i="28"/>
  <c r="Q42" i="28"/>
  <c r="S44" i="28"/>
  <c r="V44" i="28"/>
  <c r="AA42" i="28"/>
  <c r="AA44" i="28"/>
  <c r="U46" i="28"/>
  <c r="X44" i="28"/>
  <c r="X46" i="28"/>
  <c r="T46" i="28"/>
  <c r="Q45" i="28"/>
  <c r="Q46" i="28"/>
  <c r="S42" i="28"/>
  <c r="V43" i="28"/>
  <c r="N45" i="28"/>
  <c r="S46" i="28"/>
  <c r="X97" i="28"/>
  <c r="AP90" i="28"/>
  <c r="AP35" i="28" s="1"/>
  <c r="O45" i="28"/>
  <c r="AB42" i="28"/>
  <c r="W42" i="28"/>
  <c r="Y41" i="28"/>
  <c r="P44" i="28"/>
  <c r="Z46" i="28"/>
  <c r="R42" i="28"/>
  <c r="N94" i="28"/>
  <c r="AF90" i="28"/>
  <c r="AF35" i="28" s="1"/>
  <c r="S45" i="28"/>
  <c r="N41" i="28"/>
  <c r="N44" i="28"/>
  <c r="R44" i="28"/>
  <c r="N46" i="28"/>
  <c r="N43" i="28"/>
  <c r="N42" i="28"/>
  <c r="W41" i="28"/>
  <c r="AB43" i="28"/>
  <c r="R41" i="28"/>
  <c r="Z42" i="28"/>
  <c r="Y43" i="28"/>
  <c r="W45" i="28"/>
  <c r="P42" i="28"/>
  <c r="Z43" i="28"/>
  <c r="AB44" i="28"/>
  <c r="R45" i="28"/>
  <c r="W43" i="28"/>
  <c r="Y44" i="28"/>
  <c r="P45" i="28"/>
  <c r="P41" i="28"/>
  <c r="Z44" i="28"/>
  <c r="O44" i="28"/>
  <c r="AB41" i="28"/>
  <c r="AB46" i="28"/>
  <c r="R43" i="28"/>
  <c r="W44" i="28"/>
  <c r="W46" i="28"/>
  <c r="Y42" i="28"/>
  <c r="Y45" i="28"/>
  <c r="P43" i="28"/>
  <c r="Z45" i="28"/>
  <c r="Z41" i="28"/>
  <c r="O41" i="28"/>
  <c r="R46" i="28"/>
  <c r="X92" i="28"/>
  <c r="AB45" i="28"/>
  <c r="P46" i="28"/>
  <c r="O46" i="28"/>
  <c r="N93" i="28"/>
  <c r="O43" i="28"/>
  <c r="N92" i="28"/>
  <c r="N97" i="28"/>
  <c r="X95" i="28"/>
  <c r="X96" i="28"/>
  <c r="X93" i="28"/>
  <c r="X94" i="28"/>
  <c r="AA93" i="28"/>
  <c r="AB84" i="4"/>
  <c r="AB82" i="4"/>
  <c r="AB80" i="4"/>
  <c r="AB79" i="4"/>
  <c r="AB81" i="4"/>
  <c r="AB83" i="4"/>
  <c r="R82" i="4"/>
  <c r="R83" i="4"/>
  <c r="R81" i="4"/>
  <c r="R79" i="4"/>
  <c r="R80" i="4"/>
  <c r="R84" i="4"/>
  <c r="S79" i="4"/>
  <c r="S82" i="4"/>
  <c r="S80" i="4"/>
  <c r="S84" i="4"/>
  <c r="S83" i="4"/>
  <c r="V82" i="4"/>
  <c r="V83" i="4"/>
  <c r="V80" i="4"/>
  <c r="V81" i="4"/>
  <c r="V84" i="4"/>
  <c r="V79" i="4"/>
  <c r="T84" i="4"/>
  <c r="T79" i="4"/>
  <c r="T80" i="4"/>
  <c r="T82" i="4"/>
  <c r="T83" i="4"/>
  <c r="T81" i="4"/>
  <c r="O79" i="4"/>
  <c r="O83" i="4"/>
  <c r="O80" i="4"/>
  <c r="O82" i="4"/>
  <c r="O81" i="4"/>
  <c r="O84" i="4"/>
  <c r="P84" i="4"/>
  <c r="P80" i="4"/>
  <c r="P82" i="4"/>
  <c r="P79" i="4"/>
  <c r="P81" i="4"/>
  <c r="P83" i="4"/>
  <c r="Z82" i="4"/>
  <c r="Z83" i="4"/>
  <c r="Z84" i="4"/>
  <c r="Z79" i="4"/>
  <c r="Z81" i="4"/>
  <c r="Z80" i="4"/>
  <c r="N82" i="4"/>
  <c r="N83" i="4"/>
  <c r="N84" i="4"/>
  <c r="N80" i="4"/>
  <c r="N81" i="4"/>
  <c r="Y83" i="4"/>
  <c r="Y84" i="4"/>
  <c r="Y81" i="4"/>
  <c r="Y82" i="4"/>
  <c r="Y80" i="4"/>
  <c r="Y79" i="4"/>
  <c r="W79" i="4"/>
  <c r="W80" i="4"/>
  <c r="W83" i="4"/>
  <c r="W82" i="4"/>
  <c r="W84" i="4"/>
  <c r="W81" i="4"/>
  <c r="AA79" i="4"/>
  <c r="AA82" i="4"/>
  <c r="AA80" i="4"/>
  <c r="AA84" i="4"/>
  <c r="AA81" i="4"/>
  <c r="AA83" i="4"/>
  <c r="N95" i="28"/>
  <c r="N96" i="28"/>
  <c r="O97" i="28"/>
  <c r="O93" i="28"/>
  <c r="O96" i="28"/>
  <c r="Q92" i="28"/>
  <c r="Q97" i="28"/>
  <c r="Q93" i="28"/>
  <c r="Q96" i="28"/>
  <c r="Q95" i="28"/>
  <c r="AA95" i="28"/>
  <c r="V92" i="28"/>
  <c r="AA97" i="28"/>
  <c r="AA94" i="28"/>
  <c r="W93" i="28"/>
  <c r="W94" i="28"/>
  <c r="W97" i="28"/>
  <c r="W95" i="28"/>
  <c r="W92" i="28"/>
  <c r="AA92" i="28"/>
  <c r="W96" i="28"/>
  <c r="V96" i="28"/>
  <c r="V95" i="28"/>
  <c r="V94" i="28"/>
  <c r="V93" i="28"/>
  <c r="V97" i="28"/>
  <c r="BI5" i="28" l="1"/>
  <c r="BC5" i="28"/>
  <c r="BK34" i="28"/>
  <c r="BA34" i="28"/>
  <c r="AZ34" i="28"/>
  <c r="AY5" i="28"/>
  <c r="BD34" i="28"/>
  <c r="AW8" i="28"/>
  <c r="AX34" i="28"/>
  <c r="AW85" i="28"/>
  <c r="BF34" i="28"/>
  <c r="BH34" i="28"/>
  <c r="BE34" i="28"/>
  <c r="BB34" i="28"/>
  <c r="BG34" i="28"/>
  <c r="BJ34" i="28"/>
  <c r="BL34" i="28"/>
  <c r="AW35" i="28"/>
  <c r="AW24" i="28"/>
  <c r="AW86" i="28"/>
  <c r="AE90" i="28"/>
  <c r="X79" i="4"/>
  <c r="AP77" i="4"/>
  <c r="AP62" i="4" s="1"/>
  <c r="Q79" i="4"/>
  <c r="AI77" i="4"/>
  <c r="AI62" i="4" s="1"/>
  <c r="Q82" i="4"/>
  <c r="U82" i="4"/>
  <c r="AM77" i="4"/>
  <c r="AM62" i="4" s="1"/>
  <c r="X80" i="4"/>
  <c r="U81" i="4"/>
  <c r="U83" i="4"/>
  <c r="X83" i="4"/>
  <c r="U80" i="4"/>
  <c r="Q81" i="4"/>
  <c r="U84" i="4"/>
  <c r="AE39" i="28"/>
  <c r="Q84" i="4"/>
  <c r="Q83" i="4"/>
  <c r="U79" i="4"/>
  <c r="Q80" i="4"/>
  <c r="X82" i="4"/>
  <c r="X81" i="4"/>
  <c r="X84" i="4"/>
  <c r="BF5" i="28" l="1"/>
  <c r="BH5" i="28"/>
  <c r="BL5" i="28"/>
  <c r="BG5" i="28"/>
  <c r="BE5" i="28"/>
  <c r="BD5" i="28"/>
  <c r="AZ5" i="28"/>
  <c r="BK5" i="28"/>
  <c r="BJ5" i="28"/>
  <c r="BB5" i="28"/>
  <c r="BA5" i="28"/>
  <c r="AX5" i="28"/>
  <c r="AW34" i="28"/>
  <c r="AW6" i="28"/>
  <c r="AE62" i="4"/>
  <c r="AE35" i="28"/>
  <c r="AE77" i="4"/>
  <c r="AW5" i="28" l="1"/>
  <c r="O149" i="25"/>
  <c r="V148" i="25"/>
  <c r="U151" i="25"/>
  <c r="AB51" i="26" l="1"/>
  <c r="U51" i="26"/>
  <c r="Q51" i="26"/>
  <c r="T51" i="26"/>
  <c r="Z51" i="26"/>
  <c r="W51" i="26"/>
  <c r="Y51" i="26"/>
  <c r="S51" i="26"/>
  <c r="V51" i="26"/>
  <c r="AA51" i="26"/>
  <c r="O51" i="26"/>
  <c r="X51" i="26"/>
  <c r="P51" i="26"/>
  <c r="R51" i="26"/>
  <c r="P39" i="26"/>
  <c r="V39" i="26"/>
  <c r="W39" i="26"/>
  <c r="AB39" i="26"/>
  <c r="U39" i="26"/>
  <c r="Z39" i="26"/>
  <c r="AA39" i="26"/>
  <c r="Y39" i="26"/>
  <c r="T39" i="26"/>
  <c r="N39" i="26"/>
  <c r="Q39" i="26"/>
  <c r="S39" i="26"/>
  <c r="X39" i="26"/>
  <c r="R39" i="26"/>
  <c r="Q92" i="26"/>
  <c r="BA87" i="26" s="1"/>
  <c r="AB92" i="26"/>
  <c r="BL87" i="26" s="1"/>
  <c r="U92" i="26"/>
  <c r="BE87" i="26" s="1"/>
  <c r="Z92" i="26"/>
  <c r="BJ87" i="26" s="1"/>
  <c r="T92" i="26"/>
  <c r="BD87" i="26" s="1"/>
  <c r="W92" i="26"/>
  <c r="BG87" i="26" s="1"/>
  <c r="Y92" i="26"/>
  <c r="BI87" i="26" s="1"/>
  <c r="O92" i="26"/>
  <c r="AY87" i="26" s="1"/>
  <c r="X92" i="26"/>
  <c r="BH87" i="26" s="1"/>
  <c r="S92" i="26"/>
  <c r="BC87" i="26" s="1"/>
  <c r="P92" i="26"/>
  <c r="AZ87" i="26" s="1"/>
  <c r="V92" i="26"/>
  <c r="BF87" i="26" s="1"/>
  <c r="AA92" i="26"/>
  <c r="BK87" i="26" s="1"/>
  <c r="R92" i="26"/>
  <c r="BB87" i="26" s="1"/>
  <c r="Q160" i="26"/>
  <c r="BA155" i="26" s="1"/>
  <c r="T160" i="26"/>
  <c r="BD155" i="26" s="1"/>
  <c r="U160" i="26"/>
  <c r="BE155" i="26" s="1"/>
  <c r="W160" i="26"/>
  <c r="BG155" i="26" s="1"/>
  <c r="AA160" i="26"/>
  <c r="BK155" i="26" s="1"/>
  <c r="Z160" i="26"/>
  <c r="BJ155" i="26" s="1"/>
  <c r="AB160" i="26"/>
  <c r="BL155" i="26" s="1"/>
  <c r="X160" i="26"/>
  <c r="BH155" i="26" s="1"/>
  <c r="Y160" i="26"/>
  <c r="BI155" i="26" s="1"/>
  <c r="S160" i="26"/>
  <c r="BC155" i="26" s="1"/>
  <c r="V160" i="26"/>
  <c r="BF155" i="26" s="1"/>
  <c r="O160" i="26"/>
  <c r="AY155" i="26" s="1"/>
  <c r="P160" i="26"/>
  <c r="AZ155" i="26" s="1"/>
  <c r="R160" i="26"/>
  <c r="BB155" i="26" s="1"/>
  <c r="O106" i="26"/>
  <c r="AY101" i="26" s="1"/>
  <c r="U106" i="26"/>
  <c r="BE101" i="26" s="1"/>
  <c r="Q106" i="26"/>
  <c r="BA101" i="26" s="1"/>
  <c r="S106" i="26"/>
  <c r="BC101" i="26" s="1"/>
  <c r="X106" i="26"/>
  <c r="BH101" i="26" s="1"/>
  <c r="Z106" i="26"/>
  <c r="BJ101" i="26" s="1"/>
  <c r="AA106" i="26"/>
  <c r="BK101" i="26" s="1"/>
  <c r="T106" i="26"/>
  <c r="BD101" i="26" s="1"/>
  <c r="Y106" i="26"/>
  <c r="BI101" i="26" s="1"/>
  <c r="AB106" i="26"/>
  <c r="BL101" i="26" s="1"/>
  <c r="V106" i="26"/>
  <c r="BF101" i="26" s="1"/>
  <c r="W106" i="26"/>
  <c r="BG101" i="26" s="1"/>
  <c r="P106" i="26"/>
  <c r="AZ101" i="26" s="1"/>
  <c r="R106" i="26"/>
  <c r="BB101" i="26" s="1"/>
  <c r="O64" i="26"/>
  <c r="Y64" i="26"/>
  <c r="Z64" i="26"/>
  <c r="T64" i="26"/>
  <c r="X64" i="26"/>
  <c r="P64" i="26"/>
  <c r="Q64" i="26"/>
  <c r="W64" i="26"/>
  <c r="AB64" i="26"/>
  <c r="U64" i="26"/>
  <c r="S64" i="26"/>
  <c r="AA64" i="26"/>
  <c r="V64" i="26"/>
  <c r="R64" i="26"/>
  <c r="O132" i="26"/>
  <c r="Y132" i="26"/>
  <c r="V132" i="26"/>
  <c r="S132" i="26"/>
  <c r="X132" i="26"/>
  <c r="P132" i="26"/>
  <c r="AA132" i="26"/>
  <c r="W132" i="26"/>
  <c r="U132" i="26"/>
  <c r="T132" i="26"/>
  <c r="Q132" i="26"/>
  <c r="AB132" i="26"/>
  <c r="Z132" i="26"/>
  <c r="R132" i="26"/>
  <c r="S146" i="26"/>
  <c r="BC141" i="26" s="1"/>
  <c r="BB32" i="26" l="1"/>
  <c r="BB33" i="26"/>
  <c r="BB34" i="26"/>
  <c r="BJ32" i="26"/>
  <c r="BJ33" i="26"/>
  <c r="BJ34" i="26"/>
  <c r="BF32" i="26"/>
  <c r="BF33" i="26"/>
  <c r="BF34" i="26"/>
  <c r="BH32" i="26"/>
  <c r="BH33" i="26"/>
  <c r="BH34" i="26"/>
  <c r="BD33" i="26"/>
  <c r="BD34" i="26"/>
  <c r="BD32" i="26"/>
  <c r="BE33" i="26"/>
  <c r="BE34" i="26"/>
  <c r="BE32" i="26"/>
  <c r="AZ32" i="26"/>
  <c r="AZ33" i="26"/>
  <c r="AZ34" i="26"/>
  <c r="AK40" i="26"/>
  <c r="BC32" i="26"/>
  <c r="BC34" i="26"/>
  <c r="BC7" i="26" s="1"/>
  <c r="AL12" i="34" s="1"/>
  <c r="BC33" i="26"/>
  <c r="BI32" i="26"/>
  <c r="BI33" i="26"/>
  <c r="BI34" i="26"/>
  <c r="BL32" i="26"/>
  <c r="BL33" i="26"/>
  <c r="BL34" i="26"/>
  <c r="BA33" i="26"/>
  <c r="BA34" i="26"/>
  <c r="BA32" i="26"/>
  <c r="BK33" i="26"/>
  <c r="BK32" i="26"/>
  <c r="BK34" i="26"/>
  <c r="BG34" i="26"/>
  <c r="BG33" i="26"/>
  <c r="BG32" i="26"/>
  <c r="AM133" i="26"/>
  <c r="BE127" i="26"/>
  <c r="AG133" i="26"/>
  <c r="AY127" i="26"/>
  <c r="AI65" i="26"/>
  <c r="BA58" i="26"/>
  <c r="BA14" i="26" s="1"/>
  <c r="BA59" i="26"/>
  <c r="AH107" i="26"/>
  <c r="AZ100" i="26"/>
  <c r="AZ99" i="26"/>
  <c r="AP107" i="26"/>
  <c r="BH100" i="26"/>
  <c r="BH99" i="26"/>
  <c r="AN161" i="26"/>
  <c r="BF153" i="26"/>
  <c r="BF154" i="26"/>
  <c r="AM161" i="26"/>
  <c r="BE154" i="26"/>
  <c r="BE153" i="26"/>
  <c r="AP93" i="26"/>
  <c r="BH86" i="26"/>
  <c r="BH85" i="26"/>
  <c r="AI93" i="26"/>
  <c r="BA86" i="26"/>
  <c r="BA85" i="26"/>
  <c r="AS40" i="26"/>
  <c r="AH52" i="26"/>
  <c r="AZ46" i="26"/>
  <c r="AZ13" i="26" s="1"/>
  <c r="AN52" i="26"/>
  <c r="BF46" i="26"/>
  <c r="BF13" i="26" s="1"/>
  <c r="AT52" i="26"/>
  <c r="BL46" i="26"/>
  <c r="BL13" i="26" s="1"/>
  <c r="AO133" i="26"/>
  <c r="BG127" i="26"/>
  <c r="AJ65" i="26"/>
  <c r="BB58" i="26"/>
  <c r="BB14" i="26" s="1"/>
  <c r="BB59" i="26"/>
  <c r="AH65" i="26"/>
  <c r="AZ59" i="26"/>
  <c r="AZ58" i="26"/>
  <c r="AZ14" i="26" s="1"/>
  <c r="AO107" i="26"/>
  <c r="BG99" i="26"/>
  <c r="BG100" i="26"/>
  <c r="AK107" i="26"/>
  <c r="BC100" i="26"/>
  <c r="BC99" i="26"/>
  <c r="AK161" i="26"/>
  <c r="BC153" i="26"/>
  <c r="BC154" i="26"/>
  <c r="AL161" i="26"/>
  <c r="BD153" i="26"/>
  <c r="BD154" i="26"/>
  <c r="AG93" i="26"/>
  <c r="AY86" i="26"/>
  <c r="AY85" i="26"/>
  <c r="AJ40" i="26"/>
  <c r="AR40" i="26"/>
  <c r="AP52" i="26"/>
  <c r="BH46" i="26"/>
  <c r="BH13" i="26" s="1"/>
  <c r="AI133" i="26"/>
  <c r="BA127" i="26"/>
  <c r="AN133" i="26"/>
  <c r="BF127" i="26"/>
  <c r="AT65" i="26"/>
  <c r="BL58" i="26"/>
  <c r="BL14" i="26" s="1"/>
  <c r="BL59" i="26"/>
  <c r="AJ133" i="26"/>
  <c r="BB127" i="26"/>
  <c r="AL133" i="26"/>
  <c r="BD127" i="26"/>
  <c r="AH133" i="26"/>
  <c r="AZ127" i="26"/>
  <c r="AQ133" i="26"/>
  <c r="BI127" i="26"/>
  <c r="AS65" i="26"/>
  <c r="BK59" i="26"/>
  <c r="BK58" i="26"/>
  <c r="BK14" i="26" s="1"/>
  <c r="AO65" i="26"/>
  <c r="BG59" i="26"/>
  <c r="BG58" i="26"/>
  <c r="BG14" i="26" s="1"/>
  <c r="AL65" i="26"/>
  <c r="BD58" i="26"/>
  <c r="BD14" i="26" s="1"/>
  <c r="BD59" i="26"/>
  <c r="AJ107" i="26"/>
  <c r="BB100" i="26"/>
  <c r="BB99" i="26"/>
  <c r="AT107" i="26"/>
  <c r="BL99" i="26"/>
  <c r="BL100" i="26"/>
  <c r="AR107" i="26"/>
  <c r="BJ100" i="26"/>
  <c r="BJ99" i="26"/>
  <c r="AM107" i="26"/>
  <c r="BE99" i="26"/>
  <c r="BE100" i="26"/>
  <c r="AG161" i="26"/>
  <c r="AY154" i="26"/>
  <c r="AY153" i="26"/>
  <c r="AP161" i="26"/>
  <c r="BH154" i="26"/>
  <c r="BH153" i="26"/>
  <c r="AO161" i="26"/>
  <c r="BG153" i="26"/>
  <c r="BG154" i="26"/>
  <c r="AJ93" i="26"/>
  <c r="BB86" i="26"/>
  <c r="BB85" i="26"/>
  <c r="AK93" i="26"/>
  <c r="BC86" i="26"/>
  <c r="BC85" i="26"/>
  <c r="AO93" i="26"/>
  <c r="BG86" i="26"/>
  <c r="BG85" i="26"/>
  <c r="AT93" i="26"/>
  <c r="BL85" i="26"/>
  <c r="BL86" i="26"/>
  <c r="AQ40" i="26"/>
  <c r="AT40" i="26"/>
  <c r="AJ52" i="26"/>
  <c r="BB46" i="26"/>
  <c r="BB13" i="26" s="1"/>
  <c r="AS52" i="26"/>
  <c r="BK46" i="26"/>
  <c r="BK13" i="26" s="1"/>
  <c r="AO52" i="26"/>
  <c r="BG46" i="26"/>
  <c r="BG13" i="26" s="1"/>
  <c r="AM52" i="26"/>
  <c r="BE46" i="26"/>
  <c r="BE13" i="26" s="1"/>
  <c r="AR133" i="26"/>
  <c r="BJ127" i="26"/>
  <c r="AP133" i="26"/>
  <c r="BH127" i="26"/>
  <c r="AK65" i="26"/>
  <c r="BC59" i="26"/>
  <c r="BC58" i="26"/>
  <c r="BC14" i="26" s="1"/>
  <c r="AR65" i="26"/>
  <c r="BJ58" i="26"/>
  <c r="BJ14" i="26" s="1"/>
  <c r="BJ59" i="26"/>
  <c r="AQ107" i="26"/>
  <c r="BI100" i="26"/>
  <c r="BI99" i="26"/>
  <c r="AG107" i="26"/>
  <c r="AY100" i="26"/>
  <c r="AY99" i="26"/>
  <c r="AT161" i="26"/>
  <c r="BL153" i="26"/>
  <c r="BL154" i="26"/>
  <c r="AS93" i="26"/>
  <c r="BK85" i="26"/>
  <c r="BK86" i="26"/>
  <c r="AL93" i="26"/>
  <c r="BD85" i="26"/>
  <c r="BD86" i="26"/>
  <c r="AI40" i="26"/>
  <c r="AO40" i="26"/>
  <c r="AR52" i="26"/>
  <c r="BJ46" i="26"/>
  <c r="BJ13" i="26" s="1"/>
  <c r="AT133" i="26"/>
  <c r="BL127" i="26"/>
  <c r="AK133" i="26"/>
  <c r="BC127" i="26"/>
  <c r="AM65" i="26"/>
  <c r="BE59" i="26"/>
  <c r="BE58" i="26"/>
  <c r="BE14" i="26" s="1"/>
  <c r="AQ65" i="26"/>
  <c r="BI58" i="26"/>
  <c r="BI14" i="26" s="1"/>
  <c r="BI59" i="26"/>
  <c r="AL107" i="26"/>
  <c r="BD99" i="26"/>
  <c r="BD100" i="26"/>
  <c r="AJ161" i="26"/>
  <c r="BB153" i="26"/>
  <c r="BB154" i="26"/>
  <c r="AR161" i="26"/>
  <c r="BJ153" i="26"/>
  <c r="BJ154" i="26"/>
  <c r="AN93" i="26"/>
  <c r="BF85" i="26"/>
  <c r="BF86" i="26"/>
  <c r="AR93" i="26"/>
  <c r="BJ86" i="26"/>
  <c r="BJ85" i="26"/>
  <c r="AN40" i="26"/>
  <c r="AK52" i="26"/>
  <c r="BC46" i="26"/>
  <c r="BC13" i="26" s="1"/>
  <c r="AL52" i="26"/>
  <c r="BD46" i="26"/>
  <c r="BD13" i="26" s="1"/>
  <c r="AK147" i="26"/>
  <c r="BC140" i="26"/>
  <c r="BC139" i="26"/>
  <c r="AS133" i="26"/>
  <c r="BK127" i="26"/>
  <c r="AN65" i="26"/>
  <c r="BF58" i="26"/>
  <c r="BF14" i="26" s="1"/>
  <c r="BF59" i="26"/>
  <c r="AP65" i="26"/>
  <c r="BH58" i="26"/>
  <c r="BH14" i="26" s="1"/>
  <c r="BH59" i="26"/>
  <c r="AG65" i="26"/>
  <c r="AY59" i="26"/>
  <c r="AY58" i="26"/>
  <c r="AY14" i="26" s="1"/>
  <c r="AN107" i="26"/>
  <c r="BF100" i="26"/>
  <c r="BF99" i="26"/>
  <c r="AS107" i="26"/>
  <c r="BK99" i="26"/>
  <c r="BK100" i="26"/>
  <c r="AI107" i="26"/>
  <c r="BA100" i="26"/>
  <c r="BA99" i="26"/>
  <c r="AH161" i="26"/>
  <c r="AZ153" i="26"/>
  <c r="AZ154" i="26"/>
  <c r="AQ161" i="26"/>
  <c r="BI153" i="26"/>
  <c r="BI154" i="26"/>
  <c r="AS161" i="26"/>
  <c r="BK153" i="26"/>
  <c r="BK154" i="26"/>
  <c r="AI161" i="26"/>
  <c r="BA154" i="26"/>
  <c r="BA153" i="26"/>
  <c r="AH93" i="26"/>
  <c r="AZ86" i="26"/>
  <c r="AZ85" i="26"/>
  <c r="AQ93" i="26"/>
  <c r="BI85" i="26"/>
  <c r="BI86" i="26"/>
  <c r="AM93" i="26"/>
  <c r="BE86" i="26"/>
  <c r="BE85" i="26"/>
  <c r="AP40" i="26"/>
  <c r="AL40" i="26"/>
  <c r="AM40" i="26"/>
  <c r="AH40" i="26"/>
  <c r="AG52" i="26"/>
  <c r="AY46" i="26"/>
  <c r="AY13" i="26" s="1"/>
  <c r="AQ52" i="26"/>
  <c r="BI46" i="26"/>
  <c r="BI13" i="26" s="1"/>
  <c r="AI52" i="26"/>
  <c r="BA46" i="26"/>
  <c r="BA13" i="26" s="1"/>
  <c r="O39" i="26"/>
  <c r="N132" i="26"/>
  <c r="W184" i="35"/>
  <c r="N64" i="26"/>
  <c r="N106" i="26"/>
  <c r="N92" i="26"/>
  <c r="N51" i="26"/>
  <c r="N160" i="26"/>
  <c r="R78" i="26"/>
  <c r="AA184" i="35"/>
  <c r="X78" i="26"/>
  <c r="AG184" i="35"/>
  <c r="Y78" i="26"/>
  <c r="AH184" i="35"/>
  <c r="P78" i="26"/>
  <c r="Y184" i="35"/>
  <c r="V78" i="26"/>
  <c r="AE184" i="35"/>
  <c r="U78" i="26"/>
  <c r="AD184" i="35"/>
  <c r="O78" i="26"/>
  <c r="X184" i="35"/>
  <c r="AB78" i="26"/>
  <c r="AK184" i="35"/>
  <c r="S78" i="26"/>
  <c r="AB184" i="35"/>
  <c r="Q78" i="26"/>
  <c r="Z184" i="35"/>
  <c r="T78" i="26"/>
  <c r="AC184" i="35"/>
  <c r="Z78" i="26"/>
  <c r="AI184" i="35"/>
  <c r="AA78" i="26"/>
  <c r="AJ184" i="35"/>
  <c r="W78" i="26"/>
  <c r="AF184" i="35"/>
  <c r="N78" i="26"/>
  <c r="U22" i="35"/>
  <c r="Q67" i="26"/>
  <c r="Q66" i="26"/>
  <c r="Q68" i="26"/>
  <c r="Q69" i="26"/>
  <c r="Q65" i="26"/>
  <c r="Q70" i="26"/>
  <c r="Y164" i="26"/>
  <c r="Y165" i="26"/>
  <c r="Y162" i="26"/>
  <c r="Y166" i="26"/>
  <c r="Y161" i="26"/>
  <c r="Y163" i="26"/>
  <c r="T161" i="26"/>
  <c r="T164" i="26"/>
  <c r="T165" i="26"/>
  <c r="T163" i="26"/>
  <c r="T162" i="26"/>
  <c r="T166" i="26"/>
  <c r="Y96" i="26"/>
  <c r="Y97" i="26"/>
  <c r="Y95" i="26"/>
  <c r="Y93" i="26"/>
  <c r="Y94" i="26"/>
  <c r="Y98" i="26"/>
  <c r="R44" i="26"/>
  <c r="R40" i="26"/>
  <c r="R43" i="26"/>
  <c r="R45" i="26"/>
  <c r="R41" i="26"/>
  <c r="R42" i="26"/>
  <c r="AA42" i="26"/>
  <c r="AA41" i="26"/>
  <c r="AA40" i="26"/>
  <c r="AA45" i="26"/>
  <c r="AA44" i="26"/>
  <c r="AA43" i="26"/>
  <c r="Y54" i="26"/>
  <c r="Y52" i="26"/>
  <c r="Y55" i="26"/>
  <c r="Y56" i="26"/>
  <c r="Y53" i="26"/>
  <c r="Y57" i="26"/>
  <c r="X137" i="26"/>
  <c r="R70" i="26"/>
  <c r="R67" i="26"/>
  <c r="R65" i="26"/>
  <c r="R69" i="26"/>
  <c r="R68" i="26"/>
  <c r="R66" i="26"/>
  <c r="P66" i="26"/>
  <c r="P65" i="26"/>
  <c r="P69" i="26"/>
  <c r="P67" i="26"/>
  <c r="P68" i="26"/>
  <c r="P70" i="26"/>
  <c r="O165" i="26"/>
  <c r="O161" i="26"/>
  <c r="O166" i="26"/>
  <c r="O163" i="26"/>
  <c r="O162" i="26"/>
  <c r="O164" i="26"/>
  <c r="AA165" i="26"/>
  <c r="AA164" i="26"/>
  <c r="AA166" i="26"/>
  <c r="AA162" i="26"/>
  <c r="AA161" i="26"/>
  <c r="AA163" i="26"/>
  <c r="R97" i="26"/>
  <c r="R96" i="26"/>
  <c r="R94" i="26"/>
  <c r="R98" i="26"/>
  <c r="R95" i="26"/>
  <c r="R93" i="26"/>
  <c r="W94" i="26"/>
  <c r="W96" i="26"/>
  <c r="W98" i="26"/>
  <c r="W95" i="26"/>
  <c r="W97" i="26"/>
  <c r="W93" i="26"/>
  <c r="X43" i="26"/>
  <c r="X41" i="26"/>
  <c r="X44" i="26"/>
  <c r="X42" i="26"/>
  <c r="X45" i="26"/>
  <c r="X40" i="26"/>
  <c r="N40" i="26"/>
  <c r="N41" i="26"/>
  <c r="N44" i="26"/>
  <c r="N45" i="26"/>
  <c r="N43" i="26"/>
  <c r="N42" i="26"/>
  <c r="Z44" i="26"/>
  <c r="Z45" i="26"/>
  <c r="Z42" i="26"/>
  <c r="Z43" i="26"/>
  <c r="Z40" i="26"/>
  <c r="Z41" i="26"/>
  <c r="V40" i="26"/>
  <c r="V41" i="26"/>
  <c r="V43" i="26"/>
  <c r="V42" i="26"/>
  <c r="V44" i="26"/>
  <c r="V45" i="26"/>
  <c r="R55" i="26"/>
  <c r="R52" i="26"/>
  <c r="R57" i="26"/>
  <c r="R53" i="26"/>
  <c r="R54" i="26"/>
  <c r="R56" i="26"/>
  <c r="AA54" i="26"/>
  <c r="AA52" i="26"/>
  <c r="AA53" i="26"/>
  <c r="AA57" i="26"/>
  <c r="AA56" i="26"/>
  <c r="AA55" i="26"/>
  <c r="W52" i="26"/>
  <c r="W54" i="26"/>
  <c r="W56" i="26"/>
  <c r="W55" i="26"/>
  <c r="W53" i="26"/>
  <c r="W57" i="26"/>
  <c r="Q53" i="26"/>
  <c r="Q57" i="26"/>
  <c r="Q55" i="26"/>
  <c r="Q52" i="26"/>
  <c r="Q54" i="26"/>
  <c r="Q56" i="26"/>
  <c r="S134" i="26"/>
  <c r="V70" i="26"/>
  <c r="V69" i="26"/>
  <c r="V66" i="26"/>
  <c r="V68" i="26"/>
  <c r="V67" i="26"/>
  <c r="V65" i="26"/>
  <c r="AB65" i="26"/>
  <c r="AB69" i="26"/>
  <c r="AB66" i="26"/>
  <c r="AB70" i="26"/>
  <c r="AB67" i="26"/>
  <c r="AB68" i="26"/>
  <c r="X70" i="26"/>
  <c r="X67" i="26"/>
  <c r="X68" i="26"/>
  <c r="X69" i="26"/>
  <c r="X66" i="26"/>
  <c r="X65" i="26"/>
  <c r="Y66" i="26"/>
  <c r="Y67" i="26"/>
  <c r="Y68" i="26"/>
  <c r="Y65" i="26"/>
  <c r="Y70" i="26"/>
  <c r="Y69" i="26"/>
  <c r="V162" i="26"/>
  <c r="V166" i="26"/>
  <c r="V164" i="26"/>
  <c r="V161" i="26"/>
  <c r="V163" i="26"/>
  <c r="V165" i="26"/>
  <c r="AB164" i="26"/>
  <c r="AB163" i="26"/>
  <c r="AB161" i="26"/>
  <c r="AB165" i="26"/>
  <c r="AB162" i="26"/>
  <c r="AB166" i="26"/>
  <c r="W161" i="26"/>
  <c r="W166" i="26"/>
  <c r="W165" i="26"/>
  <c r="W163" i="26"/>
  <c r="W164" i="26"/>
  <c r="W162" i="26"/>
  <c r="AA97" i="26"/>
  <c r="AA95" i="26"/>
  <c r="AA98" i="26"/>
  <c r="AA93" i="26"/>
  <c r="AA96" i="26"/>
  <c r="AA94" i="26"/>
  <c r="X96" i="26"/>
  <c r="X93" i="26"/>
  <c r="X94" i="26"/>
  <c r="X97" i="26"/>
  <c r="X98" i="26"/>
  <c r="X95" i="26"/>
  <c r="T93" i="26"/>
  <c r="T98" i="26"/>
  <c r="T95" i="26"/>
  <c r="T94" i="26"/>
  <c r="T96" i="26"/>
  <c r="T97" i="26"/>
  <c r="AB93" i="26"/>
  <c r="AB98" i="26"/>
  <c r="AB97" i="26"/>
  <c r="AB94" i="26"/>
  <c r="AB95" i="26"/>
  <c r="AB96" i="26"/>
  <c r="S44" i="26"/>
  <c r="S43" i="26"/>
  <c r="S45" i="26"/>
  <c r="S41" i="26"/>
  <c r="S42" i="26"/>
  <c r="S40" i="26"/>
  <c r="T41" i="26"/>
  <c r="T40" i="26"/>
  <c r="T44" i="26"/>
  <c r="T45" i="26"/>
  <c r="T42" i="26"/>
  <c r="T43" i="26"/>
  <c r="U41" i="26"/>
  <c r="U43" i="26"/>
  <c r="U40" i="26"/>
  <c r="U42" i="26"/>
  <c r="U44" i="26"/>
  <c r="U45" i="26"/>
  <c r="P42" i="26"/>
  <c r="P41" i="26"/>
  <c r="P40" i="26"/>
  <c r="P44" i="26"/>
  <c r="P45" i="26"/>
  <c r="P43" i="26"/>
  <c r="P56" i="26"/>
  <c r="P53" i="26"/>
  <c r="P55" i="26"/>
  <c r="P52" i="26"/>
  <c r="P54" i="26"/>
  <c r="P57" i="26"/>
  <c r="V57" i="26"/>
  <c r="V54" i="26"/>
  <c r="V53" i="26"/>
  <c r="V52" i="26"/>
  <c r="V55" i="26"/>
  <c r="V56" i="26"/>
  <c r="Z56" i="26"/>
  <c r="Z53" i="26"/>
  <c r="Z52" i="26"/>
  <c r="Z57" i="26"/>
  <c r="Z54" i="26"/>
  <c r="Z55" i="26"/>
  <c r="U53" i="26"/>
  <c r="U54" i="26"/>
  <c r="U56" i="26"/>
  <c r="U52" i="26"/>
  <c r="U57" i="26"/>
  <c r="U55" i="26"/>
  <c r="S67" i="26"/>
  <c r="S68" i="26"/>
  <c r="S65" i="26"/>
  <c r="S70" i="26"/>
  <c r="S66" i="26"/>
  <c r="S69" i="26"/>
  <c r="P163" i="26"/>
  <c r="P164" i="26"/>
  <c r="P166" i="26"/>
  <c r="P165" i="26"/>
  <c r="P161" i="26"/>
  <c r="P162" i="26"/>
  <c r="Z161" i="26"/>
  <c r="Z165" i="26"/>
  <c r="Z166" i="26"/>
  <c r="Z162" i="26"/>
  <c r="Z164" i="26"/>
  <c r="Z163" i="26"/>
  <c r="P95" i="26"/>
  <c r="P94" i="26"/>
  <c r="P98" i="26"/>
  <c r="P96" i="26"/>
  <c r="P93" i="26"/>
  <c r="P97" i="26"/>
  <c r="U95" i="26"/>
  <c r="U93" i="26"/>
  <c r="U97" i="26"/>
  <c r="U98" i="26"/>
  <c r="U94" i="26"/>
  <c r="U96" i="26"/>
  <c r="Q42" i="26"/>
  <c r="Q40" i="26"/>
  <c r="Q43" i="26"/>
  <c r="Q44" i="26"/>
  <c r="Q41" i="26"/>
  <c r="Q45" i="26"/>
  <c r="W45" i="26"/>
  <c r="W41" i="26"/>
  <c r="W40" i="26"/>
  <c r="W42" i="26"/>
  <c r="W43" i="26"/>
  <c r="W44" i="26"/>
  <c r="O54" i="26"/>
  <c r="O55" i="26"/>
  <c r="O52" i="26"/>
  <c r="O56" i="26"/>
  <c r="O53" i="26"/>
  <c r="O57" i="26"/>
  <c r="U66" i="26"/>
  <c r="U65" i="26"/>
  <c r="U68" i="26"/>
  <c r="U69" i="26"/>
  <c r="U67" i="26"/>
  <c r="U70" i="26"/>
  <c r="Z69" i="26"/>
  <c r="Z65" i="26"/>
  <c r="Z67" i="26"/>
  <c r="Z66" i="26"/>
  <c r="Z70" i="26"/>
  <c r="Z68" i="26"/>
  <c r="X161" i="26"/>
  <c r="X166" i="26"/>
  <c r="X164" i="26"/>
  <c r="X165" i="26"/>
  <c r="X162" i="26"/>
  <c r="X163" i="26"/>
  <c r="Q161" i="26"/>
  <c r="Q163" i="26"/>
  <c r="Q166" i="26"/>
  <c r="Q162" i="26"/>
  <c r="Q165" i="26"/>
  <c r="Q164" i="26"/>
  <c r="S98" i="26"/>
  <c r="S94" i="26"/>
  <c r="S97" i="26"/>
  <c r="S96" i="26"/>
  <c r="S95" i="26"/>
  <c r="S93" i="26"/>
  <c r="AA70" i="26"/>
  <c r="AA67" i="26"/>
  <c r="AA66" i="26"/>
  <c r="AA68" i="26"/>
  <c r="AA65" i="26"/>
  <c r="AA69" i="26"/>
  <c r="W67" i="26"/>
  <c r="W69" i="26"/>
  <c r="W65" i="26"/>
  <c r="W66" i="26"/>
  <c r="W68" i="26"/>
  <c r="W70" i="26"/>
  <c r="T65" i="26"/>
  <c r="T66" i="26"/>
  <c r="T67" i="26"/>
  <c r="T68" i="26"/>
  <c r="T69" i="26"/>
  <c r="T70" i="26"/>
  <c r="O68" i="26"/>
  <c r="O66" i="26"/>
  <c r="O69" i="26"/>
  <c r="O67" i="26"/>
  <c r="O65" i="26"/>
  <c r="O70" i="26"/>
  <c r="R165" i="26"/>
  <c r="R163" i="26"/>
  <c r="R162" i="26"/>
  <c r="R161" i="26"/>
  <c r="R164" i="26"/>
  <c r="R166" i="26"/>
  <c r="S162" i="26"/>
  <c r="S166" i="26"/>
  <c r="S164" i="26"/>
  <c r="S161" i="26"/>
  <c r="S163" i="26"/>
  <c r="S165" i="26"/>
  <c r="U166" i="26"/>
  <c r="U165" i="26"/>
  <c r="U161" i="26"/>
  <c r="U162" i="26"/>
  <c r="U164" i="26"/>
  <c r="U163" i="26"/>
  <c r="V95" i="26"/>
  <c r="V98" i="26"/>
  <c r="V96" i="26"/>
  <c r="V97" i="26"/>
  <c r="V94" i="26"/>
  <c r="V93" i="26"/>
  <c r="O98" i="26"/>
  <c r="O93" i="26"/>
  <c r="O97" i="26"/>
  <c r="O94" i="26"/>
  <c r="O95" i="26"/>
  <c r="O96" i="26"/>
  <c r="Z95" i="26"/>
  <c r="Z93" i="26"/>
  <c r="Z96" i="26"/>
  <c r="Z98" i="26"/>
  <c r="Z97" i="26"/>
  <c r="Z94" i="26"/>
  <c r="Q98" i="26"/>
  <c r="Q97" i="26"/>
  <c r="Q96" i="26"/>
  <c r="Q94" i="26"/>
  <c r="Q93" i="26"/>
  <c r="Q95" i="26"/>
  <c r="Y44" i="26"/>
  <c r="Y45" i="26"/>
  <c r="Y42" i="26"/>
  <c r="Y40" i="26"/>
  <c r="Y43" i="26"/>
  <c r="Y41" i="26"/>
  <c r="AB42" i="26"/>
  <c r="AB41" i="26"/>
  <c r="AB44" i="26"/>
  <c r="AB43" i="26"/>
  <c r="AB45" i="26"/>
  <c r="AB40" i="26"/>
  <c r="X57" i="26"/>
  <c r="X55" i="26"/>
  <c r="X53" i="26"/>
  <c r="X54" i="26"/>
  <c r="X56" i="26"/>
  <c r="X52" i="26"/>
  <c r="S54" i="26"/>
  <c r="S53" i="26"/>
  <c r="S52" i="26"/>
  <c r="S57" i="26"/>
  <c r="S56" i="26"/>
  <c r="S55" i="26"/>
  <c r="T52" i="26"/>
  <c r="T55" i="26"/>
  <c r="T54" i="26"/>
  <c r="T56" i="26"/>
  <c r="T57" i="26"/>
  <c r="T53" i="26"/>
  <c r="AB56" i="26"/>
  <c r="AB57" i="26"/>
  <c r="AB53" i="26"/>
  <c r="AB54" i="26"/>
  <c r="AB55" i="26"/>
  <c r="AB52" i="26"/>
  <c r="X146" i="26"/>
  <c r="BH141" i="26" s="1"/>
  <c r="W120" i="26"/>
  <c r="BG115" i="26" s="1"/>
  <c r="Q120" i="26"/>
  <c r="BA115" i="26" s="1"/>
  <c r="T120" i="26"/>
  <c r="BD115" i="26" s="1"/>
  <c r="BD9" i="26" s="1"/>
  <c r="U120" i="26"/>
  <c r="BE115" i="26" s="1"/>
  <c r="BE9" i="26" s="1"/>
  <c r="AA120" i="26"/>
  <c r="BK115" i="26" s="1"/>
  <c r="BK9" i="26" s="1"/>
  <c r="V120" i="26"/>
  <c r="BF115" i="26" s="1"/>
  <c r="BF9" i="26" s="1"/>
  <c r="X120" i="26"/>
  <c r="BH115" i="26" s="1"/>
  <c r="Y120" i="26"/>
  <c r="BI115" i="26" s="1"/>
  <c r="Z120" i="26"/>
  <c r="BJ115" i="26" s="1"/>
  <c r="O120" i="26"/>
  <c r="AY115" i="26" s="1"/>
  <c r="AY9" i="26" s="1"/>
  <c r="R120" i="26"/>
  <c r="BB115" i="26" s="1"/>
  <c r="S135" i="26"/>
  <c r="U146" i="26"/>
  <c r="BE141" i="26" s="1"/>
  <c r="AA146" i="26"/>
  <c r="BK141" i="26" s="1"/>
  <c r="V146" i="26"/>
  <c r="BF141" i="26" s="1"/>
  <c r="R146" i="26"/>
  <c r="BB141" i="26" s="1"/>
  <c r="O146" i="26"/>
  <c r="AY141" i="26" s="1"/>
  <c r="Y146" i="26"/>
  <c r="BI141" i="26" s="1"/>
  <c r="Z146" i="26"/>
  <c r="BJ141" i="26" s="1"/>
  <c r="AB146" i="26"/>
  <c r="BL141" i="26" s="1"/>
  <c r="Q146" i="26"/>
  <c r="BA141" i="26" s="1"/>
  <c r="T146" i="26"/>
  <c r="BD141" i="26" s="1"/>
  <c r="W146" i="26"/>
  <c r="BG141" i="26" s="1"/>
  <c r="P146" i="26"/>
  <c r="AZ141" i="26" s="1"/>
  <c r="AZ7" i="26" l="1"/>
  <c r="AI12" i="34" s="1"/>
  <c r="AM19" i="34"/>
  <c r="AU21" i="34"/>
  <c r="BM21" i="34" s="1"/>
  <c r="BA7" i="26"/>
  <c r="AJ12" i="34" s="1"/>
  <c r="BF7" i="26"/>
  <c r="AO12" i="34" s="1"/>
  <c r="AP19" i="34"/>
  <c r="AI21" i="34"/>
  <c r="AI19" i="34"/>
  <c r="AY22" i="26"/>
  <c r="AH29" i="34" s="1"/>
  <c r="AZ29" i="34" s="1"/>
  <c r="AQ21" i="34"/>
  <c r="AL19" i="34"/>
  <c r="BC22" i="26"/>
  <c r="AL29" i="34" s="1"/>
  <c r="BD29" i="34" s="1"/>
  <c r="AS21" i="34"/>
  <c r="BK21" i="34" s="1"/>
  <c r="BF22" i="26"/>
  <c r="AO29" i="34" s="1"/>
  <c r="BG29" i="34" s="1"/>
  <c r="BL7" i="26"/>
  <c r="AU12" i="34" s="1"/>
  <c r="AT19" i="34"/>
  <c r="BI22" i="26"/>
  <c r="AR29" i="34" s="1"/>
  <c r="BJ29" i="34" s="1"/>
  <c r="BE22" i="26"/>
  <c r="AN29" i="34" s="1"/>
  <c r="BF29" i="34" s="1"/>
  <c r="BJ7" i="26"/>
  <c r="AS12" i="34" s="1"/>
  <c r="BA9" i="26"/>
  <c r="AJ14" i="34" s="1"/>
  <c r="AO19" i="34"/>
  <c r="BL22" i="26"/>
  <c r="AU29" i="34" s="1"/>
  <c r="BM29" i="34" s="1"/>
  <c r="AL21" i="34"/>
  <c r="BD21" i="34" s="1"/>
  <c r="BA22" i="26"/>
  <c r="AJ29" i="34" s="1"/>
  <c r="BB29" i="34" s="1"/>
  <c r="BE7" i="26"/>
  <c r="AN12" i="34" s="1"/>
  <c r="AN21" i="34"/>
  <c r="AO21" i="34"/>
  <c r="BG21" i="34" s="1"/>
  <c r="AK19" i="34"/>
  <c r="AZ22" i="26"/>
  <c r="AI29" i="34" s="1"/>
  <c r="BA29" i="34" s="1"/>
  <c r="AK21" i="34"/>
  <c r="BC21" i="34" s="1"/>
  <c r="BI7" i="26"/>
  <c r="AR12" i="34" s="1"/>
  <c r="AT21" i="34"/>
  <c r="BL21" i="34" s="1"/>
  <c r="AS19" i="34"/>
  <c r="AQ19" i="34"/>
  <c r="BB7" i="26"/>
  <c r="AK12" i="34" s="1"/>
  <c r="BB9" i="26"/>
  <c r="AN19" i="34"/>
  <c r="AJ19" i="34"/>
  <c r="BK22" i="26"/>
  <c r="AT29" i="34" s="1"/>
  <c r="BL29" i="34" s="1"/>
  <c r="BH22" i="26"/>
  <c r="AQ29" i="34" s="1"/>
  <c r="BI29" i="34" s="1"/>
  <c r="AM21" i="34"/>
  <c r="BD22" i="26"/>
  <c r="AM29" i="34" s="1"/>
  <c r="BE29" i="34" s="1"/>
  <c r="BG22" i="26"/>
  <c r="AP29" i="34" s="1"/>
  <c r="BH29" i="34" s="1"/>
  <c r="BG7" i="26"/>
  <c r="AP12" i="34" s="1"/>
  <c r="BD7" i="26"/>
  <c r="AM12" i="34" s="1"/>
  <c r="AJ21" i="34"/>
  <c r="AR19" i="34"/>
  <c r="BK7" i="26"/>
  <c r="AT12" i="34" s="1"/>
  <c r="BC12" i="26"/>
  <c r="BJ9" i="26"/>
  <c r="AR21" i="34"/>
  <c r="BJ22" i="26"/>
  <c r="AS29" i="34" s="1"/>
  <c r="BK29" i="34" s="1"/>
  <c r="AP21" i="34"/>
  <c r="BH21" i="34" s="1"/>
  <c r="BB22" i="26"/>
  <c r="AK29" i="34" s="1"/>
  <c r="BC29" i="34" s="1"/>
  <c r="AU19" i="34"/>
  <c r="BH7" i="26"/>
  <c r="AQ12" i="34" s="1"/>
  <c r="BH9" i="26"/>
  <c r="AH19" i="34"/>
  <c r="AH21" i="34"/>
  <c r="AZ21" i="34" s="1"/>
  <c r="BC6" i="26"/>
  <c r="AL11" i="34" s="1"/>
  <c r="BI9" i="26"/>
  <c r="BG9" i="26"/>
  <c r="AX101" i="26"/>
  <c r="AW101" i="26" s="1"/>
  <c r="AX155" i="26"/>
  <c r="AW155" i="26" s="1"/>
  <c r="BI21" i="34"/>
  <c r="AX46" i="26"/>
  <c r="AX87" i="26"/>
  <c r="BD12" i="34"/>
  <c r="AY33" i="26"/>
  <c r="AY32" i="26"/>
  <c r="AY34" i="26"/>
  <c r="AY7" i="26" s="1"/>
  <c r="AH12" i="34" s="1"/>
  <c r="AG147" i="26"/>
  <c r="AY139" i="26"/>
  <c r="AY140" i="26"/>
  <c r="AR121" i="26"/>
  <c r="BJ113" i="26"/>
  <c r="BJ114" i="26"/>
  <c r="BJ15" i="26" s="1"/>
  <c r="AO121" i="26"/>
  <c r="BG114" i="26"/>
  <c r="BG15" i="26" s="1"/>
  <c r="BG113" i="26"/>
  <c r="AX86" i="26"/>
  <c r="AX85" i="26"/>
  <c r="AW85" i="26" s="1"/>
  <c r="AF133" i="26"/>
  <c r="AX127" i="26"/>
  <c r="AX22" i="26" s="1"/>
  <c r="AH147" i="26"/>
  <c r="AZ139" i="26"/>
  <c r="AZ6" i="26" s="1"/>
  <c r="AI11" i="34" s="1"/>
  <c r="AZ140" i="26"/>
  <c r="AZ12" i="26" s="1"/>
  <c r="AJ147" i="26"/>
  <c r="BB139" i="26"/>
  <c r="BB6" i="26" s="1"/>
  <c r="AK11" i="34" s="1"/>
  <c r="BB140" i="26"/>
  <c r="BB12" i="26" s="1"/>
  <c r="AQ121" i="26"/>
  <c r="BI114" i="26"/>
  <c r="BI15" i="26" s="1"/>
  <c r="BI113" i="26"/>
  <c r="AP147" i="26"/>
  <c r="BH139" i="26"/>
  <c r="BH6" i="26" s="1"/>
  <c r="AQ11" i="34" s="1"/>
  <c r="BH140" i="26"/>
  <c r="BH12" i="26" s="1"/>
  <c r="AX72" i="26"/>
  <c r="AX24" i="26" s="1"/>
  <c r="AX73" i="26"/>
  <c r="AX71" i="26"/>
  <c r="AX8" i="26" s="1"/>
  <c r="AL79" i="26"/>
  <c r="BD71" i="26"/>
  <c r="BD8" i="26" s="1"/>
  <c r="AM13" i="34" s="1"/>
  <c r="BE13" i="34" s="1"/>
  <c r="BD72" i="26"/>
  <c r="BD73" i="26"/>
  <c r="AG79" i="26"/>
  <c r="AY72" i="26"/>
  <c r="AY71" i="26"/>
  <c r="AY8" i="26" s="1"/>
  <c r="AH13" i="34" s="1"/>
  <c r="AZ13" i="34" s="1"/>
  <c r="AY73" i="26"/>
  <c r="AQ79" i="26"/>
  <c r="BI71" i="26"/>
  <c r="BI8" i="26" s="1"/>
  <c r="AR13" i="34" s="1"/>
  <c r="BI72" i="26"/>
  <c r="BI73" i="26"/>
  <c r="AF107" i="26"/>
  <c r="AX99" i="26"/>
  <c r="AW99" i="26" s="1"/>
  <c r="AX100" i="26"/>
  <c r="AW100" i="26" s="1"/>
  <c r="AO147" i="26"/>
  <c r="BG140" i="26"/>
  <c r="BG12" i="26" s="1"/>
  <c r="BG139" i="26"/>
  <c r="BG6" i="26" s="1"/>
  <c r="AP11" i="34" s="1"/>
  <c r="AR147" i="26"/>
  <c r="BJ139" i="26"/>
  <c r="BJ6" i="26" s="1"/>
  <c r="AS11" i="34" s="1"/>
  <c r="BJ140" i="26"/>
  <c r="BJ12" i="26" s="1"/>
  <c r="AJ121" i="26"/>
  <c r="BB113" i="26"/>
  <c r="BB114" i="26"/>
  <c r="BB15" i="26" s="1"/>
  <c r="AP121" i="26"/>
  <c r="BH113" i="26"/>
  <c r="BH114" i="26"/>
  <c r="BH15" i="26" s="1"/>
  <c r="AL147" i="26"/>
  <c r="BD140" i="26"/>
  <c r="BD12" i="26" s="1"/>
  <c r="BD139" i="26"/>
  <c r="BD6" i="26" s="1"/>
  <c r="AM11" i="34" s="1"/>
  <c r="AQ147" i="26"/>
  <c r="BI139" i="26"/>
  <c r="BI6" i="26" s="1"/>
  <c r="AR11" i="34" s="1"/>
  <c r="BI140" i="26"/>
  <c r="BI12" i="26" s="1"/>
  <c r="AS147" i="26"/>
  <c r="BK139" i="26"/>
  <c r="BK6" i="26" s="1"/>
  <c r="AT11" i="34" s="1"/>
  <c r="BK140" i="26"/>
  <c r="BK12" i="26" s="1"/>
  <c r="AG121" i="26"/>
  <c r="AY113" i="26"/>
  <c r="AY114" i="26"/>
  <c r="AY15" i="26" s="1"/>
  <c r="AN121" i="26"/>
  <c r="BF113" i="26"/>
  <c r="BF114" i="26"/>
  <c r="BF15" i="26" s="1"/>
  <c r="AI121" i="26"/>
  <c r="BA113" i="26"/>
  <c r="BA16" i="26" s="1"/>
  <c r="BA114" i="26"/>
  <c r="BA15" i="26" s="1"/>
  <c r="AO79" i="26"/>
  <c r="BG73" i="26"/>
  <c r="BG71" i="26"/>
  <c r="BG8" i="26" s="1"/>
  <c r="AP13" i="34" s="1"/>
  <c r="BG72" i="26"/>
  <c r="AR79" i="26"/>
  <c r="BJ72" i="26"/>
  <c r="BJ73" i="26"/>
  <c r="BJ16" i="26" s="1"/>
  <c r="BJ71" i="26"/>
  <c r="BJ8" i="26" s="1"/>
  <c r="AS13" i="34" s="1"/>
  <c r="AI79" i="26"/>
  <c r="BA73" i="26"/>
  <c r="BA72" i="26"/>
  <c r="BA71" i="26"/>
  <c r="BA8" i="26" s="1"/>
  <c r="AT79" i="26"/>
  <c r="BL73" i="26"/>
  <c r="BL72" i="26"/>
  <c r="BL71" i="26"/>
  <c r="BL8" i="26" s="1"/>
  <c r="AM79" i="26"/>
  <c r="BE73" i="26"/>
  <c r="BE72" i="26"/>
  <c r="BE71" i="26"/>
  <c r="BE8" i="26" s="1"/>
  <c r="AN13" i="34" s="1"/>
  <c r="BF13" i="34" s="1"/>
  <c r="AH79" i="26"/>
  <c r="AZ72" i="26"/>
  <c r="AZ73" i="26"/>
  <c r="AZ71" i="26"/>
  <c r="AZ8" i="26" s="1"/>
  <c r="AP79" i="26"/>
  <c r="BH71" i="26"/>
  <c r="BH8" i="26" s="1"/>
  <c r="AQ13" i="34" s="1"/>
  <c r="BH72" i="26"/>
  <c r="BH73" i="26"/>
  <c r="AI147" i="26"/>
  <c r="BA140" i="26"/>
  <c r="BA12" i="26" s="1"/>
  <c r="BA139" i="26"/>
  <c r="BA6" i="26" s="1"/>
  <c r="AJ11" i="34" s="1"/>
  <c r="AM147" i="26"/>
  <c r="BE140" i="26"/>
  <c r="BE139" i="26"/>
  <c r="BE6" i="26" s="1"/>
  <c r="AN11" i="34" s="1"/>
  <c r="AS121" i="26"/>
  <c r="BK114" i="26"/>
  <c r="BK15" i="26" s="1"/>
  <c r="BK113" i="26"/>
  <c r="AT147" i="26"/>
  <c r="BL139" i="26"/>
  <c r="BL6" i="26" s="1"/>
  <c r="AU11" i="34" s="1"/>
  <c r="BL140" i="26"/>
  <c r="BL12" i="26" s="1"/>
  <c r="AM121" i="26"/>
  <c r="BE114" i="26"/>
  <c r="BE15" i="26" s="1"/>
  <c r="BE113" i="26"/>
  <c r="AS79" i="26"/>
  <c r="BK72" i="26"/>
  <c r="BK73" i="26"/>
  <c r="BK71" i="26"/>
  <c r="BK8" i="26" s="1"/>
  <c r="AT13" i="34" s="1"/>
  <c r="BL13" i="34" s="1"/>
  <c r="AK79" i="26"/>
  <c r="BC71" i="26"/>
  <c r="BC8" i="26" s="1"/>
  <c r="BC72" i="26"/>
  <c r="BC73" i="26"/>
  <c r="AN79" i="26"/>
  <c r="BF72" i="26"/>
  <c r="BF71" i="26"/>
  <c r="BF8" i="26" s="1"/>
  <c r="AO13" i="34" s="1"/>
  <c r="BG13" i="34" s="1"/>
  <c r="BF73" i="26"/>
  <c r="AJ79" i="26"/>
  <c r="BB71" i="26"/>
  <c r="BB8" i="26" s="1"/>
  <c r="AK13" i="34" s="1"/>
  <c r="BB72" i="26"/>
  <c r="BB73" i="26"/>
  <c r="AN147" i="26"/>
  <c r="BF140" i="26"/>
  <c r="BF12" i="26" s="1"/>
  <c r="BF139" i="26"/>
  <c r="BF6" i="26" s="1"/>
  <c r="AO11" i="34" s="1"/>
  <c r="AL121" i="26"/>
  <c r="BD114" i="26"/>
  <c r="BD15" i="26" s="1"/>
  <c r="BD113" i="26"/>
  <c r="AX153" i="26"/>
  <c r="AW153" i="26" s="1"/>
  <c r="AX154" i="26"/>
  <c r="AX58" i="26"/>
  <c r="AX14" i="26" s="1"/>
  <c r="AX59" i="26"/>
  <c r="Q132" i="34"/>
  <c r="N79" i="26"/>
  <c r="AF79" i="26"/>
  <c r="N55" i="26"/>
  <c r="AF52" i="26"/>
  <c r="O45" i="26"/>
  <c r="AG40" i="26"/>
  <c r="N164" i="26"/>
  <c r="AF161" i="26"/>
  <c r="AE161" i="26" s="1"/>
  <c r="N97" i="26"/>
  <c r="AF93" i="26"/>
  <c r="AE93" i="26" s="1"/>
  <c r="N66" i="26"/>
  <c r="AF65" i="26"/>
  <c r="AE65" i="26" s="1"/>
  <c r="N65" i="26"/>
  <c r="N161" i="26"/>
  <c r="N95" i="26"/>
  <c r="N54" i="26"/>
  <c r="N162" i="26"/>
  <c r="N70" i="26"/>
  <c r="O43" i="26"/>
  <c r="N53" i="26"/>
  <c r="AH179" i="35"/>
  <c r="O22" i="35"/>
  <c r="AK179" i="35"/>
  <c r="R22" i="35"/>
  <c r="AC179" i="35"/>
  <c r="J22" i="35"/>
  <c r="AG179" i="35"/>
  <c r="N22" i="35"/>
  <c r="AI179" i="35"/>
  <c r="P22" i="35"/>
  <c r="Y179" i="35"/>
  <c r="F22" i="35"/>
  <c r="AA179" i="35"/>
  <c r="H22" i="35"/>
  <c r="AD179" i="35"/>
  <c r="K22" i="35"/>
  <c r="AF179" i="35"/>
  <c r="M22" i="35"/>
  <c r="AB179" i="35"/>
  <c r="I22" i="35"/>
  <c r="AJ179" i="35"/>
  <c r="Q22" i="35"/>
  <c r="AE179" i="35"/>
  <c r="L22" i="35"/>
  <c r="Z179" i="35"/>
  <c r="G22" i="35"/>
  <c r="O41" i="26"/>
  <c r="N57" i="26"/>
  <c r="O40" i="26"/>
  <c r="O44" i="26"/>
  <c r="O42" i="26"/>
  <c r="N52" i="26"/>
  <c r="N67" i="26"/>
  <c r="N96" i="26"/>
  <c r="N165" i="26"/>
  <c r="N56" i="26"/>
  <c r="N69" i="26"/>
  <c r="N93" i="26"/>
  <c r="X179" i="35"/>
  <c r="E22" i="35"/>
  <c r="N120" i="26"/>
  <c r="N146" i="26"/>
  <c r="N166" i="26"/>
  <c r="N163" i="26"/>
  <c r="N68" i="26"/>
  <c r="N98" i="26"/>
  <c r="W179" i="35"/>
  <c r="D22" i="35"/>
  <c r="N94" i="26"/>
  <c r="P120" i="26"/>
  <c r="AZ115" i="26" s="1"/>
  <c r="AB120" i="26"/>
  <c r="BL115" i="26" s="1"/>
  <c r="S120" i="26"/>
  <c r="BC115" i="26" s="1"/>
  <c r="X136" i="26"/>
  <c r="S133" i="26"/>
  <c r="S138" i="26"/>
  <c r="X133" i="26"/>
  <c r="S107" i="26"/>
  <c r="S108" i="26"/>
  <c r="S109" i="26"/>
  <c r="S112" i="26"/>
  <c r="S110" i="26"/>
  <c r="S111" i="26"/>
  <c r="Z110" i="26"/>
  <c r="Z111" i="26"/>
  <c r="Z112" i="26"/>
  <c r="Z108" i="26"/>
  <c r="Z107" i="26"/>
  <c r="Z109" i="26"/>
  <c r="X108" i="26"/>
  <c r="X112" i="26"/>
  <c r="X109" i="26"/>
  <c r="X111" i="26"/>
  <c r="X110" i="26"/>
  <c r="X107" i="26"/>
  <c r="Y112" i="26"/>
  <c r="Y111" i="26"/>
  <c r="Y110" i="26"/>
  <c r="Y107" i="26"/>
  <c r="Y108" i="26"/>
  <c r="Y109" i="26"/>
  <c r="W111" i="26"/>
  <c r="W112" i="26"/>
  <c r="W109" i="26"/>
  <c r="W108" i="26"/>
  <c r="W110" i="26"/>
  <c r="W107" i="26"/>
  <c r="R110" i="26"/>
  <c r="R112" i="26"/>
  <c r="R108" i="26"/>
  <c r="R111" i="26"/>
  <c r="R109" i="26"/>
  <c r="R107" i="26"/>
  <c r="S136" i="26"/>
  <c r="X138" i="26"/>
  <c r="V112" i="26"/>
  <c r="V107" i="26"/>
  <c r="V108" i="26"/>
  <c r="V110" i="26"/>
  <c r="V111" i="26"/>
  <c r="V109" i="26"/>
  <c r="N110" i="26"/>
  <c r="N107" i="26"/>
  <c r="N108" i="26"/>
  <c r="N111" i="26"/>
  <c r="N112" i="26"/>
  <c r="N109" i="26"/>
  <c r="AA111" i="26"/>
  <c r="AA109" i="26"/>
  <c r="AA107" i="26"/>
  <c r="AA112" i="26"/>
  <c r="AA110" i="26"/>
  <c r="AA108" i="26"/>
  <c r="U110" i="26"/>
  <c r="U109" i="26"/>
  <c r="U112" i="26"/>
  <c r="U108" i="26"/>
  <c r="U107" i="26"/>
  <c r="U111" i="26"/>
  <c r="Q110" i="26"/>
  <c r="Q107" i="26"/>
  <c r="Q108" i="26"/>
  <c r="Q109" i="26"/>
  <c r="Q111" i="26"/>
  <c r="Q112" i="26"/>
  <c r="O111" i="26"/>
  <c r="O112" i="26"/>
  <c r="O110" i="26"/>
  <c r="O107" i="26"/>
  <c r="O109" i="26"/>
  <c r="O108" i="26"/>
  <c r="AB111" i="26"/>
  <c r="AB108" i="26"/>
  <c r="AB109" i="26"/>
  <c r="AB112" i="26"/>
  <c r="AB110" i="26"/>
  <c r="AB107" i="26"/>
  <c r="T110" i="26"/>
  <c r="T108" i="26"/>
  <c r="T109" i="26"/>
  <c r="T112" i="26"/>
  <c r="T107" i="26"/>
  <c r="T111" i="26"/>
  <c r="P109" i="26"/>
  <c r="P111" i="26"/>
  <c r="P110" i="26"/>
  <c r="P108" i="26"/>
  <c r="P107" i="26"/>
  <c r="P112" i="26"/>
  <c r="T125" i="25"/>
  <c r="S137" i="26"/>
  <c r="T84" i="26"/>
  <c r="T79" i="26"/>
  <c r="T82" i="26"/>
  <c r="T83" i="26"/>
  <c r="T80" i="26"/>
  <c r="T81" i="26"/>
  <c r="Z149" i="26"/>
  <c r="O133" i="26"/>
  <c r="U136" i="26"/>
  <c r="X84" i="26"/>
  <c r="X81" i="26"/>
  <c r="X83" i="26"/>
  <c r="X82" i="26"/>
  <c r="X79" i="26"/>
  <c r="X80" i="26"/>
  <c r="Y81" i="26"/>
  <c r="Y79" i="26"/>
  <c r="Y83" i="26"/>
  <c r="Y84" i="26"/>
  <c r="Y82" i="26"/>
  <c r="Y80" i="26"/>
  <c r="R134" i="26"/>
  <c r="P81" i="26"/>
  <c r="P83" i="26"/>
  <c r="P79" i="26"/>
  <c r="P84" i="26"/>
  <c r="P80" i="26"/>
  <c r="P82" i="26"/>
  <c r="Q80" i="26"/>
  <c r="Q82" i="26"/>
  <c r="Q81" i="26"/>
  <c r="Q83" i="26"/>
  <c r="Q84" i="26"/>
  <c r="Q79" i="26"/>
  <c r="V133" i="26"/>
  <c r="X135" i="26"/>
  <c r="S81" i="26"/>
  <c r="S84" i="26"/>
  <c r="S79" i="26"/>
  <c r="S80" i="26"/>
  <c r="S82" i="26"/>
  <c r="S83" i="26"/>
  <c r="W80" i="26"/>
  <c r="W83" i="26"/>
  <c r="W84" i="26"/>
  <c r="W82" i="26"/>
  <c r="W79" i="26"/>
  <c r="W81" i="26"/>
  <c r="AB82" i="26"/>
  <c r="AB84" i="26"/>
  <c r="AB83" i="26"/>
  <c r="AB79" i="26"/>
  <c r="AB80" i="26"/>
  <c r="AB81" i="26"/>
  <c r="N83" i="26"/>
  <c r="N82" i="26"/>
  <c r="N80" i="26"/>
  <c r="N84" i="26"/>
  <c r="N81" i="26"/>
  <c r="AA133" i="26"/>
  <c r="X134" i="26"/>
  <c r="O137" i="26"/>
  <c r="O134" i="26"/>
  <c r="O138" i="26"/>
  <c r="O136" i="26"/>
  <c r="O135" i="26"/>
  <c r="U135" i="26"/>
  <c r="R137" i="26"/>
  <c r="R136" i="26"/>
  <c r="Q152" i="26"/>
  <c r="P150" i="26"/>
  <c r="T149" i="26"/>
  <c r="Y147" i="26"/>
  <c r="X152" i="26"/>
  <c r="X147" i="26"/>
  <c r="X150" i="26"/>
  <c r="X148" i="26"/>
  <c r="X149" i="26"/>
  <c r="X151" i="26"/>
  <c r="AB150" i="26"/>
  <c r="AB151" i="26"/>
  <c r="AB147" i="26"/>
  <c r="AB152" i="26"/>
  <c r="AB149" i="26"/>
  <c r="AB148" i="26"/>
  <c r="S148" i="26"/>
  <c r="S151" i="26"/>
  <c r="S149" i="26"/>
  <c r="S147" i="26"/>
  <c r="S152" i="26"/>
  <c r="S150" i="26"/>
  <c r="Q150" i="26"/>
  <c r="Z150" i="26"/>
  <c r="W147" i="26"/>
  <c r="W152" i="26"/>
  <c r="W148" i="26"/>
  <c r="W149" i="26"/>
  <c r="W151" i="26"/>
  <c r="W150" i="26"/>
  <c r="AS14" i="34" l="1"/>
  <c r="AQ14" i="34"/>
  <c r="AT14" i="34"/>
  <c r="AN14" i="34"/>
  <c r="AJ13" i="34"/>
  <c r="BB13" i="34" s="1"/>
  <c r="AP14" i="34"/>
  <c r="AO14" i="34"/>
  <c r="BG14" i="34" s="1"/>
  <c r="BG49" i="34" s="1"/>
  <c r="AR14" i="34"/>
  <c r="BJ14" i="34" s="1"/>
  <c r="BJ49" i="34" s="1"/>
  <c r="AH14" i="34"/>
  <c r="AK14" i="34"/>
  <c r="AM14" i="34"/>
  <c r="BI13" i="34"/>
  <c r="BK13" i="34"/>
  <c r="BC13" i="34"/>
  <c r="BH13" i="34"/>
  <c r="BJ13" i="34"/>
  <c r="BB16" i="26"/>
  <c r="BE16" i="26"/>
  <c r="BG16" i="26"/>
  <c r="BF16" i="26"/>
  <c r="AO23" i="34" s="1"/>
  <c r="BD16" i="26"/>
  <c r="BH16" i="26"/>
  <c r="BI16" i="26"/>
  <c r="AY16" i="26"/>
  <c r="BK16" i="26"/>
  <c r="AO22" i="34"/>
  <c r="BG22" i="34" s="1"/>
  <c r="AP18" i="34"/>
  <c r="BH18" i="34" s="1"/>
  <c r="AR22" i="34"/>
  <c r="BJ22" i="34" s="1"/>
  <c r="AM23" i="34"/>
  <c r="AP22" i="34"/>
  <c r="AJ18" i="34"/>
  <c r="BB18" i="34" s="1"/>
  <c r="AH22" i="34"/>
  <c r="AZ22" i="34" s="1"/>
  <c r="AK18" i="34"/>
  <c r="BC18" i="34" s="1"/>
  <c r="AS22" i="34"/>
  <c r="AT23" i="34"/>
  <c r="AN22" i="34"/>
  <c r="AU18" i="34"/>
  <c r="AQ23" i="34"/>
  <c r="AT18" i="34"/>
  <c r="BL18" i="34" s="1"/>
  <c r="AK22" i="34"/>
  <c r="BC22" i="34" s="1"/>
  <c r="AR23" i="34"/>
  <c r="AI18" i="34"/>
  <c r="AP23" i="34"/>
  <c r="AT22" i="34"/>
  <c r="BL22" i="34" s="1"/>
  <c r="AJ22" i="34"/>
  <c r="BB22" i="34" s="1"/>
  <c r="AR18" i="34"/>
  <c r="BJ18" i="34" s="1"/>
  <c r="AS18" i="34"/>
  <c r="BK18" i="34" s="1"/>
  <c r="AQ18" i="34"/>
  <c r="BI18" i="34" s="1"/>
  <c r="AK23" i="34"/>
  <c r="AJ23" i="34"/>
  <c r="AH23" i="34"/>
  <c r="BJ24" i="26"/>
  <c r="AS31" i="34" s="1"/>
  <c r="BK31" i="34" s="1"/>
  <c r="BK48" i="34" s="1"/>
  <c r="AO18" i="34"/>
  <c r="BF24" i="26"/>
  <c r="AO31" i="34" s="1"/>
  <c r="BG31" i="34" s="1"/>
  <c r="BG48" i="34" s="1"/>
  <c r="AS23" i="34"/>
  <c r="BG24" i="26"/>
  <c r="AP31" i="34" s="1"/>
  <c r="BH31" i="34" s="1"/>
  <c r="BH48" i="34" s="1"/>
  <c r="BH24" i="26"/>
  <c r="AQ31" i="34" s="1"/>
  <c r="BI31" i="34" s="1"/>
  <c r="BI48" i="34" s="1"/>
  <c r="BL24" i="26"/>
  <c r="AU31" i="34" s="1"/>
  <c r="BM31" i="34" s="1"/>
  <c r="BM48" i="34" s="1"/>
  <c r="BD24" i="26"/>
  <c r="AM31" i="34" s="1"/>
  <c r="BE31" i="34" s="1"/>
  <c r="BE48" i="34" s="1"/>
  <c r="BC24" i="26"/>
  <c r="AL31" i="34" s="1"/>
  <c r="BD31" i="34" s="1"/>
  <c r="BD48" i="34" s="1"/>
  <c r="BI24" i="26"/>
  <c r="AR31" i="34" s="1"/>
  <c r="BJ31" i="34" s="1"/>
  <c r="BJ48" i="34" s="1"/>
  <c r="AN23" i="34"/>
  <c r="BC9" i="26"/>
  <c r="AL14" i="34" s="1"/>
  <c r="AW86" i="26"/>
  <c r="AM22" i="34"/>
  <c r="BE22" i="34" s="1"/>
  <c r="AM18" i="34"/>
  <c r="AQ22" i="34"/>
  <c r="BI22" i="34" s="1"/>
  <c r="BA24" i="26"/>
  <c r="AJ31" i="34" s="1"/>
  <c r="BB31" i="34" s="1"/>
  <c r="BB48" i="34" s="1"/>
  <c r="BL9" i="26"/>
  <c r="AU14" i="34" s="1"/>
  <c r="AY6" i="26"/>
  <c r="AY12" i="26"/>
  <c r="AW46" i="26"/>
  <c r="AX13" i="26"/>
  <c r="AW13" i="26" s="1"/>
  <c r="AL18" i="34"/>
  <c r="BD18" i="34" s="1"/>
  <c r="BE12" i="26"/>
  <c r="BB24" i="26"/>
  <c r="AK31" i="34" s="1"/>
  <c r="BC31" i="34" s="1"/>
  <c r="BC48" i="34" s="1"/>
  <c r="AZ24" i="26"/>
  <c r="AI31" i="34" s="1"/>
  <c r="BA31" i="34" s="1"/>
  <c r="BA48" i="34" s="1"/>
  <c r="BK24" i="26"/>
  <c r="AT31" i="34" s="1"/>
  <c r="BL31" i="34" s="1"/>
  <c r="BL48" i="34" s="1"/>
  <c r="AY24" i="26"/>
  <c r="AH31" i="34" s="1"/>
  <c r="AZ31" i="34" s="1"/>
  <c r="AZ48" i="34" s="1"/>
  <c r="AZ9" i="26"/>
  <c r="AI14" i="34" s="1"/>
  <c r="BA14" i="34" s="1"/>
  <c r="BA49" i="34" s="1"/>
  <c r="BE24" i="26"/>
  <c r="AN31" i="34" s="1"/>
  <c r="BF31" i="34" s="1"/>
  <c r="BF48" i="34" s="1"/>
  <c r="R54" i="34"/>
  <c r="N54" i="34"/>
  <c r="W54" i="34"/>
  <c r="P54" i="34"/>
  <c r="U54" i="34"/>
  <c r="O54" i="34"/>
  <c r="S54" i="34"/>
  <c r="BJ21" i="34"/>
  <c r="BF21" i="34"/>
  <c r="BA21" i="34"/>
  <c r="T54" i="34"/>
  <c r="BB21" i="34"/>
  <c r="BE21" i="34"/>
  <c r="AX141" i="26"/>
  <c r="AW141" i="26" s="1"/>
  <c r="BM18" i="34"/>
  <c r="BA18" i="34"/>
  <c r="BH22" i="34"/>
  <c r="Y54" i="34"/>
  <c r="V54" i="34"/>
  <c r="AW87" i="26"/>
  <c r="AX115" i="26"/>
  <c r="AW115" i="26" s="1"/>
  <c r="BK22" i="34"/>
  <c r="BG18" i="34"/>
  <c r="BE18" i="34"/>
  <c r="X18" i="34"/>
  <c r="X19" i="34" s="1"/>
  <c r="BK14" i="34"/>
  <c r="BK49" i="34" s="1"/>
  <c r="Z54" i="34"/>
  <c r="Q54" i="34"/>
  <c r="X54" i="34"/>
  <c r="M54" i="34"/>
  <c r="BJ11" i="34"/>
  <c r="W132" i="34"/>
  <c r="BK11" i="34"/>
  <c r="X132" i="34"/>
  <c r="BI11" i="34"/>
  <c r="V132" i="34"/>
  <c r="BM11" i="34"/>
  <c r="Z132" i="34"/>
  <c r="BB11" i="34"/>
  <c r="O132" i="34"/>
  <c r="BG11" i="34"/>
  <c r="T132" i="34"/>
  <c r="BF11" i="34"/>
  <c r="S132" i="34"/>
  <c r="BE11" i="34"/>
  <c r="R132" i="34"/>
  <c r="BH11" i="34"/>
  <c r="U132" i="34"/>
  <c r="BC11" i="34"/>
  <c r="P132" i="34"/>
  <c r="BL11" i="34"/>
  <c r="Y132" i="34"/>
  <c r="BA11" i="34"/>
  <c r="N132" i="34"/>
  <c r="BF12" i="34"/>
  <c r="BE12" i="34"/>
  <c r="BJ12" i="34"/>
  <c r="BA12" i="34"/>
  <c r="BC12" i="34"/>
  <c r="BH12" i="34"/>
  <c r="BB12" i="34"/>
  <c r="BM12" i="34"/>
  <c r="BG12" i="34"/>
  <c r="BL12" i="34"/>
  <c r="BI12" i="34"/>
  <c r="O18" i="34"/>
  <c r="Z18" i="34"/>
  <c r="T18" i="34"/>
  <c r="Y18" i="34"/>
  <c r="V18" i="34"/>
  <c r="S18" i="34"/>
  <c r="R18" i="34"/>
  <c r="W18" i="34"/>
  <c r="X36" i="34"/>
  <c r="N18" i="34"/>
  <c r="P18" i="34"/>
  <c r="U18" i="34"/>
  <c r="BE14" i="34"/>
  <c r="BE49" i="34" s="1"/>
  <c r="BC14" i="34"/>
  <c r="BC49" i="34" s="1"/>
  <c r="BF14" i="34"/>
  <c r="BF49" i="34" s="1"/>
  <c r="BM14" i="34"/>
  <c r="BM49" i="34" s="1"/>
  <c r="BB14" i="34"/>
  <c r="BB49" i="34" s="1"/>
  <c r="Q18" i="34"/>
  <c r="BD11" i="34"/>
  <c r="BH14" i="34"/>
  <c r="BH49" i="34" s="1"/>
  <c r="BL14" i="34"/>
  <c r="BL49" i="34" s="1"/>
  <c r="BI14" i="34"/>
  <c r="BI49" i="34" s="1"/>
  <c r="AZ14" i="34"/>
  <c r="AZ49" i="34" s="1"/>
  <c r="BF22" i="34"/>
  <c r="S120" i="34"/>
  <c r="S122" i="34" s="1"/>
  <c r="S108" i="34"/>
  <c r="S48" i="34"/>
  <c r="S12" i="34"/>
  <c r="S114" i="34"/>
  <c r="S42" i="34"/>
  <c r="S126" i="34"/>
  <c r="S66" i="34"/>
  <c r="BE31" i="26"/>
  <c r="AW59" i="26"/>
  <c r="AW73" i="26"/>
  <c r="AK121" i="26"/>
  <c r="AK32" i="26" s="1"/>
  <c r="BC113" i="26"/>
  <c r="BC16" i="26" s="1"/>
  <c r="BC114" i="26"/>
  <c r="BC15" i="26" s="1"/>
  <c r="BI31" i="26"/>
  <c r="AH121" i="26"/>
  <c r="AZ113" i="26"/>
  <c r="AZ16" i="26" s="1"/>
  <c r="AZ114" i="26"/>
  <c r="AZ15" i="26" s="1"/>
  <c r="AX140" i="26"/>
  <c r="AX139" i="26"/>
  <c r="BG31" i="26"/>
  <c r="BH31" i="26"/>
  <c r="AY31" i="26"/>
  <c r="AW71" i="26"/>
  <c r="AF121" i="26"/>
  <c r="AX113" i="26"/>
  <c r="AX16" i="26" s="1"/>
  <c r="AX114" i="26"/>
  <c r="AX15" i="26" s="1"/>
  <c r="BA31" i="26"/>
  <c r="AW58" i="26"/>
  <c r="BF31" i="26"/>
  <c r="BD31" i="26"/>
  <c r="AW72" i="26"/>
  <c r="AT121" i="26"/>
  <c r="BL114" i="26"/>
  <c r="BL15" i="26" s="1"/>
  <c r="BL113" i="26"/>
  <c r="BL16" i="26" s="1"/>
  <c r="AW154" i="26"/>
  <c r="BB31" i="26"/>
  <c r="BK31" i="26"/>
  <c r="BJ31" i="26"/>
  <c r="AW127" i="26"/>
  <c r="AE52" i="26"/>
  <c r="N151" i="26"/>
  <c r="AF147" i="26"/>
  <c r="N148" i="26"/>
  <c r="N150" i="26"/>
  <c r="N152" i="26"/>
  <c r="N149" i="26"/>
  <c r="N147" i="26"/>
  <c r="S22" i="35"/>
  <c r="AE107" i="26"/>
  <c r="AB126" i="26"/>
  <c r="AB125" i="26"/>
  <c r="AB121" i="26"/>
  <c r="AB122" i="26"/>
  <c r="AB123" i="26"/>
  <c r="AB124" i="26"/>
  <c r="U123" i="26"/>
  <c r="U126" i="26"/>
  <c r="U121" i="26"/>
  <c r="U125" i="26"/>
  <c r="U124" i="26"/>
  <c r="U122" i="26"/>
  <c r="O126" i="26"/>
  <c r="O121" i="26"/>
  <c r="O122" i="26"/>
  <c r="O123" i="26"/>
  <c r="O124" i="26"/>
  <c r="O125" i="26"/>
  <c r="AA126" i="26"/>
  <c r="AA123" i="26"/>
  <c r="AA121" i="26"/>
  <c r="AA124" i="26"/>
  <c r="AA122" i="26"/>
  <c r="AA125" i="26"/>
  <c r="P126" i="26"/>
  <c r="P124" i="26"/>
  <c r="P122" i="26"/>
  <c r="P123" i="26"/>
  <c r="P125" i="26"/>
  <c r="P121" i="26"/>
  <c r="S122" i="26"/>
  <c r="S123" i="26"/>
  <c r="S125" i="26"/>
  <c r="S126" i="26"/>
  <c r="S121" i="26"/>
  <c r="S124" i="26"/>
  <c r="V121" i="26"/>
  <c r="V123" i="26"/>
  <c r="V122" i="26"/>
  <c r="V126" i="26"/>
  <c r="V125" i="26"/>
  <c r="V124" i="26"/>
  <c r="T124" i="26"/>
  <c r="T125" i="26"/>
  <c r="T121" i="26"/>
  <c r="T122" i="26"/>
  <c r="T126" i="26"/>
  <c r="T123" i="26"/>
  <c r="W125" i="26"/>
  <c r="W123" i="26"/>
  <c r="W126" i="26"/>
  <c r="W121" i="26"/>
  <c r="W124" i="26"/>
  <c r="W122" i="26"/>
  <c r="X124" i="26"/>
  <c r="X121" i="26"/>
  <c r="X125" i="26"/>
  <c r="X123" i="26"/>
  <c r="X122" i="26"/>
  <c r="X126" i="26"/>
  <c r="AP32" i="26"/>
  <c r="Q124" i="26"/>
  <c r="Q123" i="26"/>
  <c r="Q122" i="26"/>
  <c r="Q121" i="26"/>
  <c r="Q126" i="26"/>
  <c r="Q125" i="26"/>
  <c r="Y126" i="26"/>
  <c r="Y125" i="26"/>
  <c r="Y124" i="26"/>
  <c r="Y121" i="26"/>
  <c r="Y122" i="26"/>
  <c r="Y123" i="26"/>
  <c r="N124" i="26"/>
  <c r="N122" i="26"/>
  <c r="N121" i="26"/>
  <c r="N126" i="26"/>
  <c r="N123" i="26"/>
  <c r="N125" i="26"/>
  <c r="R121" i="26"/>
  <c r="R124" i="26"/>
  <c r="R125" i="26"/>
  <c r="R123" i="26"/>
  <c r="R122" i="26"/>
  <c r="R126" i="26"/>
  <c r="Z123" i="26"/>
  <c r="Z125" i="26"/>
  <c r="Z126" i="26"/>
  <c r="Z121" i="26"/>
  <c r="Z122" i="26"/>
  <c r="Z124" i="26"/>
  <c r="AA135" i="26"/>
  <c r="P147" i="26"/>
  <c r="AA134" i="26"/>
  <c r="V135" i="26"/>
  <c r="P148" i="26"/>
  <c r="Z147" i="26"/>
  <c r="AA136" i="26"/>
  <c r="AA138" i="26"/>
  <c r="V134" i="26"/>
  <c r="V136" i="26"/>
  <c r="R138" i="26"/>
  <c r="R133" i="26"/>
  <c r="U133" i="26"/>
  <c r="U137" i="26"/>
  <c r="O83" i="26"/>
  <c r="O81" i="26"/>
  <c r="O82" i="26"/>
  <c r="O80" i="26"/>
  <c r="O79" i="26"/>
  <c r="O84" i="26"/>
  <c r="P149" i="26"/>
  <c r="Z148" i="26"/>
  <c r="Z152" i="26"/>
  <c r="Q147" i="26"/>
  <c r="AA137" i="26"/>
  <c r="V138" i="26"/>
  <c r="V137" i="26"/>
  <c r="R135" i="26"/>
  <c r="U138" i="26"/>
  <c r="U134" i="26"/>
  <c r="P152" i="26"/>
  <c r="Z151" i="26"/>
  <c r="AA79" i="26"/>
  <c r="AA83" i="26"/>
  <c r="AA80" i="26"/>
  <c r="AA82" i="26"/>
  <c r="AA81" i="26"/>
  <c r="AA84" i="26"/>
  <c r="V84" i="26"/>
  <c r="V83" i="26"/>
  <c r="V82" i="26"/>
  <c r="V79" i="26"/>
  <c r="V81" i="26"/>
  <c r="V80" i="26"/>
  <c r="R79" i="26"/>
  <c r="R82" i="26"/>
  <c r="R84" i="26"/>
  <c r="R81" i="26"/>
  <c r="R83" i="26"/>
  <c r="R80" i="26"/>
  <c r="U79" i="26"/>
  <c r="U81" i="26"/>
  <c r="U84" i="26"/>
  <c r="U83" i="26"/>
  <c r="U82" i="26"/>
  <c r="U80" i="26"/>
  <c r="Z82" i="26"/>
  <c r="Z84" i="26"/>
  <c r="Z81" i="26"/>
  <c r="Z80" i="26"/>
  <c r="Z79" i="26"/>
  <c r="Z83" i="26"/>
  <c r="Q148" i="26"/>
  <c r="Q151" i="26"/>
  <c r="T150" i="26"/>
  <c r="N135" i="26"/>
  <c r="N136" i="26"/>
  <c r="N133" i="26"/>
  <c r="N138" i="26"/>
  <c r="N134" i="26"/>
  <c r="N137" i="26"/>
  <c r="W138" i="26"/>
  <c r="W134" i="26"/>
  <c r="W136" i="26"/>
  <c r="W135" i="26"/>
  <c r="W133" i="26"/>
  <c r="W137" i="26"/>
  <c r="Y137" i="26"/>
  <c r="Y133" i="26"/>
  <c r="Y134" i="26"/>
  <c r="Y138" i="26"/>
  <c r="Y135" i="26"/>
  <c r="Y136" i="26"/>
  <c r="Z135" i="26"/>
  <c r="Z133" i="26"/>
  <c r="Z137" i="26"/>
  <c r="Z134" i="26"/>
  <c r="Z136" i="26"/>
  <c r="Z138" i="26"/>
  <c r="Q136" i="26"/>
  <c r="Q134" i="26"/>
  <c r="Q135" i="26"/>
  <c r="Q137" i="26"/>
  <c r="Q138" i="26"/>
  <c r="Q133" i="26"/>
  <c r="AB133" i="26"/>
  <c r="AB134" i="26"/>
  <c r="AB137" i="26"/>
  <c r="AB135" i="26"/>
  <c r="AB136" i="26"/>
  <c r="AB138" i="26"/>
  <c r="T136" i="26"/>
  <c r="T138" i="26"/>
  <c r="T133" i="26"/>
  <c r="T135" i="26"/>
  <c r="T134" i="26"/>
  <c r="T137" i="26"/>
  <c r="Q149" i="26"/>
  <c r="P134" i="26"/>
  <c r="P138" i="26"/>
  <c r="P137" i="26"/>
  <c r="P135" i="26"/>
  <c r="P133" i="26"/>
  <c r="P136" i="26"/>
  <c r="T148" i="26"/>
  <c r="P151" i="26"/>
  <c r="Y152" i="26"/>
  <c r="T152" i="26"/>
  <c r="T151" i="26"/>
  <c r="Y148" i="26"/>
  <c r="T147" i="26"/>
  <c r="Y151" i="26"/>
  <c r="V150" i="26"/>
  <c r="V152" i="26"/>
  <c r="V151" i="26"/>
  <c r="V149" i="26"/>
  <c r="V147" i="26"/>
  <c r="V148" i="26"/>
  <c r="Y149" i="26"/>
  <c r="O147" i="26"/>
  <c r="O148" i="26"/>
  <c r="O150" i="26"/>
  <c r="O149" i="26"/>
  <c r="O152" i="26"/>
  <c r="O151" i="26"/>
  <c r="R150" i="26"/>
  <c r="R148" i="26"/>
  <c r="R151" i="26"/>
  <c r="R152" i="26"/>
  <c r="R149" i="26"/>
  <c r="R147" i="26"/>
  <c r="Y150" i="26"/>
  <c r="U150" i="26"/>
  <c r="U149" i="26"/>
  <c r="U151" i="26"/>
  <c r="U148" i="26"/>
  <c r="U147" i="26"/>
  <c r="U152" i="26"/>
  <c r="AA150" i="26"/>
  <c r="AA147" i="26"/>
  <c r="AA151" i="26"/>
  <c r="AA152" i="26"/>
  <c r="AA148" i="26"/>
  <c r="AA149" i="26"/>
  <c r="AL13" i="34" l="1"/>
  <c r="BD13" i="34" s="1"/>
  <c r="AU13" i="34"/>
  <c r="BM13" i="34" s="1"/>
  <c r="AI13" i="34"/>
  <c r="BA13" i="34" s="1"/>
  <c r="BH47" i="34"/>
  <c r="BB47" i="34"/>
  <c r="BJ47" i="34"/>
  <c r="BC47" i="34"/>
  <c r="BG47" i="34"/>
  <c r="BE47" i="34"/>
  <c r="BL47" i="34"/>
  <c r="BF47" i="34"/>
  <c r="BI47" i="34"/>
  <c r="S72" i="34"/>
  <c r="S75" i="34" s="1"/>
  <c r="AL23" i="34"/>
  <c r="BD23" i="34" s="1"/>
  <c r="AU23" i="34"/>
  <c r="BM23" i="34" s="1"/>
  <c r="AI23" i="34"/>
  <c r="BA23" i="34" s="1"/>
  <c r="AL22" i="34"/>
  <c r="BD22" i="34" s="1"/>
  <c r="BD47" i="34" s="1"/>
  <c r="AX9" i="26"/>
  <c r="AU22" i="34"/>
  <c r="BM22" i="34" s="1"/>
  <c r="BM47" i="34" s="1"/>
  <c r="AN18" i="34"/>
  <c r="S90" i="34" s="1"/>
  <c r="S93" i="34" s="1"/>
  <c r="AH18" i="34"/>
  <c r="AZ18" i="34" s="1"/>
  <c r="AI22" i="34"/>
  <c r="AH11" i="34"/>
  <c r="AZ11" i="34" s="1"/>
  <c r="Y60" i="34"/>
  <c r="Y63" i="34" s="1"/>
  <c r="R60" i="34"/>
  <c r="R64" i="34" s="1"/>
  <c r="M60" i="34"/>
  <c r="M61" i="34" s="1"/>
  <c r="U60" i="34"/>
  <c r="U62" i="34" s="1"/>
  <c r="V60" i="34"/>
  <c r="V64" i="34" s="1"/>
  <c r="P60" i="34"/>
  <c r="P61" i="34" s="1"/>
  <c r="T60" i="34"/>
  <c r="T63" i="34" s="1"/>
  <c r="O60" i="34"/>
  <c r="O62" i="34" s="1"/>
  <c r="S60" i="34"/>
  <c r="S61" i="34" s="1"/>
  <c r="W60" i="34"/>
  <c r="W64" i="34" s="1"/>
  <c r="X60" i="34"/>
  <c r="X61" i="34" s="1"/>
  <c r="BK12" i="34"/>
  <c r="BK47" i="34" s="1"/>
  <c r="BF23" i="34"/>
  <c r="BK23" i="34"/>
  <c r="BG23" i="34"/>
  <c r="BL23" i="34"/>
  <c r="BI23" i="34"/>
  <c r="BH23" i="34"/>
  <c r="BJ23" i="34"/>
  <c r="BE23" i="34"/>
  <c r="AZ23" i="34"/>
  <c r="BB23" i="34"/>
  <c r="BC23" i="34"/>
  <c r="M132" i="34"/>
  <c r="S135" i="34"/>
  <c r="S134" i="34"/>
  <c r="S133" i="34"/>
  <c r="S136" i="34"/>
  <c r="P19" i="34"/>
  <c r="X21" i="34"/>
  <c r="R21" i="34"/>
  <c r="V19" i="34"/>
  <c r="T22" i="34"/>
  <c r="O19" i="34"/>
  <c r="S30" i="34"/>
  <c r="S34" i="34" s="1"/>
  <c r="U36" i="34"/>
  <c r="U37" i="34" s="1"/>
  <c r="N36" i="34"/>
  <c r="N38" i="34" s="1"/>
  <c r="W36" i="34"/>
  <c r="W39" i="34" s="1"/>
  <c r="S36" i="34"/>
  <c r="S40" i="34" s="1"/>
  <c r="Y36" i="34"/>
  <c r="Y37" i="34" s="1"/>
  <c r="Z36" i="34"/>
  <c r="Z39" i="34" s="1"/>
  <c r="BD14" i="34"/>
  <c r="BD49" i="34" s="1"/>
  <c r="Q36" i="34"/>
  <c r="U19" i="34"/>
  <c r="N20" i="34"/>
  <c r="W21" i="34"/>
  <c r="S21" i="34"/>
  <c r="Y20" i="34"/>
  <c r="Z19" i="34"/>
  <c r="P36" i="34"/>
  <c r="P40" i="34" s="1"/>
  <c r="R36" i="34"/>
  <c r="R37" i="34" s="1"/>
  <c r="V36" i="34"/>
  <c r="V38" i="34" s="1"/>
  <c r="T36" i="34"/>
  <c r="T39" i="34" s="1"/>
  <c r="O36" i="34"/>
  <c r="O37" i="34" s="1"/>
  <c r="V21" i="34"/>
  <c r="V20" i="34"/>
  <c r="T19" i="34"/>
  <c r="O22" i="34"/>
  <c r="M36" i="34"/>
  <c r="M38" i="34" s="1"/>
  <c r="AZ12" i="34"/>
  <c r="W22" i="34"/>
  <c r="P21" i="34"/>
  <c r="R20" i="34"/>
  <c r="T21" i="34"/>
  <c r="O21" i="34"/>
  <c r="S22" i="34"/>
  <c r="Y22" i="34"/>
  <c r="N22" i="34"/>
  <c r="S20" i="34"/>
  <c r="Y21" i="34"/>
  <c r="N21" i="34"/>
  <c r="Z22" i="34"/>
  <c r="P22" i="34"/>
  <c r="W20" i="34"/>
  <c r="Z20" i="34"/>
  <c r="U22" i="34"/>
  <c r="S19" i="34"/>
  <c r="Z21" i="34"/>
  <c r="Y19" i="34"/>
  <c r="W19" i="34"/>
  <c r="N19" i="34"/>
  <c r="U21" i="34"/>
  <c r="U20" i="34"/>
  <c r="V22" i="34"/>
  <c r="T20" i="34"/>
  <c r="O20" i="34"/>
  <c r="R22" i="34"/>
  <c r="X22" i="34"/>
  <c r="Z37" i="34"/>
  <c r="X40" i="34"/>
  <c r="X39" i="34"/>
  <c r="X37" i="34"/>
  <c r="X38" i="34"/>
  <c r="P20" i="34"/>
  <c r="R19" i="34"/>
  <c r="X20" i="34"/>
  <c r="Q21" i="34"/>
  <c r="Q20" i="34"/>
  <c r="Q19" i="34"/>
  <c r="Q22" i="34"/>
  <c r="M18" i="34"/>
  <c r="S64" i="34"/>
  <c r="S56" i="34"/>
  <c r="S121" i="34"/>
  <c r="S123" i="34"/>
  <c r="S124" i="34"/>
  <c r="Y126" i="34"/>
  <c r="Y114" i="34"/>
  <c r="Y90" i="34"/>
  <c r="Y66" i="34"/>
  <c r="Y42" i="34"/>
  <c r="Y108" i="34"/>
  <c r="Y72" i="34"/>
  <c r="Y30" i="34"/>
  <c r="Y120" i="34"/>
  <c r="Y48" i="34"/>
  <c r="Y12" i="34"/>
  <c r="S109" i="34"/>
  <c r="S110" i="34"/>
  <c r="S111" i="34"/>
  <c r="S112" i="34"/>
  <c r="T120" i="34"/>
  <c r="T108" i="34"/>
  <c r="T72" i="34"/>
  <c r="T48" i="34"/>
  <c r="T30" i="34"/>
  <c r="T114" i="34"/>
  <c r="T90" i="34"/>
  <c r="T42" i="34"/>
  <c r="T126" i="34"/>
  <c r="T66" i="34"/>
  <c r="T12" i="34"/>
  <c r="P120" i="34"/>
  <c r="P108" i="34"/>
  <c r="P72" i="34"/>
  <c r="P48" i="34"/>
  <c r="P30" i="34"/>
  <c r="P126" i="34"/>
  <c r="P66" i="34"/>
  <c r="P114" i="34"/>
  <c r="P90" i="34"/>
  <c r="P42" i="34"/>
  <c r="P12" i="34"/>
  <c r="Q126" i="34"/>
  <c r="Q114" i="34"/>
  <c r="Q90" i="34"/>
  <c r="Q66" i="34"/>
  <c r="Q42" i="34"/>
  <c r="Q108" i="34"/>
  <c r="Q72" i="34"/>
  <c r="Q12" i="34"/>
  <c r="Q120" i="34"/>
  <c r="Q48" i="34"/>
  <c r="Q30" i="34"/>
  <c r="V126" i="34"/>
  <c r="V114" i="34"/>
  <c r="V90" i="34"/>
  <c r="V66" i="34"/>
  <c r="V42" i="34"/>
  <c r="V12" i="34"/>
  <c r="V120" i="34"/>
  <c r="V48" i="34"/>
  <c r="V108" i="34"/>
  <c r="V72" i="34"/>
  <c r="V30" i="34"/>
  <c r="X120" i="34"/>
  <c r="X108" i="34"/>
  <c r="X72" i="34"/>
  <c r="X48" i="34"/>
  <c r="X30" i="34"/>
  <c r="X126" i="34"/>
  <c r="X66" i="34"/>
  <c r="X12" i="34"/>
  <c r="X114" i="34"/>
  <c r="X90" i="34"/>
  <c r="X42" i="34"/>
  <c r="S68" i="34"/>
  <c r="S69" i="34"/>
  <c r="S67" i="34"/>
  <c r="S70" i="34"/>
  <c r="S43" i="34"/>
  <c r="S45" i="34"/>
  <c r="S44" i="34"/>
  <c r="S46" i="34"/>
  <c r="S50" i="34"/>
  <c r="S49" i="34"/>
  <c r="S51" i="34"/>
  <c r="S52" i="34"/>
  <c r="U126" i="34"/>
  <c r="U114" i="34"/>
  <c r="U90" i="34"/>
  <c r="U66" i="34"/>
  <c r="U42" i="34"/>
  <c r="U30" i="34"/>
  <c r="U120" i="34"/>
  <c r="U48" i="34"/>
  <c r="U12" i="34"/>
  <c r="U108" i="34"/>
  <c r="U72" i="34"/>
  <c r="W120" i="34"/>
  <c r="W108" i="34"/>
  <c r="W72" i="34"/>
  <c r="W48" i="34"/>
  <c r="W126" i="34"/>
  <c r="W66" i="34"/>
  <c r="W12" i="34"/>
  <c r="W30" i="34"/>
  <c r="W114" i="34"/>
  <c r="W90" i="34"/>
  <c r="W42" i="34"/>
  <c r="R126" i="34"/>
  <c r="R114" i="34"/>
  <c r="R90" i="34"/>
  <c r="R66" i="34"/>
  <c r="R42" i="34"/>
  <c r="R12" i="34"/>
  <c r="R108" i="34"/>
  <c r="R72" i="34"/>
  <c r="R120" i="34"/>
  <c r="R48" i="34"/>
  <c r="R30" i="34"/>
  <c r="Z126" i="34"/>
  <c r="Z114" i="34"/>
  <c r="Z90" i="34"/>
  <c r="Z66" i="34"/>
  <c r="Z42" i="34"/>
  <c r="Z12" i="34"/>
  <c r="Z108" i="34"/>
  <c r="Z72" i="34"/>
  <c r="Z30" i="34"/>
  <c r="Z120" i="34"/>
  <c r="Z48" i="34"/>
  <c r="O120" i="34"/>
  <c r="O108" i="34"/>
  <c r="O72" i="34"/>
  <c r="O48" i="34"/>
  <c r="O30" i="34"/>
  <c r="O126" i="34"/>
  <c r="O66" i="34"/>
  <c r="O114" i="34"/>
  <c r="O90" i="34"/>
  <c r="O42" i="34"/>
  <c r="O12" i="34"/>
  <c r="N126" i="34"/>
  <c r="N114" i="34"/>
  <c r="N90" i="34"/>
  <c r="N66" i="34"/>
  <c r="N42" i="34"/>
  <c r="N12" i="34"/>
  <c r="N120" i="34"/>
  <c r="N48" i="34"/>
  <c r="N30" i="34"/>
  <c r="N108" i="34"/>
  <c r="N72" i="34"/>
  <c r="S129" i="34"/>
  <c r="S128" i="34"/>
  <c r="S127" i="34"/>
  <c r="S130" i="34"/>
  <c r="S115" i="34"/>
  <c r="S117" i="34"/>
  <c r="S116" i="34"/>
  <c r="S118" i="34"/>
  <c r="S74" i="34"/>
  <c r="S55" i="34"/>
  <c r="S57" i="34"/>
  <c r="S58" i="34"/>
  <c r="BG5" i="26"/>
  <c r="BJ5" i="26"/>
  <c r="BD5" i="26"/>
  <c r="BE5" i="26"/>
  <c r="BB5" i="26"/>
  <c r="BH5" i="26"/>
  <c r="BA5" i="26"/>
  <c r="BI5" i="26"/>
  <c r="BK5" i="26"/>
  <c r="AW114" i="26"/>
  <c r="BF5" i="26"/>
  <c r="AW113" i="26"/>
  <c r="BL31" i="26"/>
  <c r="AZ31" i="26"/>
  <c r="AW8" i="26"/>
  <c r="AW14" i="26"/>
  <c r="L54" i="34"/>
  <c r="BL5" i="26"/>
  <c r="AY5" i="26"/>
  <c r="AW140" i="26"/>
  <c r="AW22" i="26"/>
  <c r="S13" i="34"/>
  <c r="S16" i="34"/>
  <c r="S14" i="34"/>
  <c r="S15" i="34"/>
  <c r="BC31" i="26"/>
  <c r="AW24" i="26"/>
  <c r="BC5" i="26"/>
  <c r="AW139" i="26"/>
  <c r="AZ5" i="26"/>
  <c r="AE121" i="26"/>
  <c r="AT32" i="26"/>
  <c r="AO32" i="26"/>
  <c r="AN32" i="26"/>
  <c r="AI32" i="26"/>
  <c r="AS32" i="26"/>
  <c r="AE79" i="26"/>
  <c r="AJ32" i="26"/>
  <c r="AH32" i="26"/>
  <c r="AM32" i="26"/>
  <c r="AG32" i="26"/>
  <c r="AR32" i="26"/>
  <c r="AE133" i="26"/>
  <c r="AQ32" i="26"/>
  <c r="AL32" i="26"/>
  <c r="AE147" i="26"/>
  <c r="AZ47" i="34" l="1"/>
  <c r="Y61" i="34"/>
  <c r="S76" i="34"/>
  <c r="M63" i="34"/>
  <c r="S73" i="34"/>
  <c r="V63" i="34"/>
  <c r="R61" i="34"/>
  <c r="BF18" i="34"/>
  <c r="R62" i="34"/>
  <c r="Y62" i="34"/>
  <c r="R63" i="34"/>
  <c r="Y64" i="34"/>
  <c r="M64" i="34"/>
  <c r="V62" i="34"/>
  <c r="W96" i="34"/>
  <c r="W98" i="34" s="1"/>
  <c r="U61" i="34"/>
  <c r="O61" i="34"/>
  <c r="U64" i="34"/>
  <c r="U63" i="34"/>
  <c r="M62" i="34"/>
  <c r="S63" i="34"/>
  <c r="V61" i="34"/>
  <c r="S62" i="34"/>
  <c r="W62" i="34"/>
  <c r="X96" i="34"/>
  <c r="X97" i="34" s="1"/>
  <c r="P64" i="34"/>
  <c r="T61" i="34"/>
  <c r="P63" i="34"/>
  <c r="W37" i="34"/>
  <c r="N96" i="34"/>
  <c r="N100" i="34" s="1"/>
  <c r="V96" i="34"/>
  <c r="V98" i="34" s="1"/>
  <c r="W63" i="34"/>
  <c r="W61" i="34"/>
  <c r="P62" i="34"/>
  <c r="W38" i="34"/>
  <c r="T96" i="34"/>
  <c r="T98" i="34" s="1"/>
  <c r="T62" i="34"/>
  <c r="O38" i="34"/>
  <c r="P38" i="34"/>
  <c r="U96" i="34"/>
  <c r="U99" i="34" s="1"/>
  <c r="Y96" i="34"/>
  <c r="Y99" i="34" s="1"/>
  <c r="O64" i="34"/>
  <c r="O96" i="34"/>
  <c r="O97" i="34" s="1"/>
  <c r="Z96" i="34"/>
  <c r="Z97" i="34" s="1"/>
  <c r="T64" i="34"/>
  <c r="O63" i="34"/>
  <c r="Q60" i="34"/>
  <c r="Q64" i="34" s="1"/>
  <c r="X63" i="34"/>
  <c r="X64" i="34"/>
  <c r="X62" i="34"/>
  <c r="P39" i="34"/>
  <c r="N40" i="34"/>
  <c r="Q96" i="34"/>
  <c r="Q98" i="34" s="1"/>
  <c r="S96" i="34"/>
  <c r="S97" i="34" s="1"/>
  <c r="N60" i="34"/>
  <c r="N63" i="34" s="1"/>
  <c r="P96" i="34"/>
  <c r="P98" i="34" s="1"/>
  <c r="Z38" i="34"/>
  <c r="N39" i="34"/>
  <c r="T38" i="34"/>
  <c r="Z40" i="34"/>
  <c r="N37" i="34"/>
  <c r="T40" i="34"/>
  <c r="S33" i="34"/>
  <c r="R96" i="34"/>
  <c r="R97" i="34" s="1"/>
  <c r="Z60" i="34"/>
  <c r="BA22" i="34"/>
  <c r="BA47" i="34" s="1"/>
  <c r="T37" i="34"/>
  <c r="O39" i="34"/>
  <c r="AY23" i="34"/>
  <c r="AX23" i="34" s="1"/>
  <c r="AF23" i="34"/>
  <c r="AW9" i="26"/>
  <c r="S32" i="34"/>
  <c r="S31" i="34"/>
  <c r="S39" i="34"/>
  <c r="R38" i="34"/>
  <c r="Y39" i="34"/>
  <c r="V40" i="34"/>
  <c r="S38" i="34"/>
  <c r="U38" i="34"/>
  <c r="R40" i="34"/>
  <c r="W135" i="34"/>
  <c r="W134" i="34"/>
  <c r="W133" i="34"/>
  <c r="W136" i="34"/>
  <c r="N136" i="34"/>
  <c r="N134" i="34"/>
  <c r="N133" i="34"/>
  <c r="N135" i="34"/>
  <c r="Z136" i="34"/>
  <c r="Z135" i="34"/>
  <c r="Z134" i="34"/>
  <c r="Z133" i="34"/>
  <c r="R136" i="34"/>
  <c r="R135" i="34"/>
  <c r="R134" i="34"/>
  <c r="R133" i="34"/>
  <c r="V136" i="34"/>
  <c r="V133" i="34"/>
  <c r="V135" i="34"/>
  <c r="V134" i="34"/>
  <c r="Q136" i="34"/>
  <c r="Q135" i="34"/>
  <c r="Q134" i="34"/>
  <c r="Q133" i="34"/>
  <c r="Y40" i="34"/>
  <c r="S37" i="34"/>
  <c r="R39" i="34"/>
  <c r="T135" i="34"/>
  <c r="T134" i="34"/>
  <c r="T133" i="34"/>
  <c r="T136" i="34"/>
  <c r="U134" i="34"/>
  <c r="U136" i="34"/>
  <c r="U135" i="34"/>
  <c r="U133" i="34"/>
  <c r="Y136" i="34"/>
  <c r="Y133" i="34"/>
  <c r="Y135" i="34"/>
  <c r="Y134" i="34"/>
  <c r="V37" i="34"/>
  <c r="U39" i="34"/>
  <c r="O135" i="34"/>
  <c r="O134" i="34"/>
  <c r="O133" i="34"/>
  <c r="O136" i="34"/>
  <c r="X135" i="34"/>
  <c r="X134" i="34"/>
  <c r="X133" i="34"/>
  <c r="X136" i="34"/>
  <c r="P135" i="34"/>
  <c r="P134" i="34"/>
  <c r="P133" i="34"/>
  <c r="P136" i="34"/>
  <c r="V39" i="34"/>
  <c r="P37" i="34"/>
  <c r="Y38" i="34"/>
  <c r="W40" i="34"/>
  <c r="U40" i="34"/>
  <c r="O40" i="34"/>
  <c r="Q40" i="34"/>
  <c r="Q39" i="34"/>
  <c r="Q37" i="34"/>
  <c r="Q38" i="34"/>
  <c r="M37" i="34"/>
  <c r="M39" i="34"/>
  <c r="M40" i="34"/>
  <c r="N34" i="34"/>
  <c r="O31" i="34"/>
  <c r="U32" i="34"/>
  <c r="X34" i="34"/>
  <c r="P32" i="34"/>
  <c r="T33" i="34"/>
  <c r="Z33" i="34"/>
  <c r="W32" i="34"/>
  <c r="R33" i="34"/>
  <c r="V32" i="34"/>
  <c r="Q33" i="34"/>
  <c r="Y33" i="34"/>
  <c r="M21" i="34"/>
  <c r="M20" i="34"/>
  <c r="M19" i="34"/>
  <c r="M22" i="34"/>
  <c r="W57" i="34"/>
  <c r="Q55" i="34"/>
  <c r="O57" i="34"/>
  <c r="U56" i="34"/>
  <c r="P55" i="34"/>
  <c r="Z56" i="34"/>
  <c r="X58" i="34"/>
  <c r="T58" i="34"/>
  <c r="N55" i="34"/>
  <c r="R56" i="34"/>
  <c r="V58" i="34"/>
  <c r="Y56" i="34"/>
  <c r="N76" i="34"/>
  <c r="W75" i="34"/>
  <c r="V74" i="34"/>
  <c r="Y76" i="34"/>
  <c r="Q74" i="34"/>
  <c r="P73" i="34"/>
  <c r="Z76" i="34"/>
  <c r="X76" i="34"/>
  <c r="T73" i="34"/>
  <c r="O73" i="34"/>
  <c r="U76" i="34"/>
  <c r="R76" i="34"/>
  <c r="AY31" i="34"/>
  <c r="AY48" i="34" s="1"/>
  <c r="AX48" i="34" s="1"/>
  <c r="AY29" i="34"/>
  <c r="AX29" i="34" s="1"/>
  <c r="AY21" i="34"/>
  <c r="AX21" i="34" s="1"/>
  <c r="P93" i="34"/>
  <c r="T93" i="34"/>
  <c r="X92" i="34"/>
  <c r="O94" i="34"/>
  <c r="N91" i="34"/>
  <c r="Z93" i="34"/>
  <c r="W94" i="34"/>
  <c r="Q91" i="34"/>
  <c r="R91" i="34"/>
  <c r="U92" i="34"/>
  <c r="V91" i="34"/>
  <c r="Y91" i="34"/>
  <c r="Q94" i="34"/>
  <c r="Q93" i="34"/>
  <c r="P57" i="34"/>
  <c r="T34" i="34"/>
  <c r="P56" i="34"/>
  <c r="Y31" i="34"/>
  <c r="Z32" i="34"/>
  <c r="U91" i="34"/>
  <c r="X55" i="34"/>
  <c r="Q73" i="34"/>
  <c r="X93" i="34"/>
  <c r="Q75" i="34"/>
  <c r="W93" i="34"/>
  <c r="T92" i="34"/>
  <c r="O56" i="34"/>
  <c r="V73" i="34"/>
  <c r="R92" i="34"/>
  <c r="Y92" i="34"/>
  <c r="Z31" i="34"/>
  <c r="V76" i="34"/>
  <c r="R93" i="34"/>
  <c r="V92" i="34"/>
  <c r="R94" i="34"/>
  <c r="Y93" i="34"/>
  <c r="Q92" i="34"/>
  <c r="Z91" i="34"/>
  <c r="Y73" i="34"/>
  <c r="N92" i="34"/>
  <c r="Q76" i="34"/>
  <c r="N94" i="34"/>
  <c r="W91" i="34"/>
  <c r="X73" i="34"/>
  <c r="U74" i="34"/>
  <c r="X91" i="34"/>
  <c r="T91" i="34"/>
  <c r="Z92" i="34"/>
  <c r="W92" i="34"/>
  <c r="X94" i="34"/>
  <c r="U73" i="34"/>
  <c r="U75" i="34"/>
  <c r="W55" i="34"/>
  <c r="U31" i="34"/>
  <c r="X57" i="34"/>
  <c r="X75" i="34"/>
  <c r="O34" i="34"/>
  <c r="U34" i="34"/>
  <c r="T74" i="34"/>
  <c r="O91" i="34"/>
  <c r="O55" i="34"/>
  <c r="X56" i="34"/>
  <c r="W76" i="34"/>
  <c r="N75" i="34"/>
  <c r="P94" i="34"/>
  <c r="O93" i="34"/>
  <c r="P92" i="34"/>
  <c r="W56" i="34"/>
  <c r="O33" i="34"/>
  <c r="X74" i="34"/>
  <c r="T55" i="34"/>
  <c r="T56" i="34"/>
  <c r="R75" i="34"/>
  <c r="Z75" i="34"/>
  <c r="Z74" i="34"/>
  <c r="Z94" i="34"/>
  <c r="N93" i="34"/>
  <c r="X33" i="34"/>
  <c r="P58" i="34"/>
  <c r="V31" i="34"/>
  <c r="V33" i="34"/>
  <c r="P75" i="34"/>
  <c r="T32" i="34"/>
  <c r="O76" i="34"/>
  <c r="U55" i="34"/>
  <c r="V34" i="34"/>
  <c r="Y34" i="34"/>
  <c r="R74" i="34"/>
  <c r="W31" i="34"/>
  <c r="Y74" i="34"/>
  <c r="P76" i="34"/>
  <c r="Y55" i="34"/>
  <c r="W34" i="34"/>
  <c r="Y57" i="34"/>
  <c r="R31" i="34"/>
  <c r="R32" i="34"/>
  <c r="O74" i="34"/>
  <c r="R58" i="34"/>
  <c r="T31" i="34"/>
  <c r="Y32" i="34"/>
  <c r="W33" i="34"/>
  <c r="X32" i="34"/>
  <c r="Y94" i="34"/>
  <c r="W74" i="34"/>
  <c r="T57" i="34"/>
  <c r="R34" i="34"/>
  <c r="T94" i="34"/>
  <c r="W73" i="34"/>
  <c r="U33" i="34"/>
  <c r="R73" i="34"/>
  <c r="X31" i="34"/>
  <c r="V75" i="34"/>
  <c r="Y75" i="34"/>
  <c r="T76" i="34"/>
  <c r="W58" i="34"/>
  <c r="U94" i="34"/>
  <c r="Z34" i="34"/>
  <c r="V94" i="34"/>
  <c r="P91" i="34"/>
  <c r="T75" i="34"/>
  <c r="O92" i="34"/>
  <c r="O58" i="34"/>
  <c r="N33" i="34"/>
  <c r="Z73" i="34"/>
  <c r="M126" i="34"/>
  <c r="M114" i="34"/>
  <c r="M90" i="34"/>
  <c r="M93" i="34" s="1"/>
  <c r="M66" i="34"/>
  <c r="M42" i="34"/>
  <c r="M12" i="34"/>
  <c r="M120" i="34"/>
  <c r="M96" i="34"/>
  <c r="M98" i="34" s="1"/>
  <c r="M48" i="34"/>
  <c r="M30" i="34"/>
  <c r="M108" i="34"/>
  <c r="M72" i="34"/>
  <c r="N32" i="34"/>
  <c r="N68" i="34"/>
  <c r="N67" i="34"/>
  <c r="N69" i="34"/>
  <c r="N70" i="34"/>
  <c r="N127" i="34"/>
  <c r="N128" i="34"/>
  <c r="N129" i="34"/>
  <c r="N130" i="34"/>
  <c r="O44" i="34"/>
  <c r="O43" i="34"/>
  <c r="O45" i="34"/>
  <c r="O46" i="34"/>
  <c r="Z121" i="34"/>
  <c r="Z123" i="34"/>
  <c r="Z124" i="34"/>
  <c r="Z122" i="34"/>
  <c r="R124" i="34"/>
  <c r="R121" i="34"/>
  <c r="R123" i="34"/>
  <c r="R122" i="34"/>
  <c r="R45" i="34"/>
  <c r="R43" i="34"/>
  <c r="R44" i="34"/>
  <c r="R46" i="34"/>
  <c r="R115" i="34"/>
  <c r="R116" i="34"/>
  <c r="R117" i="34"/>
  <c r="R118" i="34"/>
  <c r="W45" i="34"/>
  <c r="W44" i="34"/>
  <c r="W43" i="34"/>
  <c r="W46" i="34"/>
  <c r="W49" i="34"/>
  <c r="W50" i="34"/>
  <c r="W51" i="34"/>
  <c r="W52" i="34"/>
  <c r="W122" i="34"/>
  <c r="W124" i="34"/>
  <c r="W121" i="34"/>
  <c r="W123" i="34"/>
  <c r="U111" i="34"/>
  <c r="U110" i="34"/>
  <c r="U109" i="34"/>
  <c r="U112" i="34"/>
  <c r="U123" i="34"/>
  <c r="U122" i="34"/>
  <c r="U121" i="34"/>
  <c r="U124" i="34"/>
  <c r="X117" i="34"/>
  <c r="X116" i="34"/>
  <c r="X115" i="34"/>
  <c r="X118" i="34"/>
  <c r="X129" i="34"/>
  <c r="X128" i="34"/>
  <c r="X127" i="34"/>
  <c r="X130" i="34"/>
  <c r="V49" i="34"/>
  <c r="V50" i="34"/>
  <c r="V51" i="34"/>
  <c r="V52" i="34"/>
  <c r="V44" i="34"/>
  <c r="V45" i="34"/>
  <c r="V43" i="34"/>
  <c r="V46" i="34"/>
  <c r="V115" i="34"/>
  <c r="V117" i="34"/>
  <c r="V116" i="34"/>
  <c r="V118" i="34"/>
  <c r="Q67" i="34"/>
  <c r="Q68" i="34"/>
  <c r="Q69" i="34"/>
  <c r="Q70" i="34"/>
  <c r="Q128" i="34"/>
  <c r="Q127" i="34"/>
  <c r="Q129" i="34"/>
  <c r="Q130" i="34"/>
  <c r="P44" i="34"/>
  <c r="P45" i="34"/>
  <c r="P43" i="34"/>
  <c r="P46" i="34"/>
  <c r="T117" i="34"/>
  <c r="T115" i="34"/>
  <c r="T116" i="34"/>
  <c r="T118" i="34"/>
  <c r="Y123" i="34"/>
  <c r="Y121" i="34"/>
  <c r="Y124" i="34"/>
  <c r="Y122" i="34"/>
  <c r="Y45" i="34"/>
  <c r="Y44" i="34"/>
  <c r="Y43" i="34"/>
  <c r="Y46" i="34"/>
  <c r="Y115" i="34"/>
  <c r="Y117" i="34"/>
  <c r="Y116" i="34"/>
  <c r="Y118" i="34"/>
  <c r="Q32" i="34"/>
  <c r="Y58" i="34"/>
  <c r="Q34" i="34"/>
  <c r="O32" i="34"/>
  <c r="N73" i="34"/>
  <c r="U58" i="34"/>
  <c r="U57" i="34"/>
  <c r="V93" i="34"/>
  <c r="R55" i="34"/>
  <c r="P33" i="34"/>
  <c r="P34" i="34"/>
  <c r="N109" i="34"/>
  <c r="N111" i="34"/>
  <c r="N110" i="34"/>
  <c r="N112" i="34"/>
  <c r="N121" i="34"/>
  <c r="N122" i="34"/>
  <c r="N123" i="34"/>
  <c r="N124" i="34"/>
  <c r="O128" i="34"/>
  <c r="O127" i="34"/>
  <c r="O129" i="34"/>
  <c r="O130" i="34"/>
  <c r="Z45" i="34"/>
  <c r="Z44" i="34"/>
  <c r="Z43" i="34"/>
  <c r="Z46" i="34"/>
  <c r="Z115" i="34"/>
  <c r="Z116" i="34"/>
  <c r="Z117" i="34"/>
  <c r="Z118" i="34"/>
  <c r="R69" i="34"/>
  <c r="R67" i="34"/>
  <c r="R68" i="34"/>
  <c r="R70" i="34"/>
  <c r="R127" i="34"/>
  <c r="R128" i="34"/>
  <c r="R129" i="34"/>
  <c r="R130" i="34"/>
  <c r="W69" i="34"/>
  <c r="W68" i="34"/>
  <c r="W67" i="34"/>
  <c r="W70" i="34"/>
  <c r="X111" i="34"/>
  <c r="X109" i="34"/>
  <c r="X110" i="34"/>
  <c r="X112" i="34"/>
  <c r="V67" i="34"/>
  <c r="V68" i="34"/>
  <c r="V69" i="34"/>
  <c r="V70" i="34"/>
  <c r="V129" i="34"/>
  <c r="V128" i="34"/>
  <c r="V127" i="34"/>
  <c r="V130" i="34"/>
  <c r="Q51" i="34"/>
  <c r="Q50" i="34"/>
  <c r="Q49" i="34"/>
  <c r="Q52" i="34"/>
  <c r="P127" i="34"/>
  <c r="P128" i="34"/>
  <c r="P129" i="34"/>
  <c r="P130" i="34"/>
  <c r="T127" i="34"/>
  <c r="T128" i="34"/>
  <c r="T129" i="34"/>
  <c r="T130" i="34"/>
  <c r="T109" i="34"/>
  <c r="T111" i="34"/>
  <c r="T110" i="34"/>
  <c r="T112" i="34"/>
  <c r="Y67" i="34"/>
  <c r="Y68" i="34"/>
  <c r="Y69" i="34"/>
  <c r="Y70" i="34"/>
  <c r="Y129" i="34"/>
  <c r="Y128" i="34"/>
  <c r="Y127" i="34"/>
  <c r="Y130" i="34"/>
  <c r="O117" i="34"/>
  <c r="O115" i="34"/>
  <c r="O116" i="34"/>
  <c r="O118" i="34"/>
  <c r="O109" i="34"/>
  <c r="O110" i="34"/>
  <c r="O111" i="34"/>
  <c r="O112" i="34"/>
  <c r="Z50" i="34"/>
  <c r="Z49" i="34"/>
  <c r="Z51" i="34"/>
  <c r="Z52" i="34"/>
  <c r="Z67" i="34"/>
  <c r="Z68" i="34"/>
  <c r="Z69" i="34"/>
  <c r="Z70" i="34"/>
  <c r="Z128" i="34"/>
  <c r="Z127" i="34"/>
  <c r="Z129" i="34"/>
  <c r="Z130" i="34"/>
  <c r="R49" i="34"/>
  <c r="R51" i="34"/>
  <c r="R50" i="34"/>
  <c r="R52" i="34"/>
  <c r="R109" i="34"/>
  <c r="R111" i="34"/>
  <c r="R110" i="34"/>
  <c r="R112" i="34"/>
  <c r="W115" i="34"/>
  <c r="W116" i="34"/>
  <c r="W117" i="34"/>
  <c r="W118" i="34"/>
  <c r="U49" i="34"/>
  <c r="U51" i="34"/>
  <c r="U50" i="34"/>
  <c r="U52" i="34"/>
  <c r="U44" i="34"/>
  <c r="U43" i="34"/>
  <c r="U45" i="34"/>
  <c r="U46" i="34"/>
  <c r="U116" i="34"/>
  <c r="U115" i="34"/>
  <c r="U117" i="34"/>
  <c r="U118" i="34"/>
  <c r="X43" i="34"/>
  <c r="X45" i="34"/>
  <c r="X44" i="34"/>
  <c r="X46" i="34"/>
  <c r="X69" i="34"/>
  <c r="X67" i="34"/>
  <c r="X68" i="34"/>
  <c r="X70" i="34"/>
  <c r="X50" i="34"/>
  <c r="X49" i="34"/>
  <c r="X51" i="34"/>
  <c r="X52" i="34"/>
  <c r="X121" i="34"/>
  <c r="X123" i="34"/>
  <c r="X124" i="34"/>
  <c r="X122" i="34"/>
  <c r="V121" i="34"/>
  <c r="V123" i="34"/>
  <c r="V124" i="34"/>
  <c r="V122" i="34"/>
  <c r="Q111" i="34"/>
  <c r="Q110" i="34"/>
  <c r="Q109" i="34"/>
  <c r="Q112" i="34"/>
  <c r="P117" i="34"/>
  <c r="P115" i="34"/>
  <c r="P116" i="34"/>
  <c r="P118" i="34"/>
  <c r="P109" i="34"/>
  <c r="P110" i="34"/>
  <c r="P111" i="34"/>
  <c r="P112" i="34"/>
  <c r="T44" i="34"/>
  <c r="T43" i="34"/>
  <c r="T45" i="34"/>
  <c r="T46" i="34"/>
  <c r="T51" i="34"/>
  <c r="T49" i="34"/>
  <c r="T50" i="34"/>
  <c r="T52" i="34"/>
  <c r="T122" i="34"/>
  <c r="T124" i="34"/>
  <c r="T121" i="34"/>
  <c r="T123" i="34"/>
  <c r="Y49" i="34"/>
  <c r="Y51" i="34"/>
  <c r="Y50" i="34"/>
  <c r="Y52" i="34"/>
  <c r="P74" i="34"/>
  <c r="P31" i="34"/>
  <c r="N74" i="34"/>
  <c r="V55" i="34"/>
  <c r="R57" i="34"/>
  <c r="V57" i="34"/>
  <c r="N31" i="34"/>
  <c r="Q31" i="34"/>
  <c r="V56" i="34"/>
  <c r="O75" i="34"/>
  <c r="U93" i="34"/>
  <c r="N49" i="34"/>
  <c r="N51" i="34"/>
  <c r="N50" i="34"/>
  <c r="N52" i="34"/>
  <c r="N43" i="34"/>
  <c r="N44" i="34"/>
  <c r="N45" i="34"/>
  <c r="N46" i="34"/>
  <c r="N117" i="34"/>
  <c r="N115" i="34"/>
  <c r="N116" i="34"/>
  <c r="N118" i="34"/>
  <c r="O69" i="34"/>
  <c r="O68" i="34"/>
  <c r="O67" i="34"/>
  <c r="O70" i="34"/>
  <c r="O51" i="34"/>
  <c r="O49" i="34"/>
  <c r="O50" i="34"/>
  <c r="O52" i="34"/>
  <c r="O122" i="34"/>
  <c r="O121" i="34"/>
  <c r="O124" i="34"/>
  <c r="O123" i="34"/>
  <c r="Z111" i="34"/>
  <c r="Z110" i="34"/>
  <c r="Z109" i="34"/>
  <c r="Z112" i="34"/>
  <c r="W128" i="34"/>
  <c r="W129" i="34"/>
  <c r="W127" i="34"/>
  <c r="W130" i="34"/>
  <c r="W109" i="34"/>
  <c r="W110" i="34"/>
  <c r="W111" i="34"/>
  <c r="W112" i="34"/>
  <c r="U69" i="34"/>
  <c r="U67" i="34"/>
  <c r="U68" i="34"/>
  <c r="U70" i="34"/>
  <c r="U128" i="34"/>
  <c r="U127" i="34"/>
  <c r="U129" i="34"/>
  <c r="U130" i="34"/>
  <c r="V110" i="34"/>
  <c r="V109" i="34"/>
  <c r="V111" i="34"/>
  <c r="V112" i="34"/>
  <c r="Q122" i="34"/>
  <c r="Q124" i="34"/>
  <c r="Q123" i="34"/>
  <c r="Q121" i="34"/>
  <c r="Q45" i="34"/>
  <c r="Q43" i="34"/>
  <c r="Q44" i="34"/>
  <c r="Q46" i="34"/>
  <c r="Q115" i="34"/>
  <c r="Q117" i="34"/>
  <c r="Q116" i="34"/>
  <c r="Q118" i="34"/>
  <c r="P69" i="34"/>
  <c r="P68" i="34"/>
  <c r="P67" i="34"/>
  <c r="P70" i="34"/>
  <c r="P51" i="34"/>
  <c r="P50" i="34"/>
  <c r="P49" i="34"/>
  <c r="P52" i="34"/>
  <c r="P124" i="34"/>
  <c r="P122" i="34"/>
  <c r="P121" i="34"/>
  <c r="P123" i="34"/>
  <c r="T69" i="34"/>
  <c r="T67" i="34"/>
  <c r="T68" i="34"/>
  <c r="T70" i="34"/>
  <c r="Y110" i="34"/>
  <c r="Y109" i="34"/>
  <c r="Y111" i="34"/>
  <c r="Y112" i="34"/>
  <c r="N58" i="34"/>
  <c r="Y98" i="34"/>
  <c r="N56" i="34"/>
  <c r="Q58" i="34"/>
  <c r="N57" i="34"/>
  <c r="Q56" i="34"/>
  <c r="Z55" i="34"/>
  <c r="S94" i="34"/>
  <c r="Q57" i="34"/>
  <c r="W99" i="34"/>
  <c r="Y100" i="34"/>
  <c r="S91" i="34"/>
  <c r="Z57" i="34"/>
  <c r="Z58" i="34"/>
  <c r="X100" i="34"/>
  <c r="S92" i="34"/>
  <c r="AW15" i="26"/>
  <c r="X14" i="34"/>
  <c r="X15" i="34"/>
  <c r="X13" i="34"/>
  <c r="X16" i="34"/>
  <c r="Y16" i="34"/>
  <c r="Y13" i="34"/>
  <c r="Y14" i="34"/>
  <c r="Y15" i="34"/>
  <c r="U16" i="34"/>
  <c r="U13" i="34"/>
  <c r="U14" i="34"/>
  <c r="U15" i="34"/>
  <c r="W14" i="34"/>
  <c r="W15" i="34"/>
  <c r="W16" i="34"/>
  <c r="W13" i="34"/>
  <c r="Q16" i="34"/>
  <c r="Q13" i="34"/>
  <c r="Q14" i="34"/>
  <c r="Q15" i="34"/>
  <c r="AF31" i="34"/>
  <c r="P16" i="34"/>
  <c r="P15" i="34"/>
  <c r="P13" i="34"/>
  <c r="P14" i="34"/>
  <c r="AW16" i="26"/>
  <c r="AF21" i="34"/>
  <c r="AF29" i="34"/>
  <c r="R13" i="34"/>
  <c r="R16" i="34"/>
  <c r="R14" i="34"/>
  <c r="R15" i="34"/>
  <c r="Z16" i="34"/>
  <c r="Z15" i="34"/>
  <c r="Z13" i="34"/>
  <c r="Z14" i="34"/>
  <c r="N14" i="34"/>
  <c r="N16" i="34"/>
  <c r="N13" i="34"/>
  <c r="N15" i="34"/>
  <c r="O14" i="34"/>
  <c r="O15" i="34"/>
  <c r="O16" i="34"/>
  <c r="O13" i="34"/>
  <c r="T14" i="34"/>
  <c r="T15" i="34"/>
  <c r="T16" i="34"/>
  <c r="T13" i="34"/>
  <c r="V16" i="34"/>
  <c r="V14" i="34"/>
  <c r="V15" i="34"/>
  <c r="V13" i="34"/>
  <c r="W100" i="34" l="1"/>
  <c r="W97" i="34"/>
  <c r="Q97" i="34"/>
  <c r="Q99" i="34"/>
  <c r="Y97" i="34"/>
  <c r="X99" i="34"/>
  <c r="X98" i="34"/>
  <c r="S98" i="34"/>
  <c r="N99" i="34"/>
  <c r="S99" i="34"/>
  <c r="R99" i="34"/>
  <c r="U97" i="34"/>
  <c r="T97" i="34"/>
  <c r="V100" i="34"/>
  <c r="V99" i="34"/>
  <c r="M94" i="34"/>
  <c r="V97" i="34"/>
  <c r="S100" i="34"/>
  <c r="N97" i="34"/>
  <c r="N98" i="34"/>
  <c r="U98" i="34"/>
  <c r="R100" i="34"/>
  <c r="P100" i="34"/>
  <c r="Z100" i="34"/>
  <c r="T100" i="34"/>
  <c r="R98" i="34"/>
  <c r="T99" i="34"/>
  <c r="U100" i="34"/>
  <c r="O100" i="34"/>
  <c r="O99" i="34"/>
  <c r="Q61" i="34"/>
  <c r="O98" i="34"/>
  <c r="Q100" i="34"/>
  <c r="Q63" i="34"/>
  <c r="Q62" i="34"/>
  <c r="Z98" i="34"/>
  <c r="P99" i="34"/>
  <c r="Z99" i="34"/>
  <c r="P97" i="34"/>
  <c r="N61" i="34"/>
  <c r="N64" i="34"/>
  <c r="N62" i="34"/>
  <c r="Z61" i="34"/>
  <c r="Z64" i="34"/>
  <c r="Z62" i="34"/>
  <c r="Z63" i="34"/>
  <c r="AF14" i="34"/>
  <c r="AY13" i="34"/>
  <c r="AX13" i="34" s="1"/>
  <c r="M136" i="34"/>
  <c r="M133" i="34"/>
  <c r="M135" i="34"/>
  <c r="M134" i="34"/>
  <c r="AY22" i="34"/>
  <c r="AX22" i="34" s="1"/>
  <c r="L60" i="34"/>
  <c r="AX31" i="34"/>
  <c r="M99" i="34"/>
  <c r="M97" i="34"/>
  <c r="M100" i="34"/>
  <c r="M51" i="34"/>
  <c r="M50" i="34"/>
  <c r="M49" i="34"/>
  <c r="M52" i="34"/>
  <c r="M44" i="34"/>
  <c r="M45" i="34"/>
  <c r="M43" i="34"/>
  <c r="M46" i="34"/>
  <c r="M115" i="34"/>
  <c r="M116" i="34"/>
  <c r="M117" i="34"/>
  <c r="M118" i="34"/>
  <c r="M74" i="34"/>
  <c r="M76" i="34"/>
  <c r="M73" i="34"/>
  <c r="M75" i="34"/>
  <c r="M67" i="34"/>
  <c r="M69" i="34"/>
  <c r="M68" i="34"/>
  <c r="M70" i="34"/>
  <c r="M128" i="34"/>
  <c r="M127" i="34"/>
  <c r="M129" i="34"/>
  <c r="M130" i="34"/>
  <c r="M109" i="34"/>
  <c r="M110" i="34"/>
  <c r="M111" i="34"/>
  <c r="M112" i="34"/>
  <c r="M121" i="34"/>
  <c r="M123" i="34"/>
  <c r="M124" i="34"/>
  <c r="M122" i="34"/>
  <c r="M92" i="34"/>
  <c r="M91" i="34"/>
  <c r="M56" i="34"/>
  <c r="M57" i="34"/>
  <c r="M58" i="34"/>
  <c r="M55" i="34"/>
  <c r="M34" i="34"/>
  <c r="M33" i="34"/>
  <c r="M32" i="34"/>
  <c r="M31" i="34"/>
  <c r="AF22" i="34"/>
  <c r="M13" i="34"/>
  <c r="M14" i="34"/>
  <c r="M15" i="34"/>
  <c r="M16" i="34"/>
  <c r="L63" i="34" l="1"/>
  <c r="L64" i="34"/>
  <c r="L61" i="34"/>
  <c r="L62" i="34"/>
  <c r="Y11" i="57"/>
  <c r="U11" i="57"/>
  <c r="Q11" i="57"/>
  <c r="M11" i="57"/>
  <c r="V11" i="57"/>
  <c r="X11" i="57"/>
  <c r="T11" i="57"/>
  <c r="P11" i="57"/>
  <c r="AA11" i="57"/>
  <c r="W11" i="57"/>
  <c r="S11" i="57"/>
  <c r="O11" i="57"/>
  <c r="Z11" i="57"/>
  <c r="R11" i="57"/>
  <c r="N11" i="57"/>
  <c r="K29" i="57" l="1"/>
  <c r="B139" i="14" s="1"/>
  <c r="AC11" i="57"/>
  <c r="V65" i="5"/>
  <c r="Z12" i="23" l="1"/>
  <c r="U12" i="23"/>
  <c r="O12" i="23"/>
  <c r="R12" i="23"/>
  <c r="Y12" i="23"/>
  <c r="T12" i="23"/>
  <c r="Q12" i="23"/>
  <c r="P12" i="23"/>
  <c r="S12" i="23"/>
  <c r="W12" i="23"/>
  <c r="N12" i="23"/>
  <c r="AA12" i="23"/>
  <c r="M12" i="23"/>
  <c r="V12" i="23"/>
  <c r="E6" i="5"/>
  <c r="V6" i="5" s="1"/>
  <c r="X12" i="23"/>
  <c r="AC12" i="23" l="1"/>
  <c r="M15" i="32"/>
  <c r="W17" i="7"/>
  <c r="Y17" i="7"/>
  <c r="V17" i="7"/>
  <c r="S17" i="7"/>
  <c r="T17" i="7"/>
  <c r="Z17" i="7"/>
  <c r="AA11" i="32"/>
  <c r="R11" i="32"/>
  <c r="W11" i="32"/>
  <c r="U11" i="32"/>
  <c r="N11" i="32"/>
  <c r="O11" i="32"/>
  <c r="P11" i="32"/>
  <c r="M11" i="32"/>
  <c r="N11" i="28"/>
  <c r="T11" i="56"/>
  <c r="W11" i="56"/>
  <c r="S11" i="56"/>
  <c r="R11" i="56"/>
  <c r="Z11" i="56"/>
  <c r="AA11" i="56"/>
  <c r="O11" i="56"/>
  <c r="M11" i="56"/>
  <c r="W13" i="7"/>
  <c r="S13" i="7"/>
  <c r="Q13" i="7"/>
  <c r="Y13" i="7"/>
  <c r="AA13" i="7"/>
  <c r="N13" i="7"/>
  <c r="T13" i="7"/>
  <c r="M13" i="7"/>
  <c r="S19" i="7"/>
  <c r="Z19" i="7"/>
  <c r="V19" i="7"/>
  <c r="W19" i="7"/>
  <c r="Y19" i="7"/>
  <c r="R19" i="7"/>
  <c r="O15" i="7"/>
  <c r="N13" i="28"/>
  <c r="O17" i="7"/>
  <c r="X17" i="7"/>
  <c r="N17" i="7"/>
  <c r="AA15" i="7"/>
  <c r="W15" i="7"/>
  <c r="Z15" i="7"/>
  <c r="V11" i="32"/>
  <c r="X11" i="32"/>
  <c r="Z11" i="23"/>
  <c r="U11" i="23"/>
  <c r="R11" i="23"/>
  <c r="S10" i="56"/>
  <c r="W10" i="56"/>
  <c r="Z10" i="56"/>
  <c r="P17" i="7"/>
  <c r="R17" i="7"/>
  <c r="U17" i="7"/>
  <c r="AA17" i="7"/>
  <c r="P15" i="7"/>
  <c r="R15" i="7"/>
  <c r="S15" i="7"/>
  <c r="S11" i="32"/>
  <c r="Y11" i="23"/>
  <c r="V11" i="23"/>
  <c r="Q11" i="23"/>
  <c r="N11" i="23"/>
  <c r="N10" i="56"/>
  <c r="V10" i="56"/>
  <c r="U10" i="56"/>
  <c r="R10" i="56"/>
  <c r="U11" i="1"/>
  <c r="P11" i="1"/>
  <c r="T11" i="1"/>
  <c r="V11" i="1"/>
  <c r="N11" i="25"/>
  <c r="P11" i="56"/>
  <c r="N11" i="56"/>
  <c r="P13" i="7"/>
  <c r="O13" i="7"/>
  <c r="U19" i="7"/>
  <c r="N11" i="26"/>
  <c r="U11" i="56"/>
  <c r="V13" i="7"/>
  <c r="U13" i="7"/>
  <c r="AA19" i="7"/>
  <c r="X19" i="7"/>
  <c r="Y15" i="7"/>
  <c r="X11" i="23"/>
  <c r="S11" i="23"/>
  <c r="T10" i="56"/>
  <c r="Y10" i="56"/>
  <c r="V11" i="56"/>
  <c r="P19" i="7"/>
  <c r="N15" i="7"/>
  <c r="O10" i="56"/>
  <c r="P10" i="56"/>
  <c r="AA11" i="1"/>
  <c r="S10" i="1"/>
  <c r="M10" i="56"/>
  <c r="Y11" i="56"/>
  <c r="Z13" i="7"/>
  <c r="O19" i="7"/>
  <c r="X15" i="7"/>
  <c r="U15" i="7"/>
  <c r="T11" i="32"/>
  <c r="W11" i="23"/>
  <c r="P11" i="23"/>
  <c r="R11" i="1"/>
  <c r="Z11" i="1"/>
  <c r="O11" i="1"/>
  <c r="W10" i="1"/>
  <c r="X10" i="1"/>
  <c r="P12" i="7"/>
  <c r="W12" i="7"/>
  <c r="AA12" i="7"/>
  <c r="O12" i="7"/>
  <c r="S12" i="7"/>
  <c r="Z12" i="7"/>
  <c r="X11" i="56"/>
  <c r="N19" i="7"/>
  <c r="O11" i="23"/>
  <c r="Q10" i="56"/>
  <c r="N11" i="1"/>
  <c r="U10" i="1"/>
  <c r="Z10" i="1"/>
  <c r="P10" i="1"/>
  <c r="O10" i="1"/>
  <c r="AA10" i="1"/>
  <c r="V10" i="1"/>
  <c r="Q10" i="1"/>
  <c r="AA10" i="32"/>
  <c r="X10" i="32"/>
  <c r="Q19" i="7"/>
  <c r="P16" i="7"/>
  <c r="Q11" i="32"/>
  <c r="Q17" i="7"/>
  <c r="U11" i="28"/>
  <c r="W11" i="28"/>
  <c r="X11" i="28"/>
  <c r="P11" i="28"/>
  <c r="V11" i="28"/>
  <c r="S11" i="28"/>
  <c r="E29" i="5"/>
  <c r="V29" i="5" s="1"/>
  <c r="Q11" i="56"/>
  <c r="T19" i="7"/>
  <c r="V15" i="7"/>
  <c r="Y11" i="32"/>
  <c r="AA11" i="23"/>
  <c r="X10" i="56"/>
  <c r="X11" i="1"/>
  <c r="Q11" i="1"/>
  <c r="AI122" i="1" s="1"/>
  <c r="AI119" i="1" s="1"/>
  <c r="AI118" i="1" s="1"/>
  <c r="T10" i="1"/>
  <c r="Y10" i="1"/>
  <c r="R10" i="1"/>
  <c r="T10" i="32"/>
  <c r="T12" i="7"/>
  <c r="R12" i="7"/>
  <c r="U12" i="7"/>
  <c r="Y12" i="7"/>
  <c r="E35" i="5"/>
  <c r="V35" i="5" s="1"/>
  <c r="M17" i="7"/>
  <c r="N16" i="7"/>
  <c r="V16" i="7"/>
  <c r="M12" i="7"/>
  <c r="Y13" i="28"/>
  <c r="T13" i="28"/>
  <c r="Z13" i="28"/>
  <c r="X13" i="7"/>
  <c r="N10" i="1"/>
  <c r="W10" i="32"/>
  <c r="O10" i="32"/>
  <c r="V12" i="7"/>
  <c r="E37" i="5"/>
  <c r="V37" i="5" s="1"/>
  <c r="M19" i="7"/>
  <c r="Q15" i="7"/>
  <c r="X16" i="7"/>
  <c r="Y16" i="7"/>
  <c r="W16" i="7"/>
  <c r="Z16" i="7"/>
  <c r="Q11" i="28"/>
  <c r="T11" i="28"/>
  <c r="AA11" i="28"/>
  <c r="O11" i="28"/>
  <c r="Q13" i="28"/>
  <c r="E28" i="5"/>
  <c r="V28" i="5" s="1"/>
  <c r="AA10" i="56"/>
  <c r="W11" i="1"/>
  <c r="Y10" i="32"/>
  <c r="V10" i="32"/>
  <c r="M15" i="7"/>
  <c r="S16" i="7"/>
  <c r="AA16" i="7"/>
  <c r="O16" i="7"/>
  <c r="M16" i="7"/>
  <c r="Y11" i="28"/>
  <c r="AB11" i="28"/>
  <c r="R11" i="28"/>
  <c r="E13" i="5"/>
  <c r="V13" i="5" s="1"/>
  <c r="Z11" i="28"/>
  <c r="Y10" i="4"/>
  <c r="AQ30" i="4" s="1"/>
  <c r="P11" i="50" s="1"/>
  <c r="S10" i="4"/>
  <c r="AK30" i="4" s="1"/>
  <c r="J11" i="50" s="1"/>
  <c r="V10" i="4"/>
  <c r="AN30" i="4" s="1"/>
  <c r="M11" i="50" s="1"/>
  <c r="T10" i="4"/>
  <c r="AL30" i="4" s="1"/>
  <c r="K11" i="50" s="1"/>
  <c r="AA10" i="4"/>
  <c r="AS30" i="4" s="1"/>
  <c r="R11" i="50" s="1"/>
  <c r="X10" i="4"/>
  <c r="AP30" i="4" s="1"/>
  <c r="O11" i="50" s="1"/>
  <c r="Q10" i="4"/>
  <c r="AI30" i="4" s="1"/>
  <c r="H11" i="50" s="1"/>
  <c r="E31" i="5"/>
  <c r="V31" i="5" s="1"/>
  <c r="R13" i="7"/>
  <c r="T11" i="23"/>
  <c r="Y11" i="1"/>
  <c r="AQ122" i="1" s="1"/>
  <c r="AQ119" i="1" s="1"/>
  <c r="AQ118" i="1" s="1"/>
  <c r="R10" i="32"/>
  <c r="X12" i="7"/>
  <c r="N10" i="32"/>
  <c r="T16" i="7"/>
  <c r="R16" i="7"/>
  <c r="AB13" i="28"/>
  <c r="X13" i="28"/>
  <c r="AA13" i="28"/>
  <c r="Q15" i="32"/>
  <c r="P15" i="32"/>
  <c r="Z15" i="32"/>
  <c r="AA10" i="55"/>
  <c r="E33" i="5"/>
  <c r="V33" i="5" s="1"/>
  <c r="T15" i="7"/>
  <c r="S11" i="1"/>
  <c r="AK122" i="1" s="1"/>
  <c r="AK119" i="1" s="1"/>
  <c r="AK118" i="1" s="1"/>
  <c r="U10" i="32"/>
  <c r="N12" i="7"/>
  <c r="R13" i="28"/>
  <c r="O13" i="28"/>
  <c r="W15" i="32"/>
  <c r="U15" i="32"/>
  <c r="S15" i="32"/>
  <c r="R15" i="32"/>
  <c r="S10" i="32"/>
  <c r="S35" i="32" s="1"/>
  <c r="E9" i="5"/>
  <c r="V9" i="5" s="1"/>
  <c r="M11" i="23"/>
  <c r="N18" i="7"/>
  <c r="P13" i="28"/>
  <c r="O15" i="32"/>
  <c r="W10" i="4"/>
  <c r="AO30" i="4" s="1"/>
  <c r="N11" i="50" s="1"/>
  <c r="Z10" i="4"/>
  <c r="Y10" i="55"/>
  <c r="O10" i="55"/>
  <c r="Q11" i="55"/>
  <c r="T11" i="55"/>
  <c r="S11" i="25"/>
  <c r="X11" i="25"/>
  <c r="O11" i="25"/>
  <c r="AA14" i="32"/>
  <c r="AA11" i="55"/>
  <c r="Y14" i="32"/>
  <c r="W10" i="55"/>
  <c r="E25" i="5"/>
  <c r="V25" i="5" s="1"/>
  <c r="Z11" i="32"/>
  <c r="U16" i="7"/>
  <c r="P10" i="32"/>
  <c r="E34" i="5"/>
  <c r="V34" i="5" s="1"/>
  <c r="Q16" i="7"/>
  <c r="S13" i="28"/>
  <c r="Y15" i="32"/>
  <c r="V15" i="32"/>
  <c r="X14" i="32"/>
  <c r="O18" i="7"/>
  <c r="R10" i="4"/>
  <c r="AJ30" i="4" s="1"/>
  <c r="I11" i="50" s="1"/>
  <c r="O10" i="4"/>
  <c r="AG30" i="4" s="1"/>
  <c r="F11" i="50" s="1"/>
  <c r="R17" i="1"/>
  <c r="Z17" i="1"/>
  <c r="AR100" i="1" s="1"/>
  <c r="AR97" i="1" s="1"/>
  <c r="AR96" i="1" s="1"/>
  <c r="R8" i="50" s="1"/>
  <c r="R10" i="55"/>
  <c r="X10" i="55"/>
  <c r="Z10" i="55"/>
  <c r="AB10" i="4"/>
  <c r="AT30" i="4" s="1"/>
  <c r="S11" i="50" s="1"/>
  <c r="N17" i="1"/>
  <c r="O17" i="1"/>
  <c r="X16" i="1"/>
  <c r="P16" i="1"/>
  <c r="AH47" i="1" s="1"/>
  <c r="AH44" i="1" s="1"/>
  <c r="AH43" i="1" s="1"/>
  <c r="H7" i="50" s="1"/>
  <c r="Y11" i="55"/>
  <c r="AB11" i="55"/>
  <c r="V11" i="25"/>
  <c r="P11" i="25"/>
  <c r="AA11" i="25"/>
  <c r="U11" i="25"/>
  <c r="S14" i="32"/>
  <c r="V14" i="32"/>
  <c r="N14" i="32"/>
  <c r="Q14" i="32"/>
  <c r="N15" i="1"/>
  <c r="Y15" i="1"/>
  <c r="U10" i="55"/>
  <c r="T10" i="55"/>
  <c r="T14" i="32"/>
  <c r="X11" i="55"/>
  <c r="Z10" i="32"/>
  <c r="W13" i="28"/>
  <c r="N15" i="32"/>
  <c r="T15" i="32"/>
  <c r="Q10" i="32"/>
  <c r="U10" i="4"/>
  <c r="AM30" i="4" s="1"/>
  <c r="L11" i="50" s="1"/>
  <c r="Y17" i="1"/>
  <c r="Y13" i="1"/>
  <c r="Z16" i="1"/>
  <c r="S17" i="1"/>
  <c r="Q13" i="1"/>
  <c r="AI111" i="1" s="1"/>
  <c r="AI108" i="1" s="1"/>
  <c r="AI107" i="1" s="1"/>
  <c r="I4" i="50" s="1"/>
  <c r="Q16" i="1"/>
  <c r="N16" i="1"/>
  <c r="AB10" i="55"/>
  <c r="Q10" i="55"/>
  <c r="O13" i="1"/>
  <c r="O16" i="1"/>
  <c r="V17" i="1"/>
  <c r="W17" i="1"/>
  <c r="AO100" i="1" s="1"/>
  <c r="AO97" i="1" s="1"/>
  <c r="AO96" i="1" s="1"/>
  <c r="O8" i="50" s="1"/>
  <c r="AA16" i="1"/>
  <c r="AS47" i="1" s="1"/>
  <c r="AS44" i="1" s="1"/>
  <c r="AS43" i="1" s="1"/>
  <c r="S7" i="50" s="1"/>
  <c r="X17" i="1"/>
  <c r="AP100" i="1" s="1"/>
  <c r="AP97" i="1" s="1"/>
  <c r="AP96" i="1" s="1"/>
  <c r="P8" i="50" s="1"/>
  <c r="W16" i="1"/>
  <c r="AO47" i="1" s="1"/>
  <c r="AO44" i="1" s="1"/>
  <c r="AO43" i="1" s="1"/>
  <c r="O7" i="50" s="1"/>
  <c r="R11" i="55"/>
  <c r="O11" i="55"/>
  <c r="Z11" i="25"/>
  <c r="AB11" i="25"/>
  <c r="W11" i="25"/>
  <c r="Z14" i="32"/>
  <c r="P14" i="32"/>
  <c r="U15" i="1"/>
  <c r="Q15" i="1"/>
  <c r="W15" i="1"/>
  <c r="X15" i="1"/>
  <c r="N10" i="4"/>
  <c r="S11" i="55"/>
  <c r="P11" i="55"/>
  <c r="X15" i="32"/>
  <c r="S16" i="1"/>
  <c r="Y16" i="1"/>
  <c r="W13" i="1"/>
  <c r="Q17" i="1"/>
  <c r="AI100" i="1" s="1"/>
  <c r="AI97" i="1" s="1"/>
  <c r="AI96" i="1" s="1"/>
  <c r="I8" i="50" s="1"/>
  <c r="N13" i="1"/>
  <c r="AF111" i="1" s="1"/>
  <c r="AF108" i="1" s="1"/>
  <c r="AF107" i="1" s="1"/>
  <c r="F4" i="50" s="1"/>
  <c r="Q11" i="25"/>
  <c r="R11" i="25"/>
  <c r="E24" i="5"/>
  <c r="V24" i="5" s="1"/>
  <c r="M10" i="32"/>
  <c r="O14" i="32"/>
  <c r="W14" i="32"/>
  <c r="S15" i="1"/>
  <c r="U13" i="28"/>
  <c r="O12" i="1"/>
  <c r="T16" i="1"/>
  <c r="P10" i="55"/>
  <c r="AA17" i="1"/>
  <c r="AS100" i="1" s="1"/>
  <c r="AS97" i="1" s="1"/>
  <c r="AS96" i="1" s="1"/>
  <c r="S8" i="50" s="1"/>
  <c r="X13" i="1"/>
  <c r="R16" i="1"/>
  <c r="AJ47" i="1" s="1"/>
  <c r="AJ44" i="1" s="1"/>
  <c r="AJ43" i="1" s="1"/>
  <c r="J7" i="50" s="1"/>
  <c r="U17" i="1"/>
  <c r="AM100" i="1" s="1"/>
  <c r="AM97" i="1" s="1"/>
  <c r="AM96" i="1" s="1"/>
  <c r="M8" i="50" s="1"/>
  <c r="U13" i="1"/>
  <c r="Z11" i="55"/>
  <c r="T11" i="25"/>
  <c r="O15" i="1"/>
  <c r="T15" i="1"/>
  <c r="P15" i="1"/>
  <c r="AH89" i="1" s="1"/>
  <c r="AH83" i="1" s="1"/>
  <c r="AH82" i="1" s="1"/>
  <c r="H6" i="50" s="1"/>
  <c r="U14" i="32"/>
  <c r="W11" i="55"/>
  <c r="E20" i="5"/>
  <c r="V20" i="5" s="1"/>
  <c r="M10" i="1"/>
  <c r="E11" i="5"/>
  <c r="V11" i="5" s="1"/>
  <c r="V13" i="28"/>
  <c r="E22" i="5"/>
  <c r="V22" i="5" s="1"/>
  <c r="P10" i="4"/>
  <c r="AH30" i="4" s="1"/>
  <c r="G11" i="50" s="1"/>
  <c r="T13" i="1"/>
  <c r="P17" i="1"/>
  <c r="T17" i="1"/>
  <c r="V13" i="1"/>
  <c r="V11" i="55"/>
  <c r="Z15" i="1"/>
  <c r="R15" i="1"/>
  <c r="AA15" i="1"/>
  <c r="S10" i="55"/>
  <c r="M14" i="32"/>
  <c r="P12" i="1"/>
  <c r="P14" i="7"/>
  <c r="R14" i="7"/>
  <c r="S12" i="1"/>
  <c r="N10" i="55"/>
  <c r="U12" i="1"/>
  <c r="AM58" i="1" s="1"/>
  <c r="AM54" i="1" s="1"/>
  <c r="M3" i="50" s="1"/>
  <c r="T12" i="1"/>
  <c r="V18" i="7"/>
  <c r="Y10" i="25"/>
  <c r="Z10" i="25"/>
  <c r="R10" i="25"/>
  <c r="AJ31" i="25" s="1"/>
  <c r="I10" i="50" s="1"/>
  <c r="O10" i="25"/>
  <c r="Z11" i="4"/>
  <c r="AR61" i="4" s="1"/>
  <c r="Q12" i="50" s="1"/>
  <c r="O11" i="4"/>
  <c r="AG61" i="4" s="1"/>
  <c r="F12" i="50" s="1"/>
  <c r="P11" i="4"/>
  <c r="AH61" i="4" s="1"/>
  <c r="G12" i="50" s="1"/>
  <c r="Y12" i="28"/>
  <c r="Z12" i="28"/>
  <c r="U11" i="4"/>
  <c r="AM61" i="4" s="1"/>
  <c r="L12" i="50" s="1"/>
  <c r="U11" i="26"/>
  <c r="Y11" i="26"/>
  <c r="O11" i="26"/>
  <c r="Q11" i="26"/>
  <c r="W11" i="26"/>
  <c r="Z11" i="26"/>
  <c r="R11" i="26"/>
  <c r="Z10" i="26"/>
  <c r="P10" i="26"/>
  <c r="W10" i="26"/>
  <c r="P18" i="7"/>
  <c r="R13" i="1"/>
  <c r="AJ111" i="1" s="1"/>
  <c r="AJ108" i="1" s="1"/>
  <c r="AJ107" i="1" s="1"/>
  <c r="J4" i="50" s="1"/>
  <c r="E16" i="5"/>
  <c r="V16" i="5" s="1"/>
  <c r="V10" i="55"/>
  <c r="E21" i="5"/>
  <c r="V21" i="5" s="1"/>
  <c r="M11" i="1"/>
  <c r="O14" i="7"/>
  <c r="Q12" i="1"/>
  <c r="Q14" i="7"/>
  <c r="V14" i="7"/>
  <c r="Y12" i="1"/>
  <c r="W18" i="7"/>
  <c r="X18" i="7"/>
  <c r="W10" i="25"/>
  <c r="AO31" i="25" s="1"/>
  <c r="N10" i="50" s="1"/>
  <c r="Y18" i="7"/>
  <c r="Z14" i="7"/>
  <c r="N10" i="25"/>
  <c r="AB11" i="4"/>
  <c r="AT61" i="4" s="1"/>
  <c r="S12" i="50" s="1"/>
  <c r="AA11" i="4"/>
  <c r="AS61" i="4" s="1"/>
  <c r="R12" i="50" s="1"/>
  <c r="Q10" i="28"/>
  <c r="AB10" i="28"/>
  <c r="S10" i="28"/>
  <c r="U10" i="28"/>
  <c r="U12" i="28"/>
  <c r="V12" i="28"/>
  <c r="X11" i="4"/>
  <c r="AP61" i="4" s="1"/>
  <c r="O12" i="50" s="1"/>
  <c r="P12" i="28"/>
  <c r="O10" i="26"/>
  <c r="AB10" i="26"/>
  <c r="N13" i="23"/>
  <c r="N50" i="23" s="1"/>
  <c r="E30" i="5"/>
  <c r="V30" i="5" s="1"/>
  <c r="Q12" i="7"/>
  <c r="E27" i="5"/>
  <c r="V27" i="5" s="1"/>
  <c r="AA15" i="32"/>
  <c r="P13" i="1"/>
  <c r="AA13" i="1"/>
  <c r="S13" i="1"/>
  <c r="E26" i="5"/>
  <c r="V26" i="5" s="1"/>
  <c r="R14" i="32"/>
  <c r="S14" i="7"/>
  <c r="M13" i="1"/>
  <c r="E43" i="5"/>
  <c r="V43" i="5" s="1"/>
  <c r="M17" i="1"/>
  <c r="T18" i="7"/>
  <c r="U18" i="7"/>
  <c r="U14" i="7"/>
  <c r="Z12" i="1"/>
  <c r="P10" i="25"/>
  <c r="V10" i="25"/>
  <c r="S10" i="25"/>
  <c r="AA10" i="25"/>
  <c r="AA18" i="7"/>
  <c r="W11" i="4"/>
  <c r="AO61" i="4" s="1"/>
  <c r="N12" i="50" s="1"/>
  <c r="T11" i="4"/>
  <c r="AL61" i="4" s="1"/>
  <c r="K12" i="50" s="1"/>
  <c r="W12" i="28"/>
  <c r="X10" i="28"/>
  <c r="P10" i="28"/>
  <c r="Z10" i="28"/>
  <c r="X12" i="28"/>
  <c r="AA12" i="28"/>
  <c r="T12" i="28"/>
  <c r="P11" i="26"/>
  <c r="AB11" i="26"/>
  <c r="S11" i="26"/>
  <c r="AA11" i="26"/>
  <c r="AA10" i="26"/>
  <c r="U10" i="26"/>
  <c r="R10" i="26"/>
  <c r="O13" i="23"/>
  <c r="O50" i="23" s="1"/>
  <c r="AA14" i="1"/>
  <c r="Z10" i="23"/>
  <c r="V10" i="23"/>
  <c r="M10" i="23"/>
  <c r="N11" i="4"/>
  <c r="V15" i="1"/>
  <c r="N11" i="55"/>
  <c r="R12" i="1"/>
  <c r="AJ58" i="1" s="1"/>
  <c r="AJ54" i="1" s="1"/>
  <c r="J3" i="50" s="1"/>
  <c r="U10" i="25"/>
  <c r="M14" i="7"/>
  <c r="S11" i="4"/>
  <c r="AK61" i="4" s="1"/>
  <c r="J12" i="50" s="1"/>
  <c r="W10" i="28"/>
  <c r="O10" i="28"/>
  <c r="X11" i="26"/>
  <c r="Y10" i="26"/>
  <c r="N10" i="26"/>
  <c r="M16" i="1"/>
  <c r="X13" i="23"/>
  <c r="X50" i="23" s="1"/>
  <c r="X52" i="23" s="1"/>
  <c r="AA13" i="23"/>
  <c r="AA50" i="23" s="1"/>
  <c r="BL48" i="23" s="1"/>
  <c r="BL47" i="23" s="1"/>
  <c r="U13" i="23"/>
  <c r="U50" i="23" s="1"/>
  <c r="R10" i="23"/>
  <c r="Q18" i="7"/>
  <c r="E39" i="5"/>
  <c r="V39" i="5" s="1"/>
  <c r="Z13" i="1"/>
  <c r="AR111" i="1" s="1"/>
  <c r="AR108" i="1" s="1"/>
  <c r="AR107" i="1" s="1"/>
  <c r="R4" i="50" s="1"/>
  <c r="N12" i="1"/>
  <c r="AF58" i="1" s="1"/>
  <c r="AF54" i="1" s="1"/>
  <c r="F3" i="50" s="1"/>
  <c r="V18" i="5"/>
  <c r="Y11" i="25"/>
  <c r="R18" i="7"/>
  <c r="N14" i="7"/>
  <c r="S18" i="7"/>
  <c r="M14" i="1"/>
  <c r="V12" i="1"/>
  <c r="W14" i="7"/>
  <c r="T10" i="25"/>
  <c r="Q10" i="25"/>
  <c r="Z18" i="7"/>
  <c r="R11" i="4"/>
  <c r="AJ61" i="4" s="1"/>
  <c r="I12" i="50" s="1"/>
  <c r="Y11" i="4"/>
  <c r="AQ61" i="4" s="1"/>
  <c r="P12" i="50" s="1"/>
  <c r="Q12" i="28"/>
  <c r="AI184" i="28" s="1"/>
  <c r="T10" i="28"/>
  <c r="AA10" i="28"/>
  <c r="R10" i="28"/>
  <c r="S12" i="28"/>
  <c r="AB12" i="28"/>
  <c r="Q11" i="4"/>
  <c r="AI61" i="4" s="1"/>
  <c r="H12" i="50" s="1"/>
  <c r="V10" i="26"/>
  <c r="Q10" i="26"/>
  <c r="X10" i="26"/>
  <c r="P10" i="23"/>
  <c r="Q13" i="23"/>
  <c r="Q50" i="23" s="1"/>
  <c r="Q55" i="23" s="1"/>
  <c r="V13" i="23"/>
  <c r="V50" i="23" s="1"/>
  <c r="V55" i="23" s="1"/>
  <c r="Y13" i="23"/>
  <c r="Y50" i="23" s="1"/>
  <c r="Y54" i="23" s="1"/>
  <c r="T14" i="1"/>
  <c r="Q10" i="23"/>
  <c r="R13" i="23"/>
  <c r="R50" i="23" s="1"/>
  <c r="R54" i="23" s="1"/>
  <c r="W13" i="23"/>
  <c r="W50" i="23" s="1"/>
  <c r="Z14" i="1"/>
  <c r="BK31" i="1" s="1"/>
  <c r="BK19" i="1" s="1"/>
  <c r="X14" i="1"/>
  <c r="BI32" i="1" s="1"/>
  <c r="BI13" i="1" s="1"/>
  <c r="Q14" i="1"/>
  <c r="BB31" i="1" s="1"/>
  <c r="P13" i="23"/>
  <c r="P50" i="23" s="1"/>
  <c r="Y14" i="1"/>
  <c r="X10" i="23"/>
  <c r="Y10" i="23"/>
  <c r="S14" i="1"/>
  <c r="N14" i="1"/>
  <c r="M13" i="23"/>
  <c r="M50" i="23" s="1"/>
  <c r="R14" i="1"/>
  <c r="U10" i="23"/>
  <c r="O10" i="23"/>
  <c r="P14" i="1"/>
  <c r="BA32" i="1" s="1"/>
  <c r="BA13" i="1" s="1"/>
  <c r="V16" i="1"/>
  <c r="E42" i="5"/>
  <c r="V42" i="5" s="1"/>
  <c r="U16" i="1"/>
  <c r="E19" i="5"/>
  <c r="V19" i="5" s="1"/>
  <c r="U11" i="55"/>
  <c r="E41" i="5"/>
  <c r="V41" i="5" s="1"/>
  <c r="M15" i="1"/>
  <c r="AE89" i="1" s="1"/>
  <c r="AE83" i="1" s="1"/>
  <c r="AE82" i="1" s="1"/>
  <c r="E6" i="50" s="1"/>
  <c r="T14" i="7"/>
  <c r="W12" i="1"/>
  <c r="X12" i="1"/>
  <c r="AA12" i="1"/>
  <c r="X14" i="7"/>
  <c r="AB10" i="25"/>
  <c r="E38" i="5"/>
  <c r="V38" i="5" s="1"/>
  <c r="M12" i="1"/>
  <c r="E15" i="5"/>
  <c r="V15" i="5" s="1"/>
  <c r="X10" i="25"/>
  <c r="Y14" i="7"/>
  <c r="E32" i="5"/>
  <c r="V32" i="5" s="1"/>
  <c r="AA14" i="7"/>
  <c r="E23" i="5"/>
  <c r="V23" i="5" s="1"/>
  <c r="V11" i="4"/>
  <c r="AN61" i="4" s="1"/>
  <c r="M12" i="50" s="1"/>
  <c r="Y10" i="28"/>
  <c r="V10" i="28"/>
  <c r="O12" i="28"/>
  <c r="R12" i="28"/>
  <c r="E12" i="5"/>
  <c r="V12" i="5" s="1"/>
  <c r="T11" i="26"/>
  <c r="E17" i="5"/>
  <c r="V17" i="5" s="1"/>
  <c r="V11" i="26"/>
  <c r="S10" i="26"/>
  <c r="E14" i="5"/>
  <c r="V14" i="5" s="1"/>
  <c r="T10" i="26"/>
  <c r="N10" i="23"/>
  <c r="S13" i="23"/>
  <c r="S50" i="23" s="1"/>
  <c r="S54" i="23" s="1"/>
  <c r="T13" i="23"/>
  <c r="T50" i="23" s="1"/>
  <c r="E7" i="5"/>
  <c r="V7" i="5" s="1"/>
  <c r="Z13" i="23"/>
  <c r="Z50" i="23" s="1"/>
  <c r="Z53" i="23" s="1"/>
  <c r="T10" i="23"/>
  <c r="S10" i="23"/>
  <c r="AA10" i="23"/>
  <c r="W14" i="1"/>
  <c r="U14" i="1"/>
  <c r="O14" i="1"/>
  <c r="AZ31" i="1" s="1"/>
  <c r="E40" i="5"/>
  <c r="V40" i="5" s="1"/>
  <c r="V14" i="1"/>
  <c r="BG32" i="1" s="1"/>
  <c r="BG13" i="1" s="1"/>
  <c r="E8" i="5"/>
  <c r="V8" i="5" s="1"/>
  <c r="W10" i="23"/>
  <c r="K27" i="1" l="1"/>
  <c r="AG31" i="25"/>
  <c r="F10" i="50" s="1"/>
  <c r="AK31" i="25"/>
  <c r="J10" i="50" s="1"/>
  <c r="BB19" i="34"/>
  <c r="BB50" i="34" s="1"/>
  <c r="BJ19" i="34"/>
  <c r="BJ50" i="34" s="1"/>
  <c r="BH19" i="34"/>
  <c r="BH50" i="34" s="1"/>
  <c r="BL26" i="34"/>
  <c r="AT182" i="28"/>
  <c r="AT32" i="28"/>
  <c r="AR32" i="28"/>
  <c r="AR182" i="28"/>
  <c r="AS182" i="28"/>
  <c r="AK182" i="28"/>
  <c r="AG182" i="28"/>
  <c r="AQ182" i="28"/>
  <c r="AL182" i="28"/>
  <c r="AL184" i="28"/>
  <c r="K14" i="50" s="1"/>
  <c r="AH182" i="28"/>
  <c r="AN182" i="28"/>
  <c r="AJ182" i="28"/>
  <c r="AP184" i="28"/>
  <c r="O14" i="50" s="1"/>
  <c r="AO184" i="28"/>
  <c r="N14" i="50" s="1"/>
  <c r="AH184" i="28"/>
  <c r="AM182" i="28"/>
  <c r="AO182" i="28"/>
  <c r="AS184" i="28"/>
  <c r="R14" i="50" s="1"/>
  <c r="AP182" i="28"/>
  <c r="AI182" i="28"/>
  <c r="AJ184" i="28"/>
  <c r="I14" i="50" s="1"/>
  <c r="AT184" i="28"/>
  <c r="S14" i="50" s="1"/>
  <c r="AN184" i="28"/>
  <c r="M14" i="50" s="1"/>
  <c r="AT34" i="28"/>
  <c r="S13" i="50" s="1"/>
  <c r="AR184" i="28"/>
  <c r="Q14" i="50" s="1"/>
  <c r="AG184" i="28"/>
  <c r="F14" i="50" s="1"/>
  <c r="AK184" i="28"/>
  <c r="AM184" i="28"/>
  <c r="L14" i="50" s="1"/>
  <c r="AQ184" i="28"/>
  <c r="P14" i="50" s="1"/>
  <c r="AR34" i="28"/>
  <c r="Q13" i="50" s="1"/>
  <c r="AT31" i="25"/>
  <c r="S10" i="50" s="1"/>
  <c r="AM31" i="25"/>
  <c r="L10" i="50" s="1"/>
  <c r="Y44" i="7"/>
  <c r="AQ42" i="7" s="1"/>
  <c r="AP31" i="25"/>
  <c r="O10" i="50" s="1"/>
  <c r="AF29" i="23"/>
  <c r="AF25" i="23" s="1"/>
  <c r="AF24" i="23" s="1"/>
  <c r="F36" i="50" s="1"/>
  <c r="AR31" i="25"/>
  <c r="Q10" i="50" s="1"/>
  <c r="AM31" i="26"/>
  <c r="AK34" i="28"/>
  <c r="J13" i="50" s="1"/>
  <c r="AI31" i="25"/>
  <c r="H10" i="50" s="1"/>
  <c r="AN31" i="25"/>
  <c r="M10" i="50" s="1"/>
  <c r="AQ31" i="25"/>
  <c r="P10" i="50" s="1"/>
  <c r="AL31" i="25"/>
  <c r="K10" i="50" s="1"/>
  <c r="AQ31" i="26"/>
  <c r="AS31" i="25"/>
  <c r="R10" i="50" s="1"/>
  <c r="AH31" i="25"/>
  <c r="G10" i="50" s="1"/>
  <c r="AF31" i="25"/>
  <c r="E10" i="50" s="1"/>
  <c r="N35" i="32"/>
  <c r="AF31" i="32" s="1"/>
  <c r="AF28" i="32" s="1"/>
  <c r="AF27" i="32" s="1"/>
  <c r="F32" i="50" s="1"/>
  <c r="AI31" i="26"/>
  <c r="AH31" i="26"/>
  <c r="L29" i="25"/>
  <c r="AK31" i="26"/>
  <c r="U120" i="7"/>
  <c r="U125" i="7" s="1"/>
  <c r="Z57" i="7"/>
  <c r="Z44" i="7"/>
  <c r="AR42" i="7" s="1"/>
  <c r="S57" i="7"/>
  <c r="S44" i="7"/>
  <c r="AK42" i="7" s="1"/>
  <c r="Q57" i="7"/>
  <c r="Q44" i="7"/>
  <c r="AI42" i="7" s="1"/>
  <c r="O57" i="7"/>
  <c r="O44" i="7"/>
  <c r="AZ39" i="7" s="1"/>
  <c r="R57" i="7"/>
  <c r="R44" i="7"/>
  <c r="AJ42" i="7" s="1"/>
  <c r="U57" i="7"/>
  <c r="U44" i="7"/>
  <c r="BF39" i="7" s="1"/>
  <c r="X57" i="7"/>
  <c r="X44" i="7"/>
  <c r="X45" i="7" s="1"/>
  <c r="X46" i="7" s="1"/>
  <c r="X47" i="7" s="1"/>
  <c r="X48" i="7" s="1"/>
  <c r="X49" i="7" s="1"/>
  <c r="X50" i="7" s="1"/>
  <c r="P57" i="7"/>
  <c r="P44" i="7"/>
  <c r="P45" i="7" s="1"/>
  <c r="P46" i="7" s="1"/>
  <c r="P47" i="7" s="1"/>
  <c r="P48" i="7" s="1"/>
  <c r="P49" i="7" s="1"/>
  <c r="P50" i="7" s="1"/>
  <c r="N57" i="7"/>
  <c r="N44" i="7"/>
  <c r="AF42" i="7" s="1"/>
  <c r="AA57" i="7"/>
  <c r="AA44" i="7"/>
  <c r="AS42" i="7" s="1"/>
  <c r="T57" i="7"/>
  <c r="T44" i="7"/>
  <c r="T45" i="7" s="1"/>
  <c r="T46" i="7" s="1"/>
  <c r="T47" i="7" s="1"/>
  <c r="T48" i="7" s="1"/>
  <c r="T49" i="7" s="1"/>
  <c r="T50" i="7" s="1"/>
  <c r="W57" i="7"/>
  <c r="W44" i="7"/>
  <c r="AO42" i="7" s="1"/>
  <c r="V57" i="7"/>
  <c r="V44" i="7"/>
  <c r="AN42" i="7" s="1"/>
  <c r="AF34" i="28"/>
  <c r="E13" i="50" s="1"/>
  <c r="Y57" i="7"/>
  <c r="AS31" i="26"/>
  <c r="AJ31" i="26"/>
  <c r="AG31" i="26"/>
  <c r="AR31" i="26"/>
  <c r="AN31" i="26"/>
  <c r="AL31" i="26"/>
  <c r="AT31" i="26"/>
  <c r="AP31" i="26"/>
  <c r="AO31" i="26"/>
  <c r="AL34" i="28"/>
  <c r="K13" i="50" s="1"/>
  <c r="W120" i="7"/>
  <c r="BH115" i="7" s="1"/>
  <c r="U132" i="7"/>
  <c r="U137" i="7" s="1"/>
  <c r="AG34" i="28"/>
  <c r="F13" i="50" s="1"/>
  <c r="W69" i="7"/>
  <c r="W72" i="7" s="1"/>
  <c r="AA120" i="7"/>
  <c r="BL115" i="7" s="1"/>
  <c r="AA35" i="32"/>
  <c r="AA40" i="32" s="1"/>
  <c r="BL28" i="23"/>
  <c r="BL18" i="23" s="1"/>
  <c r="BM27" i="34" s="1"/>
  <c r="AQ34" i="28"/>
  <c r="P13" i="50" s="1"/>
  <c r="R35" i="32"/>
  <c r="R36" i="32" s="1"/>
  <c r="X132" i="7"/>
  <c r="X133" i="7" s="1"/>
  <c r="U69" i="7"/>
  <c r="BF64" i="7" s="1"/>
  <c r="AN34" i="28"/>
  <c r="M13" i="50" s="1"/>
  <c r="R132" i="7"/>
  <c r="R135" i="7" s="1"/>
  <c r="R120" i="7"/>
  <c r="R125" i="7" s="1"/>
  <c r="AO34" i="28"/>
  <c r="N13" i="50" s="1"/>
  <c r="V120" i="7"/>
  <c r="V124" i="7" s="1"/>
  <c r="T35" i="32"/>
  <c r="AL31" i="32" s="1"/>
  <c r="AL28" i="32" s="1"/>
  <c r="AL27" i="32" s="1"/>
  <c r="L32" i="50" s="1"/>
  <c r="Z35" i="32"/>
  <c r="Z38" i="32" s="1"/>
  <c r="Z69" i="7"/>
  <c r="Z72" i="7" s="1"/>
  <c r="BJ48" i="23"/>
  <c r="BJ47" i="23" s="1"/>
  <c r="X120" i="7"/>
  <c r="X123" i="7" s="1"/>
  <c r="AP34" i="28"/>
  <c r="O13" i="50" s="1"/>
  <c r="BG28" i="23"/>
  <c r="T69" i="7"/>
  <c r="BE64" i="7" s="1"/>
  <c r="AS34" i="28"/>
  <c r="R13" i="50" s="1"/>
  <c r="Z132" i="7"/>
  <c r="Z133" i="7" s="1"/>
  <c r="Y35" i="32"/>
  <c r="Y36" i="32" s="1"/>
  <c r="W35" i="32"/>
  <c r="W37" i="32" s="1"/>
  <c r="T77" i="32"/>
  <c r="T78" i="32" s="1"/>
  <c r="S69" i="7"/>
  <c r="AK67" i="7" s="1"/>
  <c r="AK64" i="7" s="1"/>
  <c r="K30" i="50" s="1"/>
  <c r="AA69" i="7"/>
  <c r="AA71" i="7" s="1"/>
  <c r="AA77" i="32"/>
  <c r="AA83" i="32" s="1"/>
  <c r="AS58" i="1"/>
  <c r="AS54" i="1" s="1"/>
  <c r="S3" i="50" s="1"/>
  <c r="AR122" i="1"/>
  <c r="AR119" i="1" s="1"/>
  <c r="AR118" i="1" s="1"/>
  <c r="Y69" i="7"/>
  <c r="BJ64" i="7" s="1"/>
  <c r="Y120" i="7"/>
  <c r="Y126" i="7" s="1"/>
  <c r="Y132" i="7"/>
  <c r="Y136" i="7" s="1"/>
  <c r="AP122" i="1"/>
  <c r="AP119" i="1" s="1"/>
  <c r="AP118" i="1" s="1"/>
  <c r="AP49" i="23"/>
  <c r="AP45" i="23" s="1"/>
  <c r="AP44" i="23" s="1"/>
  <c r="P35" i="50" s="1"/>
  <c r="BH28" i="23"/>
  <c r="AN70" i="32"/>
  <c r="N34" i="50" s="1"/>
  <c r="V69" i="7"/>
  <c r="V74" i="7" s="1"/>
  <c r="V35" i="32"/>
  <c r="V39" i="32" s="1"/>
  <c r="AN49" i="23"/>
  <c r="AN45" i="23" s="1"/>
  <c r="AN44" i="23" s="1"/>
  <c r="N35" i="50" s="1"/>
  <c r="U35" i="32"/>
  <c r="U36" i="32" s="1"/>
  <c r="AM34" i="28"/>
  <c r="L13" i="50" s="1"/>
  <c r="BD48" i="23"/>
  <c r="BD47" i="23" s="1"/>
  <c r="AK49" i="23"/>
  <c r="AK45" i="23" s="1"/>
  <c r="AK44" i="23" s="1"/>
  <c r="K35" i="50" s="1"/>
  <c r="Q77" i="32"/>
  <c r="Q83" i="32" s="1"/>
  <c r="AJ34" i="28"/>
  <c r="I13" i="50" s="1"/>
  <c r="Q132" i="7"/>
  <c r="AI130" i="7" s="1"/>
  <c r="AI127" i="7" s="1"/>
  <c r="I28" i="50" s="1"/>
  <c r="Q69" i="7"/>
  <c r="Q70" i="7" s="1"/>
  <c r="AI70" i="32"/>
  <c r="I34" i="50" s="1"/>
  <c r="Q120" i="7"/>
  <c r="AI118" i="7" s="1"/>
  <c r="AI115" i="7" s="1"/>
  <c r="AI114" i="7" s="1"/>
  <c r="I27" i="50" s="1"/>
  <c r="Q35" i="32"/>
  <c r="AI31" i="32" s="1"/>
  <c r="AI28" i="32" s="1"/>
  <c r="AI27" i="32" s="1"/>
  <c r="I32" i="50" s="1"/>
  <c r="P132" i="7"/>
  <c r="P138" i="7" s="1"/>
  <c r="G14" i="50"/>
  <c r="AZ28" i="23"/>
  <c r="H14" i="50"/>
  <c r="P69" i="7"/>
  <c r="BA64" i="7" s="1"/>
  <c r="P35" i="32"/>
  <c r="P36" i="32" s="1"/>
  <c r="O132" i="7"/>
  <c r="O135" i="7" s="1"/>
  <c r="O35" i="32"/>
  <c r="O40" i="32" s="1"/>
  <c r="N69" i="7"/>
  <c r="N71" i="7" s="1"/>
  <c r="AE29" i="23"/>
  <c r="AE25" i="23" s="1"/>
  <c r="AE24" i="23" s="1"/>
  <c r="E36" i="50" s="1"/>
  <c r="N132" i="7"/>
  <c r="N133" i="7" s="1"/>
  <c r="N77" i="32"/>
  <c r="N80" i="32" s="1"/>
  <c r="AD10" i="26"/>
  <c r="AN69" i="1"/>
  <c r="AN65" i="1" s="1"/>
  <c r="Y52" i="23"/>
  <c r="AZ32" i="1"/>
  <c r="AZ13" i="1" s="1"/>
  <c r="BF32" i="1"/>
  <c r="BF13" i="1" s="1"/>
  <c r="BK32" i="1"/>
  <c r="BK13" i="1" s="1"/>
  <c r="M77" i="32"/>
  <c r="M80" i="32" s="1"/>
  <c r="AL58" i="1"/>
  <c r="AL54" i="1" s="1"/>
  <c r="L3" i="50" s="1"/>
  <c r="T56" i="23"/>
  <c r="AL49" i="23"/>
  <c r="AL45" i="23" s="1"/>
  <c r="AL44" i="23" s="1"/>
  <c r="L35" i="50" s="1"/>
  <c r="AD11" i="55"/>
  <c r="AI34" i="28"/>
  <c r="H13" i="50" s="1"/>
  <c r="AD10" i="55"/>
  <c r="P120" i="7"/>
  <c r="P124" i="7" s="1"/>
  <c r="Q54" i="23"/>
  <c r="AI47" i="1"/>
  <c r="AI44" i="1" s="1"/>
  <c r="AI43" i="1" s="1"/>
  <c r="I7" i="50" s="1"/>
  <c r="AH69" i="1"/>
  <c r="AH65" i="1" s="1"/>
  <c r="Z120" i="7"/>
  <c r="Z121" i="7" s="1"/>
  <c r="Q52" i="23"/>
  <c r="AC15" i="7"/>
  <c r="W132" i="7"/>
  <c r="W133" i="7" s="1"/>
  <c r="AC19" i="7"/>
  <c r="AP58" i="1"/>
  <c r="AP54" i="1" s="1"/>
  <c r="P3" i="50" s="1"/>
  <c r="T120" i="7"/>
  <c r="BE115" i="7" s="1"/>
  <c r="AI49" i="23"/>
  <c r="AI45" i="23" s="1"/>
  <c r="AI44" i="23" s="1"/>
  <c r="I35" i="50" s="1"/>
  <c r="S120" i="7"/>
  <c r="BD115" i="7" s="1"/>
  <c r="AE30" i="4"/>
  <c r="D11" i="50" s="1"/>
  <c r="AJ100" i="1"/>
  <c r="AJ97" i="1" s="1"/>
  <c r="AJ96" i="1" s="1"/>
  <c r="J8" i="50" s="1"/>
  <c r="AF89" i="1"/>
  <c r="AF83" i="1" s="1"/>
  <c r="AF82" i="1" s="1"/>
  <c r="F6" i="50" s="1"/>
  <c r="T132" i="7"/>
  <c r="BE127" i="7" s="1"/>
  <c r="X35" i="32"/>
  <c r="X39" i="32" s="1"/>
  <c r="AG122" i="1"/>
  <c r="AG119" i="1" s="1"/>
  <c r="AG118" i="1" s="1"/>
  <c r="AM122" i="1"/>
  <c r="AM119" i="1" s="1"/>
  <c r="AM118" i="1" s="1"/>
  <c r="J14" i="50"/>
  <c r="N120" i="7"/>
  <c r="N121" i="7" s="1"/>
  <c r="AH34" i="28"/>
  <c r="G13" i="50" s="1"/>
  <c r="O120" i="7"/>
  <c r="O125" i="7" s="1"/>
  <c r="AC11" i="23"/>
  <c r="S132" i="7"/>
  <c r="S133" i="7" s="1"/>
  <c r="V132" i="7"/>
  <c r="V136" i="7" s="1"/>
  <c r="L29" i="26"/>
  <c r="B32" i="14" s="1"/>
  <c r="AE58" i="1"/>
  <c r="AE54" i="1" s="1"/>
  <c r="E3" i="50" s="1"/>
  <c r="AE100" i="1"/>
  <c r="AE97" i="1" s="1"/>
  <c r="AE96" i="1" s="1"/>
  <c r="E8" i="50" s="1"/>
  <c r="AE70" i="32"/>
  <c r="E34" i="50" s="1"/>
  <c r="AK36" i="1"/>
  <c r="AK29" i="1" s="1"/>
  <c r="K5" i="50" s="1"/>
  <c r="BD31" i="1"/>
  <c r="BD32" i="1"/>
  <c r="BD13" i="1" s="1"/>
  <c r="P55" i="23"/>
  <c r="P54" i="23"/>
  <c r="P52" i="23"/>
  <c r="P56" i="23"/>
  <c r="BA48" i="23"/>
  <c r="BA47" i="23" s="1"/>
  <c r="AH49" i="23"/>
  <c r="AH45" i="23" s="1"/>
  <c r="AH44" i="23" s="1"/>
  <c r="H35" i="50" s="1"/>
  <c r="P53" i="23"/>
  <c r="P51" i="23"/>
  <c r="AN58" i="1"/>
  <c r="AN54" i="1" s="1"/>
  <c r="N3" i="50" s="1"/>
  <c r="AL47" i="1"/>
  <c r="AL44" i="1" s="1"/>
  <c r="AL43" i="1" s="1"/>
  <c r="L7" i="50" s="1"/>
  <c r="AQ36" i="1"/>
  <c r="AQ29" i="1" s="1"/>
  <c r="Q5" i="50" s="1"/>
  <c r="BJ32" i="1"/>
  <c r="BJ13" i="1" s="1"/>
  <c r="BJ31" i="1"/>
  <c r="AO36" i="1"/>
  <c r="AO29" i="1" s="1"/>
  <c r="O5" i="50" s="1"/>
  <c r="BH31" i="1"/>
  <c r="BH32" i="1"/>
  <c r="BH13" i="1" s="1"/>
  <c r="N53" i="23"/>
  <c r="N52" i="23"/>
  <c r="N51" i="23"/>
  <c r="N54" i="23"/>
  <c r="N55" i="23"/>
  <c r="N56" i="23"/>
  <c r="AY48" i="23"/>
  <c r="AY47" i="23" s="1"/>
  <c r="AF49" i="23"/>
  <c r="AF45" i="23" s="1"/>
  <c r="AF44" i="23" s="1"/>
  <c r="F35" i="50" s="1"/>
  <c r="W51" i="23"/>
  <c r="W55" i="23"/>
  <c r="W56" i="23"/>
  <c r="W52" i="23"/>
  <c r="AO49" i="23"/>
  <c r="AO45" i="23" s="1"/>
  <c r="AO44" i="23" s="1"/>
  <c r="O35" i="50" s="1"/>
  <c r="W53" i="23"/>
  <c r="W54" i="23"/>
  <c r="BH48" i="23"/>
  <c r="BH47" i="23" s="1"/>
  <c r="AN89" i="1"/>
  <c r="AN83" i="1" s="1"/>
  <c r="AN82" i="1" s="1"/>
  <c r="N6" i="50" s="1"/>
  <c r="O56" i="23"/>
  <c r="AZ48" i="23"/>
  <c r="AZ47" i="23" s="1"/>
  <c r="O55" i="23"/>
  <c r="O53" i="23"/>
  <c r="O51" i="23"/>
  <c r="O54" i="23"/>
  <c r="O52" i="23"/>
  <c r="AG49" i="23"/>
  <c r="AG45" i="23" s="1"/>
  <c r="AG44" i="23" s="1"/>
  <c r="G35" i="50" s="1"/>
  <c r="AC14" i="1"/>
  <c r="U52" i="23"/>
  <c r="U53" i="23"/>
  <c r="BF48" i="23"/>
  <c r="BF47" i="23" s="1"/>
  <c r="U54" i="23"/>
  <c r="U56" i="23"/>
  <c r="AN36" i="1"/>
  <c r="AN29" i="1" s="1"/>
  <c r="N5" i="50" s="1"/>
  <c r="S52" i="23"/>
  <c r="S55" i="23"/>
  <c r="S51" i="23"/>
  <c r="S56" i="23"/>
  <c r="AH36" i="1"/>
  <c r="AH29" i="1" s="1"/>
  <c r="H5" i="50" s="1"/>
  <c r="BA31" i="1"/>
  <c r="AP36" i="1"/>
  <c r="AP29" i="1" s="1"/>
  <c r="P5" i="50" s="1"/>
  <c r="BI31" i="1"/>
  <c r="AL89" i="1"/>
  <c r="AL83" i="1" s="1"/>
  <c r="AL82" i="1" s="1"/>
  <c r="L6" i="50" s="1"/>
  <c r="AI89" i="1"/>
  <c r="AI83" i="1" s="1"/>
  <c r="AI82" i="1" s="1"/>
  <c r="I6" i="50" s="1"/>
  <c r="Y56" i="23"/>
  <c r="AQ49" i="23"/>
  <c r="AQ45" i="23" s="1"/>
  <c r="AQ44" i="23" s="1"/>
  <c r="Q35" i="50" s="1"/>
  <c r="Y51" i="23"/>
  <c r="Y55" i="23"/>
  <c r="AA56" i="23"/>
  <c r="AA52" i="23"/>
  <c r="AA53" i="23"/>
  <c r="AS49" i="23"/>
  <c r="AS45" i="23" s="1"/>
  <c r="AS44" i="23" s="1"/>
  <c r="S35" i="50" s="1"/>
  <c r="AA54" i="23"/>
  <c r="X54" i="23"/>
  <c r="X56" i="23"/>
  <c r="X53" i="23"/>
  <c r="X51" i="23"/>
  <c r="BI48" i="23"/>
  <c r="BI47" i="23" s="1"/>
  <c r="BG48" i="23"/>
  <c r="BG47" i="23" s="1"/>
  <c r="AE111" i="1"/>
  <c r="AK111" i="1"/>
  <c r="AK108" i="1" s="1"/>
  <c r="AK107" i="1" s="1"/>
  <c r="K4" i="50" s="1"/>
  <c r="AK58" i="1"/>
  <c r="AK54" i="1" s="1"/>
  <c r="K3" i="50" s="1"/>
  <c r="AM36" i="1"/>
  <c r="AM29" i="1" s="1"/>
  <c r="M5" i="50" s="1"/>
  <c r="U51" i="23"/>
  <c r="AA51" i="23"/>
  <c r="AM70" i="32"/>
  <c r="M34" i="50" s="1"/>
  <c r="U77" i="32"/>
  <c r="K68" i="32"/>
  <c r="B135" i="14" s="1"/>
  <c r="AN47" i="1"/>
  <c r="AN44" i="1" s="1"/>
  <c r="AN43" i="1" s="1"/>
  <c r="N7" i="50" s="1"/>
  <c r="AO111" i="1"/>
  <c r="AO108" i="1" s="1"/>
  <c r="AO107" i="1" s="1"/>
  <c r="O4" i="50" s="1"/>
  <c r="AK47" i="1"/>
  <c r="AK44" i="1" s="1"/>
  <c r="AK43" i="1" s="1"/>
  <c r="K7" i="50" s="1"/>
  <c r="S77" i="32"/>
  <c r="AK70" i="32"/>
  <c r="K34" i="50" s="1"/>
  <c r="AC13" i="1"/>
  <c r="AS70" i="32"/>
  <c r="S34" i="50" s="1"/>
  <c r="AD11" i="25"/>
  <c r="Z51" i="23"/>
  <c r="Z56" i="23"/>
  <c r="AR49" i="23"/>
  <c r="AR45" i="23" s="1"/>
  <c r="AR44" i="23" s="1"/>
  <c r="R35" i="50" s="1"/>
  <c r="Z54" i="23"/>
  <c r="Z52" i="23"/>
  <c r="L32" i="28"/>
  <c r="AO58" i="1"/>
  <c r="AO54" i="1" s="1"/>
  <c r="O3" i="50" s="1"/>
  <c r="AJ36" i="1"/>
  <c r="AJ29" i="1" s="1"/>
  <c r="J5" i="50" s="1"/>
  <c r="BC31" i="1"/>
  <c r="M53" i="23"/>
  <c r="M52" i="23"/>
  <c r="M54" i="23"/>
  <c r="M51" i="23"/>
  <c r="AF61" i="4"/>
  <c r="E12" i="50" s="1"/>
  <c r="L59" i="4"/>
  <c r="AD11" i="4"/>
  <c r="AS36" i="1"/>
  <c r="AS29" i="1" s="1"/>
  <c r="S5" i="50" s="1"/>
  <c r="BL31" i="1"/>
  <c r="AS111" i="1"/>
  <c r="AS108" i="1" s="1"/>
  <c r="AS107" i="1" s="1"/>
  <c r="S4" i="50" s="1"/>
  <c r="AQ58" i="1"/>
  <c r="AQ54" i="1" s="1"/>
  <c r="Q3" i="50" s="1"/>
  <c r="BB19" i="1"/>
  <c r="AR89" i="1"/>
  <c r="AR83" i="1" s="1"/>
  <c r="AR82" i="1" s="1"/>
  <c r="R6" i="50" s="1"/>
  <c r="M55" i="23"/>
  <c r="AN111" i="1"/>
  <c r="AN108" i="1" s="1"/>
  <c r="AN107" i="1" s="1"/>
  <c r="N4" i="50" s="1"/>
  <c r="AG111" i="1"/>
  <c r="AG108" i="1" s="1"/>
  <c r="AG107" i="1" s="1"/>
  <c r="G4" i="50" s="1"/>
  <c r="T54" i="23"/>
  <c r="T52" i="23"/>
  <c r="BE48" i="23"/>
  <c r="BE47" i="23" s="1"/>
  <c r="T51" i="23"/>
  <c r="T53" i="23"/>
  <c r="K42" i="23"/>
  <c r="B5" i="14" s="1"/>
  <c r="AC13" i="23"/>
  <c r="AI36" i="1"/>
  <c r="AI29" i="1" s="1"/>
  <c r="I5" i="50" s="1"/>
  <c r="BB32" i="1"/>
  <c r="BB13" i="1" s="1"/>
  <c r="R55" i="23"/>
  <c r="R53" i="23"/>
  <c r="AJ49" i="23"/>
  <c r="AJ45" i="23" s="1"/>
  <c r="AJ44" i="23" s="1"/>
  <c r="J35" i="50" s="1"/>
  <c r="R51" i="23"/>
  <c r="AD10" i="25"/>
  <c r="AZ19" i="1"/>
  <c r="AS89" i="1"/>
  <c r="AS83" i="1" s="1"/>
  <c r="AS82" i="1" s="1"/>
  <c r="S6" i="50" s="1"/>
  <c r="U55" i="23"/>
  <c r="R52" i="23"/>
  <c r="T55" i="23"/>
  <c r="Z55" i="23"/>
  <c r="AR58" i="1"/>
  <c r="AR54" i="1" s="1"/>
  <c r="R3" i="50" s="1"/>
  <c r="AP89" i="1"/>
  <c r="AP83" i="1" s="1"/>
  <c r="AP82" i="1" s="1"/>
  <c r="P6" i="50" s="1"/>
  <c r="X77" i="32"/>
  <c r="AP70" i="32"/>
  <c r="P34" i="50" s="1"/>
  <c r="AG36" i="1"/>
  <c r="AG29" i="1" s="1"/>
  <c r="G5" i="50" s="1"/>
  <c r="BF31" i="1"/>
  <c r="AC12" i="1"/>
  <c r="AY31" i="1"/>
  <c r="BE31" i="1"/>
  <c r="AL36" i="1"/>
  <c r="AL29" i="1" s="1"/>
  <c r="L5" i="50" s="1"/>
  <c r="BE32" i="1"/>
  <c r="BE13" i="1" s="1"/>
  <c r="V53" i="23"/>
  <c r="V54" i="23"/>
  <c r="V51" i="23"/>
  <c r="V52" i="23"/>
  <c r="Q51" i="23"/>
  <c r="Q56" i="23"/>
  <c r="Q53" i="23"/>
  <c r="BB48" i="23"/>
  <c r="BB47" i="23" s="1"/>
  <c r="BK48" i="23"/>
  <c r="BK47" i="23" s="1"/>
  <c r="AD10" i="28"/>
  <c r="AC15" i="1"/>
  <c r="AM47" i="1"/>
  <c r="AM44" i="1" s="1"/>
  <c r="AM43" i="1" s="1"/>
  <c r="M7" i="50" s="1"/>
  <c r="BC32" i="1"/>
  <c r="BC13" i="1" s="1"/>
  <c r="AX48" i="23"/>
  <c r="AE49" i="23"/>
  <c r="AC16" i="1"/>
  <c r="M120" i="7"/>
  <c r="AC14" i="7"/>
  <c r="K112" i="7"/>
  <c r="AE61" i="4"/>
  <c r="D12" i="50" s="1"/>
  <c r="K22" i="23"/>
  <c r="B6" i="14" s="1"/>
  <c r="AC10" i="23"/>
  <c r="AY32" i="1"/>
  <c r="AY13" i="1" s="1"/>
  <c r="BL32" i="1"/>
  <c r="BL13" i="1" s="1"/>
  <c r="AM49" i="23"/>
  <c r="AM45" i="23" s="1"/>
  <c r="AM44" i="23" s="1"/>
  <c r="M35" i="50" s="1"/>
  <c r="AH111" i="1"/>
  <c r="AH108" i="1" s="1"/>
  <c r="AH107" i="1" s="1"/>
  <c r="H4" i="50" s="1"/>
  <c r="AI58" i="1"/>
  <c r="AI54" i="1" s="1"/>
  <c r="I3" i="50" s="1"/>
  <c r="BG31" i="1"/>
  <c r="AH100" i="1"/>
  <c r="AH97" i="1" s="1"/>
  <c r="AH96" i="1" s="1"/>
  <c r="H8" i="50" s="1"/>
  <c r="AL111" i="1"/>
  <c r="AL108" i="1" s="1"/>
  <c r="AL107" i="1" s="1"/>
  <c r="L4" i="50" s="1"/>
  <c r="BC48" i="23"/>
  <c r="BC47" i="23" s="1"/>
  <c r="V56" i="23"/>
  <c r="M56" i="23"/>
  <c r="R56" i="23"/>
  <c r="X55" i="23"/>
  <c r="Y53" i="23"/>
  <c r="AA55" i="23"/>
  <c r="S53" i="23"/>
  <c r="AF36" i="1"/>
  <c r="AF29" i="1" s="1"/>
  <c r="F5" i="50" s="1"/>
  <c r="W77" i="32"/>
  <c r="AO70" i="32"/>
  <c r="O34" i="50" s="1"/>
  <c r="AO89" i="1"/>
  <c r="AO83" i="1" s="1"/>
  <c r="AO82" i="1" s="1"/>
  <c r="O6" i="50" s="1"/>
  <c r="AM89" i="1"/>
  <c r="AM83" i="1" s="1"/>
  <c r="AM82" i="1" s="1"/>
  <c r="M6" i="50" s="1"/>
  <c r="AK100" i="1"/>
  <c r="AK97" i="1" s="1"/>
  <c r="AK96" i="1" s="1"/>
  <c r="K8" i="50" s="1"/>
  <c r="AQ100" i="1"/>
  <c r="AQ97" i="1" s="1"/>
  <c r="AQ96" i="1" s="1"/>
  <c r="Q8" i="50" s="1"/>
  <c r="AQ89" i="1"/>
  <c r="AQ83" i="1" s="1"/>
  <c r="AQ82" i="1" s="1"/>
  <c r="Q6" i="50" s="1"/>
  <c r="AG100" i="1"/>
  <c r="AG97" i="1" s="1"/>
  <c r="AG96" i="1" s="1"/>
  <c r="G8" i="50" s="1"/>
  <c r="AR30" i="4"/>
  <c r="Q11" i="50" s="1"/>
  <c r="AD10" i="4"/>
  <c r="S39" i="32"/>
  <c r="S37" i="32"/>
  <c r="S38" i="32"/>
  <c r="S36" i="32"/>
  <c r="AK31" i="32"/>
  <c r="AK28" i="32" s="1"/>
  <c r="AK27" i="32" s="1"/>
  <c r="K32" i="50" s="1"/>
  <c r="S40" i="32"/>
  <c r="S41" i="32"/>
  <c r="AQ111" i="1"/>
  <c r="AQ108" i="1" s="1"/>
  <c r="AQ107" i="1" s="1"/>
  <c r="Q4" i="50" s="1"/>
  <c r="AR36" i="1"/>
  <c r="AR29" i="1" s="1"/>
  <c r="R5" i="50" s="1"/>
  <c r="AF69" i="1"/>
  <c r="AF65" i="1" s="1"/>
  <c r="AC11" i="1"/>
  <c r="AD11" i="26"/>
  <c r="AH58" i="1"/>
  <c r="AH54" i="1" s="1"/>
  <c r="H3" i="50" s="1"/>
  <c r="AG89" i="1"/>
  <c r="AJ89" i="1"/>
  <c r="AJ83" i="1" s="1"/>
  <c r="AJ82" i="1" s="1"/>
  <c r="J6" i="50" s="1"/>
  <c r="AM111" i="1"/>
  <c r="AM108" i="1" s="1"/>
  <c r="AM107" i="1" s="1"/>
  <c r="M4" i="50" s="1"/>
  <c r="AN100" i="1"/>
  <c r="AN97" i="1" s="1"/>
  <c r="AN96" i="1" s="1"/>
  <c r="N8" i="50" s="1"/>
  <c r="AG47" i="1"/>
  <c r="AG44" i="1" s="1"/>
  <c r="AG43" i="1" s="1"/>
  <c r="G7" i="50" s="1"/>
  <c r="AP111" i="1"/>
  <c r="AP108" i="1" s="1"/>
  <c r="AP107" i="1" s="1"/>
  <c r="P4" i="50" s="1"/>
  <c r="AL100" i="1"/>
  <c r="AL97" i="1" s="1"/>
  <c r="AL96" i="1" s="1"/>
  <c r="L8" i="50" s="1"/>
  <c r="AF47" i="1"/>
  <c r="AF44" i="1" s="1"/>
  <c r="AF43" i="1" s="1"/>
  <c r="F7" i="50" s="1"/>
  <c r="AC17" i="1"/>
  <c r="AR47" i="1"/>
  <c r="AR44" i="1" s="1"/>
  <c r="AR43" i="1" s="1"/>
  <c r="R7" i="50" s="1"/>
  <c r="AJ69" i="1"/>
  <c r="AJ65" i="1" s="1"/>
  <c r="AF122" i="1"/>
  <c r="AF119" i="1" s="1"/>
  <c r="AF118" i="1" s="1"/>
  <c r="AJ70" i="32"/>
  <c r="J34" i="50" s="1"/>
  <c r="R77" i="32"/>
  <c r="L27" i="55"/>
  <c r="AE69" i="1"/>
  <c r="K25" i="32"/>
  <c r="B133" i="14" s="1"/>
  <c r="M35" i="32"/>
  <c r="AF30" i="4"/>
  <c r="E11" i="50" s="1"/>
  <c r="L28" i="4"/>
  <c r="K80" i="1"/>
  <c r="AP47" i="1"/>
  <c r="AP44" i="1" s="1"/>
  <c r="AP43" i="1" s="1"/>
  <c r="P7" i="50" s="1"/>
  <c r="AC16" i="7"/>
  <c r="M132" i="7"/>
  <c r="AO122" i="1"/>
  <c r="AO119" i="1" s="1"/>
  <c r="AO118" i="1" s="1"/>
  <c r="AQ69" i="1"/>
  <c r="AQ65" i="1" s="1"/>
  <c r="AP69" i="1"/>
  <c r="AP65" i="1" s="1"/>
  <c r="O69" i="7"/>
  <c r="AC13" i="7"/>
  <c r="AC17" i="7"/>
  <c r="AS69" i="1"/>
  <c r="AS65" i="1" s="1"/>
  <c r="AO69" i="1"/>
  <c r="AO65" i="1" s="1"/>
  <c r="K16" i="56"/>
  <c r="B136" i="14" s="1"/>
  <c r="AC10" i="1"/>
  <c r="AG58" i="1"/>
  <c r="AG54" i="1" s="1"/>
  <c r="G3" i="50" s="1"/>
  <c r="AK89" i="1"/>
  <c r="AK83" i="1" s="1"/>
  <c r="AK82" i="1" s="1"/>
  <c r="K6" i="50" s="1"/>
  <c r="O77" i="32"/>
  <c r="AG70" i="32"/>
  <c r="G34" i="50" s="1"/>
  <c r="AR70" i="32"/>
  <c r="R34" i="50" s="1"/>
  <c r="Z77" i="32"/>
  <c r="V77" i="32"/>
  <c r="AQ47" i="1"/>
  <c r="AQ44" i="1" s="1"/>
  <c r="AQ43" i="1" s="1"/>
  <c r="Q7" i="50" s="1"/>
  <c r="AD13" i="28"/>
  <c r="R69" i="7"/>
  <c r="AL69" i="1"/>
  <c r="AL65" i="1" s="1"/>
  <c r="AM69" i="1"/>
  <c r="AM65" i="1" s="1"/>
  <c r="AC12" i="7"/>
  <c r="M69" i="7"/>
  <c r="AS122" i="1"/>
  <c r="AS119" i="1" s="1"/>
  <c r="AS118" i="1" s="1"/>
  <c r="AN122" i="1"/>
  <c r="AN119" i="1" s="1"/>
  <c r="AN118" i="1" s="1"/>
  <c r="AH122" i="1"/>
  <c r="AH119" i="1" s="1"/>
  <c r="AH118" i="1" s="1"/>
  <c r="AL122" i="1"/>
  <c r="AL119" i="1" s="1"/>
  <c r="AL118" i="1" s="1"/>
  <c r="AD70" i="32"/>
  <c r="D34" i="50" s="1"/>
  <c r="AH70" i="32"/>
  <c r="H34" i="50" s="1"/>
  <c r="AL70" i="32"/>
  <c r="L34" i="50" s="1"/>
  <c r="AF70" i="32"/>
  <c r="F34" i="50" s="1"/>
  <c r="AQ70" i="32"/>
  <c r="Q34" i="50" s="1"/>
  <c r="Y77" i="32"/>
  <c r="P77" i="32"/>
  <c r="AA132" i="7"/>
  <c r="AI69" i="1"/>
  <c r="AI65" i="1" s="1"/>
  <c r="AG69" i="1"/>
  <c r="AG65" i="1" s="1"/>
  <c r="AR69" i="1"/>
  <c r="AR65" i="1" s="1"/>
  <c r="X69" i="7"/>
  <c r="AJ122" i="1"/>
  <c r="AJ119" i="1" s="1"/>
  <c r="AJ118" i="1" s="1"/>
  <c r="AC10" i="56"/>
  <c r="AK69" i="1"/>
  <c r="AK65" i="1" s="1"/>
  <c r="AC11" i="56"/>
  <c r="K25" i="56"/>
  <c r="B137" i="14" s="1"/>
  <c r="AD11" i="28"/>
  <c r="AE13" i="26" l="1"/>
  <c r="BF19" i="34"/>
  <c r="BF50" i="34" s="1"/>
  <c r="BI19" i="34"/>
  <c r="BI50" i="34" s="1"/>
  <c r="BM19" i="34"/>
  <c r="BM50" i="34" s="1"/>
  <c r="BD19" i="34"/>
  <c r="BD50" i="34" s="1"/>
  <c r="BC19" i="34"/>
  <c r="BC50" i="34" s="1"/>
  <c r="BK19" i="34"/>
  <c r="BK50" i="34" s="1"/>
  <c r="AZ19" i="34"/>
  <c r="AZ50" i="34" s="1"/>
  <c r="BG19" i="34"/>
  <c r="BG50" i="34" s="1"/>
  <c r="BE19" i="34"/>
  <c r="BE50" i="34" s="1"/>
  <c r="BA19" i="34"/>
  <c r="BA50" i="34" s="1"/>
  <c r="BC26" i="34"/>
  <c r="BA26" i="34"/>
  <c r="AE34" i="28"/>
  <c r="D13" i="50" s="1"/>
  <c r="N36" i="32"/>
  <c r="K9" i="50"/>
  <c r="I9" i="50"/>
  <c r="L9" i="50"/>
  <c r="N9" i="50"/>
  <c r="M9" i="50"/>
  <c r="R9" i="50"/>
  <c r="G9" i="50"/>
  <c r="U124" i="7"/>
  <c r="O9" i="50"/>
  <c r="Q9" i="50"/>
  <c r="H9" i="50"/>
  <c r="S9" i="50"/>
  <c r="F9" i="50"/>
  <c r="J9" i="50"/>
  <c r="P9" i="50"/>
  <c r="AY28" i="23"/>
  <c r="AY18" i="23" s="1"/>
  <c r="N37" i="32"/>
  <c r="AM118" i="7"/>
  <c r="AM115" i="7" s="1"/>
  <c r="AM114" i="7" s="1"/>
  <c r="M27" i="50" s="1"/>
  <c r="N39" i="32"/>
  <c r="BF115" i="7"/>
  <c r="AE31" i="25"/>
  <c r="D10" i="50" s="1"/>
  <c r="N41" i="32"/>
  <c r="N40" i="32"/>
  <c r="N38" i="32"/>
  <c r="U123" i="7"/>
  <c r="U126" i="7"/>
  <c r="AR29" i="23"/>
  <c r="AR25" i="23" s="1"/>
  <c r="AR24" i="23" s="1"/>
  <c r="R36" i="50" s="1"/>
  <c r="Q80" i="32"/>
  <c r="AA126" i="7"/>
  <c r="BK28" i="23"/>
  <c r="BK18" i="23" s="1"/>
  <c r="BL27" i="34" s="1"/>
  <c r="U122" i="7"/>
  <c r="U121" i="7"/>
  <c r="AY39" i="7"/>
  <c r="N45" i="7"/>
  <c r="N46" i="7" s="1"/>
  <c r="N47" i="7" s="1"/>
  <c r="N48" i="7" s="1"/>
  <c r="N49" i="7" s="1"/>
  <c r="N50" i="7" s="1"/>
  <c r="BH39" i="7"/>
  <c r="BK7" i="1"/>
  <c r="BL19" i="34"/>
  <c r="BL50" i="34" s="1"/>
  <c r="U71" i="7"/>
  <c r="W45" i="7"/>
  <c r="W46" i="7" s="1"/>
  <c r="W47" i="7" s="1"/>
  <c r="W48" i="7" s="1"/>
  <c r="W49" i="7" s="1"/>
  <c r="W50" i="7" s="1"/>
  <c r="BH51" i="7"/>
  <c r="BH12" i="7" s="1"/>
  <c r="W58" i="7"/>
  <c r="W60" i="7"/>
  <c r="W63" i="7"/>
  <c r="W59" i="7"/>
  <c r="W62" i="7"/>
  <c r="W61" i="7"/>
  <c r="AO55" i="7"/>
  <c r="AO38" i="7" s="1"/>
  <c r="O29" i="50" s="1"/>
  <c r="BL51" i="7"/>
  <c r="BL12" i="7" s="1"/>
  <c r="AS55" i="7"/>
  <c r="AS38" i="7" s="1"/>
  <c r="S29" i="50" s="1"/>
  <c r="AA58" i="7"/>
  <c r="AA63" i="7"/>
  <c r="AA59" i="7"/>
  <c r="AA61" i="7"/>
  <c r="AA60" i="7"/>
  <c r="AA62" i="7"/>
  <c r="BA51" i="7"/>
  <c r="BA12" i="7" s="1"/>
  <c r="P63" i="7"/>
  <c r="P62" i="7"/>
  <c r="P61" i="7"/>
  <c r="P58" i="7"/>
  <c r="P60" i="7"/>
  <c r="P59" i="7"/>
  <c r="AH55" i="7"/>
  <c r="BF51" i="7"/>
  <c r="BF12" i="7" s="1"/>
  <c r="U61" i="7"/>
  <c r="U62" i="7"/>
  <c r="U58" i="7"/>
  <c r="U63" i="7"/>
  <c r="U60" i="7"/>
  <c r="U59" i="7"/>
  <c r="AM55" i="7"/>
  <c r="AZ51" i="7"/>
  <c r="AZ12" i="7" s="1"/>
  <c r="O63" i="7"/>
  <c r="O58" i="7"/>
  <c r="O61" i="7"/>
  <c r="O59" i="7"/>
  <c r="O60" i="7"/>
  <c r="O62" i="7"/>
  <c r="AG55" i="7"/>
  <c r="BD51" i="7"/>
  <c r="BD12" i="7" s="1"/>
  <c r="S59" i="7"/>
  <c r="S58" i="7"/>
  <c r="S62" i="7"/>
  <c r="S61" i="7"/>
  <c r="S63" i="7"/>
  <c r="S60" i="7"/>
  <c r="AK55" i="7"/>
  <c r="AK38" i="7" s="1"/>
  <c r="K29" i="50" s="1"/>
  <c r="U135" i="7"/>
  <c r="AZ27" i="23"/>
  <c r="BG51" i="7"/>
  <c r="BG12" i="7" s="1"/>
  <c r="V62" i="7"/>
  <c r="V63" i="7"/>
  <c r="V60" i="7"/>
  <c r="V61" i="7"/>
  <c r="V58" i="7"/>
  <c r="V59" i="7"/>
  <c r="AN55" i="7"/>
  <c r="AN38" i="7" s="1"/>
  <c r="N29" i="50" s="1"/>
  <c r="BE51" i="7"/>
  <c r="BE12" i="7" s="1"/>
  <c r="T63" i="7"/>
  <c r="T59" i="7"/>
  <c r="T61" i="7"/>
  <c r="T58" i="7"/>
  <c r="T60" i="7"/>
  <c r="T62" i="7"/>
  <c r="AL55" i="7"/>
  <c r="AY51" i="7"/>
  <c r="AY12" i="7" s="1"/>
  <c r="N58" i="7"/>
  <c r="N61" i="7"/>
  <c r="N60" i="7"/>
  <c r="N63" i="7"/>
  <c r="N59" i="7"/>
  <c r="N62" i="7"/>
  <c r="AF55" i="7"/>
  <c r="AF38" i="7" s="1"/>
  <c r="F29" i="50" s="1"/>
  <c r="BI51" i="7"/>
  <c r="BI12" i="7" s="1"/>
  <c r="X62" i="7"/>
  <c r="X60" i="7"/>
  <c r="X63" i="7"/>
  <c r="X61" i="7"/>
  <c r="X59" i="7"/>
  <c r="X58" i="7"/>
  <c r="AP55" i="7"/>
  <c r="BC51" i="7"/>
  <c r="BC12" i="7" s="1"/>
  <c r="R61" i="7"/>
  <c r="R59" i="7"/>
  <c r="R62" i="7"/>
  <c r="R58" i="7"/>
  <c r="R60" i="7"/>
  <c r="R63" i="7"/>
  <c r="AJ55" i="7"/>
  <c r="AJ38" i="7" s="1"/>
  <c r="J29" i="50" s="1"/>
  <c r="BB51" i="7"/>
  <c r="BB12" i="7" s="1"/>
  <c r="Q58" i="7"/>
  <c r="Q61" i="7"/>
  <c r="Q60" i="7"/>
  <c r="Q62" i="7"/>
  <c r="Q59" i="7"/>
  <c r="Q63" i="7"/>
  <c r="AI55" i="7"/>
  <c r="AI38" i="7" s="1"/>
  <c r="I29" i="50" s="1"/>
  <c r="BK51" i="7"/>
  <c r="BK12" i="7" s="1"/>
  <c r="Z59" i="7"/>
  <c r="Z60" i="7"/>
  <c r="Z62" i="7"/>
  <c r="Z63" i="7"/>
  <c r="Z61" i="7"/>
  <c r="Z58" i="7"/>
  <c r="AR55" i="7"/>
  <c r="AR38" i="7" s="1"/>
  <c r="R29" i="50" s="1"/>
  <c r="BJ51" i="7"/>
  <c r="BJ12" i="7" s="1"/>
  <c r="Y60" i="7"/>
  <c r="Y62" i="7"/>
  <c r="Y63" i="7"/>
  <c r="Y59" i="7"/>
  <c r="Y58" i="7"/>
  <c r="Y61" i="7"/>
  <c r="AQ55" i="7"/>
  <c r="AF118" i="7"/>
  <c r="AF115" i="7" s="1"/>
  <c r="AF114" i="7" s="1"/>
  <c r="F27" i="50" s="1"/>
  <c r="W74" i="7"/>
  <c r="Q121" i="7"/>
  <c r="U138" i="7"/>
  <c r="U75" i="7"/>
  <c r="AM67" i="7"/>
  <c r="AM64" i="7" s="1"/>
  <c r="M30" i="50" s="1"/>
  <c r="N73" i="7"/>
  <c r="BL39" i="7"/>
  <c r="U72" i="7"/>
  <c r="AM130" i="7"/>
  <c r="AM127" i="7" s="1"/>
  <c r="M28" i="50" s="1"/>
  <c r="U136" i="7"/>
  <c r="R38" i="32"/>
  <c r="Q74" i="7"/>
  <c r="W125" i="7"/>
  <c r="U74" i="7"/>
  <c r="U73" i="7"/>
  <c r="AY127" i="7"/>
  <c r="AF67" i="7"/>
  <c r="AF64" i="7" s="1"/>
  <c r="F30" i="50" s="1"/>
  <c r="Q71" i="7"/>
  <c r="Q78" i="32"/>
  <c r="Q124" i="7"/>
  <c r="U70" i="7"/>
  <c r="V125" i="7"/>
  <c r="R45" i="7"/>
  <c r="R46" i="7" s="1"/>
  <c r="R47" i="7" s="1"/>
  <c r="R48" i="7" s="1"/>
  <c r="R49" i="7" s="1"/>
  <c r="R50" i="7" s="1"/>
  <c r="W126" i="7"/>
  <c r="Q81" i="32"/>
  <c r="AA124" i="7"/>
  <c r="AA123" i="7"/>
  <c r="Z71" i="7"/>
  <c r="AR67" i="7"/>
  <c r="AR64" i="7" s="1"/>
  <c r="R30" i="50" s="1"/>
  <c r="R126" i="7"/>
  <c r="X136" i="7"/>
  <c r="AS118" i="7"/>
  <c r="AS115" i="7" s="1"/>
  <c r="AS114" i="7" s="1"/>
  <c r="S27" i="50" s="1"/>
  <c r="AA122" i="7"/>
  <c r="AA125" i="7"/>
  <c r="AA121" i="7"/>
  <c r="AA78" i="32"/>
  <c r="Y135" i="7"/>
  <c r="Y37" i="32"/>
  <c r="AR130" i="7"/>
  <c r="AR127" i="7" s="1"/>
  <c r="R28" i="50" s="1"/>
  <c r="Z45" i="7"/>
  <c r="Z46" i="7" s="1"/>
  <c r="Z47" i="7" s="1"/>
  <c r="Z48" i="7" s="1"/>
  <c r="Z49" i="7" s="1"/>
  <c r="Z50" i="7" s="1"/>
  <c r="W73" i="7"/>
  <c r="W124" i="7"/>
  <c r="W122" i="7"/>
  <c r="AO118" i="7"/>
  <c r="AO115" i="7" s="1"/>
  <c r="AO114" i="7" s="1"/>
  <c r="O27" i="50" s="1"/>
  <c r="BE39" i="7"/>
  <c r="BE15" i="7" s="1"/>
  <c r="N74" i="7"/>
  <c r="N126" i="7"/>
  <c r="N75" i="7"/>
  <c r="N138" i="7"/>
  <c r="N135" i="7"/>
  <c r="AF130" i="7"/>
  <c r="AF127" i="7" s="1"/>
  <c r="F28" i="50" s="1"/>
  <c r="N136" i="7"/>
  <c r="V122" i="7"/>
  <c r="W38" i="32"/>
  <c r="BI39" i="7"/>
  <c r="AP42" i="7"/>
  <c r="BH27" i="23"/>
  <c r="P74" i="7"/>
  <c r="W121" i="7"/>
  <c r="W123" i="7"/>
  <c r="AL67" i="7"/>
  <c r="AL64" i="7" s="1"/>
  <c r="L30" i="50" s="1"/>
  <c r="AG29" i="23"/>
  <c r="AG25" i="23" s="1"/>
  <c r="AG24" i="23" s="1"/>
  <c r="G36" i="50" s="1"/>
  <c r="W70" i="7"/>
  <c r="W75" i="7"/>
  <c r="T40" i="32"/>
  <c r="AX28" i="23"/>
  <c r="AX18" i="23" s="1"/>
  <c r="AY27" i="34" s="1"/>
  <c r="AO67" i="7"/>
  <c r="AO64" i="7" s="1"/>
  <c r="O30" i="50" s="1"/>
  <c r="AQ130" i="7"/>
  <c r="AQ127" i="7" s="1"/>
  <c r="Q28" i="50" s="1"/>
  <c r="AA41" i="32"/>
  <c r="U133" i="7"/>
  <c r="BC39" i="7"/>
  <c r="AJ118" i="7"/>
  <c r="AJ115" i="7" s="1"/>
  <c r="AJ114" i="7" s="1"/>
  <c r="J27" i="50" s="1"/>
  <c r="Y137" i="7"/>
  <c r="W71" i="7"/>
  <c r="BH64" i="7"/>
  <c r="Y138" i="7"/>
  <c r="Y133" i="7"/>
  <c r="U134" i="7"/>
  <c r="BF127" i="7"/>
  <c r="X126" i="7"/>
  <c r="Z37" i="32"/>
  <c r="AA37" i="32"/>
  <c r="N137" i="7"/>
  <c r="AY64" i="7"/>
  <c r="N70" i="7"/>
  <c r="BC115" i="7"/>
  <c r="R121" i="7"/>
  <c r="Q72" i="7"/>
  <c r="X125" i="7"/>
  <c r="X138" i="7"/>
  <c r="Y123" i="7"/>
  <c r="Q79" i="32"/>
  <c r="Q82" i="32"/>
  <c r="Z36" i="32"/>
  <c r="Q122" i="7"/>
  <c r="V75" i="7"/>
  <c r="M78" i="32"/>
  <c r="T38" i="32"/>
  <c r="N134" i="7"/>
  <c r="N72" i="7"/>
  <c r="BB64" i="7"/>
  <c r="Z39" i="32"/>
  <c r="Q123" i="7"/>
  <c r="BL27" i="23"/>
  <c r="AS31" i="32"/>
  <c r="AS28" i="32" s="1"/>
  <c r="AS27" i="32" s="1"/>
  <c r="S32" i="50" s="1"/>
  <c r="AS29" i="23"/>
  <c r="AS25" i="23" s="1"/>
  <c r="AS24" i="23" s="1"/>
  <c r="S36" i="50" s="1"/>
  <c r="AA38" i="32"/>
  <c r="Z138" i="7"/>
  <c r="Z74" i="7"/>
  <c r="Y71" i="7"/>
  <c r="X134" i="7"/>
  <c r="BI127" i="7"/>
  <c r="AP130" i="7"/>
  <c r="AP127" i="7" s="1"/>
  <c r="P28" i="50" s="1"/>
  <c r="X135" i="7"/>
  <c r="X137" i="7"/>
  <c r="W36" i="32"/>
  <c r="T81" i="32"/>
  <c r="BD28" i="23"/>
  <c r="BD18" i="23" s="1"/>
  <c r="R123" i="7"/>
  <c r="R124" i="7"/>
  <c r="R122" i="7"/>
  <c r="AA39" i="32"/>
  <c r="AA79" i="32"/>
  <c r="AA36" i="32"/>
  <c r="AA45" i="7"/>
  <c r="AA46" i="7" s="1"/>
  <c r="AA47" i="7" s="1"/>
  <c r="AA48" i="7" s="1"/>
  <c r="AA49" i="7" s="1"/>
  <c r="AA50" i="7" s="1"/>
  <c r="Z70" i="7"/>
  <c r="Z135" i="7"/>
  <c r="Z122" i="7"/>
  <c r="V70" i="7"/>
  <c r="V72" i="7"/>
  <c r="U39" i="32"/>
  <c r="AK29" i="23"/>
  <c r="AK25" i="23" s="1"/>
  <c r="AK24" i="23" s="1"/>
  <c r="K36" i="50" s="1"/>
  <c r="S71" i="7"/>
  <c r="T75" i="7"/>
  <c r="T134" i="7"/>
  <c r="AL118" i="7"/>
  <c r="AL115" i="7" s="1"/>
  <c r="AL114" i="7" s="1"/>
  <c r="L27" i="50" s="1"/>
  <c r="AJ31" i="32"/>
  <c r="AJ28" i="32" s="1"/>
  <c r="AJ27" i="32" s="1"/>
  <c r="J32" i="50" s="1"/>
  <c r="R40" i="32"/>
  <c r="R138" i="7"/>
  <c r="BC127" i="7"/>
  <c r="R39" i="32"/>
  <c r="R37" i="32"/>
  <c r="R41" i="32"/>
  <c r="BL64" i="7"/>
  <c r="Z73" i="7"/>
  <c r="BK127" i="7"/>
  <c r="Z137" i="7"/>
  <c r="Z134" i="7"/>
  <c r="Z136" i="7"/>
  <c r="BK39" i="7"/>
  <c r="X121" i="7"/>
  <c r="AP118" i="7"/>
  <c r="AP115" i="7" s="1"/>
  <c r="AP114" i="7" s="1"/>
  <c r="P27" i="50" s="1"/>
  <c r="W40" i="32"/>
  <c r="AO31" i="32"/>
  <c r="AO28" i="32" s="1"/>
  <c r="AO27" i="32" s="1"/>
  <c r="O32" i="50" s="1"/>
  <c r="W39" i="32"/>
  <c r="V126" i="7"/>
  <c r="BG115" i="7"/>
  <c r="U41" i="32"/>
  <c r="T37" i="32"/>
  <c r="T41" i="32"/>
  <c r="T36" i="32"/>
  <c r="T74" i="7"/>
  <c r="T39" i="32"/>
  <c r="T71" i="7"/>
  <c r="S134" i="7"/>
  <c r="S72" i="7"/>
  <c r="S75" i="7"/>
  <c r="AJ130" i="7"/>
  <c r="AJ127" i="7" s="1"/>
  <c r="J28" i="50" s="1"/>
  <c r="R133" i="7"/>
  <c r="R136" i="7"/>
  <c r="R134" i="7"/>
  <c r="R137" i="7"/>
  <c r="AA82" i="32"/>
  <c r="Z41" i="32"/>
  <c r="Z40" i="32"/>
  <c r="AR31" i="32"/>
  <c r="AR28" i="32" s="1"/>
  <c r="AR27" i="32" s="1"/>
  <c r="R32" i="50" s="1"/>
  <c r="Y40" i="32"/>
  <c r="Y38" i="32"/>
  <c r="AQ31" i="32"/>
  <c r="AQ28" i="32" s="1"/>
  <c r="AQ27" i="32" s="1"/>
  <c r="Q32" i="50" s="1"/>
  <c r="Y41" i="32"/>
  <c r="Y39" i="32"/>
  <c r="Y74" i="7"/>
  <c r="AQ29" i="23"/>
  <c r="AQ25" i="23" s="1"/>
  <c r="AQ24" i="23" s="1"/>
  <c r="Q36" i="50" s="1"/>
  <c r="BJ28" i="23"/>
  <c r="BJ27" i="23" s="1"/>
  <c r="X122" i="7"/>
  <c r="BI115" i="7"/>
  <c r="X124" i="7"/>
  <c r="W41" i="32"/>
  <c r="BG64" i="7"/>
  <c r="AN118" i="7"/>
  <c r="AN115" i="7" s="1"/>
  <c r="AN114" i="7" s="1"/>
  <c r="N27" i="50" s="1"/>
  <c r="V123" i="7"/>
  <c r="V121" i="7"/>
  <c r="AM31" i="32"/>
  <c r="AM28" i="32" s="1"/>
  <c r="AM27" i="32" s="1"/>
  <c r="M32" i="50" s="1"/>
  <c r="U40" i="32"/>
  <c r="U38" i="32"/>
  <c r="U37" i="32"/>
  <c r="T73" i="7"/>
  <c r="T70" i="7"/>
  <c r="T83" i="32"/>
  <c r="T80" i="32"/>
  <c r="T72" i="7"/>
  <c r="T135" i="7"/>
  <c r="T124" i="7"/>
  <c r="S70" i="7"/>
  <c r="AK118" i="7"/>
  <c r="AK115" i="7" s="1"/>
  <c r="AK114" i="7" s="1"/>
  <c r="K27" i="50" s="1"/>
  <c r="S73" i="7"/>
  <c r="S74" i="7"/>
  <c r="AJ29" i="23"/>
  <c r="AJ25" i="23" s="1"/>
  <c r="AJ24" i="23" s="1"/>
  <c r="J36" i="50" s="1"/>
  <c r="AA74" i="7"/>
  <c r="AA72" i="7"/>
  <c r="Z75" i="7"/>
  <c r="BK64" i="7"/>
  <c r="Z125" i="7"/>
  <c r="Y70" i="7"/>
  <c r="Y75" i="7"/>
  <c r="BH127" i="7"/>
  <c r="AO29" i="23"/>
  <c r="AO25" i="23" s="1"/>
  <c r="AO24" i="23" s="1"/>
  <c r="O36" i="50" s="1"/>
  <c r="AN29" i="23"/>
  <c r="AN25" i="23" s="1"/>
  <c r="AN24" i="23" s="1"/>
  <c r="N36" i="50" s="1"/>
  <c r="BG27" i="23"/>
  <c r="V134" i="7"/>
  <c r="U45" i="7"/>
  <c r="U46" i="7" s="1"/>
  <c r="U47" i="7" s="1"/>
  <c r="U48" i="7" s="1"/>
  <c r="U49" i="7" s="1"/>
  <c r="U50" i="7" s="1"/>
  <c r="BD64" i="7"/>
  <c r="BC28" i="23"/>
  <c r="BC18" i="23" s="1"/>
  <c r="BD27" i="34" s="1"/>
  <c r="AA81" i="32"/>
  <c r="AA80" i="32"/>
  <c r="BK29" i="1"/>
  <c r="Y72" i="7"/>
  <c r="Y73" i="7"/>
  <c r="Y122" i="7"/>
  <c r="BJ39" i="7"/>
  <c r="AQ67" i="7"/>
  <c r="AQ64" i="7" s="1"/>
  <c r="Q30" i="50" s="1"/>
  <c r="V45" i="7"/>
  <c r="V46" i="7" s="1"/>
  <c r="V47" i="7" s="1"/>
  <c r="V48" i="7" s="1"/>
  <c r="V49" i="7" s="1"/>
  <c r="V50" i="7" s="1"/>
  <c r="BG39" i="7"/>
  <c r="V37" i="32"/>
  <c r="T82" i="32"/>
  <c r="T133" i="7"/>
  <c r="T79" i="32"/>
  <c r="T138" i="7"/>
  <c r="T121" i="7"/>
  <c r="AA70" i="7"/>
  <c r="AA73" i="7"/>
  <c r="AS67" i="7"/>
  <c r="AS64" i="7" s="1"/>
  <c r="S30" i="50" s="1"/>
  <c r="AA75" i="7"/>
  <c r="AR118" i="7"/>
  <c r="AR115" i="7" s="1"/>
  <c r="AR114" i="7" s="1"/>
  <c r="R27" i="50" s="1"/>
  <c r="BK115" i="7"/>
  <c r="Z126" i="7"/>
  <c r="AQ118" i="7"/>
  <c r="AQ115" i="7" s="1"/>
  <c r="AQ114" i="7" s="1"/>
  <c r="Q27" i="50" s="1"/>
  <c r="BJ115" i="7"/>
  <c r="Y125" i="7"/>
  <c r="Y121" i="7"/>
  <c r="Y124" i="7"/>
  <c r="Y134" i="7"/>
  <c r="BJ127" i="7"/>
  <c r="BI28" i="23"/>
  <c r="BI27" i="23" s="1"/>
  <c r="W136" i="7"/>
  <c r="V36" i="32"/>
  <c r="AN67" i="7"/>
  <c r="AN64" i="7" s="1"/>
  <c r="N30" i="50" s="1"/>
  <c r="V38" i="32"/>
  <c r="V40" i="32"/>
  <c r="BG18" i="23"/>
  <c r="V41" i="32"/>
  <c r="V73" i="7"/>
  <c r="V71" i="7"/>
  <c r="AN31" i="32"/>
  <c r="AN28" i="32" s="1"/>
  <c r="AN27" i="32" s="1"/>
  <c r="N32" i="50" s="1"/>
  <c r="AM29" i="23"/>
  <c r="AM25" i="23" s="1"/>
  <c r="AM24" i="23" s="1"/>
  <c r="M36" i="50" s="1"/>
  <c r="BF28" i="23"/>
  <c r="BF18" i="23" s="1"/>
  <c r="BG27" i="34" s="1"/>
  <c r="AL29" i="23"/>
  <c r="AL25" i="23" s="1"/>
  <c r="AL24" i="23" s="1"/>
  <c r="L36" i="50" s="1"/>
  <c r="BE28" i="23"/>
  <c r="BE18" i="23" s="1"/>
  <c r="BF27" i="34" s="1"/>
  <c r="S122" i="7"/>
  <c r="Q138" i="7"/>
  <c r="Q135" i="7"/>
  <c r="Q40" i="32"/>
  <c r="Q134" i="7"/>
  <c r="BB127" i="7"/>
  <c r="Q136" i="7"/>
  <c r="Q133" i="7"/>
  <c r="Q137" i="7"/>
  <c r="Q75" i="7"/>
  <c r="Q73" i="7"/>
  <c r="BB115" i="7"/>
  <c r="Q125" i="7"/>
  <c r="Q126" i="7"/>
  <c r="AI67" i="7"/>
  <c r="AI64" i="7" s="1"/>
  <c r="I30" i="50" s="1"/>
  <c r="Q39" i="32"/>
  <c r="Q37" i="32"/>
  <c r="Q45" i="7"/>
  <c r="Q46" i="7" s="1"/>
  <c r="Q47" i="7" s="1"/>
  <c r="Q48" i="7" s="1"/>
  <c r="Q49" i="7" s="1"/>
  <c r="Q50" i="7" s="1"/>
  <c r="Q38" i="32"/>
  <c r="AI29" i="23"/>
  <c r="AI25" i="23" s="1"/>
  <c r="AI24" i="23" s="1"/>
  <c r="I36" i="50" s="1"/>
  <c r="Q36" i="32"/>
  <c r="BB28" i="23"/>
  <c r="BB27" i="23" s="1"/>
  <c r="Q41" i="32"/>
  <c r="P135" i="7"/>
  <c r="P75" i="7"/>
  <c r="AH42" i="7"/>
  <c r="P136" i="7"/>
  <c r="P137" i="7"/>
  <c r="P38" i="32"/>
  <c r="P126" i="7"/>
  <c r="BA39" i="7"/>
  <c r="P133" i="7"/>
  <c r="BA127" i="7"/>
  <c r="AH130" i="7"/>
  <c r="AH127" i="7" s="1"/>
  <c r="H28" i="50" s="1"/>
  <c r="P134" i="7"/>
  <c r="P123" i="7"/>
  <c r="BA28" i="23"/>
  <c r="BA18" i="23" s="1"/>
  <c r="BB27" i="34" s="1"/>
  <c r="AH29" i="23"/>
  <c r="AH25" i="23" s="1"/>
  <c r="AH24" i="23" s="1"/>
  <c r="H36" i="50" s="1"/>
  <c r="AH67" i="7"/>
  <c r="AH64" i="7" s="1"/>
  <c r="H30" i="50" s="1"/>
  <c r="P125" i="7"/>
  <c r="P70" i="7"/>
  <c r="P121" i="7"/>
  <c r="O134" i="7"/>
  <c r="B35" i="14"/>
  <c r="O137" i="7"/>
  <c r="O136" i="7"/>
  <c r="AG130" i="7"/>
  <c r="AG127" i="7" s="1"/>
  <c r="G28" i="50" s="1"/>
  <c r="O138" i="7"/>
  <c r="O133" i="7"/>
  <c r="AZ127" i="7"/>
  <c r="AZ29" i="1"/>
  <c r="B29" i="14"/>
  <c r="O122" i="7"/>
  <c r="P39" i="32"/>
  <c r="P37" i="32"/>
  <c r="P71" i="7"/>
  <c r="P72" i="7"/>
  <c r="B44" i="14"/>
  <c r="P73" i="7"/>
  <c r="AH31" i="32"/>
  <c r="AH28" i="32" s="1"/>
  <c r="AH27" i="32" s="1"/>
  <c r="H32" i="50" s="1"/>
  <c r="P41" i="32"/>
  <c r="P40" i="32"/>
  <c r="O37" i="32"/>
  <c r="AG31" i="32"/>
  <c r="AG28" i="32" s="1"/>
  <c r="AG27" i="32" s="1"/>
  <c r="G32" i="50" s="1"/>
  <c r="O38" i="32"/>
  <c r="O36" i="32"/>
  <c r="O41" i="32"/>
  <c r="O39" i="32"/>
  <c r="B53" i="14"/>
  <c r="N81" i="32"/>
  <c r="N78" i="32"/>
  <c r="N79" i="32"/>
  <c r="B47" i="14"/>
  <c r="B41" i="14"/>
  <c r="B38" i="14"/>
  <c r="B56" i="14"/>
  <c r="N82" i="32"/>
  <c r="N83" i="32"/>
  <c r="W137" i="7"/>
  <c r="N123" i="7"/>
  <c r="AL42" i="7"/>
  <c r="Y45" i="7"/>
  <c r="Y46" i="7" s="1"/>
  <c r="Y47" i="7" s="1"/>
  <c r="Y48" i="7" s="1"/>
  <c r="Y49" i="7" s="1"/>
  <c r="Y50" i="7" s="1"/>
  <c r="M79" i="32"/>
  <c r="X41" i="32"/>
  <c r="W134" i="7"/>
  <c r="AY115" i="7"/>
  <c r="N124" i="7"/>
  <c r="O126" i="7"/>
  <c r="M83" i="32"/>
  <c r="N125" i="7"/>
  <c r="W135" i="7"/>
  <c r="X36" i="32"/>
  <c r="AO130" i="7"/>
  <c r="AO127" i="7" s="1"/>
  <c r="O28" i="50" s="1"/>
  <c r="W138" i="7"/>
  <c r="BG127" i="7"/>
  <c r="N122" i="7"/>
  <c r="AZ18" i="23"/>
  <c r="M82" i="32"/>
  <c r="M81" i="32"/>
  <c r="AE29" i="55"/>
  <c r="B50" i="14"/>
  <c r="X38" i="32"/>
  <c r="V133" i="7"/>
  <c r="V137" i="7"/>
  <c r="AZ115" i="7"/>
  <c r="O124" i="7"/>
  <c r="S126" i="7"/>
  <c r="S121" i="7"/>
  <c r="S138" i="7"/>
  <c r="S137" i="7"/>
  <c r="AK130" i="7"/>
  <c r="AK127" i="7" s="1"/>
  <c r="K28" i="50" s="1"/>
  <c r="BD127" i="7"/>
  <c r="AP31" i="32"/>
  <c r="AP28" i="32" s="1"/>
  <c r="AP27" i="32" s="1"/>
  <c r="P32" i="50" s="1"/>
  <c r="V138" i="7"/>
  <c r="V135" i="7"/>
  <c r="T137" i="7"/>
  <c r="AL130" i="7"/>
  <c r="AL127" i="7" s="1"/>
  <c r="L28" i="50" s="1"/>
  <c r="AG118" i="7"/>
  <c r="AG115" i="7" s="1"/>
  <c r="AG114" i="7" s="1"/>
  <c r="G27" i="50" s="1"/>
  <c r="O121" i="7"/>
  <c r="S124" i="7"/>
  <c r="S125" i="7"/>
  <c r="BA115" i="7"/>
  <c r="P122" i="7"/>
  <c r="BB39" i="7"/>
  <c r="T126" i="7"/>
  <c r="T123" i="7"/>
  <c r="AP29" i="23"/>
  <c r="AP25" i="23" s="1"/>
  <c r="AP24" i="23" s="1"/>
  <c r="P36" i="50" s="1"/>
  <c r="AM42" i="7"/>
  <c r="S45" i="7"/>
  <c r="S46" i="7" s="1"/>
  <c r="S47" i="7" s="1"/>
  <c r="S48" i="7" s="1"/>
  <c r="S49" i="7" s="1"/>
  <c r="S50" i="7" s="1"/>
  <c r="BD39" i="7"/>
  <c r="S135" i="7"/>
  <c r="S136" i="7"/>
  <c r="X40" i="32"/>
  <c r="X37" i="32"/>
  <c r="AN130" i="7"/>
  <c r="AN127" i="7" s="1"/>
  <c r="N28" i="50" s="1"/>
  <c r="B15" i="4"/>
  <c r="T136" i="7"/>
  <c r="O123" i="7"/>
  <c r="S123" i="7"/>
  <c r="AH118" i="7"/>
  <c r="AH115" i="7" s="1"/>
  <c r="AH114" i="7" s="1"/>
  <c r="H27" i="50" s="1"/>
  <c r="Z123" i="7"/>
  <c r="Z124" i="7"/>
  <c r="T125" i="7"/>
  <c r="T122" i="7"/>
  <c r="O45" i="7"/>
  <c r="O46" i="7" s="1"/>
  <c r="O47" i="7" s="1"/>
  <c r="O48" i="7" s="1"/>
  <c r="O49" i="7" s="1"/>
  <c r="O50" i="7" s="1"/>
  <c r="AG42" i="7"/>
  <c r="B155" i="14"/>
  <c r="B147" i="14"/>
  <c r="B151" i="14"/>
  <c r="B127" i="14"/>
  <c r="BF29" i="1"/>
  <c r="BF19" i="1"/>
  <c r="BG26" i="34" s="1"/>
  <c r="B130" i="14"/>
  <c r="B132" i="14"/>
  <c r="BI29" i="1"/>
  <c r="BI19" i="1"/>
  <c r="BJ26" i="34" s="1"/>
  <c r="AE36" i="1"/>
  <c r="AX32" i="1"/>
  <c r="AX31" i="1"/>
  <c r="V80" i="32"/>
  <c r="V82" i="32"/>
  <c r="V79" i="32"/>
  <c r="V81" i="32"/>
  <c r="V78" i="32"/>
  <c r="V83" i="32"/>
  <c r="B40" i="14"/>
  <c r="B52" i="14"/>
  <c r="B43" i="14"/>
  <c r="B31" i="14"/>
  <c r="B49" i="14"/>
  <c r="B55" i="14"/>
  <c r="B58" i="14"/>
  <c r="B46" i="14"/>
  <c r="B37" i="14"/>
  <c r="B34" i="14"/>
  <c r="B142" i="14"/>
  <c r="B143" i="14"/>
  <c r="AE47" i="1"/>
  <c r="AW48" i="23"/>
  <c r="AX47" i="23"/>
  <c r="AW47" i="23" s="1"/>
  <c r="AY19" i="1"/>
  <c r="AY29" i="1"/>
  <c r="BL19" i="1"/>
  <c r="BL29" i="1"/>
  <c r="B23" i="14"/>
  <c r="B24" i="14"/>
  <c r="B22" i="14"/>
  <c r="B27" i="14"/>
  <c r="B26" i="14"/>
  <c r="B25" i="14"/>
  <c r="B19" i="14"/>
  <c r="B28" i="14"/>
  <c r="B18" i="14"/>
  <c r="B20" i="14"/>
  <c r="B21" i="14"/>
  <c r="S79" i="32"/>
  <c r="S78" i="32"/>
  <c r="S83" i="32"/>
  <c r="S81" i="32"/>
  <c r="S82" i="32"/>
  <c r="S80" i="32"/>
  <c r="BH18" i="23"/>
  <c r="BI27" i="34" s="1"/>
  <c r="P81" i="32"/>
  <c r="P79" i="32"/>
  <c r="P80" i="32"/>
  <c r="P82" i="32"/>
  <c r="P83" i="32"/>
  <c r="P78" i="32"/>
  <c r="M41" i="32"/>
  <c r="M36" i="32"/>
  <c r="M39" i="32"/>
  <c r="M37" i="32"/>
  <c r="M38" i="32"/>
  <c r="AE31" i="32"/>
  <c r="M40" i="32"/>
  <c r="AG83" i="1"/>
  <c r="AG82" i="1" s="1"/>
  <c r="G6" i="50" s="1"/>
  <c r="AD89" i="1"/>
  <c r="AD83" i="1" s="1"/>
  <c r="AD82" i="1" s="1"/>
  <c r="D6" i="50" s="1"/>
  <c r="O73" i="7"/>
  <c r="O74" i="7"/>
  <c r="O70" i="7"/>
  <c r="AG67" i="7"/>
  <c r="AG64" i="7" s="1"/>
  <c r="G30" i="50" s="1"/>
  <c r="AZ64" i="7"/>
  <c r="O71" i="7"/>
  <c r="O75" i="7"/>
  <c r="O72" i="7"/>
  <c r="B129" i="14"/>
  <c r="B131" i="14"/>
  <c r="AE65" i="1"/>
  <c r="AD69" i="1"/>
  <c r="AD65" i="1" s="1"/>
  <c r="W83" i="32"/>
  <c r="W82" i="32"/>
  <c r="W79" i="32"/>
  <c r="W78" i="32"/>
  <c r="W81" i="32"/>
  <c r="W80" i="32"/>
  <c r="AD49" i="23"/>
  <c r="AE45" i="23"/>
  <c r="BE19" i="1"/>
  <c r="BE29" i="1"/>
  <c r="X83" i="32"/>
  <c r="X78" i="32"/>
  <c r="X81" i="32"/>
  <c r="X80" i="32"/>
  <c r="X79" i="32"/>
  <c r="X82" i="32"/>
  <c r="BB7" i="1"/>
  <c r="AD111" i="1"/>
  <c r="AD108" i="1" s="1"/>
  <c r="AD107" i="1" s="1"/>
  <c r="D4" i="50" s="1"/>
  <c r="AE108" i="1"/>
  <c r="AE107" i="1" s="1"/>
  <c r="E4" i="50" s="1"/>
  <c r="BA19" i="1"/>
  <c r="BB26" i="34" s="1"/>
  <c r="BA29" i="1"/>
  <c r="BJ19" i="1"/>
  <c r="BJ29" i="1"/>
  <c r="BD29" i="1"/>
  <c r="BD19" i="1"/>
  <c r="R80" i="32"/>
  <c r="R79" i="32"/>
  <c r="R82" i="32"/>
  <c r="R83" i="32"/>
  <c r="R81" i="32"/>
  <c r="R78" i="32"/>
  <c r="U80" i="32"/>
  <c r="U78" i="32"/>
  <c r="U81" i="32"/>
  <c r="U83" i="32"/>
  <c r="U82" i="32"/>
  <c r="U79" i="32"/>
  <c r="X75" i="7"/>
  <c r="X74" i="7"/>
  <c r="X70" i="7"/>
  <c r="X72" i="7"/>
  <c r="BI64" i="7"/>
  <c r="AP67" i="7"/>
  <c r="AP64" i="7" s="1"/>
  <c r="P30" i="50" s="1"/>
  <c r="X71" i="7"/>
  <c r="X73" i="7"/>
  <c r="O82" i="32"/>
  <c r="O79" i="32"/>
  <c r="O80" i="32"/>
  <c r="O81" i="32"/>
  <c r="O83" i="32"/>
  <c r="O78" i="32"/>
  <c r="M133" i="7"/>
  <c r="M138" i="7"/>
  <c r="M134" i="7"/>
  <c r="M135" i="7"/>
  <c r="AX127" i="7"/>
  <c r="M136" i="7"/>
  <c r="M137" i="7"/>
  <c r="AE130" i="7"/>
  <c r="B152" i="14"/>
  <c r="B156" i="14"/>
  <c r="B128" i="14"/>
  <c r="B148" i="14"/>
  <c r="AA136" i="7"/>
  <c r="AA134" i="7"/>
  <c r="AA138" i="7"/>
  <c r="AA133" i="7"/>
  <c r="BL127" i="7"/>
  <c r="AA135" i="7"/>
  <c r="AA137" i="7"/>
  <c r="AS130" i="7"/>
  <c r="AS127" i="7" s="1"/>
  <c r="S28" i="50" s="1"/>
  <c r="Y82" i="32"/>
  <c r="Y79" i="32"/>
  <c r="Y78" i="32"/>
  <c r="Y80" i="32"/>
  <c r="Y81" i="32"/>
  <c r="Y83" i="32"/>
  <c r="M72" i="7"/>
  <c r="M70" i="7"/>
  <c r="M73" i="7"/>
  <c r="AX64" i="7"/>
  <c r="M74" i="7"/>
  <c r="AE67" i="7"/>
  <c r="M71" i="7"/>
  <c r="M75" i="7"/>
  <c r="R74" i="7"/>
  <c r="R73" i="7"/>
  <c r="R70" i="7"/>
  <c r="BC64" i="7"/>
  <c r="R72" i="7"/>
  <c r="AJ67" i="7"/>
  <c r="AJ64" i="7" s="1"/>
  <c r="J30" i="50" s="1"/>
  <c r="R71" i="7"/>
  <c r="R75" i="7"/>
  <c r="Z83" i="32"/>
  <c r="Z80" i="32"/>
  <c r="Z81" i="32"/>
  <c r="Z78" i="32"/>
  <c r="Z82" i="32"/>
  <c r="Z79" i="32"/>
  <c r="B45" i="14"/>
  <c r="B57" i="14"/>
  <c r="B42" i="14"/>
  <c r="B33" i="14"/>
  <c r="B39" i="14"/>
  <c r="B51" i="14"/>
  <c r="B30" i="14"/>
  <c r="B36" i="14"/>
  <c r="B48" i="14"/>
  <c r="B54" i="14"/>
  <c r="AF100" i="1"/>
  <c r="AE122" i="1"/>
  <c r="BG19" i="1"/>
  <c r="BH26" i="34" s="1"/>
  <c r="BG29" i="1"/>
  <c r="M125" i="7"/>
  <c r="M124" i="7"/>
  <c r="AE118" i="7"/>
  <c r="M122" i="7"/>
  <c r="M121" i="7"/>
  <c r="M126" i="7"/>
  <c r="M123" i="7"/>
  <c r="AX115" i="7"/>
  <c r="BL5" i="23"/>
  <c r="BB29" i="1"/>
  <c r="BC29" i="1"/>
  <c r="BC19" i="1"/>
  <c r="AZ7" i="1"/>
  <c r="BH29" i="1"/>
  <c r="BH19" i="1"/>
  <c r="AD58" i="1"/>
  <c r="AD54" i="1" s="1"/>
  <c r="D3" i="50" s="1"/>
  <c r="N84" i="34" l="1"/>
  <c r="BB17" i="34"/>
  <c r="BB46" i="34" s="1"/>
  <c r="BB52" i="34" s="1"/>
  <c r="BI17" i="34"/>
  <c r="BI46" i="34" s="1"/>
  <c r="BI52" i="34" s="1"/>
  <c r="BL17" i="34"/>
  <c r="BL46" i="34" s="1"/>
  <c r="BL52" i="34" s="1"/>
  <c r="BD17" i="34"/>
  <c r="BD46" i="34" s="1"/>
  <c r="BD52" i="34" s="1"/>
  <c r="BJ17" i="34"/>
  <c r="AZ17" i="34"/>
  <c r="BH17" i="34"/>
  <c r="BI26" i="34"/>
  <c r="BH27" i="34"/>
  <c r="BF26" i="34"/>
  <c r="BD26" i="34"/>
  <c r="BE26" i="34"/>
  <c r="BD5" i="23"/>
  <c r="BE27" i="34"/>
  <c r="AZ5" i="23"/>
  <c r="BA27" i="34"/>
  <c r="BM26" i="34"/>
  <c r="BK26" i="34"/>
  <c r="AZ27" i="34"/>
  <c r="AY27" i="23"/>
  <c r="BK27" i="23"/>
  <c r="BD15" i="7"/>
  <c r="BF15" i="7"/>
  <c r="AZ15" i="7"/>
  <c r="BA15" i="7"/>
  <c r="BE17" i="34"/>
  <c r="R84" i="34"/>
  <c r="BI15" i="7"/>
  <c r="BH15" i="7"/>
  <c r="BC15" i="7"/>
  <c r="BG17" i="34"/>
  <c r="BG46" i="34" s="1"/>
  <c r="BG52" i="34" s="1"/>
  <c r="T84" i="34"/>
  <c r="BM17" i="34"/>
  <c r="BM46" i="34" s="1"/>
  <c r="BM52" i="34" s="1"/>
  <c r="Z84" i="34"/>
  <c r="AY15" i="7"/>
  <c r="BB15" i="7"/>
  <c r="BK15" i="7"/>
  <c r="BL15" i="7"/>
  <c r="BC17" i="34"/>
  <c r="P84" i="34"/>
  <c r="W84" i="34"/>
  <c r="BF17" i="34"/>
  <c r="BF46" i="34" s="1"/>
  <c r="BF52" i="34" s="1"/>
  <c r="S84" i="34"/>
  <c r="BG15" i="7"/>
  <c r="BJ15" i="7"/>
  <c r="Z102" i="34"/>
  <c r="Z104" i="34" s="1"/>
  <c r="AL38" i="7"/>
  <c r="L29" i="50" s="1"/>
  <c r="AP38" i="7"/>
  <c r="P29" i="50" s="1"/>
  <c r="AG38" i="7"/>
  <c r="G29" i="50" s="1"/>
  <c r="AM38" i="7"/>
  <c r="M29" i="50" s="1"/>
  <c r="AH38" i="7"/>
  <c r="H29" i="50" s="1"/>
  <c r="AQ38" i="7"/>
  <c r="Q29" i="50" s="1"/>
  <c r="BI18" i="23"/>
  <c r="BD27" i="23"/>
  <c r="BF114" i="7"/>
  <c r="BF82" i="7" s="1"/>
  <c r="BF38" i="7" s="1"/>
  <c r="AY114" i="7"/>
  <c r="AY82" i="7" s="1"/>
  <c r="AY38" i="7" s="1"/>
  <c r="BA27" i="23"/>
  <c r="BF27" i="23"/>
  <c r="BJ18" i="23"/>
  <c r="BJ7" i="1"/>
  <c r="BG5" i="23"/>
  <c r="BJ114" i="7"/>
  <c r="BJ82" i="7" s="1"/>
  <c r="BJ38" i="7" s="1"/>
  <c r="BE27" i="23"/>
  <c r="BH114" i="7"/>
  <c r="BH82" i="7" s="1"/>
  <c r="BH38" i="7" s="1"/>
  <c r="BC27" i="23"/>
  <c r="BB18" i="23"/>
  <c r="AD25" i="23"/>
  <c r="AD24" i="23" s="1"/>
  <c r="D36" i="50" s="1"/>
  <c r="AW28" i="23"/>
  <c r="AD29" i="23"/>
  <c r="AZ114" i="7"/>
  <c r="AZ82" i="7" s="1"/>
  <c r="AZ38" i="7" s="1"/>
  <c r="BH7" i="1"/>
  <c r="BA114" i="7"/>
  <c r="BA82" i="7" s="1"/>
  <c r="BA38" i="7" s="1"/>
  <c r="AX27" i="23"/>
  <c r="BA5" i="23"/>
  <c r="AY5" i="23"/>
  <c r="AE44" i="1"/>
  <c r="AE43" i="1" s="1"/>
  <c r="E7" i="50" s="1"/>
  <c r="AD47" i="1"/>
  <c r="AD44" i="1" s="1"/>
  <c r="AD43" i="1" s="1"/>
  <c r="D7" i="50" s="1"/>
  <c r="BE5" i="23"/>
  <c r="BF7" i="1"/>
  <c r="BF5" i="23"/>
  <c r="AW115" i="7"/>
  <c r="AY7" i="1"/>
  <c r="BG7" i="1"/>
  <c r="AF97" i="1"/>
  <c r="AF96" i="1" s="1"/>
  <c r="F8" i="50" s="1"/>
  <c r="AD100" i="1"/>
  <c r="AD97" i="1" s="1"/>
  <c r="AD96" i="1" s="1"/>
  <c r="D8" i="50" s="1"/>
  <c r="AW64" i="7"/>
  <c r="BC5" i="23"/>
  <c r="BA7" i="1"/>
  <c r="BC7" i="1"/>
  <c r="AE28" i="32"/>
  <c r="AE27" i="32" s="1"/>
  <c r="E32" i="50" s="1"/>
  <c r="AD31" i="32"/>
  <c r="AD28" i="32" s="1"/>
  <c r="AD27" i="32" s="1"/>
  <c r="D32" i="50" s="1"/>
  <c r="BL7" i="1"/>
  <c r="AX19" i="1"/>
  <c r="AY26" i="34" s="1"/>
  <c r="AX29" i="1"/>
  <c r="AW29" i="1" s="1"/>
  <c r="AW31" i="1"/>
  <c r="AE64" i="7"/>
  <c r="E30" i="50" s="1"/>
  <c r="AD67" i="7"/>
  <c r="AD64" i="7" s="1"/>
  <c r="D30" i="50" s="1"/>
  <c r="AD130" i="7"/>
  <c r="AD127" i="7" s="1"/>
  <c r="D28" i="50" s="1"/>
  <c r="AE127" i="7"/>
  <c r="E28" i="50" s="1"/>
  <c r="BD7" i="1"/>
  <c r="BE7" i="1"/>
  <c r="AE115" i="7"/>
  <c r="AD118" i="7"/>
  <c r="AD122" i="1"/>
  <c r="AD119" i="1" s="1"/>
  <c r="AD118" i="1" s="1"/>
  <c r="AE119" i="1"/>
  <c r="AE118" i="1" s="1"/>
  <c r="BL114" i="7"/>
  <c r="BL82" i="7" s="1"/>
  <c r="BL38" i="7" s="1"/>
  <c r="AW127" i="7"/>
  <c r="AX5" i="23"/>
  <c r="AD45" i="23"/>
  <c r="AD44" i="23" s="1"/>
  <c r="D35" i="50" s="1"/>
  <c r="AE44" i="23"/>
  <c r="BK5" i="23"/>
  <c r="BH5" i="23"/>
  <c r="AW32" i="1"/>
  <c r="AX13" i="1"/>
  <c r="AE29" i="1"/>
  <c r="E5" i="50" s="1"/>
  <c r="AD36" i="1"/>
  <c r="AD29" i="1" s="1"/>
  <c r="D5" i="50" s="1"/>
  <c r="BI7" i="1"/>
  <c r="BE46" i="34" l="1"/>
  <c r="BE52" i="34" s="1"/>
  <c r="BH46" i="34"/>
  <c r="BH52" i="34" s="1"/>
  <c r="AZ46" i="34"/>
  <c r="AZ52" i="34" s="1"/>
  <c r="Q84" i="34"/>
  <c r="Q88" i="34" s="1"/>
  <c r="BA17" i="34"/>
  <c r="BA46" i="34" s="1"/>
  <c r="BA52" i="34" s="1"/>
  <c r="V84" i="34"/>
  <c r="V88" i="34" s="1"/>
  <c r="Y84" i="34"/>
  <c r="Y86" i="34" s="1"/>
  <c r="M84" i="34"/>
  <c r="M88" i="34" s="1"/>
  <c r="U84" i="34"/>
  <c r="U88" i="34" s="1"/>
  <c r="O84" i="34"/>
  <c r="O86" i="34" s="1"/>
  <c r="AF19" i="34"/>
  <c r="Z269" i="34"/>
  <c r="Z270" i="34" s="1"/>
  <c r="Z271" i="34" s="1"/>
  <c r="Z272" i="34" s="1"/>
  <c r="Z273" i="34" s="1"/>
  <c r="BJ20" i="34"/>
  <c r="O269" i="34"/>
  <c r="O270" i="34" s="1"/>
  <c r="O271" i="34" s="1"/>
  <c r="O272" i="34" s="1"/>
  <c r="O273" i="34" s="1"/>
  <c r="N269" i="34"/>
  <c r="N270" i="34" s="1"/>
  <c r="N271" i="34" s="1"/>
  <c r="N272" i="34" s="1"/>
  <c r="N273" i="34" s="1"/>
  <c r="M269" i="34"/>
  <c r="M270" i="34" s="1"/>
  <c r="M271" i="34" s="1"/>
  <c r="M272" i="34" s="1"/>
  <c r="M273" i="34" s="1"/>
  <c r="BG20" i="34"/>
  <c r="U102" i="34"/>
  <c r="U104" i="34" s="1"/>
  <c r="BJ27" i="34"/>
  <c r="BJ46" i="34" s="1"/>
  <c r="BJ52" i="34" s="1"/>
  <c r="BB5" i="23"/>
  <c r="BC27" i="34"/>
  <c r="BC46" i="34" s="1"/>
  <c r="BC52" i="34" s="1"/>
  <c r="BJ5" i="23"/>
  <c r="AZ26" i="34"/>
  <c r="AX26" i="34" s="1"/>
  <c r="AF26" i="34"/>
  <c r="B15" i="23"/>
  <c r="E35" i="50"/>
  <c r="S85" i="34"/>
  <c r="S86" i="34"/>
  <c r="S87" i="34"/>
  <c r="S88" i="34"/>
  <c r="P87" i="34"/>
  <c r="P88" i="34"/>
  <c r="P85" i="34"/>
  <c r="P86" i="34"/>
  <c r="Z85" i="34"/>
  <c r="Z86" i="34"/>
  <c r="Z87" i="34"/>
  <c r="Z88" i="34"/>
  <c r="T87" i="34"/>
  <c r="T88" i="34"/>
  <c r="T85" i="34"/>
  <c r="T86" i="34"/>
  <c r="BM20" i="34"/>
  <c r="W86" i="34"/>
  <c r="W87" i="34"/>
  <c r="W88" i="34"/>
  <c r="W85" i="34"/>
  <c r="R85" i="34"/>
  <c r="R86" i="34"/>
  <c r="R87" i="34"/>
  <c r="R88" i="34"/>
  <c r="N85" i="34"/>
  <c r="N87" i="34"/>
  <c r="N88" i="34"/>
  <c r="N86" i="34"/>
  <c r="BK17" i="34"/>
  <c r="X84" i="34"/>
  <c r="Q102" i="34"/>
  <c r="Q106" i="34" s="1"/>
  <c r="R102" i="34"/>
  <c r="R105" i="34" s="1"/>
  <c r="T102" i="34"/>
  <c r="T103" i="34" s="1"/>
  <c r="S102" i="34"/>
  <c r="S105" i="34" s="1"/>
  <c r="N102" i="34"/>
  <c r="N103" i="34" s="1"/>
  <c r="V102" i="34"/>
  <c r="V103" i="34" s="1"/>
  <c r="M102" i="34"/>
  <c r="M105" i="34" s="1"/>
  <c r="Y102" i="34"/>
  <c r="Y105" i="34" s="1"/>
  <c r="O102" i="34"/>
  <c r="O104" i="34" s="1"/>
  <c r="BF7" i="7"/>
  <c r="BI5" i="23"/>
  <c r="BG7" i="7"/>
  <c r="BB7" i="7"/>
  <c r="BC7" i="7"/>
  <c r="BD7" i="7"/>
  <c r="BJ7" i="7"/>
  <c r="BK7" i="7"/>
  <c r="BH7" i="7"/>
  <c r="BE7" i="7"/>
  <c r="Z103" i="34"/>
  <c r="Z105" i="34"/>
  <c r="Z106" i="34"/>
  <c r="BI7" i="7"/>
  <c r="AZ7" i="7"/>
  <c r="AW27" i="23"/>
  <c r="AW18" i="23"/>
  <c r="BA7" i="7"/>
  <c r="AY7" i="7"/>
  <c r="AD115" i="7"/>
  <c r="AD114" i="7" s="1"/>
  <c r="D27" i="50" s="1"/>
  <c r="AE114" i="7"/>
  <c r="E27" i="50" s="1"/>
  <c r="BL7" i="7"/>
  <c r="AX7" i="1"/>
  <c r="AW7" i="1" s="1"/>
  <c r="AW13" i="1"/>
  <c r="AW14" i="7"/>
  <c r="AW19" i="1"/>
  <c r="V86" i="34" l="1"/>
  <c r="V87" i="34"/>
  <c r="Q87" i="34"/>
  <c r="Y88" i="34"/>
  <c r="Y87" i="34"/>
  <c r="M85" i="34"/>
  <c r="V85" i="34"/>
  <c r="Y85" i="34"/>
  <c r="Q85" i="34"/>
  <c r="Q86" i="34"/>
  <c r="M87" i="34"/>
  <c r="M86" i="34"/>
  <c r="U103" i="34"/>
  <c r="AW5" i="23"/>
  <c r="U87" i="34"/>
  <c r="O85" i="34"/>
  <c r="O87" i="34"/>
  <c r="O88" i="34"/>
  <c r="BA20" i="34"/>
  <c r="W269" i="34"/>
  <c r="W270" i="34" s="1"/>
  <c r="W271" i="34" s="1"/>
  <c r="W272" i="34" s="1"/>
  <c r="W273" i="34" s="1"/>
  <c r="AZ20" i="34"/>
  <c r="U86" i="34"/>
  <c r="U85" i="34"/>
  <c r="BB20" i="34"/>
  <c r="U105" i="34"/>
  <c r="U106" i="34"/>
  <c r="AY19" i="34"/>
  <c r="AY50" i="34" s="1"/>
  <c r="AX50" i="34" s="1"/>
  <c r="T269" i="34"/>
  <c r="T270" i="34" s="1"/>
  <c r="T271" i="34" s="1"/>
  <c r="T272" i="34" s="1"/>
  <c r="T273" i="34" s="1"/>
  <c r="AI10" i="34"/>
  <c r="AO10" i="34"/>
  <c r="AJ10" i="34"/>
  <c r="W102" i="34"/>
  <c r="W103" i="34" s="1"/>
  <c r="AR10" i="34"/>
  <c r="BK27" i="34"/>
  <c r="AX27" i="34" s="1"/>
  <c r="AF27" i="34"/>
  <c r="BJ10" i="34"/>
  <c r="BF20" i="34"/>
  <c r="S269" i="34"/>
  <c r="S270" i="34" s="1"/>
  <c r="S271" i="34" s="1"/>
  <c r="S272" i="34" s="1"/>
  <c r="S273" i="34" s="1"/>
  <c r="BE20" i="34"/>
  <c r="R269" i="34"/>
  <c r="R270" i="34" s="1"/>
  <c r="R271" i="34" s="1"/>
  <c r="R272" i="34" s="1"/>
  <c r="R273" i="34" s="1"/>
  <c r="BC20" i="34"/>
  <c r="P269" i="34"/>
  <c r="P270" i="34" s="1"/>
  <c r="P271" i="34" s="1"/>
  <c r="P272" i="34" s="1"/>
  <c r="P273" i="34" s="1"/>
  <c r="BI20" i="34"/>
  <c r="V269" i="34"/>
  <c r="V270" i="34" s="1"/>
  <c r="V271" i="34" s="1"/>
  <c r="V272" i="34" s="1"/>
  <c r="V273" i="34" s="1"/>
  <c r="BD20" i="34"/>
  <c r="Q269" i="34"/>
  <c r="Q270" i="34" s="1"/>
  <c r="Q271" i="34" s="1"/>
  <c r="Q272" i="34" s="1"/>
  <c r="Q273" i="34" s="1"/>
  <c r="BL20" i="34"/>
  <c r="Y269" i="34"/>
  <c r="Y270" i="34" s="1"/>
  <c r="Y271" i="34" s="1"/>
  <c r="Y272" i="34" s="1"/>
  <c r="Y273" i="34" s="1"/>
  <c r="BH20" i="34"/>
  <c r="U269" i="34"/>
  <c r="U270" i="34" s="1"/>
  <c r="U271" i="34" s="1"/>
  <c r="U272" i="34" s="1"/>
  <c r="U273" i="34" s="1"/>
  <c r="BK20" i="34"/>
  <c r="X269" i="34"/>
  <c r="X270" i="34" s="1"/>
  <c r="X271" i="34" s="1"/>
  <c r="X272" i="34" s="1"/>
  <c r="X273" i="34" s="1"/>
  <c r="X88" i="34"/>
  <c r="X85" i="34"/>
  <c r="X86" i="34"/>
  <c r="X87" i="34"/>
  <c r="P102" i="34"/>
  <c r="P103" i="34" s="1"/>
  <c r="X102" i="34"/>
  <c r="X104" i="34" s="1"/>
  <c r="AZ10" i="34"/>
  <c r="BG10" i="34"/>
  <c r="BM10" i="34"/>
  <c r="Q103" i="34"/>
  <c r="M103" i="34"/>
  <c r="V105" i="34"/>
  <c r="T105" i="34"/>
  <c r="M106" i="34"/>
  <c r="Q105" i="34"/>
  <c r="Y106" i="34"/>
  <c r="O103" i="34"/>
  <c r="T104" i="34"/>
  <c r="O106" i="34"/>
  <c r="O105" i="34"/>
  <c r="T106" i="34"/>
  <c r="N106" i="34"/>
  <c r="Y103" i="34"/>
  <c r="R103" i="34"/>
  <c r="M104" i="34"/>
  <c r="Q104" i="34"/>
  <c r="Y104" i="34"/>
  <c r="N104" i="34"/>
  <c r="R104" i="34"/>
  <c r="V104" i="34"/>
  <c r="N105" i="34"/>
  <c r="R106" i="34"/>
  <c r="AM10" i="34"/>
  <c r="AL10" i="34"/>
  <c r="V106" i="34"/>
  <c r="AQ10" i="34"/>
  <c r="AP10" i="34"/>
  <c r="S106" i="34"/>
  <c r="S103" i="34"/>
  <c r="S104" i="34"/>
  <c r="AN10" i="34"/>
  <c r="AS10" i="34"/>
  <c r="AT10" i="34"/>
  <c r="AK10" i="34"/>
  <c r="AH10" i="34"/>
  <c r="N266" i="34"/>
  <c r="N264" i="34"/>
  <c r="N265" i="34"/>
  <c r="N267" i="34"/>
  <c r="T267" i="34"/>
  <c r="T265" i="34"/>
  <c r="T266" i="34"/>
  <c r="T264" i="34"/>
  <c r="W267" i="34"/>
  <c r="W264" i="34"/>
  <c r="W266" i="34"/>
  <c r="W265" i="34"/>
  <c r="AU10" i="34"/>
  <c r="O264" i="34"/>
  <c r="O266" i="34"/>
  <c r="O267" i="34"/>
  <c r="O265" i="34"/>
  <c r="BK46" i="34" l="1"/>
  <c r="BK52" i="34" s="1"/>
  <c r="AZ68" i="34"/>
  <c r="BA68" i="34"/>
  <c r="BA10" i="34"/>
  <c r="BB10" i="34"/>
  <c r="BB68" i="34"/>
  <c r="W104" i="34"/>
  <c r="W106" i="34"/>
  <c r="W105" i="34"/>
  <c r="BM68" i="34"/>
  <c r="BJ68" i="34"/>
  <c r="BG68" i="34"/>
  <c r="BD10" i="34"/>
  <c r="BL10" i="34"/>
  <c r="BI10" i="34"/>
  <c r="BE10" i="34"/>
  <c r="BH10" i="34"/>
  <c r="U267" i="34"/>
  <c r="S267" i="34"/>
  <c r="X265" i="34"/>
  <c r="P264" i="34"/>
  <c r="V264" i="34"/>
  <c r="Y266" i="34"/>
  <c r="Q267" i="34"/>
  <c r="P265" i="34"/>
  <c r="P105" i="34"/>
  <c r="P104" i="34"/>
  <c r="P267" i="34"/>
  <c r="P266" i="34"/>
  <c r="BC10" i="34"/>
  <c r="P106" i="34"/>
  <c r="Y265" i="34"/>
  <c r="Y264" i="34"/>
  <c r="Y267" i="34"/>
  <c r="X266" i="34"/>
  <c r="X267" i="34"/>
  <c r="X264" i="34"/>
  <c r="X105" i="34"/>
  <c r="X103" i="34"/>
  <c r="BK10" i="34"/>
  <c r="X106" i="34"/>
  <c r="S266" i="34"/>
  <c r="S264" i="34"/>
  <c r="S265" i="34"/>
  <c r="AX19" i="34"/>
  <c r="BF10" i="34"/>
  <c r="V267" i="34"/>
  <c r="V265" i="34"/>
  <c r="V266" i="34"/>
  <c r="Q264" i="34"/>
  <c r="Q265" i="34"/>
  <c r="Q266" i="34"/>
  <c r="U264" i="34"/>
  <c r="U265" i="34"/>
  <c r="U266" i="34"/>
  <c r="R265" i="34"/>
  <c r="R266" i="34"/>
  <c r="R264" i="34"/>
  <c r="R267" i="34"/>
  <c r="M267" i="34"/>
  <c r="M266" i="34"/>
  <c r="M264" i="34"/>
  <c r="M265" i="34"/>
  <c r="L266" i="34"/>
  <c r="L265" i="34"/>
  <c r="L267" i="34"/>
  <c r="L264" i="34"/>
  <c r="Z265" i="34"/>
  <c r="Z264" i="34"/>
  <c r="Z267" i="34"/>
  <c r="Z266" i="34"/>
  <c r="N38" i="26"/>
  <c r="AX32" i="26" l="1"/>
  <c r="AX6" i="26" s="1"/>
  <c r="AX34" i="26"/>
  <c r="AX7" i="26" s="1"/>
  <c r="BL68" i="34"/>
  <c r="BI68" i="34"/>
  <c r="BD68" i="34"/>
  <c r="BH68" i="34"/>
  <c r="BF68" i="34"/>
  <c r="BE68" i="34"/>
  <c r="BC68" i="34"/>
  <c r="AX33" i="26"/>
  <c r="AX12" i="26" s="1"/>
  <c r="AF40" i="26"/>
  <c r="AY12" i="34" l="1"/>
  <c r="L30" i="34" a="1"/>
  <c r="L30" i="34" s="1"/>
  <c r="AF11" i="34"/>
  <c r="AW6" i="26"/>
  <c r="AW12" i="26"/>
  <c r="AW34" i="26"/>
  <c r="AW33" i="26"/>
  <c r="AX31" i="26"/>
  <c r="AW31" i="26" s="1"/>
  <c r="AW32" i="26"/>
  <c r="L132" i="34"/>
  <c r="AE40" i="26"/>
  <c r="AF32" i="26"/>
  <c r="L36" i="34" l="1"/>
  <c r="AY14" i="34"/>
  <c r="AY49" i="34" s="1"/>
  <c r="AX49" i="34" s="1"/>
  <c r="AF13" i="34"/>
  <c r="AW7" i="26"/>
  <c r="L12" i="34"/>
  <c r="L13" i="34" s="1"/>
  <c r="AY11" i="34"/>
  <c r="AY18" i="34"/>
  <c r="L90" i="34"/>
  <c r="AF31" i="26"/>
  <c r="AE32" i="26"/>
  <c r="AE31" i="26" s="1"/>
  <c r="AF18" i="34"/>
  <c r="AX5" i="26"/>
  <c r="AW5" i="26" s="1"/>
  <c r="AX11" i="34" l="1"/>
  <c r="AY47" i="34"/>
  <c r="AX47" i="34" s="1"/>
  <c r="AX14" i="34"/>
  <c r="L40" i="34"/>
  <c r="L37" i="34"/>
  <c r="L39" i="34"/>
  <c r="L38" i="34"/>
  <c r="AX12" i="34"/>
  <c r="L18" i="34"/>
  <c r="AF12" i="34"/>
  <c r="E9" i="50"/>
  <c r="AX18" i="34"/>
  <c r="L114" i="34"/>
  <c r="L42" i="34"/>
  <c r="L120" i="34"/>
  <c r="L96" i="34"/>
  <c r="L48" i="34"/>
  <c r="L126" i="34"/>
  <c r="L102" i="34"/>
  <c r="L66" i="34"/>
  <c r="L108" i="34"/>
  <c r="L72" i="34"/>
  <c r="D9" i="50"/>
  <c r="L135" i="34" l="1"/>
  <c r="L134" i="34"/>
  <c r="L133" i="34"/>
  <c r="L136" i="34"/>
  <c r="L22" i="34"/>
  <c r="L20" i="34"/>
  <c r="L21" i="34"/>
  <c r="L19" i="34"/>
  <c r="L92" i="34"/>
  <c r="L91" i="34"/>
  <c r="L49" i="34"/>
  <c r="L51" i="34"/>
  <c r="L50" i="34"/>
  <c r="L52" i="34"/>
  <c r="L33" i="34"/>
  <c r="L31" i="34"/>
  <c r="L32" i="34"/>
  <c r="L34" i="34"/>
  <c r="L68" i="34"/>
  <c r="L69" i="34"/>
  <c r="L67" i="34"/>
  <c r="L70" i="34"/>
  <c r="L100" i="34"/>
  <c r="L99" i="34"/>
  <c r="L97" i="34"/>
  <c r="L98" i="34"/>
  <c r="L115" i="34"/>
  <c r="L116" i="34"/>
  <c r="L117" i="34"/>
  <c r="L118" i="34"/>
  <c r="L93" i="34"/>
  <c r="L73" i="34"/>
  <c r="L74" i="34"/>
  <c r="L76" i="34"/>
  <c r="L75" i="34"/>
  <c r="L104" i="34"/>
  <c r="L103" i="34"/>
  <c r="L105" i="34"/>
  <c r="L106" i="34"/>
  <c r="L124" i="34"/>
  <c r="L123" i="34"/>
  <c r="L122" i="34"/>
  <c r="L121" i="34"/>
  <c r="L56" i="34"/>
  <c r="L58" i="34"/>
  <c r="L57" i="34"/>
  <c r="L55" i="34"/>
  <c r="L94" i="34"/>
  <c r="L110" i="34"/>
  <c r="L109" i="34"/>
  <c r="L111" i="34"/>
  <c r="L112" i="34"/>
  <c r="L128" i="34"/>
  <c r="L127" i="34"/>
  <c r="L129" i="34"/>
  <c r="L130" i="34"/>
  <c r="L43" i="34"/>
  <c r="L44" i="34"/>
  <c r="L45" i="34"/>
  <c r="L46" i="34"/>
  <c r="L15" i="34"/>
  <c r="L14" i="34"/>
  <c r="L16" i="34"/>
  <c r="AB16" i="31" l="1"/>
  <c r="AT501" i="31" s="1"/>
  <c r="S18" i="50" s="1"/>
  <c r="X16" i="31"/>
  <c r="AP501" i="31" s="1"/>
  <c r="O18" i="50" s="1"/>
  <c r="AA16" i="31"/>
  <c r="AS501" i="31" s="1"/>
  <c r="R18" i="50" s="1"/>
  <c r="Y16" i="31"/>
  <c r="AQ501" i="31" s="1"/>
  <c r="P18" i="50" s="1"/>
  <c r="V16" i="31"/>
  <c r="AN501" i="31" s="1"/>
  <c r="M18" i="50" s="1"/>
  <c r="S16" i="31"/>
  <c r="AK501" i="31" s="1"/>
  <c r="J18" i="50" s="1"/>
  <c r="Q16" i="31"/>
  <c r="AI501" i="31" s="1"/>
  <c r="H18" i="50" s="1"/>
  <c r="W16" i="31"/>
  <c r="AO501" i="31" s="1"/>
  <c r="N18" i="50" s="1"/>
  <c r="U16" i="31"/>
  <c r="AM501" i="31" s="1"/>
  <c r="L18" i="50" s="1"/>
  <c r="O16" i="31"/>
  <c r="AG501" i="31" s="1"/>
  <c r="F18" i="50" s="1"/>
  <c r="T16" i="31"/>
  <c r="AL501" i="31" s="1"/>
  <c r="K18" i="50" s="1"/>
  <c r="P16" i="31"/>
  <c r="AH501" i="31" s="1"/>
  <c r="G18" i="50" s="1"/>
  <c r="R16" i="31"/>
  <c r="AJ501" i="31" s="1"/>
  <c r="I18" i="50" s="1"/>
  <c r="Z16" i="31"/>
  <c r="AR501" i="31" s="1"/>
  <c r="Q18" i="50" s="1"/>
  <c r="E48" i="5"/>
  <c r="V48" i="5" s="1"/>
  <c r="N16" i="31"/>
  <c r="AD16" i="31" l="1"/>
  <c r="L499" i="31"/>
  <c r="AF501" i="31"/>
  <c r="E18" i="50" s="1"/>
  <c r="AE501" i="31"/>
  <c r="D18" i="50" s="1"/>
  <c r="B153" i="14" l="1"/>
  <c r="B125" i="14"/>
  <c r="B149" i="14"/>
  <c r="AX114" i="7"/>
  <c r="AX82" i="7" s="1"/>
  <c r="BB114" i="7"/>
  <c r="BB82" i="7" s="1"/>
  <c r="BB38" i="7" s="1"/>
  <c r="BC114" i="7"/>
  <c r="BC82" i="7" s="1"/>
  <c r="BC38" i="7" s="1"/>
  <c r="BD114" i="7"/>
  <c r="BD82" i="7" s="1"/>
  <c r="BD38" i="7" s="1"/>
  <c r="BE114" i="7"/>
  <c r="BE82" i="7" s="1"/>
  <c r="BE38" i="7" s="1"/>
  <c r="BG114" i="7"/>
  <c r="BG82" i="7" s="1"/>
  <c r="BG38" i="7" s="1"/>
  <c r="BI114" i="7"/>
  <c r="BI82" i="7" s="1"/>
  <c r="BI38" i="7" s="1"/>
  <c r="BK114" i="7"/>
  <c r="BK82" i="7" s="1"/>
  <c r="BK38" i="7" s="1"/>
  <c r="AW114" i="7" l="1"/>
  <c r="AW82" i="7"/>
  <c r="G10" i="5" l="1"/>
  <c r="N12" i="28" s="1"/>
  <c r="S19" i="51"/>
  <c r="L182" i="28" l="1"/>
  <c r="B14" i="14" s="1"/>
  <c r="AF184" i="28"/>
  <c r="E14" i="50" s="1"/>
  <c r="E10" i="5"/>
  <c r="V10" i="5" s="1"/>
  <c r="AF182" i="28"/>
  <c r="AD12" i="28"/>
  <c r="AE184" i="28" s="1"/>
  <c r="D14" i="50" s="1"/>
  <c r="G36" i="5"/>
  <c r="M18" i="7" s="1"/>
  <c r="AC18" i="7" s="1"/>
  <c r="S21" i="51"/>
  <c r="S24" i="51" s="1"/>
  <c r="B12" i="14" l="1"/>
  <c r="B16" i="14"/>
  <c r="B7" i="14"/>
  <c r="B15" i="14"/>
  <c r="B17" i="14"/>
  <c r="B11" i="14"/>
  <c r="B13" i="14"/>
  <c r="B10" i="14"/>
  <c r="B8" i="14"/>
  <c r="B9" i="14"/>
  <c r="E36" i="5"/>
  <c r="V36" i="5" s="1"/>
  <c r="M57" i="7"/>
  <c r="M58" i="7" s="1"/>
  <c r="K36" i="7"/>
  <c r="M44" i="7"/>
  <c r="AX51" i="7" l="1"/>
  <c r="AW51" i="7" s="1"/>
  <c r="M61" i="7"/>
  <c r="AE55" i="7"/>
  <c r="AD55" i="7" s="1"/>
  <c r="M62" i="7"/>
  <c r="M63" i="7"/>
  <c r="M60" i="7"/>
  <c r="M59" i="7"/>
  <c r="B144" i="14"/>
  <c r="B146" i="14"/>
  <c r="B145" i="14"/>
  <c r="AE42" i="7"/>
  <c r="M45" i="7"/>
  <c r="M46" i="7" s="1"/>
  <c r="M47" i="7" s="1"/>
  <c r="M48" i="7" s="1"/>
  <c r="M49" i="7" s="1"/>
  <c r="M50" i="7" s="1"/>
  <c r="AX39" i="7"/>
  <c r="AX12" i="7" l="1"/>
  <c r="AX38" i="7"/>
  <c r="AW38" i="7" s="1"/>
  <c r="AX15" i="7"/>
  <c r="AW39" i="7"/>
  <c r="AD42" i="7"/>
  <c r="AD38" i="7" s="1"/>
  <c r="D29" i="50" s="1"/>
  <c r="AE38" i="7"/>
  <c r="E29" i="50" s="1"/>
  <c r="AW12" i="7" l="1"/>
  <c r="AU12" i="7" s="1"/>
  <c r="AT12" i="7" s="1"/>
  <c r="AX7" i="7"/>
  <c r="AW7" i="7" s="1"/>
  <c r="AU7" i="7" s="1"/>
  <c r="AT7" i="7" s="1"/>
  <c r="AW15" i="7"/>
  <c r="AU15" i="7" s="1"/>
  <c r="AT15" i="7" s="1"/>
  <c r="AF17" i="34" l="1"/>
  <c r="AG10" i="34"/>
  <c r="AF10" i="34" s="1"/>
  <c r="L84" i="34"/>
  <c r="L87" i="34" s="1"/>
  <c r="AY17" i="34"/>
  <c r="AY20" i="34"/>
  <c r="L269" i="34"/>
  <c r="L270" i="34" s="1"/>
  <c r="L271" i="34" s="1"/>
  <c r="L272" i="34" s="1"/>
  <c r="L273" i="34" s="1"/>
  <c r="AF20" i="34"/>
  <c r="AX17" i="34" l="1"/>
  <c r="AY46" i="34"/>
  <c r="L86" i="34"/>
  <c r="L88" i="34"/>
  <c r="L85" i="34"/>
  <c r="AY10" i="34"/>
  <c r="AX10" i="34" s="1"/>
  <c r="AX20" i="34"/>
  <c r="AY52" i="34" l="1"/>
  <c r="AX52" i="34" s="1"/>
  <c r="AX68" i="34" s="1"/>
  <c r="AX46" i="34"/>
  <c r="AY68" i="3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  <author>Jonas Persson</author>
  </authors>
  <commentList>
    <comment ref="U9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9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25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25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38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Dummy value to test technologies</t>
        </r>
      </text>
    </comment>
    <comment ref="U41" authorId="0" shapeId="0" xr:uid="{00000000-0006-0000-03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41" authorId="0" shapeId="0" xr:uid="{00000000-0006-0000-0300-00000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89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89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05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05" authorId="0" shapeId="0" xr:uid="{00000000-0006-0000-03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21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21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37" authorId="0" shapeId="0" xr:uid="{00000000-0006-0000-0300-00000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total number of bikes used on A REGULAR BASIS for transport purposes!</t>
        </r>
      </text>
    </comment>
    <comment ref="U143" authorId="0" shapeId="0" xr:uid="{00000000-0006-0000-0300-00001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43" authorId="0" shapeId="0" xr:uid="{00000000-0006-0000-0300-00001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V145" authorId="1" shapeId="0" xr:uid="{00000000-0006-0000-0300-00001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2018-06-29 (Malmö Stad Service board)</t>
        </r>
      </text>
    </comment>
    <comment ref="B148" authorId="0" shapeId="0" xr:uid="{00000000-0006-0000-0300-00001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49" authorId="0" shapeId="0" xr:uid="{00000000-0006-0000-0300-00001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U154" authorId="0" shapeId="0" xr:uid="{00000000-0006-0000-03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54" authorId="0" shapeId="0" xr:uid="{00000000-0006-0000-03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59" authorId="0" shapeId="0" xr:uid="{00000000-0006-0000-0300-00001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300-00001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300-00001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300-00001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  <comment ref="V184" authorId="0" shapeId="0" xr:uid="{00000000-0006-0000-0300-00001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O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39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49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B7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Data över stads- kontra regionbusstrafik saknas; all busstrafik f.n. lagd på TBI</t>
        </r>
      </text>
    </comment>
    <comment ref="D81" authorId="0" shapeId="0" xr:uid="{2EF4DCA1-13A5-4107-A3C4-3643BB652631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3 st enligt statistik</t>
        </r>
      </text>
    </comment>
    <comment ref="D84" authorId="0" shapeId="0" xr:uid="{7F0EB2A5-D2B0-4E9F-A573-BDF77C8176F7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3 st enligt statistik</t>
        </r>
      </text>
    </comment>
    <comment ref="B148" authorId="0" shapeId="0" xr:uid="{00000000-0006-0000-04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59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4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E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  <comment ref="E47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Y36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37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38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39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0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1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9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56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57" authorId="0" shapeId="0" xr:uid="{00000000-0006-0000-0C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58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5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0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1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8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8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9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9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76" authorId="0" shapeId="0" xr:uid="{00000000-0006-0000-0C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77" authorId="0" shapeId="0" xr:uid="{00000000-0006-0000-0C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78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79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0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1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8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8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9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9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62" authorId="0" shapeId="0" xr:uid="{00000000-0006-0000-0C00-00001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163" authorId="0" shapeId="0" xr:uid="{00000000-0006-0000-0C00-00002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164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5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6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7" authorId="0" shapeId="0" xr:uid="{00000000-0006-0000-0C00-00002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4" authorId="0" shapeId="0" xr:uid="{00000000-0006-0000-0C00-00002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4" authorId="0" shapeId="0" xr:uid="{00000000-0006-0000-0C00-00002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5" authorId="0" shapeId="0" xr:uid="{00000000-0006-0000-0C00-00002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5" authorId="0" shapeId="0" xr:uid="{00000000-0006-0000-0C00-00002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31" authorId="0" shapeId="0" xr:uid="{00000000-0006-0000-0C00-00002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232" authorId="0" shapeId="0" xr:uid="{00000000-0006-0000-0C00-00002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233" authorId="0" shapeId="0" xr:uid="{00000000-0006-0000-0C00-00002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4" authorId="0" shapeId="0" xr:uid="{00000000-0006-0000-0C00-00002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5" authorId="0" shapeId="0" xr:uid="{00000000-0006-0000-0C00-00002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6" authorId="0" shapeId="0" xr:uid="{00000000-0006-0000-0C00-00002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3" authorId="0" shapeId="0" xr:uid="{00000000-0006-0000-0C00-00002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3" authorId="0" shapeId="0" xr:uid="{00000000-0006-0000-0C00-00003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4" authorId="0" shapeId="0" xr:uid="{00000000-0006-0000-0C00-00003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4" authorId="0" shapeId="0" xr:uid="{00000000-0006-0000-0C00-00003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J11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" authorId="0" shapeId="0" xr:uid="{00000000-0006-0000-1000-00000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" authorId="0" shapeId="0" xr:uid="{00000000-0006-0000-1000-00000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35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1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7" authorId="0" shapeId="0" xr:uid="{00000000-0006-0000-1000-00000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3" authorId="0" shapeId="0" xr:uid="{00000000-0006-0000-1000-00000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9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65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1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7" authorId="0" shapeId="0" xr:uid="{00000000-0006-0000-1000-00000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3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9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89" authorId="0" shapeId="0" xr:uid="{00000000-0006-0000-1000-00000F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95" authorId="0" shapeId="0" xr:uid="{00000000-0006-0000-1000-00001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1" authorId="0" shapeId="0" xr:uid="{00000000-0006-0000-1000-00001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7" authorId="0" shapeId="0" xr:uid="{00000000-0006-0000-1000-00001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3" authorId="0" shapeId="0" xr:uid="{00000000-0006-0000-1000-00001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9" authorId="0" shapeId="0" xr:uid="{00000000-0006-0000-1000-00001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5" authorId="0" shapeId="0" xr:uid="{00000000-0006-0000-1000-00001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31" authorId="0" shapeId="0" xr:uid="{00000000-0006-0000-1000-00001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1" authorId="0" shapeId="0" xr:uid="{00000000-0006-0000-1000-00001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4" authorId="0" shapeId="0" xr:uid="{00000000-0006-0000-1000-00001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7" authorId="0" shapeId="0" xr:uid="{00000000-0006-0000-1000-00001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0" authorId="0" shapeId="0" xr:uid="{00000000-0006-0000-1000-00001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3" authorId="0" shapeId="0" xr:uid="{00000000-0006-0000-1000-00001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6" authorId="0" shapeId="0" xr:uid="{00000000-0006-0000-1000-00001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9" authorId="0" shapeId="0" xr:uid="{00000000-0006-0000-1000-00001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2" authorId="0" shapeId="0" xr:uid="{00000000-0006-0000-1000-00001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162" authorId="0" shapeId="0" xr:uid="{00000000-0006-0000-1000-00001F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165" authorId="0" shapeId="0" xr:uid="{00000000-0006-0000-1000-00002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8" authorId="0" shapeId="0" xr:uid="{00000000-0006-0000-1000-00002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1" authorId="0" shapeId="0" xr:uid="{00000000-0006-0000-1000-00002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4" authorId="0" shapeId="0" xr:uid="{00000000-0006-0000-1000-00002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7" authorId="0" shapeId="0" xr:uid="{00000000-0006-0000-1000-00002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0" authorId="0" shapeId="0" xr:uid="{00000000-0006-0000-1000-00002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3" authorId="0" shapeId="0" xr:uid="{00000000-0006-0000-1000-00002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3" authorId="0" shapeId="0" xr:uid="{00000000-0006-0000-1000-00002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6" authorId="0" shapeId="0" xr:uid="{00000000-0006-0000-1000-00002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9" authorId="0" shapeId="0" xr:uid="{00000000-0006-0000-1000-00002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2" authorId="0" shapeId="0" xr:uid="{00000000-0006-0000-1000-00002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5" authorId="0" shapeId="0" xr:uid="{00000000-0006-0000-1000-00002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8" authorId="0" shapeId="0" xr:uid="{00000000-0006-0000-1000-00002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1" authorId="0" shapeId="0" xr:uid="{00000000-0006-0000-1000-00002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4" authorId="0" shapeId="0" xr:uid="{00000000-0006-0000-1000-00002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7" authorId="0" shapeId="0" xr:uid="{00000000-0006-0000-1000-00002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0" authorId="0" shapeId="0" xr:uid="{00000000-0006-0000-1000-00003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3" authorId="0" shapeId="0" xr:uid="{00000000-0006-0000-1000-00003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6" authorId="0" shapeId="0" xr:uid="{00000000-0006-0000-1000-00003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9" authorId="0" shapeId="0" xr:uid="{00000000-0006-0000-1000-00003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2" authorId="0" shapeId="0" xr:uid="{00000000-0006-0000-1000-00003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5" authorId="0" shapeId="0" xr:uid="{00000000-0006-0000-1000-00003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8" authorId="0" shapeId="0" xr:uid="{00000000-0006-0000-1000-00003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1" authorId="0" shapeId="0" xr:uid="{00000000-0006-0000-1000-00003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4" authorId="0" shapeId="0" xr:uid="{00000000-0006-0000-1000-00003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7" authorId="0" shapeId="0" xr:uid="{00000000-0006-0000-1000-00003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50" authorId="0" shapeId="0" xr:uid="{00000000-0006-0000-1000-00003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53" authorId="0" shapeId="0" xr:uid="{00000000-0006-0000-1000-00003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62" authorId="0" shapeId="0" xr:uid="{00000000-0006-0000-1000-00003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68" authorId="0" shapeId="0" xr:uid="{00000000-0006-0000-1000-00003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78" authorId="0" shapeId="0" xr:uid="{00000000-0006-0000-1000-00003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81" authorId="0" shapeId="0" xr:uid="{00000000-0006-0000-1000-00003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0" authorId="0" shapeId="0" xr:uid="{00000000-0006-0000-1000-00004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4" authorId="0" shapeId="0" xr:uid="{00000000-0006-0000-1000-00004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3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" authorId="0" shapeId="0" xr:uid="{00000000-0006-0000-13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3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2" authorId="0" shapeId="0" xr:uid="{00000000-0006-0000-13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3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0" authorId="0" shapeId="0" xr:uid="{00000000-0006-0000-13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4" authorId="0" shapeId="0" xr:uid="{00000000-0006-0000-13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8" authorId="0" shapeId="0" xr:uid="{00000000-0006-0000-13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3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3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8" authorId="0" shapeId="0" xr:uid="{00000000-0006-0000-13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15" authorId="0" shapeId="0" xr:uid="{00000000-0006-0000-17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M19" authorId="1" shapeId="0" xr:uid="{00000000-0006-0000-1700-00000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Enligt FRIDA</t>
        </r>
      </text>
    </comment>
    <comment ref="M20" authorId="1" shapeId="0" xr:uid="{00000000-0006-0000-17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Enligt FRIDA</t>
        </r>
      </text>
    </comment>
    <comment ref="M21" authorId="1" shapeId="0" xr:uid="{00000000-0006-0000-17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Baserat på 2015 data från FRIDA</t>
        </r>
      </text>
    </comment>
    <comment ref="L38" authorId="0" shapeId="0" xr:uid="{00000000-0006-0000-17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2" authorId="0" shapeId="0" xr:uid="{00000000-0006-0000-17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4" authorId="0" shapeId="0" xr:uid="{00000000-0006-0000-17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7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9" authorId="0" shapeId="0" xr:uid="{00000000-0006-0000-17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2" authorId="0" shapeId="0" xr:uid="{00000000-0006-0000-17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6" authorId="0" shapeId="0" xr:uid="{00000000-0006-0000-17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9" authorId="0" shapeId="0" xr:uid="{00000000-0006-0000-17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1" authorId="0" shapeId="0" xr:uid="{00000000-0006-0000-17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5" authorId="0" shapeId="0" xr:uid="{00000000-0006-0000-17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8" authorId="0" shapeId="0" xr:uid="{00000000-0006-0000-17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8" authorId="0" shapeId="0" xr:uid="{00000000-0006-0000-17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2" authorId="0" shapeId="0" xr:uid="{00000000-0006-0000-17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4" authorId="0" shapeId="0" xr:uid="{00000000-0006-0000-17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26" authorId="0" shapeId="0" xr:uid="{00000000-0006-0000-17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9" authorId="0" shapeId="0" xr:uid="{00000000-0006-0000-17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2" authorId="0" shapeId="0" xr:uid="{00000000-0006-0000-17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66" authorId="0" shapeId="0" xr:uid="{00000000-0006-0000-17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9" authorId="0" shapeId="0" xr:uid="{00000000-0006-0000-17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1" authorId="0" shapeId="0" xr:uid="{00000000-0006-0000-17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5" authorId="0" shapeId="0" xr:uid="{00000000-0006-0000-17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8" authorId="0" shapeId="0" xr:uid="{00000000-0006-0000-17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20" authorId="0" shapeId="0" xr:uid="{00000000-0006-0000-18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8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3" authorId="0" shapeId="0" xr:uid="{00000000-0006-0000-18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5" authorId="0" shapeId="0" xr:uid="{00000000-0006-0000-18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8" authorId="0" shapeId="0" xr:uid="{00000000-0006-0000-18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2" authorId="0" shapeId="0" xr:uid="{00000000-0006-0000-18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6" authorId="0" shapeId="0" xr:uid="{00000000-0006-0000-18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8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8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6" authorId="0" shapeId="0" xr:uid="{00000000-0006-0000-18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0" authorId="0" shapeId="0" xr:uid="{00000000-0006-0000-18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4" authorId="0" shapeId="0" xr:uid="{00000000-0006-0000-18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4" authorId="0" shapeId="0" xr:uid="{00000000-0006-0000-18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8" authorId="0" shapeId="0" xr:uid="{00000000-0006-0000-18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0" authorId="0" shapeId="0" xr:uid="{00000000-0006-0000-18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42" authorId="0" shapeId="0" xr:uid="{00000000-0006-0000-18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5" authorId="0" shapeId="0" xr:uid="{00000000-0006-0000-18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N256" authorId="1" shapeId="0" xr:uid="{00000000-0006-0000-18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Source: SYSAV (city-owned waste management company)</t>
        </r>
      </text>
    </comment>
    <comment ref="L268" authorId="0" shapeId="0" xr:uid="{00000000-0006-0000-18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1" authorId="0" shapeId="0" xr:uid="{00000000-0006-0000-18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4" authorId="0" shapeId="0" xr:uid="{00000000-0006-0000-18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6" authorId="0" shapeId="0" xr:uid="{00000000-0006-0000-18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0" authorId="0" shapeId="0" xr:uid="{00000000-0006-0000-18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3" authorId="0" shapeId="0" xr:uid="{00000000-0006-0000-18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53" authorId="0" shapeId="0" xr:uid="{00000000-0006-0000-18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7" authorId="0" shapeId="0" xr:uid="{00000000-0006-0000-18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9" authorId="0" shapeId="0" xr:uid="{00000000-0006-0000-18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1" authorId="0" shapeId="0" xr:uid="{00000000-0006-0000-18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4" authorId="0" shapeId="0" xr:uid="{00000000-0006-0000-18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18" authorId="0" shapeId="0" xr:uid="{00000000-0006-0000-18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2" authorId="0" shapeId="0" xr:uid="{00000000-0006-0000-18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5" authorId="0" shapeId="0" xr:uid="{00000000-0006-0000-18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7" authorId="0" shapeId="0" xr:uid="{00000000-0006-0000-18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1" authorId="0" shapeId="0" xr:uid="{00000000-0006-0000-18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4" authorId="0" shapeId="0" xr:uid="{00000000-0006-0000-1800-00002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4" authorId="0" shapeId="0" xr:uid="{00000000-0006-0000-11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45" authorId="0" shapeId="0" xr:uid="{00000000-0006-0000-11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6" authorId="0" shapeId="0" xr:uid="{00000000-0006-0000-11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7" authorId="0" shapeId="0" xr:uid="{00000000-0006-0000-11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0" shapeId="0" xr:uid="{00000000-0006-0000-11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8" authorId="0" shapeId="0" xr:uid="{00000000-0006-0000-11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09" authorId="0" shapeId="0" xr:uid="{00000000-0006-0000-11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20" authorId="0" shapeId="0" xr:uid="{00000000-0006-0000-11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4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" authorId="0" shapeId="0" xr:uid="{00000000-0006-0000-14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4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2" authorId="0" shapeId="0" xr:uid="{00000000-0006-0000-14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4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0" authorId="0" shapeId="0" xr:uid="{00000000-0006-0000-14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4" authorId="0" shapeId="0" xr:uid="{00000000-0006-0000-14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8" authorId="0" shapeId="0" xr:uid="{00000000-0006-0000-14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4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4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8" authorId="0" shapeId="0" xr:uid="{00000000-0006-0000-14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5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4" authorId="0" shapeId="0" xr:uid="{00000000-0006-0000-15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" authorId="0" shapeId="0" xr:uid="{00000000-0006-0000-15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9" authorId="0" shapeId="0" xr:uid="{00000000-0006-0000-15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3" authorId="0" shapeId="0" xr:uid="{00000000-0006-0000-15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6" authorId="0" shapeId="0" xr:uid="{00000000-0006-0000-15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9" authorId="0" shapeId="0" xr:uid="{00000000-0006-0000-15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2" authorId="0" shapeId="0" xr:uid="{00000000-0006-0000-15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4" authorId="0" shapeId="0" xr:uid="{00000000-0006-0000-15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7" authorId="0" shapeId="0" xr:uid="{00000000-0006-0000-15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0" authorId="0" shapeId="0" xr:uid="{00000000-0006-0000-15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4" authorId="0" shapeId="0" xr:uid="{00000000-0006-0000-16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" authorId="0" shapeId="0" xr:uid="{00000000-0006-0000-16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" authorId="0" shapeId="0" xr:uid="{00000000-0006-0000-16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4" authorId="0" shapeId="0" xr:uid="{00000000-0006-0000-16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6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  <author>Gary Goldstein</author>
  </authors>
  <commentList>
    <comment ref="M29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Majoritet pendlar till Umeå C på botniabanan</t>
        </r>
      </text>
    </comment>
    <comment ref="O29" authorId="0" shapeId="0" xr:uid="{00000000-0006-0000-19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Pendling till Umeå C med dieselmotorvagn</t>
        </r>
      </text>
    </comment>
    <comment ref="V29" authorId="0" shapeId="0" xr:uid="{00000000-0006-0000-19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Pendling till Umeå C med dieselmotorvagn (järnväg.net)</t>
        </r>
      </text>
    </comment>
    <comment ref="Y29" authorId="0" shapeId="0" xr:uid="{00000000-0006-0000-19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Utpendling till Nordmaling (ELC), Vännäs &amp; Vindeln &amp; Lycksele (DST)</t>
        </r>
      </text>
    </comment>
    <comment ref="Z29" authorId="0" shapeId="0" xr:uid="{00000000-0006-0000-19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Majoriteten pendlar till Umeå C med dieselmotorvagn (enl. järnväg.net)</t>
        </r>
      </text>
    </comment>
    <comment ref="K42" authorId="1" shapeId="0" xr:uid="{00000000-0006-0000-19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5" authorId="1" shapeId="0" xr:uid="{00000000-0006-0000-19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7" authorId="1" shapeId="0" xr:uid="{00000000-0006-0000-19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1" shapeId="0" xr:uid="{00000000-0006-0000-19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9" authorId="1" shapeId="0" xr:uid="{00000000-0006-0000-19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18" authorId="1" shapeId="0" xr:uid="{00000000-0006-0000-19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30" authorId="1" shapeId="0" xr:uid="{00000000-0006-0000-19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3" authorId="0" shapeId="0" xr:uid="{00000000-0006-0000-1A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4" authorId="0" shapeId="0" xr:uid="{00000000-0006-0000-1A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75" authorId="0" shapeId="0" xr:uid="{00000000-0006-0000-1A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20" authorId="0" shapeId="0" xr:uid="{00000000-0006-0000-1B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8" authorId="0" shapeId="0" xr:uid="{00000000-0006-0000-1B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1" authorId="0" shapeId="0" xr:uid="{00000000-0006-0000-1B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3" authorId="0" shapeId="0" xr:uid="{00000000-0006-0000-1B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6" authorId="0" shapeId="0" xr:uid="{00000000-0006-0000-1B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0" authorId="0" shapeId="0" xr:uid="{00000000-0006-0000-1B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3" authorId="0" shapeId="0" xr:uid="{00000000-0006-0000-1B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6" authorId="0" shapeId="0" xr:uid="{00000000-0006-0000-1B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9" authorId="0" shapeId="0" xr:uid="{00000000-0006-0000-1B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91" authorId="0" shapeId="0" xr:uid="{00000000-0006-0000-1B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4" authorId="0" shapeId="0" xr:uid="{00000000-0006-0000-1B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7" authorId="0" shapeId="0" xr:uid="{00000000-0006-0000-1B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7" authorId="0" shapeId="0" xr:uid="{00000000-0006-0000-1B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0" authorId="0" shapeId="0" xr:uid="{00000000-0006-0000-1B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62" authorId="0" shapeId="0" xr:uid="{00000000-0006-0000-1B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4" authorId="0" shapeId="0" xr:uid="{00000000-0006-0000-1B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7" authorId="0" shapeId="0" xr:uid="{00000000-0006-0000-1B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0" authorId="0" shapeId="0" xr:uid="{00000000-0006-0000-1B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3" authorId="0" shapeId="0" xr:uid="{00000000-0006-0000-1B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6" authorId="0" shapeId="0" xr:uid="{00000000-0006-0000-1B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8" authorId="0" shapeId="0" xr:uid="{00000000-0006-0000-1B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51" authorId="0" shapeId="0" xr:uid="{00000000-0006-0000-1B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4" authorId="0" shapeId="0" xr:uid="{00000000-0006-0000-1B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84" authorId="0" shapeId="0" xr:uid="{00000000-0006-0000-1B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7" authorId="0" shapeId="0" xr:uid="{00000000-0006-0000-1B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9" authorId="0" shapeId="0" xr:uid="{00000000-0006-0000-1B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21" authorId="0" shapeId="0" xr:uid="{00000000-0006-0000-1B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4" authorId="0" shapeId="0" xr:uid="{00000000-0006-0000-1B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7" authorId="0" shapeId="0" xr:uid="{00000000-0006-0000-1B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0" authorId="0" shapeId="0" xr:uid="{00000000-0006-0000-1B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3" authorId="0" shapeId="0" xr:uid="{00000000-0006-0000-1B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5" authorId="0" shapeId="0" xr:uid="{00000000-0006-0000-1B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8" authorId="0" shapeId="0" xr:uid="{00000000-0006-0000-1B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11" authorId="0" shapeId="0" xr:uid="{00000000-0006-0000-1B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<sst xmlns="http://schemas.openxmlformats.org/spreadsheetml/2006/main" count="11440" uniqueCount="1242">
  <si>
    <t>Sector - Short name</t>
  </si>
  <si>
    <t>TRA</t>
  </si>
  <si>
    <t>this colour means fundamental data that needs to be inputted per city (not pre-filled data)</t>
  </si>
  <si>
    <t>Sector - Long name</t>
  </si>
  <si>
    <t>Transport</t>
  </si>
  <si>
    <t>this colour means please replace data if better information is available</t>
  </si>
  <si>
    <t>Start Year</t>
  </si>
  <si>
    <t>this colour means automatic formula within the sheet - do not change!</t>
  </si>
  <si>
    <t>Country</t>
  </si>
  <si>
    <t>SE</t>
  </si>
  <si>
    <t>this colour means automatic formula with another sheet - do not change!</t>
  </si>
  <si>
    <t>City</t>
  </si>
  <si>
    <t>Malmö</t>
  </si>
  <si>
    <t>this colour means DON'T TOUCH</t>
  </si>
  <si>
    <t>City Zone</t>
  </si>
  <si>
    <t>Z</t>
  </si>
  <si>
    <t>this colour means that data needs review</t>
  </si>
  <si>
    <t>Zones</t>
  </si>
  <si>
    <t>Z01</t>
  </si>
  <si>
    <t>Z02</t>
  </si>
  <si>
    <t>Z03</t>
  </si>
  <si>
    <t>Z04</t>
  </si>
  <si>
    <t>Z05</t>
  </si>
  <si>
    <t>Z06</t>
  </si>
  <si>
    <t>Z07</t>
  </si>
  <si>
    <t>Z08</t>
  </si>
  <si>
    <t>Z09</t>
  </si>
  <si>
    <t>Z10</t>
  </si>
  <si>
    <t>Z11</t>
  </si>
  <si>
    <t>Z12</t>
  </si>
  <si>
    <t>Z13</t>
  </si>
  <si>
    <t>Z14</t>
  </si>
  <si>
    <t>Z15</t>
  </si>
  <si>
    <t>Worksheets in this file</t>
  </si>
  <si>
    <t>Sheet Name</t>
  </si>
  <si>
    <t>Action needed</t>
  </si>
  <si>
    <t>Sheet Description</t>
  </si>
  <si>
    <t>Short-Cuts</t>
  </si>
  <si>
    <t>Optional</t>
  </si>
  <si>
    <t>A sheet in which valuable information can be added, information that aid the data population.</t>
  </si>
  <si>
    <t>References</t>
  </si>
  <si>
    <t>A sheet in which references used can be described.</t>
  </si>
  <si>
    <t>T_Stock_TOTAL_&amp;_City</t>
  </si>
  <si>
    <t>To fill, by City</t>
  </si>
  <si>
    <t>Statistical information on number of vehicles registered within the geographic city/municipality, and number of vehicles owned by the municipality itself</t>
  </si>
  <si>
    <t>T_Stock_Private</t>
  </si>
  <si>
    <t xml:space="preserve">Insert vehicle distribution % shares for the different city zones (if data is available). Number of privately owned vehicles is calculated from other sheet and transfered here. </t>
  </si>
  <si>
    <t>STAT_TRA_Mileage</t>
  </si>
  <si>
    <t>Statistical information on annual driven km</t>
  </si>
  <si>
    <t>STAT_TRA_Survey_Pkm</t>
  </si>
  <si>
    <t>Data on residents' travel habits (from e.g. travel surveys) + data for travel habits by city employees</t>
  </si>
  <si>
    <t>STAT_TRA_Survey_Tkm</t>
  </si>
  <si>
    <t>Data for generating freight transport demand + data for city's own freight transports</t>
  </si>
  <si>
    <t>STAT_TRA_Shares</t>
  </si>
  <si>
    <t>Statistical information on fuel composition and refuelling "behavior"</t>
  </si>
  <si>
    <t>T_ACTFLO</t>
  </si>
  <si>
    <r>
      <t>To describe passenger or f</t>
    </r>
    <r>
      <rPr>
        <sz val="11"/>
        <rFont val="Calibri"/>
        <family val="2"/>
        <scheme val="minor"/>
      </rPr>
      <t>reight per vehicle in transportation sector per type of transportation and zone. Fill in all the tables from E to S if better dat</t>
    </r>
    <r>
      <rPr>
        <sz val="11"/>
        <color theme="1"/>
        <rFont val="Calibri"/>
        <family val="2"/>
        <scheme val="minor"/>
      </rPr>
      <t xml:space="preserve">a is available. </t>
    </r>
  </si>
  <si>
    <t>T_CEFF</t>
  </si>
  <si>
    <t>To fill, by City (Optional)</t>
  </si>
  <si>
    <r>
      <t xml:space="preserve">In this sheet technology efficiencies are </t>
    </r>
    <r>
      <rPr>
        <sz val="11"/>
        <rFont val="Calibri"/>
        <family val="2"/>
        <scheme val="minor"/>
      </rPr>
      <t xml:space="preserve">provided. Only change </t>
    </r>
    <r>
      <rPr>
        <sz val="11"/>
        <color theme="1"/>
        <rFont val="Calibri"/>
        <family val="2"/>
        <scheme val="minor"/>
      </rPr>
      <t>if better data is available!</t>
    </r>
  </si>
  <si>
    <t>DEMAND_Pkm_Tkm</t>
  </si>
  <si>
    <t>No changes needed</t>
  </si>
  <si>
    <t>In this sheet transport demand is summarised - TOTAL, or per city zone according to shares enterd in T_Stock* sheets.</t>
  </si>
  <si>
    <t>T_NCAP_AF</t>
  </si>
  <si>
    <t>Provides annual driven km input data per technology (process) for TIMES-City. Collects data from another sheet!</t>
  </si>
  <si>
    <t>-Processes</t>
  </si>
  <si>
    <t>DON'T TOUCH! (ONLY CHANGE IF YOU ARE AN EXPERT IN TIMES)</t>
  </si>
  <si>
    <t>Describes the energy technologies, which thereafter are defined in the model -&gt; Please don't change</t>
  </si>
  <si>
    <t>TRA_Comm</t>
  </si>
  <si>
    <t>Describes the energy commodities, sector emissions and demand, which thereafter is defined in the model -&gt; Please don't change</t>
  </si>
  <si>
    <t>TRA_Fuel</t>
  </si>
  <si>
    <t>Describes sector fuel conversion, which thereafter are defined in the model -&gt; Please don't change</t>
  </si>
  <si>
    <t>TYW</t>
  </si>
  <si>
    <t>Describes the reference energy system of each transport-mode, which thereafter is defined in the model -&gt; Please don't change</t>
  </si>
  <si>
    <t>TC_Private</t>
  </si>
  <si>
    <t>TC_City</t>
  </si>
  <si>
    <t>TMO</t>
  </si>
  <si>
    <t>TB</t>
  </si>
  <si>
    <t>TF_Private</t>
  </si>
  <si>
    <t xml:space="preserve">TF_City </t>
  </si>
  <si>
    <t>TT</t>
  </si>
  <si>
    <t>TNA</t>
  </si>
  <si>
    <t>TAV</t>
  </si>
  <si>
    <t xml:space="preserve">Unit Conversion </t>
  </si>
  <si>
    <t>GWh</t>
  </si>
  <si>
    <t>TJ</t>
  </si>
  <si>
    <t>TOTAL CITY</t>
  </si>
  <si>
    <t>Ref</t>
  </si>
  <si>
    <t>Name</t>
  </si>
  <si>
    <t>Webpage</t>
  </si>
  <si>
    <t>Used in sheet</t>
  </si>
  <si>
    <t>MOP+OCH+CYKELTRAFIKFLÖDE+INTERNET+2017.xlsx</t>
  </si>
  <si>
    <t>https://malmo.se/Stadsplanering--trafik/Trafik--hallbart-resande/Trafikmangder.html</t>
  </si>
  <si>
    <t>T_Stock*</t>
  </si>
  <si>
    <t>https://www.icao.int/environmental-protection/CarbonOffset/Pages/default.aspx</t>
  </si>
  <si>
    <t>* Provide total stock of vehicles registered within the geographic city/municipality in column T</t>
  </si>
  <si>
    <t>* Split into City-zones: Provide shares per city-zone in %  - MAKE SURE SUM ADDS UP TO 100%</t>
  </si>
  <si>
    <t>* Provide total stock of city-owned vehicles in column U</t>
  </si>
  <si>
    <t>* By default, the same shares (enterd in W6-AL6) are used for all vehicle categories. If more detailed data is available, insert it directly for the respective category!</t>
  </si>
  <si>
    <t>% share of city-owned vehicles per city zone</t>
  </si>
  <si>
    <t>SUM</t>
  </si>
  <si>
    <t>Share</t>
  </si>
  <si>
    <t>Car</t>
  </si>
  <si>
    <t>Fuel</t>
  </si>
  <si>
    <t>TechName</t>
  </si>
  <si>
    <t>TOTAL stock</t>
  </si>
  <si>
    <t>City vehicles</t>
  </si>
  <si>
    <t>Biodiesel</t>
  </si>
  <si>
    <t>Diesel</t>
  </si>
  <si>
    <t>Battery electric (BEV)</t>
  </si>
  <si>
    <t>Ethanol</t>
  </si>
  <si>
    <t>Gas (CNG)</t>
  </si>
  <si>
    <t>Gasoline</t>
  </si>
  <si>
    <t>Hybrid Electric - diesel</t>
  </si>
  <si>
    <t>Hybrid Electric - gasoline</t>
  </si>
  <si>
    <t>LPG</t>
  </si>
  <si>
    <t>Plugin Hybrid Electric - diesel</t>
  </si>
  <si>
    <t>Plugin Hybrid Electric - gasoline</t>
  </si>
  <si>
    <t>Other</t>
  </si>
  <si>
    <t>Total</t>
  </si>
  <si>
    <t>Car - Pool</t>
  </si>
  <si>
    <t>City owned vehicles</t>
  </si>
  <si>
    <t>n.a.</t>
  </si>
  <si>
    <t>Moto</t>
  </si>
  <si>
    <t>Bus - Urban</t>
  </si>
  <si>
    <t>Bus - Intercity</t>
  </si>
  <si>
    <t>Freight LDF &lt;3.5 tons</t>
  </si>
  <si>
    <t>TFLEBDL900</t>
  </si>
  <si>
    <t>TFLEDST900</t>
  </si>
  <si>
    <t>TFLEELC900</t>
  </si>
  <si>
    <t>TFLEETH900</t>
  </si>
  <si>
    <t>TFLEGAS900</t>
  </si>
  <si>
    <t>TFLEGSL900</t>
  </si>
  <si>
    <t>TFLEHYD900</t>
  </si>
  <si>
    <t>TFLEHYG900</t>
  </si>
  <si>
    <t>TFLELPG900</t>
  </si>
  <si>
    <t>TFLEPYD900</t>
  </si>
  <si>
    <t>TFLEPYG900</t>
  </si>
  <si>
    <t>Freight MDF 3.5-16 tons</t>
  </si>
  <si>
    <t>TFMEBDL900</t>
  </si>
  <si>
    <t>TFMEDST900</t>
  </si>
  <si>
    <t>TFMEELC900</t>
  </si>
  <si>
    <t>TFMEETH900</t>
  </si>
  <si>
    <t>TFMEGAS900</t>
  </si>
  <si>
    <t>TFMEGSL900</t>
  </si>
  <si>
    <t>TFMEHYD900</t>
  </si>
  <si>
    <t>TFMEHYG900</t>
  </si>
  <si>
    <t>TFMELPG900</t>
  </si>
  <si>
    <t>TFMEPYD900</t>
  </si>
  <si>
    <t>TFMEPYG900</t>
  </si>
  <si>
    <t>Freight HDF &gt;16 tons</t>
  </si>
  <si>
    <t>TFREBDL900</t>
  </si>
  <si>
    <t>TFREDST900</t>
  </si>
  <si>
    <t>TFREELC900</t>
  </si>
  <si>
    <t>TFREETH900</t>
  </si>
  <si>
    <t>TFREGAS900</t>
  </si>
  <si>
    <t>TFREGSL900</t>
  </si>
  <si>
    <t>TFREHYD900</t>
  </si>
  <si>
    <t>TFREHYG900</t>
  </si>
  <si>
    <t>TFRELPG900</t>
  </si>
  <si>
    <t>TFREPYD900</t>
  </si>
  <si>
    <t>TFREPYG900</t>
  </si>
  <si>
    <t>Bicycle</t>
  </si>
  <si>
    <t>Electric</t>
  </si>
  <si>
    <t>Other - Human</t>
  </si>
  <si>
    <t>Bicycle Freight</t>
  </si>
  <si>
    <t>TYEF900</t>
  </si>
  <si>
    <t>TYNF900</t>
  </si>
  <si>
    <t>Light Electric Vehicle</t>
  </si>
  <si>
    <t>Light Electric Vehicle - Freight</t>
  </si>
  <si>
    <t>Walking</t>
  </si>
  <si>
    <t>TWN900</t>
  </si>
  <si>
    <t>Train</t>
  </si>
  <si>
    <t>Light Train - Railcar - ELC</t>
  </si>
  <si>
    <t>Metro Train -  ELC</t>
  </si>
  <si>
    <t>Passenger Train - Railcar - ELC</t>
  </si>
  <si>
    <t>Passenger Train - Loco - ELC</t>
  </si>
  <si>
    <t>Highspeed Passanger Train - ELC</t>
  </si>
  <si>
    <t>Freight Train - Loco - DST</t>
  </si>
  <si>
    <t>Freight Train - Loco - ELC</t>
  </si>
  <si>
    <t>Passenger Train - Loco - DST</t>
  </si>
  <si>
    <t>Passenger Train - Railcar - DST</t>
  </si>
  <si>
    <t>Freight Train - Railcar - DST</t>
  </si>
  <si>
    <t>Freight Train - Railcar - ELC</t>
  </si>
  <si>
    <t>Local City Ferry</t>
  </si>
  <si>
    <t>TRADST</t>
  </si>
  <si>
    <t>TNCDST100</t>
  </si>
  <si>
    <t>Other vehicles (tractors etc.)</t>
  </si>
  <si>
    <t>TOV*</t>
  </si>
  <si>
    <t xml:space="preserve">*Year is 2015 if not specified otherwise. </t>
  </si>
  <si>
    <t>*Filled with the best data available.</t>
  </si>
  <si>
    <t>Only fill/change YELLOW cells!</t>
  </si>
  <si>
    <t>Avoid putting 0 (if not use, put equal to diesel or gasoline or similar)</t>
  </si>
  <si>
    <t xml:space="preserve">Kilometers per vehicle per annum for road PASSENGER transport </t>
  </si>
  <si>
    <t>Car- Pool</t>
  </si>
  <si>
    <t>Bus</t>
  </si>
  <si>
    <t>Bicycle - Electric</t>
  </si>
  <si>
    <t xml:space="preserve">Light Electric Vehicle </t>
  </si>
  <si>
    <t>Private</t>
  </si>
  <si>
    <t>Urban</t>
  </si>
  <si>
    <t xml:space="preserve">Intercity </t>
  </si>
  <si>
    <t xml:space="preserve">Private </t>
  </si>
  <si>
    <t xml:space="preserve">City </t>
  </si>
  <si>
    <t>Electricity (BEV)</t>
  </si>
  <si>
    <t>HEV, diesel</t>
  </si>
  <si>
    <t>HEV, gasoline</t>
  </si>
  <si>
    <t>PHEV, diesel</t>
  </si>
  <si>
    <t>PHEV, gasoline</t>
  </si>
  <si>
    <t>Hum</t>
  </si>
  <si>
    <t xml:space="preserve">Kilometers per vehicle per annum for road FREIGHT transport </t>
  </si>
  <si>
    <t xml:space="preserve">Freight LDF </t>
  </si>
  <si>
    <t>Freight MDF</t>
  </si>
  <si>
    <t>Freight HDF</t>
  </si>
  <si>
    <t>Bicycle Electric - Freight</t>
  </si>
  <si>
    <t xml:space="preserve">Kilometers per vehicle per annum for rail transport </t>
  </si>
  <si>
    <t>Km</t>
  </si>
  <si>
    <t>TTFLDST100</t>
  </si>
  <si>
    <t>TTFLELC100</t>
  </si>
  <si>
    <t>TTLRELC100</t>
  </si>
  <si>
    <t>TTMEELC100</t>
  </si>
  <si>
    <t>Passenger Train - DST</t>
  </si>
  <si>
    <t>TTPDST100</t>
  </si>
  <si>
    <t>Passenger Train - ELC</t>
  </si>
  <si>
    <t>TTPELC100</t>
  </si>
  <si>
    <t>TTPHELC100</t>
  </si>
  <si>
    <t xml:space="preserve">Kilometers per vessel per annum for navigation and aviation </t>
  </si>
  <si>
    <t>Number of trips</t>
  </si>
  <si>
    <t xml:space="preserve">Generic Navigation - Passenger </t>
  </si>
  <si>
    <t>TNA*</t>
  </si>
  <si>
    <t xml:space="preserve">Local City Ferry - Diesel </t>
  </si>
  <si>
    <t>TNC*</t>
  </si>
  <si>
    <t>Generic Navigation - Bunker</t>
  </si>
  <si>
    <t>TNB*</t>
  </si>
  <si>
    <t xml:space="preserve">Domestic Aviation </t>
  </si>
  <si>
    <t>TAV100</t>
  </si>
  <si>
    <t xml:space="preserve">International Aviation </t>
  </si>
  <si>
    <t>TAI100</t>
  </si>
  <si>
    <t>RVU 2015-2016</t>
  </si>
  <si>
    <t>Justerat mot Länstrafikens siffror över Pkm med buss</t>
  </si>
  <si>
    <t>Kommuntyp</t>
  </si>
  <si>
    <t>Antal resor/p/d</t>
  </si>
  <si>
    <t>Antal gång/cykel</t>
  </si>
  <si>
    <t>Antal bil</t>
  </si>
  <si>
    <t>Antal kollektiv</t>
  </si>
  <si>
    <t>Gång/cykel km</t>
  </si>
  <si>
    <t>Bil km</t>
  </si>
  <si>
    <t>Kollektivt km</t>
  </si>
  <si>
    <t>Total km</t>
  </si>
  <si>
    <t>% gång/cykel</t>
  </si>
  <si>
    <t>%bil</t>
  </si>
  <si>
    <t>% kollektiv</t>
  </si>
  <si>
    <t>Storstäder</t>
  </si>
  <si>
    <t>Förort till storstäder</t>
  </si>
  <si>
    <t>Större städer (total)</t>
  </si>
  <si>
    <t xml:space="preserve">    0-5 år</t>
  </si>
  <si>
    <t xml:space="preserve">    6-15 år</t>
  </si>
  <si>
    <t xml:space="preserve">    16-24 år</t>
  </si>
  <si>
    <t xml:space="preserve">    25-44 år</t>
  </si>
  <si>
    <t xml:space="preserve">    45-64 år</t>
  </si>
  <si>
    <t xml:space="preserve">    65-79 år</t>
  </si>
  <si>
    <t xml:space="preserve">    80+ år</t>
  </si>
  <si>
    <t>Förort till större städer</t>
  </si>
  <si>
    <t>Pendlingskommun</t>
  </si>
  <si>
    <t>Turism/besöksnäringskom.</t>
  </si>
  <si>
    <t>Varuproducerande kommun</t>
  </si>
  <si>
    <t>Glesbygdskommun</t>
  </si>
  <si>
    <t>Kommun i tätbefolkad region</t>
  </si>
  <si>
    <t>Kommun i glesbefolkad region</t>
  </si>
  <si>
    <t>Antal huvudresor per person &amp; dag eftr kön &amp; ålder (från Tabell 7 i Nationell RVU 2015-2016) + Färdlängd per person &amp; dag efter kön, ålder och färdsätt (från Tabell 9 i Nationell RVU 2015-2016)</t>
  </si>
  <si>
    <t>Kön</t>
  </si>
  <si>
    <t>Ålder</t>
  </si>
  <si>
    <t>Antal resor</t>
  </si>
  <si>
    <t>Gång, cykel - km</t>
  </si>
  <si>
    <t>Bil - km</t>
  </si>
  <si>
    <t>Kollektivt - km</t>
  </si>
  <si>
    <t>Total - km</t>
  </si>
  <si>
    <t>Män</t>
  </si>
  <si>
    <t>6-14</t>
  </si>
  <si>
    <t>15-24</t>
  </si>
  <si>
    <t>25-34</t>
  </si>
  <si>
    <t>35-44</t>
  </si>
  <si>
    <t>45-54</t>
  </si>
  <si>
    <t>55-64</t>
  </si>
  <si>
    <t>65-74</t>
  </si>
  <si>
    <t>75-84</t>
  </si>
  <si>
    <t>Samtliga</t>
  </si>
  <si>
    <t>Kvinnor</t>
  </si>
  <si>
    <t>Total - approximation</t>
  </si>
  <si>
    <t>0-5</t>
  </si>
  <si>
    <t>(efter RVs ålderskategorier)</t>
  </si>
  <si>
    <t>6-15</t>
  </si>
  <si>
    <t>16-24</t>
  </si>
  <si>
    <t>25-44</t>
  </si>
  <si>
    <t>45-64</t>
  </si>
  <si>
    <t>65-79</t>
  </si>
  <si>
    <t>80+</t>
  </si>
  <si>
    <t>* Change city zone shares only if data is available (columns V to AJ)</t>
  </si>
  <si>
    <t>* Split into City-zones: Provide shares per city-zone in % - MAKE SURE SUM ADDS UP TO 100%</t>
  </si>
  <si>
    <t>* By default, the same shares (enterd in V6-AJ6) are used for all vehicle categories. If more detailed data is available, insert it directly in the light yellow table for the respective category!</t>
  </si>
  <si>
    <t>% share per zone (assumed equal as the population distribution)</t>
  </si>
  <si>
    <t>Car - Private</t>
  </si>
  <si>
    <t>Private stock</t>
  </si>
  <si>
    <t>TCARDST100</t>
  </si>
  <si>
    <t>TCARELC100</t>
  </si>
  <si>
    <t>TCARETH100</t>
  </si>
  <si>
    <t>TCARGAS100</t>
  </si>
  <si>
    <t>TCARGSL100</t>
  </si>
  <si>
    <t>TCARHYD100</t>
  </si>
  <si>
    <t>TCARHYG100</t>
  </si>
  <si>
    <t>TCARLPG100</t>
  </si>
  <si>
    <t>TCARPYD100</t>
  </si>
  <si>
    <t>TCARPYG100</t>
  </si>
  <si>
    <t>Car - Pool - Private</t>
  </si>
  <si>
    <t>TCARDST100P</t>
  </si>
  <si>
    <t>TCARELC100P</t>
  </si>
  <si>
    <t>TCARETH100P</t>
  </si>
  <si>
    <t>TCARGAS100P</t>
  </si>
  <si>
    <t>TCARGSL100P</t>
  </si>
  <si>
    <t>TCARHYD100P</t>
  </si>
  <si>
    <t>TCARHYG100P</t>
  </si>
  <si>
    <t>TCARLPG100P</t>
  </si>
  <si>
    <t>TCARPYD100P</t>
  </si>
  <si>
    <t>TCARPYG100P</t>
  </si>
  <si>
    <t>TMOTELC100</t>
  </si>
  <si>
    <t>TMOTGSL100</t>
  </si>
  <si>
    <t>TBUSBDL100</t>
  </si>
  <si>
    <t>TBUSDST100</t>
  </si>
  <si>
    <t>TBUSELC100</t>
  </si>
  <si>
    <t>TBUSETH100</t>
  </si>
  <si>
    <t>TBUSGAS100</t>
  </si>
  <si>
    <t>TBUSGSL100</t>
  </si>
  <si>
    <t>TBUSHYD100</t>
  </si>
  <si>
    <t>TBUSHYG100</t>
  </si>
  <si>
    <t>TBUSLPG100</t>
  </si>
  <si>
    <t>TBUSPYD100</t>
  </si>
  <si>
    <t>TBUSPYG100</t>
  </si>
  <si>
    <t>TBISBDL100</t>
  </si>
  <si>
    <t>TBISDST100</t>
  </si>
  <si>
    <t>TBISELC100</t>
  </si>
  <si>
    <t>TBISETH100</t>
  </si>
  <si>
    <t>TBISGAS100</t>
  </si>
  <si>
    <t>TBISGSL100</t>
  </si>
  <si>
    <t>TBISHYD100</t>
  </si>
  <si>
    <t>TBISHYG100</t>
  </si>
  <si>
    <t>TBISLPG100</t>
  </si>
  <si>
    <t>TBISPYD100</t>
  </si>
  <si>
    <t>TBISPYG100</t>
  </si>
  <si>
    <t>TFLEBDL100</t>
  </si>
  <si>
    <t>TFLEDST100</t>
  </si>
  <si>
    <t>TFLEELC100</t>
  </si>
  <si>
    <t>TFLEETH100</t>
  </si>
  <si>
    <t>TFLEGAS100</t>
  </si>
  <si>
    <t>TFLEGSL100</t>
  </si>
  <si>
    <t>TFLEHYD100</t>
  </si>
  <si>
    <t>TFLEHYG100</t>
  </si>
  <si>
    <t>TFLELPG100</t>
  </si>
  <si>
    <t>TFLEPYD100</t>
  </si>
  <si>
    <t>TFLEPYG100</t>
  </si>
  <si>
    <t>TFMEBDL100</t>
  </si>
  <si>
    <t>TFMEDST100</t>
  </si>
  <si>
    <t>TFMEELC100</t>
  </si>
  <si>
    <t>TFMEETH100</t>
  </si>
  <si>
    <t>TFMEGAS100</t>
  </si>
  <si>
    <t>TFMEGSL100</t>
  </si>
  <si>
    <t>TFMEHYD100</t>
  </si>
  <si>
    <t>TFMEHYG100</t>
  </si>
  <si>
    <t>TFMELPG100</t>
  </si>
  <si>
    <t>TFMEPYD100</t>
  </si>
  <si>
    <t>TFMEPYG100</t>
  </si>
  <si>
    <t>TFREBDL100</t>
  </si>
  <si>
    <t>TFREDST100</t>
  </si>
  <si>
    <t>TFREELC100</t>
  </si>
  <si>
    <t>TFREETH100</t>
  </si>
  <si>
    <t>TFREGAS100</t>
  </si>
  <si>
    <t>TFREGSL100</t>
  </si>
  <si>
    <t>TFREHYD100</t>
  </si>
  <si>
    <t>TFREHYG100</t>
  </si>
  <si>
    <t>TFRELPG100</t>
  </si>
  <si>
    <t>TFREPYD100</t>
  </si>
  <si>
    <t>TFREPYG100</t>
  </si>
  <si>
    <t>TYEP100</t>
  </si>
  <si>
    <t>TYNP100</t>
  </si>
  <si>
    <t>TWN100</t>
  </si>
  <si>
    <t>TTFRDST100</t>
  </si>
  <si>
    <t>TTFRELC100</t>
  </si>
  <si>
    <t>TTPLDST100</t>
  </si>
  <si>
    <t>TTPLELC100</t>
  </si>
  <si>
    <t>TTPRDST100</t>
  </si>
  <si>
    <t>TTPRELC100</t>
  </si>
  <si>
    <t>TOV100</t>
  </si>
  <si>
    <t>Base-year DEMAND for passenger transportation, Million pkm</t>
  </si>
  <si>
    <t>Transportslag</t>
  </si>
  <si>
    <t>TIMES Acronym</t>
  </si>
  <si>
    <t>Sum</t>
  </si>
  <si>
    <t>TWN</t>
  </si>
  <si>
    <t>Bicycling</t>
  </si>
  <si>
    <t>TYNP</t>
  </si>
  <si>
    <t>Bicycling (e-bike)</t>
  </si>
  <si>
    <t>TYEP</t>
  </si>
  <si>
    <t>Light Electric Vehicle (LEV)</t>
  </si>
  <si>
    <t>TLEP</t>
  </si>
  <si>
    <t>Car - Long-distance</t>
  </si>
  <si>
    <t>TCL</t>
  </si>
  <si>
    <t>Car - Short-distance</t>
  </si>
  <si>
    <t>TCS</t>
  </si>
  <si>
    <t>Car - City - Short-distance</t>
  </si>
  <si>
    <t>TCL-C</t>
  </si>
  <si>
    <t>Car - City - Long-distance</t>
  </si>
  <si>
    <t>TCS-C</t>
  </si>
  <si>
    <t>Carpool - Long-distance</t>
  </si>
  <si>
    <t>TCL-P</t>
  </si>
  <si>
    <t>Carpool - Short-distance</t>
  </si>
  <si>
    <t>TCS-P</t>
  </si>
  <si>
    <t>Motorcycle</t>
  </si>
  <si>
    <t>TBI</t>
  </si>
  <si>
    <t>TBU</t>
  </si>
  <si>
    <t>Rail - intercity/commuter</t>
  </si>
  <si>
    <t>TTP</t>
  </si>
  <si>
    <t>Rail - high-speed</t>
  </si>
  <si>
    <t>TTH</t>
  </si>
  <si>
    <t>TNO</t>
  </si>
  <si>
    <t>TOTAL</t>
  </si>
  <si>
    <t>Base-year DEMAND for freight transportation, Million tkm</t>
  </si>
  <si>
    <t>TYNF</t>
  </si>
  <si>
    <t>Bicycle (e-bike)</t>
  </si>
  <si>
    <t>TYEF</t>
  </si>
  <si>
    <t>LEV</t>
  </si>
  <si>
    <t>TLEF</t>
  </si>
  <si>
    <t>LCV - Short-distance</t>
  </si>
  <si>
    <t>TFLS</t>
  </si>
  <si>
    <t>LCV - Long-distance</t>
  </si>
  <si>
    <t>TFLL</t>
  </si>
  <si>
    <t>Medium truck - Short-distance</t>
  </si>
  <si>
    <t>TFMS</t>
  </si>
  <si>
    <t>Medium truck - Long-distance</t>
  </si>
  <si>
    <t>TFML</t>
  </si>
  <si>
    <t>Heavy truck - Short-distance</t>
  </si>
  <si>
    <t>TFRS</t>
  </si>
  <si>
    <t>Heavy truck - Long-distance</t>
  </si>
  <si>
    <t>TFRL</t>
  </si>
  <si>
    <t>Rail</t>
  </si>
  <si>
    <t>TTF</t>
  </si>
  <si>
    <t>Maritime</t>
  </si>
  <si>
    <t>TNB</t>
  </si>
  <si>
    <t>*Sheet to be filled with info on Base-Year fuel composition and refuelling "behavior" (e.g. what share of ethanol is actually fuelled in ethanol flexfuel cars) - Use national averages!</t>
  </si>
  <si>
    <t>Fuel blending shares (% based on energy content)</t>
  </si>
  <si>
    <t>2021--&gt;</t>
  </si>
  <si>
    <t>%</t>
  </si>
  <si>
    <t>% of biogas in CNG</t>
  </si>
  <si>
    <t>Model output</t>
  </si>
  <si>
    <t>% of FAME in diesel</t>
  </si>
  <si>
    <t>% of HVO in diesel</t>
  </si>
  <si>
    <t>% of low-blend bioethanol in gasoline</t>
  </si>
  <si>
    <t>% of low-blend biogasoline in gasoline</t>
  </si>
  <si>
    <t>% of bioethanol in E85 (TRAETH)</t>
  </si>
  <si>
    <t>% of bioethanol in ED95</t>
  </si>
  <si>
    <t>Refuelling shares (%)</t>
  </si>
  <si>
    <t>% of CNG fuelled in flexfuel GAS vehicles (rest is GSL)</t>
  </si>
  <si>
    <t>% of ethanol fuelled in E85 flexfuel vehicles (rest is GSL)</t>
  </si>
  <si>
    <t>% of LPG fuelled in flexfuel LPG vehicles (rest is GSL)</t>
  </si>
  <si>
    <t>* Insert national average values or make own assumptions!</t>
  </si>
  <si>
    <t>ACTFLO~DEMO</t>
  </si>
  <si>
    <t>Average number of passengers or ton of freight / vehicle</t>
  </si>
  <si>
    <t>Sheet</t>
  </si>
  <si>
    <t>Type</t>
  </si>
  <si>
    <t>Description</t>
  </si>
  <si>
    <t>Value</t>
  </si>
  <si>
    <t>Source</t>
  </si>
  <si>
    <t>CHECK</t>
  </si>
  <si>
    <t>Walking - Private</t>
  </si>
  <si>
    <t>TWN-C</t>
  </si>
  <si>
    <t>Walking - City</t>
  </si>
  <si>
    <t>Electric bicycle - Private</t>
  </si>
  <si>
    <t>TYEP-C</t>
  </si>
  <si>
    <t>Electric bicycle - City</t>
  </si>
  <si>
    <t>Bicycle - Private</t>
  </si>
  <si>
    <t>TYNP-C</t>
  </si>
  <si>
    <t>Bicycle - City</t>
  </si>
  <si>
    <t>LEV - passenger</t>
  </si>
  <si>
    <t>TLEP-C</t>
  </si>
  <si>
    <t>LEV - City - passenger</t>
  </si>
  <si>
    <t>Non-travelling</t>
  </si>
  <si>
    <t>Dummy value</t>
  </si>
  <si>
    <t>TNO-C</t>
  </si>
  <si>
    <t>Non-travelling - City</t>
  </si>
  <si>
    <t>TC*C</t>
  </si>
  <si>
    <t xml:space="preserve">Cars - City </t>
  </si>
  <si>
    <t>TC*</t>
  </si>
  <si>
    <t>Cars - Private</t>
  </si>
  <si>
    <t>Calculated from data from trafikarbete-på-svenska-vagar... And transportarbete… (trafa statistics)  (Pkm delat med Fkm = person/fordon)</t>
  </si>
  <si>
    <t>TC_Pool</t>
  </si>
  <si>
    <t>TC*P</t>
  </si>
  <si>
    <t>Cars - Pool</t>
  </si>
  <si>
    <t>Motos</t>
  </si>
  <si>
    <t>TMO-C</t>
  </si>
  <si>
    <t>Motos - City</t>
  </si>
  <si>
    <t>Bus Urban</t>
  </si>
  <si>
    <t>Bus Intercity</t>
  </si>
  <si>
    <t>sl_och_regionen_2019.pdf s. 18, 30% av antaget 50 platser per buss = 15</t>
  </si>
  <si>
    <t>TEF</t>
  </si>
  <si>
    <t>TFL*</t>
  </si>
  <si>
    <t>Light Trucks</t>
  </si>
  <si>
    <t>Calculated from data from trafikarbete-på-svenska-vagar... And transportarbete… (trafa statistics)  (Tkm delat med Fkm = ton/fordon)</t>
  </si>
  <si>
    <t>TFM*</t>
  </si>
  <si>
    <t>Medium Trucks</t>
  </si>
  <si>
    <t>TFR*</t>
  </si>
  <si>
    <t>Heavy Trucks</t>
  </si>
  <si>
    <t>TF_City</t>
  </si>
  <si>
    <t>TEF-C</t>
  </si>
  <si>
    <t>TYNF-C</t>
  </si>
  <si>
    <t>TYEF-C</t>
  </si>
  <si>
    <t>TTL</t>
  </si>
  <si>
    <t xml:space="preserve">Rail - Light </t>
  </si>
  <si>
    <t>TTM</t>
  </si>
  <si>
    <t>Rail - Metro</t>
  </si>
  <si>
    <t>Rail - Train - ELR</t>
  </si>
  <si>
    <t>Rail - Train - DSR</t>
  </si>
  <si>
    <t>Rail - Highspeed train</t>
  </si>
  <si>
    <t>Freight</t>
  </si>
  <si>
    <t>Navigation - Passenger</t>
  </si>
  <si>
    <t>Navigation - Freight</t>
  </si>
  <si>
    <t>TNC</t>
  </si>
  <si>
    <t>Navigation - Local city ferry</t>
  </si>
  <si>
    <t>TAI</t>
  </si>
  <si>
    <t>Aviation - International</t>
  </si>
  <si>
    <t>Aviation - Domestic</t>
  </si>
  <si>
    <t xml:space="preserve">Car - Private </t>
  </si>
  <si>
    <t>Average</t>
  </si>
  <si>
    <t>Car - City</t>
  </si>
  <si>
    <t>TCARDST900</t>
  </si>
  <si>
    <t>TCARELC900</t>
  </si>
  <si>
    <t>TCARETH900</t>
  </si>
  <si>
    <t>TCARGAS900</t>
  </si>
  <si>
    <t>TCARGSL900</t>
  </si>
  <si>
    <t>TCARHYD900</t>
  </si>
  <si>
    <t>TCARHYG900</t>
  </si>
  <si>
    <t>TCARLPG900</t>
  </si>
  <si>
    <t>TCARPYD900</t>
  </si>
  <si>
    <t>TCARPYG900</t>
  </si>
  <si>
    <t>Car - Pool - City</t>
  </si>
  <si>
    <t>Moto - Private</t>
  </si>
  <si>
    <t>Moto - City</t>
  </si>
  <si>
    <t>TMOTELC900</t>
  </si>
  <si>
    <t>TMOTGSL900</t>
  </si>
  <si>
    <t xml:space="preserve">Bus - Urban </t>
  </si>
  <si>
    <t xml:space="preserve">Bus - Intercity </t>
  </si>
  <si>
    <t xml:space="preserve">Freight LDF - Private </t>
  </si>
  <si>
    <t>Freight LDF - City</t>
  </si>
  <si>
    <t xml:space="preserve">Freight MDF - Private </t>
  </si>
  <si>
    <t>Freight MDF - City</t>
  </si>
  <si>
    <t xml:space="preserve">Freight HDF - Private </t>
  </si>
  <si>
    <t>Freight HDF - City</t>
  </si>
  <si>
    <t>LEV - Private</t>
  </si>
  <si>
    <t>TLEPELC100</t>
  </si>
  <si>
    <t>LEV - City</t>
  </si>
  <si>
    <t>TLEPELC900</t>
  </si>
  <si>
    <t>LEV Freight - Private</t>
  </si>
  <si>
    <t>TLEFELC100</t>
  </si>
  <si>
    <t>LEV Freight - City</t>
  </si>
  <si>
    <t>TLEFELC900</t>
  </si>
  <si>
    <t xml:space="preserve">Bicycle  - Private </t>
  </si>
  <si>
    <t xml:space="preserve">Bicycle - City </t>
  </si>
  <si>
    <t>TYEP900</t>
  </si>
  <si>
    <t>TYNP900</t>
  </si>
  <si>
    <t>Bicycle - Freight - Private</t>
  </si>
  <si>
    <t>TYEF100</t>
  </si>
  <si>
    <t>TYNF100</t>
  </si>
  <si>
    <t>Bicycle - Freight - City</t>
  </si>
  <si>
    <t>Walking-Private</t>
  </si>
  <si>
    <t>Walking-City</t>
  </si>
  <si>
    <t xml:space="preserve">Train </t>
  </si>
  <si>
    <t>Navigation - Passenger (Generic)</t>
  </si>
  <si>
    <t>TNA100</t>
  </si>
  <si>
    <t xml:space="preserve">Local Navigation - Ferry - Diesel </t>
  </si>
  <si>
    <t>Navigation - Bunker (Generic)</t>
  </si>
  <si>
    <t>TNB100</t>
  </si>
  <si>
    <t>* In this sheet the demand for each demand-segment is summarised</t>
  </si>
  <si>
    <t>Model info Active (X)</t>
  </si>
  <si>
    <t>Base-year passenger transport demand</t>
  </si>
  <si>
    <t>SureCity acronyms</t>
  </si>
  <si>
    <t>Unit</t>
  </si>
  <si>
    <t>Test</t>
  </si>
  <si>
    <t>Aviation.International.</t>
  </si>
  <si>
    <t>Million_Pkm</t>
  </si>
  <si>
    <t>TAI-C</t>
  </si>
  <si>
    <t>Aviation.International.City.</t>
  </si>
  <si>
    <t>Aviation.Domestic.</t>
  </si>
  <si>
    <t>TAV-C</t>
  </si>
  <si>
    <t>Aviation.Domestic.City.</t>
  </si>
  <si>
    <t>Road.Bus.Intercity.</t>
  </si>
  <si>
    <t>TBI-C</t>
  </si>
  <si>
    <t>Road.Bus.Intercity.City.</t>
  </si>
  <si>
    <t>Road.Bus.Urban.</t>
  </si>
  <si>
    <t>TBU-C</t>
  </si>
  <si>
    <t>Road.Bus.Urban.City.</t>
  </si>
  <si>
    <t>Road.Car.Long.</t>
  </si>
  <si>
    <t>Road.Car.Long.City.</t>
  </si>
  <si>
    <t>Road.Car.Long.Pool.</t>
  </si>
  <si>
    <t>Road.Car.Short.</t>
  </si>
  <si>
    <t>Road.Car.Short.City.</t>
  </si>
  <si>
    <t>Road.Car.Short.Pool.</t>
  </si>
  <si>
    <t>LightElectricVehicle(LEV).Passenger.</t>
  </si>
  <si>
    <t>LightElectricVehicle(LEV).Passenger.City.</t>
  </si>
  <si>
    <t>Road.Moto.</t>
  </si>
  <si>
    <t>Road.Moto.City.</t>
  </si>
  <si>
    <t>Navigation.Generic.Passenger.</t>
  </si>
  <si>
    <t>TNA-C</t>
  </si>
  <si>
    <t>Navigation.Generic.Passenger.City.</t>
  </si>
  <si>
    <t>Navigation.Local.Ferry.Passenger.</t>
  </si>
  <si>
    <t>TNC-C</t>
  </si>
  <si>
    <t>Navigation.Local.Ferry.Passenger.City.</t>
  </si>
  <si>
    <t>Non-traveling</t>
  </si>
  <si>
    <t>Non-traveling.City.</t>
  </si>
  <si>
    <t>Rail.Passenger.HighSpeed.</t>
  </si>
  <si>
    <t>TTH-C</t>
  </si>
  <si>
    <t>Rail.Passenger.HighSpeed.City.</t>
  </si>
  <si>
    <t>Rail.Passenger.LightRail.</t>
  </si>
  <si>
    <t>TTL-C</t>
  </si>
  <si>
    <t>Rail.Passenger.LightRail.City.</t>
  </si>
  <si>
    <t>Rail.Passenger.Metro.</t>
  </si>
  <si>
    <t>TTM-C</t>
  </si>
  <si>
    <t>Rail.Passenger.Metro.City.</t>
  </si>
  <si>
    <t>Rail.Passenger.</t>
  </si>
  <si>
    <t>TTP-C</t>
  </si>
  <si>
    <t>Rail.Passenger.City.</t>
  </si>
  <si>
    <t>Walking.</t>
  </si>
  <si>
    <t>Walking.City.</t>
  </si>
  <si>
    <t>BicYcle.Electric.Passenger.</t>
  </si>
  <si>
    <t>BicYcle.Electric.Passenger.City.</t>
  </si>
  <si>
    <t>BicYcle.Passenger.</t>
  </si>
  <si>
    <t>BicYcle.Passenger.City.</t>
  </si>
  <si>
    <t>Base-year freight transport demand</t>
  </si>
  <si>
    <t>LightElectricVehicle (LEV).Freight.</t>
  </si>
  <si>
    <t>Million_Tkm</t>
  </si>
  <si>
    <t>TLEF-C</t>
  </si>
  <si>
    <t>LightElectricVehicle (LEV).Freight.City.</t>
  </si>
  <si>
    <t>Road.Freight.Light.LongDistance.</t>
  </si>
  <si>
    <t>TFLL-C</t>
  </si>
  <si>
    <t>Road.Freight.Light.LongDistance.City.</t>
  </si>
  <si>
    <t>Road.Freight.Light.Short.</t>
  </si>
  <si>
    <t>TFLS-C</t>
  </si>
  <si>
    <t>Road.Freight.Light.Short.City.</t>
  </si>
  <si>
    <t>Road.Freight.Medium.LongDistance.</t>
  </si>
  <si>
    <t>TFML-C</t>
  </si>
  <si>
    <t>Road.Freight.Medium.LongDistance.City.</t>
  </si>
  <si>
    <t>Road.Freight.Medium.Short.</t>
  </si>
  <si>
    <t>TFMS-C</t>
  </si>
  <si>
    <t>Road.Freight.Medium.Short.City.</t>
  </si>
  <si>
    <t>Road.Freight.Heavy.LongDistance.</t>
  </si>
  <si>
    <t>TFRL-C</t>
  </si>
  <si>
    <t>Road.Freight.Heavy.LongDistance.City.</t>
  </si>
  <si>
    <t>Road.Freight.Heavy.Short.</t>
  </si>
  <si>
    <t>TFRS-C</t>
  </si>
  <si>
    <t>Road.Freight.Heavy.Short.City.</t>
  </si>
  <si>
    <t>Navigation.Generic.Bunker.</t>
  </si>
  <si>
    <t>TNB-C</t>
  </si>
  <si>
    <t>Navigation.Generic.Bunker.City.</t>
  </si>
  <si>
    <t>TOV</t>
  </si>
  <si>
    <t>Other.Vehicles.</t>
  </si>
  <si>
    <t>TOV-C</t>
  </si>
  <si>
    <t>Other.Vehicles.City.</t>
  </si>
  <si>
    <t>Rail.Freight.</t>
  </si>
  <si>
    <t>TTF-C</t>
  </si>
  <si>
    <t>Rail.Freight.City.</t>
  </si>
  <si>
    <t>BicYcle.Electric.Freight.</t>
  </si>
  <si>
    <t>BicYcle.Electric.Freight.City.</t>
  </si>
  <si>
    <t>BicYcle.Freight.</t>
  </si>
  <si>
    <t>BicYcle.Freight.City.</t>
  </si>
  <si>
    <t>* In this sheet Vehicle/vessel efficiency is provided. Efficiency will differ between long and short distance respectively!</t>
  </si>
  <si>
    <t>* Information is given based on indata for the JRC EU TIMES model, only change if better data is available!</t>
  </si>
  <si>
    <t>* Provide new data in column Y - be aware of units!</t>
  </si>
  <si>
    <t>CEFF or EFF</t>
  </si>
  <si>
    <t>Bicycle/Walking</t>
  </si>
  <si>
    <t>Comm-IN</t>
  </si>
  <si>
    <t>Comm-OUT</t>
  </si>
  <si>
    <t>ALL</t>
  </si>
  <si>
    <t>Data Source</t>
  </si>
  <si>
    <t>User input</t>
  </si>
  <si>
    <t>Vkm/MJ</t>
  </si>
  <si>
    <t>MJ/100 km</t>
  </si>
  <si>
    <t>Bicycle - Electric - City</t>
  </si>
  <si>
    <t>TRAHUM</t>
  </si>
  <si>
    <t>Own assumption</t>
  </si>
  <si>
    <t>TRAELC</t>
  </si>
  <si>
    <t xml:space="preserve">Bicycle - Electric </t>
  </si>
  <si>
    <t xml:space="preserve">Bicycle </t>
  </si>
  <si>
    <t xml:space="preserve">Walking </t>
  </si>
  <si>
    <t>1000's of meetings/GJ</t>
  </si>
  <si>
    <t>1000's of meetings</t>
  </si>
  <si>
    <t>TNO100</t>
  </si>
  <si>
    <t>TNO900</t>
  </si>
  <si>
    <t>Non-Ttravelling - City</t>
  </si>
  <si>
    <t>ROAD - Car</t>
  </si>
  <si>
    <t>*Use the data to the right or provide your own data (be aware of the unit)</t>
  </si>
  <si>
    <t>*JRC-EU TIMES is used as a data source for some of the  vehicle efficiency assumptions.</t>
  </si>
  <si>
    <t>kWh/mil</t>
  </si>
  <si>
    <t>kWh/l</t>
  </si>
  <si>
    <t>l/mil</t>
  </si>
  <si>
    <t>Justerat</t>
  </si>
  <si>
    <t>JRC-EU-TIMES; data for 2010</t>
  </si>
  <si>
    <t>JRC-EU-TIMES</t>
  </si>
  <si>
    <t>Assumed same as GSL</t>
  </si>
  <si>
    <t>ROAD - Moto</t>
  </si>
  <si>
    <t>Same efficiency difference between ELC and GSL as for cars</t>
  </si>
  <si>
    <t>Swedish national statistics (for Malmö)</t>
  </si>
  <si>
    <t>ROAD - Bus</t>
  </si>
  <si>
    <t>Same as DST</t>
  </si>
  <si>
    <t>TBUSBDL101</t>
  </si>
  <si>
    <t>Skånetrafiken (Regional Transit Authority)</t>
  </si>
  <si>
    <t>10% more efficient than DST</t>
  </si>
  <si>
    <t>10% more efficient than GSL</t>
  </si>
  <si>
    <t>30% more efficient than DST</t>
  </si>
  <si>
    <t>30% more efficient than GSL</t>
  </si>
  <si>
    <t>Länstrafiken V-B data, 3.4 liter/mil</t>
  </si>
  <si>
    <t>Länstrafiken V-B data</t>
  </si>
  <si>
    <t>ERASE TECHNOLOGY?</t>
  </si>
  <si>
    <t>Länstrafiken V-B data, 11.0 liter/mil</t>
  </si>
  <si>
    <t>Länstrafiken V-B data, 2.7 kg/mil - RIMLIGT???</t>
  </si>
  <si>
    <t>Own assumption (based on Skånetrafiken data)</t>
  </si>
  <si>
    <t>ROAD - Freight</t>
  </si>
  <si>
    <t>10% lower than TFR</t>
  </si>
  <si>
    <t>n.a.???</t>
  </si>
  <si>
    <t>Assumed equal to ELC BUS</t>
  </si>
  <si>
    <t>5% more efficient than HYD</t>
  </si>
  <si>
    <t>??</t>
  </si>
  <si>
    <t>Assumed 25% higher than long-distance</t>
  </si>
  <si>
    <t>Assumed equal to DST</t>
  </si>
  <si>
    <t>Assumed same as GSL/ETH</t>
  </si>
  <si>
    <t xml:space="preserve">RAIL </t>
  </si>
  <si>
    <t>Swedish national statistics (Trafa)</t>
  </si>
  <si>
    <t>Justerat för att matcha Länstrafikens/Norrtågs siffror, FRIDA</t>
  </si>
  <si>
    <t>NAVIGATION</t>
  </si>
  <si>
    <t xml:space="preserve">GJ/Trip </t>
  </si>
  <si>
    <t>Naigation - City ferry</t>
  </si>
  <si>
    <t>AVIATION</t>
  </si>
  <si>
    <t>TAV*</t>
  </si>
  <si>
    <t>Own calculation based on SAS website emission data</t>
  </si>
  <si>
    <t>TAI*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</si>
  <si>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</si>
  <si>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</si>
  <si>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</si>
  <si>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</si>
  <si>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</si>
  <si>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</si>
  <si>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</si>
  <si>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</si>
  <si>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Aviaiton.International.Base-year.</t>
  </si>
  <si>
    <t>000_Vkm</t>
  </si>
  <si>
    <t>units</t>
  </si>
  <si>
    <t>DEMO</t>
  </si>
  <si>
    <t>NO</t>
  </si>
  <si>
    <t>Aviation.Domestic.Base-year.</t>
  </si>
  <si>
    <t>Bus.Intercity.BDL.Base-year.</t>
  </si>
  <si>
    <t>Bus.Intercity.DST.Base-year.</t>
  </si>
  <si>
    <t>Bus.Intercity.ELC.Base-year.</t>
  </si>
  <si>
    <t>Bus.Intercity.ETH.Base-year.</t>
  </si>
  <si>
    <t>Bus.Intercity.GAS.Base-year.</t>
  </si>
  <si>
    <t>Bus.Intercity.GSL.Base-year.</t>
  </si>
  <si>
    <t>Bus.Intercity.Hybrid.DST.Base-year.</t>
  </si>
  <si>
    <t>Bus.Intercity.Hybrid.GSL.Base-year.</t>
  </si>
  <si>
    <t>Bus.Intercity.LPG.Base-year.</t>
  </si>
  <si>
    <t>Bus.Intercity.Plugin-Hybrid.DST.Base-year.</t>
  </si>
  <si>
    <t>Bus.Intercity.Plugin-Hybrid.GSL.Base-year.</t>
  </si>
  <si>
    <t>Bus.Urban.BDL.Base-year.</t>
  </si>
  <si>
    <t>Bus.Urban.DST.Base-year.</t>
  </si>
  <si>
    <t>Bus.Urban.ELC.Base-year.</t>
  </si>
  <si>
    <t>Bus.Urban.ETH.Base-year.</t>
  </si>
  <si>
    <t>Bus.Urban.GAS.Base-year.</t>
  </si>
  <si>
    <t>Bus.Urban.GSL.Base-year.</t>
  </si>
  <si>
    <t>Bus.Urban.Hybrid.DST.Base-year.</t>
  </si>
  <si>
    <t>Bus.Urban.Hybrid.GSL.Base-year.</t>
  </si>
  <si>
    <t>Bus.Urban.LPG.Base-year.</t>
  </si>
  <si>
    <t>Bus.Urban.Plugin-Hybrid.DST.Base-year.</t>
  </si>
  <si>
    <t>Bus.Urban.Plugin-Hybrid.GSL.Base-year.</t>
  </si>
  <si>
    <t>Car.DST.Base-year.</t>
  </si>
  <si>
    <t>Car.DST.Pool.Base-year.</t>
  </si>
  <si>
    <t>Car.DST.City.Base-year.</t>
  </si>
  <si>
    <t>Car.ELC.Base-year.</t>
  </si>
  <si>
    <t>Car.ELC.Pool.Base-year.</t>
  </si>
  <si>
    <t>Car.ELC.City.Base-year.</t>
  </si>
  <si>
    <t>Car.ETH.Base-year.</t>
  </si>
  <si>
    <t>Car.ETH.Pool.Base-year.</t>
  </si>
  <si>
    <t>Car.ETH.City.Base-year.</t>
  </si>
  <si>
    <t>Car.GAS.Base-year.</t>
  </si>
  <si>
    <t>Car.GAS.Pool.Base-year.</t>
  </si>
  <si>
    <t>Car.GAS.City.Base-year.</t>
  </si>
  <si>
    <t>Car.GSL.Base-year.</t>
  </si>
  <si>
    <t>Car.GSL.Pool.Base-year.</t>
  </si>
  <si>
    <t>Car.GSL.City.Base-year.</t>
  </si>
  <si>
    <t>Car.Hybrid.DST.Base-year.</t>
  </si>
  <si>
    <t>Car.Hybrid.DST.Pool.Base-year.</t>
  </si>
  <si>
    <t>Car.Hybrid.DST.City.Base-year.</t>
  </si>
  <si>
    <t>Car.Hybrid.GSL.Base-year.</t>
  </si>
  <si>
    <t>Car.Hybrid.GSL.Pool.Base-year.</t>
  </si>
  <si>
    <t>Car.Hybrid.GSL.City.Base-year.</t>
  </si>
  <si>
    <t>Car.LPG.Base-year.</t>
  </si>
  <si>
    <t>Car.LPG.Pool.Base-year.</t>
  </si>
  <si>
    <t>Car.LPG.City.Base-year.</t>
  </si>
  <si>
    <t>Car.Plugin-Hybrid.DST.Base-year.</t>
  </si>
  <si>
    <t>Car.Plugin-Hybrid.DST.Pool.Base-year.</t>
  </si>
  <si>
    <t>Car.Plugin-Hybrid.DST.City.Base-year.</t>
  </si>
  <si>
    <t>Car.Plugin-Hybrid.GSL.Base-year.</t>
  </si>
  <si>
    <t>Car.Plugin-Hybrid.GSL.Pool.Base-year.</t>
  </si>
  <si>
    <t>Car.Plugin-Hybrid.GSL.City.Base-year.</t>
  </si>
  <si>
    <t>Truck.Light.BDL.Base-year.</t>
  </si>
  <si>
    <t>Truck.Light.BDL.City.Base-year.</t>
  </si>
  <si>
    <t>Truck.Light.DST.Base-year.</t>
  </si>
  <si>
    <t>Truck.Light.DST.City.Base-year.</t>
  </si>
  <si>
    <t>Truck.Light.ELC.Base-year.</t>
  </si>
  <si>
    <t>Truck.Light.ELC.City.Base-year.</t>
  </si>
  <si>
    <t>Truck.Light.ETH.Base-year.</t>
  </si>
  <si>
    <t>Truck.Light.ETH.City.Base-year.</t>
  </si>
  <si>
    <t>Truck.Light.GAS.Base-year.</t>
  </si>
  <si>
    <t>Truck.Light.GAS.City.Base-year.</t>
  </si>
  <si>
    <t>Truck.Light.GSL.Base-year.</t>
  </si>
  <si>
    <t>Truck.Light.GSL.City.Base-year.</t>
  </si>
  <si>
    <t>Truck.Light.Hybrid.DST.Base-year.</t>
  </si>
  <si>
    <t>Truck.Light.Hybrid.DST.City.Base-year.</t>
  </si>
  <si>
    <t>Truck.Light.Hybrid.GSL.Base-year.</t>
  </si>
  <si>
    <t>Truck.Light.Hybrid.GSL.City.Base-year.</t>
  </si>
  <si>
    <t>Truck.Light.LPG.Base-year.</t>
  </si>
  <si>
    <t>Truck.Light.LPG.City.Base-year.</t>
  </si>
  <si>
    <t>Truck.Light.Plugin-Hybrid.DST.Base-year.</t>
  </si>
  <si>
    <t>Truck.Light.Plugin-Hybrid.DST.City.Base-year.</t>
  </si>
  <si>
    <t>Truck.Light.Plugin-Hybrid.GSL.Base-year.</t>
  </si>
  <si>
    <t>Truck.Light.Plugin-Hybrid.GSL.City.Base-year.</t>
  </si>
  <si>
    <t>Truck.Medium.BDL.Base-year.</t>
  </si>
  <si>
    <t>Truck.Medium.BDL.City.Base-year.</t>
  </si>
  <si>
    <t>Truck.Medium.DST.Base-year.</t>
  </si>
  <si>
    <t>Truck.Medium.DST.City.Base-year.</t>
  </si>
  <si>
    <t>Truck.Medium.ELC.Base-year.</t>
  </si>
  <si>
    <t>Truck.Medium.ELC.City.Base-year.</t>
  </si>
  <si>
    <t>Truck.Medium.ETH.Base-year.</t>
  </si>
  <si>
    <t>Truck.Medium.ETH.City.Base-year.</t>
  </si>
  <si>
    <t>Truck.Medium.GAS.Base-year.</t>
  </si>
  <si>
    <t>Truck.Medium.GAS.City.Base-year.</t>
  </si>
  <si>
    <t>Truck.Medium.GSL.Base-year.</t>
  </si>
  <si>
    <t>Truck.Medium.GSL.City.Base-year.</t>
  </si>
  <si>
    <t>Truck.Medium.Hybrid.DST.Base-year.</t>
  </si>
  <si>
    <t>Truck.Medium.Hybrid.DST.City.Base-year.</t>
  </si>
  <si>
    <t>Truck.Medium.Hybrid.GSL.Base-year.</t>
  </si>
  <si>
    <t>Truck.Medium.Hybrid.GSL.City.Base-year.</t>
  </si>
  <si>
    <t>Truck.Medium.LPG.Base-year.</t>
  </si>
  <si>
    <t>Truck.Medium.LPG.City.Base-year.</t>
  </si>
  <si>
    <t>Truck.Medium.Plugin-Hybrid.DST.Base-year.</t>
  </si>
  <si>
    <t>Truck.Medium.Plugin-Hybrid.DST.City.Base-year.</t>
  </si>
  <si>
    <t>Truck.Medium.Plugin-Hybrid.GSL.Base-year.</t>
  </si>
  <si>
    <t>Truck.Medium.Plugin-Hybrid.GSL.City.Base-year.</t>
  </si>
  <si>
    <t>Truck.Heavy.BDL.Base-year.</t>
  </si>
  <si>
    <t>Truck.Heavy.BDL.City.Base-year.</t>
  </si>
  <si>
    <t>Truck.Heavy.DST.Base-year.</t>
  </si>
  <si>
    <t>Truck.Heavy.DST.City.Base-year.</t>
  </si>
  <si>
    <t>Truck.Heavy.ELC.Base-year.</t>
  </si>
  <si>
    <t>Truck.Heavy.ELC.City.Base-year.</t>
  </si>
  <si>
    <t>Truck.Heavy.ETH.Base-year.</t>
  </si>
  <si>
    <t>Truck.Heavy.ETH.City.Base-year.</t>
  </si>
  <si>
    <t>Truck.Heavy.GAS.Base-year.</t>
  </si>
  <si>
    <t>Truck.Heavy.GAS.City.Base-year.</t>
  </si>
  <si>
    <t>Truck.Heavy.GSL.Base-year.</t>
  </si>
  <si>
    <t>Truck.Heavy.GSL.City.Base-year.</t>
  </si>
  <si>
    <t>Truck.Heavy.Hybrid.DST.Base-year.</t>
  </si>
  <si>
    <t>Truck.Heavy.Hybrid.DST.City.Base-year.</t>
  </si>
  <si>
    <t>Truck.Heavy.Hybrid.GSL.Base-year.</t>
  </si>
  <si>
    <t>Truck.Heavy.Hybrid.GSL.City.Base-year.</t>
  </si>
  <si>
    <t>Truck.Heavy.LPG.Base-year.</t>
  </si>
  <si>
    <t>Truck.Heavy.LPG.City.Base-year.</t>
  </si>
  <si>
    <t>Truck.Heavy.Plugin-Hybrid.DST.Base-year.</t>
  </si>
  <si>
    <t>Truck.Heavy.Plugin-Hybrid.DST.City.Base-year.</t>
  </si>
  <si>
    <t>Truck.Heavy.Plugin-Hybrid.GSL.Base-year.</t>
  </si>
  <si>
    <t>Truck.Heavy.Plugin-Hybrid.GSL.City.Base-year.</t>
  </si>
  <si>
    <t>LightElectricVehicle.Freight.Base-year.</t>
  </si>
  <si>
    <t>LightElectricVehicle.Freight.City.Base-year.</t>
  </si>
  <si>
    <t>LightElectricVehicle.Passenger.Base-year.</t>
  </si>
  <si>
    <t>LightElectricVehicle.Passenger.City.Base-year.</t>
  </si>
  <si>
    <t>Moto.ELC.Base-year.</t>
  </si>
  <si>
    <t>Moto.ELC.Base-year.City.</t>
  </si>
  <si>
    <t>Moto.GSL.Base-year.</t>
  </si>
  <si>
    <t>Moto.GSL.Base-year.City.</t>
  </si>
  <si>
    <t>Navigation.Generic.Passenger.Base-year.</t>
  </si>
  <si>
    <t>Navigation.Generic.Bunker.Base-year.</t>
  </si>
  <si>
    <t>Navigation.Local.Ferry.DST.Base-year.</t>
  </si>
  <si>
    <t>Non.Travelling.Base-year.</t>
  </si>
  <si>
    <t>TJ_a</t>
  </si>
  <si>
    <t>Non.Travelling.City.Base-year</t>
  </si>
  <si>
    <t>Other.Vehicles.Base-year.</t>
  </si>
  <si>
    <t>TOV900</t>
  </si>
  <si>
    <t>Other.Vehicles.Base-year.City.</t>
  </si>
  <si>
    <t>Train.Freight.Loco.DST.Base-year.</t>
  </si>
  <si>
    <t>Train.Freight.Loco.ELC.Base-year.</t>
  </si>
  <si>
    <t>Train.Light.Railcar.ELC.Base-year.</t>
  </si>
  <si>
    <t>Train.Metro.ELC.Base-year.</t>
  </si>
  <si>
    <t>Train.Passenger.DST.Base-year.</t>
  </si>
  <si>
    <t>Train.Passenger.ELC.Base-year.</t>
  </si>
  <si>
    <t>Train.Passenger.Highspeed.ELC.Base-year.</t>
  </si>
  <si>
    <t>Walking.Nonenergy.Base-year.</t>
  </si>
  <si>
    <t>Walking.Nonenergy.City.Base-year.</t>
  </si>
  <si>
    <t>BicYcle.ELC.Freight.Base-year.</t>
  </si>
  <si>
    <t>BicYcle.ELC.Freight.City.Base-year.</t>
  </si>
  <si>
    <t>BicYcle.Electric.Passenger.ELC.Base-year.</t>
  </si>
  <si>
    <t>BicYcle.Electric.Passenger.ELC.City.Base-year.</t>
  </si>
  <si>
    <t>BicYcle.Freight.Base-year.</t>
  </si>
  <si>
    <t>BicYcle.Freight.City.Base-year.</t>
  </si>
  <si>
    <t>BicYcle.Nonenergy.Passenger.Base-year.</t>
  </si>
  <si>
    <t>BicYcle.Nonenergy.Passenger.City.Base-year.</t>
  </si>
  <si>
    <t>PRE</t>
  </si>
  <si>
    <t>TRABDL00</t>
  </si>
  <si>
    <t>Fuel Tech Base-year - Biodiesel (TRA)</t>
  </si>
  <si>
    <t>TRABDL01</t>
  </si>
  <si>
    <t>TRABDLM00</t>
  </si>
  <si>
    <t>Fuel Tech Base-year - Biodiesel for low-blending (TRA)</t>
  </si>
  <si>
    <t>TRABDLM01</t>
  </si>
  <si>
    <t>TRABDR00</t>
  </si>
  <si>
    <t>Fuel Tech Base-year - Biodiesel for rail (TRA)</t>
  </si>
  <si>
    <t>TRABDR01</t>
  </si>
  <si>
    <t>TRABGS00</t>
  </si>
  <si>
    <t>Fuel Tech Base-year - Biogas (TRA)</t>
  </si>
  <si>
    <t>TRABGS01</t>
  </si>
  <si>
    <t>Fuel Tech Base-year - Biogasoline for low-blending (TRA)</t>
  </si>
  <si>
    <t>TRABGSLM00</t>
  </si>
  <si>
    <t>TRABGSLM01</t>
  </si>
  <si>
    <t>TRABJF00</t>
  </si>
  <si>
    <t>Fuel Tech Base-year - Bio Jet Fuel (TRA)</t>
  </si>
  <si>
    <t>TRABJF01</t>
  </si>
  <si>
    <t>TRADME00</t>
  </si>
  <si>
    <t>Fuel Tech Base-year - Dimethyl Ether (TRA)</t>
  </si>
  <si>
    <t>TRADME01</t>
  </si>
  <si>
    <t>TRADSR00</t>
  </si>
  <si>
    <t>Fuel Tech Base-year - Diesel for rail transportation (TRA)</t>
  </si>
  <si>
    <t>TRADSR01</t>
  </si>
  <si>
    <t>TRADST00</t>
  </si>
  <si>
    <t>Fuel Tech Base-year - Diesel (TRA)</t>
  </si>
  <si>
    <t>TRADST01</t>
  </si>
  <si>
    <t>TRAELC00</t>
  </si>
  <si>
    <t>Fuel Tech Base-year - Electricity (TRA)</t>
  </si>
  <si>
    <t>TRAELC01</t>
  </si>
  <si>
    <t>TRAELR00</t>
  </si>
  <si>
    <t>Fuel Tech Base-year - Electricity for rail transportation (TRA)</t>
  </si>
  <si>
    <t>TRAELR01</t>
  </si>
  <si>
    <t>TRAETH00</t>
  </si>
  <si>
    <t>Fuel Tech Base-year - Ethanol (TRA)</t>
  </si>
  <si>
    <t>TRAETH01</t>
  </si>
  <si>
    <t>TRAETHM00</t>
  </si>
  <si>
    <t>Fuel Tech Base-year - Ethanol for low-blending (TRA)</t>
  </si>
  <si>
    <t>TRAETHM01</t>
  </si>
  <si>
    <t>TRAGSL00</t>
  </si>
  <si>
    <t>Fuel Tech Base-year - Gasoline (TRA)</t>
  </si>
  <si>
    <t>TRAGSL01</t>
  </si>
  <si>
    <t>TRAH2G00</t>
  </si>
  <si>
    <t>Fuel Tech - H2 (gaseous) (TRA)</t>
  </si>
  <si>
    <t>TRAH2G01</t>
  </si>
  <si>
    <t>TRAHFO00</t>
  </si>
  <si>
    <t>Fuel Tech Base-year - Heavy Fuel Oil (TRA)</t>
  </si>
  <si>
    <t>TRAHFO01</t>
  </si>
  <si>
    <t>TRAHUM00</t>
  </si>
  <si>
    <t>Fuel Tech Base-year - Human Power (TRA)</t>
  </si>
  <si>
    <t>TRAHUM01</t>
  </si>
  <si>
    <t>TRAKER00</t>
  </si>
  <si>
    <t>Fuel Tech Base-year - Kerosene - Jet Fuels (TRA)</t>
  </si>
  <si>
    <t>TRAKER01</t>
  </si>
  <si>
    <t>TRALFO00</t>
  </si>
  <si>
    <t>Fuel Tech Base-year - Light Fuel Oil (TRA)</t>
  </si>
  <si>
    <t>TRALFO01</t>
  </si>
  <si>
    <t>TRALPG00</t>
  </si>
  <si>
    <t>Fuel Tech Base-year - Liquified Petroleum Gas (TRA)</t>
  </si>
  <si>
    <t>TRALPG01</t>
  </si>
  <si>
    <t>TRAMTH00</t>
  </si>
  <si>
    <t>Fuel Tech Base-year - Biomethanol (TRA)</t>
  </si>
  <si>
    <t>TRAMTH01</t>
  </si>
  <si>
    <t>TRAMTHM00</t>
  </si>
  <si>
    <t>Fuel Tech Base-year - Biomethanol for low-blending (TRA)</t>
  </si>
  <si>
    <t>TRAMTHM01</t>
  </si>
  <si>
    <t>TRANGS00</t>
  </si>
  <si>
    <t>Fuel Tech Base-year - Natural Gas (TRA)</t>
  </si>
  <si>
    <t>TRANGS01</t>
  </si>
  <si>
    <t>TRABGSL00</t>
  </si>
  <si>
    <t>Fuel Tech Base-year - Bio-gasoline (TRA)</t>
  </si>
  <si>
    <t>TRABGSL01</t>
  </si>
  <si>
    <t>Commodities - TRA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</si>
  <si>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</si>
  <si>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</si>
  <si>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</si>
  <si>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</si>
  <si>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</si>
  <si>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</si>
  <si>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</si>
  <si>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</si>
  <si>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Comment</t>
  </si>
  <si>
    <t>NRG</t>
  </si>
  <si>
    <t>TRABDL</t>
  </si>
  <si>
    <t>Biodiesel (TRA)</t>
  </si>
  <si>
    <t>TRABDLM</t>
  </si>
  <si>
    <t>Biodiesel for low-blending (TRA)</t>
  </si>
  <si>
    <t>TRABDR</t>
  </si>
  <si>
    <t>Biodiesel for rail (TRA)</t>
  </si>
  <si>
    <t>TRABGS</t>
  </si>
  <si>
    <t>Biogas (gaseous) (TRA)</t>
  </si>
  <si>
    <t>TRABGSLM</t>
  </si>
  <si>
    <t>Bio-gasoline for low-blending (TRA)</t>
  </si>
  <si>
    <t>TRABJF</t>
  </si>
  <si>
    <t>Bio Jet Fuel (TRA)</t>
  </si>
  <si>
    <t>TRADME</t>
  </si>
  <si>
    <t>Dimethyle Ether (TRA)</t>
  </si>
  <si>
    <t>TRADSR</t>
  </si>
  <si>
    <t>Diesel for rail transportation (TRA)</t>
  </si>
  <si>
    <t>Diesel (TRA)</t>
  </si>
  <si>
    <t>Electricity (TRA)</t>
  </si>
  <si>
    <t>DAYNITE</t>
  </si>
  <si>
    <t>ELC</t>
  </si>
  <si>
    <t>TRAELR</t>
  </si>
  <si>
    <t>Electricty for rail transportation (TRA)</t>
  </si>
  <si>
    <t>TRAETH</t>
  </si>
  <si>
    <t>Ethanol (TRA)</t>
  </si>
  <si>
    <t>TRAETHM</t>
  </si>
  <si>
    <t>Ethanol for blending with GSL (TRA)</t>
  </si>
  <si>
    <t>TRAGSL</t>
  </si>
  <si>
    <t>Gasoline (TRA)</t>
  </si>
  <si>
    <t>TRAH2G</t>
  </si>
  <si>
    <t>H2 (gaseous) (TRA)</t>
  </si>
  <si>
    <t>Power (W/person)</t>
  </si>
  <si>
    <t>TWh</t>
  </si>
  <si>
    <t>GJ</t>
  </si>
  <si>
    <t>km/h</t>
  </si>
  <si>
    <t>Kms/GJ</t>
  </si>
  <si>
    <t>TRAHFO</t>
  </si>
  <si>
    <t>Heavy Fuel Oil (TRA)</t>
  </si>
  <si>
    <t>M humans to be for 1 hour</t>
  </si>
  <si>
    <t>Human power</t>
  </si>
  <si>
    <t>Unit is actually 1000 humans</t>
  </si>
  <si>
    <t>M humans to bike for 1 hour</t>
  </si>
  <si>
    <t>TRAKER</t>
  </si>
  <si>
    <t>Kerosene - Jet Fuels (TRA)</t>
  </si>
  <si>
    <t>TRALFO</t>
  </si>
  <si>
    <t>Light Fuel Oil (TRA)</t>
  </si>
  <si>
    <t>TRALPG</t>
  </si>
  <si>
    <t>Liquified Petroleum Gas (TRA)</t>
  </si>
  <si>
    <t>TRAMTH</t>
  </si>
  <si>
    <t>Methanol (TRA)</t>
  </si>
  <si>
    <t>TRAMTHM</t>
  </si>
  <si>
    <t>Methanol for blending with GSL (TRA)</t>
  </si>
  <si>
    <t>TRANGS</t>
  </si>
  <si>
    <t>Natural Gas (TRA)</t>
  </si>
  <si>
    <t>DEM</t>
  </si>
  <si>
    <t>LightElectricVehicle(LEV).Freight.</t>
  </si>
  <si>
    <t>LightElectricVehicle(LEV).Freight.City.</t>
  </si>
  <si>
    <t>Non-traveling.</t>
  </si>
  <si>
    <t>TRABGSL</t>
  </si>
  <si>
    <t>Bio-gasoline (TRA)</t>
  </si>
  <si>
    <t>* declare and characterize the transformation into sector fuel</t>
  </si>
  <si>
    <t>Possibility to expand existing supply capacity, when tuning the model.</t>
  </si>
  <si>
    <t>Base-year infrastructure for transport fuels</t>
  </si>
  <si>
    <t>Slack:</t>
  </si>
  <si>
    <t>~FI_T</t>
  </si>
  <si>
    <t>ENERGY BALANCE</t>
  </si>
  <si>
    <t>*Technology Name</t>
  </si>
  <si>
    <t>*TechDesc</t>
  </si>
  <si>
    <t>TimeSlice</t>
  </si>
  <si>
    <t>Year</t>
  </si>
  <si>
    <t>Attribute</t>
  </si>
  <si>
    <t>*Unit</t>
  </si>
  <si>
    <t>TEST</t>
  </si>
  <si>
    <t>Comments</t>
  </si>
  <si>
    <t>MWh</t>
  </si>
  <si>
    <t>*Technology</t>
  </si>
  <si>
    <t>BFUHVO1, BFUHVO2, BFUHVO3, BFUHVO4</t>
  </si>
  <si>
    <t>EFF</t>
  </si>
  <si>
    <t>STOCK</t>
  </si>
  <si>
    <t>BFUFAME1, BFUFAME2, BFUFAME3, BFUFAME4</t>
  </si>
  <si>
    <t>BFUSNG</t>
  </si>
  <si>
    <t>BFUGSL1, BFUGSL2, BFUGSL3, BFUGSL4, BFUGSLY</t>
  </si>
  <si>
    <t>BFUBJF</t>
  </si>
  <si>
    <t>TIMES-VB</t>
  </si>
  <si>
    <t>FUEL</t>
  </si>
  <si>
    <t>Flytande (fossilt)</t>
  </si>
  <si>
    <t>BFUDME</t>
  </si>
  <si>
    <t>Flytande (förnybart)</t>
  </si>
  <si>
    <t>Gas (fossilt)</t>
  </si>
  <si>
    <t>Gas (förnybart)</t>
  </si>
  <si>
    <t>El</t>
  </si>
  <si>
    <t>Vätgas</t>
  </si>
  <si>
    <t>Summa</t>
  </si>
  <si>
    <t>BFUETH1, BFUETH2, BFUETH3, BFUETHY</t>
  </si>
  <si>
    <t>Energimyndigheten, statistik</t>
  </si>
  <si>
    <t>..</t>
  </si>
  <si>
    <t>H2G</t>
  </si>
  <si>
    <t>GASNAT</t>
  </si>
  <si>
    <t>HUMPOW</t>
  </si>
  <si>
    <t>OILDST</t>
  </si>
  <si>
    <t>Share~FX</t>
  </si>
  <si>
    <t>OILGSL</t>
  </si>
  <si>
    <t>OILKER</t>
  </si>
  <si>
    <t>OILHFO</t>
  </si>
  <si>
    <t>OILLFO</t>
  </si>
  <si>
    <t>OILLPG</t>
  </si>
  <si>
    <t>BFUMTH</t>
  </si>
  <si>
    <t>BFUDST</t>
  </si>
  <si>
    <t>BFUETH</t>
  </si>
  <si>
    <t>Future infrastructure for transport fuels</t>
  </si>
  <si>
    <t>START</t>
  </si>
  <si>
    <t>INVCOST</t>
  </si>
  <si>
    <t>Euro/GJ-Yr</t>
  </si>
  <si>
    <t xml:space="preserve">Electricity </t>
  </si>
  <si>
    <t>Fuel Tech - Electricity (TRA)</t>
  </si>
  <si>
    <t>SUPELC</t>
  </si>
  <si>
    <t>Fuel Tech - Electricity for Trains (TRA)</t>
  </si>
  <si>
    <t>Fuel Tech New - Electricity (TRA)</t>
  </si>
  <si>
    <t>Fuel Tech New - Electricity for Rail (TRA)</t>
  </si>
  <si>
    <t>ELCLOW</t>
  </si>
  <si>
    <t>Cap2Act</t>
  </si>
  <si>
    <t>GJ/MW</t>
  </si>
  <si>
    <t>MW</t>
  </si>
  <si>
    <t>* Declare and characterize BICYCLES, WALKING &amp; LEV's</t>
  </si>
  <si>
    <t>*Possibility to expand existing supply capacity, when tuning the model.</t>
  </si>
  <si>
    <t>Stock left from Base-Year</t>
  </si>
  <si>
    <t>*CommDesc</t>
  </si>
  <si>
    <t>Timeslice</t>
  </si>
  <si>
    <t>*Demand name</t>
  </si>
  <si>
    <t>Demand description</t>
  </si>
  <si>
    <t>TS</t>
  </si>
  <si>
    <t>COM_PROJ</t>
  </si>
  <si>
    <t>Passenger/ Vehicle</t>
  </si>
  <si>
    <t>Bike</t>
  </si>
  <si>
    <t>Bike - Electric</t>
  </si>
  <si>
    <t>Base-year: Walking &amp; BicYcle &amp; LEV's - Private</t>
  </si>
  <si>
    <t>Other_Indexes</t>
  </si>
  <si>
    <t>Type of vehicle</t>
  </si>
  <si>
    <t>stock/demand</t>
  </si>
  <si>
    <t>CEFF</t>
  </si>
  <si>
    <t>FX</t>
  </si>
  <si>
    <t>PRC_ACTFLO</t>
  </si>
  <si>
    <t>Passenger</t>
  </si>
  <si>
    <t>NCAP_AF</t>
  </si>
  <si>
    <t>Max annual '000 km</t>
  </si>
  <si>
    <t>Test:</t>
  </si>
  <si>
    <t>* NOT IN USE</t>
  </si>
  <si>
    <t>Base-year: Walking &amp; BicYcle &amp; LEV's - City's OWN organisation</t>
  </si>
  <si>
    <t>* Declare and characterize NON TRAVELLING (e.g. e-meetings)</t>
  </si>
  <si>
    <t>Base-year: Non-travelling (e-meetings etc.) - PRIVATE</t>
  </si>
  <si>
    <t>INPUT</t>
  </si>
  <si>
    <t>OUTPUT</t>
  </si>
  <si>
    <t>Base-year: Non-travelling (e-meetings etc.) - CITY</t>
  </si>
  <si>
    <t>Non.Travelling.City.Base-year.</t>
  </si>
  <si>
    <t>* Declare and characterize CARS</t>
  </si>
  <si>
    <t>Share of stock left from Base-Year</t>
  </si>
  <si>
    <t>DST</t>
  </si>
  <si>
    <t>ETH</t>
  </si>
  <si>
    <t>GAS</t>
  </si>
  <si>
    <t>GSL</t>
  </si>
  <si>
    <t>HYD</t>
  </si>
  <si>
    <t>HYG</t>
  </si>
  <si>
    <t>PYD</t>
  </si>
  <si>
    <t>PYG</t>
  </si>
  <si>
    <t>Pass/vehicle</t>
  </si>
  <si>
    <t>Adjustment factor - NCAP_AF:</t>
  </si>
  <si>
    <t>Base-year: Cars</t>
  </si>
  <si>
    <t>Adjustment factor - STOCK:</t>
  </si>
  <si>
    <t>Comm-IN-A</t>
  </si>
  <si>
    <t>Stock/Demand</t>
  </si>
  <si>
    <t>UP</t>
  </si>
  <si>
    <t>Up</t>
  </si>
  <si>
    <t>Passenger/Vehicle</t>
  </si>
  <si>
    <t>* Declare and characterize BUSES</t>
  </si>
  <si>
    <t>BEV</t>
  </si>
  <si>
    <t>BDL</t>
  </si>
  <si>
    <t>HYB</t>
  </si>
  <si>
    <t>PLU</t>
  </si>
  <si>
    <t>Intercity</t>
  </si>
  <si>
    <t>Base-year: Bus (urban)</t>
  </si>
  <si>
    <t>Base-year: Bus (intercity)</t>
  </si>
  <si>
    <t xml:space="preserve"> </t>
  </si>
  <si>
    <t>* declare and characterize LEV</t>
  </si>
  <si>
    <t>Biofuel</t>
  </si>
  <si>
    <t>Tons/Vehicle</t>
  </si>
  <si>
    <t>LEV's</t>
  </si>
  <si>
    <t>Bicycles</t>
  </si>
  <si>
    <t>Base-year: Light Electric Vehicle (LEV) + Bicycle</t>
  </si>
  <si>
    <t>Tons/ Vehicle</t>
  </si>
  <si>
    <t>SHARE</t>
  </si>
  <si>
    <t>Base-year: Light Trucks (LGV) &lt;3.5 tons</t>
  </si>
  <si>
    <t>Base-year: Medium Trucks (MGV) 3.5-18 tons</t>
  </si>
  <si>
    <t>Base-year: Heavy Trucks (HGV) &gt;18 tons</t>
  </si>
  <si>
    <t>* Declare and characterize CARS - City organisation</t>
  </si>
  <si>
    <t>BIO</t>
  </si>
  <si>
    <t>HY</t>
  </si>
  <si>
    <t>PY</t>
  </si>
  <si>
    <t>Base-year: Cars - City's OWN organisation</t>
  </si>
  <si>
    <t>* Declare and characterize CARS - Pool</t>
  </si>
  <si>
    <t>*NOT IN USE</t>
  </si>
  <si>
    <t>* Declare and characterize MOTORCYCLE</t>
  </si>
  <si>
    <t>PHEV</t>
  </si>
  <si>
    <t>HEV</t>
  </si>
  <si>
    <t>PHE</t>
  </si>
  <si>
    <t>Base-year: Moto - Private</t>
  </si>
  <si>
    <t>Base-year: Moto - City organisation</t>
  </si>
  <si>
    <t>* declare and characterize TRAIN</t>
  </si>
  <si>
    <t>ELR</t>
  </si>
  <si>
    <t>DSR</t>
  </si>
  <si>
    <t>*</t>
  </si>
  <si>
    <t>Regional</t>
  </si>
  <si>
    <t>Light</t>
  </si>
  <si>
    <t>units/vehicle</t>
  </si>
  <si>
    <t>TTL*</t>
  </si>
  <si>
    <t>TTM*</t>
  </si>
  <si>
    <t>TTP*ELR</t>
  </si>
  <si>
    <t>TTP*DSR</t>
  </si>
  <si>
    <t>TTH*</t>
  </si>
  <si>
    <t>TTF*</t>
  </si>
  <si>
    <t>PASSENGER</t>
  </si>
  <si>
    <t>Share DST (%)</t>
  </si>
  <si>
    <t>Share ELC (%)</t>
  </si>
  <si>
    <t>FREIGHT</t>
  </si>
  <si>
    <t>Base-year: Train Regional (passenger)</t>
  </si>
  <si>
    <t>Passenger/ train</t>
  </si>
  <si>
    <t>Base-year: Train (freight)</t>
  </si>
  <si>
    <t>ton/train</t>
  </si>
  <si>
    <t>Base-year: Train Light (passenger)</t>
  </si>
  <si>
    <t>* declare and characterize NAVIGATION</t>
  </si>
  <si>
    <t>Units/ Vehicle</t>
  </si>
  <si>
    <t>Base-year: Navigation - Passenger (Generic)</t>
  </si>
  <si>
    <t>Base-year: Navigation - Freight (Generic)</t>
  </si>
  <si>
    <t>Base-year: Navigation - Passenger (City Ferry)</t>
  </si>
  <si>
    <t>* declare and characterize TRUCKS - City organisation</t>
  </si>
  <si>
    <t>Base-year: Light Electric Vehicles (LEV) - City's OWN organisation</t>
  </si>
  <si>
    <t>Base-year: Light Trucks (LGV) &lt;3.5 tons - City's OWN organisation</t>
  </si>
  <si>
    <t>LO</t>
  </si>
  <si>
    <t>Base-year: Medium Trucks (MGV) 3.5-16 tons - City's OWN organisation</t>
  </si>
  <si>
    <t>Base-year: Heavy Trucks (HGV) &gt;16 tons - City's OWN organisation</t>
  </si>
  <si>
    <t>* Declare and characterize AVIATION</t>
  </si>
  <si>
    <t>ACTFLO</t>
  </si>
  <si>
    <t>Base-year: Aviation (Domestic)</t>
  </si>
  <si>
    <t>Passengers/Vehicle</t>
  </si>
  <si>
    <t>Base-year: Aviation (International)</t>
  </si>
  <si>
    <t>Aviation.International.Base-year.</t>
  </si>
  <si>
    <t>* declare and characterize OTHER VEHICLES</t>
  </si>
  <si>
    <t>% DST based; heavy working machinery</t>
  </si>
  <si>
    <t>% GSL based; light working machinery e.g. lawn mowers</t>
  </si>
  <si>
    <t>Base-year: Other vehicles (working machinery)</t>
  </si>
  <si>
    <t>Other.Vehicles.City.Base-year.</t>
  </si>
  <si>
    <t>Demand</t>
  </si>
  <si>
    <t>TBU, TBU-C</t>
  </si>
  <si>
    <t>TBI, TBI-C</t>
  </si>
  <si>
    <t>STATISTIK</t>
  </si>
  <si>
    <t>Stockholm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</si>
</sst>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6" formatCode="#,##0\ &quot;kr&quot;;[Red]\-#,##0\ &quot;kr&quot;"/>
    <numFmt numFmtId="43" formatCode="_-* #,##0.00_-;\-* #,##0.00_-;_-* &quot;-&quot;??_-;_-@_-"/>
    <numFmt numFmtId="164" formatCode="_-* #,##0.00\ _k_r_-;\-* #,##0.00\ _k_r_-;_-* &quot;-&quot;??\ _k_r_-;_-@_-"/>
    <numFmt numFmtId="165" formatCode="_-* #,##0.00\ _€_-;\-* #,##0.00\ _€_-;_-* &quot;-&quot;??\ _€_-;_-@_-"/>
    <numFmt numFmtId="166" formatCode="0.0"/>
    <numFmt numFmtId="167" formatCode="\Te\x\t"/>
    <numFmt numFmtId="168" formatCode="0.000"/>
    <numFmt numFmtId="169" formatCode="0.0%"/>
    <numFmt numFmtId="170" formatCode="#,##0.0"/>
    <numFmt numFmtId="171" formatCode="0.0000"/>
    <numFmt numFmtId="172" formatCode="#,##0.000"/>
    <numFmt numFmtId="173" formatCode="#,##0;[Red]&quot;-&quot;#,##0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_-* #,##0.00\ [$€]_-;\-* #,##0.00\ [$€]_-;_-* &quot;-&quot;??\ [$€]_-;_-@_-"/>
    <numFmt numFmtId="179" formatCode="#,##0.0000"/>
    <numFmt numFmtId="180" formatCode="#,###,##0"/>
    <numFmt numFmtId="181" formatCode="_-[$€-2]\ * #,##0.00_-;\-[$€-2]\ * #,##0.00_-;_-[$€-2]\ * &quot;-&quot;??_-"/>
    <numFmt numFmtId="182" formatCode="#,##0;\-\ #,##0;_-\ &quot;- &quot;"/>
    <numFmt numFmtId="183" formatCode="0.00000000"/>
    <numFmt numFmtId="184" formatCode="0.00000%"/>
    <numFmt numFmtId="185" formatCode="#,##0.0000000000000000000000000000000000000000"/>
    <numFmt numFmtId="186" formatCode="#,##0.000000"/>
    <numFmt numFmtId="187" formatCode="0.000%"/>
    <numFmt numFmtId="188" formatCode="0.0000%"/>
  </numFmts>
  <fonts count="10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Tahoma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sz val="10"/>
      <color theme="1"/>
      <name val="Bembo"/>
      <family val="2"/>
    </font>
    <font>
      <sz val="11"/>
      <color rgb="FFFF0000"/>
      <name val="Calibri"/>
      <family val="2"/>
      <scheme val="minor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color rgb="FFFF6600"/>
      <name val="Calibri"/>
      <family val="2"/>
      <scheme val="minor"/>
    </font>
    <font>
      <sz val="11"/>
      <color rgb="FFFF660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5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i/>
      <sz val="11"/>
      <color theme="1" tint="0.249977111117893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2" tint="-0.499984740745262"/>
      <name val="Calibri"/>
      <family val="2"/>
      <scheme val="minor"/>
    </font>
    <font>
      <b/>
      <sz val="11"/>
      <color indexed="53"/>
      <name val="Calibri"/>
      <family val="2"/>
      <scheme val="minor"/>
    </font>
    <font>
      <b/>
      <sz val="10"/>
      <color theme="1"/>
      <name val="Bembo"/>
      <family val="2"/>
    </font>
    <font>
      <b/>
      <i/>
      <sz val="11"/>
      <color rgb="FFCC56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Verdana"/>
      <family val="2"/>
    </font>
    <font>
      <sz val="11"/>
      <color theme="1"/>
      <name val="Verdana"/>
      <family val="2"/>
    </font>
    <font>
      <b/>
      <sz val="11"/>
      <color theme="3" tint="-0.499984740745262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Verdana"/>
      <family val="2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</font>
    <font>
      <i/>
      <sz val="11"/>
      <color theme="0" tint="-0.249977111117893"/>
      <name val="Calibri"/>
      <family val="2"/>
    </font>
    <font>
      <b/>
      <sz val="14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8"/>
      <name val="Calibri"/>
      <family val="2"/>
      <scheme val="minor"/>
    </font>
    <font>
      <i/>
      <sz val="1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  <fill>
      <patternFill patternType="solid">
        <fgColor rgb="FFD1E6C4"/>
        <bgColor indexed="64"/>
      </patternFill>
    </fill>
    <fill>
      <patternFill patternType="solid">
        <fgColor rgb="FF799979"/>
        <bgColor indexed="64"/>
      </patternFill>
    </fill>
    <fill>
      <patternFill patternType="solid">
        <fgColor rgb="FFFFC40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rgb="FFC9E2B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C7DDF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E6F5"/>
        <bgColor indexed="64"/>
      </patternFill>
    </fill>
    <fill>
      <patternFill patternType="solid">
        <fgColor rgb="FFDDE6F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799979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1E6C4"/>
        <bgColor rgb="FF000000"/>
      </patternFill>
    </fill>
  </fills>
  <borders count="5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tted">
        <color theme="6" tint="-0.2499465926084170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</borders>
  <cellStyleXfs count="46655">
    <xf numFmtId="0" fontId="0" fillId="0" borderId="0"/>
    <xf numFmtId="9" fontId="1" fillId="0" borderId="0" applyFont="0" applyFill="0" applyBorder="0" applyAlignment="0" applyProtection="0"/>
    <xf numFmtId="0" fontId="8" fillId="0" borderId="0"/>
    <xf numFmtId="0" fontId="9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8" fillId="0" borderId="0"/>
    <xf numFmtId="0" fontId="5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49" fontId="43" fillId="0" borderId="11" applyNumberFormat="0" applyFont="0" applyFill="0" applyBorder="0" applyProtection="0">
      <alignment horizontal="left" vertical="center" indent="2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9" fontId="43" fillId="0" borderId="10" applyNumberFormat="0" applyFont="0" applyFill="0" applyBorder="0" applyProtection="0">
      <alignment horizontal="left" vertical="center" indent="5"/>
    </xf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4" fontId="43" fillId="33" borderId="0" applyBorder="0">
      <alignment horizontal="right" vertical="center"/>
    </xf>
    <xf numFmtId="4" fontId="43" fillId="33" borderId="0" applyBorder="0">
      <alignment horizontal="right" vertical="center"/>
    </xf>
    <xf numFmtId="4" fontId="44" fillId="8" borderId="11">
      <alignment horizontal="right" vertical="center"/>
    </xf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" fontId="45" fillId="0" borderId="6" applyFill="0" applyBorder="0" applyProtection="0">
      <alignment horizontal="right" vertical="center"/>
    </xf>
    <xf numFmtId="0" fontId="46" fillId="0" borderId="5" applyNumberFormat="0" applyBorder="0" applyProtection="0">
      <alignment horizontal="center"/>
    </xf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4" fillId="0" borderId="17" applyNumberFormat="0" applyFill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32" fillId="17" borderId="0" applyNumberFormat="0" applyBorder="0" applyAlignment="0" applyProtection="0"/>
    <xf numFmtId="0" fontId="43" fillId="0" borderId="19">
      <alignment horizontal="left" vertical="center" wrapText="1" indent="2"/>
    </xf>
    <xf numFmtId="0" fontId="43" fillId="33" borderId="10">
      <alignment horizontal="left" vertical="center"/>
    </xf>
    <xf numFmtId="0" fontId="47" fillId="0" borderId="0" applyFill="0" applyBorder="0" applyProtection="0"/>
    <xf numFmtId="0" fontId="5" fillId="0" borderId="8"/>
    <xf numFmtId="0" fontId="33" fillId="12" borderId="16" applyNumberFormat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4" fontId="43" fillId="0" borderId="0" applyBorder="0">
      <alignment horizontal="right" vertical="center"/>
    </xf>
    <xf numFmtId="4" fontId="43" fillId="0" borderId="11">
      <alignment horizontal="right" vertical="center"/>
    </xf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19" fillId="0" borderId="0"/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3" fillId="0" borderId="11" applyFill="0" applyBorder="0" applyProtection="0">
      <alignment horizontal="right" vertical="center"/>
    </xf>
    <xf numFmtId="49" fontId="45" fillId="0" borderId="11" applyNumberFormat="0" applyFill="0" applyBorder="0" applyProtection="0">
      <alignment horizontal="left" vertical="center"/>
    </xf>
    <xf numFmtId="0" fontId="43" fillId="0" borderId="11" applyNumberFormat="0" applyFill="0" applyAlignment="0" applyProtection="0"/>
    <xf numFmtId="0" fontId="50" fillId="11" borderId="0" applyNumberFormat="0" applyFont="0" applyBorder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46" fillId="35" borderId="11" applyNumberFormat="0" applyBorder="0" applyProtection="0">
      <alignment horizontal="center"/>
    </xf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179" fontId="43" fillId="36" borderId="11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74" fontId="25" fillId="0" borderId="0" applyFont="0" applyFill="0" applyBorder="0" applyAlignment="0" applyProtection="0"/>
    <xf numFmtId="175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51" fillId="0" borderId="0" applyNumberFormat="0" applyFill="0" applyProtection="0"/>
    <xf numFmtId="0" fontId="36" fillId="20" borderId="21" applyNumberFormat="0" applyAlignment="0" applyProtection="0"/>
    <xf numFmtId="0" fontId="43" fillId="37" borderId="22"/>
    <xf numFmtId="0" fontId="19" fillId="0" borderId="0"/>
    <xf numFmtId="0" fontId="20" fillId="0" borderId="0">
      <alignment vertical="top"/>
    </xf>
    <xf numFmtId="0" fontId="20" fillId="0" borderId="0">
      <alignment vertical="top"/>
    </xf>
    <xf numFmtId="0" fontId="3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6" fillId="0" borderId="0" applyNumberFormat="0" applyFill="0" applyBorder="0" applyProtection="0">
      <alignment horizontal="lef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180" fontId="52" fillId="38" borderId="0" applyNumberFormat="0" applyBorder="0">
      <protection locked="0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80" fontId="23" fillId="39" borderId="0" applyNumberFormat="0" applyBorder="0">
      <protection locked="0"/>
    </xf>
    <xf numFmtId="173" fontId="24" fillId="0" borderId="0" applyFont="0" applyFill="0" applyBorder="0" applyAlignment="0" applyProtection="0"/>
    <xf numFmtId="6" fontId="24" fillId="0" borderId="0" applyFont="0" applyFill="0" applyBorder="0" applyAlignment="0" applyProtection="0"/>
    <xf numFmtId="177" fontId="25" fillId="0" borderId="0" applyFont="0" applyFill="0" applyBorder="0" applyAlignment="0" applyProtection="0"/>
    <xf numFmtId="0" fontId="30" fillId="34" borderId="18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" fontId="43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1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21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1" fillId="0" borderId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9" fontId="26" fillId="0" borderId="0" applyFont="0" applyFill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6" fillId="16" borderId="20" applyNumberFormat="0" applyFont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5" fillId="16" borderId="20" applyNumberFormat="0" applyFont="0" applyAlignment="0" applyProtection="0"/>
    <xf numFmtId="0" fontId="27" fillId="25" borderId="0" applyNumberFormat="0" applyBorder="0" applyAlignment="0" applyProtection="0"/>
    <xf numFmtId="0" fontId="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6" fillId="0" borderId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26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5" fillId="0" borderId="0"/>
    <xf numFmtId="0" fontId="26" fillId="16" borderId="20" applyNumberFormat="0" applyFont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6" fillId="0" borderId="0"/>
    <xf numFmtId="0" fontId="28" fillId="15" borderId="0" applyNumberFormat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8" fillId="15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1" fillId="0" borderId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5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6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0" fontId="5" fillId="0" borderId="0"/>
    <xf numFmtId="0" fontId="90" fillId="0" borderId="0" applyNumberFormat="0" applyFill="0" applyBorder="0" applyAlignment="0" applyProtection="0"/>
  </cellStyleXfs>
  <cellXfs count="952">
    <xf numFmtId="0" fontId="0" fillId="0" borderId="0" xfId="0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24488" applyFont="1"/>
    <xf numFmtId="2" fontId="0" fillId="0" borderId="0" xfId="0" applyNumberFormat="1" applyAlignment="1">
      <alignment horizontal="center"/>
    </xf>
    <xf numFmtId="0" fontId="0" fillId="0" borderId="0" xfId="24488" quotePrefix="1" applyFont="1"/>
    <xf numFmtId="0" fontId="0" fillId="43" borderId="0" xfId="0" applyFill="1"/>
    <xf numFmtId="0" fontId="0" fillId="45" borderId="0" xfId="0" applyFill="1"/>
    <xf numFmtId="0" fontId="0" fillId="42" borderId="0" xfId="0" applyFill="1" applyAlignment="1">
      <alignment vertical="top"/>
    </xf>
    <xf numFmtId="0" fontId="57" fillId="41" borderId="0" xfId="0" applyFont="1" applyFill="1"/>
    <xf numFmtId="1" fontId="58" fillId="5" borderId="0" xfId="1" applyNumberFormat="1" applyFont="1" applyFill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3" fontId="0" fillId="0" borderId="0" xfId="0" applyNumberFormat="1"/>
    <xf numFmtId="3" fontId="0" fillId="0" borderId="0" xfId="0" applyNumberFormat="1" applyAlignment="1">
      <alignment vertical="center"/>
    </xf>
    <xf numFmtId="0" fontId="61" fillId="2" borderId="0" xfId="0" applyFont="1" applyFill="1" applyAlignment="1">
      <alignment vertical="center"/>
    </xf>
    <xf numFmtId="0" fontId="59" fillId="44" borderId="0" xfId="0" applyFont="1" applyFill="1" applyAlignment="1">
      <alignment horizontal="center" vertical="center"/>
    </xf>
    <xf numFmtId="0" fontId="58" fillId="0" borderId="0" xfId="0" applyFont="1"/>
    <xf numFmtId="183" fontId="0" fillId="0" borderId="0" xfId="0" applyNumberFormat="1"/>
    <xf numFmtId="0" fontId="61" fillId="0" borderId="0" xfId="0" quotePrefix="1" applyFont="1" applyAlignment="1">
      <alignment horizontal="left"/>
    </xf>
    <xf numFmtId="0" fontId="58" fillId="0" borderId="0" xfId="5" applyFont="1"/>
    <xf numFmtId="0" fontId="11" fillId="0" borderId="0" xfId="0" applyFont="1"/>
    <xf numFmtId="167" fontId="66" fillId="0" borderId="0" xfId="0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61" fillId="2" borderId="0" xfId="5" quotePrefix="1" applyFont="1" applyFill="1" applyAlignment="1">
      <alignment horizontal="left"/>
    </xf>
    <xf numFmtId="167" fontId="67" fillId="7" borderId="0" xfId="0" quotePrefix="1" applyNumberFormat="1" applyFont="1" applyFill="1" applyAlignment="1">
      <alignment horizontal="left" vertical="center"/>
    </xf>
    <xf numFmtId="167" fontId="58" fillId="0" borderId="0" xfId="0" applyNumberFormat="1" applyFont="1" applyAlignment="1">
      <alignment horizontal="center" vertical="center"/>
    </xf>
    <xf numFmtId="0" fontId="0" fillId="0" borderId="0" xfId="0" quotePrefix="1" applyAlignment="1">
      <alignment vertical="top"/>
    </xf>
    <xf numFmtId="171" fontId="0" fillId="0" borderId="0" xfId="0" applyNumberFormat="1" applyAlignment="1">
      <alignment vertical="top"/>
    </xf>
    <xf numFmtId="0" fontId="58" fillId="0" borderId="0" xfId="0" applyFont="1" applyAlignment="1">
      <alignment vertical="top"/>
    </xf>
    <xf numFmtId="0" fontId="61" fillId="2" borderId="0" xfId="0" applyFont="1" applyFill="1"/>
    <xf numFmtId="0" fontId="1" fillId="0" borderId="0" xfId="0" applyFont="1"/>
    <xf numFmtId="0" fontId="68" fillId="0" borderId="0" xfId="5" applyFont="1"/>
    <xf numFmtId="0" fontId="1" fillId="0" borderId="0" xfId="5" applyFont="1"/>
    <xf numFmtId="0" fontId="1" fillId="0" borderId="0" xfId="5" applyFont="1" applyAlignment="1">
      <alignment horizontal="center"/>
    </xf>
    <xf numFmtId="0" fontId="14" fillId="4" borderId="0" xfId="0" applyFont="1" applyFill="1"/>
    <xf numFmtId="0" fontId="1" fillId="4" borderId="0" xfId="0" applyFont="1" applyFill="1"/>
    <xf numFmtId="166" fontId="1" fillId="6" borderId="0" xfId="0" applyNumberFormat="1" applyFont="1" applyFill="1"/>
    <xf numFmtId="0" fontId="66" fillId="0" borderId="0" xfId="6" applyFont="1" applyAlignment="1">
      <alignment horizontal="left"/>
    </xf>
    <xf numFmtId="0" fontId="58" fillId="0" borderId="0" xfId="6" applyFont="1"/>
    <xf numFmtId="0" fontId="61" fillId="2" borderId="0" xfId="0" quotePrefix="1" applyFont="1" applyFill="1" applyAlignment="1">
      <alignment horizontal="left"/>
    </xf>
    <xf numFmtId="0" fontId="61" fillId="2" borderId="0" xfId="0" quotePrefix="1" applyFont="1" applyFill="1" applyAlignment="1">
      <alignment horizontal="left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58" fillId="0" borderId="0" xfId="0" applyFont="1" applyAlignment="1">
      <alignment horizontal="left"/>
    </xf>
    <xf numFmtId="172" fontId="1" fillId="0" borderId="0" xfId="5" applyNumberFormat="1" applyFont="1"/>
    <xf numFmtId="0" fontId="1" fillId="0" borderId="0" xfId="5" applyFont="1" applyAlignment="1">
      <alignment vertical="center" wrapText="1"/>
    </xf>
    <xf numFmtId="0" fontId="60" fillId="0" borderId="0" xfId="0" applyFont="1" applyAlignment="1">
      <alignment horizontal="left"/>
    </xf>
    <xf numFmtId="0" fontId="1" fillId="0" borderId="0" xfId="5" applyFont="1" applyAlignment="1">
      <alignment wrapText="1"/>
    </xf>
    <xf numFmtId="0" fontId="58" fillId="0" borderId="0" xfId="6" applyFont="1" applyAlignment="1">
      <alignment horizontal="center"/>
    </xf>
    <xf numFmtId="0" fontId="61" fillId="2" borderId="0" xfId="5" quotePrefix="1" applyFont="1" applyFill="1" applyAlignment="1">
      <alignment horizontal="left" wrapText="1"/>
    </xf>
    <xf numFmtId="0" fontId="61" fillId="2" borderId="0" xfId="5" quotePrefix="1" applyFont="1" applyFill="1" applyAlignment="1">
      <alignment horizontal="center"/>
    </xf>
    <xf numFmtId="1" fontId="62" fillId="0" borderId="0" xfId="0" applyNumberFormat="1" applyFont="1" applyAlignment="1">
      <alignment horizontal="center"/>
    </xf>
    <xf numFmtId="0" fontId="1" fillId="0" borderId="0" xfId="5" quotePrefix="1" applyFont="1"/>
    <xf numFmtId="166" fontId="58" fillId="6" borderId="0" xfId="5" applyNumberFormat="1" applyFont="1" applyFill="1"/>
    <xf numFmtId="166" fontId="58" fillId="0" borderId="0" xfId="5" applyNumberFormat="1" applyFont="1"/>
    <xf numFmtId="3" fontId="61" fillId="2" borderId="0" xfId="0" quotePrefix="1" applyNumberFormat="1" applyFont="1" applyFill="1" applyAlignment="1">
      <alignment horizontal="center" wrapText="1"/>
    </xf>
    <xf numFmtId="3" fontId="60" fillId="0" borderId="0" xfId="0" applyNumberFormat="1" applyFont="1" applyAlignment="1">
      <alignment horizontal="center"/>
    </xf>
    <xf numFmtId="0" fontId="14" fillId="0" borderId="0" xfId="5" applyFont="1" applyAlignment="1">
      <alignment wrapText="1"/>
    </xf>
    <xf numFmtId="1" fontId="1" fillId="0" borderId="0" xfId="5" applyNumberFormat="1" applyFont="1"/>
    <xf numFmtId="0" fontId="58" fillId="0" borderId="0" xfId="5" applyFont="1" applyAlignment="1">
      <alignment horizontal="center"/>
    </xf>
    <xf numFmtId="0" fontId="58" fillId="0" borderId="0" xfId="5" applyFont="1" applyAlignment="1">
      <alignment horizontal="left"/>
    </xf>
    <xf numFmtId="168" fontId="58" fillId="0" borderId="0" xfId="5" applyNumberFormat="1" applyFont="1" applyAlignment="1">
      <alignment wrapText="1"/>
    </xf>
    <xf numFmtId="166" fontId="58" fillId="0" borderId="0" xfId="5" applyNumberFormat="1" applyFont="1" applyAlignment="1">
      <alignment horizontal="right"/>
    </xf>
    <xf numFmtId="0" fontId="62" fillId="0" borderId="0" xfId="5" applyFont="1"/>
    <xf numFmtId="2" fontId="1" fillId="6" borderId="0" xfId="0" applyNumberFormat="1" applyFont="1" applyFill="1"/>
    <xf numFmtId="3" fontId="1" fillId="0" borderId="0" xfId="5" applyNumberFormat="1" applyFont="1"/>
    <xf numFmtId="0" fontId="14" fillId="0" borderId="0" xfId="5" applyFont="1"/>
    <xf numFmtId="0" fontId="1" fillId="0" borderId="0" xfId="5" applyFont="1" applyAlignment="1">
      <alignment horizontal="left"/>
    </xf>
    <xf numFmtId="1" fontId="14" fillId="0" borderId="0" xfId="5" applyNumberFormat="1" applyFont="1"/>
    <xf numFmtId="0" fontId="1" fillId="0" borderId="0" xfId="0" applyFont="1" applyAlignment="1">
      <alignment horizontal="left" vertical="top" wrapText="1"/>
    </xf>
    <xf numFmtId="0" fontId="61" fillId="2" borderId="0" xfId="5" quotePrefix="1" applyFont="1" applyFill="1"/>
    <xf numFmtId="0" fontId="1" fillId="6" borderId="0" xfId="0" applyFont="1" applyFill="1"/>
    <xf numFmtId="0" fontId="62" fillId="5" borderId="0" xfId="0" applyFont="1" applyFill="1"/>
    <xf numFmtId="0" fontId="1" fillId="0" borderId="0" xfId="0" quotePrefix="1" applyFont="1"/>
    <xf numFmtId="3" fontId="1" fillId="0" borderId="0" xfId="0" applyNumberFormat="1" applyFont="1"/>
    <xf numFmtId="0" fontId="55" fillId="2" borderId="0" xfId="0" applyFont="1" applyFill="1" applyAlignment="1">
      <alignment horizontal="center"/>
    </xf>
    <xf numFmtId="1" fontId="69" fillId="0" borderId="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horizontal="center"/>
    </xf>
    <xf numFmtId="170" fontId="58" fillId="0" borderId="0" xfId="0" applyNumberFormat="1" applyFont="1"/>
    <xf numFmtId="0" fontId="58" fillId="0" borderId="0" xfId="5" applyFont="1" applyAlignment="1">
      <alignment vertical="top"/>
    </xf>
    <xf numFmtId="0" fontId="1" fillId="0" borderId="0" xfId="5" applyFont="1" applyAlignment="1">
      <alignment vertical="top"/>
    </xf>
    <xf numFmtId="3" fontId="1" fillId="0" borderId="0" xfId="5" applyNumberFormat="1" applyFont="1" applyAlignment="1">
      <alignment horizontal="center" vertical="top"/>
    </xf>
    <xf numFmtId="170" fontId="58" fillId="0" borderId="0" xfId="0" applyNumberFormat="1" applyFont="1" applyAlignment="1">
      <alignment vertical="top"/>
    </xf>
    <xf numFmtId="166" fontId="58" fillId="6" borderId="0" xfId="5" applyNumberFormat="1" applyFont="1" applyFill="1" applyAlignment="1">
      <alignment vertical="top"/>
    </xf>
    <xf numFmtId="3" fontId="1" fillId="0" borderId="0" xfId="0" applyNumberFormat="1" applyFont="1" applyAlignment="1">
      <alignment vertical="top" wrapText="1"/>
    </xf>
    <xf numFmtId="0" fontId="67" fillId="2" borderId="0" xfId="0" applyFont="1" applyFill="1"/>
    <xf numFmtId="3" fontId="1" fillId="0" borderId="0" xfId="5" applyNumberFormat="1" applyFont="1" applyAlignment="1">
      <alignment vertical="top"/>
    </xf>
    <xf numFmtId="2" fontId="1" fillId="0" borderId="0" xfId="0" applyNumberFormat="1" applyFont="1"/>
    <xf numFmtId="0" fontId="1" fillId="0" borderId="0" xfId="0" quotePrefix="1" applyFont="1" applyAlignment="1">
      <alignment vertical="top"/>
    </xf>
    <xf numFmtId="1" fontId="11" fillId="0" borderId="0" xfId="0" applyNumberFormat="1" applyFont="1"/>
    <xf numFmtId="170" fontId="14" fillId="0" borderId="0" xfId="5" applyNumberFormat="1" applyFont="1" applyAlignment="1">
      <alignment horizontal="center"/>
    </xf>
    <xf numFmtId="1" fontId="69" fillId="0" borderId="0" xfId="0" applyNumberFormat="1" applyFont="1" applyAlignment="1">
      <alignment horizontal="left" vertical="center"/>
    </xf>
    <xf numFmtId="0" fontId="68" fillId="0" borderId="0" xfId="0" applyFont="1"/>
    <xf numFmtId="0" fontId="0" fillId="0" borderId="0" xfId="0" applyAlignment="1">
      <alignment horizontal="center"/>
    </xf>
    <xf numFmtId="0" fontId="58" fillId="0" borderId="0" xfId="0" applyFont="1" applyAlignment="1">
      <alignment horizontal="center" vertical="center" wrapText="1"/>
    </xf>
    <xf numFmtId="0" fontId="61" fillId="2" borderId="0" xfId="0" quotePrefix="1" applyFont="1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58" fillId="0" borderId="0" xfId="0" applyFont="1" applyAlignment="1">
      <alignment horizontal="center"/>
    </xf>
    <xf numFmtId="0" fontId="58" fillId="0" borderId="0" xfId="0" applyFont="1" applyAlignment="1">
      <alignment vertical="center"/>
    </xf>
    <xf numFmtId="0" fontId="67" fillId="2" borderId="0" xfId="0" quotePrefix="1" applyFont="1" applyFill="1" applyAlignment="1">
      <alignment horizontal="left"/>
    </xf>
    <xf numFmtId="0" fontId="66" fillId="0" borderId="0" xfId="0" applyFont="1"/>
    <xf numFmtId="2" fontId="0" fillId="0" borderId="0" xfId="0" applyNumberFormat="1"/>
    <xf numFmtId="0" fontId="64" fillId="0" borderId="0" xfId="0" quotePrefix="1" applyFont="1" applyAlignment="1">
      <alignment horizontal="left"/>
    </xf>
    <xf numFmtId="3" fontId="72" fillId="0" borderId="0" xfId="5" applyNumberFormat="1" applyFont="1"/>
    <xf numFmtId="3" fontId="72" fillId="0" borderId="0" xfId="5" applyNumberFormat="1" applyFont="1" applyAlignment="1">
      <alignment horizontal="center"/>
    </xf>
    <xf numFmtId="0" fontId="55" fillId="47" borderId="0" xfId="6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7" fillId="0" borderId="0" xfId="5" applyFont="1"/>
    <xf numFmtId="0" fontId="76" fillId="0" borderId="0" xfId="0" applyFont="1"/>
    <xf numFmtId="0" fontId="64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4" fillId="0" borderId="0" xfId="0" applyFont="1" applyAlignment="1">
      <alignment vertical="center"/>
    </xf>
    <xf numFmtId="1" fontId="73" fillId="0" borderId="0" xfId="0" applyNumberFormat="1" applyFont="1" applyAlignment="1">
      <alignment vertical="center"/>
    </xf>
    <xf numFmtId="0" fontId="75" fillId="0" borderId="0" xfId="0" applyFont="1"/>
    <xf numFmtId="0" fontId="75" fillId="0" borderId="0" xfId="5" applyFont="1"/>
    <xf numFmtId="0" fontId="64" fillId="0" borderId="0" xfId="0" quotePrefix="1" applyFont="1" applyAlignment="1">
      <alignment vertical="center"/>
    </xf>
    <xf numFmtId="0" fontId="61" fillId="2" borderId="0" xfId="0" applyFont="1" applyFill="1" applyAlignment="1">
      <alignment horizontal="center" vertical="center"/>
    </xf>
    <xf numFmtId="0" fontId="65" fillId="0" borderId="0" xfId="0" applyFont="1"/>
    <xf numFmtId="0" fontId="79" fillId="0" borderId="0" xfId="0" applyFont="1"/>
    <xf numFmtId="0" fontId="55" fillId="47" borderId="0" xfId="0" applyFont="1" applyFill="1"/>
    <xf numFmtId="0" fontId="55" fillId="2" borderId="0" xfId="6" applyFont="1" applyFill="1"/>
    <xf numFmtId="0" fontId="78" fillId="0" borderId="0" xfId="0" applyFont="1" applyAlignment="1">
      <alignment vertical="center"/>
    </xf>
    <xf numFmtId="0" fontId="78" fillId="0" borderId="0" xfId="0" applyFont="1"/>
    <xf numFmtId="3" fontId="78" fillId="0" borderId="0" xfId="0" applyNumberFormat="1" applyFont="1"/>
    <xf numFmtId="0" fontId="82" fillId="0" borderId="0" xfId="0" applyFont="1"/>
    <xf numFmtId="3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3" fontId="58" fillId="0" borderId="0" xfId="0" applyNumberFormat="1" applyFont="1"/>
    <xf numFmtId="0" fontId="71" fillId="0" borderId="0" xfId="0" applyFont="1"/>
    <xf numFmtId="0" fontId="70" fillId="0" borderId="0" xfId="0" applyFont="1"/>
    <xf numFmtId="0" fontId="83" fillId="0" borderId="0" xfId="0" applyFont="1"/>
    <xf numFmtId="0" fontId="78" fillId="0" borderId="0" xfId="0" applyFont="1" applyAlignment="1">
      <alignment vertical="top"/>
    </xf>
    <xf numFmtId="0" fontId="82" fillId="0" borderId="0" xfId="0" applyFont="1" applyAlignment="1">
      <alignment wrapText="1"/>
    </xf>
    <xf numFmtId="170" fontId="82" fillId="0" borderId="0" xfId="0" applyNumberFormat="1" applyFont="1"/>
    <xf numFmtId="3" fontId="84" fillId="0" borderId="0" xfId="0" applyNumberFormat="1" applyFont="1"/>
    <xf numFmtId="0" fontId="85" fillId="0" borderId="0" xfId="0" applyFont="1"/>
    <xf numFmtId="0" fontId="72" fillId="0" borderId="0" xfId="0" applyFont="1"/>
    <xf numFmtId="3" fontId="72" fillId="0" borderId="0" xfId="0" applyNumberFormat="1" applyFont="1"/>
    <xf numFmtId="0" fontId="81" fillId="0" borderId="0" xfId="0" applyFont="1"/>
    <xf numFmtId="167" fontId="58" fillId="49" borderId="0" xfId="0" applyNumberFormat="1" applyFont="1" applyFill="1" applyAlignment="1">
      <alignment vertical="center"/>
    </xf>
    <xf numFmtId="167" fontId="0" fillId="49" borderId="0" xfId="0" applyNumberFormat="1" applyFill="1" applyAlignment="1">
      <alignment vertical="center"/>
    </xf>
    <xf numFmtId="0" fontId="58" fillId="49" borderId="0" xfId="0" applyFont="1" applyFill="1" applyAlignment="1">
      <alignment vertical="center"/>
    </xf>
    <xf numFmtId="0" fontId="0" fillId="49" borderId="0" xfId="0" applyFill="1" applyAlignment="1">
      <alignment vertical="center"/>
    </xf>
    <xf numFmtId="0" fontId="87" fillId="0" borderId="0" xfId="5" applyFont="1"/>
    <xf numFmtId="0" fontId="87" fillId="0" borderId="0" xfId="0" applyFont="1"/>
    <xf numFmtId="3" fontId="1" fillId="50" borderId="0" xfId="0" applyNumberFormat="1" applyFont="1" applyFill="1"/>
    <xf numFmtId="9" fontId="1" fillId="50" borderId="0" xfId="1" applyFill="1" applyAlignment="1">
      <alignment vertical="top" wrapText="1"/>
    </xf>
    <xf numFmtId="9" fontId="1" fillId="50" borderId="0" xfId="0" applyNumberFormat="1" applyFont="1" applyFill="1" applyAlignment="1">
      <alignment vertical="top" wrapText="1"/>
    </xf>
    <xf numFmtId="167" fontId="58" fillId="51" borderId="0" xfId="0" quotePrefix="1" applyNumberFormat="1" applyFont="1" applyFill="1" applyAlignment="1">
      <alignment horizontal="left" vertical="top" wrapText="1"/>
    </xf>
    <xf numFmtId="167" fontId="58" fillId="51" borderId="0" xfId="0" applyNumberFormat="1" applyFont="1" applyFill="1" applyAlignment="1">
      <alignment vertical="top"/>
    </xf>
    <xf numFmtId="167" fontId="58" fillId="51" borderId="0" xfId="0" quotePrefix="1" applyNumberFormat="1" applyFont="1" applyFill="1" applyAlignment="1">
      <alignment horizontal="left" vertical="top"/>
    </xf>
    <xf numFmtId="167" fontId="58" fillId="51" borderId="4" xfId="0" applyNumberFormat="1" applyFont="1" applyFill="1" applyBorder="1" applyAlignment="1">
      <alignment vertical="top"/>
    </xf>
    <xf numFmtId="167" fontId="58" fillId="51" borderId="0" xfId="0" applyNumberFormat="1" applyFont="1" applyFill="1" applyAlignment="1">
      <alignment vertical="top" wrapText="1"/>
    </xf>
    <xf numFmtId="167" fontId="58" fillId="51" borderId="4" xfId="0" applyNumberFormat="1" applyFont="1" applyFill="1" applyBorder="1" applyAlignment="1">
      <alignment vertical="top" wrapText="1"/>
    </xf>
    <xf numFmtId="170" fontId="81" fillId="0" borderId="0" xfId="0" applyNumberFormat="1" applyFont="1" applyAlignment="1">
      <alignment horizontal="right"/>
    </xf>
    <xf numFmtId="0" fontId="55" fillId="2" borderId="0" xfId="6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8" fillId="0" borderId="0" xfId="6" applyFont="1" applyAlignment="1">
      <alignment horizontal="center" vertical="center"/>
    </xf>
    <xf numFmtId="0" fontId="61" fillId="2" borderId="0" xfId="0" quotePrefix="1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42" borderId="0" xfId="0" applyNumberFormat="1" applyFont="1" applyFill="1"/>
    <xf numFmtId="170" fontId="1" fillId="42" borderId="0" xfId="0" applyNumberFormat="1" applyFont="1" applyFill="1"/>
    <xf numFmtId="0" fontId="14" fillId="0" borderId="0" xfId="0" applyFont="1" applyAlignment="1">
      <alignment wrapText="1"/>
    </xf>
    <xf numFmtId="0" fontId="0" fillId="0" borderId="1" xfId="0" applyBorder="1"/>
    <xf numFmtId="0" fontId="0" fillId="53" borderId="0" xfId="0" applyFill="1" applyAlignment="1">
      <alignment vertical="center"/>
    </xf>
    <xf numFmtId="0" fontId="1" fillId="53" borderId="0" xfId="5" applyFont="1" applyFill="1"/>
    <xf numFmtId="0" fontId="58" fillId="53" borderId="2" xfId="0" applyFont="1" applyFill="1" applyBorder="1" applyAlignment="1">
      <alignment vertical="center"/>
    </xf>
    <xf numFmtId="0" fontId="1" fillId="53" borderId="0" xfId="0" applyFont="1" applyFill="1"/>
    <xf numFmtId="0" fontId="58" fillId="53" borderId="0" xfId="0" applyFont="1" applyFill="1" applyAlignment="1">
      <alignment horizontal="left"/>
    </xf>
    <xf numFmtId="0" fontId="58" fillId="53" borderId="0" xfId="0" applyFont="1" applyFill="1" applyAlignment="1">
      <alignment horizontal="right"/>
    </xf>
    <xf numFmtId="0" fontId="1" fillId="53" borderId="0" xfId="0" applyFont="1" applyFill="1" applyAlignment="1">
      <alignment horizontal="right"/>
    </xf>
    <xf numFmtId="0" fontId="58" fillId="53" borderId="2" xfId="5" applyFont="1" applyFill="1" applyBorder="1" applyAlignment="1">
      <alignment vertical="center"/>
    </xf>
    <xf numFmtId="0" fontId="58" fillId="53" borderId="2" xfId="5" applyFont="1" applyFill="1" applyBorder="1" applyAlignment="1">
      <alignment horizontal="center" vertical="center"/>
    </xf>
    <xf numFmtId="0" fontId="58" fillId="53" borderId="0" xfId="5" applyFont="1" applyFill="1" applyAlignment="1">
      <alignment vertical="top"/>
    </xf>
    <xf numFmtId="0" fontId="14" fillId="53" borderId="0" xfId="5" applyFont="1" applyFill="1" applyAlignment="1">
      <alignment vertical="top" wrapText="1"/>
    </xf>
    <xf numFmtId="3" fontId="1" fillId="53" borderId="0" xfId="0" applyNumberFormat="1" applyFont="1" applyFill="1" applyAlignment="1">
      <alignment vertical="top"/>
    </xf>
    <xf numFmtId="1" fontId="1" fillId="53" borderId="0" xfId="5" applyNumberFormat="1" applyFont="1" applyFill="1" applyAlignment="1">
      <alignment vertical="top"/>
    </xf>
    <xf numFmtId="0" fontId="1" fillId="53" borderId="0" xfId="5" applyFont="1" applyFill="1" applyAlignment="1">
      <alignment vertical="top"/>
    </xf>
    <xf numFmtId="0" fontId="58" fillId="53" borderId="0" xfId="5" applyFont="1" applyFill="1" applyAlignment="1">
      <alignment horizontal="center" vertical="top"/>
    </xf>
    <xf numFmtId="0" fontId="58" fillId="53" borderId="0" xfId="5" applyFont="1" applyFill="1" applyAlignment="1">
      <alignment horizontal="left" vertical="top"/>
    </xf>
    <xf numFmtId="168" fontId="58" fillId="53" borderId="0" xfId="5" applyNumberFormat="1" applyFont="1" applyFill="1" applyAlignment="1">
      <alignment vertical="top" wrapText="1"/>
    </xf>
    <xf numFmtId="0" fontId="58" fillId="53" borderId="0" xfId="5" applyFont="1" applyFill="1"/>
    <xf numFmtId="0" fontId="14" fillId="53" borderId="0" xfId="5" applyFont="1" applyFill="1" applyAlignment="1">
      <alignment wrapText="1"/>
    </xf>
    <xf numFmtId="3" fontId="1" fillId="53" borderId="0" xfId="0" applyNumberFormat="1" applyFont="1" applyFill="1"/>
    <xf numFmtId="1" fontId="1" fillId="53" borderId="0" xfId="5" applyNumberFormat="1" applyFont="1" applyFill="1"/>
    <xf numFmtId="0" fontId="58" fillId="53" borderId="0" xfId="5" applyFont="1" applyFill="1" applyAlignment="1">
      <alignment horizontal="center"/>
    </xf>
    <xf numFmtId="0" fontId="58" fillId="53" borderId="0" xfId="5" applyFont="1" applyFill="1" applyAlignment="1">
      <alignment horizontal="left"/>
    </xf>
    <xf numFmtId="168" fontId="58" fillId="53" borderId="0" xfId="5" applyNumberFormat="1" applyFont="1" applyFill="1" applyAlignment="1">
      <alignment wrapText="1"/>
    </xf>
    <xf numFmtId="0" fontId="58" fillId="53" borderId="4" xfId="5" applyFont="1" applyFill="1" applyBorder="1"/>
    <xf numFmtId="0" fontId="14" fillId="53" borderId="4" xfId="5" applyFont="1" applyFill="1" applyBorder="1" applyAlignment="1">
      <alignment wrapText="1"/>
    </xf>
    <xf numFmtId="1" fontId="1" fillId="53" borderId="4" xfId="5" applyNumberFormat="1" applyFont="1" applyFill="1" applyBorder="1"/>
    <xf numFmtId="0" fontId="1" fillId="53" borderId="4" xfId="5" applyFont="1" applyFill="1" applyBorder="1"/>
    <xf numFmtId="0" fontId="58" fillId="53" borderId="4" xfId="5" applyFont="1" applyFill="1" applyBorder="1" applyAlignment="1">
      <alignment horizontal="center"/>
    </xf>
    <xf numFmtId="0" fontId="58" fillId="53" borderId="4" xfId="5" applyFont="1" applyFill="1" applyBorder="1" applyAlignment="1">
      <alignment horizontal="left"/>
    </xf>
    <xf numFmtId="168" fontId="58" fillId="53" borderId="4" xfId="5" applyNumberFormat="1" applyFont="1" applyFill="1" applyBorder="1" applyAlignment="1">
      <alignment wrapText="1"/>
    </xf>
    <xf numFmtId="0" fontId="1" fillId="53" borderId="0" xfId="5" applyFont="1" applyFill="1" applyAlignment="1">
      <alignment horizontal="left"/>
    </xf>
    <xf numFmtId="0" fontId="58" fillId="53" borderId="2" xfId="0" applyFont="1" applyFill="1" applyBorder="1" applyAlignment="1">
      <alignment horizontal="left" vertical="center"/>
    </xf>
    <xf numFmtId="0" fontId="58" fillId="53" borderId="2" xfId="5" applyFont="1" applyFill="1" applyBorder="1" applyAlignment="1">
      <alignment horizontal="left" vertical="center"/>
    </xf>
    <xf numFmtId="168" fontId="58" fillId="53" borderId="0" xfId="5" applyNumberFormat="1" applyFont="1" applyFill="1" applyAlignment="1">
      <alignment horizontal="left" vertical="top" wrapText="1"/>
    </xf>
    <xf numFmtId="0" fontId="58" fillId="53" borderId="4" xfId="5" applyFont="1" applyFill="1" applyBorder="1" applyAlignment="1">
      <alignment vertical="top"/>
    </xf>
    <xf numFmtId="0" fontId="14" fillId="53" borderId="4" xfId="5" applyFont="1" applyFill="1" applyBorder="1" applyAlignment="1">
      <alignment vertical="top" wrapText="1"/>
    </xf>
    <xf numFmtId="0" fontId="1" fillId="53" borderId="4" xfId="5" applyFont="1" applyFill="1" applyBorder="1" applyAlignment="1">
      <alignment vertical="top"/>
    </xf>
    <xf numFmtId="1" fontId="1" fillId="53" borderId="4" xfId="5" applyNumberFormat="1" applyFont="1" applyFill="1" applyBorder="1" applyAlignment="1">
      <alignment vertical="top"/>
    </xf>
    <xf numFmtId="0" fontId="58" fillId="53" borderId="4" xfId="5" applyFont="1" applyFill="1" applyBorder="1" applyAlignment="1">
      <alignment horizontal="center" vertical="top"/>
    </xf>
    <xf numFmtId="0" fontId="58" fillId="53" borderId="4" xfId="5" applyFont="1" applyFill="1" applyBorder="1" applyAlignment="1">
      <alignment horizontal="left" vertical="top"/>
    </xf>
    <xf numFmtId="168" fontId="58" fillId="53" borderId="4" xfId="5" applyNumberFormat="1" applyFont="1" applyFill="1" applyBorder="1" applyAlignment="1">
      <alignment horizontal="left" vertical="top" wrapText="1"/>
    </xf>
    <xf numFmtId="168" fontId="58" fillId="53" borderId="0" xfId="5" applyNumberFormat="1" applyFont="1" applyFill="1" applyAlignment="1">
      <alignment horizontal="left" wrapText="1"/>
    </xf>
    <xf numFmtId="168" fontId="58" fillId="53" borderId="4" xfId="5" applyNumberFormat="1" applyFont="1" applyFill="1" applyBorder="1" applyAlignment="1">
      <alignment horizontal="left" wrapText="1"/>
    </xf>
    <xf numFmtId="1" fontId="58" fillId="53" borderId="0" xfId="5" applyNumberFormat="1" applyFont="1" applyFill="1"/>
    <xf numFmtId="3" fontId="58" fillId="53" borderId="0" xfId="0" applyNumberFormat="1" applyFont="1" applyFill="1"/>
    <xf numFmtId="1" fontId="58" fillId="53" borderId="4" xfId="5" applyNumberFormat="1" applyFont="1" applyFill="1" applyBorder="1"/>
    <xf numFmtId="0" fontId="58" fillId="54" borderId="0" xfId="0" applyFont="1" applyFill="1"/>
    <xf numFmtId="0" fontId="58" fillId="53" borderId="0" xfId="5" quotePrefix="1" applyFont="1" applyFill="1"/>
    <xf numFmtId="0" fontId="1" fillId="53" borderId="0" xfId="5" applyFont="1" applyFill="1" applyAlignment="1">
      <alignment horizontal="center" vertical="center"/>
    </xf>
    <xf numFmtId="0" fontId="58" fillId="53" borderId="0" xfId="0" applyFont="1" applyFill="1"/>
    <xf numFmtId="1" fontId="11" fillId="53" borderId="0" xfId="5" applyNumberFormat="1" applyFont="1" applyFill="1"/>
    <xf numFmtId="1" fontId="11" fillId="53" borderId="4" xfId="5" applyNumberFormat="1" applyFont="1" applyFill="1" applyBorder="1"/>
    <xf numFmtId="0" fontId="0" fillId="53" borderId="0" xfId="5" applyFont="1" applyFill="1"/>
    <xf numFmtId="0" fontId="58" fillId="53" borderId="2" xfId="0" applyFont="1" applyFill="1" applyBorder="1" applyAlignment="1">
      <alignment horizontal="center" vertical="center"/>
    </xf>
    <xf numFmtId="0" fontId="0" fillId="53" borderId="0" xfId="0" applyFill="1"/>
    <xf numFmtId="0" fontId="14" fillId="53" borderId="0" xfId="0" applyFont="1" applyFill="1" applyAlignment="1">
      <alignment wrapText="1"/>
    </xf>
    <xf numFmtId="0" fontId="0" fillId="53" borderId="3" xfId="0" applyFill="1" applyBorder="1"/>
    <xf numFmtId="0" fontId="58" fillId="53" borderId="3" xfId="0" applyFont="1" applyFill="1" applyBorder="1" applyAlignment="1">
      <alignment horizontal="center"/>
    </xf>
    <xf numFmtId="0" fontId="58" fillId="53" borderId="3" xfId="0" applyFont="1" applyFill="1" applyBorder="1" applyAlignment="1">
      <alignment horizontal="left"/>
    </xf>
    <xf numFmtId="168" fontId="58" fillId="53" borderId="3" xfId="0" applyNumberFormat="1" applyFont="1" applyFill="1" applyBorder="1" applyAlignment="1">
      <alignment vertical="center" wrapText="1"/>
    </xf>
    <xf numFmtId="0" fontId="14" fillId="53" borderId="0" xfId="0" applyFont="1" applyFill="1"/>
    <xf numFmtId="0" fontId="0" fillId="53" borderId="0" xfId="0" applyFill="1" applyAlignment="1">
      <alignment horizontal="center"/>
    </xf>
    <xf numFmtId="0" fontId="58" fillId="53" borderId="0" xfId="0" applyFont="1" applyFill="1" applyAlignment="1">
      <alignment vertical="center" wrapText="1"/>
    </xf>
    <xf numFmtId="0" fontId="58" fillId="53" borderId="4" xfId="0" applyFont="1" applyFill="1" applyBorder="1"/>
    <xf numFmtId="0" fontId="0" fillId="53" borderId="4" xfId="0" applyFill="1" applyBorder="1"/>
    <xf numFmtId="0" fontId="14" fillId="53" borderId="4" xfId="0" applyFont="1" applyFill="1" applyBorder="1"/>
    <xf numFmtId="0" fontId="0" fillId="53" borderId="4" xfId="0" applyFill="1" applyBorder="1" applyAlignment="1">
      <alignment horizontal="center"/>
    </xf>
    <xf numFmtId="0" fontId="58" fillId="53" borderId="4" xfId="0" applyFont="1" applyFill="1" applyBorder="1" applyAlignment="1">
      <alignment vertical="center" wrapText="1"/>
    </xf>
    <xf numFmtId="0" fontId="0" fillId="53" borderId="3" xfId="0" applyFill="1" applyBorder="1" applyAlignment="1">
      <alignment horizontal="center"/>
    </xf>
    <xf numFmtId="168" fontId="58" fillId="53" borderId="0" xfId="0" applyNumberFormat="1" applyFont="1" applyFill="1" applyAlignment="1">
      <alignment vertical="center" wrapText="1"/>
    </xf>
    <xf numFmtId="0" fontId="14" fillId="53" borderId="4" xfId="0" applyFont="1" applyFill="1" applyBorder="1" applyAlignment="1">
      <alignment wrapText="1"/>
    </xf>
    <xf numFmtId="0" fontId="58" fillId="53" borderId="0" xfId="0" applyFont="1" applyFill="1" applyAlignment="1">
      <alignment horizontal="center"/>
    </xf>
    <xf numFmtId="0" fontId="58" fillId="53" borderId="3" xfId="0" applyFont="1" applyFill="1" applyBorder="1" applyAlignment="1">
      <alignment vertical="center"/>
    </xf>
    <xf numFmtId="167" fontId="66" fillId="53" borderId="0" xfId="0" applyNumberFormat="1" applyFont="1" applyFill="1" applyAlignment="1">
      <alignment vertical="top"/>
    </xf>
    <xf numFmtId="167" fontId="58" fillId="53" borderId="0" xfId="0" applyNumberFormat="1" applyFont="1" applyFill="1" applyAlignment="1">
      <alignment vertical="top"/>
    </xf>
    <xf numFmtId="0" fontId="0" fillId="53" borderId="0" xfId="0" applyFill="1" applyAlignment="1">
      <alignment vertical="top"/>
    </xf>
    <xf numFmtId="167" fontId="0" fillId="53" borderId="0" xfId="0" applyNumberFormat="1" applyFill="1" applyAlignment="1">
      <alignment vertical="top"/>
    </xf>
    <xf numFmtId="0" fontId="0" fillId="53" borderId="1" xfId="0" applyFill="1" applyBorder="1" applyAlignment="1">
      <alignment horizontal="center" vertical="center"/>
    </xf>
    <xf numFmtId="167" fontId="66" fillId="53" borderId="4" xfId="0" applyNumberFormat="1" applyFont="1" applyFill="1" applyBorder="1" applyAlignment="1">
      <alignment vertical="top"/>
    </xf>
    <xf numFmtId="167" fontId="58" fillId="53" borderId="4" xfId="0" applyNumberFormat="1" applyFont="1" applyFill="1" applyBorder="1" applyAlignment="1">
      <alignment vertical="top"/>
    </xf>
    <xf numFmtId="0" fontId="0" fillId="53" borderId="4" xfId="0" applyFill="1" applyBorder="1" applyAlignment="1">
      <alignment vertical="top"/>
    </xf>
    <xf numFmtId="167" fontId="63" fillId="53" borderId="0" xfId="0" applyNumberFormat="1" applyFont="1" applyFill="1" applyAlignment="1">
      <alignment vertical="top"/>
    </xf>
    <xf numFmtId="167" fontId="58" fillId="53" borderId="0" xfId="0" applyNumberFormat="1" applyFont="1" applyFill="1" applyAlignment="1">
      <alignment horizontal="left" vertical="center"/>
    </xf>
    <xf numFmtId="167" fontId="58" fillId="53" borderId="0" xfId="0" applyNumberFormat="1" applyFont="1" applyFill="1" applyAlignment="1">
      <alignment horizontal="center" vertical="center"/>
    </xf>
    <xf numFmtId="167" fontId="0" fillId="53" borderId="0" xfId="0" applyNumberFormat="1" applyFill="1" applyAlignment="1">
      <alignment vertical="center"/>
    </xf>
    <xf numFmtId="167" fontId="0" fillId="53" borderId="0" xfId="0" applyNumberFormat="1" applyFill="1" applyAlignment="1">
      <alignment horizontal="left" vertical="center"/>
    </xf>
    <xf numFmtId="167" fontId="0" fillId="53" borderId="4" xfId="0" applyNumberFormat="1" applyFill="1" applyBorder="1" applyAlignment="1">
      <alignment vertical="center"/>
    </xf>
    <xf numFmtId="167" fontId="0" fillId="53" borderId="4" xfId="0" applyNumberFormat="1" applyFill="1" applyBorder="1" applyAlignment="1">
      <alignment horizontal="left" vertical="center"/>
    </xf>
    <xf numFmtId="3" fontId="0" fillId="53" borderId="0" xfId="0" applyNumberFormat="1" applyFill="1"/>
    <xf numFmtId="0" fontId="55" fillId="2" borderId="0" xfId="6" applyFont="1" applyFill="1" applyAlignment="1">
      <alignment horizontal="left" vertical="center"/>
    </xf>
    <xf numFmtId="0" fontId="61" fillId="0" borderId="0" xfId="0" applyFont="1" applyAlignment="1">
      <alignment vertical="center"/>
    </xf>
    <xf numFmtId="167" fontId="55" fillId="2" borderId="1" xfId="0" applyNumberFormat="1" applyFont="1" applyFill="1" applyBorder="1" applyAlignment="1">
      <alignment vertical="center"/>
    </xf>
    <xf numFmtId="167" fontId="55" fillId="2" borderId="1" xfId="0" applyNumberFormat="1" applyFont="1" applyFill="1" applyBorder="1" applyAlignment="1">
      <alignment horizontal="left" vertical="center"/>
    </xf>
    <xf numFmtId="3" fontId="61" fillId="2" borderId="0" xfId="0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 wrapText="1"/>
    </xf>
    <xf numFmtId="3" fontId="0" fillId="46" borderId="0" xfId="0" applyNumberFormat="1" applyFill="1" applyAlignment="1">
      <alignment vertical="center"/>
    </xf>
    <xf numFmtId="0" fontId="58" fillId="42" borderId="0" xfId="0" applyFont="1" applyFill="1" applyAlignment="1">
      <alignment vertical="center"/>
    </xf>
    <xf numFmtId="3" fontId="58" fillId="0" borderId="0" xfId="0" applyNumberFormat="1" applyFont="1" applyAlignment="1">
      <alignment vertical="center"/>
    </xf>
    <xf numFmtId="2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3" fontId="0" fillId="42" borderId="0" xfId="0" applyNumberFormat="1" applyFill="1" applyAlignment="1">
      <alignment vertical="center"/>
    </xf>
    <xf numFmtId="0" fontId="0" fillId="53" borderId="0" xfId="0" applyFill="1" applyAlignment="1">
      <alignment horizontal="left" vertical="center"/>
    </xf>
    <xf numFmtId="1" fontId="0" fillId="46" borderId="0" xfId="0" applyNumberFormat="1" applyFill="1" applyAlignment="1">
      <alignment vertical="center"/>
    </xf>
    <xf numFmtId="0" fontId="14" fillId="0" borderId="0" xfId="5" applyFont="1" applyAlignment="1">
      <alignment vertical="center" wrapText="1"/>
    </xf>
    <xf numFmtId="0" fontId="58" fillId="0" borderId="0" xfId="5" applyFont="1" applyAlignment="1">
      <alignment vertical="center"/>
    </xf>
    <xf numFmtId="0" fontId="58" fillId="42" borderId="0" xfId="24488" applyFont="1" applyFill="1" applyAlignment="1">
      <alignment horizontal="left" vertical="center"/>
    </xf>
    <xf numFmtId="3" fontId="70" fillId="0" borderId="0" xfId="0" applyNumberFormat="1" applyFont="1" applyAlignment="1">
      <alignment horizontal="right"/>
    </xf>
    <xf numFmtId="3" fontId="81" fillId="0" borderId="0" xfId="0" applyNumberFormat="1" applyFont="1" applyAlignment="1">
      <alignment horizontal="right"/>
    </xf>
    <xf numFmtId="169" fontId="81" fillId="0" borderId="0" xfId="1" applyNumberFormat="1" applyFont="1" applyAlignment="1">
      <alignment horizontal="right"/>
    </xf>
    <xf numFmtId="9" fontId="81" fillId="0" borderId="0" xfId="1" applyFont="1" applyAlignment="1">
      <alignment horizontal="right"/>
    </xf>
    <xf numFmtId="169" fontId="60" fillId="41" borderId="0" xfId="46652" applyNumberFormat="1" applyFont="1" applyFill="1" applyAlignment="1">
      <alignment horizontal="center" vertical="center"/>
    </xf>
    <xf numFmtId="0" fontId="55" fillId="2" borderId="2" xfId="46653" applyFont="1" applyFill="1" applyBorder="1" applyAlignment="1">
      <alignment horizontal="center" vertical="center"/>
    </xf>
    <xf numFmtId="2" fontId="60" fillId="41" borderId="0" xfId="46652" applyNumberFormat="1" applyFont="1" applyFill="1" applyAlignment="1">
      <alignment horizontal="center" vertical="center"/>
    </xf>
    <xf numFmtId="0" fontId="81" fillId="0" borderId="0" xfId="0" applyFont="1" applyAlignment="1">
      <alignment horizontal="center" wrapText="1"/>
    </xf>
    <xf numFmtId="0" fontId="81" fillId="0" borderId="0" xfId="0" applyFont="1" applyAlignment="1">
      <alignment wrapText="1"/>
    </xf>
    <xf numFmtId="0" fontId="72" fillId="0" borderId="0" xfId="0" applyFont="1" applyAlignment="1">
      <alignment vertical="top"/>
    </xf>
    <xf numFmtId="0" fontId="0" fillId="53" borderId="0" xfId="0" applyFill="1" applyAlignment="1">
      <alignment horizontal="left" vertical="top"/>
    </xf>
    <xf numFmtId="0" fontId="88" fillId="0" borderId="0" xfId="5" applyFont="1" applyAlignment="1">
      <alignment vertical="center"/>
    </xf>
    <xf numFmtId="0" fontId="10" fillId="0" borderId="0" xfId="5" applyAlignment="1">
      <alignment vertical="center"/>
    </xf>
    <xf numFmtId="2" fontId="14" fillId="55" borderId="0" xfId="5" applyNumberFormat="1" applyFont="1" applyFill="1" applyAlignment="1">
      <alignment horizontal="center" vertical="center"/>
    </xf>
    <xf numFmtId="2" fontId="14" fillId="56" borderId="0" xfId="5" applyNumberFormat="1" applyFont="1" applyFill="1" applyAlignment="1">
      <alignment horizontal="center" vertical="center"/>
    </xf>
    <xf numFmtId="3" fontId="58" fillId="42" borderId="0" xfId="0" applyNumberFormat="1" applyFont="1" applyFill="1" applyAlignment="1">
      <alignment vertical="center"/>
    </xf>
    <xf numFmtId="0" fontId="71" fillId="0" borderId="29" xfId="0" applyFont="1" applyBorder="1"/>
    <xf numFmtId="0" fontId="71" fillId="0" borderId="29" xfId="0" applyFont="1" applyBorder="1" applyAlignment="1">
      <alignment vertical="top"/>
    </xf>
    <xf numFmtId="0" fontId="55" fillId="48" borderId="24" xfId="0" applyFont="1" applyFill="1" applyBorder="1" applyAlignment="1">
      <alignment horizontal="left" vertical="center" wrapText="1"/>
    </xf>
    <xf numFmtId="0" fontId="55" fillId="0" borderId="0" xfId="6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76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1" fillId="2" borderId="0" xfId="0" applyFont="1" applyFill="1" applyAlignment="1">
      <alignment horizontal="right" vertical="center"/>
    </xf>
    <xf numFmtId="0" fontId="55" fillId="2" borderId="0" xfId="6" applyFont="1" applyFill="1" applyAlignment="1">
      <alignment horizontal="left" vertical="center" wrapText="1"/>
    </xf>
    <xf numFmtId="0" fontId="56" fillId="47" borderId="0" xfId="6" applyFont="1" applyFill="1" applyAlignment="1">
      <alignment horizontal="center" vertical="center"/>
    </xf>
    <xf numFmtId="0" fontId="71" fillId="45" borderId="0" xfId="6" applyFont="1" applyFill="1" applyAlignment="1">
      <alignment horizontal="center" vertical="center"/>
    </xf>
    <xf numFmtId="0" fontId="1" fillId="0" borderId="0" xfId="24488" applyAlignment="1">
      <alignment vertical="center"/>
    </xf>
    <xf numFmtId="0" fontId="1" fillId="45" borderId="0" xfId="0" applyFont="1" applyFill="1" applyAlignment="1">
      <alignment vertical="center"/>
    </xf>
    <xf numFmtId="0" fontId="0" fillId="45" borderId="0" xfId="0" applyFill="1" applyAlignment="1">
      <alignment vertical="center"/>
    </xf>
    <xf numFmtId="0" fontId="59" fillId="44" borderId="0" xfId="0" applyFont="1" applyFill="1" applyAlignment="1">
      <alignment vertical="center" wrapText="1"/>
    </xf>
    <xf numFmtId="0" fontId="71" fillId="45" borderId="0" xfId="6" applyFont="1" applyFill="1" applyAlignment="1">
      <alignment horizontal="left" vertical="center"/>
    </xf>
    <xf numFmtId="0" fontId="55" fillId="2" borderId="0" xfId="6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3" fontId="0" fillId="42" borderId="0" xfId="0" applyNumberFormat="1" applyFill="1" applyAlignment="1">
      <alignment vertical="top"/>
    </xf>
    <xf numFmtId="0" fontId="89" fillId="0" borderId="0" xfId="0" applyFont="1"/>
    <xf numFmtId="0" fontId="59" fillId="44" borderId="0" xfId="0" applyFont="1" applyFill="1" applyAlignment="1">
      <alignment horizontal="center" vertical="center" wrapText="1"/>
    </xf>
    <xf numFmtId="0" fontId="58" fillId="42" borderId="0" xfId="24488" applyFont="1" applyFill="1" applyAlignment="1">
      <alignment vertical="center"/>
    </xf>
    <xf numFmtId="0" fontId="58" fillId="0" borderId="0" xfId="24488" applyFont="1" applyAlignment="1">
      <alignment horizontal="left" vertical="center"/>
    </xf>
    <xf numFmtId="0" fontId="58" fillId="0" borderId="0" xfId="24488" applyFont="1" applyAlignment="1">
      <alignment vertical="center"/>
    </xf>
    <xf numFmtId="0" fontId="55" fillId="2" borderId="0" xfId="6" applyFont="1" applyFill="1" applyAlignment="1">
      <alignment vertical="center"/>
    </xf>
    <xf numFmtId="0" fontId="1" fillId="53" borderId="0" xfId="5" applyFont="1" applyFill="1" applyAlignment="1">
      <alignment horizontal="right"/>
    </xf>
    <xf numFmtId="0" fontId="90" fillId="0" borderId="0" xfId="46654"/>
    <xf numFmtId="0" fontId="92" fillId="0" borderId="0" xfId="0" applyFont="1"/>
    <xf numFmtId="1" fontId="0" fillId="42" borderId="0" xfId="0" applyNumberFormat="1" applyFill="1" applyAlignment="1">
      <alignment vertical="top"/>
    </xf>
    <xf numFmtId="3" fontId="58" fillId="0" borderId="0" xfId="0" applyNumberFormat="1" applyFont="1" applyAlignment="1">
      <alignment horizontal="center"/>
    </xf>
    <xf numFmtId="1" fontId="11" fillId="53" borderId="0" xfId="5" applyNumberFormat="1" applyFont="1" applyFill="1" applyAlignment="1">
      <alignment vertical="top"/>
    </xf>
    <xf numFmtId="0" fontId="58" fillId="53" borderId="0" xfId="0" applyFont="1" applyFill="1" applyAlignment="1">
      <alignment horizontal="left" vertical="top"/>
    </xf>
    <xf numFmtId="4" fontId="14" fillId="0" borderId="0" xfId="5" applyNumberFormat="1" applyFont="1" applyAlignment="1">
      <alignment horizontal="center"/>
    </xf>
    <xf numFmtId="1" fontId="58" fillId="53" borderId="0" xfId="5" applyNumberFormat="1" applyFont="1" applyFill="1" applyAlignment="1">
      <alignment vertical="top"/>
    </xf>
    <xf numFmtId="3" fontId="1" fillId="0" borderId="0" xfId="5" applyNumberFormat="1" applyFont="1" applyAlignment="1">
      <alignment horizontal="center" vertical="center"/>
    </xf>
    <xf numFmtId="168" fontId="14" fillId="0" borderId="0" xfId="5" applyNumberFormat="1" applyFont="1"/>
    <xf numFmtId="170" fontId="58" fillId="0" borderId="0" xfId="0" applyNumberFormat="1" applyFont="1" applyAlignment="1">
      <alignment horizontal="center"/>
    </xf>
    <xf numFmtId="0" fontId="61" fillId="0" borderId="0" xfId="0" quotePrefix="1" applyFont="1" applyAlignment="1">
      <alignment horizontal="left" wrapText="1"/>
    </xf>
    <xf numFmtId="170" fontId="14" fillId="0" borderId="0" xfId="5" applyNumberFormat="1" applyFont="1" applyAlignment="1">
      <alignment horizontal="center" vertical="top"/>
    </xf>
    <xf numFmtId="0" fontId="14" fillId="0" borderId="0" xfId="5" applyFont="1" applyAlignment="1">
      <alignment horizontal="center" vertical="top"/>
    </xf>
    <xf numFmtId="4" fontId="1" fillId="0" borderId="0" xfId="5" applyNumberFormat="1" applyFont="1" applyAlignment="1">
      <alignment vertical="top"/>
    </xf>
    <xf numFmtId="3" fontId="93" fillId="57" borderId="0" xfId="0" applyNumberFormat="1" applyFont="1" applyFill="1" applyAlignment="1">
      <alignment horizontal="right"/>
    </xf>
    <xf numFmtId="3" fontId="0" fillId="42" borderId="4" xfId="0" applyNumberFormat="1" applyFill="1" applyBorder="1" applyAlignment="1">
      <alignment vertical="top"/>
    </xf>
    <xf numFmtId="0" fontId="58" fillId="53" borderId="0" xfId="0" applyFont="1" applyFill="1" applyAlignment="1">
      <alignment vertical="center"/>
    </xf>
    <xf numFmtId="0" fontId="86" fillId="0" borderId="0" xfId="0" applyFont="1"/>
    <xf numFmtId="0" fontId="56" fillId="0" borderId="0" xfId="0" applyFont="1" applyAlignment="1">
      <alignment vertical="center"/>
    </xf>
    <xf numFmtId="0" fontId="55" fillId="0" borderId="0" xfId="0" applyFont="1" applyAlignment="1">
      <alignment horizontal="center" vertical="center" wrapText="1"/>
    </xf>
    <xf numFmtId="0" fontId="55" fillId="0" borderId="0" xfId="0" applyFont="1" applyAlignment="1">
      <alignment vertical="center" wrapText="1"/>
    </xf>
    <xf numFmtId="0" fontId="55" fillId="48" borderId="32" xfId="0" applyFont="1" applyFill="1" applyBorder="1" applyAlignment="1">
      <alignment horizontal="center" vertical="center" wrapText="1"/>
    </xf>
    <xf numFmtId="3" fontId="93" fillId="57" borderId="27" xfId="0" applyNumberFormat="1" applyFont="1" applyFill="1" applyBorder="1" applyAlignment="1">
      <alignment horizontal="right"/>
    </xf>
    <xf numFmtId="169" fontId="72" fillId="0" borderId="0" xfId="1" applyNumberFormat="1" applyFont="1" applyAlignment="1">
      <alignment horizontal="right"/>
    </xf>
    <xf numFmtId="3" fontId="94" fillId="52" borderId="0" xfId="0" applyNumberFormat="1" applyFont="1" applyFill="1" applyAlignment="1">
      <alignment horizontal="right"/>
    </xf>
    <xf numFmtId="3" fontId="94" fillId="57" borderId="0" xfId="0" applyNumberFormat="1" applyFont="1" applyFill="1" applyAlignment="1">
      <alignment horizontal="right"/>
    </xf>
    <xf numFmtId="3" fontId="94" fillId="57" borderId="31" xfId="0" applyNumberFormat="1" applyFont="1" applyFill="1" applyBorder="1" applyAlignment="1">
      <alignment horizontal="right"/>
    </xf>
    <xf numFmtId="3" fontId="94" fillId="57" borderId="35" xfId="0" applyNumberFormat="1" applyFont="1" applyFill="1" applyBorder="1" applyAlignment="1">
      <alignment horizontal="right"/>
    </xf>
    <xf numFmtId="0" fontId="58" fillId="3" borderId="8" xfId="0" applyFont="1" applyFill="1" applyBorder="1"/>
    <xf numFmtId="0" fontId="58" fillId="3" borderId="8" xfId="0" applyFont="1" applyFill="1" applyBorder="1" applyAlignment="1">
      <alignment vertical="top"/>
    </xf>
    <xf numFmtId="0" fontId="58" fillId="3" borderId="26" xfId="0" applyFont="1" applyFill="1" applyBorder="1" applyAlignment="1">
      <alignment vertical="top"/>
    </xf>
    <xf numFmtId="0" fontId="61" fillId="2" borderId="0" xfId="5" quotePrefix="1" applyFont="1" applyFill="1" applyAlignment="1">
      <alignment horizontal="left" vertical="top" wrapText="1"/>
    </xf>
    <xf numFmtId="0" fontId="61" fillId="2" borderId="0" xfId="5" quotePrefix="1" applyFont="1" applyFill="1" applyAlignment="1">
      <alignment horizontal="left" vertical="top"/>
    </xf>
    <xf numFmtId="0" fontId="61" fillId="2" borderId="0" xfId="5" quotePrefix="1" applyFont="1" applyFill="1" applyAlignment="1">
      <alignment horizontal="center" vertical="top"/>
    </xf>
    <xf numFmtId="0" fontId="61" fillId="2" borderId="0" xfId="0" quotePrefix="1" applyFont="1" applyFill="1" applyAlignment="1">
      <alignment horizontal="left" vertical="top"/>
    </xf>
    <xf numFmtId="0" fontId="1" fillId="0" borderId="0" xfId="5" applyFont="1" applyAlignment="1">
      <alignment vertical="top" wrapText="1"/>
    </xf>
    <xf numFmtId="9" fontId="72" fillId="0" borderId="0" xfId="1" applyFont="1" applyAlignment="1">
      <alignment horizontal="right"/>
    </xf>
    <xf numFmtId="0" fontId="1" fillId="0" borderId="0" xfId="5" applyFont="1" applyAlignment="1">
      <alignment horizontal="center" vertical="top"/>
    </xf>
    <xf numFmtId="0" fontId="95" fillId="0" borderId="0" xfId="0" applyFont="1"/>
    <xf numFmtId="3" fontId="71" fillId="45" borderId="0" xfId="6" applyNumberFormat="1" applyFont="1" applyFill="1" applyAlignment="1">
      <alignment horizontal="center" vertical="center"/>
    </xf>
    <xf numFmtId="0" fontId="96" fillId="0" borderId="0" xfId="0" applyFont="1"/>
    <xf numFmtId="3" fontId="95" fillId="0" borderId="0" xfId="0" applyNumberFormat="1" applyFont="1" applyAlignment="1">
      <alignment horizontal="center"/>
    </xf>
    <xf numFmtId="184" fontId="1" fillId="0" borderId="0" xfId="1" applyNumberFormat="1" applyAlignment="1">
      <alignment vertical="top"/>
    </xf>
    <xf numFmtId="169" fontId="58" fillId="0" borderId="0" xfId="1" applyNumberFormat="1" applyFont="1"/>
    <xf numFmtId="0" fontId="1" fillId="0" borderId="0" xfId="5" quotePrefix="1" applyFont="1" applyAlignment="1">
      <alignment vertical="top"/>
    </xf>
    <xf numFmtId="170" fontId="58" fillId="42" borderId="0" xfId="0" applyNumberFormat="1" applyFont="1" applyFill="1"/>
    <xf numFmtId="172" fontId="1" fillId="58" borderId="0" xfId="0" applyNumberFormat="1" applyFont="1" applyFill="1"/>
    <xf numFmtId="3" fontId="1" fillId="58" borderId="0" xfId="0" applyNumberFormat="1" applyFont="1" applyFill="1" applyAlignment="1">
      <alignment horizontal="right" vertical="top"/>
    </xf>
    <xf numFmtId="170" fontId="1" fillId="58" borderId="0" xfId="0" applyNumberFormat="1" applyFont="1" applyFill="1"/>
    <xf numFmtId="3" fontId="1" fillId="58" borderId="0" xfId="0" applyNumberFormat="1" applyFont="1" applyFill="1"/>
    <xf numFmtId="0" fontId="1" fillId="0" borderId="0" xfId="5" applyFont="1" applyAlignment="1">
      <alignment horizontal="center" vertical="center"/>
    </xf>
    <xf numFmtId="0" fontId="61" fillId="0" borderId="0" xfId="0" quotePrefix="1" applyFont="1" applyAlignment="1">
      <alignment horizontal="center" vertical="center" wrapText="1"/>
    </xf>
    <xf numFmtId="1" fontId="57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vertical="top" wrapText="1"/>
    </xf>
    <xf numFmtId="9" fontId="1" fillId="0" borderId="0" xfId="1" applyAlignment="1">
      <alignment vertical="top" wrapText="1"/>
    </xf>
    <xf numFmtId="0" fontId="55" fillId="0" borderId="0" xfId="6" applyFont="1"/>
    <xf numFmtId="3" fontId="58" fillId="58" borderId="0" xfId="0" applyNumberFormat="1" applyFont="1" applyFill="1"/>
    <xf numFmtId="4" fontId="1" fillId="58" borderId="0" xfId="0" applyNumberFormat="1" applyFont="1" applyFill="1"/>
    <xf numFmtId="172" fontId="1" fillId="58" borderId="0" xfId="0" applyNumberFormat="1" applyFont="1" applyFill="1" applyAlignment="1">
      <alignment vertical="top"/>
    </xf>
    <xf numFmtId="166" fontId="58" fillId="49" borderId="0" xfId="5" applyNumberFormat="1" applyFont="1" applyFill="1" applyAlignment="1">
      <alignment horizontal="right"/>
    </xf>
    <xf numFmtId="166" fontId="58" fillId="49" borderId="4" xfId="5" applyNumberFormat="1" applyFont="1" applyFill="1" applyBorder="1" applyAlignment="1">
      <alignment horizontal="right"/>
    </xf>
    <xf numFmtId="170" fontId="1" fillId="49" borderId="0" xfId="0" applyNumberFormat="1" applyFont="1" applyFill="1"/>
    <xf numFmtId="0" fontId="61" fillId="2" borderId="0" xfId="0" quotePrefix="1" applyFont="1" applyFill="1" applyAlignment="1">
      <alignment horizontal="center" wrapText="1"/>
    </xf>
    <xf numFmtId="0" fontId="79" fillId="53" borderId="0" xfId="0" applyFont="1" applyFill="1" applyAlignment="1">
      <alignment horizontal="left" vertical="top"/>
    </xf>
    <xf numFmtId="0" fontId="79" fillId="53" borderId="0" xfId="0" applyFont="1" applyFill="1" applyAlignment="1">
      <alignment vertical="top"/>
    </xf>
    <xf numFmtId="0" fontId="79" fillId="53" borderId="0" xfId="0" applyFont="1" applyFill="1"/>
    <xf numFmtId="0" fontId="79" fillId="53" borderId="4" xfId="0" applyFont="1" applyFill="1" applyBorder="1" applyAlignment="1">
      <alignment vertical="top"/>
    </xf>
    <xf numFmtId="0" fontId="59" fillId="0" borderId="0" xfId="0" applyFont="1" applyAlignment="1">
      <alignment vertical="top"/>
    </xf>
    <xf numFmtId="170" fontId="1" fillId="58" borderId="0" xfId="0" applyNumberFormat="1" applyFont="1" applyFill="1" applyAlignment="1">
      <alignment vertical="top"/>
    </xf>
    <xf numFmtId="3" fontId="58" fillId="58" borderId="0" xfId="0" applyNumberFormat="1" applyFont="1" applyFill="1" applyAlignment="1">
      <alignment vertical="top"/>
    </xf>
    <xf numFmtId="4" fontId="1" fillId="58" borderId="0" xfId="0" applyNumberFormat="1" applyFont="1" applyFill="1" applyAlignment="1">
      <alignment vertical="top"/>
    </xf>
    <xf numFmtId="170" fontId="58" fillId="49" borderId="0" xfId="5" applyNumberFormat="1" applyFont="1" applyFill="1" applyAlignment="1">
      <alignment horizontal="right"/>
    </xf>
    <xf numFmtId="170" fontId="58" fillId="49" borderId="4" xfId="5" applyNumberFormat="1" applyFont="1" applyFill="1" applyBorder="1" applyAlignment="1">
      <alignment horizontal="right"/>
    </xf>
    <xf numFmtId="0" fontId="14" fillId="58" borderId="0" xfId="0" applyFont="1" applyFill="1"/>
    <xf numFmtId="0" fontId="0" fillId="3" borderId="0" xfId="0" applyFill="1"/>
    <xf numFmtId="1" fontId="62" fillId="3" borderId="0" xfId="0" applyNumberFormat="1" applyFont="1" applyFill="1" applyAlignment="1">
      <alignment horizontal="center" vertical="center"/>
    </xf>
    <xf numFmtId="0" fontId="14" fillId="58" borderId="0" xfId="0" applyFont="1" applyFill="1" applyAlignment="1">
      <alignment horizontal="center"/>
    </xf>
    <xf numFmtId="3" fontId="58" fillId="58" borderId="0" xfId="0" applyNumberFormat="1" applyFont="1" applyFill="1" applyAlignment="1">
      <alignment horizontal="right" vertical="top" wrapText="1"/>
    </xf>
    <xf numFmtId="0" fontId="60" fillId="53" borderId="2" xfId="5" applyFont="1" applyFill="1" applyBorder="1" applyAlignment="1">
      <alignment horizontal="center" vertical="center"/>
    </xf>
    <xf numFmtId="0" fontId="62" fillId="0" borderId="0" xfId="5" applyFont="1" applyAlignment="1">
      <alignment horizontal="left"/>
    </xf>
    <xf numFmtId="0" fontId="1" fillId="0" borderId="4" xfId="5" applyFont="1" applyBorder="1"/>
    <xf numFmtId="166" fontId="58" fillId="6" borderId="0" xfId="5" applyNumberFormat="1" applyFont="1" applyFill="1" applyAlignment="1">
      <alignment horizontal="left"/>
    </xf>
    <xf numFmtId="166" fontId="58" fillId="6" borderId="3" xfId="5" applyNumberFormat="1" applyFont="1" applyFill="1" applyBorder="1"/>
    <xf numFmtId="0" fontId="79" fillId="53" borderId="0" xfId="5" applyFont="1" applyFill="1"/>
    <xf numFmtId="0" fontId="79" fillId="53" borderId="4" xfId="5" applyFont="1" applyFill="1" applyBorder="1"/>
    <xf numFmtId="3" fontId="11" fillId="0" borderId="0" xfId="5" applyNumberFormat="1" applyFont="1" applyAlignment="1">
      <alignment horizontal="center" vertical="center"/>
    </xf>
    <xf numFmtId="0" fontId="0" fillId="4" borderId="0" xfId="0" applyFill="1"/>
    <xf numFmtId="3" fontId="0" fillId="53" borderId="0" xfId="0" applyNumberFormat="1" applyFill="1" applyAlignment="1">
      <alignment vertical="top"/>
    </xf>
    <xf numFmtId="0" fontId="62" fillId="0" borderId="0" xfId="5" applyFont="1" applyAlignment="1">
      <alignment vertical="top"/>
    </xf>
    <xf numFmtId="0" fontId="1" fillId="0" borderId="4" xfId="5" applyFont="1" applyBorder="1" applyAlignment="1">
      <alignment vertical="top"/>
    </xf>
    <xf numFmtId="166" fontId="58" fillId="6" borderId="3" xfId="5" applyNumberFormat="1" applyFont="1" applyFill="1" applyBorder="1" applyAlignment="1">
      <alignment vertical="top"/>
    </xf>
    <xf numFmtId="0" fontId="55" fillId="2" borderId="0" xfId="6" applyFont="1" applyFill="1" applyAlignment="1">
      <alignment horizontal="right"/>
    </xf>
    <xf numFmtId="1" fontId="71" fillId="45" borderId="0" xfId="6" applyNumberFormat="1" applyFont="1" applyFill="1" applyAlignment="1">
      <alignment horizontal="center" vertical="center"/>
    </xf>
    <xf numFmtId="0" fontId="1" fillId="0" borderId="0" xfId="5" applyFont="1" applyAlignment="1">
      <alignment horizontal="right"/>
    </xf>
    <xf numFmtId="4" fontId="11" fillId="58" borderId="0" xfId="0" applyNumberFormat="1" applyFont="1" applyFill="1"/>
    <xf numFmtId="0" fontId="11" fillId="45" borderId="0" xfId="6" applyFont="1" applyFill="1" applyAlignment="1">
      <alignment horizontal="center" vertical="center"/>
    </xf>
    <xf numFmtId="3" fontId="11" fillId="45" borderId="0" xfId="6" applyNumberFormat="1" applyFont="1" applyFill="1" applyAlignment="1">
      <alignment horizontal="center" vertical="center"/>
    </xf>
    <xf numFmtId="1" fontId="11" fillId="45" borderId="0" xfId="6" applyNumberFormat="1" applyFont="1" applyFill="1" applyAlignment="1">
      <alignment horizontal="center" vertical="center"/>
    </xf>
    <xf numFmtId="0" fontId="14" fillId="3" borderId="0" xfId="0" applyFont="1" applyFill="1"/>
    <xf numFmtId="3" fontId="14" fillId="3" borderId="0" xfId="0" applyNumberFormat="1" applyFont="1" applyFill="1"/>
    <xf numFmtId="0" fontId="11" fillId="53" borderId="0" xfId="5" applyFont="1" applyFill="1" applyAlignment="1">
      <alignment horizontal="left"/>
    </xf>
    <xf numFmtId="0" fontId="0" fillId="0" borderId="0" xfId="0" applyAlignment="1">
      <alignment horizontal="right"/>
    </xf>
    <xf numFmtId="166" fontId="14" fillId="3" borderId="0" xfId="0" applyNumberFormat="1" applyFont="1" applyFill="1"/>
    <xf numFmtId="0" fontId="0" fillId="3" borderId="37" xfId="0" applyFill="1" applyBorder="1"/>
    <xf numFmtId="0" fontId="0" fillId="3" borderId="38" xfId="0" applyFill="1" applyBorder="1"/>
    <xf numFmtId="0" fontId="0" fillId="3" borderId="39" xfId="0" applyFill="1" applyBorder="1"/>
    <xf numFmtId="0" fontId="58" fillId="3" borderId="0" xfId="6" applyFont="1" applyFill="1"/>
    <xf numFmtId="0" fontId="0" fillId="3" borderId="0" xfId="24488" applyFont="1" applyFill="1" applyAlignment="1">
      <alignment vertical="center"/>
    </xf>
    <xf numFmtId="0" fontId="1" fillId="3" borderId="0" xfId="24488" applyFill="1" applyAlignment="1">
      <alignment vertical="center"/>
    </xf>
    <xf numFmtId="0" fontId="0" fillId="3" borderId="0" xfId="24488" applyFont="1" applyFill="1"/>
    <xf numFmtId="0" fontId="1" fillId="52" borderId="0" xfId="0" applyFont="1" applyFill="1" applyAlignment="1">
      <alignment vertical="center"/>
    </xf>
    <xf numFmtId="0" fontId="0" fillId="52" borderId="0" xfId="24488" applyFont="1" applyFill="1" applyAlignment="1">
      <alignment vertical="center"/>
    </xf>
    <xf numFmtId="0" fontId="0" fillId="52" borderId="0" xfId="0" applyFill="1" applyAlignment="1">
      <alignment vertical="center"/>
    </xf>
    <xf numFmtId="0" fontId="1" fillId="52" borderId="0" xfId="24488" applyFill="1" applyAlignment="1">
      <alignment vertical="center"/>
    </xf>
    <xf numFmtId="0" fontId="11" fillId="0" borderId="0" xfId="5" applyFont="1" applyAlignment="1">
      <alignment horizontal="left"/>
    </xf>
    <xf numFmtId="0" fontId="56" fillId="0" borderId="0" xfId="6" applyFont="1" applyAlignment="1">
      <alignment horizontal="center" vertical="center"/>
    </xf>
    <xf numFmtId="0" fontId="58" fillId="0" borderId="0" xfId="0" applyFont="1" applyAlignment="1">
      <alignment horizontal="right"/>
    </xf>
    <xf numFmtId="0" fontId="58" fillId="53" borderId="4" xfId="5" quotePrefix="1" applyFont="1" applyFill="1" applyBorder="1"/>
    <xf numFmtId="170" fontId="11" fillId="45" borderId="0" xfId="6" applyNumberFormat="1" applyFont="1" applyFill="1" applyAlignment="1">
      <alignment horizontal="center" vertical="center"/>
    </xf>
    <xf numFmtId="166" fontId="1" fillId="0" borderId="0" xfId="0" applyNumberFormat="1" applyFont="1"/>
    <xf numFmtId="0" fontId="58" fillId="0" borderId="0" xfId="5" applyFont="1" applyAlignment="1">
      <alignment horizontal="right"/>
    </xf>
    <xf numFmtId="0" fontId="55" fillId="2" borderId="0" xfId="0" applyFont="1" applyFill="1" applyAlignment="1">
      <alignment horizontal="left" vertical="center" wrapText="1"/>
    </xf>
    <xf numFmtId="9" fontId="0" fillId="0" borderId="0" xfId="1" applyFont="1"/>
    <xf numFmtId="0" fontId="15" fillId="3" borderId="4" xfId="0" applyFont="1" applyFill="1" applyBorder="1"/>
    <xf numFmtId="3" fontId="0" fillId="41" borderId="4" xfId="0" applyNumberFormat="1" applyFill="1" applyBorder="1"/>
    <xf numFmtId="9" fontId="0" fillId="45" borderId="0" xfId="1" applyFont="1" applyFill="1"/>
    <xf numFmtId="0" fontId="55" fillId="48" borderId="33" xfId="0" applyFont="1" applyFill="1" applyBorder="1" applyAlignment="1">
      <alignment horizontal="left" vertical="center" wrapText="1"/>
    </xf>
    <xf numFmtId="0" fontId="55" fillId="48" borderId="31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9" fontId="0" fillId="43" borderId="0" xfId="1" applyFont="1" applyFill="1"/>
    <xf numFmtId="0" fontId="62" fillId="0" borderId="0" xfId="0" applyFont="1" applyAlignment="1">
      <alignment vertical="center" wrapText="1"/>
    </xf>
    <xf numFmtId="170" fontId="58" fillId="52" borderId="0" xfId="5" applyNumberFormat="1" applyFont="1" applyFill="1" applyAlignment="1">
      <alignment horizontal="center" vertical="center"/>
    </xf>
    <xf numFmtId="0" fontId="55" fillId="45" borderId="0" xfId="6" applyFont="1" applyFill="1" applyAlignment="1">
      <alignment horizontal="center" vertical="center"/>
    </xf>
    <xf numFmtId="0" fontId="56" fillId="45" borderId="0" xfId="6" applyFont="1" applyFill="1" applyAlignment="1">
      <alignment horizontal="center" vertical="center"/>
    </xf>
    <xf numFmtId="1" fontId="58" fillId="0" borderId="0" xfId="5" applyNumberFormat="1" applyFont="1" applyAlignment="1">
      <alignment horizontal="center"/>
    </xf>
    <xf numFmtId="0" fontId="71" fillId="0" borderId="0" xfId="6" applyFont="1" applyAlignment="1">
      <alignment horizontal="left" vertical="center"/>
    </xf>
    <xf numFmtId="3" fontId="71" fillId="0" borderId="0" xfId="6" applyNumberFormat="1" applyFont="1" applyAlignment="1">
      <alignment horizontal="center" vertical="center"/>
    </xf>
    <xf numFmtId="3" fontId="58" fillId="0" borderId="0" xfId="5" applyNumberFormat="1" applyFont="1" applyAlignment="1">
      <alignment horizontal="center" vertical="center" wrapText="1"/>
    </xf>
    <xf numFmtId="0" fontId="55" fillId="2" borderId="0" xfId="6" quotePrefix="1" applyFont="1" applyFill="1" applyAlignment="1">
      <alignment horizontal="center" vertical="center" wrapText="1"/>
    </xf>
    <xf numFmtId="0" fontId="71" fillId="0" borderId="0" xfId="6" applyFont="1" applyAlignment="1">
      <alignment horizontal="center" vertical="center"/>
    </xf>
    <xf numFmtId="0" fontId="55" fillId="47" borderId="0" xfId="6" applyFont="1" applyFill="1" applyAlignment="1">
      <alignment horizontal="left" vertical="center"/>
    </xf>
    <xf numFmtId="0" fontId="79" fillId="45" borderId="0" xfId="6" applyFont="1" applyFill="1" applyAlignment="1">
      <alignment horizontal="left" vertical="center"/>
    </xf>
    <xf numFmtId="3" fontId="79" fillId="45" borderId="0" xfId="6" applyNumberFormat="1" applyFont="1" applyFill="1" applyAlignment="1">
      <alignment horizontal="center" vertical="center"/>
    </xf>
    <xf numFmtId="3" fontId="11" fillId="0" borderId="0" xfId="6" applyNumberFormat="1" applyFont="1" applyAlignment="1">
      <alignment horizontal="center" vertical="center"/>
    </xf>
    <xf numFmtId="0" fontId="58" fillId="53" borderId="0" xfId="5" applyFont="1" applyFill="1" applyAlignment="1">
      <alignment horizontal="right"/>
    </xf>
    <xf numFmtId="3" fontId="58" fillId="53" borderId="0" xfId="0" applyNumberFormat="1" applyFont="1" applyFill="1" applyAlignment="1">
      <alignment horizontal="right"/>
    </xf>
    <xf numFmtId="0" fontId="97" fillId="0" borderId="0" xfId="0" applyFont="1"/>
    <xf numFmtId="166" fontId="58" fillId="52" borderId="0" xfId="0" applyNumberFormat="1" applyFont="1" applyFill="1" applyAlignment="1">
      <alignment horizontal="center"/>
    </xf>
    <xf numFmtId="0" fontId="79" fillId="3" borderId="0" xfId="0" applyFont="1" applyFill="1"/>
    <xf numFmtId="0" fontId="11" fillId="0" borderId="0" xfId="0" applyFont="1" applyAlignment="1">
      <alignment horizontal="right"/>
    </xf>
    <xf numFmtId="9" fontId="11" fillId="0" borderId="0" xfId="0" applyNumberFormat="1" applyFont="1" applyAlignment="1">
      <alignment vertical="top" wrapText="1"/>
    </xf>
    <xf numFmtId="0" fontId="60" fillId="0" borderId="0" xfId="5" applyFont="1"/>
    <xf numFmtId="9" fontId="55" fillId="60" borderId="0" xfId="1" applyFont="1" applyFill="1"/>
    <xf numFmtId="0" fontId="0" fillId="0" borderId="0" xfId="5" applyFont="1" applyAlignment="1">
      <alignment horizontal="right"/>
    </xf>
    <xf numFmtId="0" fontId="62" fillId="0" borderId="0" xfId="0" applyFont="1"/>
    <xf numFmtId="0" fontId="1" fillId="0" borderId="0" xfId="0" applyFont="1" applyAlignment="1">
      <alignment horizontal="right"/>
    </xf>
    <xf numFmtId="0" fontId="55" fillId="2" borderId="0" xfId="0" applyFont="1" applyFill="1" applyAlignment="1">
      <alignment horizontal="left" vertical="top" wrapText="1"/>
    </xf>
    <xf numFmtId="1" fontId="0" fillId="42" borderId="4" xfId="0" applyNumberFormat="1" applyFill="1" applyBorder="1" applyAlignment="1">
      <alignment vertical="top"/>
    </xf>
    <xf numFmtId="0" fontId="60" fillId="0" borderId="0" xfId="0" applyFont="1" applyAlignment="1">
      <alignment vertical="top"/>
    </xf>
    <xf numFmtId="0" fontId="56" fillId="0" borderId="0" xfId="0" applyFont="1"/>
    <xf numFmtId="3" fontId="0" fillId="0" borderId="0" xfId="0" applyNumberFormat="1" applyAlignment="1">
      <alignment horizontal="right" vertical="center"/>
    </xf>
    <xf numFmtId="0" fontId="64" fillId="0" borderId="0" xfId="0" quotePrefix="1" applyFont="1"/>
    <xf numFmtId="169" fontId="55" fillId="60" borderId="0" xfId="1" applyNumberFormat="1" applyFont="1" applyFill="1"/>
    <xf numFmtId="0" fontId="55" fillId="48" borderId="43" xfId="0" applyFont="1" applyFill="1" applyBorder="1" applyAlignment="1">
      <alignment horizontal="center" vertical="center" wrapText="1"/>
    </xf>
    <xf numFmtId="0" fontId="1" fillId="53" borderId="0" xfId="5" applyFont="1" applyFill="1" applyAlignment="1">
      <alignment wrapText="1"/>
    </xf>
    <xf numFmtId="0" fontId="58" fillId="3" borderId="0" xfId="0" applyFont="1" applyFill="1"/>
    <xf numFmtId="0" fontId="58" fillId="3" borderId="0" xfId="0" applyFont="1" applyFill="1" applyAlignment="1">
      <alignment vertical="top"/>
    </xf>
    <xf numFmtId="0" fontId="58" fillId="3" borderId="26" xfId="0" applyFont="1" applyFill="1" applyBorder="1"/>
    <xf numFmtId="0" fontId="58" fillId="3" borderId="27" xfId="0" applyFont="1" applyFill="1" applyBorder="1"/>
    <xf numFmtId="3" fontId="58" fillId="52" borderId="25" xfId="0" applyNumberFormat="1" applyFont="1" applyFill="1" applyBorder="1" applyAlignment="1">
      <alignment horizontal="right"/>
    </xf>
    <xf numFmtId="3" fontId="94" fillId="52" borderId="31" xfId="0" applyNumberFormat="1" applyFont="1" applyFill="1" applyBorder="1" applyAlignment="1">
      <alignment horizontal="right"/>
    </xf>
    <xf numFmtId="0" fontId="55" fillId="48" borderId="45" xfId="0" applyFont="1" applyFill="1" applyBorder="1" applyAlignment="1">
      <alignment horizontal="center" vertical="center" wrapText="1"/>
    </xf>
    <xf numFmtId="3" fontId="93" fillId="57" borderId="25" xfId="0" applyNumberFormat="1" applyFont="1" applyFill="1" applyBorder="1" applyAlignment="1">
      <alignment horizontal="right"/>
    </xf>
    <xf numFmtId="0" fontId="79" fillId="0" borderId="0" xfId="6" applyFont="1" applyAlignment="1">
      <alignment horizontal="left" vertical="center"/>
    </xf>
    <xf numFmtId="3" fontId="79" fillId="0" borderId="0" xfId="6" applyNumberFormat="1" applyFont="1" applyAlignment="1">
      <alignment horizontal="center" vertical="center"/>
    </xf>
    <xf numFmtId="0" fontId="1" fillId="41" borderId="0" xfId="0" applyFont="1" applyFill="1" applyAlignment="1">
      <alignment vertical="center"/>
    </xf>
    <xf numFmtId="0" fontId="0" fillId="41" borderId="0" xfId="0" applyFill="1" applyAlignment="1">
      <alignment vertical="center"/>
    </xf>
    <xf numFmtId="4" fontId="0" fillId="41" borderId="4" xfId="0" applyNumberFormat="1" applyFill="1" applyBorder="1"/>
    <xf numFmtId="3" fontId="58" fillId="41" borderId="0" xfId="5" applyNumberFormat="1" applyFont="1" applyFill="1" applyAlignment="1">
      <alignment horizontal="center"/>
    </xf>
    <xf numFmtId="0" fontId="0" fillId="41" borderId="0" xfId="0" applyFill="1" applyAlignment="1">
      <alignment horizontal="center"/>
    </xf>
    <xf numFmtId="166" fontId="0" fillId="41" borderId="0" xfId="0" applyNumberFormat="1" applyFill="1"/>
    <xf numFmtId="3" fontId="94" fillId="63" borderId="31" xfId="0" applyNumberFormat="1" applyFont="1" applyFill="1" applyBorder="1" applyAlignment="1">
      <alignment horizontal="right"/>
    </xf>
    <xf numFmtId="3" fontId="93" fillId="63" borderId="0" xfId="0" applyNumberFormat="1" applyFont="1" applyFill="1" applyAlignment="1">
      <alignment horizontal="right"/>
    </xf>
    <xf numFmtId="3" fontId="93" fillId="63" borderId="25" xfId="0" applyNumberFormat="1" applyFont="1" applyFill="1" applyBorder="1" applyAlignment="1">
      <alignment horizontal="right"/>
    </xf>
    <xf numFmtId="3" fontId="94" fillId="63" borderId="35" xfId="0" applyNumberFormat="1" applyFont="1" applyFill="1" applyBorder="1" applyAlignment="1">
      <alignment horizontal="right"/>
    </xf>
    <xf numFmtId="3" fontId="93" fillId="63" borderId="28" xfId="0" applyNumberFormat="1" applyFont="1" applyFill="1" applyBorder="1" applyAlignment="1">
      <alignment horizontal="right"/>
    </xf>
    <xf numFmtId="3" fontId="94" fillId="63" borderId="25" xfId="0" applyNumberFormat="1" applyFont="1" applyFill="1" applyBorder="1" applyAlignment="1">
      <alignment horizontal="right"/>
    </xf>
    <xf numFmtId="3" fontId="94" fillId="63" borderId="0" xfId="0" applyNumberFormat="1" applyFont="1" applyFill="1" applyAlignment="1">
      <alignment horizontal="right"/>
    </xf>
    <xf numFmtId="1" fontId="58" fillId="46" borderId="0" xfId="0" applyNumberFormat="1" applyFont="1" applyFill="1" applyAlignment="1">
      <alignment vertical="center"/>
    </xf>
    <xf numFmtId="1" fontId="11" fillId="64" borderId="0" xfId="0" applyNumberFormat="1" applyFont="1" applyFill="1" applyAlignment="1">
      <alignment vertical="center"/>
    </xf>
    <xf numFmtId="3" fontId="11" fillId="64" borderId="0" xfId="0" applyNumberFormat="1" applyFont="1" applyFill="1" applyAlignment="1">
      <alignment vertical="center"/>
    </xf>
    <xf numFmtId="1" fontId="58" fillId="64" borderId="0" xfId="0" applyNumberFormat="1" applyFont="1" applyFill="1" applyAlignment="1">
      <alignment vertical="center"/>
    </xf>
    <xf numFmtId="0" fontId="0" fillId="0" borderId="0" xfId="5" applyFont="1"/>
    <xf numFmtId="0" fontId="0" fillId="0" borderId="0" xfId="5" applyFont="1" applyAlignment="1">
      <alignment vertical="top"/>
    </xf>
    <xf numFmtId="9" fontId="58" fillId="41" borderId="0" xfId="1" applyFont="1" applyFill="1" applyAlignment="1">
      <alignment vertical="top" wrapText="1"/>
    </xf>
    <xf numFmtId="9" fontId="58" fillId="41" borderId="0" xfId="1" applyFont="1" applyFill="1" applyAlignment="1">
      <alignment horizontal="right"/>
    </xf>
    <xf numFmtId="3" fontId="1" fillId="9" borderId="0" xfId="0" applyNumberFormat="1" applyFont="1" applyFill="1"/>
    <xf numFmtId="3" fontId="60" fillId="0" borderId="0" xfId="0" applyNumberFormat="1" applyFont="1" applyAlignment="1">
      <alignment horizontal="right"/>
    </xf>
    <xf numFmtId="170" fontId="14" fillId="0" borderId="0" xfId="5" applyNumberFormat="1" applyFont="1" applyAlignment="1">
      <alignment horizontal="right"/>
    </xf>
    <xf numFmtId="170" fontId="11" fillId="52" borderId="0" xfId="5" applyNumberFormat="1" applyFont="1" applyFill="1" applyAlignment="1">
      <alignment horizontal="center" vertical="center"/>
    </xf>
    <xf numFmtId="9" fontId="0" fillId="45" borderId="0" xfId="1" applyFont="1" applyFill="1" applyAlignment="1">
      <alignment horizontal="center"/>
    </xf>
    <xf numFmtId="9" fontId="79" fillId="45" borderId="0" xfId="1" applyFont="1" applyFill="1" applyAlignment="1">
      <alignment horizontal="center"/>
    </xf>
    <xf numFmtId="0" fontId="14" fillId="0" borderId="0" xfId="0" applyFont="1" applyAlignment="1">
      <alignment horizontal="left"/>
    </xf>
    <xf numFmtId="0" fontId="55" fillId="0" borderId="0" xfId="0" applyFont="1" applyAlignment="1">
      <alignment horizontal="left" vertical="center" wrapText="1"/>
    </xf>
    <xf numFmtId="0" fontId="0" fillId="53" borderId="4" xfId="0" applyFill="1" applyBorder="1" applyAlignment="1">
      <alignment horizontal="left" vertical="top"/>
    </xf>
    <xf numFmtId="0" fontId="14" fillId="0" borderId="0" xfId="0" applyFont="1" applyAlignment="1">
      <alignment horizontal="left" vertical="top"/>
    </xf>
    <xf numFmtId="0" fontId="58" fillId="53" borderId="4" xfId="0" applyFont="1" applyFill="1" applyBorder="1" applyAlignment="1">
      <alignment horizontal="left" vertical="top"/>
    </xf>
    <xf numFmtId="0" fontId="60" fillId="0" borderId="0" xfId="0" applyFont="1" applyAlignment="1">
      <alignment horizontal="left" vertical="top"/>
    </xf>
    <xf numFmtId="0" fontId="79" fillId="0" borderId="0" xfId="0" applyFont="1" applyAlignment="1">
      <alignment horizontal="left"/>
    </xf>
    <xf numFmtId="0" fontId="79" fillId="53" borderId="0" xfId="0" applyFont="1" applyFill="1" applyAlignment="1">
      <alignment horizontal="left"/>
    </xf>
    <xf numFmtId="0" fontId="79" fillId="53" borderId="4" xfId="0" applyFont="1" applyFill="1" applyBorder="1" applyAlignment="1">
      <alignment horizontal="left" vertical="top"/>
    </xf>
    <xf numFmtId="0" fontId="59" fillId="0" borderId="0" xfId="0" applyFont="1" applyAlignment="1">
      <alignment horizontal="left" vertical="top"/>
    </xf>
    <xf numFmtId="9" fontId="0" fillId="41" borderId="0" xfId="1" applyFont="1" applyFill="1"/>
    <xf numFmtId="9" fontId="79" fillId="41" borderId="0" xfId="1" applyFont="1" applyFill="1"/>
    <xf numFmtId="0" fontId="79" fillId="62" borderId="0" xfId="0" applyFont="1" applyFill="1" applyAlignment="1">
      <alignment vertical="top"/>
    </xf>
    <xf numFmtId="0" fontId="79" fillId="62" borderId="4" xfId="0" applyFont="1" applyFill="1" applyBorder="1" applyAlignment="1">
      <alignment vertical="top"/>
    </xf>
    <xf numFmtId="3" fontId="59" fillId="0" borderId="0" xfId="0" applyNumberFormat="1" applyFont="1" applyAlignment="1">
      <alignment vertical="top"/>
    </xf>
    <xf numFmtId="3" fontId="79" fillId="62" borderId="4" xfId="0" applyNumberFormat="1" applyFont="1" applyFill="1" applyBorder="1" applyAlignment="1">
      <alignment vertical="top"/>
    </xf>
    <xf numFmtId="3" fontId="79" fillId="0" borderId="0" xfId="0" applyNumberFormat="1" applyFont="1" applyAlignment="1">
      <alignment horizontal="right" vertical="center"/>
    </xf>
    <xf numFmtId="1" fontId="0" fillId="53" borderId="0" xfId="5" applyNumberFormat="1" applyFont="1" applyFill="1"/>
    <xf numFmtId="1" fontId="0" fillId="53" borderId="0" xfId="5" applyNumberFormat="1" applyFont="1" applyFill="1" applyAlignment="1">
      <alignment vertical="top"/>
    </xf>
    <xf numFmtId="0" fontId="1" fillId="53" borderId="37" xfId="0" applyFont="1" applyFill="1" applyBorder="1"/>
    <xf numFmtId="0" fontId="58" fillId="53" borderId="37" xfId="0" applyFont="1" applyFill="1" applyBorder="1" applyAlignment="1">
      <alignment horizontal="left"/>
    </xf>
    <xf numFmtId="3" fontId="1" fillId="42" borderId="37" xfId="0" applyNumberFormat="1" applyFont="1" applyFill="1" applyBorder="1"/>
    <xf numFmtId="0" fontId="98" fillId="0" borderId="0" xfId="0" applyFont="1"/>
    <xf numFmtId="0" fontId="61" fillId="0" borderId="0" xfId="0" quotePrefix="1" applyFont="1" applyAlignment="1">
      <alignment horizontal="center" wrapText="1"/>
    </xf>
    <xf numFmtId="0" fontId="58" fillId="53" borderId="37" xfId="5" applyFont="1" applyFill="1" applyBorder="1"/>
    <xf numFmtId="0" fontId="71" fillId="45" borderId="37" xfId="6" applyFont="1" applyFill="1" applyBorder="1" applyAlignment="1">
      <alignment horizontal="left" vertical="center"/>
    </xf>
    <xf numFmtId="0" fontId="71" fillId="45" borderId="37" xfId="6" applyFont="1" applyFill="1" applyBorder="1" applyAlignment="1">
      <alignment horizontal="center" vertical="center"/>
    </xf>
    <xf numFmtId="3" fontId="56" fillId="64" borderId="0" xfId="6" applyNumberFormat="1" applyFont="1" applyFill="1" applyAlignment="1">
      <alignment horizontal="center" vertical="center"/>
    </xf>
    <xf numFmtId="3" fontId="57" fillId="9" borderId="0" xfId="0" applyNumberFormat="1" applyFont="1" applyFill="1" applyAlignment="1">
      <alignment horizontal="right" vertical="center"/>
    </xf>
    <xf numFmtId="3" fontId="57" fillId="42" borderId="0" xfId="0" applyNumberFormat="1" applyFont="1" applyFill="1" applyAlignment="1">
      <alignment horizontal="right" vertical="center"/>
    </xf>
    <xf numFmtId="0" fontId="61" fillId="2" borderId="0" xfId="0" quotePrefix="1" applyFont="1" applyFill="1" applyAlignment="1">
      <alignment horizontal="left" vertical="top" wrapText="1"/>
    </xf>
    <xf numFmtId="0" fontId="61" fillId="2" borderId="0" xfId="0" quotePrefix="1" applyFont="1" applyFill="1" applyAlignment="1">
      <alignment horizontal="center" vertical="top" wrapText="1"/>
    </xf>
    <xf numFmtId="0" fontId="1" fillId="4" borderId="0" xfId="0" applyFont="1" applyFill="1" applyAlignment="1">
      <alignment vertical="top"/>
    </xf>
    <xf numFmtId="2" fontId="1" fillId="6" borderId="0" xfId="0" applyNumberFormat="1" applyFont="1" applyFill="1" applyAlignment="1">
      <alignment vertical="top"/>
    </xf>
    <xf numFmtId="0" fontId="62" fillId="5" borderId="0" xfId="0" quotePrefix="1" applyFont="1" applyFill="1"/>
    <xf numFmtId="0" fontId="55" fillId="48" borderId="0" xfId="0" applyFont="1" applyFill="1" applyAlignment="1">
      <alignment horizontal="center" vertical="center" wrapText="1"/>
    </xf>
    <xf numFmtId="0" fontId="0" fillId="53" borderId="0" xfId="5" applyFont="1" applyFill="1" applyAlignment="1">
      <alignment vertical="top"/>
    </xf>
    <xf numFmtId="0" fontId="1" fillId="0" borderId="0" xfId="5" applyFont="1" applyAlignment="1">
      <alignment vertical="center"/>
    </xf>
    <xf numFmtId="0" fontId="61" fillId="2" borderId="0" xfId="5" quotePrefix="1" applyFont="1" applyFill="1" applyAlignment="1">
      <alignment horizontal="left" vertical="center"/>
    </xf>
    <xf numFmtId="1" fontId="57" fillId="53" borderId="0" xfId="0" applyNumberFormat="1" applyFont="1" applyFill="1" applyAlignment="1">
      <alignment horizontal="right" vertical="center"/>
    </xf>
    <xf numFmtId="0" fontId="1" fillId="53" borderId="0" xfId="5" applyFont="1" applyFill="1" applyAlignment="1">
      <alignment horizontal="right" vertical="center"/>
    </xf>
    <xf numFmtId="3" fontId="94" fillId="65" borderId="35" xfId="0" applyNumberFormat="1" applyFont="1" applyFill="1" applyBorder="1" applyAlignment="1">
      <alignment horizontal="right"/>
    </xf>
    <xf numFmtId="3" fontId="58" fillId="64" borderId="0" xfId="0" applyNumberFormat="1" applyFont="1" applyFill="1" applyAlignment="1">
      <alignment vertical="center"/>
    </xf>
    <xf numFmtId="3" fontId="93" fillId="65" borderId="27" xfId="0" applyNumberFormat="1" applyFont="1" applyFill="1" applyBorder="1" applyAlignment="1">
      <alignment horizontal="right"/>
    </xf>
    <xf numFmtId="3" fontId="93" fillId="57" borderId="28" xfId="0" applyNumberFormat="1" applyFont="1" applyFill="1" applyBorder="1" applyAlignment="1">
      <alignment horizontal="right"/>
    </xf>
    <xf numFmtId="172" fontId="0" fillId="58" borderId="0" xfId="0" applyNumberFormat="1" applyFill="1"/>
    <xf numFmtId="170" fontId="1" fillId="0" borderId="0" xfId="5" applyNumberFormat="1" applyFont="1"/>
    <xf numFmtId="170" fontId="14" fillId="0" borderId="0" xfId="5" applyNumberFormat="1" applyFont="1" applyAlignment="1">
      <alignment horizontal="center" vertical="center"/>
    </xf>
    <xf numFmtId="170" fontId="1" fillId="0" borderId="0" xfId="5" applyNumberFormat="1" applyFont="1" applyAlignment="1">
      <alignment vertical="top"/>
    </xf>
    <xf numFmtId="172" fontId="14" fillId="0" borderId="0" xfId="5" applyNumberFormat="1" applyFont="1" applyAlignment="1">
      <alignment horizontal="center"/>
    </xf>
    <xf numFmtId="170" fontId="60" fillId="0" borderId="0" xfId="5" applyNumberFormat="1" applyFont="1" applyAlignment="1">
      <alignment horizontal="center"/>
    </xf>
    <xf numFmtId="0" fontId="58" fillId="53" borderId="37" xfId="5" applyFont="1" applyFill="1" applyBorder="1" applyAlignment="1">
      <alignment horizontal="left"/>
    </xf>
    <xf numFmtId="0" fontId="58" fillId="53" borderId="37" xfId="5" applyFont="1" applyFill="1" applyBorder="1" applyAlignment="1">
      <alignment vertical="top"/>
    </xf>
    <xf numFmtId="0" fontId="11" fillId="45" borderId="37" xfId="6" applyFont="1" applyFill="1" applyBorder="1" applyAlignment="1">
      <alignment horizontal="center" vertical="center"/>
    </xf>
    <xf numFmtId="0" fontId="71" fillId="45" borderId="47" xfId="6" applyFont="1" applyFill="1" applyBorder="1" applyAlignment="1">
      <alignment horizontal="left" vertical="center"/>
    </xf>
    <xf numFmtId="0" fontId="11" fillId="45" borderId="47" xfId="6" applyFont="1" applyFill="1" applyBorder="1" applyAlignment="1">
      <alignment horizontal="center" vertical="center"/>
    </xf>
    <xf numFmtId="0" fontId="58" fillId="53" borderId="38" xfId="5" applyFont="1" applyFill="1" applyBorder="1" applyAlignment="1">
      <alignment horizontal="left"/>
    </xf>
    <xf numFmtId="0" fontId="58" fillId="53" borderId="38" xfId="5" applyFont="1" applyFill="1" applyBorder="1" applyAlignment="1">
      <alignment vertical="top"/>
    </xf>
    <xf numFmtId="170" fontId="14" fillId="3" borderId="0" xfId="0" applyNumberFormat="1" applyFont="1" applyFill="1"/>
    <xf numFmtId="179" fontId="0" fillId="0" borderId="0" xfId="0" applyNumberFormat="1" applyAlignment="1">
      <alignment vertical="center"/>
    </xf>
    <xf numFmtId="185" fontId="0" fillId="0" borderId="0" xfId="0" applyNumberFormat="1" applyAlignment="1">
      <alignment vertical="center"/>
    </xf>
    <xf numFmtId="3" fontId="94" fillId="57" borderId="25" xfId="0" applyNumberFormat="1" applyFont="1" applyFill="1" applyBorder="1" applyAlignment="1">
      <alignment horizontal="right"/>
    </xf>
    <xf numFmtId="170" fontId="1" fillId="9" borderId="0" xfId="0" applyNumberFormat="1" applyFont="1" applyFill="1"/>
    <xf numFmtId="4" fontId="1" fillId="9" borderId="0" xfId="0" applyNumberFormat="1" applyFont="1" applyFill="1"/>
    <xf numFmtId="170" fontId="58" fillId="0" borderId="0" xfId="0" applyNumberFormat="1" applyFont="1" applyAlignment="1">
      <alignment horizontal="right"/>
    </xf>
    <xf numFmtId="2" fontId="1" fillId="0" borderId="0" xfId="5" applyNumberFormat="1" applyFont="1" applyAlignment="1">
      <alignment horizontal="center"/>
    </xf>
    <xf numFmtId="4" fontId="60" fillId="0" borderId="0" xfId="0" applyNumberFormat="1" applyFont="1" applyAlignment="1">
      <alignment horizontal="center"/>
    </xf>
    <xf numFmtId="3" fontId="93" fillId="52" borderId="0" xfId="0" applyNumberFormat="1" applyFont="1" applyFill="1" applyAlignment="1">
      <alignment horizontal="right"/>
    </xf>
    <xf numFmtId="0" fontId="61" fillId="0" borderId="0" xfId="5" quotePrefix="1" applyFont="1" applyAlignment="1">
      <alignment horizontal="left"/>
    </xf>
    <xf numFmtId="10" fontId="0" fillId="41" borderId="0" xfId="1" applyNumberFormat="1" applyFont="1" applyFill="1" applyAlignment="1">
      <alignment horizontal="right" vertical="center"/>
    </xf>
    <xf numFmtId="170" fontId="57" fillId="9" borderId="0" xfId="0" applyNumberFormat="1" applyFont="1" applyFill="1" applyAlignment="1">
      <alignment horizontal="right" vertical="center"/>
    </xf>
    <xf numFmtId="170" fontId="57" fillId="9" borderId="37" xfId="0" applyNumberFormat="1" applyFont="1" applyFill="1" applyBorder="1" applyAlignment="1">
      <alignment horizontal="right" vertical="center"/>
    </xf>
    <xf numFmtId="3" fontId="61" fillId="0" borderId="0" xfId="0" quotePrefix="1" applyNumberFormat="1" applyFont="1" applyAlignment="1">
      <alignment horizontal="center" wrapText="1"/>
    </xf>
    <xf numFmtId="4" fontId="1" fillId="0" borderId="0" xfId="5" applyNumberFormat="1" applyFont="1" applyAlignment="1">
      <alignment horizontal="center"/>
    </xf>
    <xf numFmtId="172" fontId="57" fillId="9" borderId="0" xfId="0" applyNumberFormat="1" applyFont="1" applyFill="1" applyAlignment="1">
      <alignment horizontal="right" vertical="center"/>
    </xf>
    <xf numFmtId="3" fontId="58" fillId="52" borderId="28" xfId="0" applyNumberFormat="1" applyFont="1" applyFill="1" applyBorder="1" applyAlignment="1">
      <alignment horizontal="right"/>
    </xf>
    <xf numFmtId="170" fontId="60" fillId="0" borderId="0" xfId="5" applyNumberFormat="1" applyFont="1" applyAlignment="1">
      <alignment horizontal="center" vertical="center"/>
    </xf>
    <xf numFmtId="0" fontId="60" fillId="53" borderId="0" xfId="5" applyFont="1" applyFill="1" applyAlignment="1">
      <alignment vertical="top" wrapText="1"/>
    </xf>
    <xf numFmtId="3" fontId="58" fillId="53" borderId="0" xfId="0" applyNumberFormat="1" applyFont="1" applyFill="1" applyAlignment="1">
      <alignment vertical="top"/>
    </xf>
    <xf numFmtId="172" fontId="58" fillId="58" borderId="0" xfId="0" applyNumberFormat="1" applyFont="1" applyFill="1"/>
    <xf numFmtId="0" fontId="60" fillId="53" borderId="0" xfId="5" applyFont="1" applyFill="1" applyAlignment="1">
      <alignment wrapText="1"/>
    </xf>
    <xf numFmtId="170" fontId="58" fillId="58" borderId="0" xfId="0" applyNumberFormat="1" applyFont="1" applyFill="1"/>
    <xf numFmtId="0" fontId="60" fillId="53" borderId="4" xfId="5" applyFont="1" applyFill="1" applyBorder="1" applyAlignment="1">
      <alignment wrapText="1"/>
    </xf>
    <xf numFmtId="0" fontId="58" fillId="0" borderId="4" xfId="5" applyFont="1" applyBorder="1"/>
    <xf numFmtId="3" fontId="58" fillId="46" borderId="0" xfId="0" applyNumberFormat="1" applyFont="1" applyFill="1" applyAlignment="1">
      <alignment vertical="center"/>
    </xf>
    <xf numFmtId="0" fontId="61" fillId="0" borderId="0" xfId="0" applyFont="1"/>
    <xf numFmtId="9" fontId="1" fillId="58" borderId="0" xfId="1" applyFill="1"/>
    <xf numFmtId="0" fontId="0" fillId="53" borderId="0" xfId="5" applyFont="1" applyFill="1" applyAlignment="1">
      <alignment wrapText="1"/>
    </xf>
    <xf numFmtId="1" fontId="11" fillId="52" borderId="0" xfId="0" applyNumberFormat="1" applyFont="1" applyFill="1" applyAlignment="1">
      <alignment horizontal="center"/>
    </xf>
    <xf numFmtId="2" fontId="0" fillId="6" borderId="0" xfId="0" applyNumberFormat="1" applyFill="1"/>
    <xf numFmtId="179" fontId="60" fillId="0" borderId="0" xfId="0" applyNumberFormat="1" applyFont="1" applyAlignment="1">
      <alignment horizontal="center"/>
    </xf>
    <xf numFmtId="9" fontId="55" fillId="0" borderId="0" xfId="1" applyFont="1"/>
    <xf numFmtId="169" fontId="55" fillId="0" borderId="0" xfId="1" applyNumberFormat="1" applyFont="1"/>
    <xf numFmtId="170" fontId="62" fillId="0" borderId="0" xfId="5" applyNumberFormat="1" applyFont="1"/>
    <xf numFmtId="1" fontId="1" fillId="0" borderId="0" xfId="5" applyNumberFormat="1" applyFont="1" applyAlignment="1">
      <alignment horizontal="right"/>
    </xf>
    <xf numFmtId="166" fontId="1" fillId="0" borderId="0" xfId="5" applyNumberFormat="1" applyFont="1" applyAlignment="1">
      <alignment horizontal="right"/>
    </xf>
    <xf numFmtId="3" fontId="58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horizontal="right"/>
    </xf>
    <xf numFmtId="0" fontId="11" fillId="0" borderId="0" xfId="5" applyFont="1"/>
    <xf numFmtId="3" fontId="14" fillId="0" borderId="0" xfId="5" applyNumberFormat="1" applyFont="1" applyAlignment="1">
      <alignment horizontal="center"/>
    </xf>
    <xf numFmtId="1" fontId="11" fillId="0" borderId="0" xfId="0" applyNumberFormat="1" applyFont="1" applyAlignment="1">
      <alignment horizontal="center" vertical="top"/>
    </xf>
    <xf numFmtId="0" fontId="60" fillId="53" borderId="48" xfId="5" applyFont="1" applyFill="1" applyBorder="1" applyAlignment="1">
      <alignment horizontal="center" vertical="center"/>
    </xf>
    <xf numFmtId="1" fontId="62" fillId="0" borderId="50" xfId="0" applyNumberFormat="1" applyFont="1" applyBorder="1" applyAlignment="1">
      <alignment horizontal="center" vertical="top"/>
    </xf>
    <xf numFmtId="170" fontId="1" fillId="0" borderId="0" xfId="5" applyNumberFormat="1" applyFont="1" applyAlignment="1">
      <alignment horizontal="center"/>
    </xf>
    <xf numFmtId="170" fontId="57" fillId="42" borderId="0" xfId="0" applyNumberFormat="1" applyFont="1" applyFill="1" applyAlignment="1">
      <alignment horizontal="right" vertical="center"/>
    </xf>
    <xf numFmtId="170" fontId="1" fillId="58" borderId="0" xfId="0" applyNumberFormat="1" applyFont="1" applyFill="1" applyAlignment="1">
      <alignment horizontal="right" vertical="top"/>
    </xf>
    <xf numFmtId="170" fontId="0" fillId="58" borderId="0" xfId="0" applyNumberFormat="1" applyFill="1"/>
    <xf numFmtId="3" fontId="0" fillId="58" borderId="0" xfId="0" applyNumberFormat="1" applyFill="1"/>
    <xf numFmtId="0" fontId="60" fillId="0" borderId="0" xfId="5" applyFont="1" applyAlignment="1">
      <alignment horizontal="center" vertical="center"/>
    </xf>
    <xf numFmtId="166" fontId="11" fillId="3" borderId="0" xfId="0" applyNumberFormat="1" applyFont="1" applyFill="1" applyAlignment="1">
      <alignment horizontal="center"/>
    </xf>
    <xf numFmtId="1" fontId="62" fillId="0" borderId="0" xfId="0" applyNumberFormat="1" applyFont="1" applyAlignment="1">
      <alignment horizontal="center" vertical="top"/>
    </xf>
    <xf numFmtId="10" fontId="1" fillId="0" borderId="0" xfId="0" applyNumberFormat="1" applyFont="1"/>
    <xf numFmtId="0" fontId="0" fillId="58" borderId="0" xfId="0" applyFill="1"/>
    <xf numFmtId="166" fontId="0" fillId="58" borderId="0" xfId="0" applyNumberFormat="1" applyFill="1"/>
    <xf numFmtId="166" fontId="0" fillId="58" borderId="4" xfId="0" applyNumberFormat="1" applyFill="1" applyBorder="1"/>
    <xf numFmtId="1" fontId="0" fillId="58" borderId="0" xfId="0" applyNumberFormat="1" applyFill="1"/>
    <xf numFmtId="0" fontId="61" fillId="2" borderId="4" xfId="0" quotePrefix="1" applyFont="1" applyFill="1" applyBorder="1" applyAlignment="1">
      <alignment horizontal="left"/>
    </xf>
    <xf numFmtId="0" fontId="61" fillId="2" borderId="4" xfId="5" quotePrefix="1" applyFont="1" applyFill="1" applyBorder="1" applyAlignment="1">
      <alignment horizontal="left" wrapText="1"/>
    </xf>
    <xf numFmtId="0" fontId="61" fillId="2" borderId="4" xfId="0" quotePrefix="1" applyFont="1" applyFill="1" applyBorder="1" applyAlignment="1">
      <alignment horizontal="center"/>
    </xf>
    <xf numFmtId="170" fontId="58" fillId="0" borderId="0" xfId="5" applyNumberFormat="1" applyFont="1" applyAlignment="1">
      <alignment horizontal="right"/>
    </xf>
    <xf numFmtId="0" fontId="99" fillId="0" borderId="0" xfId="0" applyFont="1"/>
    <xf numFmtId="0" fontId="11" fillId="45" borderId="0" xfId="6" applyFont="1" applyFill="1" applyAlignment="1">
      <alignment horizontal="left" vertical="center"/>
    </xf>
    <xf numFmtId="0" fontId="11" fillId="53" borderId="37" xfId="5" applyFont="1" applyFill="1" applyBorder="1"/>
    <xf numFmtId="0" fontId="11" fillId="45" borderId="37" xfId="6" applyFont="1" applyFill="1" applyBorder="1" applyAlignment="1">
      <alignment horizontal="left" vertical="center"/>
    </xf>
    <xf numFmtId="3" fontId="11" fillId="0" borderId="0" xfId="5" applyNumberFormat="1" applyFont="1"/>
    <xf numFmtId="3" fontId="11" fillId="0" borderId="0" xfId="5" applyNumberFormat="1" applyFont="1" applyAlignment="1">
      <alignment horizontal="center"/>
    </xf>
    <xf numFmtId="0" fontId="11" fillId="53" borderId="0" xfId="5" applyFont="1" applyFill="1"/>
    <xf numFmtId="3" fontId="0" fillId="53" borderId="4" xfId="0" applyNumberFormat="1" applyFill="1" applyBorder="1"/>
    <xf numFmtId="1" fontId="0" fillId="53" borderId="4" xfId="5" applyNumberFormat="1" applyFont="1" applyFill="1" applyBorder="1"/>
    <xf numFmtId="4" fontId="1" fillId="49" borderId="0" xfId="0" applyNumberFormat="1" applyFont="1" applyFill="1"/>
    <xf numFmtId="4" fontId="1" fillId="49" borderId="4" xfId="0" applyNumberFormat="1" applyFont="1" applyFill="1" applyBorder="1"/>
    <xf numFmtId="0" fontId="62" fillId="0" borderId="0" xfId="5" applyFont="1" applyAlignment="1">
      <alignment wrapText="1"/>
    </xf>
    <xf numFmtId="3" fontId="11" fillId="0" borderId="0" xfId="0" applyNumberFormat="1" applyFont="1"/>
    <xf numFmtId="1" fontId="11" fillId="0" borderId="0" xfId="5" applyNumberFormat="1" applyFont="1"/>
    <xf numFmtId="0" fontId="11" fillId="0" borderId="0" xfId="5" applyFont="1" applyAlignment="1">
      <alignment horizontal="center"/>
    </xf>
    <xf numFmtId="168" fontId="11" fillId="0" borderId="0" xfId="5" applyNumberFormat="1" applyFont="1" applyAlignment="1">
      <alignment wrapText="1"/>
    </xf>
    <xf numFmtId="4" fontId="11" fillId="0" borderId="0" xfId="0" applyNumberFormat="1" applyFont="1"/>
    <xf numFmtId="4" fontId="58" fillId="41" borderId="0" xfId="5" applyNumberFormat="1" applyFont="1" applyFill="1" applyAlignment="1">
      <alignment horizontal="center"/>
    </xf>
    <xf numFmtId="4" fontId="0" fillId="53" borderId="0" xfId="0" applyNumberFormat="1" applyFill="1"/>
    <xf numFmtId="4" fontId="0" fillId="53" borderId="37" xfId="0" applyNumberFormat="1" applyFill="1" applyBorder="1"/>
    <xf numFmtId="172" fontId="58" fillId="41" borderId="0" xfId="5" applyNumberFormat="1" applyFont="1" applyFill="1" applyAlignment="1">
      <alignment horizontal="center"/>
    </xf>
    <xf numFmtId="172" fontId="0" fillId="53" borderId="0" xfId="0" applyNumberFormat="1" applyFill="1"/>
    <xf numFmtId="179" fontId="58" fillId="41" borderId="0" xfId="5" applyNumberFormat="1" applyFont="1" applyFill="1" applyAlignment="1">
      <alignment horizontal="center"/>
    </xf>
    <xf numFmtId="179" fontId="0" fillId="53" borderId="0" xfId="0" applyNumberFormat="1" applyFill="1"/>
    <xf numFmtId="4" fontId="58" fillId="53" borderId="0" xfId="0" applyNumberFormat="1" applyFont="1" applyFill="1"/>
    <xf numFmtId="4" fontId="58" fillId="53" borderId="37" xfId="0" applyNumberFormat="1" applyFont="1" applyFill="1" applyBorder="1"/>
    <xf numFmtId="4" fontId="58" fillId="41" borderId="37" xfId="5" applyNumberFormat="1" applyFont="1" applyFill="1" applyBorder="1" applyAlignment="1">
      <alignment horizontal="center"/>
    </xf>
    <xf numFmtId="4" fontId="11" fillId="53" borderId="0" xfId="0" applyNumberFormat="1" applyFont="1" applyFill="1"/>
    <xf numFmtId="4" fontId="11" fillId="53" borderId="37" xfId="0" applyNumberFormat="1" applyFont="1" applyFill="1" applyBorder="1"/>
    <xf numFmtId="4" fontId="58" fillId="53" borderId="38" xfId="0" applyNumberFormat="1" applyFont="1" applyFill="1" applyBorder="1"/>
    <xf numFmtId="4" fontId="58" fillId="58" borderId="0" xfId="1" applyNumberFormat="1" applyFont="1" applyFill="1"/>
    <xf numFmtId="2" fontId="58" fillId="58" borderId="0" xfId="1" applyNumberFormat="1" applyFont="1" applyFill="1"/>
    <xf numFmtId="4" fontId="58" fillId="58" borderId="0" xfId="0" applyNumberFormat="1" applyFont="1" applyFill="1"/>
    <xf numFmtId="4" fontId="1" fillId="58" borderId="0" xfId="0" applyNumberFormat="1" applyFont="1" applyFill="1" applyAlignment="1">
      <alignment horizontal="right" vertical="top"/>
    </xf>
    <xf numFmtId="4" fontId="11" fillId="58" borderId="0" xfId="0" applyNumberFormat="1" applyFont="1" applyFill="1" applyAlignment="1">
      <alignment horizontal="right" vertical="top"/>
    </xf>
    <xf numFmtId="166" fontId="0" fillId="46" borderId="0" xfId="0" applyNumberFormat="1" applyFill="1" applyAlignment="1">
      <alignment vertical="center"/>
    </xf>
    <xf numFmtId="170" fontId="0" fillId="42" borderId="0" xfId="0" applyNumberFormat="1" applyFill="1" applyAlignment="1">
      <alignment vertical="center"/>
    </xf>
    <xf numFmtId="3" fontId="0" fillId="41" borderId="0" xfId="0" applyNumberFormat="1" applyFill="1"/>
    <xf numFmtId="1" fontId="14" fillId="0" borderId="0" xfId="0" applyNumberFormat="1" applyFont="1" applyAlignment="1">
      <alignment vertical="top"/>
    </xf>
    <xf numFmtId="3" fontId="58" fillId="41" borderId="0" xfId="0" applyNumberFormat="1" applyFont="1" applyFill="1"/>
    <xf numFmtId="3" fontId="58" fillId="41" borderId="4" xfId="0" applyNumberFormat="1" applyFont="1" applyFill="1" applyBorder="1"/>
    <xf numFmtId="3" fontId="79" fillId="41" borderId="0" xfId="0" applyNumberFormat="1" applyFont="1" applyFill="1"/>
    <xf numFmtId="3" fontId="79" fillId="41" borderId="4" xfId="0" applyNumberFormat="1" applyFont="1" applyFill="1" applyBorder="1"/>
    <xf numFmtId="1" fontId="59" fillId="0" borderId="0" xfId="0" applyNumberFormat="1" applyFont="1" applyAlignment="1">
      <alignment vertical="top"/>
    </xf>
    <xf numFmtId="3" fontId="58" fillId="49" borderId="0" xfId="5" applyNumberFormat="1" applyFont="1" applyFill="1" applyAlignment="1">
      <alignment horizontal="right"/>
    </xf>
    <xf numFmtId="3" fontId="58" fillId="49" borderId="4" xfId="5" applyNumberFormat="1" applyFont="1" applyFill="1" applyBorder="1" applyAlignment="1">
      <alignment horizontal="right"/>
    </xf>
    <xf numFmtId="3" fontId="1" fillId="49" borderId="0" xfId="0" applyNumberFormat="1" applyFont="1" applyFill="1"/>
    <xf numFmtId="4" fontId="58" fillId="58" borderId="0" xfId="0" applyNumberFormat="1" applyFont="1" applyFill="1" applyAlignment="1">
      <alignment vertical="top"/>
    </xf>
    <xf numFmtId="170" fontId="58" fillId="58" borderId="0" xfId="0" applyNumberFormat="1" applyFont="1" applyFill="1" applyAlignment="1">
      <alignment vertical="top"/>
    </xf>
    <xf numFmtId="172" fontId="58" fillId="58" borderId="0" xfId="0" applyNumberFormat="1" applyFont="1" applyFill="1" applyAlignment="1">
      <alignment vertical="top"/>
    </xf>
    <xf numFmtId="1" fontId="0" fillId="0" borderId="0" xfId="0" applyNumberFormat="1"/>
    <xf numFmtId="3" fontId="58" fillId="49" borderId="0" xfId="5" applyNumberFormat="1" applyFont="1" applyFill="1" applyAlignment="1">
      <alignment horizontal="right" vertical="top"/>
    </xf>
    <xf numFmtId="3" fontId="58" fillId="49" borderId="4" xfId="5" applyNumberFormat="1" applyFont="1" applyFill="1" applyBorder="1" applyAlignment="1">
      <alignment horizontal="right" vertical="top"/>
    </xf>
    <xf numFmtId="4" fontId="0" fillId="58" borderId="0" xfId="0" applyNumberFormat="1" applyFill="1" applyAlignment="1">
      <alignment vertical="top"/>
    </xf>
    <xf numFmtId="167" fontId="11" fillId="51" borderId="4" xfId="0" quotePrefix="1" applyNumberFormat="1" applyFont="1" applyFill="1" applyBorder="1" applyAlignment="1">
      <alignment horizontal="left" vertical="top" wrapText="1"/>
    </xf>
    <xf numFmtId="170" fontId="91" fillId="61" borderId="0" xfId="0" applyNumberFormat="1" applyFont="1" applyFill="1" applyAlignment="1">
      <alignment vertical="center"/>
    </xf>
    <xf numFmtId="186" fontId="1" fillId="42" borderId="0" xfId="0" applyNumberFormat="1" applyFont="1" applyFill="1"/>
    <xf numFmtId="3" fontId="1" fillId="0" borderId="0" xfId="5" quotePrefix="1" applyNumberFormat="1" applyFont="1"/>
    <xf numFmtId="3" fontId="61" fillId="2" borderId="0" xfId="0" quotePrefix="1" applyNumberFormat="1" applyFont="1" applyFill="1" applyAlignment="1">
      <alignment horizontal="center" vertical="top" wrapText="1"/>
    </xf>
    <xf numFmtId="4" fontId="1" fillId="0" borderId="0" xfId="5" applyNumberFormat="1" applyFont="1"/>
    <xf numFmtId="3" fontId="61" fillId="2" borderId="0" xfId="0" quotePrefix="1" applyNumberFormat="1" applyFont="1" applyFill="1" applyAlignment="1">
      <alignment horizontal="center" vertical="top"/>
    </xf>
    <xf numFmtId="2" fontId="58" fillId="53" borderId="2" xfId="5" applyNumberFormat="1" applyFont="1" applyFill="1" applyBorder="1" applyAlignment="1">
      <alignment horizontal="right" vertical="center"/>
    </xf>
    <xf numFmtId="2" fontId="1" fillId="0" borderId="0" xfId="5" applyNumberFormat="1" applyFont="1"/>
    <xf numFmtId="2" fontId="1" fillId="0" borderId="0" xfId="5" applyNumberFormat="1" applyFont="1" applyAlignment="1">
      <alignment vertical="top"/>
    </xf>
    <xf numFmtId="0" fontId="61" fillId="2" borderId="49" xfId="0" quotePrefix="1" applyFont="1" applyFill="1" applyBorder="1" applyAlignment="1">
      <alignment horizontal="left"/>
    </xf>
    <xf numFmtId="166" fontId="1" fillId="0" borderId="0" xfId="5" applyNumberFormat="1" applyFont="1"/>
    <xf numFmtId="170" fontId="58" fillId="53" borderId="2" xfId="5" applyNumberFormat="1" applyFont="1" applyFill="1" applyBorder="1" applyAlignment="1">
      <alignment horizontal="right" vertical="center"/>
    </xf>
    <xf numFmtId="170" fontId="60" fillId="53" borderId="2" xfId="5" applyNumberFormat="1" applyFont="1" applyFill="1" applyBorder="1" applyAlignment="1">
      <alignment horizontal="right" vertical="center"/>
    </xf>
    <xf numFmtId="2" fontId="60" fillId="53" borderId="2" xfId="5" applyNumberFormat="1" applyFont="1" applyFill="1" applyBorder="1" applyAlignment="1">
      <alignment horizontal="right" vertical="center"/>
    </xf>
    <xf numFmtId="1" fontId="58" fillId="53" borderId="4" xfId="5" applyNumberFormat="1" applyFont="1" applyFill="1" applyBorder="1" applyAlignment="1">
      <alignment vertical="top"/>
    </xf>
    <xf numFmtId="168" fontId="58" fillId="53" borderId="4" xfId="5" applyNumberFormat="1" applyFont="1" applyFill="1" applyBorder="1" applyAlignment="1">
      <alignment vertical="top" wrapText="1"/>
    </xf>
    <xf numFmtId="3" fontId="1" fillId="0" borderId="0" xfId="5" quotePrefix="1" applyNumberFormat="1" applyFont="1" applyAlignment="1">
      <alignment vertical="top"/>
    </xf>
    <xf numFmtId="3" fontId="61" fillId="2" borderId="0" xfId="0" quotePrefix="1" applyNumberFormat="1" applyFont="1" applyFill="1" applyAlignment="1">
      <alignment horizontal="center"/>
    </xf>
    <xf numFmtId="4" fontId="58" fillId="53" borderId="2" xfId="5" applyNumberFormat="1" applyFont="1" applyFill="1" applyBorder="1" applyAlignment="1">
      <alignment horizontal="right" vertical="center"/>
    </xf>
    <xf numFmtId="3" fontId="60" fillId="53" borderId="2" xfId="5" applyNumberFormat="1" applyFont="1" applyFill="1" applyBorder="1" applyAlignment="1">
      <alignment horizontal="right" vertical="center"/>
    </xf>
    <xf numFmtId="3" fontId="58" fillId="53" borderId="2" xfId="5" applyNumberFormat="1" applyFont="1" applyFill="1" applyBorder="1" applyAlignment="1">
      <alignment horizontal="right" vertical="center"/>
    </xf>
    <xf numFmtId="0" fontId="58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166" fontId="1" fillId="0" borderId="0" xfId="5" applyNumberFormat="1" applyFont="1" applyAlignment="1">
      <alignment vertical="top"/>
    </xf>
    <xf numFmtId="4" fontId="60" fillId="53" borderId="2" xfId="5" applyNumberFormat="1" applyFont="1" applyFill="1" applyBorder="1" applyAlignment="1">
      <alignment horizontal="right" vertical="center"/>
    </xf>
    <xf numFmtId="170" fontId="1" fillId="3" borderId="0" xfId="0" applyNumberFormat="1" applyFont="1" applyFill="1"/>
    <xf numFmtId="0" fontId="14" fillId="3" borderId="0" xfId="5" applyFont="1" applyFill="1"/>
    <xf numFmtId="0" fontId="1" fillId="3" borderId="0" xfId="0" applyFont="1" applyFill="1"/>
    <xf numFmtId="2" fontId="1" fillId="3" borderId="0" xfId="5" applyNumberFormat="1" applyFont="1" applyFill="1"/>
    <xf numFmtId="0" fontId="1" fillId="3" borderId="0" xfId="5" applyFont="1" applyFill="1"/>
    <xf numFmtId="3" fontId="1" fillId="3" borderId="0" xfId="0" applyNumberFormat="1" applyFont="1" applyFill="1"/>
    <xf numFmtId="2" fontId="1" fillId="3" borderId="0" xfId="0" applyNumberFormat="1" applyFont="1" applyFill="1"/>
    <xf numFmtId="166" fontId="1" fillId="3" borderId="0" xfId="5" applyNumberFormat="1" applyFont="1" applyFill="1"/>
    <xf numFmtId="166" fontId="1" fillId="3" borderId="0" xfId="0" applyNumberFormat="1" applyFont="1" applyFill="1"/>
    <xf numFmtId="166" fontId="0" fillId="0" borderId="0" xfId="0" applyNumberFormat="1"/>
    <xf numFmtId="0" fontId="14" fillId="53" borderId="4" xfId="0" applyFont="1" applyFill="1" applyBorder="1" applyAlignment="1">
      <alignment vertical="top"/>
    </xf>
    <xf numFmtId="0" fontId="0" fillId="53" borderId="4" xfId="0" applyFill="1" applyBorder="1" applyAlignment="1">
      <alignment horizontal="center" vertical="top"/>
    </xf>
    <xf numFmtId="0" fontId="58" fillId="53" borderId="4" xfId="0" applyFont="1" applyFill="1" applyBorder="1" applyAlignment="1">
      <alignment vertical="top" wrapText="1"/>
    </xf>
    <xf numFmtId="166" fontId="0" fillId="58" borderId="4" xfId="0" applyNumberFormat="1" applyFill="1" applyBorder="1" applyAlignment="1">
      <alignment vertical="top"/>
    </xf>
    <xf numFmtId="0" fontId="58" fillId="53" borderId="0" xfId="0" applyFont="1" applyFill="1" applyAlignment="1">
      <alignment vertical="top"/>
    </xf>
    <xf numFmtId="0" fontId="14" fillId="53" borderId="0" xfId="0" applyFont="1" applyFill="1" applyAlignment="1">
      <alignment vertical="top" wrapText="1"/>
    </xf>
    <xf numFmtId="1" fontId="0" fillId="53" borderId="0" xfId="0" applyNumberFormat="1" applyFill="1" applyAlignment="1">
      <alignment vertical="top"/>
    </xf>
    <xf numFmtId="0" fontId="58" fillId="53" borderId="3" xfId="0" applyFont="1" applyFill="1" applyBorder="1" applyAlignment="1">
      <alignment horizontal="left" vertical="top"/>
    </xf>
    <xf numFmtId="168" fontId="58" fillId="53" borderId="3" xfId="0" applyNumberFormat="1" applyFont="1" applyFill="1" applyBorder="1" applyAlignment="1">
      <alignment vertical="top" wrapText="1"/>
    </xf>
    <xf numFmtId="0" fontId="0" fillId="58" borderId="0" xfId="0" applyFill="1" applyAlignment="1">
      <alignment vertical="top"/>
    </xf>
    <xf numFmtId="0" fontId="14" fillId="53" borderId="0" xfId="0" applyFont="1" applyFill="1" applyAlignment="1">
      <alignment vertical="top"/>
    </xf>
    <xf numFmtId="0" fontId="0" fillId="53" borderId="0" xfId="0" applyFill="1" applyAlignment="1">
      <alignment horizontal="center" vertical="top"/>
    </xf>
    <xf numFmtId="0" fontId="58" fillId="53" borderId="0" xfId="0" applyFont="1" applyFill="1" applyAlignment="1">
      <alignment vertical="top" wrapText="1"/>
    </xf>
    <xf numFmtId="1" fontId="0" fillId="58" borderId="0" xfId="0" applyNumberFormat="1" applyFill="1" applyAlignment="1">
      <alignment vertical="top"/>
    </xf>
    <xf numFmtId="0" fontId="58" fillId="53" borderId="4" xfId="0" applyFont="1" applyFill="1" applyBorder="1" applyAlignment="1">
      <alignment vertical="top"/>
    </xf>
    <xf numFmtId="0" fontId="58" fillId="0" borderId="0" xfId="6" applyFont="1" applyAlignment="1">
      <alignment vertical="top"/>
    </xf>
    <xf numFmtId="0" fontId="0" fillId="0" borderId="0" xfId="0" applyAlignment="1">
      <alignment horizontal="center" vertical="top"/>
    </xf>
    <xf numFmtId="3" fontId="61" fillId="2" borderId="0" xfId="0" quotePrefix="1" applyNumberFormat="1" applyFont="1" applyFill="1" applyAlignment="1">
      <alignment horizontal="left" vertical="top" wrapText="1"/>
    </xf>
    <xf numFmtId="0" fontId="60" fillId="53" borderId="2" xfId="5" applyFont="1" applyFill="1" applyBorder="1" applyAlignment="1">
      <alignment horizontal="left" vertical="center"/>
    </xf>
    <xf numFmtId="3" fontId="93" fillId="57" borderId="31" xfId="0" applyNumberFormat="1" applyFont="1" applyFill="1" applyBorder="1" applyAlignment="1">
      <alignment horizontal="right"/>
    </xf>
    <xf numFmtId="179" fontId="1" fillId="58" borderId="0" xfId="0" applyNumberFormat="1" applyFont="1" applyFill="1"/>
    <xf numFmtId="167" fontId="0" fillId="49" borderId="4" xfId="0" applyNumberFormat="1" applyFill="1" applyBorder="1" applyAlignment="1">
      <alignment vertical="center"/>
    </xf>
    <xf numFmtId="0" fontId="58" fillId="3" borderId="51" xfId="0" applyFont="1" applyFill="1" applyBorder="1" applyAlignment="1">
      <alignment vertical="top"/>
    </xf>
    <xf numFmtId="0" fontId="58" fillId="3" borderId="4" xfId="0" applyFont="1" applyFill="1" applyBorder="1" applyAlignment="1">
      <alignment vertical="top"/>
    </xf>
    <xf numFmtId="3" fontId="94" fillId="57" borderId="52" xfId="0" applyNumberFormat="1" applyFont="1" applyFill="1" applyBorder="1" applyAlignment="1">
      <alignment horizontal="right"/>
    </xf>
    <xf numFmtId="0" fontId="100" fillId="0" borderId="0" xfId="0" quotePrefix="1" applyFont="1"/>
    <xf numFmtId="0" fontId="101" fillId="0" borderId="0" xfId="0" applyFont="1" applyAlignment="1">
      <alignment horizontal="right" vertical="center"/>
    </xf>
    <xf numFmtId="0" fontId="101" fillId="0" borderId="0" xfId="0" applyFont="1"/>
    <xf numFmtId="0" fontId="100" fillId="0" borderId="0" xfId="0" quotePrefix="1" applyFont="1" applyAlignment="1">
      <alignment horizontal="left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100" fillId="0" borderId="0" xfId="0" applyFont="1" applyAlignment="1">
      <alignment horizontal="left" vertical="center"/>
    </xf>
    <xf numFmtId="0" fontId="100" fillId="2" borderId="0" xfId="0" applyFont="1" applyFill="1" applyAlignment="1">
      <alignment horizontal="right" vertical="center"/>
    </xf>
    <xf numFmtId="0" fontId="100" fillId="2" borderId="0" xfId="0" applyFont="1" applyFill="1" applyAlignment="1">
      <alignment horizontal="center" vertical="center"/>
    </xf>
    <xf numFmtId="9" fontId="101" fillId="52" borderId="0" xfId="1" applyFont="1" applyFill="1" applyAlignment="1">
      <alignment horizontal="right" vertical="center"/>
    </xf>
    <xf numFmtId="9" fontId="101" fillId="41" borderId="0" xfId="1" applyFont="1" applyFill="1" applyAlignment="1">
      <alignment horizontal="right" vertical="center"/>
    </xf>
    <xf numFmtId="0" fontId="100" fillId="2" borderId="0" xfId="0" applyFont="1" applyFill="1" applyAlignment="1">
      <alignment horizontal="left" vertical="center"/>
    </xf>
    <xf numFmtId="3" fontId="102" fillId="57" borderId="0" xfId="0" applyNumberFormat="1" applyFont="1" applyFill="1"/>
    <xf numFmtId="1" fontId="101" fillId="52" borderId="0" xfId="0" applyNumberFormat="1" applyFont="1" applyFill="1" applyAlignment="1">
      <alignment horizontal="right" vertical="center"/>
    </xf>
    <xf numFmtId="9" fontId="101" fillId="45" borderId="0" xfId="1" applyFont="1" applyFill="1" applyAlignment="1">
      <alignment horizontal="center"/>
    </xf>
    <xf numFmtId="9" fontId="101" fillId="41" borderId="0" xfId="1" applyFont="1" applyFill="1"/>
    <xf numFmtId="3" fontId="103" fillId="57" borderId="0" xfId="0" applyNumberFormat="1" applyFont="1" applyFill="1"/>
    <xf numFmtId="1" fontId="101" fillId="52" borderId="4" xfId="0" applyNumberFormat="1" applyFont="1" applyFill="1" applyBorder="1" applyAlignment="1">
      <alignment horizontal="right" vertical="center"/>
    </xf>
    <xf numFmtId="3" fontId="101" fillId="0" borderId="0" xfId="0" applyNumberFormat="1" applyFont="1" applyAlignment="1">
      <alignment horizontal="right" vertical="center"/>
    </xf>
    <xf numFmtId="3" fontId="102" fillId="63" borderId="0" xfId="0" applyNumberFormat="1" applyFont="1" applyFill="1" applyAlignment="1">
      <alignment horizontal="right"/>
    </xf>
    <xf numFmtId="3" fontId="102" fillId="63" borderId="4" xfId="0" applyNumberFormat="1" applyFont="1" applyFill="1" applyBorder="1" applyAlignment="1">
      <alignment horizontal="right"/>
    </xf>
    <xf numFmtId="0" fontId="101" fillId="52" borderId="0" xfId="0" applyFont="1" applyFill="1" applyAlignment="1">
      <alignment horizontal="right" vertical="center"/>
    </xf>
    <xf numFmtId="0" fontId="102" fillId="57" borderId="4" xfId="0" applyFont="1" applyFill="1" applyBorder="1"/>
    <xf numFmtId="0" fontId="101" fillId="52" borderId="4" xfId="0" applyFont="1" applyFill="1" applyBorder="1" applyAlignment="1">
      <alignment horizontal="right" vertical="center"/>
    </xf>
    <xf numFmtId="1" fontId="101" fillId="0" borderId="0" xfId="0" applyNumberFormat="1" applyFont="1" applyAlignment="1">
      <alignment horizontal="right" vertical="center"/>
    </xf>
    <xf numFmtId="2" fontId="101" fillId="0" borderId="0" xfId="0" applyNumberFormat="1" applyFont="1" applyAlignment="1">
      <alignment horizontal="center"/>
    </xf>
    <xf numFmtId="0" fontId="100" fillId="0" borderId="0" xfId="0" applyFont="1"/>
    <xf numFmtId="1" fontId="101" fillId="0" borderId="0" xfId="0" applyNumberFormat="1" applyFont="1"/>
    <xf numFmtId="0" fontId="100" fillId="0" borderId="0" xfId="0" applyFont="1" applyAlignment="1">
      <alignment horizontal="right" vertical="center"/>
    </xf>
    <xf numFmtId="1" fontId="102" fillId="57" borderId="0" xfId="0" applyNumberFormat="1" applyFont="1" applyFill="1"/>
    <xf numFmtId="1" fontId="102" fillId="57" borderId="4" xfId="0" applyNumberFormat="1" applyFont="1" applyFill="1" applyBorder="1"/>
    <xf numFmtId="3" fontId="102" fillId="57" borderId="4" xfId="0" applyNumberFormat="1" applyFont="1" applyFill="1" applyBorder="1"/>
    <xf numFmtId="3" fontId="101" fillId="52" borderId="0" xfId="0" applyNumberFormat="1" applyFont="1" applyFill="1"/>
    <xf numFmtId="3" fontId="101" fillId="52" borderId="4" xfId="0" applyNumberFormat="1" applyFont="1" applyFill="1" applyBorder="1"/>
    <xf numFmtId="0" fontId="101" fillId="43" borderId="0" xfId="0" applyFont="1" applyFill="1" applyAlignment="1">
      <alignment horizontal="right" vertical="center"/>
    </xf>
    <xf numFmtId="0" fontId="101" fillId="43" borderId="4" xfId="0" applyFont="1" applyFill="1" applyBorder="1" applyAlignment="1">
      <alignment horizontal="right" vertical="center"/>
    </xf>
    <xf numFmtId="0" fontId="101" fillId="62" borderId="0" xfId="0" applyFont="1" applyFill="1" applyAlignment="1">
      <alignment horizontal="right" vertical="center"/>
    </xf>
    <xf numFmtId="0" fontId="101" fillId="62" borderId="4" xfId="0" applyFont="1" applyFill="1" applyBorder="1" applyAlignment="1">
      <alignment horizontal="right" vertical="center"/>
    </xf>
    <xf numFmtId="3" fontId="100" fillId="0" borderId="0" xfId="0" applyNumberFormat="1" applyFont="1" applyAlignment="1">
      <alignment horizontal="right" vertical="center"/>
    </xf>
    <xf numFmtId="3" fontId="101" fillId="62" borderId="4" xfId="0" applyNumberFormat="1" applyFont="1" applyFill="1" applyBorder="1"/>
    <xf numFmtId="3" fontId="0" fillId="52" borderId="0" xfId="0" applyNumberFormat="1" applyFill="1"/>
    <xf numFmtId="0" fontId="104" fillId="0" borderId="0" xfId="0" applyFont="1"/>
    <xf numFmtId="0" fontId="14" fillId="5" borderId="0" xfId="0" applyFont="1" applyFill="1"/>
    <xf numFmtId="3" fontId="0" fillId="5" borderId="4" xfId="0" applyNumberFormat="1" applyFill="1" applyBorder="1"/>
    <xf numFmtId="0" fontId="55" fillId="59" borderId="4" xfId="0" applyFont="1" applyFill="1" applyBorder="1"/>
    <xf numFmtId="0" fontId="55" fillId="59" borderId="4" xfId="0" applyFont="1" applyFill="1" applyBorder="1" applyAlignment="1">
      <alignment horizontal="center"/>
    </xf>
    <xf numFmtId="0" fontId="80" fillId="0" borderId="0" xfId="0" applyFont="1" applyAlignment="1">
      <alignment horizontal="left"/>
    </xf>
    <xf numFmtId="9" fontId="0" fillId="0" borderId="0" xfId="1" applyFont="1" applyFill="1" applyBorder="1"/>
    <xf numFmtId="166" fontId="0" fillId="3" borderId="0" xfId="0" applyNumberFormat="1" applyFill="1"/>
    <xf numFmtId="4" fontId="0" fillId="0" borderId="40" xfId="0" applyNumberFormat="1" applyBorder="1"/>
    <xf numFmtId="170" fontId="0" fillId="0" borderId="37" xfId="0" applyNumberFormat="1" applyBorder="1"/>
    <xf numFmtId="4" fontId="0" fillId="0" borderId="41" xfId="0" applyNumberFormat="1" applyBorder="1"/>
    <xf numFmtId="4" fontId="0" fillId="0" borderId="42" xfId="0" applyNumberFormat="1" applyBorder="1"/>
    <xf numFmtId="0" fontId="55" fillId="59" borderId="36" xfId="0" applyFont="1" applyFill="1" applyBorder="1" applyAlignment="1">
      <alignment horizontal="left"/>
    </xf>
    <xf numFmtId="170" fontId="0" fillId="0" borderId="53" xfId="0" applyNumberFormat="1" applyBorder="1"/>
    <xf numFmtId="170" fontId="0" fillId="0" borderId="40" xfId="0" applyNumberFormat="1" applyBorder="1"/>
    <xf numFmtId="170" fontId="0" fillId="41" borderId="0" xfId="0" applyNumberFormat="1" applyFill="1" applyAlignment="1">
      <alignment vertical="center"/>
    </xf>
    <xf numFmtId="170" fontId="0" fillId="0" borderId="42" xfId="0" applyNumberFormat="1" applyBorder="1"/>
    <xf numFmtId="170" fontId="0" fillId="0" borderId="39" xfId="0" applyNumberFormat="1" applyBorder="1"/>
    <xf numFmtId="0" fontId="0" fillId="0" borderId="0" xfId="0" applyAlignment="1">
      <alignment horizontal="center" vertical="center"/>
    </xf>
    <xf numFmtId="10" fontId="1" fillId="0" borderId="0" xfId="1" applyNumberFormat="1" applyFont="1"/>
    <xf numFmtId="170" fontId="1" fillId="0" borderId="0" xfId="5" applyNumberFormat="1" applyFont="1" applyAlignment="1">
      <alignment horizontal="center" vertical="center"/>
    </xf>
    <xf numFmtId="3" fontId="58" fillId="62" borderId="0" xfId="0" applyNumberFormat="1" applyFont="1" applyFill="1" applyAlignment="1">
      <alignment vertical="center"/>
    </xf>
    <xf numFmtId="187" fontId="1" fillId="0" borderId="0" xfId="1" applyNumberFormat="1" applyFont="1"/>
    <xf numFmtId="2" fontId="58" fillId="5" borderId="0" xfId="5" applyNumberFormat="1" applyFont="1" applyFill="1" applyAlignment="1">
      <alignment horizontal="center"/>
    </xf>
    <xf numFmtId="9" fontId="1" fillId="42" borderId="0" xfId="1" applyFont="1" applyFill="1"/>
    <xf numFmtId="1" fontId="60" fillId="0" borderId="0" xfId="0" applyNumberFormat="1" applyFont="1" applyAlignment="1">
      <alignment horizontal="right"/>
    </xf>
    <xf numFmtId="4" fontId="1" fillId="42" borderId="0" xfId="0" applyNumberFormat="1" applyFont="1" applyFill="1"/>
    <xf numFmtId="0" fontId="14" fillId="5" borderId="0" xfId="0" applyFont="1" applyFill="1" applyAlignment="1">
      <alignment horizontal="right"/>
    </xf>
    <xf numFmtId="0" fontId="58" fillId="49" borderId="4" xfId="0" applyFont="1" applyFill="1" applyBorder="1" applyAlignment="1">
      <alignment vertical="center"/>
    </xf>
    <xf numFmtId="3" fontId="60" fillId="0" borderId="0" xfId="0" applyNumberFormat="1" applyFont="1" applyAlignment="1">
      <alignment vertical="top"/>
    </xf>
    <xf numFmtId="0" fontId="62" fillId="0" borderId="0" xfId="0" quotePrefix="1" applyFont="1"/>
    <xf numFmtId="3" fontId="14" fillId="3" borderId="0" xfId="5" applyNumberFormat="1" applyFont="1" applyFill="1"/>
    <xf numFmtId="3" fontId="0" fillId="3" borderId="0" xfId="0" applyNumberFormat="1" applyFill="1"/>
    <xf numFmtId="3" fontId="0" fillId="3" borderId="0" xfId="0" applyNumberFormat="1" applyFill="1" applyAlignment="1">
      <alignment horizontal="right"/>
    </xf>
    <xf numFmtId="3" fontId="14" fillId="3" borderId="0" xfId="0" applyNumberFormat="1" applyFont="1" applyFill="1" applyAlignment="1">
      <alignment horizontal="right"/>
    </xf>
    <xf numFmtId="0" fontId="105" fillId="0" borderId="0" xfId="0" applyFont="1"/>
    <xf numFmtId="0" fontId="106" fillId="2" borderId="0" xfId="5" quotePrefix="1" applyFont="1" applyFill="1" applyAlignment="1">
      <alignment horizontal="left" wrapText="1"/>
    </xf>
    <xf numFmtId="0" fontId="106" fillId="2" borderId="0" xfId="0" quotePrefix="1" applyFont="1" applyFill="1" applyAlignment="1">
      <alignment horizontal="left"/>
    </xf>
    <xf numFmtId="0" fontId="106" fillId="2" borderId="0" xfId="0" quotePrefix="1" applyFont="1" applyFill="1" applyAlignment="1">
      <alignment horizontal="center"/>
    </xf>
    <xf numFmtId="0" fontId="105" fillId="0" borderId="0" xfId="0" applyFont="1" applyAlignment="1">
      <alignment vertical="center" wrapText="1"/>
    </xf>
    <xf numFmtId="0" fontId="105" fillId="53" borderId="2" xfId="0" applyFont="1" applyFill="1" applyBorder="1" applyAlignment="1">
      <alignment vertical="center"/>
    </xf>
    <xf numFmtId="0" fontId="105" fillId="53" borderId="2" xfId="0" applyFont="1" applyFill="1" applyBorder="1" applyAlignment="1">
      <alignment horizontal="center" vertical="center"/>
    </xf>
    <xf numFmtId="0" fontId="105" fillId="0" borderId="0" xfId="0" applyFont="1" applyAlignment="1">
      <alignment vertical="top" wrapText="1"/>
    </xf>
    <xf numFmtId="0" fontId="105" fillId="53" borderId="0" xfId="0" applyFont="1" applyFill="1"/>
    <xf numFmtId="0" fontId="106" fillId="53" borderId="0" xfId="0" applyFont="1" applyFill="1" applyAlignment="1">
      <alignment wrapText="1"/>
    </xf>
    <xf numFmtId="0" fontId="105" fillId="53" borderId="3" xfId="0" applyFont="1" applyFill="1" applyBorder="1"/>
    <xf numFmtId="0" fontId="105" fillId="53" borderId="3" xfId="0" applyFont="1" applyFill="1" applyBorder="1" applyAlignment="1">
      <alignment horizontal="center"/>
    </xf>
    <xf numFmtId="0" fontId="105" fillId="53" borderId="3" xfId="0" applyFont="1" applyFill="1" applyBorder="1" applyAlignment="1">
      <alignment horizontal="left"/>
    </xf>
    <xf numFmtId="168" fontId="105" fillId="53" borderId="3" xfId="0" applyNumberFormat="1" applyFont="1" applyFill="1" applyBorder="1" applyAlignment="1">
      <alignment vertical="center" wrapText="1"/>
    </xf>
    <xf numFmtId="0" fontId="105" fillId="58" borderId="0" xfId="0" applyFont="1" applyFill="1"/>
    <xf numFmtId="0" fontId="106" fillId="53" borderId="0" xfId="0" applyFont="1" applyFill="1"/>
    <xf numFmtId="0" fontId="105" fillId="53" borderId="0" xfId="0" applyFont="1" applyFill="1" applyAlignment="1">
      <alignment horizontal="center"/>
    </xf>
    <xf numFmtId="0" fontId="105" fillId="53" borderId="0" xfId="0" applyFont="1" applyFill="1" applyAlignment="1">
      <alignment vertical="center" wrapText="1"/>
    </xf>
    <xf numFmtId="1" fontId="105" fillId="58" borderId="0" xfId="0" applyNumberFormat="1" applyFont="1" applyFill="1"/>
    <xf numFmtId="0" fontId="105" fillId="53" borderId="4" xfId="0" applyFont="1" applyFill="1" applyBorder="1"/>
    <xf numFmtId="0" fontId="106" fillId="53" borderId="4" xfId="0" applyFont="1" applyFill="1" applyBorder="1"/>
    <xf numFmtId="0" fontId="105" fillId="53" borderId="4" xfId="0" applyFont="1" applyFill="1" applyBorder="1" applyAlignment="1">
      <alignment horizontal="center"/>
    </xf>
    <xf numFmtId="0" fontId="105" fillId="53" borderId="4" xfId="0" applyFont="1" applyFill="1" applyBorder="1" applyAlignment="1">
      <alignment vertical="center" wrapText="1"/>
    </xf>
    <xf numFmtId="1" fontId="105" fillId="58" borderId="4" xfId="0" applyNumberFormat="1" applyFont="1" applyFill="1" applyBorder="1"/>
    <xf numFmtId="0" fontId="106" fillId="53" borderId="4" xfId="0" applyFont="1" applyFill="1" applyBorder="1" applyAlignment="1">
      <alignment wrapText="1"/>
    </xf>
    <xf numFmtId="0" fontId="105" fillId="53" borderId="0" xfId="0" applyFont="1" applyFill="1" applyAlignment="1">
      <alignment horizontal="left"/>
    </xf>
    <xf numFmtId="0" fontId="105" fillId="53" borderId="3" xfId="0" applyFont="1" applyFill="1" applyBorder="1" applyAlignment="1">
      <alignment vertical="center"/>
    </xf>
    <xf numFmtId="169" fontId="0" fillId="0" borderId="0" xfId="1" applyNumberFormat="1" applyFont="1"/>
    <xf numFmtId="170" fontId="14" fillId="3" borderId="0" xfId="5" applyNumberFormat="1" applyFont="1" applyFill="1"/>
    <xf numFmtId="3" fontId="1" fillId="0" borderId="0" xfId="1" applyNumberFormat="1" applyFont="1"/>
    <xf numFmtId="169" fontId="1" fillId="0" borderId="0" xfId="1" applyNumberFormat="1" applyFont="1" applyAlignment="1">
      <alignment vertical="top" wrapText="1"/>
    </xf>
    <xf numFmtId="169" fontId="1" fillId="50" borderId="0" xfId="0" applyNumberFormat="1" applyFont="1" applyFill="1" applyAlignment="1">
      <alignment vertical="top" wrapText="1"/>
    </xf>
    <xf numFmtId="188" fontId="1" fillId="0" borderId="0" xfId="1" applyNumberFormat="1" applyFont="1"/>
    <xf numFmtId="1" fontId="11" fillId="3" borderId="0" xfId="0" applyNumberFormat="1" applyFont="1" applyFill="1" applyAlignment="1">
      <alignment horizontal="center" vertical="center"/>
    </xf>
    <xf numFmtId="0" fontId="80" fillId="59" borderId="0" xfId="0" applyFont="1" applyFill="1" applyAlignment="1">
      <alignment horizontal="left"/>
    </xf>
    <xf numFmtId="0" fontId="80" fillId="59" borderId="0" xfId="0" applyFont="1" applyFill="1" applyAlignment="1">
      <alignment horizontal="center"/>
    </xf>
    <xf numFmtId="0" fontId="101" fillId="3" borderId="0" xfId="0" applyFont="1" applyFill="1"/>
    <xf numFmtId="170" fontId="101" fillId="3" borderId="0" xfId="0" applyNumberFormat="1" applyFont="1" applyFill="1"/>
    <xf numFmtId="1" fontId="101" fillId="3" borderId="0" xfId="0" applyNumberFormat="1" applyFont="1" applyFill="1"/>
    <xf numFmtId="166" fontId="101" fillId="3" borderId="0" xfId="0" applyNumberFormat="1" applyFont="1" applyFill="1"/>
    <xf numFmtId="9" fontId="101" fillId="3" borderId="0" xfId="1" applyFont="1" applyFill="1"/>
    <xf numFmtId="0" fontId="60" fillId="3" borderId="0" xfId="0" applyFont="1" applyFill="1"/>
    <xf numFmtId="1" fontId="14" fillId="3" borderId="0" xfId="0" applyNumberFormat="1" applyFont="1" applyFill="1"/>
    <xf numFmtId="9" fontId="14" fillId="3" borderId="0" xfId="1" applyFont="1" applyFill="1"/>
    <xf numFmtId="0" fontId="15" fillId="3" borderId="0" xfId="0" quotePrefix="1" applyFont="1" applyFill="1"/>
    <xf numFmtId="0" fontId="108" fillId="3" borderId="0" xfId="0" applyFont="1" applyFill="1"/>
    <xf numFmtId="3" fontId="15" fillId="3" borderId="0" xfId="0" applyNumberFormat="1" applyFont="1" applyFill="1"/>
    <xf numFmtId="0" fontId="15" fillId="3" borderId="0" xfId="0" applyFont="1" applyFill="1"/>
    <xf numFmtId="9" fontId="15" fillId="3" borderId="0" xfId="1" applyFont="1" applyFill="1"/>
    <xf numFmtId="166" fontId="108" fillId="3" borderId="0" xfId="0" applyNumberFormat="1" applyFont="1" applyFill="1"/>
    <xf numFmtId="4" fontId="15" fillId="3" borderId="0" xfId="0" applyNumberFormat="1" applyFont="1" applyFill="1"/>
    <xf numFmtId="170" fontId="15" fillId="3" borderId="0" xfId="0" applyNumberFormat="1" applyFont="1" applyFill="1"/>
    <xf numFmtId="166" fontId="15" fillId="3" borderId="0" xfId="0" applyNumberFormat="1" applyFont="1" applyFill="1"/>
    <xf numFmtId="166" fontId="60" fillId="3" borderId="0" xfId="0" applyNumberFormat="1" applyFont="1" applyFill="1"/>
    <xf numFmtId="0" fontId="80" fillId="59" borderId="0" xfId="0" applyFont="1" applyFill="1" applyAlignment="1">
      <alignment horizontal="center" vertical="center"/>
    </xf>
    <xf numFmtId="17" fontId="0" fillId="3" borderId="0" xfId="0" quotePrefix="1" applyNumberFormat="1" applyFill="1" applyAlignment="1">
      <alignment horizontal="center"/>
    </xf>
    <xf numFmtId="2" fontId="0" fillId="3" borderId="0" xfId="0" applyNumberFormat="1" applyFill="1"/>
    <xf numFmtId="0" fontId="0" fillId="3" borderId="4" xfId="0" applyFill="1" applyBorder="1"/>
    <xf numFmtId="17" fontId="0" fillId="3" borderId="4" xfId="0" quotePrefix="1" applyNumberFormat="1" applyFill="1" applyBorder="1" applyAlignment="1">
      <alignment horizontal="center"/>
    </xf>
    <xf numFmtId="166" fontId="0" fillId="3" borderId="3" xfId="0" applyNumberFormat="1" applyFill="1" applyBorder="1"/>
    <xf numFmtId="0" fontId="0" fillId="3" borderId="3" xfId="0" applyFill="1" applyBorder="1"/>
    <xf numFmtId="17" fontId="15" fillId="3" borderId="0" xfId="0" quotePrefix="1" applyNumberFormat="1" applyFont="1" applyFill="1" applyAlignment="1">
      <alignment horizontal="center"/>
    </xf>
    <xf numFmtId="1" fontId="0" fillId="3" borderId="0" xfId="0" applyNumberFormat="1" applyFill="1"/>
    <xf numFmtId="0" fontId="0" fillId="3" borderId="0" xfId="0" applyFill="1" applyAlignment="1">
      <alignment horizontal="center"/>
    </xf>
    <xf numFmtId="0" fontId="55" fillId="59" borderId="0" xfId="0" applyFont="1" applyFill="1"/>
    <xf numFmtId="0" fontId="55" fillId="59" borderId="0" xfId="0" applyFont="1" applyFill="1" applyAlignment="1">
      <alignment horizontal="left"/>
    </xf>
    <xf numFmtId="0" fontId="55" fillId="59" borderId="0" xfId="0" applyFont="1" applyFill="1" applyAlignment="1">
      <alignment horizontal="center"/>
    </xf>
    <xf numFmtId="3" fontId="0" fillId="5" borderId="0" xfId="0" applyNumberFormat="1" applyFill="1"/>
    <xf numFmtId="4" fontId="14" fillId="3" borderId="0" xfId="0" applyNumberFormat="1" applyFont="1" applyFill="1"/>
    <xf numFmtId="4" fontId="0" fillId="0" borderId="37" xfId="0" applyNumberFormat="1" applyBorder="1"/>
    <xf numFmtId="4" fontId="0" fillId="0" borderId="39" xfId="0" applyNumberFormat="1" applyBorder="1"/>
    <xf numFmtId="166" fontId="62" fillId="3" borderId="0" xfId="0" applyNumberFormat="1" applyFont="1" applyFill="1"/>
    <xf numFmtId="188" fontId="58" fillId="0" borderId="0" xfId="1" applyNumberFormat="1" applyFont="1"/>
    <xf numFmtId="3" fontId="60" fillId="0" borderId="0" xfId="0" applyNumberFormat="1" applyFont="1"/>
    <xf numFmtId="169" fontId="0" fillId="52" borderId="0" xfId="1" applyNumberFormat="1" applyFont="1" applyFill="1" applyAlignment="1">
      <alignment horizontal="right" vertical="center"/>
    </xf>
    <xf numFmtId="169" fontId="0" fillId="45" borderId="0" xfId="1" applyNumberFormat="1" applyFont="1" applyFill="1" applyAlignment="1">
      <alignment horizontal="center"/>
    </xf>
    <xf numFmtId="4" fontId="0" fillId="0" borderId="0" xfId="0" applyNumberFormat="1"/>
    <xf numFmtId="2" fontId="0" fillId="0" borderId="0" xfId="1" applyNumberFormat="1" applyFont="1"/>
    <xf numFmtId="4" fontId="14" fillId="0" borderId="37" xfId="0" applyNumberFormat="1" applyFont="1" applyBorder="1"/>
    <xf numFmtId="4" fontId="58" fillId="0" borderId="40" xfId="0" applyNumberFormat="1" applyFont="1" applyBorder="1"/>
    <xf numFmtId="0" fontId="1" fillId="3" borderId="0" xfId="0" applyFont="1" applyFill="1" applyAlignment="1">
      <alignment vertical="top"/>
    </xf>
    <xf numFmtId="170" fontId="1" fillId="3" borderId="0" xfId="0" applyNumberFormat="1" applyFont="1" applyFill="1" applyAlignment="1">
      <alignment vertical="top"/>
    </xf>
    <xf numFmtId="172" fontId="0" fillId="41" borderId="0" xfId="0" applyNumberFormat="1" applyFill="1" applyAlignment="1">
      <alignment vertical="center"/>
    </xf>
    <xf numFmtId="0" fontId="1" fillId="0" borderId="0" xfId="5" applyFont="1" applyAlignment="1">
      <alignment horizontal="right" vertical="center"/>
    </xf>
    <xf numFmtId="0" fontId="0" fillId="0" borderId="0" xfId="0" applyAlignment="1">
      <alignment horizontal="center" vertical="top" wrapText="1"/>
    </xf>
    <xf numFmtId="0" fontId="61" fillId="0" borderId="0" xfId="0" quotePrefix="1" applyFont="1" applyAlignment="1">
      <alignment horizontal="left" vertical="top" wrapText="1"/>
    </xf>
    <xf numFmtId="170" fontId="1" fillId="0" borderId="0" xfId="0" applyNumberFormat="1" applyFont="1"/>
    <xf numFmtId="9" fontId="58" fillId="0" borderId="0" xfId="1" applyFont="1" applyFill="1" applyAlignment="1">
      <alignment vertical="top" wrapText="1"/>
    </xf>
    <xf numFmtId="169" fontId="55" fillId="0" borderId="0" xfId="1" applyNumberFormat="1" applyFont="1" applyFill="1"/>
    <xf numFmtId="0" fontId="61" fillId="0" borderId="0" xfId="5" quotePrefix="1" applyFont="1" applyAlignment="1">
      <alignment horizontal="left" vertical="top"/>
    </xf>
    <xf numFmtId="172" fontId="0" fillId="0" borderId="0" xfId="0" applyNumberFormat="1"/>
    <xf numFmtId="4" fontId="1" fillId="0" borderId="0" xfId="0" applyNumberFormat="1" applyFont="1"/>
    <xf numFmtId="3" fontId="58" fillId="0" borderId="0" xfId="5" applyNumberFormat="1" applyFont="1" applyAlignment="1">
      <alignment horizontal="right"/>
    </xf>
    <xf numFmtId="172" fontId="1" fillId="0" borderId="0" xfId="0" applyNumberFormat="1" applyFont="1"/>
    <xf numFmtId="4" fontId="58" fillId="0" borderId="0" xfId="1" applyNumberFormat="1" applyFont="1" applyFill="1"/>
    <xf numFmtId="2" fontId="58" fillId="0" borderId="0" xfId="1" applyNumberFormat="1" applyFont="1" applyFill="1"/>
    <xf numFmtId="172" fontId="1" fillId="0" borderId="0" xfId="0" applyNumberFormat="1" applyFont="1" applyAlignment="1">
      <alignment vertical="top"/>
    </xf>
    <xf numFmtId="4" fontId="58" fillId="0" borderId="37" xfId="0" applyNumberFormat="1" applyFont="1" applyBorder="1"/>
    <xf numFmtId="4" fontId="58" fillId="0" borderId="38" xfId="0" applyNumberFormat="1" applyFont="1" applyBorder="1"/>
    <xf numFmtId="0" fontId="90" fillId="0" borderId="0" xfId="46654" applyBorder="1"/>
    <xf numFmtId="187" fontId="55" fillId="60" borderId="0" xfId="1" applyNumberFormat="1" applyFont="1" applyFill="1"/>
    <xf numFmtId="3" fontId="1" fillId="3" borderId="0" xfId="5" applyNumberFormat="1" applyFont="1" applyFill="1"/>
    <xf numFmtId="0" fontId="14" fillId="0" borderId="0" xfId="0" applyFont="1" applyFill="1"/>
    <xf numFmtId="3" fontId="14" fillId="0" borderId="0" xfId="0" applyNumberFormat="1" applyFont="1" applyFill="1"/>
    <xf numFmtId="3" fontId="0" fillId="0" borderId="0" xfId="0" applyNumberFormat="1" applyFill="1"/>
    <xf numFmtId="0" fontId="11" fillId="0" borderId="0" xfId="0" applyFont="1" applyAlignment="1">
      <alignment vertical="top"/>
    </xf>
    <xf numFmtId="0" fontId="0" fillId="52" borderId="0" xfId="24488" applyFont="1" applyFill="1" applyAlignment="1">
      <alignment vertical="center"/>
    </xf>
    <xf numFmtId="0" fontId="1" fillId="52" borderId="0" xfId="24488" applyFill="1" applyAlignment="1">
      <alignment vertical="center"/>
    </xf>
    <xf numFmtId="0" fontId="1" fillId="0" borderId="0" xfId="24488" applyAlignment="1">
      <alignment horizontal="center" vertical="center" wrapText="1"/>
    </xf>
    <xf numFmtId="0" fontId="14" fillId="0" borderId="0" xfId="24488" applyFont="1" applyAlignment="1">
      <alignment horizontal="center" vertical="center" wrapText="1"/>
    </xf>
    <xf numFmtId="0" fontId="55" fillId="2" borderId="0" xfId="5" applyFont="1" applyFill="1" applyAlignment="1">
      <alignment horizontal="center" vertical="center"/>
    </xf>
    <xf numFmtId="0" fontId="55" fillId="48" borderId="30" xfId="0" applyFont="1" applyFill="1" applyBorder="1" applyAlignment="1">
      <alignment horizontal="center" vertical="center" wrapText="1"/>
    </xf>
    <xf numFmtId="0" fontId="55" fillId="48" borderId="44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0" fontId="55" fillId="48" borderId="46" xfId="0" applyFont="1" applyFill="1" applyBorder="1" applyAlignment="1">
      <alignment horizontal="center" vertical="center" wrapText="1"/>
    </xf>
    <xf numFmtId="0" fontId="55" fillId="48" borderId="33" xfId="0" applyFont="1" applyFill="1" applyBorder="1" applyAlignment="1">
      <alignment horizontal="left" vertical="center" wrapText="1"/>
    </xf>
    <xf numFmtId="0" fontId="55" fillId="48" borderId="34" xfId="0" applyFont="1" applyFill="1" applyBorder="1" applyAlignment="1">
      <alignment horizontal="left" vertical="center" wrapText="1"/>
    </xf>
    <xf numFmtId="9" fontId="0" fillId="0" borderId="0" xfId="0" applyNumberFormat="1" applyAlignment="1">
      <alignment horizontal="center" vertical="top" wrapText="1"/>
    </xf>
  </cellXfs>
  <cellStyles count="46655">
    <cellStyle name="20% - Accent1 10" xfId="10" xr:uid="{00000000-0005-0000-0000-000000000000}"/>
    <cellStyle name="20% - Accent1 10 2" xfId="2042" xr:uid="{00000000-0005-0000-0000-000001000000}"/>
    <cellStyle name="20% - Accent1 11" xfId="11" xr:uid="{00000000-0005-0000-0000-000002000000}"/>
    <cellStyle name="20% - Accent1 11 2" xfId="7766" xr:uid="{00000000-0005-0000-0000-000003000000}"/>
    <cellStyle name="20% - Accent1 12" xfId="12" xr:uid="{00000000-0005-0000-0000-000004000000}"/>
    <cellStyle name="20% - Accent1 12 2" xfId="7767" xr:uid="{00000000-0005-0000-0000-000005000000}"/>
    <cellStyle name="20% - Accent1 13" xfId="13" xr:uid="{00000000-0005-0000-0000-000006000000}"/>
    <cellStyle name="20% - Accent1 13 2" xfId="7768" xr:uid="{00000000-0005-0000-0000-000007000000}"/>
    <cellStyle name="20% - Accent1 14" xfId="14" xr:uid="{00000000-0005-0000-0000-000008000000}"/>
    <cellStyle name="20% - Accent1 14 2" xfId="7769" xr:uid="{00000000-0005-0000-0000-000009000000}"/>
    <cellStyle name="20% - Accent1 15" xfId="2043" xr:uid="{00000000-0005-0000-0000-00000A000000}"/>
    <cellStyle name="20% - Accent1 15 2" xfId="7770" xr:uid="{00000000-0005-0000-0000-00000B000000}"/>
    <cellStyle name="20% - Accent1 16" xfId="2044" xr:uid="{00000000-0005-0000-0000-00000C000000}"/>
    <cellStyle name="20% - Accent1 16 2" xfId="7771" xr:uid="{00000000-0005-0000-0000-00000D000000}"/>
    <cellStyle name="20% - Accent1 17" xfId="2045" xr:uid="{00000000-0005-0000-0000-00000E000000}"/>
    <cellStyle name="20% - Accent1 17 2" xfId="7772" xr:uid="{00000000-0005-0000-0000-00000F000000}"/>
    <cellStyle name="20% - Accent1 18" xfId="2046" xr:uid="{00000000-0005-0000-0000-000010000000}"/>
    <cellStyle name="20% - Accent1 18 2" xfId="7773" xr:uid="{00000000-0005-0000-0000-000011000000}"/>
    <cellStyle name="20% - Accent1 19" xfId="2047" xr:uid="{00000000-0005-0000-0000-000012000000}"/>
    <cellStyle name="20% - Accent1 19 2" xfId="7774" xr:uid="{00000000-0005-0000-0000-000013000000}"/>
    <cellStyle name="20% - Accent1 2" xfId="15" xr:uid="{00000000-0005-0000-0000-000014000000}"/>
    <cellStyle name="20% - Accent1 2 10" xfId="6745" xr:uid="{00000000-0005-0000-0000-000015000000}"/>
    <cellStyle name="20% - Accent1 2 11" xfId="6746" xr:uid="{00000000-0005-0000-0000-000016000000}"/>
    <cellStyle name="20% - Accent1 2 12" xfId="6747" xr:uid="{00000000-0005-0000-0000-000017000000}"/>
    <cellStyle name="20% - Accent1 2 13" xfId="6748" xr:uid="{00000000-0005-0000-0000-000018000000}"/>
    <cellStyle name="20% - Accent1 2 14" xfId="6749" xr:uid="{00000000-0005-0000-0000-000019000000}"/>
    <cellStyle name="20% - Accent1 2 15" xfId="6750" xr:uid="{00000000-0005-0000-0000-00001A000000}"/>
    <cellStyle name="20% - Accent1 2 16" xfId="6751" xr:uid="{00000000-0005-0000-0000-00001B000000}"/>
    <cellStyle name="20% - Accent1 2 17" xfId="6752" xr:uid="{00000000-0005-0000-0000-00001C000000}"/>
    <cellStyle name="20% - Accent1 2 18" xfId="6753" xr:uid="{00000000-0005-0000-0000-00001D000000}"/>
    <cellStyle name="20% - Accent1 2 19" xfId="6754" xr:uid="{00000000-0005-0000-0000-00001E000000}"/>
    <cellStyle name="20% - Accent1 2 2" xfId="16" xr:uid="{00000000-0005-0000-0000-00001F000000}"/>
    <cellStyle name="20% - Accent1 2 2 10" xfId="6755" xr:uid="{00000000-0005-0000-0000-000020000000}"/>
    <cellStyle name="20% - Accent1 2 2 11" xfId="6756" xr:uid="{00000000-0005-0000-0000-000021000000}"/>
    <cellStyle name="20% - Accent1 2 2 12" xfId="6757" xr:uid="{00000000-0005-0000-0000-000022000000}"/>
    <cellStyle name="20% - Accent1 2 2 13" xfId="6758" xr:uid="{00000000-0005-0000-0000-000023000000}"/>
    <cellStyle name="20% - Accent1 2 2 14" xfId="6759" xr:uid="{00000000-0005-0000-0000-000024000000}"/>
    <cellStyle name="20% - Accent1 2 2 2" xfId="17" xr:uid="{00000000-0005-0000-0000-000025000000}"/>
    <cellStyle name="20% - Accent1 2 2 3" xfId="2048" xr:uid="{00000000-0005-0000-0000-000026000000}"/>
    <cellStyle name="20% - Accent1 2 2 4" xfId="6760" xr:uid="{00000000-0005-0000-0000-000027000000}"/>
    <cellStyle name="20% - Accent1 2 2 5" xfId="6761" xr:uid="{00000000-0005-0000-0000-000028000000}"/>
    <cellStyle name="20% - Accent1 2 2 6" xfId="6762" xr:uid="{00000000-0005-0000-0000-000029000000}"/>
    <cellStyle name="20% - Accent1 2 2 7" xfId="6763" xr:uid="{00000000-0005-0000-0000-00002A000000}"/>
    <cellStyle name="20% - Accent1 2 2 8" xfId="6764" xr:uid="{00000000-0005-0000-0000-00002B000000}"/>
    <cellStyle name="20% - Accent1 2 2 9" xfId="6765" xr:uid="{00000000-0005-0000-0000-00002C000000}"/>
    <cellStyle name="20% - Accent1 2 20" xfId="15239" xr:uid="{00000000-0005-0000-0000-00002D000000}"/>
    <cellStyle name="20% - Accent1 2 3" xfId="18" xr:uid="{00000000-0005-0000-0000-00002E000000}"/>
    <cellStyle name="20% - Accent1 2 4" xfId="19" xr:uid="{00000000-0005-0000-0000-00002F000000}"/>
    <cellStyle name="20% - Accent1 2 5" xfId="20" xr:uid="{00000000-0005-0000-0000-000030000000}"/>
    <cellStyle name="20% - Accent1 2 6" xfId="21" xr:uid="{00000000-0005-0000-0000-000031000000}"/>
    <cellStyle name="20% - Accent1 2 7" xfId="22" xr:uid="{00000000-0005-0000-0000-000032000000}"/>
    <cellStyle name="20% - Accent1 2 8" xfId="23" xr:uid="{00000000-0005-0000-0000-000033000000}"/>
    <cellStyle name="20% - Accent1 2 9" xfId="24" xr:uid="{00000000-0005-0000-0000-000034000000}"/>
    <cellStyle name="20% - Accent1 20" xfId="2049" xr:uid="{00000000-0005-0000-0000-000035000000}"/>
    <cellStyle name="20% - Accent1 20 2" xfId="7775" xr:uid="{00000000-0005-0000-0000-000036000000}"/>
    <cellStyle name="20% - Accent1 21" xfId="7776" xr:uid="{00000000-0005-0000-0000-000037000000}"/>
    <cellStyle name="20% - Accent1 22" xfId="6483" xr:uid="{00000000-0005-0000-0000-000038000000}"/>
    <cellStyle name="20% - Accent1 3" xfId="25" xr:uid="{00000000-0005-0000-0000-000039000000}"/>
    <cellStyle name="20% - Accent1 3 10" xfId="2050" xr:uid="{00000000-0005-0000-0000-00003A000000}"/>
    <cellStyle name="20% - Accent1 3 11" xfId="2051" xr:uid="{00000000-0005-0000-0000-00003B000000}"/>
    <cellStyle name="20% - Accent1 3 12" xfId="2052" xr:uid="{00000000-0005-0000-0000-00003C000000}"/>
    <cellStyle name="20% - Accent1 3 13" xfId="2053" xr:uid="{00000000-0005-0000-0000-00003D000000}"/>
    <cellStyle name="20% - Accent1 3 14" xfId="2054" xr:uid="{00000000-0005-0000-0000-00003E000000}"/>
    <cellStyle name="20% - Accent1 3 15" xfId="6766" xr:uid="{00000000-0005-0000-0000-00003F000000}"/>
    <cellStyle name="20% - Accent1 3 2" xfId="26" xr:uid="{00000000-0005-0000-0000-000040000000}"/>
    <cellStyle name="20% - Accent1 3 3" xfId="27" xr:uid="{00000000-0005-0000-0000-000041000000}"/>
    <cellStyle name="20% - Accent1 3 4" xfId="28" xr:uid="{00000000-0005-0000-0000-000042000000}"/>
    <cellStyle name="20% - Accent1 3 5" xfId="29" xr:uid="{00000000-0005-0000-0000-000043000000}"/>
    <cellStyle name="20% - Accent1 3 6" xfId="2055" xr:uid="{00000000-0005-0000-0000-000044000000}"/>
    <cellStyle name="20% - Accent1 3 7" xfId="2056" xr:uid="{00000000-0005-0000-0000-000045000000}"/>
    <cellStyle name="20% - Accent1 3 8" xfId="2057" xr:uid="{00000000-0005-0000-0000-000046000000}"/>
    <cellStyle name="20% - Accent1 3 9" xfId="2058" xr:uid="{00000000-0005-0000-0000-000047000000}"/>
    <cellStyle name="20% - Accent1 4" xfId="30" xr:uid="{00000000-0005-0000-0000-000048000000}"/>
    <cellStyle name="20% - Accent1 4 10" xfId="6767" xr:uid="{00000000-0005-0000-0000-000049000000}"/>
    <cellStyle name="20% - Accent1 4 11" xfId="6768" xr:uid="{00000000-0005-0000-0000-00004A000000}"/>
    <cellStyle name="20% - Accent1 4 12" xfId="6769" xr:uid="{00000000-0005-0000-0000-00004B000000}"/>
    <cellStyle name="20% - Accent1 4 13" xfId="6770" xr:uid="{00000000-0005-0000-0000-00004C000000}"/>
    <cellStyle name="20% - Accent1 4 14" xfId="6771" xr:uid="{00000000-0005-0000-0000-00004D000000}"/>
    <cellStyle name="20% - Accent1 4 15" xfId="6772" xr:uid="{00000000-0005-0000-0000-00004E000000}"/>
    <cellStyle name="20% - Accent1 4 2" xfId="31" xr:uid="{00000000-0005-0000-0000-00004F000000}"/>
    <cellStyle name="20% - Accent1 4 3" xfId="32" xr:uid="{00000000-0005-0000-0000-000050000000}"/>
    <cellStyle name="20% - Accent1 4 4" xfId="33" xr:uid="{00000000-0005-0000-0000-000051000000}"/>
    <cellStyle name="20% - Accent1 4 5" xfId="34" xr:uid="{00000000-0005-0000-0000-000052000000}"/>
    <cellStyle name="20% - Accent1 4 6" xfId="2059" xr:uid="{00000000-0005-0000-0000-000053000000}"/>
    <cellStyle name="20% - Accent1 4 7" xfId="6773" xr:uid="{00000000-0005-0000-0000-000054000000}"/>
    <cellStyle name="20% - Accent1 4 8" xfId="6774" xr:uid="{00000000-0005-0000-0000-000055000000}"/>
    <cellStyle name="20% - Accent1 4 9" xfId="6775" xr:uid="{00000000-0005-0000-0000-000056000000}"/>
    <cellStyle name="20% - Accent1 5" xfId="35" xr:uid="{00000000-0005-0000-0000-000057000000}"/>
    <cellStyle name="20% - Accent1 5 10" xfId="6776" xr:uid="{00000000-0005-0000-0000-000058000000}"/>
    <cellStyle name="20% - Accent1 5 11" xfId="6777" xr:uid="{00000000-0005-0000-0000-000059000000}"/>
    <cellStyle name="20% - Accent1 5 12" xfId="6778" xr:uid="{00000000-0005-0000-0000-00005A000000}"/>
    <cellStyle name="20% - Accent1 5 13" xfId="6779" xr:uid="{00000000-0005-0000-0000-00005B000000}"/>
    <cellStyle name="20% - Accent1 5 14" xfId="6780" xr:uid="{00000000-0005-0000-0000-00005C000000}"/>
    <cellStyle name="20% - Accent1 5 15" xfId="6781" xr:uid="{00000000-0005-0000-0000-00005D000000}"/>
    <cellStyle name="20% - Accent1 5 2" xfId="36" xr:uid="{00000000-0005-0000-0000-00005E000000}"/>
    <cellStyle name="20% - Accent1 5 3" xfId="37" xr:uid="{00000000-0005-0000-0000-00005F000000}"/>
    <cellStyle name="20% - Accent1 5 4" xfId="38" xr:uid="{00000000-0005-0000-0000-000060000000}"/>
    <cellStyle name="20% - Accent1 5 5" xfId="39" xr:uid="{00000000-0005-0000-0000-000061000000}"/>
    <cellStyle name="20% - Accent1 5 6" xfId="2060" xr:uid="{00000000-0005-0000-0000-000062000000}"/>
    <cellStyle name="20% - Accent1 5 7" xfId="6782" xr:uid="{00000000-0005-0000-0000-000063000000}"/>
    <cellStyle name="20% - Accent1 5 8" xfId="6783" xr:uid="{00000000-0005-0000-0000-000064000000}"/>
    <cellStyle name="20% - Accent1 5 9" xfId="6784" xr:uid="{00000000-0005-0000-0000-000065000000}"/>
    <cellStyle name="20% - Accent1 6" xfId="40" xr:uid="{00000000-0005-0000-0000-000066000000}"/>
    <cellStyle name="20% - Accent1 6 2" xfId="41" xr:uid="{00000000-0005-0000-0000-000067000000}"/>
    <cellStyle name="20% - Accent1 6 3" xfId="2061" xr:uid="{00000000-0005-0000-0000-000068000000}"/>
    <cellStyle name="20% - Accent1 7" xfId="42" xr:uid="{00000000-0005-0000-0000-000069000000}"/>
    <cellStyle name="20% - Accent1 7 2" xfId="43" xr:uid="{00000000-0005-0000-0000-00006A000000}"/>
    <cellStyle name="20% - Accent1 7 3" xfId="2062" xr:uid="{00000000-0005-0000-0000-00006B000000}"/>
    <cellStyle name="20% - Accent1 8" xfId="44" xr:uid="{00000000-0005-0000-0000-00006C000000}"/>
    <cellStyle name="20% - Accent1 8 2" xfId="45" xr:uid="{00000000-0005-0000-0000-00006D000000}"/>
    <cellStyle name="20% - Accent1 8 3" xfId="2063" xr:uid="{00000000-0005-0000-0000-00006E000000}"/>
    <cellStyle name="20% - Accent1 9" xfId="46" xr:uid="{00000000-0005-0000-0000-00006F000000}"/>
    <cellStyle name="20% - Accent1 9 2" xfId="2064" xr:uid="{00000000-0005-0000-0000-000070000000}"/>
    <cellStyle name="20% - Accent2 10" xfId="47" xr:uid="{00000000-0005-0000-0000-000071000000}"/>
    <cellStyle name="20% - Accent2 10 2" xfId="2065" xr:uid="{00000000-0005-0000-0000-000072000000}"/>
    <cellStyle name="20% - Accent2 11" xfId="48" xr:uid="{00000000-0005-0000-0000-000073000000}"/>
    <cellStyle name="20% - Accent2 11 2" xfId="7777" xr:uid="{00000000-0005-0000-0000-000074000000}"/>
    <cellStyle name="20% - Accent2 12" xfId="49" xr:uid="{00000000-0005-0000-0000-000075000000}"/>
    <cellStyle name="20% - Accent2 12 2" xfId="7778" xr:uid="{00000000-0005-0000-0000-000076000000}"/>
    <cellStyle name="20% - Accent2 13" xfId="50" xr:uid="{00000000-0005-0000-0000-000077000000}"/>
    <cellStyle name="20% - Accent2 13 2" xfId="7779" xr:uid="{00000000-0005-0000-0000-000078000000}"/>
    <cellStyle name="20% - Accent2 14" xfId="51" xr:uid="{00000000-0005-0000-0000-000079000000}"/>
    <cellStyle name="20% - Accent2 14 2" xfId="7780" xr:uid="{00000000-0005-0000-0000-00007A000000}"/>
    <cellStyle name="20% - Accent2 15" xfId="2066" xr:uid="{00000000-0005-0000-0000-00007B000000}"/>
    <cellStyle name="20% - Accent2 15 2" xfId="7781" xr:uid="{00000000-0005-0000-0000-00007C000000}"/>
    <cellStyle name="20% - Accent2 16" xfId="2067" xr:uid="{00000000-0005-0000-0000-00007D000000}"/>
    <cellStyle name="20% - Accent2 16 2" xfId="7782" xr:uid="{00000000-0005-0000-0000-00007E000000}"/>
    <cellStyle name="20% - Accent2 17" xfId="2068" xr:uid="{00000000-0005-0000-0000-00007F000000}"/>
    <cellStyle name="20% - Accent2 17 2" xfId="7783" xr:uid="{00000000-0005-0000-0000-000080000000}"/>
    <cellStyle name="20% - Accent2 18" xfId="2069" xr:uid="{00000000-0005-0000-0000-000081000000}"/>
    <cellStyle name="20% - Accent2 18 2" xfId="7784" xr:uid="{00000000-0005-0000-0000-000082000000}"/>
    <cellStyle name="20% - Accent2 19" xfId="2070" xr:uid="{00000000-0005-0000-0000-000083000000}"/>
    <cellStyle name="20% - Accent2 19 2" xfId="7785" xr:uid="{00000000-0005-0000-0000-000084000000}"/>
    <cellStyle name="20% - Accent2 2" xfId="52" xr:uid="{00000000-0005-0000-0000-000085000000}"/>
    <cellStyle name="20% - Accent2 2 10" xfId="6785" xr:uid="{00000000-0005-0000-0000-000086000000}"/>
    <cellStyle name="20% - Accent2 2 11" xfId="6786" xr:uid="{00000000-0005-0000-0000-000087000000}"/>
    <cellStyle name="20% - Accent2 2 12" xfId="6787" xr:uid="{00000000-0005-0000-0000-000088000000}"/>
    <cellStyle name="20% - Accent2 2 13" xfId="6788" xr:uid="{00000000-0005-0000-0000-000089000000}"/>
    <cellStyle name="20% - Accent2 2 14" xfId="6789" xr:uid="{00000000-0005-0000-0000-00008A000000}"/>
    <cellStyle name="20% - Accent2 2 15" xfId="6790" xr:uid="{00000000-0005-0000-0000-00008B000000}"/>
    <cellStyle name="20% - Accent2 2 16" xfId="6791" xr:uid="{00000000-0005-0000-0000-00008C000000}"/>
    <cellStyle name="20% - Accent2 2 17" xfId="6792" xr:uid="{00000000-0005-0000-0000-00008D000000}"/>
    <cellStyle name="20% - Accent2 2 18" xfId="6793" xr:uid="{00000000-0005-0000-0000-00008E000000}"/>
    <cellStyle name="20% - Accent2 2 19" xfId="6794" xr:uid="{00000000-0005-0000-0000-00008F000000}"/>
    <cellStyle name="20% - Accent2 2 2" xfId="53" xr:uid="{00000000-0005-0000-0000-000090000000}"/>
    <cellStyle name="20% - Accent2 2 2 10" xfId="6795" xr:uid="{00000000-0005-0000-0000-000091000000}"/>
    <cellStyle name="20% - Accent2 2 2 11" xfId="6796" xr:uid="{00000000-0005-0000-0000-000092000000}"/>
    <cellStyle name="20% - Accent2 2 2 12" xfId="6797" xr:uid="{00000000-0005-0000-0000-000093000000}"/>
    <cellStyle name="20% - Accent2 2 2 13" xfId="6798" xr:uid="{00000000-0005-0000-0000-000094000000}"/>
    <cellStyle name="20% - Accent2 2 2 14" xfId="6799" xr:uid="{00000000-0005-0000-0000-000095000000}"/>
    <cellStyle name="20% - Accent2 2 2 2" xfId="54" xr:uid="{00000000-0005-0000-0000-000096000000}"/>
    <cellStyle name="20% - Accent2 2 2 3" xfId="2071" xr:uid="{00000000-0005-0000-0000-000097000000}"/>
    <cellStyle name="20% - Accent2 2 2 4" xfId="6800" xr:uid="{00000000-0005-0000-0000-000098000000}"/>
    <cellStyle name="20% - Accent2 2 2 5" xfId="6801" xr:uid="{00000000-0005-0000-0000-000099000000}"/>
    <cellStyle name="20% - Accent2 2 2 6" xfId="6802" xr:uid="{00000000-0005-0000-0000-00009A000000}"/>
    <cellStyle name="20% - Accent2 2 2 7" xfId="6803" xr:uid="{00000000-0005-0000-0000-00009B000000}"/>
    <cellStyle name="20% - Accent2 2 2 8" xfId="6804" xr:uid="{00000000-0005-0000-0000-00009C000000}"/>
    <cellStyle name="20% - Accent2 2 2 9" xfId="6805" xr:uid="{00000000-0005-0000-0000-00009D000000}"/>
    <cellStyle name="20% - Accent2 2 20" xfId="15240" xr:uid="{00000000-0005-0000-0000-00009E000000}"/>
    <cellStyle name="20% - Accent2 2 3" xfId="55" xr:uid="{00000000-0005-0000-0000-00009F000000}"/>
    <cellStyle name="20% - Accent2 2 4" xfId="56" xr:uid="{00000000-0005-0000-0000-0000A0000000}"/>
    <cellStyle name="20% - Accent2 2 5" xfId="57" xr:uid="{00000000-0005-0000-0000-0000A1000000}"/>
    <cellStyle name="20% - Accent2 2 6" xfId="58" xr:uid="{00000000-0005-0000-0000-0000A2000000}"/>
    <cellStyle name="20% - Accent2 2 7" xfId="59" xr:uid="{00000000-0005-0000-0000-0000A3000000}"/>
    <cellStyle name="20% - Accent2 2 8" xfId="60" xr:uid="{00000000-0005-0000-0000-0000A4000000}"/>
    <cellStyle name="20% - Accent2 2 9" xfId="61" xr:uid="{00000000-0005-0000-0000-0000A5000000}"/>
    <cellStyle name="20% - Accent2 20" xfId="2072" xr:uid="{00000000-0005-0000-0000-0000A6000000}"/>
    <cellStyle name="20% - Accent2 20 2" xfId="7786" xr:uid="{00000000-0005-0000-0000-0000A7000000}"/>
    <cellStyle name="20% - Accent2 21" xfId="7787" xr:uid="{00000000-0005-0000-0000-0000A8000000}"/>
    <cellStyle name="20% - Accent2 22" xfId="6484" xr:uid="{00000000-0005-0000-0000-0000A9000000}"/>
    <cellStyle name="20% - Accent2 3" xfId="62" xr:uid="{00000000-0005-0000-0000-0000AA000000}"/>
    <cellStyle name="20% - Accent2 3 10" xfId="2073" xr:uid="{00000000-0005-0000-0000-0000AB000000}"/>
    <cellStyle name="20% - Accent2 3 11" xfId="2074" xr:uid="{00000000-0005-0000-0000-0000AC000000}"/>
    <cellStyle name="20% - Accent2 3 12" xfId="2075" xr:uid="{00000000-0005-0000-0000-0000AD000000}"/>
    <cellStyle name="20% - Accent2 3 13" xfId="2076" xr:uid="{00000000-0005-0000-0000-0000AE000000}"/>
    <cellStyle name="20% - Accent2 3 14" xfId="2077" xr:uid="{00000000-0005-0000-0000-0000AF000000}"/>
    <cellStyle name="20% - Accent2 3 15" xfId="6806" xr:uid="{00000000-0005-0000-0000-0000B0000000}"/>
    <cellStyle name="20% - Accent2 3 2" xfId="63" xr:uid="{00000000-0005-0000-0000-0000B1000000}"/>
    <cellStyle name="20% - Accent2 3 3" xfId="64" xr:uid="{00000000-0005-0000-0000-0000B2000000}"/>
    <cellStyle name="20% - Accent2 3 4" xfId="65" xr:uid="{00000000-0005-0000-0000-0000B3000000}"/>
    <cellStyle name="20% - Accent2 3 5" xfId="66" xr:uid="{00000000-0005-0000-0000-0000B4000000}"/>
    <cellStyle name="20% - Accent2 3 6" xfId="2078" xr:uid="{00000000-0005-0000-0000-0000B5000000}"/>
    <cellStyle name="20% - Accent2 3 7" xfId="2079" xr:uid="{00000000-0005-0000-0000-0000B6000000}"/>
    <cellStyle name="20% - Accent2 3 8" xfId="2080" xr:uid="{00000000-0005-0000-0000-0000B7000000}"/>
    <cellStyle name="20% - Accent2 3 9" xfId="2081" xr:uid="{00000000-0005-0000-0000-0000B8000000}"/>
    <cellStyle name="20% - Accent2 4" xfId="67" xr:uid="{00000000-0005-0000-0000-0000B9000000}"/>
    <cellStyle name="20% - Accent2 4 10" xfId="6807" xr:uid="{00000000-0005-0000-0000-0000BA000000}"/>
    <cellStyle name="20% - Accent2 4 11" xfId="6808" xr:uid="{00000000-0005-0000-0000-0000BB000000}"/>
    <cellStyle name="20% - Accent2 4 12" xfId="6809" xr:uid="{00000000-0005-0000-0000-0000BC000000}"/>
    <cellStyle name="20% - Accent2 4 13" xfId="6810" xr:uid="{00000000-0005-0000-0000-0000BD000000}"/>
    <cellStyle name="20% - Accent2 4 14" xfId="6811" xr:uid="{00000000-0005-0000-0000-0000BE000000}"/>
    <cellStyle name="20% - Accent2 4 15" xfId="6812" xr:uid="{00000000-0005-0000-0000-0000BF000000}"/>
    <cellStyle name="20% - Accent2 4 2" xfId="68" xr:uid="{00000000-0005-0000-0000-0000C0000000}"/>
    <cellStyle name="20% - Accent2 4 3" xfId="69" xr:uid="{00000000-0005-0000-0000-0000C1000000}"/>
    <cellStyle name="20% - Accent2 4 4" xfId="70" xr:uid="{00000000-0005-0000-0000-0000C2000000}"/>
    <cellStyle name="20% - Accent2 4 5" xfId="71" xr:uid="{00000000-0005-0000-0000-0000C3000000}"/>
    <cellStyle name="20% - Accent2 4 6" xfId="2082" xr:uid="{00000000-0005-0000-0000-0000C4000000}"/>
    <cellStyle name="20% - Accent2 4 7" xfId="6813" xr:uid="{00000000-0005-0000-0000-0000C5000000}"/>
    <cellStyle name="20% - Accent2 4 8" xfId="6814" xr:uid="{00000000-0005-0000-0000-0000C6000000}"/>
    <cellStyle name="20% - Accent2 4 9" xfId="6815" xr:uid="{00000000-0005-0000-0000-0000C7000000}"/>
    <cellStyle name="20% - Accent2 5" xfId="72" xr:uid="{00000000-0005-0000-0000-0000C8000000}"/>
    <cellStyle name="20% - Accent2 5 10" xfId="6816" xr:uid="{00000000-0005-0000-0000-0000C9000000}"/>
    <cellStyle name="20% - Accent2 5 11" xfId="6817" xr:uid="{00000000-0005-0000-0000-0000CA000000}"/>
    <cellStyle name="20% - Accent2 5 12" xfId="6818" xr:uid="{00000000-0005-0000-0000-0000CB000000}"/>
    <cellStyle name="20% - Accent2 5 13" xfId="6819" xr:uid="{00000000-0005-0000-0000-0000CC000000}"/>
    <cellStyle name="20% - Accent2 5 14" xfId="6820" xr:uid="{00000000-0005-0000-0000-0000CD000000}"/>
    <cellStyle name="20% - Accent2 5 15" xfId="6821" xr:uid="{00000000-0005-0000-0000-0000CE000000}"/>
    <cellStyle name="20% - Accent2 5 2" xfId="73" xr:uid="{00000000-0005-0000-0000-0000CF000000}"/>
    <cellStyle name="20% - Accent2 5 3" xfId="74" xr:uid="{00000000-0005-0000-0000-0000D0000000}"/>
    <cellStyle name="20% - Accent2 5 4" xfId="75" xr:uid="{00000000-0005-0000-0000-0000D1000000}"/>
    <cellStyle name="20% - Accent2 5 5" xfId="76" xr:uid="{00000000-0005-0000-0000-0000D2000000}"/>
    <cellStyle name="20% - Accent2 5 6" xfId="2083" xr:uid="{00000000-0005-0000-0000-0000D3000000}"/>
    <cellStyle name="20% - Accent2 5 7" xfId="6822" xr:uid="{00000000-0005-0000-0000-0000D4000000}"/>
    <cellStyle name="20% - Accent2 5 8" xfId="6823" xr:uid="{00000000-0005-0000-0000-0000D5000000}"/>
    <cellStyle name="20% - Accent2 5 9" xfId="6824" xr:uid="{00000000-0005-0000-0000-0000D6000000}"/>
    <cellStyle name="20% - Accent2 6" xfId="77" xr:uid="{00000000-0005-0000-0000-0000D7000000}"/>
    <cellStyle name="20% - Accent2 6 2" xfId="78" xr:uid="{00000000-0005-0000-0000-0000D8000000}"/>
    <cellStyle name="20% - Accent2 6 3" xfId="2084" xr:uid="{00000000-0005-0000-0000-0000D9000000}"/>
    <cellStyle name="20% - Accent2 7" xfId="79" xr:uid="{00000000-0005-0000-0000-0000DA000000}"/>
    <cellStyle name="20% - Accent2 7 2" xfId="80" xr:uid="{00000000-0005-0000-0000-0000DB000000}"/>
    <cellStyle name="20% - Accent2 7 3" xfId="2085" xr:uid="{00000000-0005-0000-0000-0000DC000000}"/>
    <cellStyle name="20% - Accent2 8" xfId="81" xr:uid="{00000000-0005-0000-0000-0000DD000000}"/>
    <cellStyle name="20% - Accent2 8 2" xfId="82" xr:uid="{00000000-0005-0000-0000-0000DE000000}"/>
    <cellStyle name="20% - Accent2 8 3" xfId="2086" xr:uid="{00000000-0005-0000-0000-0000DF000000}"/>
    <cellStyle name="20% - Accent2 9" xfId="83" xr:uid="{00000000-0005-0000-0000-0000E0000000}"/>
    <cellStyle name="20% - Accent2 9 2" xfId="2087" xr:uid="{00000000-0005-0000-0000-0000E1000000}"/>
    <cellStyle name="20% - Accent3 10" xfId="84" xr:uid="{00000000-0005-0000-0000-0000E2000000}"/>
    <cellStyle name="20% - Accent3 10 2" xfId="2088" xr:uid="{00000000-0005-0000-0000-0000E3000000}"/>
    <cellStyle name="20% - Accent3 11" xfId="85" xr:uid="{00000000-0005-0000-0000-0000E4000000}"/>
    <cellStyle name="20% - Accent3 11 2" xfId="7788" xr:uid="{00000000-0005-0000-0000-0000E5000000}"/>
    <cellStyle name="20% - Accent3 12" xfId="86" xr:uid="{00000000-0005-0000-0000-0000E6000000}"/>
    <cellStyle name="20% - Accent3 12 2" xfId="7789" xr:uid="{00000000-0005-0000-0000-0000E7000000}"/>
    <cellStyle name="20% - Accent3 13" xfId="87" xr:uid="{00000000-0005-0000-0000-0000E8000000}"/>
    <cellStyle name="20% - Accent3 13 2" xfId="7790" xr:uid="{00000000-0005-0000-0000-0000E9000000}"/>
    <cellStyle name="20% - Accent3 14" xfId="88" xr:uid="{00000000-0005-0000-0000-0000EA000000}"/>
    <cellStyle name="20% - Accent3 14 2" xfId="7791" xr:uid="{00000000-0005-0000-0000-0000EB000000}"/>
    <cellStyle name="20% - Accent3 15" xfId="2089" xr:uid="{00000000-0005-0000-0000-0000EC000000}"/>
    <cellStyle name="20% - Accent3 15 2" xfId="7792" xr:uid="{00000000-0005-0000-0000-0000ED000000}"/>
    <cellStyle name="20% - Accent3 16" xfId="2090" xr:uid="{00000000-0005-0000-0000-0000EE000000}"/>
    <cellStyle name="20% - Accent3 16 2" xfId="7793" xr:uid="{00000000-0005-0000-0000-0000EF000000}"/>
    <cellStyle name="20% - Accent3 17" xfId="2091" xr:uid="{00000000-0005-0000-0000-0000F0000000}"/>
    <cellStyle name="20% - Accent3 17 2" xfId="7794" xr:uid="{00000000-0005-0000-0000-0000F1000000}"/>
    <cellStyle name="20% - Accent3 18" xfId="2092" xr:uid="{00000000-0005-0000-0000-0000F2000000}"/>
    <cellStyle name="20% - Accent3 18 2" xfId="7795" xr:uid="{00000000-0005-0000-0000-0000F3000000}"/>
    <cellStyle name="20% - Accent3 19" xfId="2093" xr:uid="{00000000-0005-0000-0000-0000F4000000}"/>
    <cellStyle name="20% - Accent3 19 2" xfId="7796" xr:uid="{00000000-0005-0000-0000-0000F5000000}"/>
    <cellStyle name="20% - Accent3 2" xfId="89" xr:uid="{00000000-0005-0000-0000-0000F6000000}"/>
    <cellStyle name="20% - Accent3 2 10" xfId="6825" xr:uid="{00000000-0005-0000-0000-0000F7000000}"/>
    <cellStyle name="20% - Accent3 2 11" xfId="6826" xr:uid="{00000000-0005-0000-0000-0000F8000000}"/>
    <cellStyle name="20% - Accent3 2 12" xfId="6827" xr:uid="{00000000-0005-0000-0000-0000F9000000}"/>
    <cellStyle name="20% - Accent3 2 13" xfId="6828" xr:uid="{00000000-0005-0000-0000-0000FA000000}"/>
    <cellStyle name="20% - Accent3 2 14" xfId="6829" xr:uid="{00000000-0005-0000-0000-0000FB000000}"/>
    <cellStyle name="20% - Accent3 2 15" xfId="6830" xr:uid="{00000000-0005-0000-0000-0000FC000000}"/>
    <cellStyle name="20% - Accent3 2 16" xfId="6831" xr:uid="{00000000-0005-0000-0000-0000FD000000}"/>
    <cellStyle name="20% - Accent3 2 17" xfId="6832" xr:uid="{00000000-0005-0000-0000-0000FE000000}"/>
    <cellStyle name="20% - Accent3 2 18" xfId="6833" xr:uid="{00000000-0005-0000-0000-0000FF000000}"/>
    <cellStyle name="20% - Accent3 2 19" xfId="6834" xr:uid="{00000000-0005-0000-0000-000000010000}"/>
    <cellStyle name="20% - Accent3 2 2" xfId="90" xr:uid="{00000000-0005-0000-0000-000001010000}"/>
    <cellStyle name="20% - Accent3 2 2 10" xfId="6835" xr:uid="{00000000-0005-0000-0000-000002010000}"/>
    <cellStyle name="20% - Accent3 2 2 11" xfId="6836" xr:uid="{00000000-0005-0000-0000-000003010000}"/>
    <cellStyle name="20% - Accent3 2 2 12" xfId="6837" xr:uid="{00000000-0005-0000-0000-000004010000}"/>
    <cellStyle name="20% - Accent3 2 2 13" xfId="6838" xr:uid="{00000000-0005-0000-0000-000005010000}"/>
    <cellStyle name="20% - Accent3 2 2 14" xfId="6839" xr:uid="{00000000-0005-0000-0000-000006010000}"/>
    <cellStyle name="20% - Accent3 2 2 2" xfId="91" xr:uid="{00000000-0005-0000-0000-000007010000}"/>
    <cellStyle name="20% - Accent3 2 2 3" xfId="2094" xr:uid="{00000000-0005-0000-0000-000008010000}"/>
    <cellStyle name="20% - Accent3 2 2 4" xfId="6840" xr:uid="{00000000-0005-0000-0000-000009010000}"/>
    <cellStyle name="20% - Accent3 2 2 5" xfId="6841" xr:uid="{00000000-0005-0000-0000-00000A010000}"/>
    <cellStyle name="20% - Accent3 2 2 6" xfId="6842" xr:uid="{00000000-0005-0000-0000-00000B010000}"/>
    <cellStyle name="20% - Accent3 2 2 7" xfId="6843" xr:uid="{00000000-0005-0000-0000-00000C010000}"/>
    <cellStyle name="20% - Accent3 2 2 8" xfId="6844" xr:uid="{00000000-0005-0000-0000-00000D010000}"/>
    <cellStyle name="20% - Accent3 2 2 9" xfId="6845" xr:uid="{00000000-0005-0000-0000-00000E010000}"/>
    <cellStyle name="20% - Accent3 2 20" xfId="15241" xr:uid="{00000000-0005-0000-0000-00000F010000}"/>
    <cellStyle name="20% - Accent3 2 3" xfId="92" xr:uid="{00000000-0005-0000-0000-000010010000}"/>
    <cellStyle name="20% - Accent3 2 4" xfId="93" xr:uid="{00000000-0005-0000-0000-000011010000}"/>
    <cellStyle name="20% - Accent3 2 5" xfId="94" xr:uid="{00000000-0005-0000-0000-000012010000}"/>
    <cellStyle name="20% - Accent3 2 6" xfId="95" xr:uid="{00000000-0005-0000-0000-000013010000}"/>
    <cellStyle name="20% - Accent3 2 7" xfId="96" xr:uid="{00000000-0005-0000-0000-000014010000}"/>
    <cellStyle name="20% - Accent3 2 8" xfId="97" xr:uid="{00000000-0005-0000-0000-000015010000}"/>
    <cellStyle name="20% - Accent3 2 9" xfId="98" xr:uid="{00000000-0005-0000-0000-000016010000}"/>
    <cellStyle name="20% - Accent3 20" xfId="2095" xr:uid="{00000000-0005-0000-0000-000017010000}"/>
    <cellStyle name="20% - Accent3 20 2" xfId="7797" xr:uid="{00000000-0005-0000-0000-000018010000}"/>
    <cellStyle name="20% - Accent3 21" xfId="7798" xr:uid="{00000000-0005-0000-0000-000019010000}"/>
    <cellStyle name="20% - Accent3 22" xfId="6485" xr:uid="{00000000-0005-0000-0000-00001A010000}"/>
    <cellStyle name="20% - Accent3 3" xfId="99" xr:uid="{00000000-0005-0000-0000-00001B010000}"/>
    <cellStyle name="20% - Accent3 3 10" xfId="2096" xr:uid="{00000000-0005-0000-0000-00001C010000}"/>
    <cellStyle name="20% - Accent3 3 11" xfId="2097" xr:uid="{00000000-0005-0000-0000-00001D010000}"/>
    <cellStyle name="20% - Accent3 3 12" xfId="2098" xr:uid="{00000000-0005-0000-0000-00001E010000}"/>
    <cellStyle name="20% - Accent3 3 13" xfId="2099" xr:uid="{00000000-0005-0000-0000-00001F010000}"/>
    <cellStyle name="20% - Accent3 3 14" xfId="2100" xr:uid="{00000000-0005-0000-0000-000020010000}"/>
    <cellStyle name="20% - Accent3 3 15" xfId="6846" xr:uid="{00000000-0005-0000-0000-000021010000}"/>
    <cellStyle name="20% - Accent3 3 2" xfId="100" xr:uid="{00000000-0005-0000-0000-000022010000}"/>
    <cellStyle name="20% - Accent3 3 3" xfId="101" xr:uid="{00000000-0005-0000-0000-000023010000}"/>
    <cellStyle name="20% - Accent3 3 4" xfId="102" xr:uid="{00000000-0005-0000-0000-000024010000}"/>
    <cellStyle name="20% - Accent3 3 5" xfId="103" xr:uid="{00000000-0005-0000-0000-000025010000}"/>
    <cellStyle name="20% - Accent3 3 6" xfId="2101" xr:uid="{00000000-0005-0000-0000-000026010000}"/>
    <cellStyle name="20% - Accent3 3 7" xfId="2102" xr:uid="{00000000-0005-0000-0000-000027010000}"/>
    <cellStyle name="20% - Accent3 3 8" xfId="2103" xr:uid="{00000000-0005-0000-0000-000028010000}"/>
    <cellStyle name="20% - Accent3 3 9" xfId="2104" xr:uid="{00000000-0005-0000-0000-000029010000}"/>
    <cellStyle name="20% - Accent3 4" xfId="104" xr:uid="{00000000-0005-0000-0000-00002A010000}"/>
    <cellStyle name="20% - Accent3 4 10" xfId="6847" xr:uid="{00000000-0005-0000-0000-00002B010000}"/>
    <cellStyle name="20% - Accent3 4 11" xfId="6848" xr:uid="{00000000-0005-0000-0000-00002C010000}"/>
    <cellStyle name="20% - Accent3 4 12" xfId="6849" xr:uid="{00000000-0005-0000-0000-00002D010000}"/>
    <cellStyle name="20% - Accent3 4 13" xfId="6850" xr:uid="{00000000-0005-0000-0000-00002E010000}"/>
    <cellStyle name="20% - Accent3 4 14" xfId="6851" xr:uid="{00000000-0005-0000-0000-00002F010000}"/>
    <cellStyle name="20% - Accent3 4 15" xfId="6852" xr:uid="{00000000-0005-0000-0000-000030010000}"/>
    <cellStyle name="20% - Accent3 4 2" xfId="105" xr:uid="{00000000-0005-0000-0000-000031010000}"/>
    <cellStyle name="20% - Accent3 4 3" xfId="106" xr:uid="{00000000-0005-0000-0000-000032010000}"/>
    <cellStyle name="20% - Accent3 4 4" xfId="107" xr:uid="{00000000-0005-0000-0000-000033010000}"/>
    <cellStyle name="20% - Accent3 4 5" xfId="108" xr:uid="{00000000-0005-0000-0000-000034010000}"/>
    <cellStyle name="20% - Accent3 4 6" xfId="2105" xr:uid="{00000000-0005-0000-0000-000035010000}"/>
    <cellStyle name="20% - Accent3 4 7" xfId="6853" xr:uid="{00000000-0005-0000-0000-000036010000}"/>
    <cellStyle name="20% - Accent3 4 8" xfId="6854" xr:uid="{00000000-0005-0000-0000-000037010000}"/>
    <cellStyle name="20% - Accent3 4 9" xfId="6855" xr:uid="{00000000-0005-0000-0000-000038010000}"/>
    <cellStyle name="20% - Accent3 5" xfId="109" xr:uid="{00000000-0005-0000-0000-000039010000}"/>
    <cellStyle name="20% - Accent3 5 10" xfId="6856" xr:uid="{00000000-0005-0000-0000-00003A010000}"/>
    <cellStyle name="20% - Accent3 5 11" xfId="6857" xr:uid="{00000000-0005-0000-0000-00003B010000}"/>
    <cellStyle name="20% - Accent3 5 12" xfId="6858" xr:uid="{00000000-0005-0000-0000-00003C010000}"/>
    <cellStyle name="20% - Accent3 5 13" xfId="6859" xr:uid="{00000000-0005-0000-0000-00003D010000}"/>
    <cellStyle name="20% - Accent3 5 14" xfId="6860" xr:uid="{00000000-0005-0000-0000-00003E010000}"/>
    <cellStyle name="20% - Accent3 5 15" xfId="6861" xr:uid="{00000000-0005-0000-0000-00003F010000}"/>
    <cellStyle name="20% - Accent3 5 2" xfId="110" xr:uid="{00000000-0005-0000-0000-000040010000}"/>
    <cellStyle name="20% - Accent3 5 3" xfId="111" xr:uid="{00000000-0005-0000-0000-000041010000}"/>
    <cellStyle name="20% - Accent3 5 4" xfId="112" xr:uid="{00000000-0005-0000-0000-000042010000}"/>
    <cellStyle name="20% - Accent3 5 5" xfId="113" xr:uid="{00000000-0005-0000-0000-000043010000}"/>
    <cellStyle name="20% - Accent3 5 6" xfId="2106" xr:uid="{00000000-0005-0000-0000-000044010000}"/>
    <cellStyle name="20% - Accent3 5 7" xfId="6862" xr:uid="{00000000-0005-0000-0000-000045010000}"/>
    <cellStyle name="20% - Accent3 5 8" xfId="6863" xr:uid="{00000000-0005-0000-0000-000046010000}"/>
    <cellStyle name="20% - Accent3 5 9" xfId="6864" xr:uid="{00000000-0005-0000-0000-000047010000}"/>
    <cellStyle name="20% - Accent3 6" xfId="114" xr:uid="{00000000-0005-0000-0000-000048010000}"/>
    <cellStyle name="20% - Accent3 6 2" xfId="115" xr:uid="{00000000-0005-0000-0000-000049010000}"/>
    <cellStyle name="20% - Accent3 6 3" xfId="2107" xr:uid="{00000000-0005-0000-0000-00004A010000}"/>
    <cellStyle name="20% - Accent3 7" xfId="116" xr:uid="{00000000-0005-0000-0000-00004B010000}"/>
    <cellStyle name="20% - Accent3 7 2" xfId="117" xr:uid="{00000000-0005-0000-0000-00004C010000}"/>
    <cellStyle name="20% - Accent3 7 3" xfId="2108" xr:uid="{00000000-0005-0000-0000-00004D010000}"/>
    <cellStyle name="20% - Accent3 8" xfId="118" xr:uid="{00000000-0005-0000-0000-00004E010000}"/>
    <cellStyle name="20% - Accent3 8 2" xfId="119" xr:uid="{00000000-0005-0000-0000-00004F010000}"/>
    <cellStyle name="20% - Accent3 8 3" xfId="2109" xr:uid="{00000000-0005-0000-0000-000050010000}"/>
    <cellStyle name="20% - Accent3 9" xfId="120" xr:uid="{00000000-0005-0000-0000-000051010000}"/>
    <cellStyle name="20% - Accent3 9 2" xfId="2110" xr:uid="{00000000-0005-0000-0000-000052010000}"/>
    <cellStyle name="20% - Accent4 10" xfId="121" xr:uid="{00000000-0005-0000-0000-000053010000}"/>
    <cellStyle name="20% - Accent4 10 2" xfId="2111" xr:uid="{00000000-0005-0000-0000-000054010000}"/>
    <cellStyle name="20% - Accent4 11" xfId="122" xr:uid="{00000000-0005-0000-0000-000055010000}"/>
    <cellStyle name="20% - Accent4 11 2" xfId="7799" xr:uid="{00000000-0005-0000-0000-000056010000}"/>
    <cellStyle name="20% - Accent4 12" xfId="123" xr:uid="{00000000-0005-0000-0000-000057010000}"/>
    <cellStyle name="20% - Accent4 12 2" xfId="7800" xr:uid="{00000000-0005-0000-0000-000058010000}"/>
    <cellStyle name="20% - Accent4 13" xfId="124" xr:uid="{00000000-0005-0000-0000-000059010000}"/>
    <cellStyle name="20% - Accent4 13 2" xfId="7801" xr:uid="{00000000-0005-0000-0000-00005A010000}"/>
    <cellStyle name="20% - Accent4 14" xfId="125" xr:uid="{00000000-0005-0000-0000-00005B010000}"/>
    <cellStyle name="20% - Accent4 14 2" xfId="7802" xr:uid="{00000000-0005-0000-0000-00005C010000}"/>
    <cellStyle name="20% - Accent4 15" xfId="2112" xr:uid="{00000000-0005-0000-0000-00005D010000}"/>
    <cellStyle name="20% - Accent4 15 2" xfId="7803" xr:uid="{00000000-0005-0000-0000-00005E010000}"/>
    <cellStyle name="20% - Accent4 16" xfId="2113" xr:uid="{00000000-0005-0000-0000-00005F010000}"/>
    <cellStyle name="20% - Accent4 16 2" xfId="7804" xr:uid="{00000000-0005-0000-0000-000060010000}"/>
    <cellStyle name="20% - Accent4 17" xfId="2114" xr:uid="{00000000-0005-0000-0000-000061010000}"/>
    <cellStyle name="20% - Accent4 17 2" xfId="7805" xr:uid="{00000000-0005-0000-0000-000062010000}"/>
    <cellStyle name="20% - Accent4 18" xfId="2115" xr:uid="{00000000-0005-0000-0000-000063010000}"/>
    <cellStyle name="20% - Accent4 18 2" xfId="7806" xr:uid="{00000000-0005-0000-0000-000064010000}"/>
    <cellStyle name="20% - Accent4 19" xfId="2116" xr:uid="{00000000-0005-0000-0000-000065010000}"/>
    <cellStyle name="20% - Accent4 19 2" xfId="7807" xr:uid="{00000000-0005-0000-0000-000066010000}"/>
    <cellStyle name="20% - Accent4 2" xfId="126" xr:uid="{00000000-0005-0000-0000-000067010000}"/>
    <cellStyle name="20% - Accent4 2 10" xfId="6865" xr:uid="{00000000-0005-0000-0000-000068010000}"/>
    <cellStyle name="20% - Accent4 2 11" xfId="6866" xr:uid="{00000000-0005-0000-0000-000069010000}"/>
    <cellStyle name="20% - Accent4 2 12" xfId="6867" xr:uid="{00000000-0005-0000-0000-00006A010000}"/>
    <cellStyle name="20% - Accent4 2 13" xfId="6868" xr:uid="{00000000-0005-0000-0000-00006B010000}"/>
    <cellStyle name="20% - Accent4 2 14" xfId="6869" xr:uid="{00000000-0005-0000-0000-00006C010000}"/>
    <cellStyle name="20% - Accent4 2 15" xfId="6870" xr:uid="{00000000-0005-0000-0000-00006D010000}"/>
    <cellStyle name="20% - Accent4 2 16" xfId="6871" xr:uid="{00000000-0005-0000-0000-00006E010000}"/>
    <cellStyle name="20% - Accent4 2 17" xfId="6872" xr:uid="{00000000-0005-0000-0000-00006F010000}"/>
    <cellStyle name="20% - Accent4 2 18" xfId="6873" xr:uid="{00000000-0005-0000-0000-000070010000}"/>
    <cellStyle name="20% - Accent4 2 19" xfId="6874" xr:uid="{00000000-0005-0000-0000-000071010000}"/>
    <cellStyle name="20% - Accent4 2 2" xfId="127" xr:uid="{00000000-0005-0000-0000-000072010000}"/>
    <cellStyle name="20% - Accent4 2 2 10" xfId="6875" xr:uid="{00000000-0005-0000-0000-000073010000}"/>
    <cellStyle name="20% - Accent4 2 2 11" xfId="6876" xr:uid="{00000000-0005-0000-0000-000074010000}"/>
    <cellStyle name="20% - Accent4 2 2 12" xfId="6877" xr:uid="{00000000-0005-0000-0000-000075010000}"/>
    <cellStyle name="20% - Accent4 2 2 13" xfId="6878" xr:uid="{00000000-0005-0000-0000-000076010000}"/>
    <cellStyle name="20% - Accent4 2 2 14" xfId="6879" xr:uid="{00000000-0005-0000-0000-000077010000}"/>
    <cellStyle name="20% - Accent4 2 2 2" xfId="128" xr:uid="{00000000-0005-0000-0000-000078010000}"/>
    <cellStyle name="20% - Accent4 2 2 3" xfId="2117" xr:uid="{00000000-0005-0000-0000-000079010000}"/>
    <cellStyle name="20% - Accent4 2 2 4" xfId="6880" xr:uid="{00000000-0005-0000-0000-00007A010000}"/>
    <cellStyle name="20% - Accent4 2 2 5" xfId="6881" xr:uid="{00000000-0005-0000-0000-00007B010000}"/>
    <cellStyle name="20% - Accent4 2 2 6" xfId="6882" xr:uid="{00000000-0005-0000-0000-00007C010000}"/>
    <cellStyle name="20% - Accent4 2 2 7" xfId="6883" xr:uid="{00000000-0005-0000-0000-00007D010000}"/>
    <cellStyle name="20% - Accent4 2 2 8" xfId="6884" xr:uid="{00000000-0005-0000-0000-00007E010000}"/>
    <cellStyle name="20% - Accent4 2 2 9" xfId="6885" xr:uid="{00000000-0005-0000-0000-00007F010000}"/>
    <cellStyle name="20% - Accent4 2 20" xfId="15242" xr:uid="{00000000-0005-0000-0000-000080010000}"/>
    <cellStyle name="20% - Accent4 2 3" xfId="129" xr:uid="{00000000-0005-0000-0000-000081010000}"/>
    <cellStyle name="20% - Accent4 2 4" xfId="130" xr:uid="{00000000-0005-0000-0000-000082010000}"/>
    <cellStyle name="20% - Accent4 2 5" xfId="131" xr:uid="{00000000-0005-0000-0000-000083010000}"/>
    <cellStyle name="20% - Accent4 2 6" xfId="132" xr:uid="{00000000-0005-0000-0000-000084010000}"/>
    <cellStyle name="20% - Accent4 2 7" xfId="133" xr:uid="{00000000-0005-0000-0000-000085010000}"/>
    <cellStyle name="20% - Accent4 2 8" xfId="134" xr:uid="{00000000-0005-0000-0000-000086010000}"/>
    <cellStyle name="20% - Accent4 2 9" xfId="135" xr:uid="{00000000-0005-0000-0000-000087010000}"/>
    <cellStyle name="20% - Accent4 20" xfId="2118" xr:uid="{00000000-0005-0000-0000-000088010000}"/>
    <cellStyle name="20% - Accent4 20 2" xfId="7808" xr:uid="{00000000-0005-0000-0000-000089010000}"/>
    <cellStyle name="20% - Accent4 21" xfId="7809" xr:uid="{00000000-0005-0000-0000-00008A010000}"/>
    <cellStyle name="20% - Accent4 22" xfId="6486" xr:uid="{00000000-0005-0000-0000-00008B010000}"/>
    <cellStyle name="20% - Accent4 3" xfId="136" xr:uid="{00000000-0005-0000-0000-00008C010000}"/>
    <cellStyle name="20% - Accent4 3 10" xfId="2119" xr:uid="{00000000-0005-0000-0000-00008D010000}"/>
    <cellStyle name="20% - Accent4 3 11" xfId="2120" xr:uid="{00000000-0005-0000-0000-00008E010000}"/>
    <cellStyle name="20% - Accent4 3 12" xfId="2121" xr:uid="{00000000-0005-0000-0000-00008F010000}"/>
    <cellStyle name="20% - Accent4 3 13" xfId="2122" xr:uid="{00000000-0005-0000-0000-000090010000}"/>
    <cellStyle name="20% - Accent4 3 14" xfId="2123" xr:uid="{00000000-0005-0000-0000-000091010000}"/>
    <cellStyle name="20% - Accent4 3 15" xfId="6886" xr:uid="{00000000-0005-0000-0000-000092010000}"/>
    <cellStyle name="20% - Accent4 3 2" xfId="137" xr:uid="{00000000-0005-0000-0000-000093010000}"/>
    <cellStyle name="20% - Accent4 3 3" xfId="138" xr:uid="{00000000-0005-0000-0000-000094010000}"/>
    <cellStyle name="20% - Accent4 3 4" xfId="139" xr:uid="{00000000-0005-0000-0000-000095010000}"/>
    <cellStyle name="20% - Accent4 3 5" xfId="140" xr:uid="{00000000-0005-0000-0000-000096010000}"/>
    <cellStyle name="20% - Accent4 3 6" xfId="2124" xr:uid="{00000000-0005-0000-0000-000097010000}"/>
    <cellStyle name="20% - Accent4 3 7" xfId="2125" xr:uid="{00000000-0005-0000-0000-000098010000}"/>
    <cellStyle name="20% - Accent4 3 8" xfId="2126" xr:uid="{00000000-0005-0000-0000-000099010000}"/>
    <cellStyle name="20% - Accent4 3 9" xfId="2127" xr:uid="{00000000-0005-0000-0000-00009A010000}"/>
    <cellStyle name="20% - Accent4 4" xfId="141" xr:uid="{00000000-0005-0000-0000-00009B010000}"/>
    <cellStyle name="20% - Accent4 4 10" xfId="6887" xr:uid="{00000000-0005-0000-0000-00009C010000}"/>
    <cellStyle name="20% - Accent4 4 11" xfId="6888" xr:uid="{00000000-0005-0000-0000-00009D010000}"/>
    <cellStyle name="20% - Accent4 4 12" xfId="6889" xr:uid="{00000000-0005-0000-0000-00009E010000}"/>
    <cellStyle name="20% - Accent4 4 13" xfId="6890" xr:uid="{00000000-0005-0000-0000-00009F010000}"/>
    <cellStyle name="20% - Accent4 4 14" xfId="6891" xr:uid="{00000000-0005-0000-0000-0000A0010000}"/>
    <cellStyle name="20% - Accent4 4 15" xfId="6892" xr:uid="{00000000-0005-0000-0000-0000A1010000}"/>
    <cellStyle name="20% - Accent4 4 2" xfId="142" xr:uid="{00000000-0005-0000-0000-0000A2010000}"/>
    <cellStyle name="20% - Accent4 4 3" xfId="143" xr:uid="{00000000-0005-0000-0000-0000A3010000}"/>
    <cellStyle name="20% - Accent4 4 4" xfId="144" xr:uid="{00000000-0005-0000-0000-0000A4010000}"/>
    <cellStyle name="20% - Accent4 4 5" xfId="145" xr:uid="{00000000-0005-0000-0000-0000A5010000}"/>
    <cellStyle name="20% - Accent4 4 6" xfId="2128" xr:uid="{00000000-0005-0000-0000-0000A6010000}"/>
    <cellStyle name="20% - Accent4 4 7" xfId="6893" xr:uid="{00000000-0005-0000-0000-0000A7010000}"/>
    <cellStyle name="20% - Accent4 4 8" xfId="6894" xr:uid="{00000000-0005-0000-0000-0000A8010000}"/>
    <cellStyle name="20% - Accent4 4 9" xfId="6895" xr:uid="{00000000-0005-0000-0000-0000A9010000}"/>
    <cellStyle name="20% - Accent4 5" xfId="146" xr:uid="{00000000-0005-0000-0000-0000AA010000}"/>
    <cellStyle name="20% - Accent4 5 10" xfId="6896" xr:uid="{00000000-0005-0000-0000-0000AB010000}"/>
    <cellStyle name="20% - Accent4 5 11" xfId="6897" xr:uid="{00000000-0005-0000-0000-0000AC010000}"/>
    <cellStyle name="20% - Accent4 5 12" xfId="6898" xr:uid="{00000000-0005-0000-0000-0000AD010000}"/>
    <cellStyle name="20% - Accent4 5 13" xfId="6899" xr:uid="{00000000-0005-0000-0000-0000AE010000}"/>
    <cellStyle name="20% - Accent4 5 14" xfId="6900" xr:uid="{00000000-0005-0000-0000-0000AF010000}"/>
    <cellStyle name="20% - Accent4 5 15" xfId="6901" xr:uid="{00000000-0005-0000-0000-0000B0010000}"/>
    <cellStyle name="20% - Accent4 5 2" xfId="147" xr:uid="{00000000-0005-0000-0000-0000B1010000}"/>
    <cellStyle name="20% - Accent4 5 3" xfId="148" xr:uid="{00000000-0005-0000-0000-0000B2010000}"/>
    <cellStyle name="20% - Accent4 5 4" xfId="149" xr:uid="{00000000-0005-0000-0000-0000B3010000}"/>
    <cellStyle name="20% - Accent4 5 5" xfId="150" xr:uid="{00000000-0005-0000-0000-0000B4010000}"/>
    <cellStyle name="20% - Accent4 5 6" xfId="2129" xr:uid="{00000000-0005-0000-0000-0000B5010000}"/>
    <cellStyle name="20% - Accent4 5 7" xfId="6902" xr:uid="{00000000-0005-0000-0000-0000B6010000}"/>
    <cellStyle name="20% - Accent4 5 8" xfId="6903" xr:uid="{00000000-0005-0000-0000-0000B7010000}"/>
    <cellStyle name="20% - Accent4 5 9" xfId="6904" xr:uid="{00000000-0005-0000-0000-0000B8010000}"/>
    <cellStyle name="20% - Accent4 6" xfId="151" xr:uid="{00000000-0005-0000-0000-0000B9010000}"/>
    <cellStyle name="20% - Accent4 6 2" xfId="152" xr:uid="{00000000-0005-0000-0000-0000BA010000}"/>
    <cellStyle name="20% - Accent4 6 3" xfId="2130" xr:uid="{00000000-0005-0000-0000-0000BB010000}"/>
    <cellStyle name="20% - Accent4 7" xfId="153" xr:uid="{00000000-0005-0000-0000-0000BC010000}"/>
    <cellStyle name="20% - Accent4 7 2" xfId="154" xr:uid="{00000000-0005-0000-0000-0000BD010000}"/>
    <cellStyle name="20% - Accent4 7 3" xfId="2131" xr:uid="{00000000-0005-0000-0000-0000BE010000}"/>
    <cellStyle name="20% - Accent4 8" xfId="155" xr:uid="{00000000-0005-0000-0000-0000BF010000}"/>
    <cellStyle name="20% - Accent4 8 2" xfId="156" xr:uid="{00000000-0005-0000-0000-0000C0010000}"/>
    <cellStyle name="20% - Accent4 8 3" xfId="2132" xr:uid="{00000000-0005-0000-0000-0000C1010000}"/>
    <cellStyle name="20% - Accent4 9" xfId="157" xr:uid="{00000000-0005-0000-0000-0000C2010000}"/>
    <cellStyle name="20% - Accent4 9 2" xfId="2133" xr:uid="{00000000-0005-0000-0000-0000C3010000}"/>
    <cellStyle name="20% - Accent5 10" xfId="158" xr:uid="{00000000-0005-0000-0000-0000C4010000}"/>
    <cellStyle name="20% - Accent5 10 2" xfId="2134" xr:uid="{00000000-0005-0000-0000-0000C5010000}"/>
    <cellStyle name="20% - Accent5 11" xfId="159" xr:uid="{00000000-0005-0000-0000-0000C6010000}"/>
    <cellStyle name="20% - Accent5 11 2" xfId="7810" xr:uid="{00000000-0005-0000-0000-0000C7010000}"/>
    <cellStyle name="20% - Accent5 12" xfId="160" xr:uid="{00000000-0005-0000-0000-0000C8010000}"/>
    <cellStyle name="20% - Accent5 12 2" xfId="7811" xr:uid="{00000000-0005-0000-0000-0000C9010000}"/>
    <cellStyle name="20% - Accent5 13" xfId="161" xr:uid="{00000000-0005-0000-0000-0000CA010000}"/>
    <cellStyle name="20% - Accent5 13 2" xfId="7812" xr:uid="{00000000-0005-0000-0000-0000CB010000}"/>
    <cellStyle name="20% - Accent5 14" xfId="162" xr:uid="{00000000-0005-0000-0000-0000CC010000}"/>
    <cellStyle name="20% - Accent5 14 2" xfId="7813" xr:uid="{00000000-0005-0000-0000-0000CD010000}"/>
    <cellStyle name="20% - Accent5 15" xfId="2135" xr:uid="{00000000-0005-0000-0000-0000CE010000}"/>
    <cellStyle name="20% - Accent5 15 2" xfId="7814" xr:uid="{00000000-0005-0000-0000-0000CF010000}"/>
    <cellStyle name="20% - Accent5 16" xfId="2136" xr:uid="{00000000-0005-0000-0000-0000D0010000}"/>
    <cellStyle name="20% - Accent5 16 2" xfId="7815" xr:uid="{00000000-0005-0000-0000-0000D1010000}"/>
    <cellStyle name="20% - Accent5 17" xfId="2137" xr:uid="{00000000-0005-0000-0000-0000D2010000}"/>
    <cellStyle name="20% - Accent5 17 2" xfId="7816" xr:uid="{00000000-0005-0000-0000-0000D3010000}"/>
    <cellStyle name="20% - Accent5 18" xfId="2138" xr:uid="{00000000-0005-0000-0000-0000D4010000}"/>
    <cellStyle name="20% - Accent5 18 2" xfId="7817" xr:uid="{00000000-0005-0000-0000-0000D5010000}"/>
    <cellStyle name="20% - Accent5 19" xfId="2139" xr:uid="{00000000-0005-0000-0000-0000D6010000}"/>
    <cellStyle name="20% - Accent5 19 2" xfId="7818" xr:uid="{00000000-0005-0000-0000-0000D7010000}"/>
    <cellStyle name="20% - Accent5 2" xfId="163" xr:uid="{00000000-0005-0000-0000-0000D8010000}"/>
    <cellStyle name="20% - Accent5 2 10" xfId="6905" xr:uid="{00000000-0005-0000-0000-0000D9010000}"/>
    <cellStyle name="20% - Accent5 2 11" xfId="6906" xr:uid="{00000000-0005-0000-0000-0000DA010000}"/>
    <cellStyle name="20% - Accent5 2 12" xfId="6907" xr:uid="{00000000-0005-0000-0000-0000DB010000}"/>
    <cellStyle name="20% - Accent5 2 13" xfId="6908" xr:uid="{00000000-0005-0000-0000-0000DC010000}"/>
    <cellStyle name="20% - Accent5 2 14" xfId="6909" xr:uid="{00000000-0005-0000-0000-0000DD010000}"/>
    <cellStyle name="20% - Accent5 2 15" xfId="6910" xr:uid="{00000000-0005-0000-0000-0000DE010000}"/>
    <cellStyle name="20% - Accent5 2 16" xfId="6911" xr:uid="{00000000-0005-0000-0000-0000DF010000}"/>
    <cellStyle name="20% - Accent5 2 17" xfId="6912" xr:uid="{00000000-0005-0000-0000-0000E0010000}"/>
    <cellStyle name="20% - Accent5 2 18" xfId="6913" xr:uid="{00000000-0005-0000-0000-0000E1010000}"/>
    <cellStyle name="20% - Accent5 2 19" xfId="6914" xr:uid="{00000000-0005-0000-0000-0000E2010000}"/>
    <cellStyle name="20% - Accent5 2 2" xfId="164" xr:uid="{00000000-0005-0000-0000-0000E3010000}"/>
    <cellStyle name="20% - Accent5 2 2 10" xfId="6915" xr:uid="{00000000-0005-0000-0000-0000E4010000}"/>
    <cellStyle name="20% - Accent5 2 2 11" xfId="6916" xr:uid="{00000000-0005-0000-0000-0000E5010000}"/>
    <cellStyle name="20% - Accent5 2 2 12" xfId="6917" xr:uid="{00000000-0005-0000-0000-0000E6010000}"/>
    <cellStyle name="20% - Accent5 2 2 13" xfId="6918" xr:uid="{00000000-0005-0000-0000-0000E7010000}"/>
    <cellStyle name="20% - Accent5 2 2 14" xfId="6919" xr:uid="{00000000-0005-0000-0000-0000E8010000}"/>
    <cellStyle name="20% - Accent5 2 2 2" xfId="165" xr:uid="{00000000-0005-0000-0000-0000E9010000}"/>
    <cellStyle name="20% - Accent5 2 2 3" xfId="2140" xr:uid="{00000000-0005-0000-0000-0000EA010000}"/>
    <cellStyle name="20% - Accent5 2 2 4" xfId="6920" xr:uid="{00000000-0005-0000-0000-0000EB010000}"/>
    <cellStyle name="20% - Accent5 2 2 5" xfId="6921" xr:uid="{00000000-0005-0000-0000-0000EC010000}"/>
    <cellStyle name="20% - Accent5 2 2 6" xfId="6922" xr:uid="{00000000-0005-0000-0000-0000ED010000}"/>
    <cellStyle name="20% - Accent5 2 2 7" xfId="6923" xr:uid="{00000000-0005-0000-0000-0000EE010000}"/>
    <cellStyle name="20% - Accent5 2 2 8" xfId="6924" xr:uid="{00000000-0005-0000-0000-0000EF010000}"/>
    <cellStyle name="20% - Accent5 2 2 9" xfId="6925" xr:uid="{00000000-0005-0000-0000-0000F0010000}"/>
    <cellStyle name="20% - Accent5 2 20" xfId="15243" xr:uid="{00000000-0005-0000-0000-0000F1010000}"/>
    <cellStyle name="20% - Accent5 2 3" xfId="166" xr:uid="{00000000-0005-0000-0000-0000F2010000}"/>
    <cellStyle name="20% - Accent5 2 4" xfId="167" xr:uid="{00000000-0005-0000-0000-0000F3010000}"/>
    <cellStyle name="20% - Accent5 2 5" xfId="168" xr:uid="{00000000-0005-0000-0000-0000F4010000}"/>
    <cellStyle name="20% - Accent5 2 6" xfId="169" xr:uid="{00000000-0005-0000-0000-0000F5010000}"/>
    <cellStyle name="20% - Accent5 2 7" xfId="170" xr:uid="{00000000-0005-0000-0000-0000F6010000}"/>
    <cellStyle name="20% - Accent5 2 8" xfId="171" xr:uid="{00000000-0005-0000-0000-0000F7010000}"/>
    <cellStyle name="20% - Accent5 2 9" xfId="172" xr:uid="{00000000-0005-0000-0000-0000F8010000}"/>
    <cellStyle name="20% - Accent5 20" xfId="2141" xr:uid="{00000000-0005-0000-0000-0000F9010000}"/>
    <cellStyle name="20% - Accent5 20 2" xfId="7819" xr:uid="{00000000-0005-0000-0000-0000FA010000}"/>
    <cellStyle name="20% - Accent5 21" xfId="7820" xr:uid="{00000000-0005-0000-0000-0000FB010000}"/>
    <cellStyle name="20% - Accent5 22" xfId="6487" xr:uid="{00000000-0005-0000-0000-0000FC010000}"/>
    <cellStyle name="20% - Accent5 3" xfId="173" xr:uid="{00000000-0005-0000-0000-0000FD010000}"/>
    <cellStyle name="20% - Accent5 3 10" xfId="2142" xr:uid="{00000000-0005-0000-0000-0000FE010000}"/>
    <cellStyle name="20% - Accent5 3 11" xfId="2143" xr:uid="{00000000-0005-0000-0000-0000FF010000}"/>
    <cellStyle name="20% - Accent5 3 12" xfId="2144" xr:uid="{00000000-0005-0000-0000-000000020000}"/>
    <cellStyle name="20% - Accent5 3 13" xfId="2145" xr:uid="{00000000-0005-0000-0000-000001020000}"/>
    <cellStyle name="20% - Accent5 3 14" xfId="2146" xr:uid="{00000000-0005-0000-0000-000002020000}"/>
    <cellStyle name="20% - Accent5 3 15" xfId="6926" xr:uid="{00000000-0005-0000-0000-000003020000}"/>
    <cellStyle name="20% - Accent5 3 2" xfId="174" xr:uid="{00000000-0005-0000-0000-000004020000}"/>
    <cellStyle name="20% - Accent5 3 3" xfId="175" xr:uid="{00000000-0005-0000-0000-000005020000}"/>
    <cellStyle name="20% - Accent5 3 4" xfId="176" xr:uid="{00000000-0005-0000-0000-000006020000}"/>
    <cellStyle name="20% - Accent5 3 5" xfId="177" xr:uid="{00000000-0005-0000-0000-000007020000}"/>
    <cellStyle name="20% - Accent5 3 6" xfId="2147" xr:uid="{00000000-0005-0000-0000-000008020000}"/>
    <cellStyle name="20% - Accent5 3 7" xfId="2148" xr:uid="{00000000-0005-0000-0000-000009020000}"/>
    <cellStyle name="20% - Accent5 3 8" xfId="2149" xr:uid="{00000000-0005-0000-0000-00000A020000}"/>
    <cellStyle name="20% - Accent5 3 9" xfId="2150" xr:uid="{00000000-0005-0000-0000-00000B020000}"/>
    <cellStyle name="20% - Accent5 4" xfId="178" xr:uid="{00000000-0005-0000-0000-00000C020000}"/>
    <cellStyle name="20% - Accent5 4 10" xfId="6927" xr:uid="{00000000-0005-0000-0000-00000D020000}"/>
    <cellStyle name="20% - Accent5 4 11" xfId="6928" xr:uid="{00000000-0005-0000-0000-00000E020000}"/>
    <cellStyle name="20% - Accent5 4 12" xfId="6929" xr:uid="{00000000-0005-0000-0000-00000F020000}"/>
    <cellStyle name="20% - Accent5 4 13" xfId="6930" xr:uid="{00000000-0005-0000-0000-000010020000}"/>
    <cellStyle name="20% - Accent5 4 14" xfId="6931" xr:uid="{00000000-0005-0000-0000-000011020000}"/>
    <cellStyle name="20% - Accent5 4 15" xfId="6932" xr:uid="{00000000-0005-0000-0000-000012020000}"/>
    <cellStyle name="20% - Accent5 4 2" xfId="179" xr:uid="{00000000-0005-0000-0000-000013020000}"/>
    <cellStyle name="20% - Accent5 4 3" xfId="180" xr:uid="{00000000-0005-0000-0000-000014020000}"/>
    <cellStyle name="20% - Accent5 4 4" xfId="181" xr:uid="{00000000-0005-0000-0000-000015020000}"/>
    <cellStyle name="20% - Accent5 4 5" xfId="182" xr:uid="{00000000-0005-0000-0000-000016020000}"/>
    <cellStyle name="20% - Accent5 4 6" xfId="2151" xr:uid="{00000000-0005-0000-0000-000017020000}"/>
    <cellStyle name="20% - Accent5 4 7" xfId="6933" xr:uid="{00000000-0005-0000-0000-000018020000}"/>
    <cellStyle name="20% - Accent5 4 8" xfId="6934" xr:uid="{00000000-0005-0000-0000-000019020000}"/>
    <cellStyle name="20% - Accent5 4 9" xfId="6935" xr:uid="{00000000-0005-0000-0000-00001A020000}"/>
    <cellStyle name="20% - Accent5 5" xfId="183" xr:uid="{00000000-0005-0000-0000-00001B020000}"/>
    <cellStyle name="20% - Accent5 5 10" xfId="6936" xr:uid="{00000000-0005-0000-0000-00001C020000}"/>
    <cellStyle name="20% - Accent5 5 11" xfId="6937" xr:uid="{00000000-0005-0000-0000-00001D020000}"/>
    <cellStyle name="20% - Accent5 5 12" xfId="6938" xr:uid="{00000000-0005-0000-0000-00001E020000}"/>
    <cellStyle name="20% - Accent5 5 13" xfId="6939" xr:uid="{00000000-0005-0000-0000-00001F020000}"/>
    <cellStyle name="20% - Accent5 5 14" xfId="6940" xr:uid="{00000000-0005-0000-0000-000020020000}"/>
    <cellStyle name="20% - Accent5 5 15" xfId="6941" xr:uid="{00000000-0005-0000-0000-000021020000}"/>
    <cellStyle name="20% - Accent5 5 2" xfId="184" xr:uid="{00000000-0005-0000-0000-000022020000}"/>
    <cellStyle name="20% - Accent5 5 3" xfId="185" xr:uid="{00000000-0005-0000-0000-000023020000}"/>
    <cellStyle name="20% - Accent5 5 4" xfId="186" xr:uid="{00000000-0005-0000-0000-000024020000}"/>
    <cellStyle name="20% - Accent5 5 5" xfId="187" xr:uid="{00000000-0005-0000-0000-000025020000}"/>
    <cellStyle name="20% - Accent5 5 6" xfId="2152" xr:uid="{00000000-0005-0000-0000-000026020000}"/>
    <cellStyle name="20% - Accent5 5 7" xfId="6942" xr:uid="{00000000-0005-0000-0000-000027020000}"/>
    <cellStyle name="20% - Accent5 5 8" xfId="6943" xr:uid="{00000000-0005-0000-0000-000028020000}"/>
    <cellStyle name="20% - Accent5 5 9" xfId="6944" xr:uid="{00000000-0005-0000-0000-000029020000}"/>
    <cellStyle name="20% - Accent5 6" xfId="188" xr:uid="{00000000-0005-0000-0000-00002A020000}"/>
    <cellStyle name="20% - Accent5 6 2" xfId="189" xr:uid="{00000000-0005-0000-0000-00002B020000}"/>
    <cellStyle name="20% - Accent5 6 3" xfId="2153" xr:uid="{00000000-0005-0000-0000-00002C020000}"/>
    <cellStyle name="20% - Accent5 7" xfId="190" xr:uid="{00000000-0005-0000-0000-00002D020000}"/>
    <cellStyle name="20% - Accent5 7 2" xfId="191" xr:uid="{00000000-0005-0000-0000-00002E020000}"/>
    <cellStyle name="20% - Accent5 7 3" xfId="2154" xr:uid="{00000000-0005-0000-0000-00002F020000}"/>
    <cellStyle name="20% - Accent5 8" xfId="192" xr:uid="{00000000-0005-0000-0000-000030020000}"/>
    <cellStyle name="20% - Accent5 8 2" xfId="193" xr:uid="{00000000-0005-0000-0000-000031020000}"/>
    <cellStyle name="20% - Accent5 8 3" xfId="2155" xr:uid="{00000000-0005-0000-0000-000032020000}"/>
    <cellStyle name="20% - Accent5 9" xfId="194" xr:uid="{00000000-0005-0000-0000-000033020000}"/>
    <cellStyle name="20% - Accent5 9 2" xfId="2156" xr:uid="{00000000-0005-0000-0000-000034020000}"/>
    <cellStyle name="20% - Accent6 10" xfId="195" xr:uid="{00000000-0005-0000-0000-000035020000}"/>
    <cellStyle name="20% - Accent6 10 2" xfId="2157" xr:uid="{00000000-0005-0000-0000-000036020000}"/>
    <cellStyle name="20% - Accent6 11" xfId="196" xr:uid="{00000000-0005-0000-0000-000037020000}"/>
    <cellStyle name="20% - Accent6 11 2" xfId="7821" xr:uid="{00000000-0005-0000-0000-000038020000}"/>
    <cellStyle name="20% - Accent6 12" xfId="197" xr:uid="{00000000-0005-0000-0000-000039020000}"/>
    <cellStyle name="20% - Accent6 12 2" xfId="7822" xr:uid="{00000000-0005-0000-0000-00003A020000}"/>
    <cellStyle name="20% - Accent6 13" xfId="198" xr:uid="{00000000-0005-0000-0000-00003B020000}"/>
    <cellStyle name="20% - Accent6 13 2" xfId="7823" xr:uid="{00000000-0005-0000-0000-00003C020000}"/>
    <cellStyle name="20% - Accent6 14" xfId="199" xr:uid="{00000000-0005-0000-0000-00003D020000}"/>
    <cellStyle name="20% - Accent6 14 2" xfId="7824" xr:uid="{00000000-0005-0000-0000-00003E020000}"/>
    <cellStyle name="20% - Accent6 15" xfId="2158" xr:uid="{00000000-0005-0000-0000-00003F020000}"/>
    <cellStyle name="20% - Accent6 15 2" xfId="7825" xr:uid="{00000000-0005-0000-0000-000040020000}"/>
    <cellStyle name="20% - Accent6 16" xfId="2159" xr:uid="{00000000-0005-0000-0000-000041020000}"/>
    <cellStyle name="20% - Accent6 16 2" xfId="7826" xr:uid="{00000000-0005-0000-0000-000042020000}"/>
    <cellStyle name="20% - Accent6 17" xfId="2160" xr:uid="{00000000-0005-0000-0000-000043020000}"/>
    <cellStyle name="20% - Accent6 17 2" xfId="7827" xr:uid="{00000000-0005-0000-0000-000044020000}"/>
    <cellStyle name="20% - Accent6 18" xfId="2161" xr:uid="{00000000-0005-0000-0000-000045020000}"/>
    <cellStyle name="20% - Accent6 18 2" xfId="7828" xr:uid="{00000000-0005-0000-0000-000046020000}"/>
    <cellStyle name="20% - Accent6 19" xfId="2162" xr:uid="{00000000-0005-0000-0000-000047020000}"/>
    <cellStyle name="20% - Accent6 19 2" xfId="7829" xr:uid="{00000000-0005-0000-0000-000048020000}"/>
    <cellStyle name="20% - Accent6 2" xfId="200" xr:uid="{00000000-0005-0000-0000-000049020000}"/>
    <cellStyle name="20% - Accent6 2 10" xfId="6945" xr:uid="{00000000-0005-0000-0000-00004A020000}"/>
    <cellStyle name="20% - Accent6 2 11" xfId="6946" xr:uid="{00000000-0005-0000-0000-00004B020000}"/>
    <cellStyle name="20% - Accent6 2 12" xfId="6947" xr:uid="{00000000-0005-0000-0000-00004C020000}"/>
    <cellStyle name="20% - Accent6 2 13" xfId="6948" xr:uid="{00000000-0005-0000-0000-00004D020000}"/>
    <cellStyle name="20% - Accent6 2 14" xfId="6949" xr:uid="{00000000-0005-0000-0000-00004E020000}"/>
    <cellStyle name="20% - Accent6 2 15" xfId="6950" xr:uid="{00000000-0005-0000-0000-00004F020000}"/>
    <cellStyle name="20% - Accent6 2 16" xfId="6951" xr:uid="{00000000-0005-0000-0000-000050020000}"/>
    <cellStyle name="20% - Accent6 2 17" xfId="6952" xr:uid="{00000000-0005-0000-0000-000051020000}"/>
    <cellStyle name="20% - Accent6 2 18" xfId="6953" xr:uid="{00000000-0005-0000-0000-000052020000}"/>
    <cellStyle name="20% - Accent6 2 19" xfId="6954" xr:uid="{00000000-0005-0000-0000-000053020000}"/>
    <cellStyle name="20% - Accent6 2 2" xfId="201" xr:uid="{00000000-0005-0000-0000-000054020000}"/>
    <cellStyle name="20% - Accent6 2 2 10" xfId="6955" xr:uid="{00000000-0005-0000-0000-000055020000}"/>
    <cellStyle name="20% - Accent6 2 2 11" xfId="6956" xr:uid="{00000000-0005-0000-0000-000056020000}"/>
    <cellStyle name="20% - Accent6 2 2 12" xfId="6957" xr:uid="{00000000-0005-0000-0000-000057020000}"/>
    <cellStyle name="20% - Accent6 2 2 13" xfId="6958" xr:uid="{00000000-0005-0000-0000-000058020000}"/>
    <cellStyle name="20% - Accent6 2 2 14" xfId="6959" xr:uid="{00000000-0005-0000-0000-000059020000}"/>
    <cellStyle name="20% - Accent6 2 2 2" xfId="202" xr:uid="{00000000-0005-0000-0000-00005A020000}"/>
    <cellStyle name="20% - Accent6 2 2 3" xfId="2163" xr:uid="{00000000-0005-0000-0000-00005B020000}"/>
    <cellStyle name="20% - Accent6 2 2 4" xfId="6960" xr:uid="{00000000-0005-0000-0000-00005C020000}"/>
    <cellStyle name="20% - Accent6 2 2 5" xfId="6961" xr:uid="{00000000-0005-0000-0000-00005D020000}"/>
    <cellStyle name="20% - Accent6 2 2 6" xfId="6962" xr:uid="{00000000-0005-0000-0000-00005E020000}"/>
    <cellStyle name="20% - Accent6 2 2 7" xfId="6963" xr:uid="{00000000-0005-0000-0000-00005F020000}"/>
    <cellStyle name="20% - Accent6 2 2 8" xfId="6964" xr:uid="{00000000-0005-0000-0000-000060020000}"/>
    <cellStyle name="20% - Accent6 2 2 9" xfId="6965" xr:uid="{00000000-0005-0000-0000-000061020000}"/>
    <cellStyle name="20% - Accent6 2 20" xfId="15244" xr:uid="{00000000-0005-0000-0000-000062020000}"/>
    <cellStyle name="20% - Accent6 2 3" xfId="203" xr:uid="{00000000-0005-0000-0000-000063020000}"/>
    <cellStyle name="20% - Accent6 2 4" xfId="204" xr:uid="{00000000-0005-0000-0000-000064020000}"/>
    <cellStyle name="20% - Accent6 2 5" xfId="205" xr:uid="{00000000-0005-0000-0000-000065020000}"/>
    <cellStyle name="20% - Accent6 2 6" xfId="206" xr:uid="{00000000-0005-0000-0000-000066020000}"/>
    <cellStyle name="20% - Accent6 2 7" xfId="207" xr:uid="{00000000-0005-0000-0000-000067020000}"/>
    <cellStyle name="20% - Accent6 2 8" xfId="208" xr:uid="{00000000-0005-0000-0000-000068020000}"/>
    <cellStyle name="20% - Accent6 2 9" xfId="209" xr:uid="{00000000-0005-0000-0000-000069020000}"/>
    <cellStyle name="20% - Accent6 20" xfId="2164" xr:uid="{00000000-0005-0000-0000-00006A020000}"/>
    <cellStyle name="20% - Accent6 20 2" xfId="7830" xr:uid="{00000000-0005-0000-0000-00006B020000}"/>
    <cellStyle name="20% - Accent6 21" xfId="7831" xr:uid="{00000000-0005-0000-0000-00006C020000}"/>
    <cellStyle name="20% - Accent6 22" xfId="6488" xr:uid="{00000000-0005-0000-0000-00006D020000}"/>
    <cellStyle name="20% - Accent6 3" xfId="210" xr:uid="{00000000-0005-0000-0000-00006E020000}"/>
    <cellStyle name="20% - Accent6 3 10" xfId="2165" xr:uid="{00000000-0005-0000-0000-00006F020000}"/>
    <cellStyle name="20% - Accent6 3 11" xfId="2166" xr:uid="{00000000-0005-0000-0000-000070020000}"/>
    <cellStyle name="20% - Accent6 3 12" xfId="2167" xr:uid="{00000000-0005-0000-0000-000071020000}"/>
    <cellStyle name="20% - Accent6 3 13" xfId="2168" xr:uid="{00000000-0005-0000-0000-000072020000}"/>
    <cellStyle name="20% - Accent6 3 14" xfId="2169" xr:uid="{00000000-0005-0000-0000-000073020000}"/>
    <cellStyle name="20% - Accent6 3 15" xfId="6966" xr:uid="{00000000-0005-0000-0000-000074020000}"/>
    <cellStyle name="20% - Accent6 3 2" xfId="211" xr:uid="{00000000-0005-0000-0000-000075020000}"/>
    <cellStyle name="20% - Accent6 3 3" xfId="212" xr:uid="{00000000-0005-0000-0000-000076020000}"/>
    <cellStyle name="20% - Accent6 3 4" xfId="213" xr:uid="{00000000-0005-0000-0000-000077020000}"/>
    <cellStyle name="20% - Accent6 3 5" xfId="214" xr:uid="{00000000-0005-0000-0000-000078020000}"/>
    <cellStyle name="20% - Accent6 3 6" xfId="2170" xr:uid="{00000000-0005-0000-0000-000079020000}"/>
    <cellStyle name="20% - Accent6 3 7" xfId="2171" xr:uid="{00000000-0005-0000-0000-00007A020000}"/>
    <cellStyle name="20% - Accent6 3 8" xfId="2172" xr:uid="{00000000-0005-0000-0000-00007B020000}"/>
    <cellStyle name="20% - Accent6 3 9" xfId="2173" xr:uid="{00000000-0005-0000-0000-00007C020000}"/>
    <cellStyle name="20% - Accent6 4" xfId="215" xr:uid="{00000000-0005-0000-0000-00007D020000}"/>
    <cellStyle name="20% - Accent6 4 10" xfId="6967" xr:uid="{00000000-0005-0000-0000-00007E020000}"/>
    <cellStyle name="20% - Accent6 4 11" xfId="6968" xr:uid="{00000000-0005-0000-0000-00007F020000}"/>
    <cellStyle name="20% - Accent6 4 12" xfId="6969" xr:uid="{00000000-0005-0000-0000-000080020000}"/>
    <cellStyle name="20% - Accent6 4 13" xfId="6970" xr:uid="{00000000-0005-0000-0000-000081020000}"/>
    <cellStyle name="20% - Accent6 4 14" xfId="6971" xr:uid="{00000000-0005-0000-0000-000082020000}"/>
    <cellStyle name="20% - Accent6 4 15" xfId="6972" xr:uid="{00000000-0005-0000-0000-000083020000}"/>
    <cellStyle name="20% - Accent6 4 2" xfId="216" xr:uid="{00000000-0005-0000-0000-000084020000}"/>
    <cellStyle name="20% - Accent6 4 3" xfId="217" xr:uid="{00000000-0005-0000-0000-000085020000}"/>
    <cellStyle name="20% - Accent6 4 4" xfId="218" xr:uid="{00000000-0005-0000-0000-000086020000}"/>
    <cellStyle name="20% - Accent6 4 5" xfId="219" xr:uid="{00000000-0005-0000-0000-000087020000}"/>
    <cellStyle name="20% - Accent6 4 6" xfId="2174" xr:uid="{00000000-0005-0000-0000-000088020000}"/>
    <cellStyle name="20% - Accent6 4 7" xfId="6973" xr:uid="{00000000-0005-0000-0000-000089020000}"/>
    <cellStyle name="20% - Accent6 4 8" xfId="6974" xr:uid="{00000000-0005-0000-0000-00008A020000}"/>
    <cellStyle name="20% - Accent6 4 9" xfId="6975" xr:uid="{00000000-0005-0000-0000-00008B020000}"/>
    <cellStyle name="20% - Accent6 5" xfId="220" xr:uid="{00000000-0005-0000-0000-00008C020000}"/>
    <cellStyle name="20% - Accent6 5 10" xfId="6976" xr:uid="{00000000-0005-0000-0000-00008D020000}"/>
    <cellStyle name="20% - Accent6 5 11" xfId="6977" xr:uid="{00000000-0005-0000-0000-00008E020000}"/>
    <cellStyle name="20% - Accent6 5 12" xfId="6978" xr:uid="{00000000-0005-0000-0000-00008F020000}"/>
    <cellStyle name="20% - Accent6 5 13" xfId="6979" xr:uid="{00000000-0005-0000-0000-000090020000}"/>
    <cellStyle name="20% - Accent6 5 14" xfId="6980" xr:uid="{00000000-0005-0000-0000-000091020000}"/>
    <cellStyle name="20% - Accent6 5 15" xfId="6981" xr:uid="{00000000-0005-0000-0000-000092020000}"/>
    <cellStyle name="20% - Accent6 5 2" xfId="221" xr:uid="{00000000-0005-0000-0000-000093020000}"/>
    <cellStyle name="20% - Accent6 5 3" xfId="222" xr:uid="{00000000-0005-0000-0000-000094020000}"/>
    <cellStyle name="20% - Accent6 5 4" xfId="223" xr:uid="{00000000-0005-0000-0000-000095020000}"/>
    <cellStyle name="20% - Accent6 5 5" xfId="224" xr:uid="{00000000-0005-0000-0000-000096020000}"/>
    <cellStyle name="20% - Accent6 5 6" xfId="2175" xr:uid="{00000000-0005-0000-0000-000097020000}"/>
    <cellStyle name="20% - Accent6 5 7" xfId="6982" xr:uid="{00000000-0005-0000-0000-000098020000}"/>
    <cellStyle name="20% - Accent6 5 8" xfId="6983" xr:uid="{00000000-0005-0000-0000-000099020000}"/>
    <cellStyle name="20% - Accent6 5 9" xfId="6984" xr:uid="{00000000-0005-0000-0000-00009A020000}"/>
    <cellStyle name="20% - Accent6 6" xfId="225" xr:uid="{00000000-0005-0000-0000-00009B020000}"/>
    <cellStyle name="20% - Accent6 6 2" xfId="226" xr:uid="{00000000-0005-0000-0000-00009C020000}"/>
    <cellStyle name="20% - Accent6 6 3" xfId="2176" xr:uid="{00000000-0005-0000-0000-00009D020000}"/>
    <cellStyle name="20% - Accent6 7" xfId="227" xr:uid="{00000000-0005-0000-0000-00009E020000}"/>
    <cellStyle name="20% - Accent6 7 2" xfId="228" xr:uid="{00000000-0005-0000-0000-00009F020000}"/>
    <cellStyle name="20% - Accent6 7 3" xfId="2177" xr:uid="{00000000-0005-0000-0000-0000A0020000}"/>
    <cellStyle name="20% - Accent6 8" xfId="229" xr:uid="{00000000-0005-0000-0000-0000A1020000}"/>
    <cellStyle name="20% - Accent6 8 2" xfId="230" xr:uid="{00000000-0005-0000-0000-0000A2020000}"/>
    <cellStyle name="20% - Accent6 8 3" xfId="2178" xr:uid="{00000000-0005-0000-0000-0000A3020000}"/>
    <cellStyle name="20% - Accent6 9" xfId="231" xr:uid="{00000000-0005-0000-0000-0000A4020000}"/>
    <cellStyle name="20% - Accent6 9 2" xfId="2179" xr:uid="{00000000-0005-0000-0000-0000A5020000}"/>
    <cellStyle name="20% - Cor1" xfId="232" xr:uid="{00000000-0005-0000-0000-0000A6020000}"/>
    <cellStyle name="20% - Cor1 10" xfId="6985" xr:uid="{00000000-0005-0000-0000-0000A7020000}"/>
    <cellStyle name="20% - Cor1 11" xfId="6986" xr:uid="{00000000-0005-0000-0000-0000A8020000}"/>
    <cellStyle name="20% - Cor1 12" xfId="6987" xr:uid="{00000000-0005-0000-0000-0000A9020000}"/>
    <cellStyle name="20% - Cor1 13" xfId="6988" xr:uid="{00000000-0005-0000-0000-0000AA020000}"/>
    <cellStyle name="20% - Cor1 14" xfId="6989" xr:uid="{00000000-0005-0000-0000-0000AB020000}"/>
    <cellStyle name="20% - Cor1 15" xfId="6990" xr:uid="{00000000-0005-0000-0000-0000AC020000}"/>
    <cellStyle name="20% - Cor1 16" xfId="6991" xr:uid="{00000000-0005-0000-0000-0000AD020000}"/>
    <cellStyle name="20% - Cor1 17" xfId="6992" xr:uid="{00000000-0005-0000-0000-0000AE020000}"/>
    <cellStyle name="20% - Cor1 18" xfId="15245" xr:uid="{00000000-0005-0000-0000-0000AF020000}"/>
    <cellStyle name="20% - Cor1 2" xfId="233" xr:uid="{00000000-0005-0000-0000-0000B0020000}"/>
    <cellStyle name="20% - Cor1 3" xfId="234" xr:uid="{00000000-0005-0000-0000-0000B1020000}"/>
    <cellStyle name="20% - Cor1 4" xfId="235" xr:uid="{00000000-0005-0000-0000-0000B2020000}"/>
    <cellStyle name="20% - Cor1 5" xfId="236" xr:uid="{00000000-0005-0000-0000-0000B3020000}"/>
    <cellStyle name="20% - Cor1 6" xfId="237" xr:uid="{00000000-0005-0000-0000-0000B4020000}"/>
    <cellStyle name="20% - Cor1 7" xfId="238" xr:uid="{00000000-0005-0000-0000-0000B5020000}"/>
    <cellStyle name="20% - Cor1 8" xfId="2180" xr:uid="{00000000-0005-0000-0000-0000B6020000}"/>
    <cellStyle name="20% - Cor1 9" xfId="6993" xr:uid="{00000000-0005-0000-0000-0000B7020000}"/>
    <cellStyle name="20% - Cor2" xfId="239" xr:uid="{00000000-0005-0000-0000-0000B8020000}"/>
    <cellStyle name="20% - Cor2 10" xfId="6994" xr:uid="{00000000-0005-0000-0000-0000B9020000}"/>
    <cellStyle name="20% - Cor2 11" xfId="6995" xr:uid="{00000000-0005-0000-0000-0000BA020000}"/>
    <cellStyle name="20% - Cor2 12" xfId="6996" xr:uid="{00000000-0005-0000-0000-0000BB020000}"/>
    <cellStyle name="20% - Cor2 13" xfId="6997" xr:uid="{00000000-0005-0000-0000-0000BC020000}"/>
    <cellStyle name="20% - Cor2 14" xfId="6998" xr:uid="{00000000-0005-0000-0000-0000BD020000}"/>
    <cellStyle name="20% - Cor2 15" xfId="6999" xr:uid="{00000000-0005-0000-0000-0000BE020000}"/>
    <cellStyle name="20% - Cor2 16" xfId="7000" xr:uid="{00000000-0005-0000-0000-0000BF020000}"/>
    <cellStyle name="20% - Cor2 17" xfId="7001" xr:uid="{00000000-0005-0000-0000-0000C0020000}"/>
    <cellStyle name="20% - Cor2 18" xfId="15246" xr:uid="{00000000-0005-0000-0000-0000C1020000}"/>
    <cellStyle name="20% - Cor2 2" xfId="240" xr:uid="{00000000-0005-0000-0000-0000C2020000}"/>
    <cellStyle name="20% - Cor2 3" xfId="241" xr:uid="{00000000-0005-0000-0000-0000C3020000}"/>
    <cellStyle name="20% - Cor2 4" xfId="242" xr:uid="{00000000-0005-0000-0000-0000C4020000}"/>
    <cellStyle name="20% - Cor2 5" xfId="243" xr:uid="{00000000-0005-0000-0000-0000C5020000}"/>
    <cellStyle name="20% - Cor2 6" xfId="244" xr:uid="{00000000-0005-0000-0000-0000C6020000}"/>
    <cellStyle name="20% - Cor2 7" xfId="245" xr:uid="{00000000-0005-0000-0000-0000C7020000}"/>
    <cellStyle name="20% - Cor2 8" xfId="2181" xr:uid="{00000000-0005-0000-0000-0000C8020000}"/>
    <cellStyle name="20% - Cor2 9" xfId="7002" xr:uid="{00000000-0005-0000-0000-0000C9020000}"/>
    <cellStyle name="20% - Cor3" xfId="246" xr:uid="{00000000-0005-0000-0000-0000CA020000}"/>
    <cellStyle name="20% - Cor3 10" xfId="7003" xr:uid="{00000000-0005-0000-0000-0000CB020000}"/>
    <cellStyle name="20% - Cor3 11" xfId="7004" xr:uid="{00000000-0005-0000-0000-0000CC020000}"/>
    <cellStyle name="20% - Cor3 12" xfId="7005" xr:uid="{00000000-0005-0000-0000-0000CD020000}"/>
    <cellStyle name="20% - Cor3 13" xfId="7006" xr:uid="{00000000-0005-0000-0000-0000CE020000}"/>
    <cellStyle name="20% - Cor3 14" xfId="7007" xr:uid="{00000000-0005-0000-0000-0000CF020000}"/>
    <cellStyle name="20% - Cor3 15" xfId="7008" xr:uid="{00000000-0005-0000-0000-0000D0020000}"/>
    <cellStyle name="20% - Cor3 16" xfId="7009" xr:uid="{00000000-0005-0000-0000-0000D1020000}"/>
    <cellStyle name="20% - Cor3 17" xfId="7010" xr:uid="{00000000-0005-0000-0000-0000D2020000}"/>
    <cellStyle name="20% - Cor3 18" xfId="15247" xr:uid="{00000000-0005-0000-0000-0000D3020000}"/>
    <cellStyle name="20% - Cor3 2" xfId="247" xr:uid="{00000000-0005-0000-0000-0000D4020000}"/>
    <cellStyle name="20% - Cor3 3" xfId="248" xr:uid="{00000000-0005-0000-0000-0000D5020000}"/>
    <cellStyle name="20% - Cor3 4" xfId="249" xr:uid="{00000000-0005-0000-0000-0000D6020000}"/>
    <cellStyle name="20% - Cor3 5" xfId="250" xr:uid="{00000000-0005-0000-0000-0000D7020000}"/>
    <cellStyle name="20% - Cor3 6" xfId="251" xr:uid="{00000000-0005-0000-0000-0000D8020000}"/>
    <cellStyle name="20% - Cor3 7" xfId="252" xr:uid="{00000000-0005-0000-0000-0000D9020000}"/>
    <cellStyle name="20% - Cor3 8" xfId="2182" xr:uid="{00000000-0005-0000-0000-0000DA020000}"/>
    <cellStyle name="20% - Cor3 9" xfId="7011" xr:uid="{00000000-0005-0000-0000-0000DB020000}"/>
    <cellStyle name="20% - Cor4" xfId="253" xr:uid="{00000000-0005-0000-0000-0000DC020000}"/>
    <cellStyle name="20% - Cor4 10" xfId="7012" xr:uid="{00000000-0005-0000-0000-0000DD020000}"/>
    <cellStyle name="20% - Cor4 11" xfId="7013" xr:uid="{00000000-0005-0000-0000-0000DE020000}"/>
    <cellStyle name="20% - Cor4 12" xfId="7014" xr:uid="{00000000-0005-0000-0000-0000DF020000}"/>
    <cellStyle name="20% - Cor4 13" xfId="7015" xr:uid="{00000000-0005-0000-0000-0000E0020000}"/>
    <cellStyle name="20% - Cor4 14" xfId="7016" xr:uid="{00000000-0005-0000-0000-0000E1020000}"/>
    <cellStyle name="20% - Cor4 15" xfId="7017" xr:uid="{00000000-0005-0000-0000-0000E2020000}"/>
    <cellStyle name="20% - Cor4 16" xfId="7018" xr:uid="{00000000-0005-0000-0000-0000E3020000}"/>
    <cellStyle name="20% - Cor4 17" xfId="7019" xr:uid="{00000000-0005-0000-0000-0000E4020000}"/>
    <cellStyle name="20% - Cor4 18" xfId="15248" xr:uid="{00000000-0005-0000-0000-0000E5020000}"/>
    <cellStyle name="20% - Cor4 2" xfId="254" xr:uid="{00000000-0005-0000-0000-0000E6020000}"/>
    <cellStyle name="20% - Cor4 3" xfId="255" xr:uid="{00000000-0005-0000-0000-0000E7020000}"/>
    <cellStyle name="20% - Cor4 4" xfId="256" xr:uid="{00000000-0005-0000-0000-0000E8020000}"/>
    <cellStyle name="20% - Cor4 5" xfId="257" xr:uid="{00000000-0005-0000-0000-0000E9020000}"/>
    <cellStyle name="20% - Cor4 6" xfId="258" xr:uid="{00000000-0005-0000-0000-0000EA020000}"/>
    <cellStyle name="20% - Cor4 7" xfId="259" xr:uid="{00000000-0005-0000-0000-0000EB020000}"/>
    <cellStyle name="20% - Cor4 8" xfId="2183" xr:uid="{00000000-0005-0000-0000-0000EC020000}"/>
    <cellStyle name="20% - Cor4 9" xfId="7020" xr:uid="{00000000-0005-0000-0000-0000ED020000}"/>
    <cellStyle name="20% - Cor5" xfId="260" xr:uid="{00000000-0005-0000-0000-0000EE020000}"/>
    <cellStyle name="20% - Cor5 10" xfId="7021" xr:uid="{00000000-0005-0000-0000-0000EF020000}"/>
    <cellStyle name="20% - Cor5 11" xfId="7022" xr:uid="{00000000-0005-0000-0000-0000F0020000}"/>
    <cellStyle name="20% - Cor5 12" xfId="7023" xr:uid="{00000000-0005-0000-0000-0000F1020000}"/>
    <cellStyle name="20% - Cor5 13" xfId="7024" xr:uid="{00000000-0005-0000-0000-0000F2020000}"/>
    <cellStyle name="20% - Cor5 14" xfId="7025" xr:uid="{00000000-0005-0000-0000-0000F3020000}"/>
    <cellStyle name="20% - Cor5 15" xfId="7026" xr:uid="{00000000-0005-0000-0000-0000F4020000}"/>
    <cellStyle name="20% - Cor5 16" xfId="7027" xr:uid="{00000000-0005-0000-0000-0000F5020000}"/>
    <cellStyle name="20% - Cor5 17" xfId="7028" xr:uid="{00000000-0005-0000-0000-0000F6020000}"/>
    <cellStyle name="20% - Cor5 18" xfId="15249" xr:uid="{00000000-0005-0000-0000-0000F7020000}"/>
    <cellStyle name="20% - Cor5 2" xfId="261" xr:uid="{00000000-0005-0000-0000-0000F8020000}"/>
    <cellStyle name="20% - Cor5 3" xfId="262" xr:uid="{00000000-0005-0000-0000-0000F9020000}"/>
    <cellStyle name="20% - Cor5 4" xfId="263" xr:uid="{00000000-0005-0000-0000-0000FA020000}"/>
    <cellStyle name="20% - Cor5 5" xfId="264" xr:uid="{00000000-0005-0000-0000-0000FB020000}"/>
    <cellStyle name="20% - Cor5 6" xfId="265" xr:uid="{00000000-0005-0000-0000-0000FC020000}"/>
    <cellStyle name="20% - Cor5 7" xfId="266" xr:uid="{00000000-0005-0000-0000-0000FD020000}"/>
    <cellStyle name="20% - Cor5 8" xfId="2184" xr:uid="{00000000-0005-0000-0000-0000FE020000}"/>
    <cellStyle name="20% - Cor5 9" xfId="7029" xr:uid="{00000000-0005-0000-0000-0000FF020000}"/>
    <cellStyle name="20% - Cor6" xfId="267" xr:uid="{00000000-0005-0000-0000-000000030000}"/>
    <cellStyle name="20% - Cor6 10" xfId="7030" xr:uid="{00000000-0005-0000-0000-000001030000}"/>
    <cellStyle name="20% - Cor6 11" xfId="7031" xr:uid="{00000000-0005-0000-0000-000002030000}"/>
    <cellStyle name="20% - Cor6 12" xfId="7032" xr:uid="{00000000-0005-0000-0000-000003030000}"/>
    <cellStyle name="20% - Cor6 13" xfId="7033" xr:uid="{00000000-0005-0000-0000-000004030000}"/>
    <cellStyle name="20% - Cor6 14" xfId="7034" xr:uid="{00000000-0005-0000-0000-000005030000}"/>
    <cellStyle name="20% - Cor6 15" xfId="7035" xr:uid="{00000000-0005-0000-0000-000006030000}"/>
    <cellStyle name="20% - Cor6 16" xfId="7036" xr:uid="{00000000-0005-0000-0000-000007030000}"/>
    <cellStyle name="20% - Cor6 17" xfId="7037" xr:uid="{00000000-0005-0000-0000-000008030000}"/>
    <cellStyle name="20% - Cor6 18" xfId="15250" xr:uid="{00000000-0005-0000-0000-000009030000}"/>
    <cellStyle name="20% - Cor6 2" xfId="268" xr:uid="{00000000-0005-0000-0000-00000A030000}"/>
    <cellStyle name="20% - Cor6 3" xfId="269" xr:uid="{00000000-0005-0000-0000-00000B030000}"/>
    <cellStyle name="20% - Cor6 4" xfId="270" xr:uid="{00000000-0005-0000-0000-00000C030000}"/>
    <cellStyle name="20% - Cor6 5" xfId="271" xr:uid="{00000000-0005-0000-0000-00000D030000}"/>
    <cellStyle name="20% - Cor6 6" xfId="272" xr:uid="{00000000-0005-0000-0000-00000E030000}"/>
    <cellStyle name="20% - Cor6 7" xfId="273" xr:uid="{00000000-0005-0000-0000-00000F030000}"/>
    <cellStyle name="20% - Cor6 8" xfId="2185" xr:uid="{00000000-0005-0000-0000-000010030000}"/>
    <cellStyle name="20% - Cor6 9" xfId="7038" xr:uid="{00000000-0005-0000-0000-000011030000}"/>
    <cellStyle name="2x indented GHG Textfiels" xfId="274" xr:uid="{00000000-0005-0000-0000-000012030000}"/>
    <cellStyle name="40% - Accent1 10" xfId="275" xr:uid="{00000000-0005-0000-0000-000013030000}"/>
    <cellStyle name="40% - Accent1 10 2" xfId="2186" xr:uid="{00000000-0005-0000-0000-000014030000}"/>
    <cellStyle name="40% - Accent1 11" xfId="276" xr:uid="{00000000-0005-0000-0000-000015030000}"/>
    <cellStyle name="40% - Accent1 11 2" xfId="7832" xr:uid="{00000000-0005-0000-0000-000016030000}"/>
    <cellStyle name="40% - Accent1 12" xfId="277" xr:uid="{00000000-0005-0000-0000-000017030000}"/>
    <cellStyle name="40% - Accent1 12 2" xfId="7833" xr:uid="{00000000-0005-0000-0000-000018030000}"/>
    <cellStyle name="40% - Accent1 13" xfId="278" xr:uid="{00000000-0005-0000-0000-000019030000}"/>
    <cellStyle name="40% - Accent1 13 2" xfId="7834" xr:uid="{00000000-0005-0000-0000-00001A030000}"/>
    <cellStyle name="40% - Accent1 14" xfId="279" xr:uid="{00000000-0005-0000-0000-00001B030000}"/>
    <cellStyle name="40% - Accent1 14 2" xfId="7835" xr:uid="{00000000-0005-0000-0000-00001C030000}"/>
    <cellStyle name="40% - Accent1 15" xfId="2187" xr:uid="{00000000-0005-0000-0000-00001D030000}"/>
    <cellStyle name="40% - Accent1 15 2" xfId="7836" xr:uid="{00000000-0005-0000-0000-00001E030000}"/>
    <cellStyle name="40% - Accent1 16" xfId="2188" xr:uid="{00000000-0005-0000-0000-00001F030000}"/>
    <cellStyle name="40% - Accent1 16 2" xfId="7837" xr:uid="{00000000-0005-0000-0000-000020030000}"/>
    <cellStyle name="40% - Accent1 17" xfId="2189" xr:uid="{00000000-0005-0000-0000-000021030000}"/>
    <cellStyle name="40% - Accent1 17 2" xfId="7838" xr:uid="{00000000-0005-0000-0000-000022030000}"/>
    <cellStyle name="40% - Accent1 18" xfId="2190" xr:uid="{00000000-0005-0000-0000-000023030000}"/>
    <cellStyle name="40% - Accent1 18 2" xfId="7839" xr:uid="{00000000-0005-0000-0000-000024030000}"/>
    <cellStyle name="40% - Accent1 19" xfId="2191" xr:uid="{00000000-0005-0000-0000-000025030000}"/>
    <cellStyle name="40% - Accent1 19 2" xfId="7840" xr:uid="{00000000-0005-0000-0000-000026030000}"/>
    <cellStyle name="40% - Accent1 2" xfId="280" xr:uid="{00000000-0005-0000-0000-000027030000}"/>
    <cellStyle name="40% - Accent1 2 10" xfId="7039" xr:uid="{00000000-0005-0000-0000-000028030000}"/>
    <cellStyle name="40% - Accent1 2 11" xfId="7040" xr:uid="{00000000-0005-0000-0000-000029030000}"/>
    <cellStyle name="40% - Accent1 2 12" xfId="7041" xr:uid="{00000000-0005-0000-0000-00002A030000}"/>
    <cellStyle name="40% - Accent1 2 13" xfId="7042" xr:uid="{00000000-0005-0000-0000-00002B030000}"/>
    <cellStyle name="40% - Accent1 2 14" xfId="7043" xr:uid="{00000000-0005-0000-0000-00002C030000}"/>
    <cellStyle name="40% - Accent1 2 15" xfId="7044" xr:uid="{00000000-0005-0000-0000-00002D030000}"/>
    <cellStyle name="40% - Accent1 2 16" xfId="7045" xr:uid="{00000000-0005-0000-0000-00002E030000}"/>
    <cellStyle name="40% - Accent1 2 17" xfId="7046" xr:uid="{00000000-0005-0000-0000-00002F030000}"/>
    <cellStyle name="40% - Accent1 2 18" xfId="7047" xr:uid="{00000000-0005-0000-0000-000030030000}"/>
    <cellStyle name="40% - Accent1 2 19" xfId="7048" xr:uid="{00000000-0005-0000-0000-000031030000}"/>
    <cellStyle name="40% - Accent1 2 2" xfId="281" xr:uid="{00000000-0005-0000-0000-000032030000}"/>
    <cellStyle name="40% - Accent1 2 2 10" xfId="7049" xr:uid="{00000000-0005-0000-0000-000033030000}"/>
    <cellStyle name="40% - Accent1 2 2 11" xfId="7050" xr:uid="{00000000-0005-0000-0000-000034030000}"/>
    <cellStyle name="40% - Accent1 2 2 12" xfId="7051" xr:uid="{00000000-0005-0000-0000-000035030000}"/>
    <cellStyle name="40% - Accent1 2 2 13" xfId="7052" xr:uid="{00000000-0005-0000-0000-000036030000}"/>
    <cellStyle name="40% - Accent1 2 2 14" xfId="7053" xr:uid="{00000000-0005-0000-0000-000037030000}"/>
    <cellStyle name="40% - Accent1 2 2 2" xfId="282" xr:uid="{00000000-0005-0000-0000-000038030000}"/>
    <cellStyle name="40% - Accent1 2 2 3" xfId="2192" xr:uid="{00000000-0005-0000-0000-000039030000}"/>
    <cellStyle name="40% - Accent1 2 2 4" xfId="7054" xr:uid="{00000000-0005-0000-0000-00003A030000}"/>
    <cellStyle name="40% - Accent1 2 2 5" xfId="7055" xr:uid="{00000000-0005-0000-0000-00003B030000}"/>
    <cellStyle name="40% - Accent1 2 2 6" xfId="7056" xr:uid="{00000000-0005-0000-0000-00003C030000}"/>
    <cellStyle name="40% - Accent1 2 2 7" xfId="7057" xr:uid="{00000000-0005-0000-0000-00003D030000}"/>
    <cellStyle name="40% - Accent1 2 2 8" xfId="7058" xr:uid="{00000000-0005-0000-0000-00003E030000}"/>
    <cellStyle name="40% - Accent1 2 2 9" xfId="7059" xr:uid="{00000000-0005-0000-0000-00003F030000}"/>
    <cellStyle name="40% - Accent1 2 20" xfId="15251" xr:uid="{00000000-0005-0000-0000-000040030000}"/>
    <cellStyle name="40% - Accent1 2 3" xfId="283" xr:uid="{00000000-0005-0000-0000-000041030000}"/>
    <cellStyle name="40% - Accent1 2 4" xfId="284" xr:uid="{00000000-0005-0000-0000-000042030000}"/>
    <cellStyle name="40% - Accent1 2 5" xfId="285" xr:uid="{00000000-0005-0000-0000-000043030000}"/>
    <cellStyle name="40% - Accent1 2 6" xfId="286" xr:uid="{00000000-0005-0000-0000-000044030000}"/>
    <cellStyle name="40% - Accent1 2 7" xfId="287" xr:uid="{00000000-0005-0000-0000-000045030000}"/>
    <cellStyle name="40% - Accent1 2 8" xfId="288" xr:uid="{00000000-0005-0000-0000-000046030000}"/>
    <cellStyle name="40% - Accent1 2 9" xfId="289" xr:uid="{00000000-0005-0000-0000-000047030000}"/>
    <cellStyle name="40% - Accent1 20" xfId="2193" xr:uid="{00000000-0005-0000-0000-000048030000}"/>
    <cellStyle name="40% - Accent1 20 2" xfId="7841" xr:uid="{00000000-0005-0000-0000-000049030000}"/>
    <cellStyle name="40% - Accent1 21" xfId="7842" xr:uid="{00000000-0005-0000-0000-00004A030000}"/>
    <cellStyle name="40% - Accent1 22" xfId="6489" xr:uid="{00000000-0005-0000-0000-00004B030000}"/>
    <cellStyle name="40% - Accent1 3" xfId="290" xr:uid="{00000000-0005-0000-0000-00004C030000}"/>
    <cellStyle name="40% - Accent1 3 10" xfId="2194" xr:uid="{00000000-0005-0000-0000-00004D030000}"/>
    <cellStyle name="40% - Accent1 3 11" xfId="2195" xr:uid="{00000000-0005-0000-0000-00004E030000}"/>
    <cellStyle name="40% - Accent1 3 12" xfId="2196" xr:uid="{00000000-0005-0000-0000-00004F030000}"/>
    <cellStyle name="40% - Accent1 3 13" xfId="2197" xr:uid="{00000000-0005-0000-0000-000050030000}"/>
    <cellStyle name="40% - Accent1 3 14" xfId="2198" xr:uid="{00000000-0005-0000-0000-000051030000}"/>
    <cellStyle name="40% - Accent1 3 15" xfId="7060" xr:uid="{00000000-0005-0000-0000-000052030000}"/>
    <cellStyle name="40% - Accent1 3 2" xfId="291" xr:uid="{00000000-0005-0000-0000-000053030000}"/>
    <cellStyle name="40% - Accent1 3 3" xfId="292" xr:uid="{00000000-0005-0000-0000-000054030000}"/>
    <cellStyle name="40% - Accent1 3 4" xfId="293" xr:uid="{00000000-0005-0000-0000-000055030000}"/>
    <cellStyle name="40% - Accent1 3 5" xfId="294" xr:uid="{00000000-0005-0000-0000-000056030000}"/>
    <cellStyle name="40% - Accent1 3 6" xfId="2199" xr:uid="{00000000-0005-0000-0000-000057030000}"/>
    <cellStyle name="40% - Accent1 3 7" xfId="2200" xr:uid="{00000000-0005-0000-0000-000058030000}"/>
    <cellStyle name="40% - Accent1 3 8" xfId="2201" xr:uid="{00000000-0005-0000-0000-000059030000}"/>
    <cellStyle name="40% - Accent1 3 9" xfId="2202" xr:uid="{00000000-0005-0000-0000-00005A030000}"/>
    <cellStyle name="40% - Accent1 4" xfId="295" xr:uid="{00000000-0005-0000-0000-00005B030000}"/>
    <cellStyle name="40% - Accent1 4 10" xfId="7061" xr:uid="{00000000-0005-0000-0000-00005C030000}"/>
    <cellStyle name="40% - Accent1 4 11" xfId="7062" xr:uid="{00000000-0005-0000-0000-00005D030000}"/>
    <cellStyle name="40% - Accent1 4 12" xfId="7063" xr:uid="{00000000-0005-0000-0000-00005E030000}"/>
    <cellStyle name="40% - Accent1 4 13" xfId="7064" xr:uid="{00000000-0005-0000-0000-00005F030000}"/>
    <cellStyle name="40% - Accent1 4 14" xfId="7065" xr:uid="{00000000-0005-0000-0000-000060030000}"/>
    <cellStyle name="40% - Accent1 4 15" xfId="7066" xr:uid="{00000000-0005-0000-0000-000061030000}"/>
    <cellStyle name="40% - Accent1 4 2" xfId="296" xr:uid="{00000000-0005-0000-0000-000062030000}"/>
    <cellStyle name="40% - Accent1 4 3" xfId="297" xr:uid="{00000000-0005-0000-0000-000063030000}"/>
    <cellStyle name="40% - Accent1 4 4" xfId="298" xr:uid="{00000000-0005-0000-0000-000064030000}"/>
    <cellStyle name="40% - Accent1 4 5" xfId="299" xr:uid="{00000000-0005-0000-0000-000065030000}"/>
    <cellStyle name="40% - Accent1 4 6" xfId="2203" xr:uid="{00000000-0005-0000-0000-000066030000}"/>
    <cellStyle name="40% - Accent1 4 7" xfId="7067" xr:uid="{00000000-0005-0000-0000-000067030000}"/>
    <cellStyle name="40% - Accent1 4 8" xfId="7068" xr:uid="{00000000-0005-0000-0000-000068030000}"/>
    <cellStyle name="40% - Accent1 4 9" xfId="7069" xr:uid="{00000000-0005-0000-0000-000069030000}"/>
    <cellStyle name="40% - Accent1 5" xfId="300" xr:uid="{00000000-0005-0000-0000-00006A030000}"/>
    <cellStyle name="40% - Accent1 5 10" xfId="7070" xr:uid="{00000000-0005-0000-0000-00006B030000}"/>
    <cellStyle name="40% - Accent1 5 11" xfId="7071" xr:uid="{00000000-0005-0000-0000-00006C030000}"/>
    <cellStyle name="40% - Accent1 5 12" xfId="7072" xr:uid="{00000000-0005-0000-0000-00006D030000}"/>
    <cellStyle name="40% - Accent1 5 13" xfId="7073" xr:uid="{00000000-0005-0000-0000-00006E030000}"/>
    <cellStyle name="40% - Accent1 5 14" xfId="7074" xr:uid="{00000000-0005-0000-0000-00006F030000}"/>
    <cellStyle name="40% - Accent1 5 15" xfId="7075" xr:uid="{00000000-0005-0000-0000-000070030000}"/>
    <cellStyle name="40% - Accent1 5 2" xfId="301" xr:uid="{00000000-0005-0000-0000-000071030000}"/>
    <cellStyle name="40% - Accent1 5 3" xfId="302" xr:uid="{00000000-0005-0000-0000-000072030000}"/>
    <cellStyle name="40% - Accent1 5 4" xfId="303" xr:uid="{00000000-0005-0000-0000-000073030000}"/>
    <cellStyle name="40% - Accent1 5 5" xfId="304" xr:uid="{00000000-0005-0000-0000-000074030000}"/>
    <cellStyle name="40% - Accent1 5 6" xfId="2204" xr:uid="{00000000-0005-0000-0000-000075030000}"/>
    <cellStyle name="40% - Accent1 5 7" xfId="7076" xr:uid="{00000000-0005-0000-0000-000076030000}"/>
    <cellStyle name="40% - Accent1 5 8" xfId="7077" xr:uid="{00000000-0005-0000-0000-000077030000}"/>
    <cellStyle name="40% - Accent1 5 9" xfId="7078" xr:uid="{00000000-0005-0000-0000-000078030000}"/>
    <cellStyle name="40% - Accent1 6" xfId="305" xr:uid="{00000000-0005-0000-0000-000079030000}"/>
    <cellStyle name="40% - Accent1 6 2" xfId="306" xr:uid="{00000000-0005-0000-0000-00007A030000}"/>
    <cellStyle name="40% - Accent1 6 3" xfId="2205" xr:uid="{00000000-0005-0000-0000-00007B030000}"/>
    <cellStyle name="40% - Accent1 7" xfId="307" xr:uid="{00000000-0005-0000-0000-00007C030000}"/>
    <cellStyle name="40% - Accent1 7 2" xfId="308" xr:uid="{00000000-0005-0000-0000-00007D030000}"/>
    <cellStyle name="40% - Accent1 7 3" xfId="2206" xr:uid="{00000000-0005-0000-0000-00007E030000}"/>
    <cellStyle name="40% - Accent1 8" xfId="309" xr:uid="{00000000-0005-0000-0000-00007F030000}"/>
    <cellStyle name="40% - Accent1 8 2" xfId="310" xr:uid="{00000000-0005-0000-0000-000080030000}"/>
    <cellStyle name="40% - Accent1 8 3" xfId="2207" xr:uid="{00000000-0005-0000-0000-000081030000}"/>
    <cellStyle name="40% - Accent1 9" xfId="311" xr:uid="{00000000-0005-0000-0000-000082030000}"/>
    <cellStyle name="40% - Accent1 9 2" xfId="2208" xr:uid="{00000000-0005-0000-0000-000083030000}"/>
    <cellStyle name="40% - Accent2 10" xfId="312" xr:uid="{00000000-0005-0000-0000-000084030000}"/>
    <cellStyle name="40% - Accent2 10 2" xfId="2209" xr:uid="{00000000-0005-0000-0000-000085030000}"/>
    <cellStyle name="40% - Accent2 11" xfId="313" xr:uid="{00000000-0005-0000-0000-000086030000}"/>
    <cellStyle name="40% - Accent2 11 2" xfId="7843" xr:uid="{00000000-0005-0000-0000-000087030000}"/>
    <cellStyle name="40% - Accent2 12" xfId="314" xr:uid="{00000000-0005-0000-0000-000088030000}"/>
    <cellStyle name="40% - Accent2 12 2" xfId="7844" xr:uid="{00000000-0005-0000-0000-000089030000}"/>
    <cellStyle name="40% - Accent2 13" xfId="315" xr:uid="{00000000-0005-0000-0000-00008A030000}"/>
    <cellStyle name="40% - Accent2 13 2" xfId="7845" xr:uid="{00000000-0005-0000-0000-00008B030000}"/>
    <cellStyle name="40% - Accent2 14" xfId="316" xr:uid="{00000000-0005-0000-0000-00008C030000}"/>
    <cellStyle name="40% - Accent2 14 2" xfId="7846" xr:uid="{00000000-0005-0000-0000-00008D030000}"/>
    <cellStyle name="40% - Accent2 15" xfId="2210" xr:uid="{00000000-0005-0000-0000-00008E030000}"/>
    <cellStyle name="40% - Accent2 15 2" xfId="7847" xr:uid="{00000000-0005-0000-0000-00008F030000}"/>
    <cellStyle name="40% - Accent2 16" xfId="2211" xr:uid="{00000000-0005-0000-0000-000090030000}"/>
    <cellStyle name="40% - Accent2 16 2" xfId="7848" xr:uid="{00000000-0005-0000-0000-000091030000}"/>
    <cellStyle name="40% - Accent2 17" xfId="2212" xr:uid="{00000000-0005-0000-0000-000092030000}"/>
    <cellStyle name="40% - Accent2 17 2" xfId="7849" xr:uid="{00000000-0005-0000-0000-000093030000}"/>
    <cellStyle name="40% - Accent2 18" xfId="2213" xr:uid="{00000000-0005-0000-0000-000094030000}"/>
    <cellStyle name="40% - Accent2 18 2" xfId="7850" xr:uid="{00000000-0005-0000-0000-000095030000}"/>
    <cellStyle name="40% - Accent2 19" xfId="2214" xr:uid="{00000000-0005-0000-0000-000096030000}"/>
    <cellStyle name="40% - Accent2 19 2" xfId="7851" xr:uid="{00000000-0005-0000-0000-000097030000}"/>
    <cellStyle name="40% - Accent2 2" xfId="317" xr:uid="{00000000-0005-0000-0000-000098030000}"/>
    <cellStyle name="40% - Accent2 2 10" xfId="7079" xr:uid="{00000000-0005-0000-0000-000099030000}"/>
    <cellStyle name="40% - Accent2 2 11" xfId="7080" xr:uid="{00000000-0005-0000-0000-00009A030000}"/>
    <cellStyle name="40% - Accent2 2 12" xfId="7081" xr:uid="{00000000-0005-0000-0000-00009B030000}"/>
    <cellStyle name="40% - Accent2 2 13" xfId="7082" xr:uid="{00000000-0005-0000-0000-00009C030000}"/>
    <cellStyle name="40% - Accent2 2 14" xfId="7083" xr:uid="{00000000-0005-0000-0000-00009D030000}"/>
    <cellStyle name="40% - Accent2 2 15" xfId="7084" xr:uid="{00000000-0005-0000-0000-00009E030000}"/>
    <cellStyle name="40% - Accent2 2 16" xfId="7085" xr:uid="{00000000-0005-0000-0000-00009F030000}"/>
    <cellStyle name="40% - Accent2 2 17" xfId="7086" xr:uid="{00000000-0005-0000-0000-0000A0030000}"/>
    <cellStyle name="40% - Accent2 2 18" xfId="7087" xr:uid="{00000000-0005-0000-0000-0000A1030000}"/>
    <cellStyle name="40% - Accent2 2 19" xfId="7088" xr:uid="{00000000-0005-0000-0000-0000A2030000}"/>
    <cellStyle name="40% - Accent2 2 2" xfId="318" xr:uid="{00000000-0005-0000-0000-0000A3030000}"/>
    <cellStyle name="40% - Accent2 2 2 10" xfId="7089" xr:uid="{00000000-0005-0000-0000-0000A4030000}"/>
    <cellStyle name="40% - Accent2 2 2 11" xfId="7090" xr:uid="{00000000-0005-0000-0000-0000A5030000}"/>
    <cellStyle name="40% - Accent2 2 2 12" xfId="7091" xr:uid="{00000000-0005-0000-0000-0000A6030000}"/>
    <cellStyle name="40% - Accent2 2 2 13" xfId="7092" xr:uid="{00000000-0005-0000-0000-0000A7030000}"/>
    <cellStyle name="40% - Accent2 2 2 14" xfId="7093" xr:uid="{00000000-0005-0000-0000-0000A8030000}"/>
    <cellStyle name="40% - Accent2 2 2 2" xfId="319" xr:uid="{00000000-0005-0000-0000-0000A9030000}"/>
    <cellStyle name="40% - Accent2 2 2 3" xfId="2215" xr:uid="{00000000-0005-0000-0000-0000AA030000}"/>
    <cellStyle name="40% - Accent2 2 2 4" xfId="7094" xr:uid="{00000000-0005-0000-0000-0000AB030000}"/>
    <cellStyle name="40% - Accent2 2 2 5" xfId="7095" xr:uid="{00000000-0005-0000-0000-0000AC030000}"/>
    <cellStyle name="40% - Accent2 2 2 6" xfId="7096" xr:uid="{00000000-0005-0000-0000-0000AD030000}"/>
    <cellStyle name="40% - Accent2 2 2 7" xfId="7097" xr:uid="{00000000-0005-0000-0000-0000AE030000}"/>
    <cellStyle name="40% - Accent2 2 2 8" xfId="7098" xr:uid="{00000000-0005-0000-0000-0000AF030000}"/>
    <cellStyle name="40% - Accent2 2 2 9" xfId="7099" xr:uid="{00000000-0005-0000-0000-0000B0030000}"/>
    <cellStyle name="40% - Accent2 2 20" xfId="15252" xr:uid="{00000000-0005-0000-0000-0000B1030000}"/>
    <cellStyle name="40% - Accent2 2 3" xfId="320" xr:uid="{00000000-0005-0000-0000-0000B2030000}"/>
    <cellStyle name="40% - Accent2 2 4" xfId="321" xr:uid="{00000000-0005-0000-0000-0000B3030000}"/>
    <cellStyle name="40% - Accent2 2 5" xfId="322" xr:uid="{00000000-0005-0000-0000-0000B4030000}"/>
    <cellStyle name="40% - Accent2 2 6" xfId="323" xr:uid="{00000000-0005-0000-0000-0000B5030000}"/>
    <cellStyle name="40% - Accent2 2 7" xfId="324" xr:uid="{00000000-0005-0000-0000-0000B6030000}"/>
    <cellStyle name="40% - Accent2 2 8" xfId="325" xr:uid="{00000000-0005-0000-0000-0000B7030000}"/>
    <cellStyle name="40% - Accent2 2 9" xfId="326" xr:uid="{00000000-0005-0000-0000-0000B8030000}"/>
    <cellStyle name="40% - Accent2 20" xfId="2216" xr:uid="{00000000-0005-0000-0000-0000B9030000}"/>
    <cellStyle name="40% - Accent2 20 2" xfId="7852" xr:uid="{00000000-0005-0000-0000-0000BA030000}"/>
    <cellStyle name="40% - Accent2 21" xfId="7853" xr:uid="{00000000-0005-0000-0000-0000BB030000}"/>
    <cellStyle name="40% - Accent2 22" xfId="6490" xr:uid="{00000000-0005-0000-0000-0000BC030000}"/>
    <cellStyle name="40% - Accent2 3" xfId="327" xr:uid="{00000000-0005-0000-0000-0000BD030000}"/>
    <cellStyle name="40% - Accent2 3 10" xfId="2217" xr:uid="{00000000-0005-0000-0000-0000BE030000}"/>
    <cellStyle name="40% - Accent2 3 11" xfId="2218" xr:uid="{00000000-0005-0000-0000-0000BF030000}"/>
    <cellStyle name="40% - Accent2 3 12" xfId="2219" xr:uid="{00000000-0005-0000-0000-0000C0030000}"/>
    <cellStyle name="40% - Accent2 3 13" xfId="2220" xr:uid="{00000000-0005-0000-0000-0000C1030000}"/>
    <cellStyle name="40% - Accent2 3 14" xfId="2221" xr:uid="{00000000-0005-0000-0000-0000C2030000}"/>
    <cellStyle name="40% - Accent2 3 15" xfId="7100" xr:uid="{00000000-0005-0000-0000-0000C3030000}"/>
    <cellStyle name="40% - Accent2 3 2" xfId="328" xr:uid="{00000000-0005-0000-0000-0000C4030000}"/>
    <cellStyle name="40% - Accent2 3 3" xfId="329" xr:uid="{00000000-0005-0000-0000-0000C5030000}"/>
    <cellStyle name="40% - Accent2 3 4" xfId="330" xr:uid="{00000000-0005-0000-0000-0000C6030000}"/>
    <cellStyle name="40% - Accent2 3 5" xfId="331" xr:uid="{00000000-0005-0000-0000-0000C7030000}"/>
    <cellStyle name="40% - Accent2 3 6" xfId="2222" xr:uid="{00000000-0005-0000-0000-0000C8030000}"/>
    <cellStyle name="40% - Accent2 3 7" xfId="2223" xr:uid="{00000000-0005-0000-0000-0000C9030000}"/>
    <cellStyle name="40% - Accent2 3 8" xfId="2224" xr:uid="{00000000-0005-0000-0000-0000CA030000}"/>
    <cellStyle name="40% - Accent2 3 9" xfId="2225" xr:uid="{00000000-0005-0000-0000-0000CB030000}"/>
    <cellStyle name="40% - Accent2 4" xfId="332" xr:uid="{00000000-0005-0000-0000-0000CC030000}"/>
    <cellStyle name="40% - Accent2 4 10" xfId="7101" xr:uid="{00000000-0005-0000-0000-0000CD030000}"/>
    <cellStyle name="40% - Accent2 4 11" xfId="7102" xr:uid="{00000000-0005-0000-0000-0000CE030000}"/>
    <cellStyle name="40% - Accent2 4 12" xfId="7103" xr:uid="{00000000-0005-0000-0000-0000CF030000}"/>
    <cellStyle name="40% - Accent2 4 13" xfId="7104" xr:uid="{00000000-0005-0000-0000-0000D0030000}"/>
    <cellStyle name="40% - Accent2 4 14" xfId="7105" xr:uid="{00000000-0005-0000-0000-0000D1030000}"/>
    <cellStyle name="40% - Accent2 4 15" xfId="7106" xr:uid="{00000000-0005-0000-0000-0000D2030000}"/>
    <cellStyle name="40% - Accent2 4 2" xfId="333" xr:uid="{00000000-0005-0000-0000-0000D3030000}"/>
    <cellStyle name="40% - Accent2 4 3" xfId="334" xr:uid="{00000000-0005-0000-0000-0000D4030000}"/>
    <cellStyle name="40% - Accent2 4 4" xfId="335" xr:uid="{00000000-0005-0000-0000-0000D5030000}"/>
    <cellStyle name="40% - Accent2 4 5" xfId="336" xr:uid="{00000000-0005-0000-0000-0000D6030000}"/>
    <cellStyle name="40% - Accent2 4 6" xfId="2226" xr:uid="{00000000-0005-0000-0000-0000D7030000}"/>
    <cellStyle name="40% - Accent2 4 7" xfId="7107" xr:uid="{00000000-0005-0000-0000-0000D8030000}"/>
    <cellStyle name="40% - Accent2 4 8" xfId="7108" xr:uid="{00000000-0005-0000-0000-0000D9030000}"/>
    <cellStyle name="40% - Accent2 4 9" xfId="7109" xr:uid="{00000000-0005-0000-0000-0000DA030000}"/>
    <cellStyle name="40% - Accent2 5" xfId="337" xr:uid="{00000000-0005-0000-0000-0000DB030000}"/>
    <cellStyle name="40% - Accent2 5 10" xfId="7110" xr:uid="{00000000-0005-0000-0000-0000DC030000}"/>
    <cellStyle name="40% - Accent2 5 11" xfId="7111" xr:uid="{00000000-0005-0000-0000-0000DD030000}"/>
    <cellStyle name="40% - Accent2 5 12" xfId="7112" xr:uid="{00000000-0005-0000-0000-0000DE030000}"/>
    <cellStyle name="40% - Accent2 5 13" xfId="7113" xr:uid="{00000000-0005-0000-0000-0000DF030000}"/>
    <cellStyle name="40% - Accent2 5 14" xfId="7114" xr:uid="{00000000-0005-0000-0000-0000E0030000}"/>
    <cellStyle name="40% - Accent2 5 15" xfId="7115" xr:uid="{00000000-0005-0000-0000-0000E1030000}"/>
    <cellStyle name="40% - Accent2 5 2" xfId="338" xr:uid="{00000000-0005-0000-0000-0000E2030000}"/>
    <cellStyle name="40% - Accent2 5 3" xfId="339" xr:uid="{00000000-0005-0000-0000-0000E3030000}"/>
    <cellStyle name="40% - Accent2 5 4" xfId="340" xr:uid="{00000000-0005-0000-0000-0000E4030000}"/>
    <cellStyle name="40% - Accent2 5 5" xfId="341" xr:uid="{00000000-0005-0000-0000-0000E5030000}"/>
    <cellStyle name="40% - Accent2 5 6" xfId="2227" xr:uid="{00000000-0005-0000-0000-0000E6030000}"/>
    <cellStyle name="40% - Accent2 5 7" xfId="7116" xr:uid="{00000000-0005-0000-0000-0000E7030000}"/>
    <cellStyle name="40% - Accent2 5 8" xfId="7117" xr:uid="{00000000-0005-0000-0000-0000E8030000}"/>
    <cellStyle name="40% - Accent2 5 9" xfId="7118" xr:uid="{00000000-0005-0000-0000-0000E9030000}"/>
    <cellStyle name="40% - Accent2 6" xfId="342" xr:uid="{00000000-0005-0000-0000-0000EA030000}"/>
    <cellStyle name="40% - Accent2 6 2" xfId="343" xr:uid="{00000000-0005-0000-0000-0000EB030000}"/>
    <cellStyle name="40% - Accent2 6 3" xfId="2228" xr:uid="{00000000-0005-0000-0000-0000EC030000}"/>
    <cellStyle name="40% - Accent2 7" xfId="344" xr:uid="{00000000-0005-0000-0000-0000ED030000}"/>
    <cellStyle name="40% - Accent2 7 2" xfId="345" xr:uid="{00000000-0005-0000-0000-0000EE030000}"/>
    <cellStyle name="40% - Accent2 7 3" xfId="2229" xr:uid="{00000000-0005-0000-0000-0000EF030000}"/>
    <cellStyle name="40% - Accent2 8" xfId="346" xr:uid="{00000000-0005-0000-0000-0000F0030000}"/>
    <cellStyle name="40% - Accent2 8 2" xfId="347" xr:uid="{00000000-0005-0000-0000-0000F1030000}"/>
    <cellStyle name="40% - Accent2 8 3" xfId="2230" xr:uid="{00000000-0005-0000-0000-0000F2030000}"/>
    <cellStyle name="40% - Accent2 9" xfId="348" xr:uid="{00000000-0005-0000-0000-0000F3030000}"/>
    <cellStyle name="40% - Accent2 9 2" xfId="2231" xr:uid="{00000000-0005-0000-0000-0000F4030000}"/>
    <cellStyle name="40% - Accent3 10" xfId="349" xr:uid="{00000000-0005-0000-0000-0000F5030000}"/>
    <cellStyle name="40% - Accent3 10 2" xfId="2232" xr:uid="{00000000-0005-0000-0000-0000F6030000}"/>
    <cellStyle name="40% - Accent3 11" xfId="350" xr:uid="{00000000-0005-0000-0000-0000F7030000}"/>
    <cellStyle name="40% - Accent3 11 2" xfId="7854" xr:uid="{00000000-0005-0000-0000-0000F8030000}"/>
    <cellStyle name="40% - Accent3 12" xfId="351" xr:uid="{00000000-0005-0000-0000-0000F9030000}"/>
    <cellStyle name="40% - Accent3 12 2" xfId="7855" xr:uid="{00000000-0005-0000-0000-0000FA030000}"/>
    <cellStyle name="40% - Accent3 13" xfId="352" xr:uid="{00000000-0005-0000-0000-0000FB030000}"/>
    <cellStyle name="40% - Accent3 13 2" xfId="7856" xr:uid="{00000000-0005-0000-0000-0000FC030000}"/>
    <cellStyle name="40% - Accent3 14" xfId="353" xr:uid="{00000000-0005-0000-0000-0000FD030000}"/>
    <cellStyle name="40% - Accent3 14 2" xfId="7857" xr:uid="{00000000-0005-0000-0000-0000FE030000}"/>
    <cellStyle name="40% - Accent3 15" xfId="2233" xr:uid="{00000000-0005-0000-0000-0000FF030000}"/>
    <cellStyle name="40% - Accent3 15 2" xfId="7858" xr:uid="{00000000-0005-0000-0000-000000040000}"/>
    <cellStyle name="40% - Accent3 16" xfId="2234" xr:uid="{00000000-0005-0000-0000-000001040000}"/>
    <cellStyle name="40% - Accent3 16 2" xfId="7859" xr:uid="{00000000-0005-0000-0000-000002040000}"/>
    <cellStyle name="40% - Accent3 17" xfId="2235" xr:uid="{00000000-0005-0000-0000-000003040000}"/>
    <cellStyle name="40% - Accent3 17 2" xfId="7860" xr:uid="{00000000-0005-0000-0000-000004040000}"/>
    <cellStyle name="40% - Accent3 18" xfId="2236" xr:uid="{00000000-0005-0000-0000-000005040000}"/>
    <cellStyle name="40% - Accent3 18 2" xfId="7861" xr:uid="{00000000-0005-0000-0000-000006040000}"/>
    <cellStyle name="40% - Accent3 19" xfId="2237" xr:uid="{00000000-0005-0000-0000-000007040000}"/>
    <cellStyle name="40% - Accent3 19 2" xfId="7862" xr:uid="{00000000-0005-0000-0000-000008040000}"/>
    <cellStyle name="40% - Accent3 2" xfId="354" xr:uid="{00000000-0005-0000-0000-000009040000}"/>
    <cellStyle name="40% - Accent3 2 10" xfId="7119" xr:uid="{00000000-0005-0000-0000-00000A040000}"/>
    <cellStyle name="40% - Accent3 2 11" xfId="7120" xr:uid="{00000000-0005-0000-0000-00000B040000}"/>
    <cellStyle name="40% - Accent3 2 12" xfId="7121" xr:uid="{00000000-0005-0000-0000-00000C040000}"/>
    <cellStyle name="40% - Accent3 2 13" xfId="7122" xr:uid="{00000000-0005-0000-0000-00000D040000}"/>
    <cellStyle name="40% - Accent3 2 14" xfId="7123" xr:uid="{00000000-0005-0000-0000-00000E040000}"/>
    <cellStyle name="40% - Accent3 2 15" xfId="7124" xr:uid="{00000000-0005-0000-0000-00000F040000}"/>
    <cellStyle name="40% - Accent3 2 16" xfId="7125" xr:uid="{00000000-0005-0000-0000-000010040000}"/>
    <cellStyle name="40% - Accent3 2 17" xfId="7126" xr:uid="{00000000-0005-0000-0000-000011040000}"/>
    <cellStyle name="40% - Accent3 2 18" xfId="7127" xr:uid="{00000000-0005-0000-0000-000012040000}"/>
    <cellStyle name="40% - Accent3 2 19" xfId="7128" xr:uid="{00000000-0005-0000-0000-000013040000}"/>
    <cellStyle name="40% - Accent3 2 2" xfId="355" xr:uid="{00000000-0005-0000-0000-000014040000}"/>
    <cellStyle name="40% - Accent3 2 2 10" xfId="7129" xr:uid="{00000000-0005-0000-0000-000015040000}"/>
    <cellStyle name="40% - Accent3 2 2 11" xfId="7130" xr:uid="{00000000-0005-0000-0000-000016040000}"/>
    <cellStyle name="40% - Accent3 2 2 12" xfId="7131" xr:uid="{00000000-0005-0000-0000-000017040000}"/>
    <cellStyle name="40% - Accent3 2 2 13" xfId="7132" xr:uid="{00000000-0005-0000-0000-000018040000}"/>
    <cellStyle name="40% - Accent3 2 2 14" xfId="7133" xr:uid="{00000000-0005-0000-0000-000019040000}"/>
    <cellStyle name="40% - Accent3 2 2 2" xfId="356" xr:uid="{00000000-0005-0000-0000-00001A040000}"/>
    <cellStyle name="40% - Accent3 2 2 3" xfId="2238" xr:uid="{00000000-0005-0000-0000-00001B040000}"/>
    <cellStyle name="40% - Accent3 2 2 4" xfId="7134" xr:uid="{00000000-0005-0000-0000-00001C040000}"/>
    <cellStyle name="40% - Accent3 2 2 5" xfId="7135" xr:uid="{00000000-0005-0000-0000-00001D040000}"/>
    <cellStyle name="40% - Accent3 2 2 6" xfId="7136" xr:uid="{00000000-0005-0000-0000-00001E040000}"/>
    <cellStyle name="40% - Accent3 2 2 7" xfId="7137" xr:uid="{00000000-0005-0000-0000-00001F040000}"/>
    <cellStyle name="40% - Accent3 2 2 8" xfId="7138" xr:uid="{00000000-0005-0000-0000-000020040000}"/>
    <cellStyle name="40% - Accent3 2 2 9" xfId="7139" xr:uid="{00000000-0005-0000-0000-000021040000}"/>
    <cellStyle name="40% - Accent3 2 20" xfId="15253" xr:uid="{00000000-0005-0000-0000-000022040000}"/>
    <cellStyle name="40% - Accent3 2 3" xfId="357" xr:uid="{00000000-0005-0000-0000-000023040000}"/>
    <cellStyle name="40% - Accent3 2 4" xfId="358" xr:uid="{00000000-0005-0000-0000-000024040000}"/>
    <cellStyle name="40% - Accent3 2 5" xfId="359" xr:uid="{00000000-0005-0000-0000-000025040000}"/>
    <cellStyle name="40% - Accent3 2 6" xfId="360" xr:uid="{00000000-0005-0000-0000-000026040000}"/>
    <cellStyle name="40% - Accent3 2 7" xfId="361" xr:uid="{00000000-0005-0000-0000-000027040000}"/>
    <cellStyle name="40% - Accent3 2 8" xfId="362" xr:uid="{00000000-0005-0000-0000-000028040000}"/>
    <cellStyle name="40% - Accent3 2 9" xfId="363" xr:uid="{00000000-0005-0000-0000-000029040000}"/>
    <cellStyle name="40% - Accent3 20" xfId="2239" xr:uid="{00000000-0005-0000-0000-00002A040000}"/>
    <cellStyle name="40% - Accent3 20 2" xfId="7863" xr:uid="{00000000-0005-0000-0000-00002B040000}"/>
    <cellStyle name="40% - Accent3 21" xfId="7864" xr:uid="{00000000-0005-0000-0000-00002C040000}"/>
    <cellStyle name="40% - Accent3 22" xfId="6491" xr:uid="{00000000-0005-0000-0000-00002D040000}"/>
    <cellStyle name="40% - Accent3 3" xfId="364" xr:uid="{00000000-0005-0000-0000-00002E040000}"/>
    <cellStyle name="40% - Accent3 3 10" xfId="2240" xr:uid="{00000000-0005-0000-0000-00002F040000}"/>
    <cellStyle name="40% - Accent3 3 11" xfId="2241" xr:uid="{00000000-0005-0000-0000-000030040000}"/>
    <cellStyle name="40% - Accent3 3 12" xfId="2242" xr:uid="{00000000-0005-0000-0000-000031040000}"/>
    <cellStyle name="40% - Accent3 3 13" xfId="2243" xr:uid="{00000000-0005-0000-0000-000032040000}"/>
    <cellStyle name="40% - Accent3 3 14" xfId="2244" xr:uid="{00000000-0005-0000-0000-000033040000}"/>
    <cellStyle name="40% - Accent3 3 15" xfId="7140" xr:uid="{00000000-0005-0000-0000-000034040000}"/>
    <cellStyle name="40% - Accent3 3 2" xfId="365" xr:uid="{00000000-0005-0000-0000-000035040000}"/>
    <cellStyle name="40% - Accent3 3 3" xfId="366" xr:uid="{00000000-0005-0000-0000-000036040000}"/>
    <cellStyle name="40% - Accent3 3 4" xfId="367" xr:uid="{00000000-0005-0000-0000-000037040000}"/>
    <cellStyle name="40% - Accent3 3 5" xfId="368" xr:uid="{00000000-0005-0000-0000-000038040000}"/>
    <cellStyle name="40% - Accent3 3 6" xfId="2245" xr:uid="{00000000-0005-0000-0000-000039040000}"/>
    <cellStyle name="40% - Accent3 3 7" xfId="2246" xr:uid="{00000000-0005-0000-0000-00003A040000}"/>
    <cellStyle name="40% - Accent3 3 8" xfId="2247" xr:uid="{00000000-0005-0000-0000-00003B040000}"/>
    <cellStyle name="40% - Accent3 3 9" xfId="2248" xr:uid="{00000000-0005-0000-0000-00003C040000}"/>
    <cellStyle name="40% - Accent3 4" xfId="369" xr:uid="{00000000-0005-0000-0000-00003D040000}"/>
    <cellStyle name="40% - Accent3 4 10" xfId="7141" xr:uid="{00000000-0005-0000-0000-00003E040000}"/>
    <cellStyle name="40% - Accent3 4 11" xfId="7142" xr:uid="{00000000-0005-0000-0000-00003F040000}"/>
    <cellStyle name="40% - Accent3 4 12" xfId="7143" xr:uid="{00000000-0005-0000-0000-000040040000}"/>
    <cellStyle name="40% - Accent3 4 13" xfId="7144" xr:uid="{00000000-0005-0000-0000-000041040000}"/>
    <cellStyle name="40% - Accent3 4 14" xfId="7145" xr:uid="{00000000-0005-0000-0000-000042040000}"/>
    <cellStyle name="40% - Accent3 4 15" xfId="7146" xr:uid="{00000000-0005-0000-0000-000043040000}"/>
    <cellStyle name="40% - Accent3 4 2" xfId="370" xr:uid="{00000000-0005-0000-0000-000044040000}"/>
    <cellStyle name="40% - Accent3 4 3" xfId="371" xr:uid="{00000000-0005-0000-0000-000045040000}"/>
    <cellStyle name="40% - Accent3 4 4" xfId="372" xr:uid="{00000000-0005-0000-0000-000046040000}"/>
    <cellStyle name="40% - Accent3 4 5" xfId="373" xr:uid="{00000000-0005-0000-0000-000047040000}"/>
    <cellStyle name="40% - Accent3 4 6" xfId="2249" xr:uid="{00000000-0005-0000-0000-000048040000}"/>
    <cellStyle name="40% - Accent3 4 7" xfId="7147" xr:uid="{00000000-0005-0000-0000-000049040000}"/>
    <cellStyle name="40% - Accent3 4 8" xfId="7148" xr:uid="{00000000-0005-0000-0000-00004A040000}"/>
    <cellStyle name="40% - Accent3 4 9" xfId="7149" xr:uid="{00000000-0005-0000-0000-00004B040000}"/>
    <cellStyle name="40% - Accent3 5" xfId="374" xr:uid="{00000000-0005-0000-0000-00004C040000}"/>
    <cellStyle name="40% - Accent3 5 10" xfId="7150" xr:uid="{00000000-0005-0000-0000-00004D040000}"/>
    <cellStyle name="40% - Accent3 5 11" xfId="7151" xr:uid="{00000000-0005-0000-0000-00004E040000}"/>
    <cellStyle name="40% - Accent3 5 12" xfId="7152" xr:uid="{00000000-0005-0000-0000-00004F040000}"/>
    <cellStyle name="40% - Accent3 5 13" xfId="7153" xr:uid="{00000000-0005-0000-0000-000050040000}"/>
    <cellStyle name="40% - Accent3 5 14" xfId="7154" xr:uid="{00000000-0005-0000-0000-000051040000}"/>
    <cellStyle name="40% - Accent3 5 15" xfId="7155" xr:uid="{00000000-0005-0000-0000-000052040000}"/>
    <cellStyle name="40% - Accent3 5 2" xfId="375" xr:uid="{00000000-0005-0000-0000-000053040000}"/>
    <cellStyle name="40% - Accent3 5 3" xfId="376" xr:uid="{00000000-0005-0000-0000-000054040000}"/>
    <cellStyle name="40% - Accent3 5 4" xfId="377" xr:uid="{00000000-0005-0000-0000-000055040000}"/>
    <cellStyle name="40% - Accent3 5 5" xfId="378" xr:uid="{00000000-0005-0000-0000-000056040000}"/>
    <cellStyle name="40% - Accent3 5 6" xfId="2250" xr:uid="{00000000-0005-0000-0000-000057040000}"/>
    <cellStyle name="40% - Accent3 5 7" xfId="7156" xr:uid="{00000000-0005-0000-0000-000058040000}"/>
    <cellStyle name="40% - Accent3 5 8" xfId="7157" xr:uid="{00000000-0005-0000-0000-000059040000}"/>
    <cellStyle name="40% - Accent3 5 9" xfId="7158" xr:uid="{00000000-0005-0000-0000-00005A040000}"/>
    <cellStyle name="40% - Accent3 6" xfId="379" xr:uid="{00000000-0005-0000-0000-00005B040000}"/>
    <cellStyle name="40% - Accent3 6 2" xfId="380" xr:uid="{00000000-0005-0000-0000-00005C040000}"/>
    <cellStyle name="40% - Accent3 6 3" xfId="2251" xr:uid="{00000000-0005-0000-0000-00005D040000}"/>
    <cellStyle name="40% - Accent3 7" xfId="381" xr:uid="{00000000-0005-0000-0000-00005E040000}"/>
    <cellStyle name="40% - Accent3 7 2" xfId="382" xr:uid="{00000000-0005-0000-0000-00005F040000}"/>
    <cellStyle name="40% - Accent3 7 3" xfId="2252" xr:uid="{00000000-0005-0000-0000-000060040000}"/>
    <cellStyle name="40% - Accent3 8" xfId="383" xr:uid="{00000000-0005-0000-0000-000061040000}"/>
    <cellStyle name="40% - Accent3 8 2" xfId="384" xr:uid="{00000000-0005-0000-0000-000062040000}"/>
    <cellStyle name="40% - Accent3 8 3" xfId="2253" xr:uid="{00000000-0005-0000-0000-000063040000}"/>
    <cellStyle name="40% - Accent3 9" xfId="385" xr:uid="{00000000-0005-0000-0000-000064040000}"/>
    <cellStyle name="40% - Accent3 9 2" xfId="2254" xr:uid="{00000000-0005-0000-0000-000065040000}"/>
    <cellStyle name="40% - Accent4 10" xfId="386" xr:uid="{00000000-0005-0000-0000-000066040000}"/>
    <cellStyle name="40% - Accent4 10 2" xfId="2255" xr:uid="{00000000-0005-0000-0000-000067040000}"/>
    <cellStyle name="40% - Accent4 11" xfId="387" xr:uid="{00000000-0005-0000-0000-000068040000}"/>
    <cellStyle name="40% - Accent4 11 2" xfId="7865" xr:uid="{00000000-0005-0000-0000-000069040000}"/>
    <cellStyle name="40% - Accent4 12" xfId="388" xr:uid="{00000000-0005-0000-0000-00006A040000}"/>
    <cellStyle name="40% - Accent4 12 2" xfId="7866" xr:uid="{00000000-0005-0000-0000-00006B040000}"/>
    <cellStyle name="40% - Accent4 13" xfId="389" xr:uid="{00000000-0005-0000-0000-00006C040000}"/>
    <cellStyle name="40% - Accent4 13 2" xfId="7867" xr:uid="{00000000-0005-0000-0000-00006D040000}"/>
    <cellStyle name="40% - Accent4 14" xfId="390" xr:uid="{00000000-0005-0000-0000-00006E040000}"/>
    <cellStyle name="40% - Accent4 14 2" xfId="7868" xr:uid="{00000000-0005-0000-0000-00006F040000}"/>
    <cellStyle name="40% - Accent4 15" xfId="2256" xr:uid="{00000000-0005-0000-0000-000070040000}"/>
    <cellStyle name="40% - Accent4 15 2" xfId="7869" xr:uid="{00000000-0005-0000-0000-000071040000}"/>
    <cellStyle name="40% - Accent4 16" xfId="2257" xr:uid="{00000000-0005-0000-0000-000072040000}"/>
    <cellStyle name="40% - Accent4 16 2" xfId="7870" xr:uid="{00000000-0005-0000-0000-000073040000}"/>
    <cellStyle name="40% - Accent4 17" xfId="2258" xr:uid="{00000000-0005-0000-0000-000074040000}"/>
    <cellStyle name="40% - Accent4 17 2" xfId="7871" xr:uid="{00000000-0005-0000-0000-000075040000}"/>
    <cellStyle name="40% - Accent4 18" xfId="2259" xr:uid="{00000000-0005-0000-0000-000076040000}"/>
    <cellStyle name="40% - Accent4 18 2" xfId="7872" xr:uid="{00000000-0005-0000-0000-000077040000}"/>
    <cellStyle name="40% - Accent4 19" xfId="2260" xr:uid="{00000000-0005-0000-0000-000078040000}"/>
    <cellStyle name="40% - Accent4 19 2" xfId="7873" xr:uid="{00000000-0005-0000-0000-000079040000}"/>
    <cellStyle name="40% - Accent4 2" xfId="391" xr:uid="{00000000-0005-0000-0000-00007A040000}"/>
    <cellStyle name="40% - Accent4 2 10" xfId="7159" xr:uid="{00000000-0005-0000-0000-00007B040000}"/>
    <cellStyle name="40% - Accent4 2 11" xfId="7160" xr:uid="{00000000-0005-0000-0000-00007C040000}"/>
    <cellStyle name="40% - Accent4 2 12" xfId="7161" xr:uid="{00000000-0005-0000-0000-00007D040000}"/>
    <cellStyle name="40% - Accent4 2 13" xfId="7162" xr:uid="{00000000-0005-0000-0000-00007E040000}"/>
    <cellStyle name="40% - Accent4 2 14" xfId="7163" xr:uid="{00000000-0005-0000-0000-00007F040000}"/>
    <cellStyle name="40% - Accent4 2 15" xfId="7164" xr:uid="{00000000-0005-0000-0000-000080040000}"/>
    <cellStyle name="40% - Accent4 2 16" xfId="7165" xr:uid="{00000000-0005-0000-0000-000081040000}"/>
    <cellStyle name="40% - Accent4 2 17" xfId="7166" xr:uid="{00000000-0005-0000-0000-000082040000}"/>
    <cellStyle name="40% - Accent4 2 18" xfId="7167" xr:uid="{00000000-0005-0000-0000-000083040000}"/>
    <cellStyle name="40% - Accent4 2 19" xfId="7168" xr:uid="{00000000-0005-0000-0000-000084040000}"/>
    <cellStyle name="40% - Accent4 2 2" xfId="392" xr:uid="{00000000-0005-0000-0000-000085040000}"/>
    <cellStyle name="40% - Accent4 2 2 10" xfId="7169" xr:uid="{00000000-0005-0000-0000-000086040000}"/>
    <cellStyle name="40% - Accent4 2 2 11" xfId="7170" xr:uid="{00000000-0005-0000-0000-000087040000}"/>
    <cellStyle name="40% - Accent4 2 2 12" xfId="7171" xr:uid="{00000000-0005-0000-0000-000088040000}"/>
    <cellStyle name="40% - Accent4 2 2 13" xfId="7172" xr:uid="{00000000-0005-0000-0000-000089040000}"/>
    <cellStyle name="40% - Accent4 2 2 14" xfId="7173" xr:uid="{00000000-0005-0000-0000-00008A040000}"/>
    <cellStyle name="40% - Accent4 2 2 2" xfId="393" xr:uid="{00000000-0005-0000-0000-00008B040000}"/>
    <cellStyle name="40% - Accent4 2 2 3" xfId="2261" xr:uid="{00000000-0005-0000-0000-00008C040000}"/>
    <cellStyle name="40% - Accent4 2 2 4" xfId="7174" xr:uid="{00000000-0005-0000-0000-00008D040000}"/>
    <cellStyle name="40% - Accent4 2 2 5" xfId="7175" xr:uid="{00000000-0005-0000-0000-00008E040000}"/>
    <cellStyle name="40% - Accent4 2 2 6" xfId="7176" xr:uid="{00000000-0005-0000-0000-00008F040000}"/>
    <cellStyle name="40% - Accent4 2 2 7" xfId="7177" xr:uid="{00000000-0005-0000-0000-000090040000}"/>
    <cellStyle name="40% - Accent4 2 2 8" xfId="7178" xr:uid="{00000000-0005-0000-0000-000091040000}"/>
    <cellStyle name="40% - Accent4 2 2 9" xfId="7179" xr:uid="{00000000-0005-0000-0000-000092040000}"/>
    <cellStyle name="40% - Accent4 2 20" xfId="15254" xr:uid="{00000000-0005-0000-0000-000093040000}"/>
    <cellStyle name="40% - Accent4 2 3" xfId="394" xr:uid="{00000000-0005-0000-0000-000094040000}"/>
    <cellStyle name="40% - Accent4 2 4" xfId="395" xr:uid="{00000000-0005-0000-0000-000095040000}"/>
    <cellStyle name="40% - Accent4 2 5" xfId="396" xr:uid="{00000000-0005-0000-0000-000096040000}"/>
    <cellStyle name="40% - Accent4 2 6" xfId="397" xr:uid="{00000000-0005-0000-0000-000097040000}"/>
    <cellStyle name="40% - Accent4 2 7" xfId="398" xr:uid="{00000000-0005-0000-0000-000098040000}"/>
    <cellStyle name="40% - Accent4 2 8" xfId="399" xr:uid="{00000000-0005-0000-0000-000099040000}"/>
    <cellStyle name="40% - Accent4 2 9" xfId="400" xr:uid="{00000000-0005-0000-0000-00009A040000}"/>
    <cellStyle name="40% - Accent4 20" xfId="2262" xr:uid="{00000000-0005-0000-0000-00009B040000}"/>
    <cellStyle name="40% - Accent4 20 2" xfId="7874" xr:uid="{00000000-0005-0000-0000-00009C040000}"/>
    <cellStyle name="40% - Accent4 21" xfId="7875" xr:uid="{00000000-0005-0000-0000-00009D040000}"/>
    <cellStyle name="40% - Accent4 22" xfId="6492" xr:uid="{00000000-0005-0000-0000-00009E040000}"/>
    <cellStyle name="40% - Accent4 3" xfId="401" xr:uid="{00000000-0005-0000-0000-00009F040000}"/>
    <cellStyle name="40% - Accent4 3 10" xfId="2263" xr:uid="{00000000-0005-0000-0000-0000A0040000}"/>
    <cellStyle name="40% - Accent4 3 11" xfId="2264" xr:uid="{00000000-0005-0000-0000-0000A1040000}"/>
    <cellStyle name="40% - Accent4 3 12" xfId="2265" xr:uid="{00000000-0005-0000-0000-0000A2040000}"/>
    <cellStyle name="40% - Accent4 3 13" xfId="2266" xr:uid="{00000000-0005-0000-0000-0000A3040000}"/>
    <cellStyle name="40% - Accent4 3 14" xfId="2267" xr:uid="{00000000-0005-0000-0000-0000A4040000}"/>
    <cellStyle name="40% - Accent4 3 15" xfId="7180" xr:uid="{00000000-0005-0000-0000-0000A5040000}"/>
    <cellStyle name="40% - Accent4 3 2" xfId="402" xr:uid="{00000000-0005-0000-0000-0000A6040000}"/>
    <cellStyle name="40% - Accent4 3 3" xfId="403" xr:uid="{00000000-0005-0000-0000-0000A7040000}"/>
    <cellStyle name="40% - Accent4 3 4" xfId="404" xr:uid="{00000000-0005-0000-0000-0000A8040000}"/>
    <cellStyle name="40% - Accent4 3 5" xfId="405" xr:uid="{00000000-0005-0000-0000-0000A9040000}"/>
    <cellStyle name="40% - Accent4 3 6" xfId="2268" xr:uid="{00000000-0005-0000-0000-0000AA040000}"/>
    <cellStyle name="40% - Accent4 3 7" xfId="2269" xr:uid="{00000000-0005-0000-0000-0000AB040000}"/>
    <cellStyle name="40% - Accent4 3 8" xfId="2270" xr:uid="{00000000-0005-0000-0000-0000AC040000}"/>
    <cellStyle name="40% - Accent4 3 9" xfId="2271" xr:uid="{00000000-0005-0000-0000-0000AD040000}"/>
    <cellStyle name="40% - Accent4 4" xfId="406" xr:uid="{00000000-0005-0000-0000-0000AE040000}"/>
    <cellStyle name="40% - Accent4 4 10" xfId="7181" xr:uid="{00000000-0005-0000-0000-0000AF040000}"/>
    <cellStyle name="40% - Accent4 4 11" xfId="7182" xr:uid="{00000000-0005-0000-0000-0000B0040000}"/>
    <cellStyle name="40% - Accent4 4 12" xfId="7183" xr:uid="{00000000-0005-0000-0000-0000B1040000}"/>
    <cellStyle name="40% - Accent4 4 13" xfId="7184" xr:uid="{00000000-0005-0000-0000-0000B2040000}"/>
    <cellStyle name="40% - Accent4 4 14" xfId="7185" xr:uid="{00000000-0005-0000-0000-0000B3040000}"/>
    <cellStyle name="40% - Accent4 4 15" xfId="7186" xr:uid="{00000000-0005-0000-0000-0000B4040000}"/>
    <cellStyle name="40% - Accent4 4 2" xfId="407" xr:uid="{00000000-0005-0000-0000-0000B5040000}"/>
    <cellStyle name="40% - Accent4 4 3" xfId="408" xr:uid="{00000000-0005-0000-0000-0000B6040000}"/>
    <cellStyle name="40% - Accent4 4 4" xfId="409" xr:uid="{00000000-0005-0000-0000-0000B7040000}"/>
    <cellStyle name="40% - Accent4 4 5" xfId="410" xr:uid="{00000000-0005-0000-0000-0000B8040000}"/>
    <cellStyle name="40% - Accent4 4 6" xfId="2272" xr:uid="{00000000-0005-0000-0000-0000B9040000}"/>
    <cellStyle name="40% - Accent4 4 7" xfId="7187" xr:uid="{00000000-0005-0000-0000-0000BA040000}"/>
    <cellStyle name="40% - Accent4 4 8" xfId="7188" xr:uid="{00000000-0005-0000-0000-0000BB040000}"/>
    <cellStyle name="40% - Accent4 4 9" xfId="7189" xr:uid="{00000000-0005-0000-0000-0000BC040000}"/>
    <cellStyle name="40% - Accent4 5" xfId="411" xr:uid="{00000000-0005-0000-0000-0000BD040000}"/>
    <cellStyle name="40% - Accent4 5 10" xfId="7190" xr:uid="{00000000-0005-0000-0000-0000BE040000}"/>
    <cellStyle name="40% - Accent4 5 11" xfId="7191" xr:uid="{00000000-0005-0000-0000-0000BF040000}"/>
    <cellStyle name="40% - Accent4 5 12" xfId="7192" xr:uid="{00000000-0005-0000-0000-0000C0040000}"/>
    <cellStyle name="40% - Accent4 5 13" xfId="7193" xr:uid="{00000000-0005-0000-0000-0000C1040000}"/>
    <cellStyle name="40% - Accent4 5 14" xfId="7194" xr:uid="{00000000-0005-0000-0000-0000C2040000}"/>
    <cellStyle name="40% - Accent4 5 15" xfId="7195" xr:uid="{00000000-0005-0000-0000-0000C3040000}"/>
    <cellStyle name="40% - Accent4 5 2" xfId="412" xr:uid="{00000000-0005-0000-0000-0000C4040000}"/>
    <cellStyle name="40% - Accent4 5 3" xfId="413" xr:uid="{00000000-0005-0000-0000-0000C5040000}"/>
    <cellStyle name="40% - Accent4 5 4" xfId="414" xr:uid="{00000000-0005-0000-0000-0000C6040000}"/>
    <cellStyle name="40% - Accent4 5 5" xfId="415" xr:uid="{00000000-0005-0000-0000-0000C7040000}"/>
    <cellStyle name="40% - Accent4 5 6" xfId="2273" xr:uid="{00000000-0005-0000-0000-0000C8040000}"/>
    <cellStyle name="40% - Accent4 5 7" xfId="7196" xr:uid="{00000000-0005-0000-0000-0000C9040000}"/>
    <cellStyle name="40% - Accent4 5 8" xfId="7197" xr:uid="{00000000-0005-0000-0000-0000CA040000}"/>
    <cellStyle name="40% - Accent4 5 9" xfId="7198" xr:uid="{00000000-0005-0000-0000-0000CB040000}"/>
    <cellStyle name="40% - Accent4 6" xfId="416" xr:uid="{00000000-0005-0000-0000-0000CC040000}"/>
    <cellStyle name="40% - Accent4 6 2" xfId="417" xr:uid="{00000000-0005-0000-0000-0000CD040000}"/>
    <cellStyle name="40% - Accent4 6 3" xfId="2274" xr:uid="{00000000-0005-0000-0000-0000CE040000}"/>
    <cellStyle name="40% - Accent4 7" xfId="418" xr:uid="{00000000-0005-0000-0000-0000CF040000}"/>
    <cellStyle name="40% - Accent4 7 2" xfId="419" xr:uid="{00000000-0005-0000-0000-0000D0040000}"/>
    <cellStyle name="40% - Accent4 7 3" xfId="2275" xr:uid="{00000000-0005-0000-0000-0000D1040000}"/>
    <cellStyle name="40% - Accent4 8" xfId="420" xr:uid="{00000000-0005-0000-0000-0000D2040000}"/>
    <cellStyle name="40% - Accent4 8 2" xfId="421" xr:uid="{00000000-0005-0000-0000-0000D3040000}"/>
    <cellStyle name="40% - Accent4 8 3" xfId="2276" xr:uid="{00000000-0005-0000-0000-0000D4040000}"/>
    <cellStyle name="40% - Accent4 9" xfId="422" xr:uid="{00000000-0005-0000-0000-0000D5040000}"/>
    <cellStyle name="40% - Accent4 9 2" xfId="2277" xr:uid="{00000000-0005-0000-0000-0000D6040000}"/>
    <cellStyle name="40% - Accent5 10" xfId="423" xr:uid="{00000000-0005-0000-0000-0000D7040000}"/>
    <cellStyle name="40% - Accent5 10 2" xfId="2278" xr:uid="{00000000-0005-0000-0000-0000D8040000}"/>
    <cellStyle name="40% - Accent5 11" xfId="424" xr:uid="{00000000-0005-0000-0000-0000D9040000}"/>
    <cellStyle name="40% - Accent5 11 2" xfId="7876" xr:uid="{00000000-0005-0000-0000-0000DA040000}"/>
    <cellStyle name="40% - Accent5 12" xfId="425" xr:uid="{00000000-0005-0000-0000-0000DB040000}"/>
    <cellStyle name="40% - Accent5 12 2" xfId="7877" xr:uid="{00000000-0005-0000-0000-0000DC040000}"/>
    <cellStyle name="40% - Accent5 13" xfId="426" xr:uid="{00000000-0005-0000-0000-0000DD040000}"/>
    <cellStyle name="40% - Accent5 13 2" xfId="7878" xr:uid="{00000000-0005-0000-0000-0000DE040000}"/>
    <cellStyle name="40% - Accent5 14" xfId="427" xr:uid="{00000000-0005-0000-0000-0000DF040000}"/>
    <cellStyle name="40% - Accent5 14 2" xfId="7879" xr:uid="{00000000-0005-0000-0000-0000E0040000}"/>
    <cellStyle name="40% - Accent5 15" xfId="2279" xr:uid="{00000000-0005-0000-0000-0000E1040000}"/>
    <cellStyle name="40% - Accent5 15 2" xfId="7880" xr:uid="{00000000-0005-0000-0000-0000E2040000}"/>
    <cellStyle name="40% - Accent5 16" xfId="2280" xr:uid="{00000000-0005-0000-0000-0000E3040000}"/>
    <cellStyle name="40% - Accent5 16 2" xfId="7881" xr:uid="{00000000-0005-0000-0000-0000E4040000}"/>
    <cellStyle name="40% - Accent5 17" xfId="2281" xr:uid="{00000000-0005-0000-0000-0000E5040000}"/>
    <cellStyle name="40% - Accent5 17 2" xfId="7882" xr:uid="{00000000-0005-0000-0000-0000E6040000}"/>
    <cellStyle name="40% - Accent5 18" xfId="2282" xr:uid="{00000000-0005-0000-0000-0000E7040000}"/>
    <cellStyle name="40% - Accent5 18 2" xfId="7883" xr:uid="{00000000-0005-0000-0000-0000E8040000}"/>
    <cellStyle name="40% - Accent5 19" xfId="2283" xr:uid="{00000000-0005-0000-0000-0000E9040000}"/>
    <cellStyle name="40% - Accent5 19 2" xfId="7884" xr:uid="{00000000-0005-0000-0000-0000EA040000}"/>
    <cellStyle name="40% - Accent5 2" xfId="428" xr:uid="{00000000-0005-0000-0000-0000EB040000}"/>
    <cellStyle name="40% - Accent5 2 10" xfId="7199" xr:uid="{00000000-0005-0000-0000-0000EC040000}"/>
    <cellStyle name="40% - Accent5 2 11" xfId="7200" xr:uid="{00000000-0005-0000-0000-0000ED040000}"/>
    <cellStyle name="40% - Accent5 2 12" xfId="7201" xr:uid="{00000000-0005-0000-0000-0000EE040000}"/>
    <cellStyle name="40% - Accent5 2 13" xfId="7202" xr:uid="{00000000-0005-0000-0000-0000EF040000}"/>
    <cellStyle name="40% - Accent5 2 14" xfId="7203" xr:uid="{00000000-0005-0000-0000-0000F0040000}"/>
    <cellStyle name="40% - Accent5 2 15" xfId="7204" xr:uid="{00000000-0005-0000-0000-0000F1040000}"/>
    <cellStyle name="40% - Accent5 2 16" xfId="7205" xr:uid="{00000000-0005-0000-0000-0000F2040000}"/>
    <cellStyle name="40% - Accent5 2 17" xfId="7206" xr:uid="{00000000-0005-0000-0000-0000F3040000}"/>
    <cellStyle name="40% - Accent5 2 18" xfId="7207" xr:uid="{00000000-0005-0000-0000-0000F4040000}"/>
    <cellStyle name="40% - Accent5 2 19" xfId="7208" xr:uid="{00000000-0005-0000-0000-0000F5040000}"/>
    <cellStyle name="40% - Accent5 2 2" xfId="429" xr:uid="{00000000-0005-0000-0000-0000F6040000}"/>
    <cellStyle name="40% - Accent5 2 2 10" xfId="7209" xr:uid="{00000000-0005-0000-0000-0000F7040000}"/>
    <cellStyle name="40% - Accent5 2 2 11" xfId="7210" xr:uid="{00000000-0005-0000-0000-0000F8040000}"/>
    <cellStyle name="40% - Accent5 2 2 12" xfId="7211" xr:uid="{00000000-0005-0000-0000-0000F9040000}"/>
    <cellStyle name="40% - Accent5 2 2 13" xfId="7212" xr:uid="{00000000-0005-0000-0000-0000FA040000}"/>
    <cellStyle name="40% - Accent5 2 2 14" xfId="7213" xr:uid="{00000000-0005-0000-0000-0000FB040000}"/>
    <cellStyle name="40% - Accent5 2 2 2" xfId="430" xr:uid="{00000000-0005-0000-0000-0000FC040000}"/>
    <cellStyle name="40% - Accent5 2 2 3" xfId="2284" xr:uid="{00000000-0005-0000-0000-0000FD040000}"/>
    <cellStyle name="40% - Accent5 2 2 4" xfId="7214" xr:uid="{00000000-0005-0000-0000-0000FE040000}"/>
    <cellStyle name="40% - Accent5 2 2 5" xfId="7215" xr:uid="{00000000-0005-0000-0000-0000FF040000}"/>
    <cellStyle name="40% - Accent5 2 2 6" xfId="7216" xr:uid="{00000000-0005-0000-0000-000000050000}"/>
    <cellStyle name="40% - Accent5 2 2 7" xfId="7217" xr:uid="{00000000-0005-0000-0000-000001050000}"/>
    <cellStyle name="40% - Accent5 2 2 8" xfId="7218" xr:uid="{00000000-0005-0000-0000-000002050000}"/>
    <cellStyle name="40% - Accent5 2 2 9" xfId="7219" xr:uid="{00000000-0005-0000-0000-000003050000}"/>
    <cellStyle name="40% - Accent5 2 20" xfId="15255" xr:uid="{00000000-0005-0000-0000-000004050000}"/>
    <cellStyle name="40% - Accent5 2 3" xfId="431" xr:uid="{00000000-0005-0000-0000-000005050000}"/>
    <cellStyle name="40% - Accent5 2 4" xfId="432" xr:uid="{00000000-0005-0000-0000-000006050000}"/>
    <cellStyle name="40% - Accent5 2 5" xfId="433" xr:uid="{00000000-0005-0000-0000-000007050000}"/>
    <cellStyle name="40% - Accent5 2 6" xfId="434" xr:uid="{00000000-0005-0000-0000-000008050000}"/>
    <cellStyle name="40% - Accent5 2 7" xfId="435" xr:uid="{00000000-0005-0000-0000-000009050000}"/>
    <cellStyle name="40% - Accent5 2 8" xfId="436" xr:uid="{00000000-0005-0000-0000-00000A050000}"/>
    <cellStyle name="40% - Accent5 2 9" xfId="437" xr:uid="{00000000-0005-0000-0000-00000B050000}"/>
    <cellStyle name="40% - Accent5 20" xfId="2285" xr:uid="{00000000-0005-0000-0000-00000C050000}"/>
    <cellStyle name="40% - Accent5 20 2" xfId="7886" xr:uid="{00000000-0005-0000-0000-00000D050000}"/>
    <cellStyle name="40% - Accent5 21" xfId="7887" xr:uid="{00000000-0005-0000-0000-00000E050000}"/>
    <cellStyle name="40% - Accent5 22" xfId="6493" xr:uid="{00000000-0005-0000-0000-00000F050000}"/>
    <cellStyle name="40% - Accent5 3" xfId="438" xr:uid="{00000000-0005-0000-0000-000010050000}"/>
    <cellStyle name="40% - Accent5 3 10" xfId="2286" xr:uid="{00000000-0005-0000-0000-000011050000}"/>
    <cellStyle name="40% - Accent5 3 11" xfId="2287" xr:uid="{00000000-0005-0000-0000-000012050000}"/>
    <cellStyle name="40% - Accent5 3 12" xfId="2288" xr:uid="{00000000-0005-0000-0000-000013050000}"/>
    <cellStyle name="40% - Accent5 3 13" xfId="2289" xr:uid="{00000000-0005-0000-0000-000014050000}"/>
    <cellStyle name="40% - Accent5 3 14" xfId="2290" xr:uid="{00000000-0005-0000-0000-000015050000}"/>
    <cellStyle name="40% - Accent5 3 15" xfId="7220" xr:uid="{00000000-0005-0000-0000-000016050000}"/>
    <cellStyle name="40% - Accent5 3 2" xfId="439" xr:uid="{00000000-0005-0000-0000-000017050000}"/>
    <cellStyle name="40% - Accent5 3 3" xfId="440" xr:uid="{00000000-0005-0000-0000-000018050000}"/>
    <cellStyle name="40% - Accent5 3 4" xfId="441" xr:uid="{00000000-0005-0000-0000-000019050000}"/>
    <cellStyle name="40% - Accent5 3 5" xfId="442" xr:uid="{00000000-0005-0000-0000-00001A050000}"/>
    <cellStyle name="40% - Accent5 3 6" xfId="2291" xr:uid="{00000000-0005-0000-0000-00001B050000}"/>
    <cellStyle name="40% - Accent5 3 7" xfId="2292" xr:uid="{00000000-0005-0000-0000-00001C050000}"/>
    <cellStyle name="40% - Accent5 3 8" xfId="2293" xr:uid="{00000000-0005-0000-0000-00001D050000}"/>
    <cellStyle name="40% - Accent5 3 9" xfId="2294" xr:uid="{00000000-0005-0000-0000-00001E050000}"/>
    <cellStyle name="40% - Accent5 4" xfId="443" xr:uid="{00000000-0005-0000-0000-00001F050000}"/>
    <cellStyle name="40% - Accent5 4 10" xfId="7221" xr:uid="{00000000-0005-0000-0000-000020050000}"/>
    <cellStyle name="40% - Accent5 4 11" xfId="7222" xr:uid="{00000000-0005-0000-0000-000021050000}"/>
    <cellStyle name="40% - Accent5 4 12" xfId="7223" xr:uid="{00000000-0005-0000-0000-000022050000}"/>
    <cellStyle name="40% - Accent5 4 13" xfId="7224" xr:uid="{00000000-0005-0000-0000-000023050000}"/>
    <cellStyle name="40% - Accent5 4 14" xfId="7225" xr:uid="{00000000-0005-0000-0000-000024050000}"/>
    <cellStyle name="40% - Accent5 4 15" xfId="7226" xr:uid="{00000000-0005-0000-0000-000025050000}"/>
    <cellStyle name="40% - Accent5 4 2" xfId="444" xr:uid="{00000000-0005-0000-0000-000026050000}"/>
    <cellStyle name="40% - Accent5 4 3" xfId="445" xr:uid="{00000000-0005-0000-0000-000027050000}"/>
    <cellStyle name="40% - Accent5 4 4" xfId="446" xr:uid="{00000000-0005-0000-0000-000028050000}"/>
    <cellStyle name="40% - Accent5 4 5" xfId="447" xr:uid="{00000000-0005-0000-0000-000029050000}"/>
    <cellStyle name="40% - Accent5 4 6" xfId="2295" xr:uid="{00000000-0005-0000-0000-00002A050000}"/>
    <cellStyle name="40% - Accent5 4 7" xfId="7227" xr:uid="{00000000-0005-0000-0000-00002B050000}"/>
    <cellStyle name="40% - Accent5 4 8" xfId="7228" xr:uid="{00000000-0005-0000-0000-00002C050000}"/>
    <cellStyle name="40% - Accent5 4 9" xfId="7229" xr:uid="{00000000-0005-0000-0000-00002D050000}"/>
    <cellStyle name="40% - Accent5 5" xfId="448" xr:uid="{00000000-0005-0000-0000-00002E050000}"/>
    <cellStyle name="40% - Accent5 5 10" xfId="7230" xr:uid="{00000000-0005-0000-0000-00002F050000}"/>
    <cellStyle name="40% - Accent5 5 11" xfId="7231" xr:uid="{00000000-0005-0000-0000-000030050000}"/>
    <cellStyle name="40% - Accent5 5 12" xfId="7232" xr:uid="{00000000-0005-0000-0000-000031050000}"/>
    <cellStyle name="40% - Accent5 5 13" xfId="7233" xr:uid="{00000000-0005-0000-0000-000032050000}"/>
    <cellStyle name="40% - Accent5 5 14" xfId="7234" xr:uid="{00000000-0005-0000-0000-000033050000}"/>
    <cellStyle name="40% - Accent5 5 15" xfId="7235" xr:uid="{00000000-0005-0000-0000-000034050000}"/>
    <cellStyle name="40% - Accent5 5 2" xfId="449" xr:uid="{00000000-0005-0000-0000-000035050000}"/>
    <cellStyle name="40% - Accent5 5 3" xfId="450" xr:uid="{00000000-0005-0000-0000-000036050000}"/>
    <cellStyle name="40% - Accent5 5 4" xfId="451" xr:uid="{00000000-0005-0000-0000-000037050000}"/>
    <cellStyle name="40% - Accent5 5 5" xfId="452" xr:uid="{00000000-0005-0000-0000-000038050000}"/>
    <cellStyle name="40% - Accent5 5 6" xfId="2296" xr:uid="{00000000-0005-0000-0000-000039050000}"/>
    <cellStyle name="40% - Accent5 5 7" xfId="7236" xr:uid="{00000000-0005-0000-0000-00003A050000}"/>
    <cellStyle name="40% - Accent5 5 8" xfId="7237" xr:uid="{00000000-0005-0000-0000-00003B050000}"/>
    <cellStyle name="40% - Accent5 5 9" xfId="7238" xr:uid="{00000000-0005-0000-0000-00003C050000}"/>
    <cellStyle name="40% - Accent5 6" xfId="453" xr:uid="{00000000-0005-0000-0000-00003D050000}"/>
    <cellStyle name="40% - Accent5 6 2" xfId="454" xr:uid="{00000000-0005-0000-0000-00003E050000}"/>
    <cellStyle name="40% - Accent5 6 3" xfId="2297" xr:uid="{00000000-0005-0000-0000-00003F050000}"/>
    <cellStyle name="40% - Accent5 7" xfId="455" xr:uid="{00000000-0005-0000-0000-000040050000}"/>
    <cellStyle name="40% - Accent5 7 2" xfId="456" xr:uid="{00000000-0005-0000-0000-000041050000}"/>
    <cellStyle name="40% - Accent5 7 3" xfId="2298" xr:uid="{00000000-0005-0000-0000-000042050000}"/>
    <cellStyle name="40% - Accent5 8" xfId="457" xr:uid="{00000000-0005-0000-0000-000043050000}"/>
    <cellStyle name="40% - Accent5 8 2" xfId="458" xr:uid="{00000000-0005-0000-0000-000044050000}"/>
    <cellStyle name="40% - Accent5 8 3" xfId="2299" xr:uid="{00000000-0005-0000-0000-000045050000}"/>
    <cellStyle name="40% - Accent5 9" xfId="459" xr:uid="{00000000-0005-0000-0000-000046050000}"/>
    <cellStyle name="40% - Accent5 9 2" xfId="2300" xr:uid="{00000000-0005-0000-0000-000047050000}"/>
    <cellStyle name="40% - Accent6 10" xfId="460" xr:uid="{00000000-0005-0000-0000-000048050000}"/>
    <cellStyle name="40% - Accent6 10 2" xfId="2301" xr:uid="{00000000-0005-0000-0000-000049050000}"/>
    <cellStyle name="40% - Accent6 11" xfId="461" xr:uid="{00000000-0005-0000-0000-00004A050000}"/>
    <cellStyle name="40% - Accent6 11 2" xfId="7888" xr:uid="{00000000-0005-0000-0000-00004B050000}"/>
    <cellStyle name="40% - Accent6 12" xfId="462" xr:uid="{00000000-0005-0000-0000-00004C050000}"/>
    <cellStyle name="40% - Accent6 12 2" xfId="7889" xr:uid="{00000000-0005-0000-0000-00004D050000}"/>
    <cellStyle name="40% - Accent6 13" xfId="463" xr:uid="{00000000-0005-0000-0000-00004E050000}"/>
    <cellStyle name="40% - Accent6 13 2" xfId="7890" xr:uid="{00000000-0005-0000-0000-00004F050000}"/>
    <cellStyle name="40% - Accent6 14" xfId="464" xr:uid="{00000000-0005-0000-0000-000050050000}"/>
    <cellStyle name="40% - Accent6 14 2" xfId="7891" xr:uid="{00000000-0005-0000-0000-000051050000}"/>
    <cellStyle name="40% - Accent6 15" xfId="2302" xr:uid="{00000000-0005-0000-0000-000052050000}"/>
    <cellStyle name="40% - Accent6 15 2" xfId="7892" xr:uid="{00000000-0005-0000-0000-000053050000}"/>
    <cellStyle name="40% - Accent6 16" xfId="2303" xr:uid="{00000000-0005-0000-0000-000054050000}"/>
    <cellStyle name="40% - Accent6 16 2" xfId="7893" xr:uid="{00000000-0005-0000-0000-000055050000}"/>
    <cellStyle name="40% - Accent6 17" xfId="2304" xr:uid="{00000000-0005-0000-0000-000056050000}"/>
    <cellStyle name="40% - Accent6 17 2" xfId="7894" xr:uid="{00000000-0005-0000-0000-000057050000}"/>
    <cellStyle name="40% - Accent6 18" xfId="2305" xr:uid="{00000000-0005-0000-0000-000058050000}"/>
    <cellStyle name="40% - Accent6 18 2" xfId="7895" xr:uid="{00000000-0005-0000-0000-000059050000}"/>
    <cellStyle name="40% - Accent6 19" xfId="2306" xr:uid="{00000000-0005-0000-0000-00005A050000}"/>
    <cellStyle name="40% - Accent6 19 2" xfId="7896" xr:uid="{00000000-0005-0000-0000-00005B050000}"/>
    <cellStyle name="40% - Accent6 2" xfId="465" xr:uid="{00000000-0005-0000-0000-00005C050000}"/>
    <cellStyle name="40% - Accent6 2 10" xfId="7239" xr:uid="{00000000-0005-0000-0000-00005D050000}"/>
    <cellStyle name="40% - Accent6 2 11" xfId="7240" xr:uid="{00000000-0005-0000-0000-00005E050000}"/>
    <cellStyle name="40% - Accent6 2 12" xfId="7241" xr:uid="{00000000-0005-0000-0000-00005F050000}"/>
    <cellStyle name="40% - Accent6 2 13" xfId="7242" xr:uid="{00000000-0005-0000-0000-000060050000}"/>
    <cellStyle name="40% - Accent6 2 14" xfId="7243" xr:uid="{00000000-0005-0000-0000-000061050000}"/>
    <cellStyle name="40% - Accent6 2 15" xfId="7244" xr:uid="{00000000-0005-0000-0000-000062050000}"/>
    <cellStyle name="40% - Accent6 2 16" xfId="7245" xr:uid="{00000000-0005-0000-0000-000063050000}"/>
    <cellStyle name="40% - Accent6 2 17" xfId="7246" xr:uid="{00000000-0005-0000-0000-000064050000}"/>
    <cellStyle name="40% - Accent6 2 18" xfId="7247" xr:uid="{00000000-0005-0000-0000-000065050000}"/>
    <cellStyle name="40% - Accent6 2 19" xfId="7248" xr:uid="{00000000-0005-0000-0000-000066050000}"/>
    <cellStyle name="40% - Accent6 2 2" xfId="466" xr:uid="{00000000-0005-0000-0000-000067050000}"/>
    <cellStyle name="40% - Accent6 2 2 10" xfId="7249" xr:uid="{00000000-0005-0000-0000-000068050000}"/>
    <cellStyle name="40% - Accent6 2 2 11" xfId="7250" xr:uid="{00000000-0005-0000-0000-000069050000}"/>
    <cellStyle name="40% - Accent6 2 2 12" xfId="7251" xr:uid="{00000000-0005-0000-0000-00006A050000}"/>
    <cellStyle name="40% - Accent6 2 2 13" xfId="7252" xr:uid="{00000000-0005-0000-0000-00006B050000}"/>
    <cellStyle name="40% - Accent6 2 2 14" xfId="7253" xr:uid="{00000000-0005-0000-0000-00006C050000}"/>
    <cellStyle name="40% - Accent6 2 2 2" xfId="467" xr:uid="{00000000-0005-0000-0000-00006D050000}"/>
    <cellStyle name="40% - Accent6 2 2 3" xfId="2307" xr:uid="{00000000-0005-0000-0000-00006E050000}"/>
    <cellStyle name="40% - Accent6 2 2 4" xfId="7254" xr:uid="{00000000-0005-0000-0000-00006F050000}"/>
    <cellStyle name="40% - Accent6 2 2 5" xfId="7255" xr:uid="{00000000-0005-0000-0000-000070050000}"/>
    <cellStyle name="40% - Accent6 2 2 6" xfId="7256" xr:uid="{00000000-0005-0000-0000-000071050000}"/>
    <cellStyle name="40% - Accent6 2 2 7" xfId="7257" xr:uid="{00000000-0005-0000-0000-000072050000}"/>
    <cellStyle name="40% - Accent6 2 2 8" xfId="7258" xr:uid="{00000000-0005-0000-0000-000073050000}"/>
    <cellStyle name="40% - Accent6 2 2 9" xfId="7259" xr:uid="{00000000-0005-0000-0000-000074050000}"/>
    <cellStyle name="40% - Accent6 2 20" xfId="15256" xr:uid="{00000000-0005-0000-0000-000075050000}"/>
    <cellStyle name="40% - Accent6 2 3" xfId="468" xr:uid="{00000000-0005-0000-0000-000076050000}"/>
    <cellStyle name="40% - Accent6 2 4" xfId="469" xr:uid="{00000000-0005-0000-0000-000077050000}"/>
    <cellStyle name="40% - Accent6 2 5" xfId="470" xr:uid="{00000000-0005-0000-0000-000078050000}"/>
    <cellStyle name="40% - Accent6 2 6" xfId="471" xr:uid="{00000000-0005-0000-0000-000079050000}"/>
    <cellStyle name="40% - Accent6 2 7" xfId="472" xr:uid="{00000000-0005-0000-0000-00007A050000}"/>
    <cellStyle name="40% - Accent6 2 8" xfId="473" xr:uid="{00000000-0005-0000-0000-00007B050000}"/>
    <cellStyle name="40% - Accent6 2 9" xfId="474" xr:uid="{00000000-0005-0000-0000-00007C050000}"/>
    <cellStyle name="40% - Accent6 20" xfId="2308" xr:uid="{00000000-0005-0000-0000-00007D050000}"/>
    <cellStyle name="40% - Accent6 20 2" xfId="7897" xr:uid="{00000000-0005-0000-0000-00007E050000}"/>
    <cellStyle name="40% - Accent6 21" xfId="7898" xr:uid="{00000000-0005-0000-0000-00007F050000}"/>
    <cellStyle name="40% - Accent6 22" xfId="6494" xr:uid="{00000000-0005-0000-0000-000080050000}"/>
    <cellStyle name="40% - Accent6 3" xfId="475" xr:uid="{00000000-0005-0000-0000-000081050000}"/>
    <cellStyle name="40% - Accent6 3 10" xfId="2309" xr:uid="{00000000-0005-0000-0000-000082050000}"/>
    <cellStyle name="40% - Accent6 3 11" xfId="2310" xr:uid="{00000000-0005-0000-0000-000083050000}"/>
    <cellStyle name="40% - Accent6 3 12" xfId="2311" xr:uid="{00000000-0005-0000-0000-000084050000}"/>
    <cellStyle name="40% - Accent6 3 13" xfId="2312" xr:uid="{00000000-0005-0000-0000-000085050000}"/>
    <cellStyle name="40% - Accent6 3 14" xfId="2313" xr:uid="{00000000-0005-0000-0000-000086050000}"/>
    <cellStyle name="40% - Accent6 3 15" xfId="7260" xr:uid="{00000000-0005-0000-0000-000087050000}"/>
    <cellStyle name="40% - Accent6 3 2" xfId="476" xr:uid="{00000000-0005-0000-0000-000088050000}"/>
    <cellStyle name="40% - Accent6 3 3" xfId="477" xr:uid="{00000000-0005-0000-0000-000089050000}"/>
    <cellStyle name="40% - Accent6 3 4" xfId="478" xr:uid="{00000000-0005-0000-0000-00008A050000}"/>
    <cellStyle name="40% - Accent6 3 5" xfId="479" xr:uid="{00000000-0005-0000-0000-00008B050000}"/>
    <cellStyle name="40% - Accent6 3 6" xfId="2314" xr:uid="{00000000-0005-0000-0000-00008C050000}"/>
    <cellStyle name="40% - Accent6 3 7" xfId="2315" xr:uid="{00000000-0005-0000-0000-00008D050000}"/>
    <cellStyle name="40% - Accent6 3 8" xfId="2316" xr:uid="{00000000-0005-0000-0000-00008E050000}"/>
    <cellStyle name="40% - Accent6 3 9" xfId="2317" xr:uid="{00000000-0005-0000-0000-00008F050000}"/>
    <cellStyle name="40% - Accent6 4" xfId="480" xr:uid="{00000000-0005-0000-0000-000090050000}"/>
    <cellStyle name="40% - Accent6 4 10" xfId="7261" xr:uid="{00000000-0005-0000-0000-000091050000}"/>
    <cellStyle name="40% - Accent6 4 11" xfId="7262" xr:uid="{00000000-0005-0000-0000-000092050000}"/>
    <cellStyle name="40% - Accent6 4 12" xfId="7263" xr:uid="{00000000-0005-0000-0000-000093050000}"/>
    <cellStyle name="40% - Accent6 4 13" xfId="7264" xr:uid="{00000000-0005-0000-0000-000094050000}"/>
    <cellStyle name="40% - Accent6 4 14" xfId="7265" xr:uid="{00000000-0005-0000-0000-000095050000}"/>
    <cellStyle name="40% - Accent6 4 15" xfId="7266" xr:uid="{00000000-0005-0000-0000-000096050000}"/>
    <cellStyle name="40% - Accent6 4 2" xfId="481" xr:uid="{00000000-0005-0000-0000-000097050000}"/>
    <cellStyle name="40% - Accent6 4 3" xfId="482" xr:uid="{00000000-0005-0000-0000-000098050000}"/>
    <cellStyle name="40% - Accent6 4 4" xfId="483" xr:uid="{00000000-0005-0000-0000-000099050000}"/>
    <cellStyle name="40% - Accent6 4 5" xfId="484" xr:uid="{00000000-0005-0000-0000-00009A050000}"/>
    <cellStyle name="40% - Accent6 4 6" xfId="2318" xr:uid="{00000000-0005-0000-0000-00009B050000}"/>
    <cellStyle name="40% - Accent6 4 7" xfId="7267" xr:uid="{00000000-0005-0000-0000-00009C050000}"/>
    <cellStyle name="40% - Accent6 4 8" xfId="7268" xr:uid="{00000000-0005-0000-0000-00009D050000}"/>
    <cellStyle name="40% - Accent6 4 9" xfId="7269" xr:uid="{00000000-0005-0000-0000-00009E050000}"/>
    <cellStyle name="40% - Accent6 5" xfId="485" xr:uid="{00000000-0005-0000-0000-00009F050000}"/>
    <cellStyle name="40% - Accent6 5 10" xfId="7270" xr:uid="{00000000-0005-0000-0000-0000A0050000}"/>
    <cellStyle name="40% - Accent6 5 11" xfId="7271" xr:uid="{00000000-0005-0000-0000-0000A1050000}"/>
    <cellStyle name="40% - Accent6 5 12" xfId="7272" xr:uid="{00000000-0005-0000-0000-0000A2050000}"/>
    <cellStyle name="40% - Accent6 5 13" xfId="7273" xr:uid="{00000000-0005-0000-0000-0000A3050000}"/>
    <cellStyle name="40% - Accent6 5 14" xfId="7274" xr:uid="{00000000-0005-0000-0000-0000A4050000}"/>
    <cellStyle name="40% - Accent6 5 15" xfId="7275" xr:uid="{00000000-0005-0000-0000-0000A5050000}"/>
    <cellStyle name="40% - Accent6 5 2" xfId="486" xr:uid="{00000000-0005-0000-0000-0000A6050000}"/>
    <cellStyle name="40% - Accent6 5 3" xfId="487" xr:uid="{00000000-0005-0000-0000-0000A7050000}"/>
    <cellStyle name="40% - Accent6 5 4" xfId="488" xr:uid="{00000000-0005-0000-0000-0000A8050000}"/>
    <cellStyle name="40% - Accent6 5 5" xfId="489" xr:uid="{00000000-0005-0000-0000-0000A9050000}"/>
    <cellStyle name="40% - Accent6 5 6" xfId="2319" xr:uid="{00000000-0005-0000-0000-0000AA050000}"/>
    <cellStyle name="40% - Accent6 5 7" xfId="7276" xr:uid="{00000000-0005-0000-0000-0000AB050000}"/>
    <cellStyle name="40% - Accent6 5 8" xfId="7277" xr:uid="{00000000-0005-0000-0000-0000AC050000}"/>
    <cellStyle name="40% - Accent6 5 9" xfId="7278" xr:uid="{00000000-0005-0000-0000-0000AD050000}"/>
    <cellStyle name="40% - Accent6 6" xfId="490" xr:uid="{00000000-0005-0000-0000-0000AE050000}"/>
    <cellStyle name="40% - Accent6 6 2" xfId="491" xr:uid="{00000000-0005-0000-0000-0000AF050000}"/>
    <cellStyle name="40% - Accent6 6 3" xfId="2320" xr:uid="{00000000-0005-0000-0000-0000B0050000}"/>
    <cellStyle name="40% - Accent6 7" xfId="492" xr:uid="{00000000-0005-0000-0000-0000B1050000}"/>
    <cellStyle name="40% - Accent6 7 2" xfId="493" xr:uid="{00000000-0005-0000-0000-0000B2050000}"/>
    <cellStyle name="40% - Accent6 7 3" xfId="2321" xr:uid="{00000000-0005-0000-0000-0000B3050000}"/>
    <cellStyle name="40% - Accent6 8" xfId="494" xr:uid="{00000000-0005-0000-0000-0000B4050000}"/>
    <cellStyle name="40% - Accent6 8 2" xfId="495" xr:uid="{00000000-0005-0000-0000-0000B5050000}"/>
    <cellStyle name="40% - Accent6 8 3" xfId="2322" xr:uid="{00000000-0005-0000-0000-0000B6050000}"/>
    <cellStyle name="40% - Accent6 9" xfId="496" xr:uid="{00000000-0005-0000-0000-0000B7050000}"/>
    <cellStyle name="40% - Accent6 9 2" xfId="2323" xr:uid="{00000000-0005-0000-0000-0000B8050000}"/>
    <cellStyle name="40% - Cor1" xfId="497" xr:uid="{00000000-0005-0000-0000-0000B9050000}"/>
    <cellStyle name="40% - Cor1 10" xfId="7279" xr:uid="{00000000-0005-0000-0000-0000BA050000}"/>
    <cellStyle name="40% - Cor1 11" xfId="7280" xr:uid="{00000000-0005-0000-0000-0000BB050000}"/>
    <cellStyle name="40% - Cor1 12" xfId="7281" xr:uid="{00000000-0005-0000-0000-0000BC050000}"/>
    <cellStyle name="40% - Cor1 13" xfId="7282" xr:uid="{00000000-0005-0000-0000-0000BD050000}"/>
    <cellStyle name="40% - Cor1 14" xfId="7283" xr:uid="{00000000-0005-0000-0000-0000BE050000}"/>
    <cellStyle name="40% - Cor1 15" xfId="7284" xr:uid="{00000000-0005-0000-0000-0000BF050000}"/>
    <cellStyle name="40% - Cor1 16" xfId="7285" xr:uid="{00000000-0005-0000-0000-0000C0050000}"/>
    <cellStyle name="40% - Cor1 17" xfId="7286" xr:uid="{00000000-0005-0000-0000-0000C1050000}"/>
    <cellStyle name="40% - Cor1 18" xfId="15257" xr:uid="{00000000-0005-0000-0000-0000C2050000}"/>
    <cellStyle name="40% - Cor1 2" xfId="498" xr:uid="{00000000-0005-0000-0000-0000C3050000}"/>
    <cellStyle name="40% - Cor1 3" xfId="499" xr:uid="{00000000-0005-0000-0000-0000C4050000}"/>
    <cellStyle name="40% - Cor1 4" xfId="500" xr:uid="{00000000-0005-0000-0000-0000C5050000}"/>
    <cellStyle name="40% - Cor1 5" xfId="501" xr:uid="{00000000-0005-0000-0000-0000C6050000}"/>
    <cellStyle name="40% - Cor1 6" xfId="502" xr:uid="{00000000-0005-0000-0000-0000C7050000}"/>
    <cellStyle name="40% - Cor1 7" xfId="503" xr:uid="{00000000-0005-0000-0000-0000C8050000}"/>
    <cellStyle name="40% - Cor1 8" xfId="2324" xr:uid="{00000000-0005-0000-0000-0000C9050000}"/>
    <cellStyle name="40% - Cor1 9" xfId="7287" xr:uid="{00000000-0005-0000-0000-0000CA050000}"/>
    <cellStyle name="40% - Cor2" xfId="504" xr:uid="{00000000-0005-0000-0000-0000CB050000}"/>
    <cellStyle name="40% - Cor2 10" xfId="7288" xr:uid="{00000000-0005-0000-0000-0000CC050000}"/>
    <cellStyle name="40% - Cor2 11" xfId="7289" xr:uid="{00000000-0005-0000-0000-0000CD050000}"/>
    <cellStyle name="40% - Cor2 12" xfId="7290" xr:uid="{00000000-0005-0000-0000-0000CE050000}"/>
    <cellStyle name="40% - Cor2 13" xfId="7291" xr:uid="{00000000-0005-0000-0000-0000CF050000}"/>
    <cellStyle name="40% - Cor2 14" xfId="7292" xr:uid="{00000000-0005-0000-0000-0000D0050000}"/>
    <cellStyle name="40% - Cor2 15" xfId="7293" xr:uid="{00000000-0005-0000-0000-0000D1050000}"/>
    <cellStyle name="40% - Cor2 16" xfId="7294" xr:uid="{00000000-0005-0000-0000-0000D2050000}"/>
    <cellStyle name="40% - Cor2 17" xfId="7295" xr:uid="{00000000-0005-0000-0000-0000D3050000}"/>
    <cellStyle name="40% - Cor2 18" xfId="15258" xr:uid="{00000000-0005-0000-0000-0000D4050000}"/>
    <cellStyle name="40% - Cor2 2" xfId="505" xr:uid="{00000000-0005-0000-0000-0000D5050000}"/>
    <cellStyle name="40% - Cor2 3" xfId="506" xr:uid="{00000000-0005-0000-0000-0000D6050000}"/>
    <cellStyle name="40% - Cor2 4" xfId="507" xr:uid="{00000000-0005-0000-0000-0000D7050000}"/>
    <cellStyle name="40% - Cor2 5" xfId="508" xr:uid="{00000000-0005-0000-0000-0000D8050000}"/>
    <cellStyle name="40% - Cor2 6" xfId="509" xr:uid="{00000000-0005-0000-0000-0000D9050000}"/>
    <cellStyle name="40% - Cor2 7" xfId="510" xr:uid="{00000000-0005-0000-0000-0000DA050000}"/>
    <cellStyle name="40% - Cor2 8" xfId="2325" xr:uid="{00000000-0005-0000-0000-0000DB050000}"/>
    <cellStyle name="40% - Cor2 9" xfId="7296" xr:uid="{00000000-0005-0000-0000-0000DC050000}"/>
    <cellStyle name="40% - Cor3" xfId="511" xr:uid="{00000000-0005-0000-0000-0000DD050000}"/>
    <cellStyle name="40% - Cor3 10" xfId="7297" xr:uid="{00000000-0005-0000-0000-0000DE050000}"/>
    <cellStyle name="40% - Cor3 11" xfId="7298" xr:uid="{00000000-0005-0000-0000-0000DF050000}"/>
    <cellStyle name="40% - Cor3 12" xfId="7299" xr:uid="{00000000-0005-0000-0000-0000E0050000}"/>
    <cellStyle name="40% - Cor3 13" xfId="7300" xr:uid="{00000000-0005-0000-0000-0000E1050000}"/>
    <cellStyle name="40% - Cor3 14" xfId="7301" xr:uid="{00000000-0005-0000-0000-0000E2050000}"/>
    <cellStyle name="40% - Cor3 15" xfId="7302" xr:uid="{00000000-0005-0000-0000-0000E3050000}"/>
    <cellStyle name="40% - Cor3 16" xfId="7303" xr:uid="{00000000-0005-0000-0000-0000E4050000}"/>
    <cellStyle name="40% - Cor3 17" xfId="7304" xr:uid="{00000000-0005-0000-0000-0000E5050000}"/>
    <cellStyle name="40% - Cor3 18" xfId="15259" xr:uid="{00000000-0005-0000-0000-0000E6050000}"/>
    <cellStyle name="40% - Cor3 2" xfId="512" xr:uid="{00000000-0005-0000-0000-0000E7050000}"/>
    <cellStyle name="40% - Cor3 3" xfId="513" xr:uid="{00000000-0005-0000-0000-0000E8050000}"/>
    <cellStyle name="40% - Cor3 4" xfId="514" xr:uid="{00000000-0005-0000-0000-0000E9050000}"/>
    <cellStyle name="40% - Cor3 5" xfId="515" xr:uid="{00000000-0005-0000-0000-0000EA050000}"/>
    <cellStyle name="40% - Cor3 6" xfId="516" xr:uid="{00000000-0005-0000-0000-0000EB050000}"/>
    <cellStyle name="40% - Cor3 7" xfId="517" xr:uid="{00000000-0005-0000-0000-0000EC050000}"/>
    <cellStyle name="40% - Cor3 8" xfId="2326" xr:uid="{00000000-0005-0000-0000-0000ED050000}"/>
    <cellStyle name="40% - Cor3 9" xfId="7305" xr:uid="{00000000-0005-0000-0000-0000EE050000}"/>
    <cellStyle name="40% - Cor4" xfId="518" xr:uid="{00000000-0005-0000-0000-0000EF050000}"/>
    <cellStyle name="40% - Cor4 10" xfId="7306" xr:uid="{00000000-0005-0000-0000-0000F0050000}"/>
    <cellStyle name="40% - Cor4 11" xfId="7307" xr:uid="{00000000-0005-0000-0000-0000F1050000}"/>
    <cellStyle name="40% - Cor4 12" xfId="7308" xr:uid="{00000000-0005-0000-0000-0000F2050000}"/>
    <cellStyle name="40% - Cor4 13" xfId="7309" xr:uid="{00000000-0005-0000-0000-0000F3050000}"/>
    <cellStyle name="40% - Cor4 14" xfId="7310" xr:uid="{00000000-0005-0000-0000-0000F4050000}"/>
    <cellStyle name="40% - Cor4 15" xfId="7311" xr:uid="{00000000-0005-0000-0000-0000F5050000}"/>
    <cellStyle name="40% - Cor4 16" xfId="7312" xr:uid="{00000000-0005-0000-0000-0000F6050000}"/>
    <cellStyle name="40% - Cor4 17" xfId="7313" xr:uid="{00000000-0005-0000-0000-0000F7050000}"/>
    <cellStyle name="40% - Cor4 18" xfId="15260" xr:uid="{00000000-0005-0000-0000-0000F8050000}"/>
    <cellStyle name="40% - Cor4 2" xfId="519" xr:uid="{00000000-0005-0000-0000-0000F9050000}"/>
    <cellStyle name="40% - Cor4 3" xfId="520" xr:uid="{00000000-0005-0000-0000-0000FA050000}"/>
    <cellStyle name="40% - Cor4 4" xfId="521" xr:uid="{00000000-0005-0000-0000-0000FB050000}"/>
    <cellStyle name="40% - Cor4 5" xfId="522" xr:uid="{00000000-0005-0000-0000-0000FC050000}"/>
    <cellStyle name="40% - Cor4 6" xfId="523" xr:uid="{00000000-0005-0000-0000-0000FD050000}"/>
    <cellStyle name="40% - Cor4 7" xfId="524" xr:uid="{00000000-0005-0000-0000-0000FE050000}"/>
    <cellStyle name="40% - Cor4 8" xfId="2327" xr:uid="{00000000-0005-0000-0000-0000FF050000}"/>
    <cellStyle name="40% - Cor4 9" xfId="7314" xr:uid="{00000000-0005-0000-0000-000000060000}"/>
    <cellStyle name="40% - Cor5" xfId="525" xr:uid="{00000000-0005-0000-0000-000001060000}"/>
    <cellStyle name="40% - Cor5 10" xfId="7315" xr:uid="{00000000-0005-0000-0000-000002060000}"/>
    <cellStyle name="40% - Cor5 11" xfId="7316" xr:uid="{00000000-0005-0000-0000-000003060000}"/>
    <cellStyle name="40% - Cor5 12" xfId="7317" xr:uid="{00000000-0005-0000-0000-000004060000}"/>
    <cellStyle name="40% - Cor5 13" xfId="7318" xr:uid="{00000000-0005-0000-0000-000005060000}"/>
    <cellStyle name="40% - Cor5 14" xfId="7319" xr:uid="{00000000-0005-0000-0000-000006060000}"/>
    <cellStyle name="40% - Cor5 15" xfId="7320" xr:uid="{00000000-0005-0000-0000-000007060000}"/>
    <cellStyle name="40% - Cor5 16" xfId="7321" xr:uid="{00000000-0005-0000-0000-000008060000}"/>
    <cellStyle name="40% - Cor5 17" xfId="7322" xr:uid="{00000000-0005-0000-0000-000009060000}"/>
    <cellStyle name="40% - Cor5 18" xfId="15261" xr:uid="{00000000-0005-0000-0000-00000A060000}"/>
    <cellStyle name="40% - Cor5 2" xfId="526" xr:uid="{00000000-0005-0000-0000-00000B060000}"/>
    <cellStyle name="40% - Cor5 3" xfId="527" xr:uid="{00000000-0005-0000-0000-00000C060000}"/>
    <cellStyle name="40% - Cor5 4" xfId="528" xr:uid="{00000000-0005-0000-0000-00000D060000}"/>
    <cellStyle name="40% - Cor5 5" xfId="529" xr:uid="{00000000-0005-0000-0000-00000E060000}"/>
    <cellStyle name="40% - Cor5 6" xfId="530" xr:uid="{00000000-0005-0000-0000-00000F060000}"/>
    <cellStyle name="40% - Cor5 7" xfId="531" xr:uid="{00000000-0005-0000-0000-000010060000}"/>
    <cellStyle name="40% - Cor5 8" xfId="2328" xr:uid="{00000000-0005-0000-0000-000011060000}"/>
    <cellStyle name="40% - Cor5 9" xfId="7323" xr:uid="{00000000-0005-0000-0000-000012060000}"/>
    <cellStyle name="40% - Cor6" xfId="532" xr:uid="{00000000-0005-0000-0000-000013060000}"/>
    <cellStyle name="40% - Cor6 10" xfId="7324" xr:uid="{00000000-0005-0000-0000-000014060000}"/>
    <cellStyle name="40% - Cor6 11" xfId="7325" xr:uid="{00000000-0005-0000-0000-000015060000}"/>
    <cellStyle name="40% - Cor6 12" xfId="7326" xr:uid="{00000000-0005-0000-0000-000016060000}"/>
    <cellStyle name="40% - Cor6 13" xfId="7327" xr:uid="{00000000-0005-0000-0000-000017060000}"/>
    <cellStyle name="40% - Cor6 14" xfId="7328" xr:uid="{00000000-0005-0000-0000-000018060000}"/>
    <cellStyle name="40% - Cor6 15" xfId="7329" xr:uid="{00000000-0005-0000-0000-000019060000}"/>
    <cellStyle name="40% - Cor6 16" xfId="7330" xr:uid="{00000000-0005-0000-0000-00001A060000}"/>
    <cellStyle name="40% - Cor6 17" xfId="7331" xr:uid="{00000000-0005-0000-0000-00001B060000}"/>
    <cellStyle name="40% - Cor6 18" xfId="15262" xr:uid="{00000000-0005-0000-0000-00001C060000}"/>
    <cellStyle name="40% - Cor6 2" xfId="533" xr:uid="{00000000-0005-0000-0000-00001D060000}"/>
    <cellStyle name="40% - Cor6 3" xfId="534" xr:uid="{00000000-0005-0000-0000-00001E060000}"/>
    <cellStyle name="40% - Cor6 4" xfId="535" xr:uid="{00000000-0005-0000-0000-00001F060000}"/>
    <cellStyle name="40% - Cor6 5" xfId="536" xr:uid="{00000000-0005-0000-0000-000020060000}"/>
    <cellStyle name="40% - Cor6 6" xfId="537" xr:uid="{00000000-0005-0000-0000-000021060000}"/>
    <cellStyle name="40% - Cor6 7" xfId="538" xr:uid="{00000000-0005-0000-0000-000022060000}"/>
    <cellStyle name="40% - Cor6 8" xfId="2329" xr:uid="{00000000-0005-0000-0000-000023060000}"/>
    <cellStyle name="40% - Cor6 9" xfId="7332" xr:uid="{00000000-0005-0000-0000-000024060000}"/>
    <cellStyle name="5x indented GHG Textfiels" xfId="539" xr:uid="{00000000-0005-0000-0000-000025060000}"/>
    <cellStyle name="60% - Accent1 10" xfId="540" xr:uid="{00000000-0005-0000-0000-000026060000}"/>
    <cellStyle name="60% - Accent1 10 2" xfId="2330" xr:uid="{00000000-0005-0000-0000-000027060000}"/>
    <cellStyle name="60% - Accent1 11" xfId="541" xr:uid="{00000000-0005-0000-0000-000028060000}"/>
    <cellStyle name="60% - Accent1 11 2" xfId="7900" xr:uid="{00000000-0005-0000-0000-000029060000}"/>
    <cellStyle name="60% - Accent1 12" xfId="542" xr:uid="{00000000-0005-0000-0000-00002A060000}"/>
    <cellStyle name="60% - Accent1 12 2" xfId="7901" xr:uid="{00000000-0005-0000-0000-00002B060000}"/>
    <cellStyle name="60% - Accent1 13" xfId="543" xr:uid="{00000000-0005-0000-0000-00002C060000}"/>
    <cellStyle name="60% - Accent1 13 2" xfId="7902" xr:uid="{00000000-0005-0000-0000-00002D060000}"/>
    <cellStyle name="60% - Accent1 14" xfId="544" xr:uid="{00000000-0005-0000-0000-00002E060000}"/>
    <cellStyle name="60% - Accent1 14 2" xfId="7903" xr:uid="{00000000-0005-0000-0000-00002F060000}"/>
    <cellStyle name="60% - Accent1 15" xfId="2331" xr:uid="{00000000-0005-0000-0000-000030060000}"/>
    <cellStyle name="60% - Accent1 15 2" xfId="7904" xr:uid="{00000000-0005-0000-0000-000031060000}"/>
    <cellStyle name="60% - Accent1 16" xfId="2332" xr:uid="{00000000-0005-0000-0000-000032060000}"/>
    <cellStyle name="60% - Accent1 16 2" xfId="7905" xr:uid="{00000000-0005-0000-0000-000033060000}"/>
    <cellStyle name="60% - Accent1 17" xfId="2333" xr:uid="{00000000-0005-0000-0000-000034060000}"/>
    <cellStyle name="60% - Accent1 17 2" xfId="7906" xr:uid="{00000000-0005-0000-0000-000035060000}"/>
    <cellStyle name="60% - Accent1 18" xfId="2334" xr:uid="{00000000-0005-0000-0000-000036060000}"/>
    <cellStyle name="60% - Accent1 18 2" xfId="7907" xr:uid="{00000000-0005-0000-0000-000037060000}"/>
    <cellStyle name="60% - Accent1 19" xfId="2335" xr:uid="{00000000-0005-0000-0000-000038060000}"/>
    <cellStyle name="60% - Accent1 19 2" xfId="7908" xr:uid="{00000000-0005-0000-0000-000039060000}"/>
    <cellStyle name="60% - Accent1 2" xfId="545" xr:uid="{00000000-0005-0000-0000-00003A060000}"/>
    <cellStyle name="60% - Accent1 2 10" xfId="15263" xr:uid="{00000000-0005-0000-0000-00003B060000}"/>
    <cellStyle name="60% - Accent1 2 2" xfId="546" xr:uid="{00000000-0005-0000-0000-00003C060000}"/>
    <cellStyle name="60% - Accent1 2 3" xfId="547" xr:uid="{00000000-0005-0000-0000-00003D060000}"/>
    <cellStyle name="60% - Accent1 2 4" xfId="548" xr:uid="{00000000-0005-0000-0000-00003E060000}"/>
    <cellStyle name="60% - Accent1 2 5" xfId="549" xr:uid="{00000000-0005-0000-0000-00003F060000}"/>
    <cellStyle name="60% - Accent1 2 6" xfId="550" xr:uid="{00000000-0005-0000-0000-000040060000}"/>
    <cellStyle name="60% - Accent1 2 7" xfId="551" xr:uid="{00000000-0005-0000-0000-000041060000}"/>
    <cellStyle name="60% - Accent1 2 8" xfId="552" xr:uid="{00000000-0005-0000-0000-000042060000}"/>
    <cellStyle name="60% - Accent1 2 9" xfId="553" xr:uid="{00000000-0005-0000-0000-000043060000}"/>
    <cellStyle name="60% - Accent1 20" xfId="2336" xr:uid="{00000000-0005-0000-0000-000044060000}"/>
    <cellStyle name="60% - Accent1 20 2" xfId="7909" xr:uid="{00000000-0005-0000-0000-000045060000}"/>
    <cellStyle name="60% - Accent1 21" xfId="7910" xr:uid="{00000000-0005-0000-0000-000046060000}"/>
    <cellStyle name="60% - Accent1 22" xfId="6495" xr:uid="{00000000-0005-0000-0000-000047060000}"/>
    <cellStyle name="60% - Accent1 3" xfId="554" xr:uid="{00000000-0005-0000-0000-000048060000}"/>
    <cellStyle name="60% - Accent1 3 10" xfId="2337" xr:uid="{00000000-0005-0000-0000-000049060000}"/>
    <cellStyle name="60% - Accent1 3 11" xfId="2338" xr:uid="{00000000-0005-0000-0000-00004A060000}"/>
    <cellStyle name="60% - Accent1 3 12" xfId="2339" xr:uid="{00000000-0005-0000-0000-00004B060000}"/>
    <cellStyle name="60% - Accent1 3 13" xfId="2340" xr:uid="{00000000-0005-0000-0000-00004C060000}"/>
    <cellStyle name="60% - Accent1 3 14" xfId="2341" xr:uid="{00000000-0005-0000-0000-00004D060000}"/>
    <cellStyle name="60% - Accent1 3 15" xfId="7911" xr:uid="{00000000-0005-0000-0000-00004E060000}"/>
    <cellStyle name="60% - Accent1 3 2" xfId="555" xr:uid="{00000000-0005-0000-0000-00004F060000}"/>
    <cellStyle name="60% - Accent1 3 3" xfId="2342" xr:uid="{00000000-0005-0000-0000-000050060000}"/>
    <cellStyle name="60% - Accent1 3 4" xfId="2343" xr:uid="{00000000-0005-0000-0000-000051060000}"/>
    <cellStyle name="60% - Accent1 3 5" xfId="2344" xr:uid="{00000000-0005-0000-0000-000052060000}"/>
    <cellStyle name="60% - Accent1 3 6" xfId="2345" xr:uid="{00000000-0005-0000-0000-000053060000}"/>
    <cellStyle name="60% - Accent1 3 7" xfId="2346" xr:uid="{00000000-0005-0000-0000-000054060000}"/>
    <cellStyle name="60% - Accent1 3 8" xfId="2347" xr:uid="{00000000-0005-0000-0000-000055060000}"/>
    <cellStyle name="60% - Accent1 3 9" xfId="2348" xr:uid="{00000000-0005-0000-0000-000056060000}"/>
    <cellStyle name="60% - Accent1 4" xfId="556" xr:uid="{00000000-0005-0000-0000-000057060000}"/>
    <cellStyle name="60% - Accent1 4 2" xfId="557" xr:uid="{00000000-0005-0000-0000-000058060000}"/>
    <cellStyle name="60% - Accent1 5" xfId="558" xr:uid="{00000000-0005-0000-0000-000059060000}"/>
    <cellStyle name="60% - Accent1 5 2" xfId="559" xr:uid="{00000000-0005-0000-0000-00005A060000}"/>
    <cellStyle name="60% - Accent1 6" xfId="560" xr:uid="{00000000-0005-0000-0000-00005B060000}"/>
    <cellStyle name="60% - Accent1 6 2" xfId="561" xr:uid="{00000000-0005-0000-0000-00005C060000}"/>
    <cellStyle name="60% - Accent1 6 3" xfId="2349" xr:uid="{00000000-0005-0000-0000-00005D060000}"/>
    <cellStyle name="60% - Accent1 7" xfId="562" xr:uid="{00000000-0005-0000-0000-00005E060000}"/>
    <cellStyle name="60% - Accent1 7 2" xfId="563" xr:uid="{00000000-0005-0000-0000-00005F060000}"/>
    <cellStyle name="60% - Accent1 7 3" xfId="2350" xr:uid="{00000000-0005-0000-0000-000060060000}"/>
    <cellStyle name="60% - Accent1 8" xfId="564" xr:uid="{00000000-0005-0000-0000-000061060000}"/>
    <cellStyle name="60% - Accent1 8 2" xfId="565" xr:uid="{00000000-0005-0000-0000-000062060000}"/>
    <cellStyle name="60% - Accent1 8 3" xfId="2351" xr:uid="{00000000-0005-0000-0000-000063060000}"/>
    <cellStyle name="60% - Accent1 9" xfId="566" xr:uid="{00000000-0005-0000-0000-000064060000}"/>
    <cellStyle name="60% - Accent1 9 2" xfId="2352" xr:uid="{00000000-0005-0000-0000-000065060000}"/>
    <cellStyle name="60% - Accent2 10" xfId="567" xr:uid="{00000000-0005-0000-0000-000066060000}"/>
    <cellStyle name="60% - Accent2 10 2" xfId="2353" xr:uid="{00000000-0005-0000-0000-000067060000}"/>
    <cellStyle name="60% - Accent2 11" xfId="568" xr:uid="{00000000-0005-0000-0000-000068060000}"/>
    <cellStyle name="60% - Accent2 11 2" xfId="7912" xr:uid="{00000000-0005-0000-0000-000069060000}"/>
    <cellStyle name="60% - Accent2 12" xfId="569" xr:uid="{00000000-0005-0000-0000-00006A060000}"/>
    <cellStyle name="60% - Accent2 12 2" xfId="7913" xr:uid="{00000000-0005-0000-0000-00006B060000}"/>
    <cellStyle name="60% - Accent2 13" xfId="570" xr:uid="{00000000-0005-0000-0000-00006C060000}"/>
    <cellStyle name="60% - Accent2 13 2" xfId="7914" xr:uid="{00000000-0005-0000-0000-00006D060000}"/>
    <cellStyle name="60% - Accent2 14" xfId="571" xr:uid="{00000000-0005-0000-0000-00006E060000}"/>
    <cellStyle name="60% - Accent2 14 2" xfId="7915" xr:uid="{00000000-0005-0000-0000-00006F060000}"/>
    <cellStyle name="60% - Accent2 15" xfId="2354" xr:uid="{00000000-0005-0000-0000-000070060000}"/>
    <cellStyle name="60% - Accent2 15 2" xfId="7916" xr:uid="{00000000-0005-0000-0000-000071060000}"/>
    <cellStyle name="60% - Accent2 16" xfId="2355" xr:uid="{00000000-0005-0000-0000-000072060000}"/>
    <cellStyle name="60% - Accent2 16 2" xfId="7917" xr:uid="{00000000-0005-0000-0000-000073060000}"/>
    <cellStyle name="60% - Accent2 17" xfId="2356" xr:uid="{00000000-0005-0000-0000-000074060000}"/>
    <cellStyle name="60% - Accent2 17 2" xfId="7918" xr:uid="{00000000-0005-0000-0000-000075060000}"/>
    <cellStyle name="60% - Accent2 18" xfId="2357" xr:uid="{00000000-0005-0000-0000-000076060000}"/>
    <cellStyle name="60% - Accent2 18 2" xfId="7919" xr:uid="{00000000-0005-0000-0000-000077060000}"/>
    <cellStyle name="60% - Accent2 19" xfId="2358" xr:uid="{00000000-0005-0000-0000-000078060000}"/>
    <cellStyle name="60% - Accent2 19 2" xfId="7920" xr:uid="{00000000-0005-0000-0000-000079060000}"/>
    <cellStyle name="60% - Accent2 2" xfId="572" xr:uid="{00000000-0005-0000-0000-00007A060000}"/>
    <cellStyle name="60% - Accent2 2 10" xfId="15264" xr:uid="{00000000-0005-0000-0000-00007B060000}"/>
    <cellStyle name="60% - Accent2 2 2" xfId="573" xr:uid="{00000000-0005-0000-0000-00007C060000}"/>
    <cellStyle name="60% - Accent2 2 3" xfId="574" xr:uid="{00000000-0005-0000-0000-00007D060000}"/>
    <cellStyle name="60% - Accent2 2 4" xfId="575" xr:uid="{00000000-0005-0000-0000-00007E060000}"/>
    <cellStyle name="60% - Accent2 2 5" xfId="576" xr:uid="{00000000-0005-0000-0000-00007F060000}"/>
    <cellStyle name="60% - Accent2 2 6" xfId="577" xr:uid="{00000000-0005-0000-0000-000080060000}"/>
    <cellStyle name="60% - Accent2 2 7" xfId="578" xr:uid="{00000000-0005-0000-0000-000081060000}"/>
    <cellStyle name="60% - Accent2 2 8" xfId="579" xr:uid="{00000000-0005-0000-0000-000082060000}"/>
    <cellStyle name="60% - Accent2 2 9" xfId="580" xr:uid="{00000000-0005-0000-0000-000083060000}"/>
    <cellStyle name="60% - Accent2 20" xfId="2359" xr:uid="{00000000-0005-0000-0000-000084060000}"/>
    <cellStyle name="60% - Accent2 20 2" xfId="7921" xr:uid="{00000000-0005-0000-0000-000085060000}"/>
    <cellStyle name="60% - Accent2 21" xfId="7922" xr:uid="{00000000-0005-0000-0000-000086060000}"/>
    <cellStyle name="60% - Accent2 22" xfId="6496" xr:uid="{00000000-0005-0000-0000-000087060000}"/>
    <cellStyle name="60% - Accent2 3" xfId="581" xr:uid="{00000000-0005-0000-0000-000088060000}"/>
    <cellStyle name="60% - Accent2 3 10" xfId="2360" xr:uid="{00000000-0005-0000-0000-000089060000}"/>
    <cellStyle name="60% - Accent2 3 11" xfId="2361" xr:uid="{00000000-0005-0000-0000-00008A060000}"/>
    <cellStyle name="60% - Accent2 3 12" xfId="2362" xr:uid="{00000000-0005-0000-0000-00008B060000}"/>
    <cellStyle name="60% - Accent2 3 13" xfId="2363" xr:uid="{00000000-0005-0000-0000-00008C060000}"/>
    <cellStyle name="60% - Accent2 3 14" xfId="2364" xr:uid="{00000000-0005-0000-0000-00008D060000}"/>
    <cellStyle name="60% - Accent2 3 15" xfId="7923" xr:uid="{00000000-0005-0000-0000-00008E060000}"/>
    <cellStyle name="60% - Accent2 3 2" xfId="582" xr:uid="{00000000-0005-0000-0000-00008F060000}"/>
    <cellStyle name="60% - Accent2 3 3" xfId="2365" xr:uid="{00000000-0005-0000-0000-000090060000}"/>
    <cellStyle name="60% - Accent2 3 4" xfId="2366" xr:uid="{00000000-0005-0000-0000-000091060000}"/>
    <cellStyle name="60% - Accent2 3 5" xfId="2367" xr:uid="{00000000-0005-0000-0000-000092060000}"/>
    <cellStyle name="60% - Accent2 3 6" xfId="2368" xr:uid="{00000000-0005-0000-0000-000093060000}"/>
    <cellStyle name="60% - Accent2 3 7" xfId="2369" xr:uid="{00000000-0005-0000-0000-000094060000}"/>
    <cellStyle name="60% - Accent2 3 8" xfId="2370" xr:uid="{00000000-0005-0000-0000-000095060000}"/>
    <cellStyle name="60% - Accent2 3 9" xfId="2371" xr:uid="{00000000-0005-0000-0000-000096060000}"/>
    <cellStyle name="60% - Accent2 4" xfId="583" xr:uid="{00000000-0005-0000-0000-000097060000}"/>
    <cellStyle name="60% - Accent2 4 2" xfId="584" xr:uid="{00000000-0005-0000-0000-000098060000}"/>
    <cellStyle name="60% - Accent2 5" xfId="585" xr:uid="{00000000-0005-0000-0000-000099060000}"/>
    <cellStyle name="60% - Accent2 5 2" xfId="586" xr:uid="{00000000-0005-0000-0000-00009A060000}"/>
    <cellStyle name="60% - Accent2 6" xfId="587" xr:uid="{00000000-0005-0000-0000-00009B060000}"/>
    <cellStyle name="60% - Accent2 6 2" xfId="588" xr:uid="{00000000-0005-0000-0000-00009C060000}"/>
    <cellStyle name="60% - Accent2 6 3" xfId="2372" xr:uid="{00000000-0005-0000-0000-00009D060000}"/>
    <cellStyle name="60% - Accent2 7" xfId="589" xr:uid="{00000000-0005-0000-0000-00009E060000}"/>
    <cellStyle name="60% - Accent2 7 2" xfId="590" xr:uid="{00000000-0005-0000-0000-00009F060000}"/>
    <cellStyle name="60% - Accent2 7 3" xfId="2373" xr:uid="{00000000-0005-0000-0000-0000A0060000}"/>
    <cellStyle name="60% - Accent2 8" xfId="591" xr:uid="{00000000-0005-0000-0000-0000A1060000}"/>
    <cellStyle name="60% - Accent2 8 2" xfId="592" xr:uid="{00000000-0005-0000-0000-0000A2060000}"/>
    <cellStyle name="60% - Accent2 8 3" xfId="2374" xr:uid="{00000000-0005-0000-0000-0000A3060000}"/>
    <cellStyle name="60% - Accent2 9" xfId="593" xr:uid="{00000000-0005-0000-0000-0000A4060000}"/>
    <cellStyle name="60% - Accent2 9 2" xfId="2375" xr:uid="{00000000-0005-0000-0000-0000A5060000}"/>
    <cellStyle name="60% - Accent3 10" xfId="594" xr:uid="{00000000-0005-0000-0000-0000A6060000}"/>
    <cellStyle name="60% - Accent3 10 2" xfId="2376" xr:uid="{00000000-0005-0000-0000-0000A7060000}"/>
    <cellStyle name="60% - Accent3 11" xfId="595" xr:uid="{00000000-0005-0000-0000-0000A8060000}"/>
    <cellStyle name="60% - Accent3 11 2" xfId="7924" xr:uid="{00000000-0005-0000-0000-0000A9060000}"/>
    <cellStyle name="60% - Accent3 12" xfId="596" xr:uid="{00000000-0005-0000-0000-0000AA060000}"/>
    <cellStyle name="60% - Accent3 12 2" xfId="7925" xr:uid="{00000000-0005-0000-0000-0000AB060000}"/>
    <cellStyle name="60% - Accent3 13" xfId="597" xr:uid="{00000000-0005-0000-0000-0000AC060000}"/>
    <cellStyle name="60% - Accent3 13 2" xfId="7926" xr:uid="{00000000-0005-0000-0000-0000AD060000}"/>
    <cellStyle name="60% - Accent3 14" xfId="598" xr:uid="{00000000-0005-0000-0000-0000AE060000}"/>
    <cellStyle name="60% - Accent3 14 2" xfId="7927" xr:uid="{00000000-0005-0000-0000-0000AF060000}"/>
    <cellStyle name="60% - Accent3 15" xfId="2377" xr:uid="{00000000-0005-0000-0000-0000B0060000}"/>
    <cellStyle name="60% - Accent3 15 2" xfId="7928" xr:uid="{00000000-0005-0000-0000-0000B1060000}"/>
    <cellStyle name="60% - Accent3 16" xfId="2378" xr:uid="{00000000-0005-0000-0000-0000B2060000}"/>
    <cellStyle name="60% - Accent3 16 2" xfId="7929" xr:uid="{00000000-0005-0000-0000-0000B3060000}"/>
    <cellStyle name="60% - Accent3 17" xfId="2379" xr:uid="{00000000-0005-0000-0000-0000B4060000}"/>
    <cellStyle name="60% - Accent3 17 2" xfId="7930" xr:uid="{00000000-0005-0000-0000-0000B5060000}"/>
    <cellStyle name="60% - Accent3 18" xfId="2380" xr:uid="{00000000-0005-0000-0000-0000B6060000}"/>
    <cellStyle name="60% - Accent3 18 2" xfId="7931" xr:uid="{00000000-0005-0000-0000-0000B7060000}"/>
    <cellStyle name="60% - Accent3 19" xfId="2381" xr:uid="{00000000-0005-0000-0000-0000B8060000}"/>
    <cellStyle name="60% - Accent3 19 2" xfId="7932" xr:uid="{00000000-0005-0000-0000-0000B9060000}"/>
    <cellStyle name="60% - Accent3 2" xfId="599" xr:uid="{00000000-0005-0000-0000-0000BA060000}"/>
    <cellStyle name="60% - Accent3 2 10" xfId="15265" xr:uid="{00000000-0005-0000-0000-0000BB060000}"/>
    <cellStyle name="60% - Accent3 2 2" xfId="600" xr:uid="{00000000-0005-0000-0000-0000BC060000}"/>
    <cellStyle name="60% - Accent3 2 3" xfId="601" xr:uid="{00000000-0005-0000-0000-0000BD060000}"/>
    <cellStyle name="60% - Accent3 2 4" xfId="602" xr:uid="{00000000-0005-0000-0000-0000BE060000}"/>
    <cellStyle name="60% - Accent3 2 5" xfId="603" xr:uid="{00000000-0005-0000-0000-0000BF060000}"/>
    <cellStyle name="60% - Accent3 2 6" xfId="604" xr:uid="{00000000-0005-0000-0000-0000C0060000}"/>
    <cellStyle name="60% - Accent3 2 7" xfId="605" xr:uid="{00000000-0005-0000-0000-0000C1060000}"/>
    <cellStyle name="60% - Accent3 2 8" xfId="606" xr:uid="{00000000-0005-0000-0000-0000C2060000}"/>
    <cellStyle name="60% - Accent3 2 9" xfId="607" xr:uid="{00000000-0005-0000-0000-0000C3060000}"/>
    <cellStyle name="60% - Accent3 20" xfId="2382" xr:uid="{00000000-0005-0000-0000-0000C4060000}"/>
    <cellStyle name="60% - Accent3 20 2" xfId="7933" xr:uid="{00000000-0005-0000-0000-0000C5060000}"/>
    <cellStyle name="60% - Accent3 21" xfId="7934" xr:uid="{00000000-0005-0000-0000-0000C6060000}"/>
    <cellStyle name="60% - Accent3 22" xfId="6497" xr:uid="{00000000-0005-0000-0000-0000C7060000}"/>
    <cellStyle name="60% - Accent3 3" xfId="608" xr:uid="{00000000-0005-0000-0000-0000C8060000}"/>
    <cellStyle name="60% - Accent3 3 10" xfId="2383" xr:uid="{00000000-0005-0000-0000-0000C9060000}"/>
    <cellStyle name="60% - Accent3 3 11" xfId="2384" xr:uid="{00000000-0005-0000-0000-0000CA060000}"/>
    <cellStyle name="60% - Accent3 3 12" xfId="2385" xr:uid="{00000000-0005-0000-0000-0000CB060000}"/>
    <cellStyle name="60% - Accent3 3 13" xfId="2386" xr:uid="{00000000-0005-0000-0000-0000CC060000}"/>
    <cellStyle name="60% - Accent3 3 14" xfId="2387" xr:uid="{00000000-0005-0000-0000-0000CD060000}"/>
    <cellStyle name="60% - Accent3 3 15" xfId="7935" xr:uid="{00000000-0005-0000-0000-0000CE060000}"/>
    <cellStyle name="60% - Accent3 3 2" xfId="609" xr:uid="{00000000-0005-0000-0000-0000CF060000}"/>
    <cellStyle name="60% - Accent3 3 3" xfId="2388" xr:uid="{00000000-0005-0000-0000-0000D0060000}"/>
    <cellStyle name="60% - Accent3 3 4" xfId="2389" xr:uid="{00000000-0005-0000-0000-0000D1060000}"/>
    <cellStyle name="60% - Accent3 3 5" xfId="2390" xr:uid="{00000000-0005-0000-0000-0000D2060000}"/>
    <cellStyle name="60% - Accent3 3 6" xfId="2391" xr:uid="{00000000-0005-0000-0000-0000D3060000}"/>
    <cellStyle name="60% - Accent3 3 7" xfId="2392" xr:uid="{00000000-0005-0000-0000-0000D4060000}"/>
    <cellStyle name="60% - Accent3 3 8" xfId="2393" xr:uid="{00000000-0005-0000-0000-0000D5060000}"/>
    <cellStyle name="60% - Accent3 3 9" xfId="2394" xr:uid="{00000000-0005-0000-0000-0000D6060000}"/>
    <cellStyle name="60% - Accent3 4" xfId="610" xr:uid="{00000000-0005-0000-0000-0000D7060000}"/>
    <cellStyle name="60% - Accent3 4 2" xfId="611" xr:uid="{00000000-0005-0000-0000-0000D8060000}"/>
    <cellStyle name="60% - Accent3 5" xfId="612" xr:uid="{00000000-0005-0000-0000-0000D9060000}"/>
    <cellStyle name="60% - Accent3 5 2" xfId="613" xr:uid="{00000000-0005-0000-0000-0000DA060000}"/>
    <cellStyle name="60% - Accent3 6" xfId="614" xr:uid="{00000000-0005-0000-0000-0000DB060000}"/>
    <cellStyle name="60% - Accent3 6 2" xfId="615" xr:uid="{00000000-0005-0000-0000-0000DC060000}"/>
    <cellStyle name="60% - Accent3 6 3" xfId="2395" xr:uid="{00000000-0005-0000-0000-0000DD060000}"/>
    <cellStyle name="60% - Accent3 7" xfId="616" xr:uid="{00000000-0005-0000-0000-0000DE060000}"/>
    <cellStyle name="60% - Accent3 7 2" xfId="617" xr:uid="{00000000-0005-0000-0000-0000DF060000}"/>
    <cellStyle name="60% - Accent3 7 3" xfId="2396" xr:uid="{00000000-0005-0000-0000-0000E0060000}"/>
    <cellStyle name="60% - Accent3 8" xfId="618" xr:uid="{00000000-0005-0000-0000-0000E1060000}"/>
    <cellStyle name="60% - Accent3 8 2" xfId="619" xr:uid="{00000000-0005-0000-0000-0000E2060000}"/>
    <cellStyle name="60% - Accent3 8 3" xfId="2397" xr:uid="{00000000-0005-0000-0000-0000E3060000}"/>
    <cellStyle name="60% - Accent3 9" xfId="620" xr:uid="{00000000-0005-0000-0000-0000E4060000}"/>
    <cellStyle name="60% - Accent3 9 2" xfId="2398" xr:uid="{00000000-0005-0000-0000-0000E5060000}"/>
    <cellStyle name="60% - Accent4 10" xfId="621" xr:uid="{00000000-0005-0000-0000-0000E6060000}"/>
    <cellStyle name="60% - Accent4 10 2" xfId="2399" xr:uid="{00000000-0005-0000-0000-0000E7060000}"/>
    <cellStyle name="60% - Accent4 11" xfId="622" xr:uid="{00000000-0005-0000-0000-0000E8060000}"/>
    <cellStyle name="60% - Accent4 11 2" xfId="7936" xr:uid="{00000000-0005-0000-0000-0000E9060000}"/>
    <cellStyle name="60% - Accent4 12" xfId="623" xr:uid="{00000000-0005-0000-0000-0000EA060000}"/>
    <cellStyle name="60% - Accent4 12 2" xfId="7937" xr:uid="{00000000-0005-0000-0000-0000EB060000}"/>
    <cellStyle name="60% - Accent4 13" xfId="624" xr:uid="{00000000-0005-0000-0000-0000EC060000}"/>
    <cellStyle name="60% - Accent4 13 2" xfId="7938" xr:uid="{00000000-0005-0000-0000-0000ED060000}"/>
    <cellStyle name="60% - Accent4 14" xfId="625" xr:uid="{00000000-0005-0000-0000-0000EE060000}"/>
    <cellStyle name="60% - Accent4 14 2" xfId="7939" xr:uid="{00000000-0005-0000-0000-0000EF060000}"/>
    <cellStyle name="60% - Accent4 15" xfId="2400" xr:uid="{00000000-0005-0000-0000-0000F0060000}"/>
    <cellStyle name="60% - Accent4 15 2" xfId="7940" xr:uid="{00000000-0005-0000-0000-0000F1060000}"/>
    <cellStyle name="60% - Accent4 16" xfId="2401" xr:uid="{00000000-0005-0000-0000-0000F2060000}"/>
    <cellStyle name="60% - Accent4 16 2" xfId="7941" xr:uid="{00000000-0005-0000-0000-0000F3060000}"/>
    <cellStyle name="60% - Accent4 17" xfId="2402" xr:uid="{00000000-0005-0000-0000-0000F4060000}"/>
    <cellStyle name="60% - Accent4 17 2" xfId="7942" xr:uid="{00000000-0005-0000-0000-0000F5060000}"/>
    <cellStyle name="60% - Accent4 18" xfId="2403" xr:uid="{00000000-0005-0000-0000-0000F6060000}"/>
    <cellStyle name="60% - Accent4 18 2" xfId="7943" xr:uid="{00000000-0005-0000-0000-0000F7060000}"/>
    <cellStyle name="60% - Accent4 19" xfId="2404" xr:uid="{00000000-0005-0000-0000-0000F8060000}"/>
    <cellStyle name="60% - Accent4 19 2" xfId="7944" xr:uid="{00000000-0005-0000-0000-0000F9060000}"/>
    <cellStyle name="60% - Accent4 2" xfId="626" xr:uid="{00000000-0005-0000-0000-0000FA060000}"/>
    <cellStyle name="60% - Accent4 2 10" xfId="15266" xr:uid="{00000000-0005-0000-0000-0000FB060000}"/>
    <cellStyle name="60% - Accent4 2 2" xfId="627" xr:uid="{00000000-0005-0000-0000-0000FC060000}"/>
    <cellStyle name="60% - Accent4 2 3" xfId="628" xr:uid="{00000000-0005-0000-0000-0000FD060000}"/>
    <cellStyle name="60% - Accent4 2 4" xfId="629" xr:uid="{00000000-0005-0000-0000-0000FE060000}"/>
    <cellStyle name="60% - Accent4 2 5" xfId="630" xr:uid="{00000000-0005-0000-0000-0000FF060000}"/>
    <cellStyle name="60% - Accent4 2 6" xfId="631" xr:uid="{00000000-0005-0000-0000-000000070000}"/>
    <cellStyle name="60% - Accent4 2 7" xfId="632" xr:uid="{00000000-0005-0000-0000-000001070000}"/>
    <cellStyle name="60% - Accent4 2 8" xfId="633" xr:uid="{00000000-0005-0000-0000-000002070000}"/>
    <cellStyle name="60% - Accent4 2 9" xfId="634" xr:uid="{00000000-0005-0000-0000-000003070000}"/>
    <cellStyle name="60% - Accent4 20" xfId="2405" xr:uid="{00000000-0005-0000-0000-000004070000}"/>
    <cellStyle name="60% - Accent4 20 2" xfId="7945" xr:uid="{00000000-0005-0000-0000-000005070000}"/>
    <cellStyle name="60% - Accent4 21" xfId="7946" xr:uid="{00000000-0005-0000-0000-000006070000}"/>
    <cellStyle name="60% - Accent4 22" xfId="6498" xr:uid="{00000000-0005-0000-0000-000007070000}"/>
    <cellStyle name="60% - Accent4 3" xfId="635" xr:uid="{00000000-0005-0000-0000-000008070000}"/>
    <cellStyle name="60% - Accent4 3 10" xfId="2406" xr:uid="{00000000-0005-0000-0000-000009070000}"/>
    <cellStyle name="60% - Accent4 3 11" xfId="2407" xr:uid="{00000000-0005-0000-0000-00000A070000}"/>
    <cellStyle name="60% - Accent4 3 12" xfId="2408" xr:uid="{00000000-0005-0000-0000-00000B070000}"/>
    <cellStyle name="60% - Accent4 3 13" xfId="2409" xr:uid="{00000000-0005-0000-0000-00000C070000}"/>
    <cellStyle name="60% - Accent4 3 14" xfId="2410" xr:uid="{00000000-0005-0000-0000-00000D070000}"/>
    <cellStyle name="60% - Accent4 3 15" xfId="7947" xr:uid="{00000000-0005-0000-0000-00000E070000}"/>
    <cellStyle name="60% - Accent4 3 2" xfId="636" xr:uid="{00000000-0005-0000-0000-00000F070000}"/>
    <cellStyle name="60% - Accent4 3 3" xfId="2411" xr:uid="{00000000-0005-0000-0000-000010070000}"/>
    <cellStyle name="60% - Accent4 3 4" xfId="2412" xr:uid="{00000000-0005-0000-0000-000011070000}"/>
    <cellStyle name="60% - Accent4 3 5" xfId="2413" xr:uid="{00000000-0005-0000-0000-000012070000}"/>
    <cellStyle name="60% - Accent4 3 6" xfId="2414" xr:uid="{00000000-0005-0000-0000-000013070000}"/>
    <cellStyle name="60% - Accent4 3 7" xfId="2415" xr:uid="{00000000-0005-0000-0000-000014070000}"/>
    <cellStyle name="60% - Accent4 3 8" xfId="2416" xr:uid="{00000000-0005-0000-0000-000015070000}"/>
    <cellStyle name="60% - Accent4 3 9" xfId="2417" xr:uid="{00000000-0005-0000-0000-000016070000}"/>
    <cellStyle name="60% - Accent4 4" xfId="637" xr:uid="{00000000-0005-0000-0000-000017070000}"/>
    <cellStyle name="60% - Accent4 4 2" xfId="638" xr:uid="{00000000-0005-0000-0000-000018070000}"/>
    <cellStyle name="60% - Accent4 5" xfId="639" xr:uid="{00000000-0005-0000-0000-000019070000}"/>
    <cellStyle name="60% - Accent4 5 2" xfId="640" xr:uid="{00000000-0005-0000-0000-00001A070000}"/>
    <cellStyle name="60% - Accent4 6" xfId="641" xr:uid="{00000000-0005-0000-0000-00001B070000}"/>
    <cellStyle name="60% - Accent4 6 2" xfId="642" xr:uid="{00000000-0005-0000-0000-00001C070000}"/>
    <cellStyle name="60% - Accent4 6 3" xfId="2418" xr:uid="{00000000-0005-0000-0000-00001D070000}"/>
    <cellStyle name="60% - Accent4 7" xfId="643" xr:uid="{00000000-0005-0000-0000-00001E070000}"/>
    <cellStyle name="60% - Accent4 7 2" xfId="644" xr:uid="{00000000-0005-0000-0000-00001F070000}"/>
    <cellStyle name="60% - Accent4 7 3" xfId="2419" xr:uid="{00000000-0005-0000-0000-000020070000}"/>
    <cellStyle name="60% - Accent4 8" xfId="645" xr:uid="{00000000-0005-0000-0000-000021070000}"/>
    <cellStyle name="60% - Accent4 8 2" xfId="646" xr:uid="{00000000-0005-0000-0000-000022070000}"/>
    <cellStyle name="60% - Accent4 8 3" xfId="2420" xr:uid="{00000000-0005-0000-0000-000023070000}"/>
    <cellStyle name="60% - Accent4 9" xfId="647" xr:uid="{00000000-0005-0000-0000-000024070000}"/>
    <cellStyle name="60% - Accent4 9 2" xfId="2421" xr:uid="{00000000-0005-0000-0000-000025070000}"/>
    <cellStyle name="60% - Accent5 10" xfId="648" xr:uid="{00000000-0005-0000-0000-000026070000}"/>
    <cellStyle name="60% - Accent5 10 2" xfId="2422" xr:uid="{00000000-0005-0000-0000-000027070000}"/>
    <cellStyle name="60% - Accent5 11" xfId="649" xr:uid="{00000000-0005-0000-0000-000028070000}"/>
    <cellStyle name="60% - Accent5 11 2" xfId="7948" xr:uid="{00000000-0005-0000-0000-000029070000}"/>
    <cellStyle name="60% - Accent5 12" xfId="650" xr:uid="{00000000-0005-0000-0000-00002A070000}"/>
    <cellStyle name="60% - Accent5 12 2" xfId="7949" xr:uid="{00000000-0005-0000-0000-00002B070000}"/>
    <cellStyle name="60% - Accent5 13" xfId="651" xr:uid="{00000000-0005-0000-0000-00002C070000}"/>
    <cellStyle name="60% - Accent5 13 2" xfId="7950" xr:uid="{00000000-0005-0000-0000-00002D070000}"/>
    <cellStyle name="60% - Accent5 14" xfId="652" xr:uid="{00000000-0005-0000-0000-00002E070000}"/>
    <cellStyle name="60% - Accent5 14 2" xfId="7951" xr:uid="{00000000-0005-0000-0000-00002F070000}"/>
    <cellStyle name="60% - Accent5 15" xfId="2423" xr:uid="{00000000-0005-0000-0000-000030070000}"/>
    <cellStyle name="60% - Accent5 15 2" xfId="7953" xr:uid="{00000000-0005-0000-0000-000031070000}"/>
    <cellStyle name="60% - Accent5 16" xfId="2424" xr:uid="{00000000-0005-0000-0000-000032070000}"/>
    <cellStyle name="60% - Accent5 16 2" xfId="7954" xr:uid="{00000000-0005-0000-0000-000033070000}"/>
    <cellStyle name="60% - Accent5 17" xfId="2425" xr:uid="{00000000-0005-0000-0000-000034070000}"/>
    <cellStyle name="60% - Accent5 17 2" xfId="7955" xr:uid="{00000000-0005-0000-0000-000035070000}"/>
    <cellStyle name="60% - Accent5 18" xfId="2426" xr:uid="{00000000-0005-0000-0000-000036070000}"/>
    <cellStyle name="60% - Accent5 18 2" xfId="7956" xr:uid="{00000000-0005-0000-0000-000037070000}"/>
    <cellStyle name="60% - Accent5 19" xfId="2427" xr:uid="{00000000-0005-0000-0000-000038070000}"/>
    <cellStyle name="60% - Accent5 19 2" xfId="7957" xr:uid="{00000000-0005-0000-0000-000039070000}"/>
    <cellStyle name="60% - Accent5 2" xfId="653" xr:uid="{00000000-0005-0000-0000-00003A070000}"/>
    <cellStyle name="60% - Accent5 2 10" xfId="15267" xr:uid="{00000000-0005-0000-0000-00003B070000}"/>
    <cellStyle name="60% - Accent5 2 2" xfId="654" xr:uid="{00000000-0005-0000-0000-00003C070000}"/>
    <cellStyle name="60% - Accent5 2 3" xfId="655" xr:uid="{00000000-0005-0000-0000-00003D070000}"/>
    <cellStyle name="60% - Accent5 2 4" xfId="656" xr:uid="{00000000-0005-0000-0000-00003E070000}"/>
    <cellStyle name="60% - Accent5 2 5" xfId="657" xr:uid="{00000000-0005-0000-0000-00003F070000}"/>
    <cellStyle name="60% - Accent5 2 6" xfId="658" xr:uid="{00000000-0005-0000-0000-000040070000}"/>
    <cellStyle name="60% - Accent5 2 7" xfId="659" xr:uid="{00000000-0005-0000-0000-000041070000}"/>
    <cellStyle name="60% - Accent5 2 8" xfId="660" xr:uid="{00000000-0005-0000-0000-000042070000}"/>
    <cellStyle name="60% - Accent5 2 9" xfId="661" xr:uid="{00000000-0005-0000-0000-000043070000}"/>
    <cellStyle name="60% - Accent5 20" xfId="2428" xr:uid="{00000000-0005-0000-0000-000044070000}"/>
    <cellStyle name="60% - Accent5 20 2" xfId="7958" xr:uid="{00000000-0005-0000-0000-000045070000}"/>
    <cellStyle name="60% - Accent5 21" xfId="7959" xr:uid="{00000000-0005-0000-0000-000046070000}"/>
    <cellStyle name="60% - Accent5 22" xfId="6499" xr:uid="{00000000-0005-0000-0000-000047070000}"/>
    <cellStyle name="60% - Accent5 3" xfId="662" xr:uid="{00000000-0005-0000-0000-000048070000}"/>
    <cellStyle name="60% - Accent5 3 10" xfId="2429" xr:uid="{00000000-0005-0000-0000-000049070000}"/>
    <cellStyle name="60% - Accent5 3 11" xfId="2430" xr:uid="{00000000-0005-0000-0000-00004A070000}"/>
    <cellStyle name="60% - Accent5 3 12" xfId="2431" xr:uid="{00000000-0005-0000-0000-00004B070000}"/>
    <cellStyle name="60% - Accent5 3 13" xfId="2432" xr:uid="{00000000-0005-0000-0000-00004C070000}"/>
    <cellStyle name="60% - Accent5 3 14" xfId="2433" xr:uid="{00000000-0005-0000-0000-00004D070000}"/>
    <cellStyle name="60% - Accent5 3 15" xfId="7960" xr:uid="{00000000-0005-0000-0000-00004E070000}"/>
    <cellStyle name="60% - Accent5 3 2" xfId="663" xr:uid="{00000000-0005-0000-0000-00004F070000}"/>
    <cellStyle name="60% - Accent5 3 3" xfId="2434" xr:uid="{00000000-0005-0000-0000-000050070000}"/>
    <cellStyle name="60% - Accent5 3 4" xfId="2435" xr:uid="{00000000-0005-0000-0000-000051070000}"/>
    <cellStyle name="60% - Accent5 3 5" xfId="2436" xr:uid="{00000000-0005-0000-0000-000052070000}"/>
    <cellStyle name="60% - Accent5 3 6" xfId="2437" xr:uid="{00000000-0005-0000-0000-000053070000}"/>
    <cellStyle name="60% - Accent5 3 7" xfId="2438" xr:uid="{00000000-0005-0000-0000-000054070000}"/>
    <cellStyle name="60% - Accent5 3 8" xfId="2439" xr:uid="{00000000-0005-0000-0000-000055070000}"/>
    <cellStyle name="60% - Accent5 3 9" xfId="2440" xr:uid="{00000000-0005-0000-0000-000056070000}"/>
    <cellStyle name="60% - Accent5 4" xfId="664" xr:uid="{00000000-0005-0000-0000-000057070000}"/>
    <cellStyle name="60% - Accent5 4 2" xfId="665" xr:uid="{00000000-0005-0000-0000-000058070000}"/>
    <cellStyle name="60% - Accent5 5" xfId="666" xr:uid="{00000000-0005-0000-0000-000059070000}"/>
    <cellStyle name="60% - Accent5 5 2" xfId="667" xr:uid="{00000000-0005-0000-0000-00005A070000}"/>
    <cellStyle name="60% - Accent5 6" xfId="668" xr:uid="{00000000-0005-0000-0000-00005B070000}"/>
    <cellStyle name="60% - Accent5 6 2" xfId="669" xr:uid="{00000000-0005-0000-0000-00005C070000}"/>
    <cellStyle name="60% - Accent5 6 3" xfId="2441" xr:uid="{00000000-0005-0000-0000-00005D070000}"/>
    <cellStyle name="60% - Accent5 7" xfId="670" xr:uid="{00000000-0005-0000-0000-00005E070000}"/>
    <cellStyle name="60% - Accent5 7 2" xfId="671" xr:uid="{00000000-0005-0000-0000-00005F070000}"/>
    <cellStyle name="60% - Accent5 7 3" xfId="2442" xr:uid="{00000000-0005-0000-0000-000060070000}"/>
    <cellStyle name="60% - Accent5 8" xfId="672" xr:uid="{00000000-0005-0000-0000-000061070000}"/>
    <cellStyle name="60% - Accent5 8 2" xfId="673" xr:uid="{00000000-0005-0000-0000-000062070000}"/>
    <cellStyle name="60% - Accent5 8 3" xfId="2443" xr:uid="{00000000-0005-0000-0000-000063070000}"/>
    <cellStyle name="60% - Accent5 9" xfId="674" xr:uid="{00000000-0005-0000-0000-000064070000}"/>
    <cellStyle name="60% - Accent5 9 2" xfId="2444" xr:uid="{00000000-0005-0000-0000-000065070000}"/>
    <cellStyle name="60% - Accent6 10" xfId="675" xr:uid="{00000000-0005-0000-0000-000066070000}"/>
    <cellStyle name="60% - Accent6 10 2" xfId="2445" xr:uid="{00000000-0005-0000-0000-000067070000}"/>
    <cellStyle name="60% - Accent6 11" xfId="676" xr:uid="{00000000-0005-0000-0000-000068070000}"/>
    <cellStyle name="60% - Accent6 11 2" xfId="7961" xr:uid="{00000000-0005-0000-0000-000069070000}"/>
    <cellStyle name="60% - Accent6 12" xfId="677" xr:uid="{00000000-0005-0000-0000-00006A070000}"/>
    <cellStyle name="60% - Accent6 12 2" xfId="7962" xr:uid="{00000000-0005-0000-0000-00006B070000}"/>
    <cellStyle name="60% - Accent6 13" xfId="678" xr:uid="{00000000-0005-0000-0000-00006C070000}"/>
    <cellStyle name="60% - Accent6 13 2" xfId="7963" xr:uid="{00000000-0005-0000-0000-00006D070000}"/>
    <cellStyle name="60% - Accent6 14" xfId="679" xr:uid="{00000000-0005-0000-0000-00006E070000}"/>
    <cellStyle name="60% - Accent6 14 2" xfId="7964" xr:uid="{00000000-0005-0000-0000-00006F070000}"/>
    <cellStyle name="60% - Accent6 15" xfId="2446" xr:uid="{00000000-0005-0000-0000-000070070000}"/>
    <cellStyle name="60% - Accent6 15 2" xfId="7965" xr:uid="{00000000-0005-0000-0000-000071070000}"/>
    <cellStyle name="60% - Accent6 16" xfId="2447" xr:uid="{00000000-0005-0000-0000-000072070000}"/>
    <cellStyle name="60% - Accent6 16 2" xfId="7966" xr:uid="{00000000-0005-0000-0000-000073070000}"/>
    <cellStyle name="60% - Accent6 17" xfId="2448" xr:uid="{00000000-0005-0000-0000-000074070000}"/>
    <cellStyle name="60% - Accent6 17 2" xfId="7967" xr:uid="{00000000-0005-0000-0000-000075070000}"/>
    <cellStyle name="60% - Accent6 18" xfId="2449" xr:uid="{00000000-0005-0000-0000-000076070000}"/>
    <cellStyle name="60% - Accent6 18 2" xfId="7968" xr:uid="{00000000-0005-0000-0000-000077070000}"/>
    <cellStyle name="60% - Accent6 19" xfId="2450" xr:uid="{00000000-0005-0000-0000-000078070000}"/>
    <cellStyle name="60% - Accent6 19 2" xfId="7969" xr:uid="{00000000-0005-0000-0000-000079070000}"/>
    <cellStyle name="60% - Accent6 2" xfId="680" xr:uid="{00000000-0005-0000-0000-00007A070000}"/>
    <cellStyle name="60% - Accent6 2 10" xfId="15268" xr:uid="{00000000-0005-0000-0000-00007B070000}"/>
    <cellStyle name="60% - Accent6 2 2" xfId="681" xr:uid="{00000000-0005-0000-0000-00007C070000}"/>
    <cellStyle name="60% - Accent6 2 3" xfId="682" xr:uid="{00000000-0005-0000-0000-00007D070000}"/>
    <cellStyle name="60% - Accent6 2 4" xfId="683" xr:uid="{00000000-0005-0000-0000-00007E070000}"/>
    <cellStyle name="60% - Accent6 2 5" xfId="684" xr:uid="{00000000-0005-0000-0000-00007F070000}"/>
    <cellStyle name="60% - Accent6 2 6" xfId="685" xr:uid="{00000000-0005-0000-0000-000080070000}"/>
    <cellStyle name="60% - Accent6 2 7" xfId="686" xr:uid="{00000000-0005-0000-0000-000081070000}"/>
    <cellStyle name="60% - Accent6 2 8" xfId="687" xr:uid="{00000000-0005-0000-0000-000082070000}"/>
    <cellStyle name="60% - Accent6 2 9" xfId="688" xr:uid="{00000000-0005-0000-0000-000083070000}"/>
    <cellStyle name="60% - Accent6 20" xfId="2451" xr:uid="{00000000-0005-0000-0000-000084070000}"/>
    <cellStyle name="60% - Accent6 20 2" xfId="7970" xr:uid="{00000000-0005-0000-0000-000085070000}"/>
    <cellStyle name="60% - Accent6 21" xfId="7971" xr:uid="{00000000-0005-0000-0000-000086070000}"/>
    <cellStyle name="60% - Accent6 22" xfId="6500" xr:uid="{00000000-0005-0000-0000-000087070000}"/>
    <cellStyle name="60% - Accent6 3" xfId="689" xr:uid="{00000000-0005-0000-0000-000088070000}"/>
    <cellStyle name="60% - Accent6 3 10" xfId="2452" xr:uid="{00000000-0005-0000-0000-000089070000}"/>
    <cellStyle name="60% - Accent6 3 11" xfId="2453" xr:uid="{00000000-0005-0000-0000-00008A070000}"/>
    <cellStyle name="60% - Accent6 3 12" xfId="2454" xr:uid="{00000000-0005-0000-0000-00008B070000}"/>
    <cellStyle name="60% - Accent6 3 13" xfId="2455" xr:uid="{00000000-0005-0000-0000-00008C070000}"/>
    <cellStyle name="60% - Accent6 3 14" xfId="2456" xr:uid="{00000000-0005-0000-0000-00008D070000}"/>
    <cellStyle name="60% - Accent6 3 15" xfId="7972" xr:uid="{00000000-0005-0000-0000-00008E070000}"/>
    <cellStyle name="60% - Accent6 3 2" xfId="690" xr:uid="{00000000-0005-0000-0000-00008F070000}"/>
    <cellStyle name="60% - Accent6 3 3" xfId="2457" xr:uid="{00000000-0005-0000-0000-000090070000}"/>
    <cellStyle name="60% - Accent6 3 4" xfId="2458" xr:uid="{00000000-0005-0000-0000-000091070000}"/>
    <cellStyle name="60% - Accent6 3 5" xfId="2459" xr:uid="{00000000-0005-0000-0000-000092070000}"/>
    <cellStyle name="60% - Accent6 3 6" xfId="2460" xr:uid="{00000000-0005-0000-0000-000093070000}"/>
    <cellStyle name="60% - Accent6 3 7" xfId="2461" xr:uid="{00000000-0005-0000-0000-000094070000}"/>
    <cellStyle name="60% - Accent6 3 8" xfId="2462" xr:uid="{00000000-0005-0000-0000-000095070000}"/>
    <cellStyle name="60% - Accent6 3 9" xfId="2463" xr:uid="{00000000-0005-0000-0000-000096070000}"/>
    <cellStyle name="60% - Accent6 4" xfId="691" xr:uid="{00000000-0005-0000-0000-000097070000}"/>
    <cellStyle name="60% - Accent6 4 2" xfId="692" xr:uid="{00000000-0005-0000-0000-000098070000}"/>
    <cellStyle name="60% - Accent6 5" xfId="693" xr:uid="{00000000-0005-0000-0000-000099070000}"/>
    <cellStyle name="60% - Accent6 5 2" xfId="694" xr:uid="{00000000-0005-0000-0000-00009A070000}"/>
    <cellStyle name="60% - Accent6 6" xfId="695" xr:uid="{00000000-0005-0000-0000-00009B070000}"/>
    <cellStyle name="60% - Accent6 6 2" xfId="696" xr:uid="{00000000-0005-0000-0000-00009C070000}"/>
    <cellStyle name="60% - Accent6 6 3" xfId="2464" xr:uid="{00000000-0005-0000-0000-00009D070000}"/>
    <cellStyle name="60% - Accent6 7" xfId="697" xr:uid="{00000000-0005-0000-0000-00009E070000}"/>
    <cellStyle name="60% - Accent6 7 2" xfId="698" xr:uid="{00000000-0005-0000-0000-00009F070000}"/>
    <cellStyle name="60% - Accent6 7 3" xfId="2465" xr:uid="{00000000-0005-0000-0000-0000A0070000}"/>
    <cellStyle name="60% - Accent6 8" xfId="699" xr:uid="{00000000-0005-0000-0000-0000A1070000}"/>
    <cellStyle name="60% - Accent6 8 2" xfId="700" xr:uid="{00000000-0005-0000-0000-0000A2070000}"/>
    <cellStyle name="60% - Accent6 8 3" xfId="2466" xr:uid="{00000000-0005-0000-0000-0000A3070000}"/>
    <cellStyle name="60% - Accent6 9" xfId="701" xr:uid="{00000000-0005-0000-0000-0000A4070000}"/>
    <cellStyle name="60% - Accent6 9 2" xfId="2467" xr:uid="{00000000-0005-0000-0000-0000A5070000}"/>
    <cellStyle name="60% - Cor1" xfId="702" xr:uid="{00000000-0005-0000-0000-0000A6070000}"/>
    <cellStyle name="60% - Cor2" xfId="703" xr:uid="{00000000-0005-0000-0000-0000A7070000}"/>
    <cellStyle name="60% - Cor3" xfId="704" xr:uid="{00000000-0005-0000-0000-0000A8070000}"/>
    <cellStyle name="60% - Cor4" xfId="705" xr:uid="{00000000-0005-0000-0000-0000A9070000}"/>
    <cellStyle name="60% - Cor5" xfId="706" xr:uid="{00000000-0005-0000-0000-0000AA070000}"/>
    <cellStyle name="60% - Cor6" xfId="707" xr:uid="{00000000-0005-0000-0000-0000AB070000}"/>
    <cellStyle name="Accent1 10" xfId="708" xr:uid="{00000000-0005-0000-0000-0000AC070000}"/>
    <cellStyle name="Accent1 10 2" xfId="2468" xr:uid="{00000000-0005-0000-0000-0000AD070000}"/>
    <cellStyle name="Accent1 11" xfId="709" xr:uid="{00000000-0005-0000-0000-0000AE070000}"/>
    <cellStyle name="Accent1 11 2" xfId="7973" xr:uid="{00000000-0005-0000-0000-0000AF070000}"/>
    <cellStyle name="Accent1 12" xfId="710" xr:uid="{00000000-0005-0000-0000-0000B0070000}"/>
    <cellStyle name="Accent1 12 2" xfId="7974" xr:uid="{00000000-0005-0000-0000-0000B1070000}"/>
    <cellStyle name="Accent1 13" xfId="711" xr:uid="{00000000-0005-0000-0000-0000B2070000}"/>
    <cellStyle name="Accent1 13 2" xfId="7975" xr:uid="{00000000-0005-0000-0000-0000B3070000}"/>
    <cellStyle name="Accent1 14" xfId="712" xr:uid="{00000000-0005-0000-0000-0000B4070000}"/>
    <cellStyle name="Accent1 14 2" xfId="7977" xr:uid="{00000000-0005-0000-0000-0000B5070000}"/>
    <cellStyle name="Accent1 15" xfId="2469" xr:uid="{00000000-0005-0000-0000-0000B6070000}"/>
    <cellStyle name="Accent1 15 2" xfId="7978" xr:uid="{00000000-0005-0000-0000-0000B7070000}"/>
    <cellStyle name="Accent1 16" xfId="2470" xr:uid="{00000000-0005-0000-0000-0000B8070000}"/>
    <cellStyle name="Accent1 16 2" xfId="7979" xr:uid="{00000000-0005-0000-0000-0000B9070000}"/>
    <cellStyle name="Accent1 17" xfId="2471" xr:uid="{00000000-0005-0000-0000-0000BA070000}"/>
    <cellStyle name="Accent1 17 2" xfId="7980" xr:uid="{00000000-0005-0000-0000-0000BB070000}"/>
    <cellStyle name="Accent1 18" xfId="2472" xr:uid="{00000000-0005-0000-0000-0000BC070000}"/>
    <cellStyle name="Accent1 18 2" xfId="7981" xr:uid="{00000000-0005-0000-0000-0000BD070000}"/>
    <cellStyle name="Accent1 19" xfId="2473" xr:uid="{00000000-0005-0000-0000-0000BE070000}"/>
    <cellStyle name="Accent1 19 2" xfId="7982" xr:uid="{00000000-0005-0000-0000-0000BF070000}"/>
    <cellStyle name="Accent1 2" xfId="713" xr:uid="{00000000-0005-0000-0000-0000C0070000}"/>
    <cellStyle name="Accent1 2 10" xfId="15269" xr:uid="{00000000-0005-0000-0000-0000C1070000}"/>
    <cellStyle name="Accent1 2 2" xfId="714" xr:uid="{00000000-0005-0000-0000-0000C2070000}"/>
    <cellStyle name="Accent1 2 3" xfId="715" xr:uid="{00000000-0005-0000-0000-0000C3070000}"/>
    <cellStyle name="Accent1 2 4" xfId="716" xr:uid="{00000000-0005-0000-0000-0000C4070000}"/>
    <cellStyle name="Accent1 2 5" xfId="717" xr:uid="{00000000-0005-0000-0000-0000C5070000}"/>
    <cellStyle name="Accent1 2 6" xfId="718" xr:uid="{00000000-0005-0000-0000-0000C6070000}"/>
    <cellStyle name="Accent1 2 7" xfId="719" xr:uid="{00000000-0005-0000-0000-0000C7070000}"/>
    <cellStyle name="Accent1 2 8" xfId="720" xr:uid="{00000000-0005-0000-0000-0000C8070000}"/>
    <cellStyle name="Accent1 2 9" xfId="721" xr:uid="{00000000-0005-0000-0000-0000C9070000}"/>
    <cellStyle name="Accent1 20" xfId="2474" xr:uid="{00000000-0005-0000-0000-0000CA070000}"/>
    <cellStyle name="Accent1 20 2" xfId="7983" xr:uid="{00000000-0005-0000-0000-0000CB070000}"/>
    <cellStyle name="Accent1 21" xfId="7984" xr:uid="{00000000-0005-0000-0000-0000CC070000}"/>
    <cellStyle name="Accent1 22" xfId="6501" xr:uid="{00000000-0005-0000-0000-0000CD070000}"/>
    <cellStyle name="Accent1 3" xfId="722" xr:uid="{00000000-0005-0000-0000-0000CE070000}"/>
    <cellStyle name="Accent1 3 10" xfId="2475" xr:uid="{00000000-0005-0000-0000-0000CF070000}"/>
    <cellStyle name="Accent1 3 11" xfId="2476" xr:uid="{00000000-0005-0000-0000-0000D0070000}"/>
    <cellStyle name="Accent1 3 12" xfId="2477" xr:uid="{00000000-0005-0000-0000-0000D1070000}"/>
    <cellStyle name="Accent1 3 13" xfId="2478" xr:uid="{00000000-0005-0000-0000-0000D2070000}"/>
    <cellStyle name="Accent1 3 14" xfId="2479" xr:uid="{00000000-0005-0000-0000-0000D3070000}"/>
    <cellStyle name="Accent1 3 15" xfId="7986" xr:uid="{00000000-0005-0000-0000-0000D4070000}"/>
    <cellStyle name="Accent1 3 2" xfId="723" xr:uid="{00000000-0005-0000-0000-0000D5070000}"/>
    <cellStyle name="Accent1 3 3" xfId="2480" xr:uid="{00000000-0005-0000-0000-0000D6070000}"/>
    <cellStyle name="Accent1 3 4" xfId="2481" xr:uid="{00000000-0005-0000-0000-0000D7070000}"/>
    <cellStyle name="Accent1 3 5" xfId="2482" xr:uid="{00000000-0005-0000-0000-0000D8070000}"/>
    <cellStyle name="Accent1 3 6" xfId="2483" xr:uid="{00000000-0005-0000-0000-0000D9070000}"/>
    <cellStyle name="Accent1 3 7" xfId="2484" xr:uid="{00000000-0005-0000-0000-0000DA070000}"/>
    <cellStyle name="Accent1 3 8" xfId="2485" xr:uid="{00000000-0005-0000-0000-0000DB070000}"/>
    <cellStyle name="Accent1 3 9" xfId="2486" xr:uid="{00000000-0005-0000-0000-0000DC070000}"/>
    <cellStyle name="Accent1 4" xfId="724" xr:uid="{00000000-0005-0000-0000-0000DD070000}"/>
    <cellStyle name="Accent1 4 2" xfId="725" xr:uid="{00000000-0005-0000-0000-0000DE070000}"/>
    <cellStyle name="Accent1 5" xfId="726" xr:uid="{00000000-0005-0000-0000-0000DF070000}"/>
    <cellStyle name="Accent1 5 2" xfId="727" xr:uid="{00000000-0005-0000-0000-0000E0070000}"/>
    <cellStyle name="Accent1 6" xfId="728" xr:uid="{00000000-0005-0000-0000-0000E1070000}"/>
    <cellStyle name="Accent1 6 2" xfId="729" xr:uid="{00000000-0005-0000-0000-0000E2070000}"/>
    <cellStyle name="Accent1 6 3" xfId="2487" xr:uid="{00000000-0005-0000-0000-0000E3070000}"/>
    <cellStyle name="Accent1 7" xfId="730" xr:uid="{00000000-0005-0000-0000-0000E4070000}"/>
    <cellStyle name="Accent1 7 2" xfId="731" xr:uid="{00000000-0005-0000-0000-0000E5070000}"/>
    <cellStyle name="Accent1 7 3" xfId="2488" xr:uid="{00000000-0005-0000-0000-0000E6070000}"/>
    <cellStyle name="Accent1 8" xfId="732" xr:uid="{00000000-0005-0000-0000-0000E7070000}"/>
    <cellStyle name="Accent1 8 2" xfId="733" xr:uid="{00000000-0005-0000-0000-0000E8070000}"/>
    <cellStyle name="Accent1 8 3" xfId="2489" xr:uid="{00000000-0005-0000-0000-0000E9070000}"/>
    <cellStyle name="Accent1 9" xfId="734" xr:uid="{00000000-0005-0000-0000-0000EA070000}"/>
    <cellStyle name="Accent1 9 2" xfId="2490" xr:uid="{00000000-0005-0000-0000-0000EB070000}"/>
    <cellStyle name="Accent2 10" xfId="735" xr:uid="{00000000-0005-0000-0000-0000EC070000}"/>
    <cellStyle name="Accent2 10 2" xfId="2491" xr:uid="{00000000-0005-0000-0000-0000ED070000}"/>
    <cellStyle name="Accent2 11" xfId="736" xr:uid="{00000000-0005-0000-0000-0000EE070000}"/>
    <cellStyle name="Accent2 11 2" xfId="7989" xr:uid="{00000000-0005-0000-0000-0000EF070000}"/>
    <cellStyle name="Accent2 12" xfId="737" xr:uid="{00000000-0005-0000-0000-0000F0070000}"/>
    <cellStyle name="Accent2 12 2" xfId="7990" xr:uid="{00000000-0005-0000-0000-0000F1070000}"/>
    <cellStyle name="Accent2 13" xfId="738" xr:uid="{00000000-0005-0000-0000-0000F2070000}"/>
    <cellStyle name="Accent2 13 2" xfId="7991" xr:uid="{00000000-0005-0000-0000-0000F3070000}"/>
    <cellStyle name="Accent2 14" xfId="739" xr:uid="{00000000-0005-0000-0000-0000F4070000}"/>
    <cellStyle name="Accent2 14 2" xfId="7992" xr:uid="{00000000-0005-0000-0000-0000F5070000}"/>
    <cellStyle name="Accent2 15" xfId="2492" xr:uid="{00000000-0005-0000-0000-0000F6070000}"/>
    <cellStyle name="Accent2 15 2" xfId="7993" xr:uid="{00000000-0005-0000-0000-0000F7070000}"/>
    <cellStyle name="Accent2 16" xfId="2493" xr:uid="{00000000-0005-0000-0000-0000F8070000}"/>
    <cellStyle name="Accent2 16 2" xfId="7994" xr:uid="{00000000-0005-0000-0000-0000F9070000}"/>
    <cellStyle name="Accent2 17" xfId="2494" xr:uid="{00000000-0005-0000-0000-0000FA070000}"/>
    <cellStyle name="Accent2 17 2" xfId="7995" xr:uid="{00000000-0005-0000-0000-0000FB070000}"/>
    <cellStyle name="Accent2 18" xfId="2495" xr:uid="{00000000-0005-0000-0000-0000FC070000}"/>
    <cellStyle name="Accent2 18 2" xfId="7996" xr:uid="{00000000-0005-0000-0000-0000FD070000}"/>
    <cellStyle name="Accent2 19" xfId="2496" xr:uid="{00000000-0005-0000-0000-0000FE070000}"/>
    <cellStyle name="Accent2 19 2" xfId="7997" xr:uid="{00000000-0005-0000-0000-0000FF070000}"/>
    <cellStyle name="Accent2 2" xfId="740" xr:uid="{00000000-0005-0000-0000-000000080000}"/>
    <cellStyle name="Accent2 2 10" xfId="15270" xr:uid="{00000000-0005-0000-0000-000001080000}"/>
    <cellStyle name="Accent2 2 2" xfId="741" xr:uid="{00000000-0005-0000-0000-000002080000}"/>
    <cellStyle name="Accent2 2 3" xfId="742" xr:uid="{00000000-0005-0000-0000-000003080000}"/>
    <cellStyle name="Accent2 2 4" xfId="743" xr:uid="{00000000-0005-0000-0000-000004080000}"/>
    <cellStyle name="Accent2 2 5" xfId="744" xr:uid="{00000000-0005-0000-0000-000005080000}"/>
    <cellStyle name="Accent2 2 6" xfId="745" xr:uid="{00000000-0005-0000-0000-000006080000}"/>
    <cellStyle name="Accent2 2 7" xfId="746" xr:uid="{00000000-0005-0000-0000-000007080000}"/>
    <cellStyle name="Accent2 2 8" xfId="747" xr:uid="{00000000-0005-0000-0000-000008080000}"/>
    <cellStyle name="Accent2 2 9" xfId="748" xr:uid="{00000000-0005-0000-0000-000009080000}"/>
    <cellStyle name="Accent2 20" xfId="2497" xr:uid="{00000000-0005-0000-0000-00000A080000}"/>
    <cellStyle name="Accent2 20 2" xfId="7998" xr:uid="{00000000-0005-0000-0000-00000B080000}"/>
    <cellStyle name="Accent2 21" xfId="7999" xr:uid="{00000000-0005-0000-0000-00000C080000}"/>
    <cellStyle name="Accent2 22" xfId="6502" xr:uid="{00000000-0005-0000-0000-00000D080000}"/>
    <cellStyle name="Accent2 3" xfId="749" xr:uid="{00000000-0005-0000-0000-00000E080000}"/>
    <cellStyle name="Accent2 3 10" xfId="2498" xr:uid="{00000000-0005-0000-0000-00000F080000}"/>
    <cellStyle name="Accent2 3 11" xfId="2499" xr:uid="{00000000-0005-0000-0000-000010080000}"/>
    <cellStyle name="Accent2 3 12" xfId="2500" xr:uid="{00000000-0005-0000-0000-000011080000}"/>
    <cellStyle name="Accent2 3 13" xfId="2501" xr:uid="{00000000-0005-0000-0000-000012080000}"/>
    <cellStyle name="Accent2 3 14" xfId="2502" xr:uid="{00000000-0005-0000-0000-000013080000}"/>
    <cellStyle name="Accent2 3 15" xfId="8000" xr:uid="{00000000-0005-0000-0000-000014080000}"/>
    <cellStyle name="Accent2 3 2" xfId="750" xr:uid="{00000000-0005-0000-0000-000015080000}"/>
    <cellStyle name="Accent2 3 3" xfId="2503" xr:uid="{00000000-0005-0000-0000-000016080000}"/>
    <cellStyle name="Accent2 3 4" xfId="2504" xr:uid="{00000000-0005-0000-0000-000017080000}"/>
    <cellStyle name="Accent2 3 5" xfId="2505" xr:uid="{00000000-0005-0000-0000-000018080000}"/>
    <cellStyle name="Accent2 3 6" xfId="2506" xr:uid="{00000000-0005-0000-0000-000019080000}"/>
    <cellStyle name="Accent2 3 7" xfId="2507" xr:uid="{00000000-0005-0000-0000-00001A080000}"/>
    <cellStyle name="Accent2 3 8" xfId="2508" xr:uid="{00000000-0005-0000-0000-00001B080000}"/>
    <cellStyle name="Accent2 3 9" xfId="2509" xr:uid="{00000000-0005-0000-0000-00001C080000}"/>
    <cellStyle name="Accent2 4" xfId="751" xr:uid="{00000000-0005-0000-0000-00001D080000}"/>
    <cellStyle name="Accent2 4 2" xfId="752" xr:uid="{00000000-0005-0000-0000-00001E080000}"/>
    <cellStyle name="Accent2 5" xfId="753" xr:uid="{00000000-0005-0000-0000-00001F080000}"/>
    <cellStyle name="Accent2 5 2" xfId="754" xr:uid="{00000000-0005-0000-0000-000020080000}"/>
    <cellStyle name="Accent2 6" xfId="755" xr:uid="{00000000-0005-0000-0000-000021080000}"/>
    <cellStyle name="Accent2 6 2" xfId="756" xr:uid="{00000000-0005-0000-0000-000022080000}"/>
    <cellStyle name="Accent2 6 3" xfId="2510" xr:uid="{00000000-0005-0000-0000-000023080000}"/>
    <cellStyle name="Accent2 6 4" xfId="2511" xr:uid="{00000000-0005-0000-0000-000024080000}"/>
    <cellStyle name="Accent2 6 5" xfId="2512" xr:uid="{00000000-0005-0000-0000-000025080000}"/>
    <cellStyle name="Accent2 6 6" xfId="2513" xr:uid="{00000000-0005-0000-0000-000026080000}"/>
    <cellStyle name="Accent2 6_ELC" xfId="6503" xr:uid="{00000000-0005-0000-0000-000027080000}"/>
    <cellStyle name="Accent2 7" xfId="757" xr:uid="{00000000-0005-0000-0000-000028080000}"/>
    <cellStyle name="Accent2 7 2" xfId="758" xr:uid="{00000000-0005-0000-0000-000029080000}"/>
    <cellStyle name="Accent2 7 3" xfId="2514" xr:uid="{00000000-0005-0000-0000-00002A080000}"/>
    <cellStyle name="Accent2 7 4" xfId="2515" xr:uid="{00000000-0005-0000-0000-00002B080000}"/>
    <cellStyle name="Accent2 7 5" xfId="2516" xr:uid="{00000000-0005-0000-0000-00002C080000}"/>
    <cellStyle name="Accent2 7 6" xfId="2517" xr:uid="{00000000-0005-0000-0000-00002D080000}"/>
    <cellStyle name="Accent2 7_ELC" xfId="6504" xr:uid="{00000000-0005-0000-0000-00002E080000}"/>
    <cellStyle name="Accent2 8" xfId="759" xr:uid="{00000000-0005-0000-0000-00002F080000}"/>
    <cellStyle name="Accent2 8 2" xfId="760" xr:uid="{00000000-0005-0000-0000-000030080000}"/>
    <cellStyle name="Accent2 8 3" xfId="2518" xr:uid="{00000000-0005-0000-0000-000031080000}"/>
    <cellStyle name="Accent2 9" xfId="761" xr:uid="{00000000-0005-0000-0000-000032080000}"/>
    <cellStyle name="Accent2 9 2" xfId="2519" xr:uid="{00000000-0005-0000-0000-000033080000}"/>
    <cellStyle name="Accent3 10" xfId="762" xr:uid="{00000000-0005-0000-0000-000034080000}"/>
    <cellStyle name="Accent3 10 2" xfId="2520" xr:uid="{00000000-0005-0000-0000-000035080000}"/>
    <cellStyle name="Accent3 11" xfId="763" xr:uid="{00000000-0005-0000-0000-000036080000}"/>
    <cellStyle name="Accent3 11 2" xfId="8001" xr:uid="{00000000-0005-0000-0000-000037080000}"/>
    <cellStyle name="Accent3 12" xfId="764" xr:uid="{00000000-0005-0000-0000-000038080000}"/>
    <cellStyle name="Accent3 12 2" xfId="8002" xr:uid="{00000000-0005-0000-0000-000039080000}"/>
    <cellStyle name="Accent3 13" xfId="765" xr:uid="{00000000-0005-0000-0000-00003A080000}"/>
    <cellStyle name="Accent3 13 2" xfId="8003" xr:uid="{00000000-0005-0000-0000-00003B080000}"/>
    <cellStyle name="Accent3 14" xfId="766" xr:uid="{00000000-0005-0000-0000-00003C080000}"/>
    <cellStyle name="Accent3 14 2" xfId="8004" xr:uid="{00000000-0005-0000-0000-00003D080000}"/>
    <cellStyle name="Accent3 15" xfId="2521" xr:uid="{00000000-0005-0000-0000-00003E080000}"/>
    <cellStyle name="Accent3 15 2" xfId="8005" xr:uid="{00000000-0005-0000-0000-00003F080000}"/>
    <cellStyle name="Accent3 16" xfId="2522" xr:uid="{00000000-0005-0000-0000-000040080000}"/>
    <cellStyle name="Accent3 16 2" xfId="8006" xr:uid="{00000000-0005-0000-0000-000041080000}"/>
    <cellStyle name="Accent3 17" xfId="2523" xr:uid="{00000000-0005-0000-0000-000042080000}"/>
    <cellStyle name="Accent3 17 2" xfId="8007" xr:uid="{00000000-0005-0000-0000-000043080000}"/>
    <cellStyle name="Accent3 18" xfId="2524" xr:uid="{00000000-0005-0000-0000-000044080000}"/>
    <cellStyle name="Accent3 18 2" xfId="8008" xr:uid="{00000000-0005-0000-0000-000045080000}"/>
    <cellStyle name="Accent3 19" xfId="2525" xr:uid="{00000000-0005-0000-0000-000046080000}"/>
    <cellStyle name="Accent3 19 2" xfId="8009" xr:uid="{00000000-0005-0000-0000-000047080000}"/>
    <cellStyle name="Accent3 2" xfId="767" xr:uid="{00000000-0005-0000-0000-000048080000}"/>
    <cellStyle name="Accent3 2 10" xfId="15271" xr:uid="{00000000-0005-0000-0000-000049080000}"/>
    <cellStyle name="Accent3 2 2" xfId="768" xr:uid="{00000000-0005-0000-0000-00004A080000}"/>
    <cellStyle name="Accent3 2 3" xfId="769" xr:uid="{00000000-0005-0000-0000-00004B080000}"/>
    <cellStyle name="Accent3 2 4" xfId="770" xr:uid="{00000000-0005-0000-0000-00004C080000}"/>
    <cellStyle name="Accent3 2 5" xfId="771" xr:uid="{00000000-0005-0000-0000-00004D080000}"/>
    <cellStyle name="Accent3 2 6" xfId="772" xr:uid="{00000000-0005-0000-0000-00004E080000}"/>
    <cellStyle name="Accent3 2 7" xfId="773" xr:uid="{00000000-0005-0000-0000-00004F080000}"/>
    <cellStyle name="Accent3 2 8" xfId="774" xr:uid="{00000000-0005-0000-0000-000050080000}"/>
    <cellStyle name="Accent3 2 9" xfId="775" xr:uid="{00000000-0005-0000-0000-000051080000}"/>
    <cellStyle name="Accent3 20" xfId="2526" xr:uid="{00000000-0005-0000-0000-000052080000}"/>
    <cellStyle name="Accent3 20 2" xfId="8010" xr:uid="{00000000-0005-0000-0000-000053080000}"/>
    <cellStyle name="Accent3 21" xfId="8011" xr:uid="{00000000-0005-0000-0000-000054080000}"/>
    <cellStyle name="Accent3 22" xfId="6505" xr:uid="{00000000-0005-0000-0000-000055080000}"/>
    <cellStyle name="Accent3 3" xfId="776" xr:uid="{00000000-0005-0000-0000-000056080000}"/>
    <cellStyle name="Accent3 3 10" xfId="2527" xr:uid="{00000000-0005-0000-0000-000057080000}"/>
    <cellStyle name="Accent3 3 11" xfId="2528" xr:uid="{00000000-0005-0000-0000-000058080000}"/>
    <cellStyle name="Accent3 3 12" xfId="2529" xr:uid="{00000000-0005-0000-0000-000059080000}"/>
    <cellStyle name="Accent3 3 13" xfId="2530" xr:uid="{00000000-0005-0000-0000-00005A080000}"/>
    <cellStyle name="Accent3 3 14" xfId="2531" xr:uid="{00000000-0005-0000-0000-00005B080000}"/>
    <cellStyle name="Accent3 3 15" xfId="8012" xr:uid="{00000000-0005-0000-0000-00005C080000}"/>
    <cellStyle name="Accent3 3 2" xfId="777" xr:uid="{00000000-0005-0000-0000-00005D080000}"/>
    <cellStyle name="Accent3 3 3" xfId="2532" xr:uid="{00000000-0005-0000-0000-00005E080000}"/>
    <cellStyle name="Accent3 3 4" xfId="2533" xr:uid="{00000000-0005-0000-0000-00005F080000}"/>
    <cellStyle name="Accent3 3 5" xfId="2534" xr:uid="{00000000-0005-0000-0000-000060080000}"/>
    <cellStyle name="Accent3 3 6" xfId="2535" xr:uid="{00000000-0005-0000-0000-000061080000}"/>
    <cellStyle name="Accent3 3 7" xfId="2536" xr:uid="{00000000-0005-0000-0000-000062080000}"/>
    <cellStyle name="Accent3 3 8" xfId="2537" xr:uid="{00000000-0005-0000-0000-000063080000}"/>
    <cellStyle name="Accent3 3 9" xfId="2538" xr:uid="{00000000-0005-0000-0000-000064080000}"/>
    <cellStyle name="Accent3 4" xfId="778" xr:uid="{00000000-0005-0000-0000-000065080000}"/>
    <cellStyle name="Accent3 4 2" xfId="779" xr:uid="{00000000-0005-0000-0000-000066080000}"/>
    <cellStyle name="Accent3 5" xfId="780" xr:uid="{00000000-0005-0000-0000-000067080000}"/>
    <cellStyle name="Accent3 5 2" xfId="781" xr:uid="{00000000-0005-0000-0000-000068080000}"/>
    <cellStyle name="Accent3 6" xfId="782" xr:uid="{00000000-0005-0000-0000-000069080000}"/>
    <cellStyle name="Accent3 6 2" xfId="783" xr:uid="{00000000-0005-0000-0000-00006A080000}"/>
    <cellStyle name="Accent3 6 3" xfId="2539" xr:uid="{00000000-0005-0000-0000-00006B080000}"/>
    <cellStyle name="Accent3 7" xfId="784" xr:uid="{00000000-0005-0000-0000-00006C080000}"/>
    <cellStyle name="Accent3 7 2" xfId="785" xr:uid="{00000000-0005-0000-0000-00006D080000}"/>
    <cellStyle name="Accent3 7 3" xfId="2540" xr:uid="{00000000-0005-0000-0000-00006E080000}"/>
    <cellStyle name="Accent3 8" xfId="786" xr:uid="{00000000-0005-0000-0000-00006F080000}"/>
    <cellStyle name="Accent3 8 2" xfId="787" xr:uid="{00000000-0005-0000-0000-000070080000}"/>
    <cellStyle name="Accent3 8 3" xfId="2541" xr:uid="{00000000-0005-0000-0000-000071080000}"/>
    <cellStyle name="Accent3 9" xfId="788" xr:uid="{00000000-0005-0000-0000-000072080000}"/>
    <cellStyle name="Accent3 9 2" xfId="2542" xr:uid="{00000000-0005-0000-0000-000073080000}"/>
    <cellStyle name="Accent4 10" xfId="789" xr:uid="{00000000-0005-0000-0000-000074080000}"/>
    <cellStyle name="Accent4 10 2" xfId="2543" xr:uid="{00000000-0005-0000-0000-000075080000}"/>
    <cellStyle name="Accent4 11" xfId="790" xr:uid="{00000000-0005-0000-0000-000076080000}"/>
    <cellStyle name="Accent4 11 2" xfId="8013" xr:uid="{00000000-0005-0000-0000-000077080000}"/>
    <cellStyle name="Accent4 12" xfId="791" xr:uid="{00000000-0005-0000-0000-000078080000}"/>
    <cellStyle name="Accent4 12 2" xfId="8014" xr:uid="{00000000-0005-0000-0000-000079080000}"/>
    <cellStyle name="Accent4 13" xfId="792" xr:uid="{00000000-0005-0000-0000-00007A080000}"/>
    <cellStyle name="Accent4 13 2" xfId="8015" xr:uid="{00000000-0005-0000-0000-00007B080000}"/>
    <cellStyle name="Accent4 14" xfId="793" xr:uid="{00000000-0005-0000-0000-00007C080000}"/>
    <cellStyle name="Accent4 14 2" xfId="8016" xr:uid="{00000000-0005-0000-0000-00007D080000}"/>
    <cellStyle name="Accent4 15" xfId="2544" xr:uid="{00000000-0005-0000-0000-00007E080000}"/>
    <cellStyle name="Accent4 15 2" xfId="8017" xr:uid="{00000000-0005-0000-0000-00007F080000}"/>
    <cellStyle name="Accent4 16" xfId="2545" xr:uid="{00000000-0005-0000-0000-000080080000}"/>
    <cellStyle name="Accent4 16 2" xfId="8018" xr:uid="{00000000-0005-0000-0000-000081080000}"/>
    <cellStyle name="Accent4 17" xfId="2546" xr:uid="{00000000-0005-0000-0000-000082080000}"/>
    <cellStyle name="Accent4 17 2" xfId="8019" xr:uid="{00000000-0005-0000-0000-000083080000}"/>
    <cellStyle name="Accent4 18" xfId="2547" xr:uid="{00000000-0005-0000-0000-000084080000}"/>
    <cellStyle name="Accent4 18 2" xfId="8020" xr:uid="{00000000-0005-0000-0000-000085080000}"/>
    <cellStyle name="Accent4 19" xfId="2548" xr:uid="{00000000-0005-0000-0000-000086080000}"/>
    <cellStyle name="Accent4 19 2" xfId="8021" xr:uid="{00000000-0005-0000-0000-000087080000}"/>
    <cellStyle name="Accent4 2" xfId="794" xr:uid="{00000000-0005-0000-0000-000088080000}"/>
    <cellStyle name="Accent4 2 10" xfId="15272" xr:uid="{00000000-0005-0000-0000-000089080000}"/>
    <cellStyle name="Accent4 2 2" xfId="795" xr:uid="{00000000-0005-0000-0000-00008A080000}"/>
    <cellStyle name="Accent4 2 3" xfId="796" xr:uid="{00000000-0005-0000-0000-00008B080000}"/>
    <cellStyle name="Accent4 2 4" xfId="797" xr:uid="{00000000-0005-0000-0000-00008C080000}"/>
    <cellStyle name="Accent4 2 5" xfId="798" xr:uid="{00000000-0005-0000-0000-00008D080000}"/>
    <cellStyle name="Accent4 2 6" xfId="799" xr:uid="{00000000-0005-0000-0000-00008E080000}"/>
    <cellStyle name="Accent4 2 7" xfId="800" xr:uid="{00000000-0005-0000-0000-00008F080000}"/>
    <cellStyle name="Accent4 2 8" xfId="801" xr:uid="{00000000-0005-0000-0000-000090080000}"/>
    <cellStyle name="Accent4 2 9" xfId="802" xr:uid="{00000000-0005-0000-0000-000091080000}"/>
    <cellStyle name="Accent4 20" xfId="2549" xr:uid="{00000000-0005-0000-0000-000092080000}"/>
    <cellStyle name="Accent4 20 2" xfId="8022" xr:uid="{00000000-0005-0000-0000-000093080000}"/>
    <cellStyle name="Accent4 21" xfId="8023" xr:uid="{00000000-0005-0000-0000-000094080000}"/>
    <cellStyle name="Accent4 22" xfId="6506" xr:uid="{00000000-0005-0000-0000-000095080000}"/>
    <cellStyle name="Accent4 3" xfId="803" xr:uid="{00000000-0005-0000-0000-000096080000}"/>
    <cellStyle name="Accent4 3 10" xfId="2550" xr:uid="{00000000-0005-0000-0000-000097080000}"/>
    <cellStyle name="Accent4 3 11" xfId="2551" xr:uid="{00000000-0005-0000-0000-000098080000}"/>
    <cellStyle name="Accent4 3 12" xfId="2552" xr:uid="{00000000-0005-0000-0000-000099080000}"/>
    <cellStyle name="Accent4 3 13" xfId="2553" xr:uid="{00000000-0005-0000-0000-00009A080000}"/>
    <cellStyle name="Accent4 3 14" xfId="2554" xr:uid="{00000000-0005-0000-0000-00009B080000}"/>
    <cellStyle name="Accent4 3 15" xfId="8024" xr:uid="{00000000-0005-0000-0000-00009C080000}"/>
    <cellStyle name="Accent4 3 2" xfId="804" xr:uid="{00000000-0005-0000-0000-00009D080000}"/>
    <cellStyle name="Accent4 3 3" xfId="2555" xr:uid="{00000000-0005-0000-0000-00009E080000}"/>
    <cellStyle name="Accent4 3 4" xfId="2556" xr:uid="{00000000-0005-0000-0000-00009F080000}"/>
    <cellStyle name="Accent4 3 5" xfId="2557" xr:uid="{00000000-0005-0000-0000-0000A0080000}"/>
    <cellStyle name="Accent4 3 6" xfId="2558" xr:uid="{00000000-0005-0000-0000-0000A1080000}"/>
    <cellStyle name="Accent4 3 7" xfId="2559" xr:uid="{00000000-0005-0000-0000-0000A2080000}"/>
    <cellStyle name="Accent4 3 8" xfId="2560" xr:uid="{00000000-0005-0000-0000-0000A3080000}"/>
    <cellStyle name="Accent4 3 9" xfId="2561" xr:uid="{00000000-0005-0000-0000-0000A4080000}"/>
    <cellStyle name="Accent4 4" xfId="805" xr:uid="{00000000-0005-0000-0000-0000A5080000}"/>
    <cellStyle name="Accent4 4 2" xfId="806" xr:uid="{00000000-0005-0000-0000-0000A6080000}"/>
    <cellStyle name="Accent4 5" xfId="807" xr:uid="{00000000-0005-0000-0000-0000A7080000}"/>
    <cellStyle name="Accent4 5 2" xfId="808" xr:uid="{00000000-0005-0000-0000-0000A8080000}"/>
    <cellStyle name="Accent4 6" xfId="809" xr:uid="{00000000-0005-0000-0000-0000A9080000}"/>
    <cellStyle name="Accent4 6 2" xfId="810" xr:uid="{00000000-0005-0000-0000-0000AA080000}"/>
    <cellStyle name="Accent4 6 3" xfId="2562" xr:uid="{00000000-0005-0000-0000-0000AB080000}"/>
    <cellStyle name="Accent4 6 4" xfId="2563" xr:uid="{00000000-0005-0000-0000-0000AC080000}"/>
    <cellStyle name="Accent4 6 5" xfId="2564" xr:uid="{00000000-0005-0000-0000-0000AD080000}"/>
    <cellStyle name="Accent4 6 6" xfId="2565" xr:uid="{00000000-0005-0000-0000-0000AE080000}"/>
    <cellStyle name="Accent4 6 7" xfId="2566" xr:uid="{00000000-0005-0000-0000-0000AF080000}"/>
    <cellStyle name="Accent4 6 8" xfId="8403" xr:uid="{00000000-0005-0000-0000-0000B0080000}"/>
    <cellStyle name="Accent4 6 9" xfId="8673" xr:uid="{00000000-0005-0000-0000-0000B1080000}"/>
    <cellStyle name="Accent4 6_ELC" xfId="6507" xr:uid="{00000000-0005-0000-0000-0000B2080000}"/>
    <cellStyle name="Accent4 7" xfId="811" xr:uid="{00000000-0005-0000-0000-0000B3080000}"/>
    <cellStyle name="Accent4 7 2" xfId="812" xr:uid="{00000000-0005-0000-0000-0000B4080000}"/>
    <cellStyle name="Accent4 7 3" xfId="2567" xr:uid="{00000000-0005-0000-0000-0000B5080000}"/>
    <cellStyle name="Accent4 7 4" xfId="2568" xr:uid="{00000000-0005-0000-0000-0000B6080000}"/>
    <cellStyle name="Accent4 7 5" xfId="2569" xr:uid="{00000000-0005-0000-0000-0000B7080000}"/>
    <cellStyle name="Accent4 7 6" xfId="2570" xr:uid="{00000000-0005-0000-0000-0000B8080000}"/>
    <cellStyle name="Accent4 7 7" xfId="2571" xr:uid="{00000000-0005-0000-0000-0000B9080000}"/>
    <cellStyle name="Accent4 7 8" xfId="8404" xr:uid="{00000000-0005-0000-0000-0000BA080000}"/>
    <cellStyle name="Accent4 7 9" xfId="8674" xr:uid="{00000000-0005-0000-0000-0000BB080000}"/>
    <cellStyle name="Accent4 7_ELC" xfId="6508" xr:uid="{00000000-0005-0000-0000-0000BC080000}"/>
    <cellStyle name="Accent4 8" xfId="813" xr:uid="{00000000-0005-0000-0000-0000BD080000}"/>
    <cellStyle name="Accent4 8 2" xfId="814" xr:uid="{00000000-0005-0000-0000-0000BE080000}"/>
    <cellStyle name="Accent4 8 3" xfId="2572" xr:uid="{00000000-0005-0000-0000-0000BF080000}"/>
    <cellStyle name="Accent4 9" xfId="815" xr:uid="{00000000-0005-0000-0000-0000C0080000}"/>
    <cellStyle name="Accent4 9 2" xfId="2573" xr:uid="{00000000-0005-0000-0000-0000C1080000}"/>
    <cellStyle name="Accent5 10" xfId="816" xr:uid="{00000000-0005-0000-0000-0000C2080000}"/>
    <cellStyle name="Accent5 10 2" xfId="2574" xr:uid="{00000000-0005-0000-0000-0000C3080000}"/>
    <cellStyle name="Accent5 11" xfId="817" xr:uid="{00000000-0005-0000-0000-0000C4080000}"/>
    <cellStyle name="Accent5 11 2" xfId="8025" xr:uid="{00000000-0005-0000-0000-0000C5080000}"/>
    <cellStyle name="Accent5 12" xfId="818" xr:uid="{00000000-0005-0000-0000-0000C6080000}"/>
    <cellStyle name="Accent5 12 2" xfId="8026" xr:uid="{00000000-0005-0000-0000-0000C7080000}"/>
    <cellStyle name="Accent5 13" xfId="819" xr:uid="{00000000-0005-0000-0000-0000C8080000}"/>
    <cellStyle name="Accent5 13 2" xfId="8027" xr:uid="{00000000-0005-0000-0000-0000C9080000}"/>
    <cellStyle name="Accent5 14" xfId="820" xr:uid="{00000000-0005-0000-0000-0000CA080000}"/>
    <cellStyle name="Accent5 14 2" xfId="8028" xr:uid="{00000000-0005-0000-0000-0000CB080000}"/>
    <cellStyle name="Accent5 15" xfId="2575" xr:uid="{00000000-0005-0000-0000-0000CC080000}"/>
    <cellStyle name="Accent5 15 2" xfId="8029" xr:uid="{00000000-0005-0000-0000-0000CD080000}"/>
    <cellStyle name="Accent5 16" xfId="2576" xr:uid="{00000000-0005-0000-0000-0000CE080000}"/>
    <cellStyle name="Accent5 16 2" xfId="8030" xr:uid="{00000000-0005-0000-0000-0000CF080000}"/>
    <cellStyle name="Accent5 17" xfId="2577" xr:uid="{00000000-0005-0000-0000-0000D0080000}"/>
    <cellStyle name="Accent5 17 2" xfId="8031" xr:uid="{00000000-0005-0000-0000-0000D1080000}"/>
    <cellStyle name="Accent5 18" xfId="2578" xr:uid="{00000000-0005-0000-0000-0000D2080000}"/>
    <cellStyle name="Accent5 18 2" xfId="8032" xr:uid="{00000000-0005-0000-0000-0000D3080000}"/>
    <cellStyle name="Accent5 19" xfId="2579" xr:uid="{00000000-0005-0000-0000-0000D4080000}"/>
    <cellStyle name="Accent5 19 2" xfId="8033" xr:uid="{00000000-0005-0000-0000-0000D5080000}"/>
    <cellStyle name="Accent5 2" xfId="821" xr:uid="{00000000-0005-0000-0000-0000D6080000}"/>
    <cellStyle name="Accent5 2 10" xfId="15273" xr:uid="{00000000-0005-0000-0000-0000D7080000}"/>
    <cellStyle name="Accent5 2 2" xfId="822" xr:uid="{00000000-0005-0000-0000-0000D8080000}"/>
    <cellStyle name="Accent5 2 3" xfId="823" xr:uid="{00000000-0005-0000-0000-0000D9080000}"/>
    <cellStyle name="Accent5 2 4" xfId="824" xr:uid="{00000000-0005-0000-0000-0000DA080000}"/>
    <cellStyle name="Accent5 2 5" xfId="825" xr:uid="{00000000-0005-0000-0000-0000DB080000}"/>
    <cellStyle name="Accent5 2 6" xfId="826" xr:uid="{00000000-0005-0000-0000-0000DC080000}"/>
    <cellStyle name="Accent5 2 7" xfId="827" xr:uid="{00000000-0005-0000-0000-0000DD080000}"/>
    <cellStyle name="Accent5 2 8" xfId="828" xr:uid="{00000000-0005-0000-0000-0000DE080000}"/>
    <cellStyle name="Accent5 2 9" xfId="829" xr:uid="{00000000-0005-0000-0000-0000DF080000}"/>
    <cellStyle name="Accent5 20" xfId="2580" xr:uid="{00000000-0005-0000-0000-0000E0080000}"/>
    <cellStyle name="Accent5 20 2" xfId="8034" xr:uid="{00000000-0005-0000-0000-0000E1080000}"/>
    <cellStyle name="Accent5 21" xfId="8035" xr:uid="{00000000-0005-0000-0000-0000E2080000}"/>
    <cellStyle name="Accent5 22" xfId="6509" xr:uid="{00000000-0005-0000-0000-0000E3080000}"/>
    <cellStyle name="Accent5 3" xfId="830" xr:uid="{00000000-0005-0000-0000-0000E4080000}"/>
    <cellStyle name="Accent5 3 10" xfId="2581" xr:uid="{00000000-0005-0000-0000-0000E5080000}"/>
    <cellStyle name="Accent5 3 11" xfId="2582" xr:uid="{00000000-0005-0000-0000-0000E6080000}"/>
    <cellStyle name="Accent5 3 12" xfId="2583" xr:uid="{00000000-0005-0000-0000-0000E7080000}"/>
    <cellStyle name="Accent5 3 13" xfId="2584" xr:uid="{00000000-0005-0000-0000-0000E8080000}"/>
    <cellStyle name="Accent5 3 14" xfId="2585" xr:uid="{00000000-0005-0000-0000-0000E9080000}"/>
    <cellStyle name="Accent5 3 15" xfId="8037" xr:uid="{00000000-0005-0000-0000-0000EA080000}"/>
    <cellStyle name="Accent5 3 2" xfId="831" xr:uid="{00000000-0005-0000-0000-0000EB080000}"/>
    <cellStyle name="Accent5 3 3" xfId="2586" xr:uid="{00000000-0005-0000-0000-0000EC080000}"/>
    <cellStyle name="Accent5 3 4" xfId="2587" xr:uid="{00000000-0005-0000-0000-0000ED080000}"/>
    <cellStyle name="Accent5 3 5" xfId="2588" xr:uid="{00000000-0005-0000-0000-0000EE080000}"/>
    <cellStyle name="Accent5 3 6" xfId="2589" xr:uid="{00000000-0005-0000-0000-0000EF080000}"/>
    <cellStyle name="Accent5 3 7" xfId="2590" xr:uid="{00000000-0005-0000-0000-0000F0080000}"/>
    <cellStyle name="Accent5 3 8" xfId="2591" xr:uid="{00000000-0005-0000-0000-0000F1080000}"/>
    <cellStyle name="Accent5 3 9" xfId="2592" xr:uid="{00000000-0005-0000-0000-0000F2080000}"/>
    <cellStyle name="Accent5 4" xfId="832" xr:uid="{00000000-0005-0000-0000-0000F3080000}"/>
    <cellStyle name="Accent5 4 2" xfId="833" xr:uid="{00000000-0005-0000-0000-0000F4080000}"/>
    <cellStyle name="Accent5 5" xfId="834" xr:uid="{00000000-0005-0000-0000-0000F5080000}"/>
    <cellStyle name="Accent5 5 2" xfId="835" xr:uid="{00000000-0005-0000-0000-0000F6080000}"/>
    <cellStyle name="Accent5 6" xfId="836" xr:uid="{00000000-0005-0000-0000-0000F7080000}"/>
    <cellStyle name="Accent5 6 2" xfId="837" xr:uid="{00000000-0005-0000-0000-0000F8080000}"/>
    <cellStyle name="Accent5 6 3" xfId="2593" xr:uid="{00000000-0005-0000-0000-0000F9080000}"/>
    <cellStyle name="Accent5 7" xfId="838" xr:uid="{00000000-0005-0000-0000-0000FA080000}"/>
    <cellStyle name="Accent5 7 2" xfId="839" xr:uid="{00000000-0005-0000-0000-0000FB080000}"/>
    <cellStyle name="Accent5 7 3" xfId="2594" xr:uid="{00000000-0005-0000-0000-0000FC080000}"/>
    <cellStyle name="Accent5 8" xfId="840" xr:uid="{00000000-0005-0000-0000-0000FD080000}"/>
    <cellStyle name="Accent5 8 2" xfId="841" xr:uid="{00000000-0005-0000-0000-0000FE080000}"/>
    <cellStyle name="Accent5 8 3" xfId="2595" xr:uid="{00000000-0005-0000-0000-0000FF080000}"/>
    <cellStyle name="Accent5 9" xfId="842" xr:uid="{00000000-0005-0000-0000-000000090000}"/>
    <cellStyle name="Accent5 9 2" xfId="2596" xr:uid="{00000000-0005-0000-0000-000001090000}"/>
    <cellStyle name="Accent6 10" xfId="843" xr:uid="{00000000-0005-0000-0000-000002090000}"/>
    <cellStyle name="Accent6 10 2" xfId="2597" xr:uid="{00000000-0005-0000-0000-000003090000}"/>
    <cellStyle name="Accent6 11" xfId="844" xr:uid="{00000000-0005-0000-0000-000004090000}"/>
    <cellStyle name="Accent6 11 2" xfId="8039" xr:uid="{00000000-0005-0000-0000-000005090000}"/>
    <cellStyle name="Accent6 12" xfId="845" xr:uid="{00000000-0005-0000-0000-000006090000}"/>
    <cellStyle name="Accent6 12 2" xfId="8040" xr:uid="{00000000-0005-0000-0000-000007090000}"/>
    <cellStyle name="Accent6 13" xfId="846" xr:uid="{00000000-0005-0000-0000-000008090000}"/>
    <cellStyle name="Accent6 13 2" xfId="8041" xr:uid="{00000000-0005-0000-0000-000009090000}"/>
    <cellStyle name="Accent6 14" xfId="847" xr:uid="{00000000-0005-0000-0000-00000A090000}"/>
    <cellStyle name="Accent6 14 2" xfId="8042" xr:uid="{00000000-0005-0000-0000-00000B090000}"/>
    <cellStyle name="Accent6 15" xfId="2598" xr:uid="{00000000-0005-0000-0000-00000C090000}"/>
    <cellStyle name="Accent6 15 2" xfId="8043" xr:uid="{00000000-0005-0000-0000-00000D090000}"/>
    <cellStyle name="Accent6 16" xfId="2599" xr:uid="{00000000-0005-0000-0000-00000E090000}"/>
    <cellStyle name="Accent6 16 2" xfId="8044" xr:uid="{00000000-0005-0000-0000-00000F090000}"/>
    <cellStyle name="Accent6 17" xfId="2600" xr:uid="{00000000-0005-0000-0000-000010090000}"/>
    <cellStyle name="Accent6 17 2" xfId="8045" xr:uid="{00000000-0005-0000-0000-000011090000}"/>
    <cellStyle name="Accent6 18" xfId="2601" xr:uid="{00000000-0005-0000-0000-000012090000}"/>
    <cellStyle name="Accent6 18 2" xfId="8046" xr:uid="{00000000-0005-0000-0000-000013090000}"/>
    <cellStyle name="Accent6 19" xfId="2602" xr:uid="{00000000-0005-0000-0000-000014090000}"/>
    <cellStyle name="Accent6 19 2" xfId="8047" xr:uid="{00000000-0005-0000-0000-000015090000}"/>
    <cellStyle name="Accent6 2" xfId="848" xr:uid="{00000000-0005-0000-0000-000016090000}"/>
    <cellStyle name="Accent6 2 10" xfId="15274" xr:uid="{00000000-0005-0000-0000-000017090000}"/>
    <cellStyle name="Accent6 2 2" xfId="849" xr:uid="{00000000-0005-0000-0000-000018090000}"/>
    <cellStyle name="Accent6 2 3" xfId="850" xr:uid="{00000000-0005-0000-0000-000019090000}"/>
    <cellStyle name="Accent6 2 4" xfId="851" xr:uid="{00000000-0005-0000-0000-00001A090000}"/>
    <cellStyle name="Accent6 2 5" xfId="852" xr:uid="{00000000-0005-0000-0000-00001B090000}"/>
    <cellStyle name="Accent6 2 6" xfId="853" xr:uid="{00000000-0005-0000-0000-00001C090000}"/>
    <cellStyle name="Accent6 2 7" xfId="854" xr:uid="{00000000-0005-0000-0000-00001D090000}"/>
    <cellStyle name="Accent6 2 8" xfId="855" xr:uid="{00000000-0005-0000-0000-00001E090000}"/>
    <cellStyle name="Accent6 2 9" xfId="856" xr:uid="{00000000-0005-0000-0000-00001F090000}"/>
    <cellStyle name="Accent6 20" xfId="2603" xr:uid="{00000000-0005-0000-0000-000020090000}"/>
    <cellStyle name="Accent6 20 2" xfId="8049" xr:uid="{00000000-0005-0000-0000-000021090000}"/>
    <cellStyle name="Accent6 21" xfId="8050" xr:uid="{00000000-0005-0000-0000-000022090000}"/>
    <cellStyle name="Accent6 22" xfId="6510" xr:uid="{00000000-0005-0000-0000-000023090000}"/>
    <cellStyle name="Accent6 3" xfId="857" xr:uid="{00000000-0005-0000-0000-000024090000}"/>
    <cellStyle name="Accent6 3 10" xfId="2604" xr:uid="{00000000-0005-0000-0000-000025090000}"/>
    <cellStyle name="Accent6 3 11" xfId="2605" xr:uid="{00000000-0005-0000-0000-000026090000}"/>
    <cellStyle name="Accent6 3 12" xfId="2606" xr:uid="{00000000-0005-0000-0000-000027090000}"/>
    <cellStyle name="Accent6 3 13" xfId="2607" xr:uid="{00000000-0005-0000-0000-000028090000}"/>
    <cellStyle name="Accent6 3 14" xfId="2608" xr:uid="{00000000-0005-0000-0000-000029090000}"/>
    <cellStyle name="Accent6 3 15" xfId="8051" xr:uid="{00000000-0005-0000-0000-00002A090000}"/>
    <cellStyle name="Accent6 3 2" xfId="858" xr:uid="{00000000-0005-0000-0000-00002B090000}"/>
    <cellStyle name="Accent6 3 3" xfId="2609" xr:uid="{00000000-0005-0000-0000-00002C090000}"/>
    <cellStyle name="Accent6 3 4" xfId="2610" xr:uid="{00000000-0005-0000-0000-00002D090000}"/>
    <cellStyle name="Accent6 3 5" xfId="2611" xr:uid="{00000000-0005-0000-0000-00002E090000}"/>
    <cellStyle name="Accent6 3 6" xfId="2612" xr:uid="{00000000-0005-0000-0000-00002F090000}"/>
    <cellStyle name="Accent6 3 7" xfId="2613" xr:uid="{00000000-0005-0000-0000-000030090000}"/>
    <cellStyle name="Accent6 3 8" xfId="2614" xr:uid="{00000000-0005-0000-0000-000031090000}"/>
    <cellStyle name="Accent6 3 9" xfId="2615" xr:uid="{00000000-0005-0000-0000-000032090000}"/>
    <cellStyle name="Accent6 4" xfId="859" xr:uid="{00000000-0005-0000-0000-000033090000}"/>
    <cellStyle name="Accent6 4 2" xfId="860" xr:uid="{00000000-0005-0000-0000-000034090000}"/>
    <cellStyle name="Accent6 5" xfId="861" xr:uid="{00000000-0005-0000-0000-000035090000}"/>
    <cellStyle name="Accent6 5 2" xfId="862" xr:uid="{00000000-0005-0000-0000-000036090000}"/>
    <cellStyle name="Accent6 6" xfId="863" xr:uid="{00000000-0005-0000-0000-000037090000}"/>
    <cellStyle name="Accent6 6 2" xfId="864" xr:uid="{00000000-0005-0000-0000-000038090000}"/>
    <cellStyle name="Accent6 6 3" xfId="2616" xr:uid="{00000000-0005-0000-0000-000039090000}"/>
    <cellStyle name="Accent6 7" xfId="865" xr:uid="{00000000-0005-0000-0000-00003A090000}"/>
    <cellStyle name="Accent6 7 2" xfId="866" xr:uid="{00000000-0005-0000-0000-00003B090000}"/>
    <cellStyle name="Accent6 7 3" xfId="2617" xr:uid="{00000000-0005-0000-0000-00003C090000}"/>
    <cellStyle name="Accent6 8" xfId="867" xr:uid="{00000000-0005-0000-0000-00003D090000}"/>
    <cellStyle name="Accent6 8 2" xfId="868" xr:uid="{00000000-0005-0000-0000-00003E090000}"/>
    <cellStyle name="Accent6 8 3" xfId="2618" xr:uid="{00000000-0005-0000-0000-00003F090000}"/>
    <cellStyle name="Accent6 9" xfId="869" xr:uid="{00000000-0005-0000-0000-000040090000}"/>
    <cellStyle name="Accent6 9 2" xfId="2619" xr:uid="{00000000-0005-0000-0000-000041090000}"/>
    <cellStyle name="AggBoldCells" xfId="870" xr:uid="{00000000-0005-0000-0000-000042090000}"/>
    <cellStyle name="AggCels" xfId="871" xr:uid="{00000000-0005-0000-0000-000043090000}"/>
    <cellStyle name="AggOrange_CRFReport-template" xfId="872" xr:uid="{00000000-0005-0000-0000-000044090000}"/>
    <cellStyle name="Bad 10" xfId="873" xr:uid="{00000000-0005-0000-0000-000045090000}"/>
    <cellStyle name="Bad 10 2" xfId="2620" xr:uid="{00000000-0005-0000-0000-000046090000}"/>
    <cellStyle name="Bad 10 3" xfId="2621" xr:uid="{00000000-0005-0000-0000-000047090000}"/>
    <cellStyle name="Bad 10 4" xfId="2622" xr:uid="{00000000-0005-0000-0000-000048090000}"/>
    <cellStyle name="Bad 10_IND_UC" xfId="6512" xr:uid="{00000000-0005-0000-0000-000049090000}"/>
    <cellStyle name="Bad 11" xfId="874" xr:uid="{00000000-0005-0000-0000-00004A090000}"/>
    <cellStyle name="Bad 11 2" xfId="2623" xr:uid="{00000000-0005-0000-0000-00004B090000}"/>
    <cellStyle name="Bad 11 3" xfId="2624" xr:uid="{00000000-0005-0000-0000-00004C090000}"/>
    <cellStyle name="Bad 11 4" xfId="2625" xr:uid="{00000000-0005-0000-0000-00004D090000}"/>
    <cellStyle name="Bad 11_IND_UC" xfId="6513" xr:uid="{00000000-0005-0000-0000-00004E090000}"/>
    <cellStyle name="Bad 12" xfId="875" xr:uid="{00000000-0005-0000-0000-00004F090000}"/>
    <cellStyle name="Bad 12 2" xfId="2626" xr:uid="{00000000-0005-0000-0000-000050090000}"/>
    <cellStyle name="Bad 12 3" xfId="2627" xr:uid="{00000000-0005-0000-0000-000051090000}"/>
    <cellStyle name="Bad 12 4" xfId="2628" xr:uid="{00000000-0005-0000-0000-000052090000}"/>
    <cellStyle name="Bad 12_IND_UC" xfId="6514" xr:uid="{00000000-0005-0000-0000-000053090000}"/>
    <cellStyle name="Bad 13" xfId="876" xr:uid="{00000000-0005-0000-0000-000054090000}"/>
    <cellStyle name="Bad 13 2" xfId="2629" xr:uid="{00000000-0005-0000-0000-000055090000}"/>
    <cellStyle name="Bad 13 3" xfId="2630" xr:uid="{00000000-0005-0000-0000-000056090000}"/>
    <cellStyle name="Bad 13 4" xfId="2631" xr:uid="{00000000-0005-0000-0000-000057090000}"/>
    <cellStyle name="Bad 13 4 2" xfId="8566" xr:uid="{00000000-0005-0000-0000-000058090000}"/>
    <cellStyle name="Bad 13 4 3" xfId="8053" xr:uid="{00000000-0005-0000-0000-000059090000}"/>
    <cellStyle name="Bad 13 5" xfId="8675" xr:uid="{00000000-0005-0000-0000-00005A090000}"/>
    <cellStyle name="Bad 14" xfId="877" xr:uid="{00000000-0005-0000-0000-00005B090000}"/>
    <cellStyle name="Bad 14 2" xfId="2632" xr:uid="{00000000-0005-0000-0000-00005C090000}"/>
    <cellStyle name="Bad 14 3" xfId="2633" xr:uid="{00000000-0005-0000-0000-00005D090000}"/>
    <cellStyle name="Bad 14 4" xfId="2634" xr:uid="{00000000-0005-0000-0000-00005E090000}"/>
    <cellStyle name="Bad 14 4 2" xfId="8245" xr:uid="{00000000-0005-0000-0000-00005F090000}"/>
    <cellStyle name="Bad 14 4 3" xfId="8054" xr:uid="{00000000-0005-0000-0000-000060090000}"/>
    <cellStyle name="Bad 15" xfId="878" xr:uid="{00000000-0005-0000-0000-000061090000}"/>
    <cellStyle name="Bad 15 2" xfId="2635" xr:uid="{00000000-0005-0000-0000-000062090000}"/>
    <cellStyle name="Bad 15 3" xfId="2636" xr:uid="{00000000-0005-0000-0000-000063090000}"/>
    <cellStyle name="Bad 16" xfId="2637" xr:uid="{00000000-0005-0000-0000-000064090000}"/>
    <cellStyle name="Bad 16 2" xfId="2638" xr:uid="{00000000-0005-0000-0000-000065090000}"/>
    <cellStyle name="Bad 16 3" xfId="2639" xr:uid="{00000000-0005-0000-0000-000066090000}"/>
    <cellStyle name="Bad 17" xfId="2640" xr:uid="{00000000-0005-0000-0000-000067090000}"/>
    <cellStyle name="Bad 17 2" xfId="2641" xr:uid="{00000000-0005-0000-0000-000068090000}"/>
    <cellStyle name="Bad 17 3" xfId="2642" xr:uid="{00000000-0005-0000-0000-000069090000}"/>
    <cellStyle name="Bad 18" xfId="2643" xr:uid="{00000000-0005-0000-0000-00006A090000}"/>
    <cellStyle name="Bad 18 2" xfId="2644" xr:uid="{00000000-0005-0000-0000-00006B090000}"/>
    <cellStyle name="Bad 18 3" xfId="2645" xr:uid="{00000000-0005-0000-0000-00006C090000}"/>
    <cellStyle name="Bad 19" xfId="2646" xr:uid="{00000000-0005-0000-0000-00006D090000}"/>
    <cellStyle name="Bad 19 2" xfId="2647" xr:uid="{00000000-0005-0000-0000-00006E090000}"/>
    <cellStyle name="Bad 19 3" xfId="2648" xr:uid="{00000000-0005-0000-0000-00006F090000}"/>
    <cellStyle name="Bad 2" xfId="879" xr:uid="{00000000-0005-0000-0000-000070090000}"/>
    <cellStyle name="Bad 2 10" xfId="15275" xr:uid="{00000000-0005-0000-0000-000071090000}"/>
    <cellStyle name="Bad 2 2" xfId="880" xr:uid="{00000000-0005-0000-0000-000072090000}"/>
    <cellStyle name="Bad 2 3" xfId="881" xr:uid="{00000000-0005-0000-0000-000073090000}"/>
    <cellStyle name="Bad 2 4" xfId="882" xr:uid="{00000000-0005-0000-0000-000074090000}"/>
    <cellStyle name="Bad 2 5" xfId="883" xr:uid="{00000000-0005-0000-0000-000075090000}"/>
    <cellStyle name="Bad 2 6" xfId="884" xr:uid="{00000000-0005-0000-0000-000076090000}"/>
    <cellStyle name="Bad 2 7" xfId="885" xr:uid="{00000000-0005-0000-0000-000077090000}"/>
    <cellStyle name="Bad 2 8" xfId="886" xr:uid="{00000000-0005-0000-0000-000078090000}"/>
    <cellStyle name="Bad 2 9" xfId="887" xr:uid="{00000000-0005-0000-0000-000079090000}"/>
    <cellStyle name="Bad 20" xfId="2649" xr:uid="{00000000-0005-0000-0000-00007A090000}"/>
    <cellStyle name="Bad 20 2" xfId="2650" xr:uid="{00000000-0005-0000-0000-00007B090000}"/>
    <cellStyle name="Bad 20 3" xfId="2651" xr:uid="{00000000-0005-0000-0000-00007C090000}"/>
    <cellStyle name="Bad 21" xfId="2652" xr:uid="{00000000-0005-0000-0000-00007D090000}"/>
    <cellStyle name="Bad 21 2" xfId="6624" xr:uid="{00000000-0005-0000-0000-00007E090000}"/>
    <cellStyle name="Bad 21 3" xfId="8406" xr:uid="{00000000-0005-0000-0000-00007F090000}"/>
    <cellStyle name="Bad 22" xfId="2653" xr:uid="{00000000-0005-0000-0000-000080090000}"/>
    <cellStyle name="Bad 22 2" xfId="6625" xr:uid="{00000000-0005-0000-0000-000081090000}"/>
    <cellStyle name="Bad 23" xfId="2654" xr:uid="{00000000-0005-0000-0000-000082090000}"/>
    <cellStyle name="Bad 23 2" xfId="6626" xr:uid="{00000000-0005-0000-0000-000083090000}"/>
    <cellStyle name="Bad 24" xfId="2655" xr:uid="{00000000-0005-0000-0000-000084090000}"/>
    <cellStyle name="Bad 24 2" xfId="6627" xr:uid="{00000000-0005-0000-0000-000085090000}"/>
    <cellStyle name="Bad 25" xfId="2656" xr:uid="{00000000-0005-0000-0000-000086090000}"/>
    <cellStyle name="Bad 25 2" xfId="6628" xr:uid="{00000000-0005-0000-0000-000087090000}"/>
    <cellStyle name="Bad 26" xfId="2657" xr:uid="{00000000-0005-0000-0000-000088090000}"/>
    <cellStyle name="Bad 26 2" xfId="6629" xr:uid="{00000000-0005-0000-0000-000089090000}"/>
    <cellStyle name="Bad 27" xfId="2658" xr:uid="{00000000-0005-0000-0000-00008A090000}"/>
    <cellStyle name="Bad 27 2" xfId="6630" xr:uid="{00000000-0005-0000-0000-00008B090000}"/>
    <cellStyle name="Bad 28" xfId="2659" xr:uid="{00000000-0005-0000-0000-00008C090000}"/>
    <cellStyle name="Bad 28 2" xfId="6631" xr:uid="{00000000-0005-0000-0000-00008D090000}"/>
    <cellStyle name="Bad 29" xfId="2660" xr:uid="{00000000-0005-0000-0000-00008E090000}"/>
    <cellStyle name="Bad 29 2" xfId="6632" xr:uid="{00000000-0005-0000-0000-00008F090000}"/>
    <cellStyle name="Bad 3" xfId="888" xr:uid="{00000000-0005-0000-0000-000090090000}"/>
    <cellStyle name="Bad 3 10" xfId="889" xr:uid="{00000000-0005-0000-0000-000091090000}"/>
    <cellStyle name="Bad 3 11" xfId="890" xr:uid="{00000000-0005-0000-0000-000092090000}"/>
    <cellStyle name="Bad 3 12" xfId="891" xr:uid="{00000000-0005-0000-0000-000093090000}"/>
    <cellStyle name="Bad 3 13" xfId="892" xr:uid="{00000000-0005-0000-0000-000094090000}"/>
    <cellStyle name="Bad 3 14" xfId="893" xr:uid="{00000000-0005-0000-0000-000095090000}"/>
    <cellStyle name="Bad 3 15" xfId="894" xr:uid="{00000000-0005-0000-0000-000096090000}"/>
    <cellStyle name="Bad 3 16" xfId="895" xr:uid="{00000000-0005-0000-0000-000097090000}"/>
    <cellStyle name="Bad 3 17" xfId="896" xr:uid="{00000000-0005-0000-0000-000098090000}"/>
    <cellStyle name="Bad 3 18" xfId="897" xr:uid="{00000000-0005-0000-0000-000099090000}"/>
    <cellStyle name="Bad 3 19" xfId="898" xr:uid="{00000000-0005-0000-0000-00009A090000}"/>
    <cellStyle name="Bad 3 2" xfId="899" xr:uid="{00000000-0005-0000-0000-00009B090000}"/>
    <cellStyle name="Bad 3 20" xfId="900" xr:uid="{00000000-0005-0000-0000-00009C090000}"/>
    <cellStyle name="Bad 3 21" xfId="901" xr:uid="{00000000-0005-0000-0000-00009D090000}"/>
    <cellStyle name="Bad 3 22" xfId="902" xr:uid="{00000000-0005-0000-0000-00009E090000}"/>
    <cellStyle name="Bad 3 23" xfId="903" xr:uid="{00000000-0005-0000-0000-00009F090000}"/>
    <cellStyle name="Bad 3 24" xfId="904" xr:uid="{00000000-0005-0000-0000-0000A0090000}"/>
    <cellStyle name="Bad 3 25" xfId="905" xr:uid="{00000000-0005-0000-0000-0000A1090000}"/>
    <cellStyle name="Bad 3 26" xfId="906" xr:uid="{00000000-0005-0000-0000-0000A2090000}"/>
    <cellStyle name="Bad 3 27" xfId="907" xr:uid="{00000000-0005-0000-0000-0000A3090000}"/>
    <cellStyle name="Bad 3 28" xfId="908" xr:uid="{00000000-0005-0000-0000-0000A4090000}"/>
    <cellStyle name="Bad 3 29" xfId="909" xr:uid="{00000000-0005-0000-0000-0000A5090000}"/>
    <cellStyle name="Bad 3 3" xfId="910" xr:uid="{00000000-0005-0000-0000-0000A6090000}"/>
    <cellStyle name="Bad 3 30" xfId="911" xr:uid="{00000000-0005-0000-0000-0000A7090000}"/>
    <cellStyle name="Bad 3 31" xfId="912" xr:uid="{00000000-0005-0000-0000-0000A8090000}"/>
    <cellStyle name="Bad 3 32" xfId="913" xr:uid="{00000000-0005-0000-0000-0000A9090000}"/>
    <cellStyle name="Bad 3 33" xfId="2661" xr:uid="{00000000-0005-0000-0000-0000AA090000}"/>
    <cellStyle name="Bad 3 34" xfId="2662" xr:uid="{00000000-0005-0000-0000-0000AB090000}"/>
    <cellStyle name="Bad 3 35" xfId="2663" xr:uid="{00000000-0005-0000-0000-0000AC090000}"/>
    <cellStyle name="Bad 3 36" xfId="2664" xr:uid="{00000000-0005-0000-0000-0000AD090000}"/>
    <cellStyle name="Bad 3 4" xfId="914" xr:uid="{00000000-0005-0000-0000-0000AE090000}"/>
    <cellStyle name="Bad 3 5" xfId="915" xr:uid="{00000000-0005-0000-0000-0000AF090000}"/>
    <cellStyle name="Bad 3 6" xfId="916" xr:uid="{00000000-0005-0000-0000-0000B0090000}"/>
    <cellStyle name="Bad 3 7" xfId="917" xr:uid="{00000000-0005-0000-0000-0000B1090000}"/>
    <cellStyle name="Bad 3 8" xfId="918" xr:uid="{00000000-0005-0000-0000-0000B2090000}"/>
    <cellStyle name="Bad 3 9" xfId="919" xr:uid="{00000000-0005-0000-0000-0000B3090000}"/>
    <cellStyle name="Bad 3_ELC" xfId="6515" xr:uid="{00000000-0005-0000-0000-0000B4090000}"/>
    <cellStyle name="Bad 30" xfId="2665" xr:uid="{00000000-0005-0000-0000-0000B5090000}"/>
    <cellStyle name="Bad 30 2" xfId="6633" xr:uid="{00000000-0005-0000-0000-0000B6090000}"/>
    <cellStyle name="Bad 31" xfId="2666" xr:uid="{00000000-0005-0000-0000-0000B7090000}"/>
    <cellStyle name="Bad 31 2" xfId="6634" xr:uid="{00000000-0005-0000-0000-0000B8090000}"/>
    <cellStyle name="Bad 32" xfId="2667" xr:uid="{00000000-0005-0000-0000-0000B9090000}"/>
    <cellStyle name="Bad 32 2" xfId="6635" xr:uid="{00000000-0005-0000-0000-0000BA090000}"/>
    <cellStyle name="Bad 33" xfId="2668" xr:uid="{00000000-0005-0000-0000-0000BB090000}"/>
    <cellStyle name="Bad 33 2" xfId="6636" xr:uid="{00000000-0005-0000-0000-0000BC090000}"/>
    <cellStyle name="Bad 34" xfId="2669" xr:uid="{00000000-0005-0000-0000-0000BD090000}"/>
    <cellStyle name="Bad 34 2" xfId="6637" xr:uid="{00000000-0005-0000-0000-0000BE090000}"/>
    <cellStyle name="Bad 35" xfId="2670" xr:uid="{00000000-0005-0000-0000-0000BF090000}"/>
    <cellStyle name="Bad 35 2" xfId="6638" xr:uid="{00000000-0005-0000-0000-0000C0090000}"/>
    <cellStyle name="Bad 36" xfId="2671" xr:uid="{00000000-0005-0000-0000-0000C1090000}"/>
    <cellStyle name="Bad 36 2" xfId="6639" xr:uid="{00000000-0005-0000-0000-0000C2090000}"/>
    <cellStyle name="Bad 37" xfId="2672" xr:uid="{00000000-0005-0000-0000-0000C3090000}"/>
    <cellStyle name="Bad 37 2" xfId="6640" xr:uid="{00000000-0005-0000-0000-0000C4090000}"/>
    <cellStyle name="Bad 38" xfId="2673" xr:uid="{00000000-0005-0000-0000-0000C5090000}"/>
    <cellStyle name="Bad 38 2" xfId="6641" xr:uid="{00000000-0005-0000-0000-0000C6090000}"/>
    <cellStyle name="Bad 39" xfId="2674" xr:uid="{00000000-0005-0000-0000-0000C7090000}"/>
    <cellStyle name="Bad 39 2" xfId="6642" xr:uid="{00000000-0005-0000-0000-0000C8090000}"/>
    <cellStyle name="Bad 4" xfId="920" xr:uid="{00000000-0005-0000-0000-0000C9090000}"/>
    <cellStyle name="Bad 4 10" xfId="921" xr:uid="{00000000-0005-0000-0000-0000CA090000}"/>
    <cellStyle name="Bad 4 11" xfId="922" xr:uid="{00000000-0005-0000-0000-0000CB090000}"/>
    <cellStyle name="Bad 4 12" xfId="923" xr:uid="{00000000-0005-0000-0000-0000CC090000}"/>
    <cellStyle name="Bad 4 13" xfId="924" xr:uid="{00000000-0005-0000-0000-0000CD090000}"/>
    <cellStyle name="Bad 4 14" xfId="925" xr:uid="{00000000-0005-0000-0000-0000CE090000}"/>
    <cellStyle name="Bad 4 15" xfId="926" xr:uid="{00000000-0005-0000-0000-0000CF090000}"/>
    <cellStyle name="Bad 4 16" xfId="927" xr:uid="{00000000-0005-0000-0000-0000D0090000}"/>
    <cellStyle name="Bad 4 17" xfId="928" xr:uid="{00000000-0005-0000-0000-0000D1090000}"/>
    <cellStyle name="Bad 4 18" xfId="929" xr:uid="{00000000-0005-0000-0000-0000D2090000}"/>
    <cellStyle name="Bad 4 19" xfId="930" xr:uid="{00000000-0005-0000-0000-0000D3090000}"/>
    <cellStyle name="Bad 4 2" xfId="931" xr:uid="{00000000-0005-0000-0000-0000D4090000}"/>
    <cellStyle name="Bad 4 20" xfId="932" xr:uid="{00000000-0005-0000-0000-0000D5090000}"/>
    <cellStyle name="Bad 4 21" xfId="933" xr:uid="{00000000-0005-0000-0000-0000D6090000}"/>
    <cellStyle name="Bad 4 22" xfId="934" xr:uid="{00000000-0005-0000-0000-0000D7090000}"/>
    <cellStyle name="Bad 4 23" xfId="935" xr:uid="{00000000-0005-0000-0000-0000D8090000}"/>
    <cellStyle name="Bad 4 24" xfId="936" xr:uid="{00000000-0005-0000-0000-0000D9090000}"/>
    <cellStyle name="Bad 4 25" xfId="937" xr:uid="{00000000-0005-0000-0000-0000DA090000}"/>
    <cellStyle name="Bad 4 26" xfId="938" xr:uid="{00000000-0005-0000-0000-0000DB090000}"/>
    <cellStyle name="Bad 4 27" xfId="939" xr:uid="{00000000-0005-0000-0000-0000DC090000}"/>
    <cellStyle name="Bad 4 28" xfId="940" xr:uid="{00000000-0005-0000-0000-0000DD090000}"/>
    <cellStyle name="Bad 4 29" xfId="941" xr:uid="{00000000-0005-0000-0000-0000DE090000}"/>
    <cellStyle name="Bad 4 3" xfId="942" xr:uid="{00000000-0005-0000-0000-0000DF090000}"/>
    <cellStyle name="Bad 4 30" xfId="943" xr:uid="{00000000-0005-0000-0000-0000E0090000}"/>
    <cellStyle name="Bad 4 31" xfId="944" xr:uid="{00000000-0005-0000-0000-0000E1090000}"/>
    <cellStyle name="Bad 4 32" xfId="945" xr:uid="{00000000-0005-0000-0000-0000E2090000}"/>
    <cellStyle name="Bad 4 33" xfId="2675" xr:uid="{00000000-0005-0000-0000-0000E3090000}"/>
    <cellStyle name="Bad 4 34" xfId="2676" xr:uid="{00000000-0005-0000-0000-0000E4090000}"/>
    <cellStyle name="Bad 4 35" xfId="2677" xr:uid="{00000000-0005-0000-0000-0000E5090000}"/>
    <cellStyle name="Bad 4 36" xfId="2678" xr:uid="{00000000-0005-0000-0000-0000E6090000}"/>
    <cellStyle name="Bad 4 4" xfId="946" xr:uid="{00000000-0005-0000-0000-0000E7090000}"/>
    <cellStyle name="Bad 4 5" xfId="947" xr:uid="{00000000-0005-0000-0000-0000E8090000}"/>
    <cellStyle name="Bad 4 6" xfId="948" xr:uid="{00000000-0005-0000-0000-0000E9090000}"/>
    <cellStyle name="Bad 4 7" xfId="949" xr:uid="{00000000-0005-0000-0000-0000EA090000}"/>
    <cellStyle name="Bad 4 8" xfId="950" xr:uid="{00000000-0005-0000-0000-0000EB090000}"/>
    <cellStyle name="Bad 4 9" xfId="951" xr:uid="{00000000-0005-0000-0000-0000EC090000}"/>
    <cellStyle name="Bad 4_ELC" xfId="6516" xr:uid="{00000000-0005-0000-0000-0000ED090000}"/>
    <cellStyle name="Bad 40" xfId="2679" xr:uid="{00000000-0005-0000-0000-0000EE090000}"/>
    <cellStyle name="Bad 40 2" xfId="6643" xr:uid="{00000000-0005-0000-0000-0000EF090000}"/>
    <cellStyle name="Bad 41" xfId="2680" xr:uid="{00000000-0005-0000-0000-0000F0090000}"/>
    <cellStyle name="Bad 41 2" xfId="6644" xr:uid="{00000000-0005-0000-0000-0000F1090000}"/>
    <cellStyle name="Bad 42" xfId="6511" xr:uid="{00000000-0005-0000-0000-0000F2090000}"/>
    <cellStyle name="Bad 5" xfId="952" xr:uid="{00000000-0005-0000-0000-0000F3090000}"/>
    <cellStyle name="Bad 5 2" xfId="953" xr:uid="{00000000-0005-0000-0000-0000F4090000}"/>
    <cellStyle name="Bad 6" xfId="954" xr:uid="{00000000-0005-0000-0000-0000F5090000}"/>
    <cellStyle name="Bad 6 2" xfId="955" xr:uid="{00000000-0005-0000-0000-0000F6090000}"/>
    <cellStyle name="Bad 6 3" xfId="2681" xr:uid="{00000000-0005-0000-0000-0000F7090000}"/>
    <cellStyle name="Bad 6 4" xfId="2682" xr:uid="{00000000-0005-0000-0000-0000F8090000}"/>
    <cellStyle name="Bad 6 5" xfId="2683" xr:uid="{00000000-0005-0000-0000-0000F9090000}"/>
    <cellStyle name="Bad 6 6" xfId="2684" xr:uid="{00000000-0005-0000-0000-0000FA090000}"/>
    <cellStyle name="Bad 6_ELC" xfId="6517" xr:uid="{00000000-0005-0000-0000-0000FB090000}"/>
    <cellStyle name="Bad 7" xfId="956" xr:uid="{00000000-0005-0000-0000-0000FC090000}"/>
    <cellStyle name="Bad 7 2" xfId="957" xr:uid="{00000000-0005-0000-0000-0000FD090000}"/>
    <cellStyle name="Bad 7 3" xfId="2685" xr:uid="{00000000-0005-0000-0000-0000FE090000}"/>
    <cellStyle name="Bad 7 4" xfId="2686" xr:uid="{00000000-0005-0000-0000-0000FF090000}"/>
    <cellStyle name="Bad 7 5" xfId="2687" xr:uid="{00000000-0005-0000-0000-0000000A0000}"/>
    <cellStyle name="Bad 7 6" xfId="2688" xr:uid="{00000000-0005-0000-0000-0000010A0000}"/>
    <cellStyle name="Bad 7_ELC" xfId="6518" xr:uid="{00000000-0005-0000-0000-0000020A0000}"/>
    <cellStyle name="Bad 8" xfId="958" xr:uid="{00000000-0005-0000-0000-0000030A0000}"/>
    <cellStyle name="Bad 8 2" xfId="2689" xr:uid="{00000000-0005-0000-0000-0000040A0000}"/>
    <cellStyle name="Bad 8 3" xfId="2690" xr:uid="{00000000-0005-0000-0000-0000050A0000}"/>
    <cellStyle name="Bad 8 4" xfId="2691" xr:uid="{00000000-0005-0000-0000-0000060A0000}"/>
    <cellStyle name="Bad 8 5" xfId="2692" xr:uid="{00000000-0005-0000-0000-0000070A0000}"/>
    <cellStyle name="Bad 8 6" xfId="2693" xr:uid="{00000000-0005-0000-0000-0000080A0000}"/>
    <cellStyle name="Bad 8_ELC" xfId="6519" xr:uid="{00000000-0005-0000-0000-0000090A0000}"/>
    <cellStyle name="Bad 9" xfId="959" xr:uid="{00000000-0005-0000-0000-00000A0A0000}"/>
    <cellStyle name="Bad 9 2" xfId="2694" xr:uid="{00000000-0005-0000-0000-00000B0A0000}"/>
    <cellStyle name="Bad 9 3" xfId="2695" xr:uid="{00000000-0005-0000-0000-00000C0A0000}"/>
    <cellStyle name="Bad 9 4" xfId="2696" xr:uid="{00000000-0005-0000-0000-00000D0A0000}"/>
    <cellStyle name="Bad 9_IND_UC" xfId="6520" xr:uid="{00000000-0005-0000-0000-00000E0A0000}"/>
    <cellStyle name="Bold GHG Numbers (0.00)" xfId="960" xr:uid="{00000000-0005-0000-0000-00000F0A0000}"/>
    <cellStyle name="CABECALHO" xfId="961" xr:uid="{00000000-0005-0000-0000-0000100A0000}"/>
    <cellStyle name="Cabeçalho 1" xfId="962" xr:uid="{00000000-0005-0000-0000-0000110A0000}"/>
    <cellStyle name="Cabeçalho 2" xfId="963" xr:uid="{00000000-0005-0000-0000-0000120A0000}"/>
    <cellStyle name="Cabeçalho 3" xfId="964" xr:uid="{00000000-0005-0000-0000-0000130A0000}"/>
    <cellStyle name="Cabeçalho 4" xfId="965" xr:uid="{00000000-0005-0000-0000-0000140A0000}"/>
    <cellStyle name="Calculation 10" xfId="966" xr:uid="{00000000-0005-0000-0000-0000150A0000}"/>
    <cellStyle name="Calculation 10 2" xfId="2697" xr:uid="{00000000-0005-0000-0000-0000160A0000}"/>
    <cellStyle name="Calculation 11" xfId="967" xr:uid="{00000000-0005-0000-0000-0000170A0000}"/>
    <cellStyle name="Calculation 11 2" xfId="8055" xr:uid="{00000000-0005-0000-0000-0000180A0000}"/>
    <cellStyle name="Calculation 12" xfId="968" xr:uid="{00000000-0005-0000-0000-0000190A0000}"/>
    <cellStyle name="Calculation 12 2" xfId="8056" xr:uid="{00000000-0005-0000-0000-00001A0A0000}"/>
    <cellStyle name="Calculation 13" xfId="969" xr:uid="{00000000-0005-0000-0000-00001B0A0000}"/>
    <cellStyle name="Calculation 13 2" xfId="8058" xr:uid="{00000000-0005-0000-0000-00001C0A0000}"/>
    <cellStyle name="Calculation 14" xfId="970" xr:uid="{00000000-0005-0000-0000-00001D0A0000}"/>
    <cellStyle name="Calculation 14 2" xfId="8060" xr:uid="{00000000-0005-0000-0000-00001E0A0000}"/>
    <cellStyle name="Calculation 15" xfId="2698" xr:uid="{00000000-0005-0000-0000-00001F0A0000}"/>
    <cellStyle name="Calculation 15 2" xfId="8062" xr:uid="{00000000-0005-0000-0000-0000200A0000}"/>
    <cellStyle name="Calculation 16" xfId="2699" xr:uid="{00000000-0005-0000-0000-0000210A0000}"/>
    <cellStyle name="Calculation 16 2" xfId="8063" xr:uid="{00000000-0005-0000-0000-0000220A0000}"/>
    <cellStyle name="Calculation 17" xfId="2700" xr:uid="{00000000-0005-0000-0000-0000230A0000}"/>
    <cellStyle name="Calculation 17 2" xfId="8064" xr:uid="{00000000-0005-0000-0000-0000240A0000}"/>
    <cellStyle name="Calculation 18" xfId="2701" xr:uid="{00000000-0005-0000-0000-0000250A0000}"/>
    <cellStyle name="Calculation 18 2" xfId="8065" xr:uid="{00000000-0005-0000-0000-0000260A0000}"/>
    <cellStyle name="Calculation 19" xfId="2702" xr:uid="{00000000-0005-0000-0000-0000270A0000}"/>
    <cellStyle name="Calculation 19 2" xfId="8066" xr:uid="{00000000-0005-0000-0000-0000280A0000}"/>
    <cellStyle name="Calculation 2" xfId="971" xr:uid="{00000000-0005-0000-0000-0000290A0000}"/>
    <cellStyle name="Calculation 2 10" xfId="15276" xr:uid="{00000000-0005-0000-0000-00002A0A0000}"/>
    <cellStyle name="Calculation 2 2" xfId="972" xr:uid="{00000000-0005-0000-0000-00002B0A0000}"/>
    <cellStyle name="Calculation 2 3" xfId="973" xr:uid="{00000000-0005-0000-0000-00002C0A0000}"/>
    <cellStyle name="Calculation 2 4" xfId="974" xr:uid="{00000000-0005-0000-0000-00002D0A0000}"/>
    <cellStyle name="Calculation 2 5" xfId="975" xr:uid="{00000000-0005-0000-0000-00002E0A0000}"/>
    <cellStyle name="Calculation 2 6" xfId="976" xr:uid="{00000000-0005-0000-0000-00002F0A0000}"/>
    <cellStyle name="Calculation 2 7" xfId="977" xr:uid="{00000000-0005-0000-0000-0000300A0000}"/>
    <cellStyle name="Calculation 2 8" xfId="978" xr:uid="{00000000-0005-0000-0000-0000310A0000}"/>
    <cellStyle name="Calculation 2 9" xfId="979" xr:uid="{00000000-0005-0000-0000-0000320A0000}"/>
    <cellStyle name="Calculation 2_ELC" xfId="6522" xr:uid="{00000000-0005-0000-0000-0000330A0000}"/>
    <cellStyle name="Calculation 20" xfId="2703" xr:uid="{00000000-0005-0000-0000-0000340A0000}"/>
    <cellStyle name="Calculation 20 2" xfId="8067" xr:uid="{00000000-0005-0000-0000-0000350A0000}"/>
    <cellStyle name="Calculation 21" xfId="8068" xr:uid="{00000000-0005-0000-0000-0000360A0000}"/>
    <cellStyle name="Calculation 22" xfId="6521" xr:uid="{00000000-0005-0000-0000-0000370A0000}"/>
    <cellStyle name="Calculation 3" xfId="980" xr:uid="{00000000-0005-0000-0000-0000380A0000}"/>
    <cellStyle name="Calculation 3 10" xfId="2704" xr:uid="{00000000-0005-0000-0000-0000390A0000}"/>
    <cellStyle name="Calculation 3 11" xfId="2705" xr:uid="{00000000-0005-0000-0000-00003A0A0000}"/>
    <cellStyle name="Calculation 3 12" xfId="2706" xr:uid="{00000000-0005-0000-0000-00003B0A0000}"/>
    <cellStyle name="Calculation 3 13" xfId="2707" xr:uid="{00000000-0005-0000-0000-00003C0A0000}"/>
    <cellStyle name="Calculation 3 14" xfId="2708" xr:uid="{00000000-0005-0000-0000-00003D0A0000}"/>
    <cellStyle name="Calculation 3 15" xfId="8069" xr:uid="{00000000-0005-0000-0000-00003E0A0000}"/>
    <cellStyle name="Calculation 3 2" xfId="981" xr:uid="{00000000-0005-0000-0000-00003F0A0000}"/>
    <cellStyle name="Calculation 3 3" xfId="2709" xr:uid="{00000000-0005-0000-0000-0000400A0000}"/>
    <cellStyle name="Calculation 3 4" xfId="2710" xr:uid="{00000000-0005-0000-0000-0000410A0000}"/>
    <cellStyle name="Calculation 3 5" xfId="2711" xr:uid="{00000000-0005-0000-0000-0000420A0000}"/>
    <cellStyle name="Calculation 3 6" xfId="2712" xr:uid="{00000000-0005-0000-0000-0000430A0000}"/>
    <cellStyle name="Calculation 3 7" xfId="2713" xr:uid="{00000000-0005-0000-0000-0000440A0000}"/>
    <cellStyle name="Calculation 3 8" xfId="2714" xr:uid="{00000000-0005-0000-0000-0000450A0000}"/>
    <cellStyle name="Calculation 3 9" xfId="2715" xr:uid="{00000000-0005-0000-0000-0000460A0000}"/>
    <cellStyle name="Calculation 3_ELC" xfId="6523" xr:uid="{00000000-0005-0000-0000-0000470A0000}"/>
    <cellStyle name="Calculation 4" xfId="982" xr:uid="{00000000-0005-0000-0000-0000480A0000}"/>
    <cellStyle name="Calculation 4 2" xfId="983" xr:uid="{00000000-0005-0000-0000-0000490A0000}"/>
    <cellStyle name="Calculation 5" xfId="984" xr:uid="{00000000-0005-0000-0000-00004A0A0000}"/>
    <cellStyle name="Calculation 5 2" xfId="985" xr:uid="{00000000-0005-0000-0000-00004B0A0000}"/>
    <cellStyle name="Calculation 6" xfId="986" xr:uid="{00000000-0005-0000-0000-00004C0A0000}"/>
    <cellStyle name="Calculation 6 2" xfId="987" xr:uid="{00000000-0005-0000-0000-00004D0A0000}"/>
    <cellStyle name="Calculation 6 3" xfId="2716" xr:uid="{00000000-0005-0000-0000-00004E0A0000}"/>
    <cellStyle name="Calculation 6_ELC" xfId="6524" xr:uid="{00000000-0005-0000-0000-00004F0A0000}"/>
    <cellStyle name="Calculation 7" xfId="988" xr:uid="{00000000-0005-0000-0000-0000500A0000}"/>
    <cellStyle name="Calculation 7 2" xfId="989" xr:uid="{00000000-0005-0000-0000-0000510A0000}"/>
    <cellStyle name="Calculation 7 3" xfId="2717" xr:uid="{00000000-0005-0000-0000-0000520A0000}"/>
    <cellStyle name="Calculation 7_ELC" xfId="6525" xr:uid="{00000000-0005-0000-0000-0000530A0000}"/>
    <cellStyle name="Calculation 8" xfId="990" xr:uid="{00000000-0005-0000-0000-0000540A0000}"/>
    <cellStyle name="Calculation 8 2" xfId="991" xr:uid="{00000000-0005-0000-0000-0000550A0000}"/>
    <cellStyle name="Calculation 8 3" xfId="2718" xr:uid="{00000000-0005-0000-0000-0000560A0000}"/>
    <cellStyle name="Calculation 8_ELC" xfId="6526" xr:uid="{00000000-0005-0000-0000-0000570A0000}"/>
    <cellStyle name="Calculation 9" xfId="992" xr:uid="{00000000-0005-0000-0000-0000580A0000}"/>
    <cellStyle name="Calculation 9 2" xfId="2719" xr:uid="{00000000-0005-0000-0000-0000590A0000}"/>
    <cellStyle name="Cálculo" xfId="993" xr:uid="{00000000-0005-0000-0000-00005A0A0000}"/>
    <cellStyle name="Cálculo 2" xfId="994" xr:uid="{00000000-0005-0000-0000-00005B0A0000}"/>
    <cellStyle name="Célula Ligada" xfId="995" xr:uid="{00000000-0005-0000-0000-00005C0A0000}"/>
    <cellStyle name="Check Cell 10" xfId="996" xr:uid="{00000000-0005-0000-0000-00005D0A0000}"/>
    <cellStyle name="Check Cell 10 2" xfId="2720" xr:uid="{00000000-0005-0000-0000-00005E0A0000}"/>
    <cellStyle name="Check Cell 11" xfId="997" xr:uid="{00000000-0005-0000-0000-00005F0A0000}"/>
    <cellStyle name="Check Cell 11 2" xfId="8070" xr:uid="{00000000-0005-0000-0000-0000600A0000}"/>
    <cellStyle name="Check Cell 12" xfId="998" xr:uid="{00000000-0005-0000-0000-0000610A0000}"/>
    <cellStyle name="Check Cell 12 2" xfId="8071" xr:uid="{00000000-0005-0000-0000-0000620A0000}"/>
    <cellStyle name="Check Cell 13" xfId="999" xr:uid="{00000000-0005-0000-0000-0000630A0000}"/>
    <cellStyle name="Check Cell 13 2" xfId="8072" xr:uid="{00000000-0005-0000-0000-0000640A0000}"/>
    <cellStyle name="Check Cell 14" xfId="1000" xr:uid="{00000000-0005-0000-0000-0000650A0000}"/>
    <cellStyle name="Check Cell 14 2" xfId="8073" xr:uid="{00000000-0005-0000-0000-0000660A0000}"/>
    <cellStyle name="Check Cell 15" xfId="2721" xr:uid="{00000000-0005-0000-0000-0000670A0000}"/>
    <cellStyle name="Check Cell 15 2" xfId="8074" xr:uid="{00000000-0005-0000-0000-0000680A0000}"/>
    <cellStyle name="Check Cell 16" xfId="2722" xr:uid="{00000000-0005-0000-0000-0000690A0000}"/>
    <cellStyle name="Check Cell 16 2" xfId="8075" xr:uid="{00000000-0005-0000-0000-00006A0A0000}"/>
    <cellStyle name="Check Cell 17" xfId="2723" xr:uid="{00000000-0005-0000-0000-00006B0A0000}"/>
    <cellStyle name="Check Cell 17 2" xfId="8076" xr:uid="{00000000-0005-0000-0000-00006C0A0000}"/>
    <cellStyle name="Check Cell 18" xfId="2724" xr:uid="{00000000-0005-0000-0000-00006D0A0000}"/>
    <cellStyle name="Check Cell 18 2" xfId="8077" xr:uid="{00000000-0005-0000-0000-00006E0A0000}"/>
    <cellStyle name="Check Cell 19" xfId="2725" xr:uid="{00000000-0005-0000-0000-00006F0A0000}"/>
    <cellStyle name="Check Cell 19 2" xfId="8078" xr:uid="{00000000-0005-0000-0000-0000700A0000}"/>
    <cellStyle name="Check Cell 2" xfId="1001" xr:uid="{00000000-0005-0000-0000-0000710A0000}"/>
    <cellStyle name="Check Cell 2 10" xfId="15277" xr:uid="{00000000-0005-0000-0000-0000720A0000}"/>
    <cellStyle name="Check Cell 2 2" xfId="1002" xr:uid="{00000000-0005-0000-0000-0000730A0000}"/>
    <cellStyle name="Check Cell 2 3" xfId="1003" xr:uid="{00000000-0005-0000-0000-0000740A0000}"/>
    <cellStyle name="Check Cell 2 4" xfId="1004" xr:uid="{00000000-0005-0000-0000-0000750A0000}"/>
    <cellStyle name="Check Cell 2 5" xfId="1005" xr:uid="{00000000-0005-0000-0000-0000760A0000}"/>
    <cellStyle name="Check Cell 2 6" xfId="1006" xr:uid="{00000000-0005-0000-0000-0000770A0000}"/>
    <cellStyle name="Check Cell 2 7" xfId="1007" xr:uid="{00000000-0005-0000-0000-0000780A0000}"/>
    <cellStyle name="Check Cell 2 8" xfId="1008" xr:uid="{00000000-0005-0000-0000-0000790A0000}"/>
    <cellStyle name="Check Cell 2 9" xfId="1009" xr:uid="{00000000-0005-0000-0000-00007A0A0000}"/>
    <cellStyle name="Check Cell 2_ELC" xfId="6528" xr:uid="{00000000-0005-0000-0000-00007B0A0000}"/>
    <cellStyle name="Check Cell 20" xfId="2726" xr:uid="{00000000-0005-0000-0000-00007C0A0000}"/>
    <cellStyle name="Check Cell 20 2" xfId="8079" xr:uid="{00000000-0005-0000-0000-00007D0A0000}"/>
    <cellStyle name="Check Cell 21" xfId="8080" xr:uid="{00000000-0005-0000-0000-00007E0A0000}"/>
    <cellStyle name="Check Cell 22" xfId="6527" xr:uid="{00000000-0005-0000-0000-00007F0A0000}"/>
    <cellStyle name="Check Cell 3" xfId="1010" xr:uid="{00000000-0005-0000-0000-0000800A0000}"/>
    <cellStyle name="Check Cell 3 10" xfId="2727" xr:uid="{00000000-0005-0000-0000-0000810A0000}"/>
    <cellStyle name="Check Cell 3 11" xfId="2728" xr:uid="{00000000-0005-0000-0000-0000820A0000}"/>
    <cellStyle name="Check Cell 3 12" xfId="2729" xr:uid="{00000000-0005-0000-0000-0000830A0000}"/>
    <cellStyle name="Check Cell 3 13" xfId="2730" xr:uid="{00000000-0005-0000-0000-0000840A0000}"/>
    <cellStyle name="Check Cell 3 14" xfId="2731" xr:uid="{00000000-0005-0000-0000-0000850A0000}"/>
    <cellStyle name="Check Cell 3 15" xfId="8081" xr:uid="{00000000-0005-0000-0000-0000860A0000}"/>
    <cellStyle name="Check Cell 3 2" xfId="1011" xr:uid="{00000000-0005-0000-0000-0000870A0000}"/>
    <cellStyle name="Check Cell 3 3" xfId="2732" xr:uid="{00000000-0005-0000-0000-0000880A0000}"/>
    <cellStyle name="Check Cell 3 4" xfId="2733" xr:uid="{00000000-0005-0000-0000-0000890A0000}"/>
    <cellStyle name="Check Cell 3 5" xfId="2734" xr:uid="{00000000-0005-0000-0000-00008A0A0000}"/>
    <cellStyle name="Check Cell 3 6" xfId="2735" xr:uid="{00000000-0005-0000-0000-00008B0A0000}"/>
    <cellStyle name="Check Cell 3 7" xfId="2736" xr:uid="{00000000-0005-0000-0000-00008C0A0000}"/>
    <cellStyle name="Check Cell 3 8" xfId="2737" xr:uid="{00000000-0005-0000-0000-00008D0A0000}"/>
    <cellStyle name="Check Cell 3 9" xfId="2738" xr:uid="{00000000-0005-0000-0000-00008E0A0000}"/>
    <cellStyle name="Check Cell 3_ELC" xfId="6529" xr:uid="{00000000-0005-0000-0000-00008F0A0000}"/>
    <cellStyle name="Check Cell 4" xfId="1012" xr:uid="{00000000-0005-0000-0000-0000900A0000}"/>
    <cellStyle name="Check Cell 4 2" xfId="1013" xr:uid="{00000000-0005-0000-0000-0000910A0000}"/>
    <cellStyle name="Check Cell 5" xfId="1014" xr:uid="{00000000-0005-0000-0000-0000920A0000}"/>
    <cellStyle name="Check Cell 5 2" xfId="1015" xr:uid="{00000000-0005-0000-0000-0000930A0000}"/>
    <cellStyle name="Check Cell 6" xfId="1016" xr:uid="{00000000-0005-0000-0000-0000940A0000}"/>
    <cellStyle name="Check Cell 6 2" xfId="1017" xr:uid="{00000000-0005-0000-0000-0000950A0000}"/>
    <cellStyle name="Check Cell 6 3" xfId="2739" xr:uid="{00000000-0005-0000-0000-0000960A0000}"/>
    <cellStyle name="Check Cell 6_ELC" xfId="6530" xr:uid="{00000000-0005-0000-0000-0000970A0000}"/>
    <cellStyle name="Check Cell 7" xfId="1018" xr:uid="{00000000-0005-0000-0000-0000980A0000}"/>
    <cellStyle name="Check Cell 7 2" xfId="1019" xr:uid="{00000000-0005-0000-0000-0000990A0000}"/>
    <cellStyle name="Check Cell 7 3" xfId="2740" xr:uid="{00000000-0005-0000-0000-00009A0A0000}"/>
    <cellStyle name="Check Cell 7_ELC" xfId="6531" xr:uid="{00000000-0005-0000-0000-00009B0A0000}"/>
    <cellStyle name="Check Cell 8" xfId="1020" xr:uid="{00000000-0005-0000-0000-00009C0A0000}"/>
    <cellStyle name="Check Cell 8 2" xfId="1021" xr:uid="{00000000-0005-0000-0000-00009D0A0000}"/>
    <cellStyle name="Check Cell 8 3" xfId="2741" xr:uid="{00000000-0005-0000-0000-00009E0A0000}"/>
    <cellStyle name="Check Cell 8_ELC" xfId="6532" xr:uid="{00000000-0005-0000-0000-00009F0A0000}"/>
    <cellStyle name="Check Cell 9" xfId="1022" xr:uid="{00000000-0005-0000-0000-0000A00A0000}"/>
    <cellStyle name="Check Cell 9 2" xfId="2742" xr:uid="{00000000-0005-0000-0000-0000A10A0000}"/>
    <cellStyle name="Comma 10" xfId="2743" xr:uid="{00000000-0005-0000-0000-0000A20A0000}"/>
    <cellStyle name="Comma 10 10" xfId="30417" xr:uid="{00000000-0005-0000-0000-0000A30A0000}"/>
    <cellStyle name="Comma 10 11" xfId="31599" xr:uid="{00000000-0005-0000-0000-0000A40A0000}"/>
    <cellStyle name="Comma 10 12" xfId="32241" xr:uid="{00000000-0005-0000-0000-0000A50A0000}"/>
    <cellStyle name="Comma 10 13" xfId="33453" xr:uid="{00000000-0005-0000-0000-0000A60A0000}"/>
    <cellStyle name="Comma 10 14" xfId="34094" xr:uid="{00000000-0005-0000-0000-0000A70A0000}"/>
    <cellStyle name="Comma 10 15" xfId="35305" xr:uid="{00000000-0005-0000-0000-0000A80A0000}"/>
    <cellStyle name="Comma 10 16" xfId="36168" xr:uid="{00000000-0005-0000-0000-0000A90A0000}"/>
    <cellStyle name="Comma 10 17" xfId="37410" xr:uid="{00000000-0005-0000-0000-0000AA0A0000}"/>
    <cellStyle name="Comma 10 18" xfId="41357" xr:uid="{00000000-0005-0000-0000-0000AB0A0000}"/>
    <cellStyle name="Comma 10 19" xfId="43990" xr:uid="{00000000-0005-0000-0000-0000AC0A0000}"/>
    <cellStyle name="Comma 10 2" xfId="5054" xr:uid="{00000000-0005-0000-0000-0000AD0A0000}"/>
    <cellStyle name="Comma 10 2 10" xfId="32242" xr:uid="{00000000-0005-0000-0000-0000AE0A0000}"/>
    <cellStyle name="Comma 10 2 11" xfId="33454" xr:uid="{00000000-0005-0000-0000-0000AF0A0000}"/>
    <cellStyle name="Comma 10 2 12" xfId="34132" xr:uid="{00000000-0005-0000-0000-0000B00A0000}"/>
    <cellStyle name="Comma 10 2 13" xfId="36009" xr:uid="{00000000-0005-0000-0000-0000B10A0000}"/>
    <cellStyle name="Comma 10 2 14" xfId="36309" xr:uid="{00000000-0005-0000-0000-0000B20A0000}"/>
    <cellStyle name="Comma 10 2 15" xfId="37484" xr:uid="{00000000-0005-0000-0000-0000B30A0000}"/>
    <cellStyle name="Comma 10 2 16" xfId="41430" xr:uid="{00000000-0005-0000-0000-0000B40A0000}"/>
    <cellStyle name="Comma 10 2 17" xfId="43991" xr:uid="{00000000-0005-0000-0000-0000B50A0000}"/>
    <cellStyle name="Comma 10 2 18" xfId="6645" xr:uid="{00000000-0005-0000-0000-0000B60A0000}"/>
    <cellStyle name="Comma 10 2 2" xfId="6023" xr:uid="{00000000-0005-0000-0000-0000B70A0000}"/>
    <cellStyle name="Comma 10 2 2 10" xfId="33455" xr:uid="{00000000-0005-0000-0000-0000B80A0000}"/>
    <cellStyle name="Comma 10 2 2 11" xfId="34284" xr:uid="{00000000-0005-0000-0000-0000B90A0000}"/>
    <cellStyle name="Comma 10 2 2 12" xfId="36474" xr:uid="{00000000-0005-0000-0000-0000BA0A0000}"/>
    <cellStyle name="Comma 10 2 2 13" xfId="38788" xr:uid="{00000000-0005-0000-0000-0000BB0A0000}"/>
    <cellStyle name="Comma 10 2 2 14" xfId="41827" xr:uid="{00000000-0005-0000-0000-0000BC0A0000}"/>
    <cellStyle name="Comma 10 2 2 15" xfId="43992" xr:uid="{00000000-0005-0000-0000-0000BD0A0000}"/>
    <cellStyle name="Comma 10 2 2 16" xfId="8521" xr:uid="{00000000-0005-0000-0000-0000BE0A0000}"/>
    <cellStyle name="Comma 10 2 2 2" xfId="8678" xr:uid="{00000000-0005-0000-0000-0000BF0A0000}"/>
    <cellStyle name="Comma 10 2 2 2 10" xfId="34345" xr:uid="{00000000-0005-0000-0000-0000C00A0000}"/>
    <cellStyle name="Comma 10 2 2 2 11" xfId="36513" xr:uid="{00000000-0005-0000-0000-0000C10A0000}"/>
    <cellStyle name="Comma 10 2 2 2 12" xfId="40337" xr:uid="{00000000-0005-0000-0000-0000C20A0000}"/>
    <cellStyle name="Comma 10 2 2 2 13" xfId="43155" xr:uid="{00000000-0005-0000-0000-0000C30A0000}"/>
    <cellStyle name="Comma 10 2 2 2 14" xfId="43993" xr:uid="{00000000-0005-0000-0000-0000C40A0000}"/>
    <cellStyle name="Comma 10 2 2 2 2" xfId="12677" xr:uid="{00000000-0005-0000-0000-0000C50A0000}"/>
    <cellStyle name="Comma 10 2 2 2 2 2" xfId="31259" xr:uid="{00000000-0005-0000-0000-0000C60A0000}"/>
    <cellStyle name="Comma 10 2 2 2 2 3" xfId="33113" xr:uid="{00000000-0005-0000-0000-0000C70A0000}"/>
    <cellStyle name="Comma 10 2 2 2 2 4" xfId="34936" xr:uid="{00000000-0005-0000-0000-0000C80A0000}"/>
    <cellStyle name="Comma 10 2 2 2 2 5" xfId="37034" xr:uid="{00000000-0005-0000-0000-0000C90A0000}"/>
    <cellStyle name="Comma 10 2 2 2 3" xfId="11894" xr:uid="{00000000-0005-0000-0000-0000CA0A0000}"/>
    <cellStyle name="Comma 10 2 2 2 4" xfId="15281" xr:uid="{00000000-0005-0000-0000-0000CB0A0000}"/>
    <cellStyle name="Comma 10 2 2 2 5" xfId="29779" xr:uid="{00000000-0005-0000-0000-0000CC0A0000}"/>
    <cellStyle name="Comma 10 2 2 2 6" xfId="30668" xr:uid="{00000000-0005-0000-0000-0000CD0A0000}"/>
    <cellStyle name="Comma 10 2 2 2 7" xfId="31602" xr:uid="{00000000-0005-0000-0000-0000CE0A0000}"/>
    <cellStyle name="Comma 10 2 2 2 8" xfId="32244" xr:uid="{00000000-0005-0000-0000-0000CF0A0000}"/>
    <cellStyle name="Comma 10 2 2 2 9" xfId="33456" xr:uid="{00000000-0005-0000-0000-0000D00A0000}"/>
    <cellStyle name="Comma 10 2 2 3" xfId="12556" xr:uid="{00000000-0005-0000-0000-0000D10A0000}"/>
    <cellStyle name="Comma 10 2 2 3 2" xfId="31198" xr:uid="{00000000-0005-0000-0000-0000D20A0000}"/>
    <cellStyle name="Comma 10 2 2 3 3" xfId="33054" xr:uid="{00000000-0005-0000-0000-0000D30A0000}"/>
    <cellStyle name="Comma 10 2 2 3 4" xfId="34875" xr:uid="{00000000-0005-0000-0000-0000D40A0000}"/>
    <cellStyle name="Comma 10 2 2 3 5" xfId="36975" xr:uid="{00000000-0005-0000-0000-0000D50A0000}"/>
    <cellStyle name="Comma 10 2 2 4" xfId="11833" xr:uid="{00000000-0005-0000-0000-0000D60A0000}"/>
    <cellStyle name="Comma 10 2 2 5" xfId="15280" xr:uid="{00000000-0005-0000-0000-0000D70A0000}"/>
    <cellStyle name="Comma 10 2 2 6" xfId="29778" xr:uid="{00000000-0005-0000-0000-0000D80A0000}"/>
    <cellStyle name="Comma 10 2 2 7" xfId="30607" xr:uid="{00000000-0005-0000-0000-0000D90A0000}"/>
    <cellStyle name="Comma 10 2 2 8" xfId="31601" xr:uid="{00000000-0005-0000-0000-0000DA0A0000}"/>
    <cellStyle name="Comma 10 2 2 9" xfId="32243" xr:uid="{00000000-0005-0000-0000-0000DB0A0000}"/>
    <cellStyle name="Comma 10 2 3" xfId="6343" xr:uid="{00000000-0005-0000-0000-0000DC0A0000}"/>
    <cellStyle name="Comma 10 2 3 10" xfId="34344" xr:uid="{00000000-0005-0000-0000-0000DD0A0000}"/>
    <cellStyle name="Comma 10 2 3 11" xfId="36512" xr:uid="{00000000-0005-0000-0000-0000DE0A0000}"/>
    <cellStyle name="Comma 10 2 3 12" xfId="39008" xr:uid="{00000000-0005-0000-0000-0000DF0A0000}"/>
    <cellStyle name="Comma 10 2 3 13" xfId="42034" xr:uid="{00000000-0005-0000-0000-0000E00A0000}"/>
    <cellStyle name="Comma 10 2 3 14" xfId="43994" xr:uid="{00000000-0005-0000-0000-0000E10A0000}"/>
    <cellStyle name="Comma 10 2 3 15" xfId="8677" xr:uid="{00000000-0005-0000-0000-0000E20A0000}"/>
    <cellStyle name="Comma 10 2 3 2" xfId="12676" xr:uid="{00000000-0005-0000-0000-0000E30A0000}"/>
    <cellStyle name="Comma 10 2 3 2 2" xfId="31258" xr:uid="{00000000-0005-0000-0000-0000E40A0000}"/>
    <cellStyle name="Comma 10 2 3 2 3" xfId="33112" xr:uid="{00000000-0005-0000-0000-0000E50A0000}"/>
    <cellStyle name="Comma 10 2 3 2 4" xfId="34935" xr:uid="{00000000-0005-0000-0000-0000E60A0000}"/>
    <cellStyle name="Comma 10 2 3 2 5" xfId="37033" xr:uid="{00000000-0005-0000-0000-0000E70A0000}"/>
    <cellStyle name="Comma 10 2 3 2 6" xfId="40576" xr:uid="{00000000-0005-0000-0000-0000E80A0000}"/>
    <cellStyle name="Comma 10 2 3 2 7" xfId="43362" xr:uid="{00000000-0005-0000-0000-0000E90A0000}"/>
    <cellStyle name="Comma 10 2 3 2 8" xfId="43995" xr:uid="{00000000-0005-0000-0000-0000EA0A0000}"/>
    <cellStyle name="Comma 10 2 3 3" xfId="11893" xr:uid="{00000000-0005-0000-0000-0000EB0A0000}"/>
    <cellStyle name="Comma 10 2 3 4" xfId="15282" xr:uid="{00000000-0005-0000-0000-0000EC0A0000}"/>
    <cellStyle name="Comma 10 2 3 5" xfId="29780" xr:uid="{00000000-0005-0000-0000-0000ED0A0000}"/>
    <cellStyle name="Comma 10 2 3 6" xfId="30667" xr:uid="{00000000-0005-0000-0000-0000EE0A0000}"/>
    <cellStyle name="Comma 10 2 3 7" xfId="31603" xr:uid="{00000000-0005-0000-0000-0000EF0A0000}"/>
    <cellStyle name="Comma 10 2 3 8" xfId="32245" xr:uid="{00000000-0005-0000-0000-0000F00A0000}"/>
    <cellStyle name="Comma 10 2 3 9" xfId="33457" xr:uid="{00000000-0005-0000-0000-0000F10A0000}"/>
    <cellStyle name="Comma 10 2 4" xfId="12273" xr:uid="{00000000-0005-0000-0000-0000F20A0000}"/>
    <cellStyle name="Comma 10 2 4 2" xfId="31046" xr:uid="{00000000-0005-0000-0000-0000F30A0000}"/>
    <cellStyle name="Comma 10 2 4 2 2" xfId="41193" xr:uid="{00000000-0005-0000-0000-0000F40A0000}"/>
    <cellStyle name="Comma 10 2 4 2 3" xfId="43873" xr:uid="{00000000-0005-0000-0000-0000F50A0000}"/>
    <cellStyle name="Comma 10 2 4 2 4" xfId="43996" xr:uid="{00000000-0005-0000-0000-0000F60A0000}"/>
    <cellStyle name="Comma 10 2 4 3" xfId="32915" xr:uid="{00000000-0005-0000-0000-0000F70A0000}"/>
    <cellStyle name="Comma 10 2 4 4" xfId="34723" xr:uid="{00000000-0005-0000-0000-0000F80A0000}"/>
    <cellStyle name="Comma 10 2 4 5" xfId="36831" xr:uid="{00000000-0005-0000-0000-0000F90A0000}"/>
    <cellStyle name="Comma 10 2 4 6" xfId="39610" xr:uid="{00000000-0005-0000-0000-0000FA0A0000}"/>
    <cellStyle name="Comma 10 2 4 7" xfId="42545" xr:uid="{00000000-0005-0000-0000-0000FB0A0000}"/>
    <cellStyle name="Comma 10 2 4 8" xfId="43997" xr:uid="{00000000-0005-0000-0000-0000FC0A0000}"/>
    <cellStyle name="Comma 10 2 5" xfId="11680" xr:uid="{00000000-0005-0000-0000-0000FD0A0000}"/>
    <cellStyle name="Comma 10 2 5 2" xfId="39859" xr:uid="{00000000-0005-0000-0000-0000FE0A0000}"/>
    <cellStyle name="Comma 10 2 5 3" xfId="42758" xr:uid="{00000000-0005-0000-0000-0000FF0A0000}"/>
    <cellStyle name="Comma 10 2 5 4" xfId="43998" xr:uid="{00000000-0005-0000-0000-0000000B0000}"/>
    <cellStyle name="Comma 10 2 6" xfId="15279" xr:uid="{00000000-0005-0000-0000-0000010B0000}"/>
    <cellStyle name="Comma 10 2 7" xfId="29777" xr:uid="{00000000-0005-0000-0000-0000020B0000}"/>
    <cellStyle name="Comma 10 2 8" xfId="30455" xr:uid="{00000000-0005-0000-0000-0000030B0000}"/>
    <cellStyle name="Comma 10 2 9" xfId="31600" xr:uid="{00000000-0005-0000-0000-0000040B0000}"/>
    <cellStyle name="Comma 10 20" xfId="6533" xr:uid="{00000000-0005-0000-0000-0000050B0000}"/>
    <cellStyle name="Comma 10 3" xfId="4395" xr:uid="{00000000-0005-0000-0000-0000060B0000}"/>
    <cellStyle name="Comma 10 3 10" xfId="33458" xr:uid="{00000000-0005-0000-0000-0000070B0000}"/>
    <cellStyle name="Comma 10 3 11" xfId="34245" xr:uid="{00000000-0005-0000-0000-0000080B0000}"/>
    <cellStyle name="Comma 10 3 12" xfId="35578" xr:uid="{00000000-0005-0000-0000-0000090B0000}"/>
    <cellStyle name="Comma 10 3 13" xfId="36450" xr:uid="{00000000-0005-0000-0000-00000A0B0000}"/>
    <cellStyle name="Comma 10 3 14" xfId="38647" xr:uid="{00000000-0005-0000-0000-00000B0B0000}"/>
    <cellStyle name="Comma 10 3 15" xfId="41687" xr:uid="{00000000-0005-0000-0000-00000C0B0000}"/>
    <cellStyle name="Comma 10 3 16" xfId="43999" xr:uid="{00000000-0005-0000-0000-00000D0B0000}"/>
    <cellStyle name="Comma 10 3 17" xfId="8408" xr:uid="{00000000-0005-0000-0000-00000E0B0000}"/>
    <cellStyle name="Comma 10 3 2" xfId="5846" xr:uid="{00000000-0005-0000-0000-00000F0B0000}"/>
    <cellStyle name="Comma 10 3 2 10" xfId="34346" xr:uid="{00000000-0005-0000-0000-0000100B0000}"/>
    <cellStyle name="Comma 10 3 2 11" xfId="36514" xr:uid="{00000000-0005-0000-0000-0000110B0000}"/>
    <cellStyle name="Comma 10 3 2 12" xfId="39141" xr:uid="{00000000-0005-0000-0000-0000120B0000}"/>
    <cellStyle name="Comma 10 3 2 13" xfId="42149" xr:uid="{00000000-0005-0000-0000-0000130B0000}"/>
    <cellStyle name="Comma 10 3 2 14" xfId="44000" xr:uid="{00000000-0005-0000-0000-0000140B0000}"/>
    <cellStyle name="Comma 10 3 2 15" xfId="8679" xr:uid="{00000000-0005-0000-0000-0000150B0000}"/>
    <cellStyle name="Comma 10 3 2 2" xfId="12678" xr:uid="{00000000-0005-0000-0000-0000160B0000}"/>
    <cellStyle name="Comma 10 3 2 2 2" xfId="31260" xr:uid="{00000000-0005-0000-0000-0000170B0000}"/>
    <cellStyle name="Comma 10 3 2 2 3" xfId="33114" xr:uid="{00000000-0005-0000-0000-0000180B0000}"/>
    <cellStyle name="Comma 10 3 2 2 4" xfId="34937" xr:uid="{00000000-0005-0000-0000-0000190B0000}"/>
    <cellStyle name="Comma 10 3 2 2 5" xfId="37035" xr:uid="{00000000-0005-0000-0000-00001A0B0000}"/>
    <cellStyle name="Comma 10 3 2 2 6" xfId="40714" xr:uid="{00000000-0005-0000-0000-00001B0B0000}"/>
    <cellStyle name="Comma 10 3 2 2 7" xfId="43477" xr:uid="{00000000-0005-0000-0000-00001C0B0000}"/>
    <cellStyle name="Comma 10 3 2 2 8" xfId="44001" xr:uid="{00000000-0005-0000-0000-00001D0B0000}"/>
    <cellStyle name="Comma 10 3 2 3" xfId="11895" xr:uid="{00000000-0005-0000-0000-00001E0B0000}"/>
    <cellStyle name="Comma 10 3 2 4" xfId="15284" xr:uid="{00000000-0005-0000-0000-00001F0B0000}"/>
    <cellStyle name="Comma 10 3 2 5" xfId="29782" xr:uid="{00000000-0005-0000-0000-0000200B0000}"/>
    <cellStyle name="Comma 10 3 2 6" xfId="30669" xr:uid="{00000000-0005-0000-0000-0000210B0000}"/>
    <cellStyle name="Comma 10 3 2 7" xfId="31605" xr:uid="{00000000-0005-0000-0000-0000220B0000}"/>
    <cellStyle name="Comma 10 3 2 8" xfId="32247" xr:uid="{00000000-0005-0000-0000-0000230B0000}"/>
    <cellStyle name="Comma 10 3 2 9" xfId="33459" xr:uid="{00000000-0005-0000-0000-0000240B0000}"/>
    <cellStyle name="Comma 10 3 3" xfId="12516" xr:uid="{00000000-0005-0000-0000-0000250B0000}"/>
    <cellStyle name="Comma 10 3 3 2" xfId="31159" xr:uid="{00000000-0005-0000-0000-0000260B0000}"/>
    <cellStyle name="Comma 10 3 3 2 2" xfId="41021" xr:uid="{00000000-0005-0000-0000-0000270B0000}"/>
    <cellStyle name="Comma 10 3 3 2 3" xfId="43733" xr:uid="{00000000-0005-0000-0000-0000280B0000}"/>
    <cellStyle name="Comma 10 3 3 2 4" xfId="44002" xr:uid="{00000000-0005-0000-0000-0000290B0000}"/>
    <cellStyle name="Comma 10 3 3 3" xfId="33017" xr:uid="{00000000-0005-0000-0000-00002A0B0000}"/>
    <cellStyle name="Comma 10 3 3 4" xfId="34836" xr:uid="{00000000-0005-0000-0000-00002B0B0000}"/>
    <cellStyle name="Comma 10 3 3 5" xfId="36938" xr:uid="{00000000-0005-0000-0000-00002C0B0000}"/>
    <cellStyle name="Comma 10 3 3 6" xfId="39445" xr:uid="{00000000-0005-0000-0000-00002D0B0000}"/>
    <cellStyle name="Comma 10 3 3 7" xfId="42405" xr:uid="{00000000-0005-0000-0000-00002E0B0000}"/>
    <cellStyle name="Comma 10 3 3 8" xfId="44003" xr:uid="{00000000-0005-0000-0000-00002F0B0000}"/>
    <cellStyle name="Comma 10 3 4" xfId="11794" xr:uid="{00000000-0005-0000-0000-0000300B0000}"/>
    <cellStyle name="Comma 10 3 4 2" xfId="40166" xr:uid="{00000000-0005-0000-0000-0000310B0000}"/>
    <cellStyle name="Comma 10 3 4 3" xfId="43015" xr:uid="{00000000-0005-0000-0000-0000320B0000}"/>
    <cellStyle name="Comma 10 3 4 4" xfId="44004" xr:uid="{00000000-0005-0000-0000-0000330B0000}"/>
    <cellStyle name="Comma 10 3 5" xfId="15283" xr:uid="{00000000-0005-0000-0000-0000340B0000}"/>
    <cellStyle name="Comma 10 3 6" xfId="29781" xr:uid="{00000000-0005-0000-0000-0000350B0000}"/>
    <cellStyle name="Comma 10 3 7" xfId="30568" xr:uid="{00000000-0005-0000-0000-0000360B0000}"/>
    <cellStyle name="Comma 10 3 8" xfId="31604" xr:uid="{00000000-0005-0000-0000-0000370B0000}"/>
    <cellStyle name="Comma 10 3 9" xfId="32246" xr:uid="{00000000-0005-0000-0000-0000380B0000}"/>
    <cellStyle name="Comma 10 4" xfId="5708" xr:uid="{00000000-0005-0000-0000-0000390B0000}"/>
    <cellStyle name="Comma 10 4 10" xfId="34343" xr:uid="{00000000-0005-0000-0000-00003A0B0000}"/>
    <cellStyle name="Comma 10 4 11" xfId="36511" xr:uid="{00000000-0005-0000-0000-00003B0B0000}"/>
    <cellStyle name="Comma 10 4 12" xfId="38075" xr:uid="{00000000-0005-0000-0000-00003C0B0000}"/>
    <cellStyle name="Comma 10 4 13" xfId="41572" xr:uid="{00000000-0005-0000-0000-00003D0B0000}"/>
    <cellStyle name="Comma 10 4 14" xfId="44005" xr:uid="{00000000-0005-0000-0000-00003E0B0000}"/>
    <cellStyle name="Comma 10 4 15" xfId="8676" xr:uid="{00000000-0005-0000-0000-00003F0B0000}"/>
    <cellStyle name="Comma 10 4 2" xfId="12675" xr:uid="{00000000-0005-0000-0000-0000400B0000}"/>
    <cellStyle name="Comma 10 4 2 2" xfId="31257" xr:uid="{00000000-0005-0000-0000-0000410B0000}"/>
    <cellStyle name="Comma 10 4 2 3" xfId="33111" xr:uid="{00000000-0005-0000-0000-0000420B0000}"/>
    <cellStyle name="Comma 10 4 2 4" xfId="34934" xr:uid="{00000000-0005-0000-0000-0000430B0000}"/>
    <cellStyle name="Comma 10 4 2 5" xfId="37032" xr:uid="{00000000-0005-0000-0000-0000440B0000}"/>
    <cellStyle name="Comma 10 4 2 6" xfId="40031" xr:uid="{00000000-0005-0000-0000-0000450B0000}"/>
    <cellStyle name="Comma 10 4 2 7" xfId="42900" xr:uid="{00000000-0005-0000-0000-0000460B0000}"/>
    <cellStyle name="Comma 10 4 2 8" xfId="44006" xr:uid="{00000000-0005-0000-0000-0000470B0000}"/>
    <cellStyle name="Comma 10 4 3" xfId="11892" xr:uid="{00000000-0005-0000-0000-0000480B0000}"/>
    <cellStyle name="Comma 10 4 4" xfId="15285" xr:uid="{00000000-0005-0000-0000-0000490B0000}"/>
    <cellStyle name="Comma 10 4 5" xfId="29783" xr:uid="{00000000-0005-0000-0000-00004A0B0000}"/>
    <cellStyle name="Comma 10 4 6" xfId="30666" xr:uid="{00000000-0005-0000-0000-00004B0B0000}"/>
    <cellStyle name="Comma 10 4 7" xfId="31606" xr:uid="{00000000-0005-0000-0000-00004C0B0000}"/>
    <cellStyle name="Comma 10 4 8" xfId="32248" xr:uid="{00000000-0005-0000-0000-00004D0B0000}"/>
    <cellStyle name="Comma 10 4 9" xfId="33460" xr:uid="{00000000-0005-0000-0000-00004E0B0000}"/>
    <cellStyle name="Comma 10 5" xfId="6167" xr:uid="{00000000-0005-0000-0000-00004F0B0000}"/>
    <cellStyle name="Comma 10 5 10" xfId="34609" xr:uid="{00000000-0005-0000-0000-0000500B0000}"/>
    <cellStyle name="Comma 10 5 11" xfId="36737" xr:uid="{00000000-0005-0000-0000-0000510B0000}"/>
    <cellStyle name="Comma 10 5 12" xfId="38912" xr:uid="{00000000-0005-0000-0000-0000520B0000}"/>
    <cellStyle name="Comma 10 5 13" xfId="41943" xr:uid="{00000000-0005-0000-0000-0000530B0000}"/>
    <cellStyle name="Comma 10 5 14" xfId="44007" xr:uid="{00000000-0005-0000-0000-0000540B0000}"/>
    <cellStyle name="Comma 10 5 15" xfId="11495" xr:uid="{00000000-0005-0000-0000-0000550B0000}"/>
    <cellStyle name="Comma 10 5 2" xfId="15116" xr:uid="{00000000-0005-0000-0000-0000560B0000}"/>
    <cellStyle name="Comma 10 5 2 2" xfId="31523" xr:uid="{00000000-0005-0000-0000-0000570B0000}"/>
    <cellStyle name="Comma 10 5 2 3" xfId="33376" xr:uid="{00000000-0005-0000-0000-0000580B0000}"/>
    <cellStyle name="Comma 10 5 2 4" xfId="35200" xr:uid="{00000000-0005-0000-0000-0000590B0000}"/>
    <cellStyle name="Comma 10 5 2 5" xfId="37280" xr:uid="{00000000-0005-0000-0000-00005A0B0000}"/>
    <cellStyle name="Comma 10 5 2 6" xfId="40470" xr:uid="{00000000-0005-0000-0000-00005B0B0000}"/>
    <cellStyle name="Comma 10 5 2 7" xfId="43271" xr:uid="{00000000-0005-0000-0000-00005C0B0000}"/>
    <cellStyle name="Comma 10 5 2 8" xfId="44008" xr:uid="{00000000-0005-0000-0000-00005D0B0000}"/>
    <cellStyle name="Comma 10 5 3" xfId="12158" xr:uid="{00000000-0005-0000-0000-00005E0B0000}"/>
    <cellStyle name="Comma 10 5 4" xfId="15286" xr:uid="{00000000-0005-0000-0000-00005F0B0000}"/>
    <cellStyle name="Comma 10 5 5" xfId="29784" xr:uid="{00000000-0005-0000-0000-0000600B0000}"/>
    <cellStyle name="Comma 10 5 6" xfId="30932" xr:uid="{00000000-0005-0000-0000-0000610B0000}"/>
    <cellStyle name="Comma 10 5 7" xfId="31607" xr:uid="{00000000-0005-0000-0000-0000620B0000}"/>
    <cellStyle name="Comma 10 5 8" xfId="32249" xr:uid="{00000000-0005-0000-0000-0000630B0000}"/>
    <cellStyle name="Comma 10 5 9" xfId="33461" xr:uid="{00000000-0005-0000-0000-0000640B0000}"/>
    <cellStyle name="Comma 10 6" xfId="12235" xr:uid="{00000000-0005-0000-0000-0000650B0000}"/>
    <cellStyle name="Comma 10 6 2" xfId="31008" xr:uid="{00000000-0005-0000-0000-0000660B0000}"/>
    <cellStyle name="Comma 10 6 2 2" xfId="40883" xr:uid="{00000000-0005-0000-0000-0000670B0000}"/>
    <cellStyle name="Comma 10 6 2 3" xfId="43618" xr:uid="{00000000-0005-0000-0000-0000680B0000}"/>
    <cellStyle name="Comma 10 6 2 4" xfId="44009" xr:uid="{00000000-0005-0000-0000-0000690B0000}"/>
    <cellStyle name="Comma 10 6 3" xfId="32883" xr:uid="{00000000-0005-0000-0000-00006A0B0000}"/>
    <cellStyle name="Comma 10 6 4" xfId="34685" xr:uid="{00000000-0005-0000-0000-00006B0B0000}"/>
    <cellStyle name="Comma 10 6 5" xfId="36793" xr:uid="{00000000-0005-0000-0000-00006C0B0000}"/>
    <cellStyle name="Comma 10 6 6" xfId="39312" xr:uid="{00000000-0005-0000-0000-00006D0B0000}"/>
    <cellStyle name="Comma 10 6 7" xfId="42290" xr:uid="{00000000-0005-0000-0000-00006E0B0000}"/>
    <cellStyle name="Comma 10 6 8" xfId="44010" xr:uid="{00000000-0005-0000-0000-00006F0B0000}"/>
    <cellStyle name="Comma 10 7" xfId="11641" xr:uid="{00000000-0005-0000-0000-0000700B0000}"/>
    <cellStyle name="Comma 10 7 2" xfId="39777" xr:uid="{00000000-0005-0000-0000-0000710B0000}"/>
    <cellStyle name="Comma 10 7 3" xfId="42685" xr:uid="{00000000-0005-0000-0000-0000720B0000}"/>
    <cellStyle name="Comma 10 7 4" xfId="44011" xr:uid="{00000000-0005-0000-0000-0000730B0000}"/>
    <cellStyle name="Comma 10 8" xfId="15278" xr:uid="{00000000-0005-0000-0000-0000740B0000}"/>
    <cellStyle name="Comma 10 9" xfId="29776" xr:uid="{00000000-0005-0000-0000-0000750B0000}"/>
    <cellStyle name="Comma 11" xfId="2744" xr:uid="{00000000-0005-0000-0000-0000760B0000}"/>
    <cellStyle name="Comma 11 10" xfId="30418" xr:uid="{00000000-0005-0000-0000-0000770B0000}"/>
    <cellStyle name="Comma 11 11" xfId="31608" xr:uid="{00000000-0005-0000-0000-0000780B0000}"/>
    <cellStyle name="Comma 11 12" xfId="32250" xr:uid="{00000000-0005-0000-0000-0000790B0000}"/>
    <cellStyle name="Comma 11 13" xfId="33462" xr:uid="{00000000-0005-0000-0000-00007A0B0000}"/>
    <cellStyle name="Comma 11 14" xfId="34095" xr:uid="{00000000-0005-0000-0000-00007B0B0000}"/>
    <cellStyle name="Comma 11 15" xfId="35306" xr:uid="{00000000-0005-0000-0000-00007C0B0000}"/>
    <cellStyle name="Comma 11 16" xfId="36169" xr:uid="{00000000-0005-0000-0000-00007D0B0000}"/>
    <cellStyle name="Comma 11 17" xfId="37411" xr:uid="{00000000-0005-0000-0000-00007E0B0000}"/>
    <cellStyle name="Comma 11 18" xfId="41358" xr:uid="{00000000-0005-0000-0000-00007F0B0000}"/>
    <cellStyle name="Comma 11 19" xfId="44012" xr:uid="{00000000-0005-0000-0000-0000800B0000}"/>
    <cellStyle name="Comma 11 2" xfId="5055" xr:uid="{00000000-0005-0000-0000-0000810B0000}"/>
    <cellStyle name="Comma 11 2 10" xfId="32251" xr:uid="{00000000-0005-0000-0000-0000820B0000}"/>
    <cellStyle name="Comma 11 2 11" xfId="33463" xr:uid="{00000000-0005-0000-0000-0000830B0000}"/>
    <cellStyle name="Comma 11 2 12" xfId="34133" xr:uid="{00000000-0005-0000-0000-0000840B0000}"/>
    <cellStyle name="Comma 11 2 13" xfId="36010" xr:uid="{00000000-0005-0000-0000-0000850B0000}"/>
    <cellStyle name="Comma 11 2 14" xfId="36310" xr:uid="{00000000-0005-0000-0000-0000860B0000}"/>
    <cellStyle name="Comma 11 2 15" xfId="37485" xr:uid="{00000000-0005-0000-0000-0000870B0000}"/>
    <cellStyle name="Comma 11 2 16" xfId="41431" xr:uid="{00000000-0005-0000-0000-0000880B0000}"/>
    <cellStyle name="Comma 11 2 17" xfId="44013" xr:uid="{00000000-0005-0000-0000-0000890B0000}"/>
    <cellStyle name="Comma 11 2 18" xfId="6646" xr:uid="{00000000-0005-0000-0000-00008A0B0000}"/>
    <cellStyle name="Comma 11 2 2" xfId="6024" xr:uid="{00000000-0005-0000-0000-00008B0B0000}"/>
    <cellStyle name="Comma 11 2 2 10" xfId="33464" xr:uid="{00000000-0005-0000-0000-00008C0B0000}"/>
    <cellStyle name="Comma 11 2 2 11" xfId="34285" xr:uid="{00000000-0005-0000-0000-00008D0B0000}"/>
    <cellStyle name="Comma 11 2 2 12" xfId="36475" xr:uid="{00000000-0005-0000-0000-00008E0B0000}"/>
    <cellStyle name="Comma 11 2 2 13" xfId="38789" xr:uid="{00000000-0005-0000-0000-00008F0B0000}"/>
    <cellStyle name="Comma 11 2 2 14" xfId="41828" xr:uid="{00000000-0005-0000-0000-0000900B0000}"/>
    <cellStyle name="Comma 11 2 2 15" xfId="44014" xr:uid="{00000000-0005-0000-0000-0000910B0000}"/>
    <cellStyle name="Comma 11 2 2 16" xfId="8522" xr:uid="{00000000-0005-0000-0000-0000920B0000}"/>
    <cellStyle name="Comma 11 2 2 2" xfId="8682" xr:uid="{00000000-0005-0000-0000-0000930B0000}"/>
    <cellStyle name="Comma 11 2 2 2 10" xfId="34349" xr:uid="{00000000-0005-0000-0000-0000940B0000}"/>
    <cellStyle name="Comma 11 2 2 2 11" xfId="36517" xr:uid="{00000000-0005-0000-0000-0000950B0000}"/>
    <cellStyle name="Comma 11 2 2 2 12" xfId="40338" xr:uid="{00000000-0005-0000-0000-0000960B0000}"/>
    <cellStyle name="Comma 11 2 2 2 13" xfId="43156" xr:uid="{00000000-0005-0000-0000-0000970B0000}"/>
    <cellStyle name="Comma 11 2 2 2 14" xfId="44015" xr:uid="{00000000-0005-0000-0000-0000980B0000}"/>
    <cellStyle name="Comma 11 2 2 2 2" xfId="12681" xr:uid="{00000000-0005-0000-0000-0000990B0000}"/>
    <cellStyle name="Comma 11 2 2 2 2 2" xfId="31263" xr:uid="{00000000-0005-0000-0000-00009A0B0000}"/>
    <cellStyle name="Comma 11 2 2 2 2 3" xfId="33117" xr:uid="{00000000-0005-0000-0000-00009B0B0000}"/>
    <cellStyle name="Comma 11 2 2 2 2 4" xfId="34940" xr:uid="{00000000-0005-0000-0000-00009C0B0000}"/>
    <cellStyle name="Comma 11 2 2 2 2 5" xfId="37038" xr:uid="{00000000-0005-0000-0000-00009D0B0000}"/>
    <cellStyle name="Comma 11 2 2 2 3" xfId="11898" xr:uid="{00000000-0005-0000-0000-00009E0B0000}"/>
    <cellStyle name="Comma 11 2 2 2 4" xfId="15290" xr:uid="{00000000-0005-0000-0000-00009F0B0000}"/>
    <cellStyle name="Comma 11 2 2 2 5" xfId="29788" xr:uid="{00000000-0005-0000-0000-0000A00B0000}"/>
    <cellStyle name="Comma 11 2 2 2 6" xfId="30672" xr:uid="{00000000-0005-0000-0000-0000A10B0000}"/>
    <cellStyle name="Comma 11 2 2 2 7" xfId="31611" xr:uid="{00000000-0005-0000-0000-0000A20B0000}"/>
    <cellStyle name="Comma 11 2 2 2 8" xfId="32253" xr:uid="{00000000-0005-0000-0000-0000A30B0000}"/>
    <cellStyle name="Comma 11 2 2 2 9" xfId="33465" xr:uid="{00000000-0005-0000-0000-0000A40B0000}"/>
    <cellStyle name="Comma 11 2 2 3" xfId="12557" xr:uid="{00000000-0005-0000-0000-0000A50B0000}"/>
    <cellStyle name="Comma 11 2 2 3 2" xfId="31199" xr:uid="{00000000-0005-0000-0000-0000A60B0000}"/>
    <cellStyle name="Comma 11 2 2 3 3" xfId="33055" xr:uid="{00000000-0005-0000-0000-0000A70B0000}"/>
    <cellStyle name="Comma 11 2 2 3 4" xfId="34876" xr:uid="{00000000-0005-0000-0000-0000A80B0000}"/>
    <cellStyle name="Comma 11 2 2 3 5" xfId="36976" xr:uid="{00000000-0005-0000-0000-0000A90B0000}"/>
    <cellStyle name="Comma 11 2 2 4" xfId="11834" xr:uid="{00000000-0005-0000-0000-0000AA0B0000}"/>
    <cellStyle name="Comma 11 2 2 5" xfId="15289" xr:uid="{00000000-0005-0000-0000-0000AB0B0000}"/>
    <cellStyle name="Comma 11 2 2 6" xfId="29787" xr:uid="{00000000-0005-0000-0000-0000AC0B0000}"/>
    <cellStyle name="Comma 11 2 2 7" xfId="30608" xr:uid="{00000000-0005-0000-0000-0000AD0B0000}"/>
    <cellStyle name="Comma 11 2 2 8" xfId="31610" xr:uid="{00000000-0005-0000-0000-0000AE0B0000}"/>
    <cellStyle name="Comma 11 2 2 9" xfId="32252" xr:uid="{00000000-0005-0000-0000-0000AF0B0000}"/>
    <cellStyle name="Comma 11 2 3" xfId="6344" xr:uid="{00000000-0005-0000-0000-0000B00B0000}"/>
    <cellStyle name="Comma 11 2 3 10" xfId="34348" xr:uid="{00000000-0005-0000-0000-0000B10B0000}"/>
    <cellStyle name="Comma 11 2 3 11" xfId="36516" xr:uid="{00000000-0005-0000-0000-0000B20B0000}"/>
    <cellStyle name="Comma 11 2 3 12" xfId="39009" xr:uid="{00000000-0005-0000-0000-0000B30B0000}"/>
    <cellStyle name="Comma 11 2 3 13" xfId="42035" xr:uid="{00000000-0005-0000-0000-0000B40B0000}"/>
    <cellStyle name="Comma 11 2 3 14" xfId="44016" xr:uid="{00000000-0005-0000-0000-0000B50B0000}"/>
    <cellStyle name="Comma 11 2 3 15" xfId="8681" xr:uid="{00000000-0005-0000-0000-0000B60B0000}"/>
    <cellStyle name="Comma 11 2 3 2" xfId="12680" xr:uid="{00000000-0005-0000-0000-0000B70B0000}"/>
    <cellStyle name="Comma 11 2 3 2 2" xfId="31262" xr:uid="{00000000-0005-0000-0000-0000B80B0000}"/>
    <cellStyle name="Comma 11 2 3 2 3" xfId="33116" xr:uid="{00000000-0005-0000-0000-0000B90B0000}"/>
    <cellStyle name="Comma 11 2 3 2 4" xfId="34939" xr:uid="{00000000-0005-0000-0000-0000BA0B0000}"/>
    <cellStyle name="Comma 11 2 3 2 5" xfId="37037" xr:uid="{00000000-0005-0000-0000-0000BB0B0000}"/>
    <cellStyle name="Comma 11 2 3 2 6" xfId="40577" xr:uid="{00000000-0005-0000-0000-0000BC0B0000}"/>
    <cellStyle name="Comma 11 2 3 2 7" xfId="43363" xr:uid="{00000000-0005-0000-0000-0000BD0B0000}"/>
    <cellStyle name="Comma 11 2 3 2 8" xfId="44017" xr:uid="{00000000-0005-0000-0000-0000BE0B0000}"/>
    <cellStyle name="Comma 11 2 3 3" xfId="11897" xr:uid="{00000000-0005-0000-0000-0000BF0B0000}"/>
    <cellStyle name="Comma 11 2 3 4" xfId="15291" xr:uid="{00000000-0005-0000-0000-0000C00B0000}"/>
    <cellStyle name="Comma 11 2 3 5" xfId="29789" xr:uid="{00000000-0005-0000-0000-0000C10B0000}"/>
    <cellStyle name="Comma 11 2 3 6" xfId="30671" xr:uid="{00000000-0005-0000-0000-0000C20B0000}"/>
    <cellStyle name="Comma 11 2 3 7" xfId="31612" xr:uid="{00000000-0005-0000-0000-0000C30B0000}"/>
    <cellStyle name="Comma 11 2 3 8" xfId="32254" xr:uid="{00000000-0005-0000-0000-0000C40B0000}"/>
    <cellStyle name="Comma 11 2 3 9" xfId="33466" xr:uid="{00000000-0005-0000-0000-0000C50B0000}"/>
    <cellStyle name="Comma 11 2 4" xfId="12274" xr:uid="{00000000-0005-0000-0000-0000C60B0000}"/>
    <cellStyle name="Comma 11 2 4 2" xfId="31047" xr:uid="{00000000-0005-0000-0000-0000C70B0000}"/>
    <cellStyle name="Comma 11 2 4 2 2" xfId="41194" xr:uid="{00000000-0005-0000-0000-0000C80B0000}"/>
    <cellStyle name="Comma 11 2 4 2 3" xfId="43874" xr:uid="{00000000-0005-0000-0000-0000C90B0000}"/>
    <cellStyle name="Comma 11 2 4 2 4" xfId="44018" xr:uid="{00000000-0005-0000-0000-0000CA0B0000}"/>
    <cellStyle name="Comma 11 2 4 3" xfId="32916" xr:uid="{00000000-0005-0000-0000-0000CB0B0000}"/>
    <cellStyle name="Comma 11 2 4 4" xfId="34724" xr:uid="{00000000-0005-0000-0000-0000CC0B0000}"/>
    <cellStyle name="Comma 11 2 4 5" xfId="36832" xr:uid="{00000000-0005-0000-0000-0000CD0B0000}"/>
    <cellStyle name="Comma 11 2 4 6" xfId="39611" xr:uid="{00000000-0005-0000-0000-0000CE0B0000}"/>
    <cellStyle name="Comma 11 2 4 7" xfId="42546" xr:uid="{00000000-0005-0000-0000-0000CF0B0000}"/>
    <cellStyle name="Comma 11 2 4 8" xfId="44019" xr:uid="{00000000-0005-0000-0000-0000D00B0000}"/>
    <cellStyle name="Comma 11 2 5" xfId="11681" xr:uid="{00000000-0005-0000-0000-0000D10B0000}"/>
    <cellStyle name="Comma 11 2 5 2" xfId="39860" xr:uid="{00000000-0005-0000-0000-0000D20B0000}"/>
    <cellStyle name="Comma 11 2 5 3" xfId="42759" xr:uid="{00000000-0005-0000-0000-0000D30B0000}"/>
    <cellStyle name="Comma 11 2 5 4" xfId="44020" xr:uid="{00000000-0005-0000-0000-0000D40B0000}"/>
    <cellStyle name="Comma 11 2 6" xfId="15288" xr:uid="{00000000-0005-0000-0000-0000D50B0000}"/>
    <cellStyle name="Comma 11 2 7" xfId="29786" xr:uid="{00000000-0005-0000-0000-0000D60B0000}"/>
    <cellStyle name="Comma 11 2 8" xfId="30456" xr:uid="{00000000-0005-0000-0000-0000D70B0000}"/>
    <cellStyle name="Comma 11 2 9" xfId="31609" xr:uid="{00000000-0005-0000-0000-0000D80B0000}"/>
    <cellStyle name="Comma 11 20" xfId="6534" xr:uid="{00000000-0005-0000-0000-0000D90B0000}"/>
    <cellStyle name="Comma 11 3" xfId="4396" xr:uid="{00000000-0005-0000-0000-0000DA0B0000}"/>
    <cellStyle name="Comma 11 3 10" xfId="33467" xr:uid="{00000000-0005-0000-0000-0000DB0B0000}"/>
    <cellStyle name="Comma 11 3 11" xfId="34246" xr:uid="{00000000-0005-0000-0000-0000DC0B0000}"/>
    <cellStyle name="Comma 11 3 12" xfId="35579" xr:uid="{00000000-0005-0000-0000-0000DD0B0000}"/>
    <cellStyle name="Comma 11 3 13" xfId="36451" xr:uid="{00000000-0005-0000-0000-0000DE0B0000}"/>
    <cellStyle name="Comma 11 3 14" xfId="38648" xr:uid="{00000000-0005-0000-0000-0000DF0B0000}"/>
    <cellStyle name="Comma 11 3 15" xfId="41688" xr:uid="{00000000-0005-0000-0000-0000E00B0000}"/>
    <cellStyle name="Comma 11 3 16" xfId="44021" xr:uid="{00000000-0005-0000-0000-0000E10B0000}"/>
    <cellStyle name="Comma 11 3 17" xfId="8409" xr:uid="{00000000-0005-0000-0000-0000E20B0000}"/>
    <cellStyle name="Comma 11 3 2" xfId="5847" xr:uid="{00000000-0005-0000-0000-0000E30B0000}"/>
    <cellStyle name="Comma 11 3 2 10" xfId="34350" xr:uid="{00000000-0005-0000-0000-0000E40B0000}"/>
    <cellStyle name="Comma 11 3 2 11" xfId="36518" xr:uid="{00000000-0005-0000-0000-0000E50B0000}"/>
    <cellStyle name="Comma 11 3 2 12" xfId="39142" xr:uid="{00000000-0005-0000-0000-0000E60B0000}"/>
    <cellStyle name="Comma 11 3 2 13" xfId="42150" xr:uid="{00000000-0005-0000-0000-0000E70B0000}"/>
    <cellStyle name="Comma 11 3 2 14" xfId="44022" xr:uid="{00000000-0005-0000-0000-0000E80B0000}"/>
    <cellStyle name="Comma 11 3 2 15" xfId="8683" xr:uid="{00000000-0005-0000-0000-0000E90B0000}"/>
    <cellStyle name="Comma 11 3 2 2" xfId="12682" xr:uid="{00000000-0005-0000-0000-0000EA0B0000}"/>
    <cellStyle name="Comma 11 3 2 2 2" xfId="31264" xr:uid="{00000000-0005-0000-0000-0000EB0B0000}"/>
    <cellStyle name="Comma 11 3 2 2 3" xfId="33118" xr:uid="{00000000-0005-0000-0000-0000EC0B0000}"/>
    <cellStyle name="Comma 11 3 2 2 4" xfId="34941" xr:uid="{00000000-0005-0000-0000-0000ED0B0000}"/>
    <cellStyle name="Comma 11 3 2 2 5" xfId="37039" xr:uid="{00000000-0005-0000-0000-0000EE0B0000}"/>
    <cellStyle name="Comma 11 3 2 2 6" xfId="40715" xr:uid="{00000000-0005-0000-0000-0000EF0B0000}"/>
    <cellStyle name="Comma 11 3 2 2 7" xfId="43478" xr:uid="{00000000-0005-0000-0000-0000F00B0000}"/>
    <cellStyle name="Comma 11 3 2 2 8" xfId="44023" xr:uid="{00000000-0005-0000-0000-0000F10B0000}"/>
    <cellStyle name="Comma 11 3 2 3" xfId="11899" xr:uid="{00000000-0005-0000-0000-0000F20B0000}"/>
    <cellStyle name="Comma 11 3 2 4" xfId="15293" xr:uid="{00000000-0005-0000-0000-0000F30B0000}"/>
    <cellStyle name="Comma 11 3 2 5" xfId="29791" xr:uid="{00000000-0005-0000-0000-0000F40B0000}"/>
    <cellStyle name="Comma 11 3 2 6" xfId="30673" xr:uid="{00000000-0005-0000-0000-0000F50B0000}"/>
    <cellStyle name="Comma 11 3 2 7" xfId="31614" xr:uid="{00000000-0005-0000-0000-0000F60B0000}"/>
    <cellStyle name="Comma 11 3 2 8" xfId="32256" xr:uid="{00000000-0005-0000-0000-0000F70B0000}"/>
    <cellStyle name="Comma 11 3 2 9" xfId="33468" xr:uid="{00000000-0005-0000-0000-0000F80B0000}"/>
    <cellStyle name="Comma 11 3 3" xfId="12517" xr:uid="{00000000-0005-0000-0000-0000F90B0000}"/>
    <cellStyle name="Comma 11 3 3 2" xfId="31160" xr:uid="{00000000-0005-0000-0000-0000FA0B0000}"/>
    <cellStyle name="Comma 11 3 3 2 2" xfId="41022" xr:uid="{00000000-0005-0000-0000-0000FB0B0000}"/>
    <cellStyle name="Comma 11 3 3 2 3" xfId="43734" xr:uid="{00000000-0005-0000-0000-0000FC0B0000}"/>
    <cellStyle name="Comma 11 3 3 2 4" xfId="44024" xr:uid="{00000000-0005-0000-0000-0000FD0B0000}"/>
    <cellStyle name="Comma 11 3 3 3" xfId="33018" xr:uid="{00000000-0005-0000-0000-0000FE0B0000}"/>
    <cellStyle name="Comma 11 3 3 4" xfId="34837" xr:uid="{00000000-0005-0000-0000-0000FF0B0000}"/>
    <cellStyle name="Comma 11 3 3 5" xfId="36939" xr:uid="{00000000-0005-0000-0000-0000000C0000}"/>
    <cellStyle name="Comma 11 3 3 6" xfId="39446" xr:uid="{00000000-0005-0000-0000-0000010C0000}"/>
    <cellStyle name="Comma 11 3 3 7" xfId="42406" xr:uid="{00000000-0005-0000-0000-0000020C0000}"/>
    <cellStyle name="Comma 11 3 3 8" xfId="44025" xr:uid="{00000000-0005-0000-0000-0000030C0000}"/>
    <cellStyle name="Comma 11 3 4" xfId="11795" xr:uid="{00000000-0005-0000-0000-0000040C0000}"/>
    <cellStyle name="Comma 11 3 4 2" xfId="40167" xr:uid="{00000000-0005-0000-0000-0000050C0000}"/>
    <cellStyle name="Comma 11 3 4 3" xfId="43016" xr:uid="{00000000-0005-0000-0000-0000060C0000}"/>
    <cellStyle name="Comma 11 3 4 4" xfId="44026" xr:uid="{00000000-0005-0000-0000-0000070C0000}"/>
    <cellStyle name="Comma 11 3 5" xfId="15292" xr:uid="{00000000-0005-0000-0000-0000080C0000}"/>
    <cellStyle name="Comma 11 3 6" xfId="29790" xr:uid="{00000000-0005-0000-0000-0000090C0000}"/>
    <cellStyle name="Comma 11 3 7" xfId="30569" xr:uid="{00000000-0005-0000-0000-00000A0C0000}"/>
    <cellStyle name="Comma 11 3 8" xfId="31613" xr:uid="{00000000-0005-0000-0000-00000B0C0000}"/>
    <cellStyle name="Comma 11 3 9" xfId="32255" xr:uid="{00000000-0005-0000-0000-00000C0C0000}"/>
    <cellStyle name="Comma 11 4" xfId="5709" xr:uid="{00000000-0005-0000-0000-00000D0C0000}"/>
    <cellStyle name="Comma 11 4 10" xfId="34347" xr:uid="{00000000-0005-0000-0000-00000E0C0000}"/>
    <cellStyle name="Comma 11 4 11" xfId="36515" xr:uid="{00000000-0005-0000-0000-00000F0C0000}"/>
    <cellStyle name="Comma 11 4 12" xfId="38076" xr:uid="{00000000-0005-0000-0000-0000100C0000}"/>
    <cellStyle name="Comma 11 4 13" xfId="41573" xr:uid="{00000000-0005-0000-0000-0000110C0000}"/>
    <cellStyle name="Comma 11 4 14" xfId="44027" xr:uid="{00000000-0005-0000-0000-0000120C0000}"/>
    <cellStyle name="Comma 11 4 15" xfId="8680" xr:uid="{00000000-0005-0000-0000-0000130C0000}"/>
    <cellStyle name="Comma 11 4 2" xfId="12679" xr:uid="{00000000-0005-0000-0000-0000140C0000}"/>
    <cellStyle name="Comma 11 4 2 2" xfId="31261" xr:uid="{00000000-0005-0000-0000-0000150C0000}"/>
    <cellStyle name="Comma 11 4 2 3" xfId="33115" xr:uid="{00000000-0005-0000-0000-0000160C0000}"/>
    <cellStyle name="Comma 11 4 2 4" xfId="34938" xr:uid="{00000000-0005-0000-0000-0000170C0000}"/>
    <cellStyle name="Comma 11 4 2 5" xfId="37036" xr:uid="{00000000-0005-0000-0000-0000180C0000}"/>
    <cellStyle name="Comma 11 4 2 6" xfId="40032" xr:uid="{00000000-0005-0000-0000-0000190C0000}"/>
    <cellStyle name="Comma 11 4 2 7" xfId="42901" xr:uid="{00000000-0005-0000-0000-00001A0C0000}"/>
    <cellStyle name="Comma 11 4 2 8" xfId="44028" xr:uid="{00000000-0005-0000-0000-00001B0C0000}"/>
    <cellStyle name="Comma 11 4 3" xfId="11896" xr:uid="{00000000-0005-0000-0000-00001C0C0000}"/>
    <cellStyle name="Comma 11 4 4" xfId="15294" xr:uid="{00000000-0005-0000-0000-00001D0C0000}"/>
    <cellStyle name="Comma 11 4 5" xfId="29792" xr:uid="{00000000-0005-0000-0000-00001E0C0000}"/>
    <cellStyle name="Comma 11 4 6" xfId="30670" xr:uid="{00000000-0005-0000-0000-00001F0C0000}"/>
    <cellStyle name="Comma 11 4 7" xfId="31615" xr:uid="{00000000-0005-0000-0000-0000200C0000}"/>
    <cellStyle name="Comma 11 4 8" xfId="32257" xr:uid="{00000000-0005-0000-0000-0000210C0000}"/>
    <cellStyle name="Comma 11 4 9" xfId="33469" xr:uid="{00000000-0005-0000-0000-0000220C0000}"/>
    <cellStyle name="Comma 11 5" xfId="6168" xr:uid="{00000000-0005-0000-0000-0000230C0000}"/>
    <cellStyle name="Comma 11 5 10" xfId="34610" xr:uid="{00000000-0005-0000-0000-0000240C0000}"/>
    <cellStyle name="Comma 11 5 11" xfId="36738" xr:uid="{00000000-0005-0000-0000-0000250C0000}"/>
    <cellStyle name="Comma 11 5 12" xfId="38913" xr:uid="{00000000-0005-0000-0000-0000260C0000}"/>
    <cellStyle name="Comma 11 5 13" xfId="41944" xr:uid="{00000000-0005-0000-0000-0000270C0000}"/>
    <cellStyle name="Comma 11 5 14" xfId="44029" xr:uid="{00000000-0005-0000-0000-0000280C0000}"/>
    <cellStyle name="Comma 11 5 15" xfId="11496" xr:uid="{00000000-0005-0000-0000-0000290C0000}"/>
    <cellStyle name="Comma 11 5 2" xfId="15117" xr:uid="{00000000-0005-0000-0000-00002A0C0000}"/>
    <cellStyle name="Comma 11 5 2 2" xfId="31524" xr:uid="{00000000-0005-0000-0000-00002B0C0000}"/>
    <cellStyle name="Comma 11 5 2 3" xfId="33377" xr:uid="{00000000-0005-0000-0000-00002C0C0000}"/>
    <cellStyle name="Comma 11 5 2 4" xfId="35201" xr:uid="{00000000-0005-0000-0000-00002D0C0000}"/>
    <cellStyle name="Comma 11 5 2 5" xfId="37281" xr:uid="{00000000-0005-0000-0000-00002E0C0000}"/>
    <cellStyle name="Comma 11 5 2 6" xfId="40471" xr:uid="{00000000-0005-0000-0000-00002F0C0000}"/>
    <cellStyle name="Comma 11 5 2 7" xfId="43272" xr:uid="{00000000-0005-0000-0000-0000300C0000}"/>
    <cellStyle name="Comma 11 5 2 8" xfId="44030" xr:uid="{00000000-0005-0000-0000-0000310C0000}"/>
    <cellStyle name="Comma 11 5 3" xfId="12159" xr:uid="{00000000-0005-0000-0000-0000320C0000}"/>
    <cellStyle name="Comma 11 5 4" xfId="15295" xr:uid="{00000000-0005-0000-0000-0000330C0000}"/>
    <cellStyle name="Comma 11 5 5" xfId="29793" xr:uid="{00000000-0005-0000-0000-0000340C0000}"/>
    <cellStyle name="Comma 11 5 6" xfId="30933" xr:uid="{00000000-0005-0000-0000-0000350C0000}"/>
    <cellStyle name="Comma 11 5 7" xfId="31616" xr:uid="{00000000-0005-0000-0000-0000360C0000}"/>
    <cellStyle name="Comma 11 5 8" xfId="32258" xr:uid="{00000000-0005-0000-0000-0000370C0000}"/>
    <cellStyle name="Comma 11 5 9" xfId="33470" xr:uid="{00000000-0005-0000-0000-0000380C0000}"/>
    <cellStyle name="Comma 11 6" xfId="12236" xr:uid="{00000000-0005-0000-0000-0000390C0000}"/>
    <cellStyle name="Comma 11 6 2" xfId="31009" xr:uid="{00000000-0005-0000-0000-00003A0C0000}"/>
    <cellStyle name="Comma 11 6 2 2" xfId="40884" xr:uid="{00000000-0005-0000-0000-00003B0C0000}"/>
    <cellStyle name="Comma 11 6 2 3" xfId="43619" xr:uid="{00000000-0005-0000-0000-00003C0C0000}"/>
    <cellStyle name="Comma 11 6 2 4" xfId="44031" xr:uid="{00000000-0005-0000-0000-00003D0C0000}"/>
    <cellStyle name="Comma 11 6 3" xfId="32884" xr:uid="{00000000-0005-0000-0000-00003E0C0000}"/>
    <cellStyle name="Comma 11 6 4" xfId="34686" xr:uid="{00000000-0005-0000-0000-00003F0C0000}"/>
    <cellStyle name="Comma 11 6 5" xfId="36794" xr:uid="{00000000-0005-0000-0000-0000400C0000}"/>
    <cellStyle name="Comma 11 6 6" xfId="39313" xr:uid="{00000000-0005-0000-0000-0000410C0000}"/>
    <cellStyle name="Comma 11 6 7" xfId="42291" xr:uid="{00000000-0005-0000-0000-0000420C0000}"/>
    <cellStyle name="Comma 11 6 8" xfId="44032" xr:uid="{00000000-0005-0000-0000-0000430C0000}"/>
    <cellStyle name="Comma 11 7" xfId="11642" xr:uid="{00000000-0005-0000-0000-0000440C0000}"/>
    <cellStyle name="Comma 11 7 2" xfId="39778" xr:uid="{00000000-0005-0000-0000-0000450C0000}"/>
    <cellStyle name="Comma 11 7 3" xfId="42686" xr:uid="{00000000-0005-0000-0000-0000460C0000}"/>
    <cellStyle name="Comma 11 7 4" xfId="44033" xr:uid="{00000000-0005-0000-0000-0000470C0000}"/>
    <cellStyle name="Comma 11 8" xfId="15287" xr:uid="{00000000-0005-0000-0000-0000480C0000}"/>
    <cellStyle name="Comma 11 9" xfId="29785" xr:uid="{00000000-0005-0000-0000-0000490C0000}"/>
    <cellStyle name="Comma 12" xfId="2745" xr:uid="{00000000-0005-0000-0000-00004A0C0000}"/>
    <cellStyle name="Comma 12 10" xfId="30419" xr:uid="{00000000-0005-0000-0000-00004B0C0000}"/>
    <cellStyle name="Comma 12 11" xfId="31617" xr:uid="{00000000-0005-0000-0000-00004C0C0000}"/>
    <cellStyle name="Comma 12 12" xfId="32259" xr:uid="{00000000-0005-0000-0000-00004D0C0000}"/>
    <cellStyle name="Comma 12 13" xfId="33471" xr:uid="{00000000-0005-0000-0000-00004E0C0000}"/>
    <cellStyle name="Comma 12 14" xfId="34096" xr:uid="{00000000-0005-0000-0000-00004F0C0000}"/>
    <cellStyle name="Comma 12 15" xfId="35307" xr:uid="{00000000-0005-0000-0000-0000500C0000}"/>
    <cellStyle name="Comma 12 16" xfId="36170" xr:uid="{00000000-0005-0000-0000-0000510C0000}"/>
    <cellStyle name="Comma 12 17" xfId="37412" xr:uid="{00000000-0005-0000-0000-0000520C0000}"/>
    <cellStyle name="Comma 12 18" xfId="41359" xr:uid="{00000000-0005-0000-0000-0000530C0000}"/>
    <cellStyle name="Comma 12 19" xfId="44034" xr:uid="{00000000-0005-0000-0000-0000540C0000}"/>
    <cellStyle name="Comma 12 2" xfId="5056" xr:uid="{00000000-0005-0000-0000-0000550C0000}"/>
    <cellStyle name="Comma 12 2 10" xfId="32260" xr:uid="{00000000-0005-0000-0000-0000560C0000}"/>
    <cellStyle name="Comma 12 2 11" xfId="33472" xr:uid="{00000000-0005-0000-0000-0000570C0000}"/>
    <cellStyle name="Comma 12 2 12" xfId="34134" xr:uid="{00000000-0005-0000-0000-0000580C0000}"/>
    <cellStyle name="Comma 12 2 13" xfId="36011" xr:uid="{00000000-0005-0000-0000-0000590C0000}"/>
    <cellStyle name="Comma 12 2 14" xfId="36311" xr:uid="{00000000-0005-0000-0000-00005A0C0000}"/>
    <cellStyle name="Comma 12 2 15" xfId="37486" xr:uid="{00000000-0005-0000-0000-00005B0C0000}"/>
    <cellStyle name="Comma 12 2 16" xfId="41432" xr:uid="{00000000-0005-0000-0000-00005C0C0000}"/>
    <cellStyle name="Comma 12 2 17" xfId="44035" xr:uid="{00000000-0005-0000-0000-00005D0C0000}"/>
    <cellStyle name="Comma 12 2 18" xfId="6647" xr:uid="{00000000-0005-0000-0000-00005E0C0000}"/>
    <cellStyle name="Comma 12 2 2" xfId="6025" xr:uid="{00000000-0005-0000-0000-00005F0C0000}"/>
    <cellStyle name="Comma 12 2 2 10" xfId="33473" xr:uid="{00000000-0005-0000-0000-0000600C0000}"/>
    <cellStyle name="Comma 12 2 2 11" xfId="34286" xr:uid="{00000000-0005-0000-0000-0000610C0000}"/>
    <cellStyle name="Comma 12 2 2 12" xfId="36476" xr:uid="{00000000-0005-0000-0000-0000620C0000}"/>
    <cellStyle name="Comma 12 2 2 13" xfId="38790" xr:uid="{00000000-0005-0000-0000-0000630C0000}"/>
    <cellStyle name="Comma 12 2 2 14" xfId="41829" xr:uid="{00000000-0005-0000-0000-0000640C0000}"/>
    <cellStyle name="Comma 12 2 2 15" xfId="44036" xr:uid="{00000000-0005-0000-0000-0000650C0000}"/>
    <cellStyle name="Comma 12 2 2 16" xfId="8523" xr:uid="{00000000-0005-0000-0000-0000660C0000}"/>
    <cellStyle name="Comma 12 2 2 2" xfId="8686" xr:uid="{00000000-0005-0000-0000-0000670C0000}"/>
    <cellStyle name="Comma 12 2 2 2 10" xfId="34353" xr:uid="{00000000-0005-0000-0000-0000680C0000}"/>
    <cellStyle name="Comma 12 2 2 2 11" xfId="36521" xr:uid="{00000000-0005-0000-0000-0000690C0000}"/>
    <cellStyle name="Comma 12 2 2 2 12" xfId="40339" xr:uid="{00000000-0005-0000-0000-00006A0C0000}"/>
    <cellStyle name="Comma 12 2 2 2 13" xfId="43157" xr:uid="{00000000-0005-0000-0000-00006B0C0000}"/>
    <cellStyle name="Comma 12 2 2 2 14" xfId="44037" xr:uid="{00000000-0005-0000-0000-00006C0C0000}"/>
    <cellStyle name="Comma 12 2 2 2 2" xfId="12685" xr:uid="{00000000-0005-0000-0000-00006D0C0000}"/>
    <cellStyle name="Comma 12 2 2 2 2 2" xfId="31267" xr:uid="{00000000-0005-0000-0000-00006E0C0000}"/>
    <cellStyle name="Comma 12 2 2 2 2 3" xfId="33121" xr:uid="{00000000-0005-0000-0000-00006F0C0000}"/>
    <cellStyle name="Comma 12 2 2 2 2 4" xfId="34944" xr:uid="{00000000-0005-0000-0000-0000700C0000}"/>
    <cellStyle name="Comma 12 2 2 2 2 5" xfId="37042" xr:uid="{00000000-0005-0000-0000-0000710C0000}"/>
    <cellStyle name="Comma 12 2 2 2 3" xfId="11902" xr:uid="{00000000-0005-0000-0000-0000720C0000}"/>
    <cellStyle name="Comma 12 2 2 2 4" xfId="15299" xr:uid="{00000000-0005-0000-0000-0000730C0000}"/>
    <cellStyle name="Comma 12 2 2 2 5" xfId="29797" xr:uid="{00000000-0005-0000-0000-0000740C0000}"/>
    <cellStyle name="Comma 12 2 2 2 6" xfId="30676" xr:uid="{00000000-0005-0000-0000-0000750C0000}"/>
    <cellStyle name="Comma 12 2 2 2 7" xfId="31620" xr:uid="{00000000-0005-0000-0000-0000760C0000}"/>
    <cellStyle name="Comma 12 2 2 2 8" xfId="32262" xr:uid="{00000000-0005-0000-0000-0000770C0000}"/>
    <cellStyle name="Comma 12 2 2 2 9" xfId="33474" xr:uid="{00000000-0005-0000-0000-0000780C0000}"/>
    <cellStyle name="Comma 12 2 2 3" xfId="12558" xr:uid="{00000000-0005-0000-0000-0000790C0000}"/>
    <cellStyle name="Comma 12 2 2 3 2" xfId="31200" xr:uid="{00000000-0005-0000-0000-00007A0C0000}"/>
    <cellStyle name="Comma 12 2 2 3 3" xfId="33056" xr:uid="{00000000-0005-0000-0000-00007B0C0000}"/>
    <cellStyle name="Comma 12 2 2 3 4" xfId="34877" xr:uid="{00000000-0005-0000-0000-00007C0C0000}"/>
    <cellStyle name="Comma 12 2 2 3 5" xfId="36977" xr:uid="{00000000-0005-0000-0000-00007D0C0000}"/>
    <cellStyle name="Comma 12 2 2 4" xfId="11835" xr:uid="{00000000-0005-0000-0000-00007E0C0000}"/>
    <cellStyle name="Comma 12 2 2 5" xfId="15298" xr:uid="{00000000-0005-0000-0000-00007F0C0000}"/>
    <cellStyle name="Comma 12 2 2 6" xfId="29796" xr:uid="{00000000-0005-0000-0000-0000800C0000}"/>
    <cellStyle name="Comma 12 2 2 7" xfId="30609" xr:uid="{00000000-0005-0000-0000-0000810C0000}"/>
    <cellStyle name="Comma 12 2 2 8" xfId="31619" xr:uid="{00000000-0005-0000-0000-0000820C0000}"/>
    <cellStyle name="Comma 12 2 2 9" xfId="32261" xr:uid="{00000000-0005-0000-0000-0000830C0000}"/>
    <cellStyle name="Comma 12 2 3" xfId="6345" xr:uid="{00000000-0005-0000-0000-0000840C0000}"/>
    <cellStyle name="Comma 12 2 3 10" xfId="34352" xr:uid="{00000000-0005-0000-0000-0000850C0000}"/>
    <cellStyle name="Comma 12 2 3 11" xfId="36520" xr:uid="{00000000-0005-0000-0000-0000860C0000}"/>
    <cellStyle name="Comma 12 2 3 12" xfId="39010" xr:uid="{00000000-0005-0000-0000-0000870C0000}"/>
    <cellStyle name="Comma 12 2 3 13" xfId="42036" xr:uid="{00000000-0005-0000-0000-0000880C0000}"/>
    <cellStyle name="Comma 12 2 3 14" xfId="44038" xr:uid="{00000000-0005-0000-0000-0000890C0000}"/>
    <cellStyle name="Comma 12 2 3 15" xfId="8685" xr:uid="{00000000-0005-0000-0000-00008A0C0000}"/>
    <cellStyle name="Comma 12 2 3 2" xfId="12684" xr:uid="{00000000-0005-0000-0000-00008B0C0000}"/>
    <cellStyle name="Comma 12 2 3 2 2" xfId="31266" xr:uid="{00000000-0005-0000-0000-00008C0C0000}"/>
    <cellStyle name="Comma 12 2 3 2 3" xfId="33120" xr:uid="{00000000-0005-0000-0000-00008D0C0000}"/>
    <cellStyle name="Comma 12 2 3 2 4" xfId="34943" xr:uid="{00000000-0005-0000-0000-00008E0C0000}"/>
    <cellStyle name="Comma 12 2 3 2 5" xfId="37041" xr:uid="{00000000-0005-0000-0000-00008F0C0000}"/>
    <cellStyle name="Comma 12 2 3 2 6" xfId="40578" xr:uid="{00000000-0005-0000-0000-0000900C0000}"/>
    <cellStyle name="Comma 12 2 3 2 7" xfId="43364" xr:uid="{00000000-0005-0000-0000-0000910C0000}"/>
    <cellStyle name="Comma 12 2 3 2 8" xfId="44039" xr:uid="{00000000-0005-0000-0000-0000920C0000}"/>
    <cellStyle name="Comma 12 2 3 3" xfId="11901" xr:uid="{00000000-0005-0000-0000-0000930C0000}"/>
    <cellStyle name="Comma 12 2 3 4" xfId="15300" xr:uid="{00000000-0005-0000-0000-0000940C0000}"/>
    <cellStyle name="Comma 12 2 3 5" xfId="29798" xr:uid="{00000000-0005-0000-0000-0000950C0000}"/>
    <cellStyle name="Comma 12 2 3 6" xfId="30675" xr:uid="{00000000-0005-0000-0000-0000960C0000}"/>
    <cellStyle name="Comma 12 2 3 7" xfId="31621" xr:uid="{00000000-0005-0000-0000-0000970C0000}"/>
    <cellStyle name="Comma 12 2 3 8" xfId="32263" xr:uid="{00000000-0005-0000-0000-0000980C0000}"/>
    <cellStyle name="Comma 12 2 3 9" xfId="33475" xr:uid="{00000000-0005-0000-0000-0000990C0000}"/>
    <cellStyle name="Comma 12 2 4" xfId="12275" xr:uid="{00000000-0005-0000-0000-00009A0C0000}"/>
    <cellStyle name="Comma 12 2 4 2" xfId="31048" xr:uid="{00000000-0005-0000-0000-00009B0C0000}"/>
    <cellStyle name="Comma 12 2 4 2 2" xfId="41195" xr:uid="{00000000-0005-0000-0000-00009C0C0000}"/>
    <cellStyle name="Comma 12 2 4 2 3" xfId="43875" xr:uid="{00000000-0005-0000-0000-00009D0C0000}"/>
    <cellStyle name="Comma 12 2 4 2 4" xfId="44040" xr:uid="{00000000-0005-0000-0000-00009E0C0000}"/>
    <cellStyle name="Comma 12 2 4 3" xfId="32917" xr:uid="{00000000-0005-0000-0000-00009F0C0000}"/>
    <cellStyle name="Comma 12 2 4 4" xfId="34725" xr:uid="{00000000-0005-0000-0000-0000A00C0000}"/>
    <cellStyle name="Comma 12 2 4 5" xfId="36833" xr:uid="{00000000-0005-0000-0000-0000A10C0000}"/>
    <cellStyle name="Comma 12 2 4 6" xfId="39612" xr:uid="{00000000-0005-0000-0000-0000A20C0000}"/>
    <cellStyle name="Comma 12 2 4 7" xfId="42547" xr:uid="{00000000-0005-0000-0000-0000A30C0000}"/>
    <cellStyle name="Comma 12 2 4 8" xfId="44041" xr:uid="{00000000-0005-0000-0000-0000A40C0000}"/>
    <cellStyle name="Comma 12 2 5" xfId="11682" xr:uid="{00000000-0005-0000-0000-0000A50C0000}"/>
    <cellStyle name="Comma 12 2 5 2" xfId="39861" xr:uid="{00000000-0005-0000-0000-0000A60C0000}"/>
    <cellStyle name="Comma 12 2 5 3" xfId="42760" xr:uid="{00000000-0005-0000-0000-0000A70C0000}"/>
    <cellStyle name="Comma 12 2 5 4" xfId="44042" xr:uid="{00000000-0005-0000-0000-0000A80C0000}"/>
    <cellStyle name="Comma 12 2 6" xfId="15297" xr:uid="{00000000-0005-0000-0000-0000A90C0000}"/>
    <cellStyle name="Comma 12 2 7" xfId="29795" xr:uid="{00000000-0005-0000-0000-0000AA0C0000}"/>
    <cellStyle name="Comma 12 2 8" xfId="30457" xr:uid="{00000000-0005-0000-0000-0000AB0C0000}"/>
    <cellStyle name="Comma 12 2 9" xfId="31618" xr:uid="{00000000-0005-0000-0000-0000AC0C0000}"/>
    <cellStyle name="Comma 12 20" xfId="6535" xr:uid="{00000000-0005-0000-0000-0000AD0C0000}"/>
    <cellStyle name="Comma 12 3" xfId="4397" xr:uid="{00000000-0005-0000-0000-0000AE0C0000}"/>
    <cellStyle name="Comma 12 3 10" xfId="33476" xr:uid="{00000000-0005-0000-0000-0000AF0C0000}"/>
    <cellStyle name="Comma 12 3 11" xfId="34247" xr:uid="{00000000-0005-0000-0000-0000B00C0000}"/>
    <cellStyle name="Comma 12 3 12" xfId="35580" xr:uid="{00000000-0005-0000-0000-0000B10C0000}"/>
    <cellStyle name="Comma 12 3 13" xfId="36452" xr:uid="{00000000-0005-0000-0000-0000B20C0000}"/>
    <cellStyle name="Comma 12 3 14" xfId="38649" xr:uid="{00000000-0005-0000-0000-0000B30C0000}"/>
    <cellStyle name="Comma 12 3 15" xfId="41689" xr:uid="{00000000-0005-0000-0000-0000B40C0000}"/>
    <cellStyle name="Comma 12 3 16" xfId="44043" xr:uid="{00000000-0005-0000-0000-0000B50C0000}"/>
    <cellStyle name="Comma 12 3 17" xfId="8410" xr:uid="{00000000-0005-0000-0000-0000B60C0000}"/>
    <cellStyle name="Comma 12 3 2" xfId="5848" xr:uid="{00000000-0005-0000-0000-0000B70C0000}"/>
    <cellStyle name="Comma 12 3 2 10" xfId="34354" xr:uid="{00000000-0005-0000-0000-0000B80C0000}"/>
    <cellStyle name="Comma 12 3 2 11" xfId="36522" xr:uid="{00000000-0005-0000-0000-0000B90C0000}"/>
    <cellStyle name="Comma 12 3 2 12" xfId="39143" xr:uid="{00000000-0005-0000-0000-0000BA0C0000}"/>
    <cellStyle name="Comma 12 3 2 13" xfId="42151" xr:uid="{00000000-0005-0000-0000-0000BB0C0000}"/>
    <cellStyle name="Comma 12 3 2 14" xfId="44044" xr:uid="{00000000-0005-0000-0000-0000BC0C0000}"/>
    <cellStyle name="Comma 12 3 2 15" xfId="8687" xr:uid="{00000000-0005-0000-0000-0000BD0C0000}"/>
    <cellStyle name="Comma 12 3 2 2" xfId="12686" xr:uid="{00000000-0005-0000-0000-0000BE0C0000}"/>
    <cellStyle name="Comma 12 3 2 2 2" xfId="31268" xr:uid="{00000000-0005-0000-0000-0000BF0C0000}"/>
    <cellStyle name="Comma 12 3 2 2 3" xfId="33122" xr:uid="{00000000-0005-0000-0000-0000C00C0000}"/>
    <cellStyle name="Comma 12 3 2 2 4" xfId="34945" xr:uid="{00000000-0005-0000-0000-0000C10C0000}"/>
    <cellStyle name="Comma 12 3 2 2 5" xfId="37043" xr:uid="{00000000-0005-0000-0000-0000C20C0000}"/>
    <cellStyle name="Comma 12 3 2 2 6" xfId="40716" xr:uid="{00000000-0005-0000-0000-0000C30C0000}"/>
    <cellStyle name="Comma 12 3 2 2 7" xfId="43479" xr:uid="{00000000-0005-0000-0000-0000C40C0000}"/>
    <cellStyle name="Comma 12 3 2 2 8" xfId="44045" xr:uid="{00000000-0005-0000-0000-0000C50C0000}"/>
    <cellStyle name="Comma 12 3 2 3" xfId="11903" xr:uid="{00000000-0005-0000-0000-0000C60C0000}"/>
    <cellStyle name="Comma 12 3 2 4" xfId="15302" xr:uid="{00000000-0005-0000-0000-0000C70C0000}"/>
    <cellStyle name="Comma 12 3 2 5" xfId="29800" xr:uid="{00000000-0005-0000-0000-0000C80C0000}"/>
    <cellStyle name="Comma 12 3 2 6" xfId="30677" xr:uid="{00000000-0005-0000-0000-0000C90C0000}"/>
    <cellStyle name="Comma 12 3 2 7" xfId="31623" xr:uid="{00000000-0005-0000-0000-0000CA0C0000}"/>
    <cellStyle name="Comma 12 3 2 8" xfId="32265" xr:uid="{00000000-0005-0000-0000-0000CB0C0000}"/>
    <cellStyle name="Comma 12 3 2 9" xfId="33477" xr:uid="{00000000-0005-0000-0000-0000CC0C0000}"/>
    <cellStyle name="Comma 12 3 3" xfId="12518" xr:uid="{00000000-0005-0000-0000-0000CD0C0000}"/>
    <cellStyle name="Comma 12 3 3 2" xfId="31161" xr:uid="{00000000-0005-0000-0000-0000CE0C0000}"/>
    <cellStyle name="Comma 12 3 3 2 2" xfId="41023" xr:uid="{00000000-0005-0000-0000-0000CF0C0000}"/>
    <cellStyle name="Comma 12 3 3 2 3" xfId="43735" xr:uid="{00000000-0005-0000-0000-0000D00C0000}"/>
    <cellStyle name="Comma 12 3 3 2 4" xfId="44046" xr:uid="{00000000-0005-0000-0000-0000D10C0000}"/>
    <cellStyle name="Comma 12 3 3 3" xfId="33019" xr:uid="{00000000-0005-0000-0000-0000D20C0000}"/>
    <cellStyle name="Comma 12 3 3 4" xfId="34838" xr:uid="{00000000-0005-0000-0000-0000D30C0000}"/>
    <cellStyle name="Comma 12 3 3 5" xfId="36940" xr:uid="{00000000-0005-0000-0000-0000D40C0000}"/>
    <cellStyle name="Comma 12 3 3 6" xfId="39447" xr:uid="{00000000-0005-0000-0000-0000D50C0000}"/>
    <cellStyle name="Comma 12 3 3 7" xfId="42407" xr:uid="{00000000-0005-0000-0000-0000D60C0000}"/>
    <cellStyle name="Comma 12 3 3 8" xfId="44047" xr:uid="{00000000-0005-0000-0000-0000D70C0000}"/>
    <cellStyle name="Comma 12 3 4" xfId="11796" xr:uid="{00000000-0005-0000-0000-0000D80C0000}"/>
    <cellStyle name="Comma 12 3 4 2" xfId="40168" xr:uid="{00000000-0005-0000-0000-0000D90C0000}"/>
    <cellStyle name="Comma 12 3 4 3" xfId="43017" xr:uid="{00000000-0005-0000-0000-0000DA0C0000}"/>
    <cellStyle name="Comma 12 3 4 4" xfId="44048" xr:uid="{00000000-0005-0000-0000-0000DB0C0000}"/>
    <cellStyle name="Comma 12 3 5" xfId="15301" xr:uid="{00000000-0005-0000-0000-0000DC0C0000}"/>
    <cellStyle name="Comma 12 3 6" xfId="29799" xr:uid="{00000000-0005-0000-0000-0000DD0C0000}"/>
    <cellStyle name="Comma 12 3 7" xfId="30570" xr:uid="{00000000-0005-0000-0000-0000DE0C0000}"/>
    <cellStyle name="Comma 12 3 8" xfId="31622" xr:uid="{00000000-0005-0000-0000-0000DF0C0000}"/>
    <cellStyle name="Comma 12 3 9" xfId="32264" xr:uid="{00000000-0005-0000-0000-0000E00C0000}"/>
    <cellStyle name="Comma 12 4" xfId="5710" xr:uid="{00000000-0005-0000-0000-0000E10C0000}"/>
    <cellStyle name="Comma 12 4 10" xfId="34351" xr:uid="{00000000-0005-0000-0000-0000E20C0000}"/>
    <cellStyle name="Comma 12 4 11" xfId="36519" xr:uid="{00000000-0005-0000-0000-0000E30C0000}"/>
    <cellStyle name="Comma 12 4 12" xfId="38077" xr:uid="{00000000-0005-0000-0000-0000E40C0000}"/>
    <cellStyle name="Comma 12 4 13" xfId="41574" xr:uid="{00000000-0005-0000-0000-0000E50C0000}"/>
    <cellStyle name="Comma 12 4 14" xfId="44049" xr:uid="{00000000-0005-0000-0000-0000E60C0000}"/>
    <cellStyle name="Comma 12 4 15" xfId="8684" xr:uid="{00000000-0005-0000-0000-0000E70C0000}"/>
    <cellStyle name="Comma 12 4 2" xfId="12683" xr:uid="{00000000-0005-0000-0000-0000E80C0000}"/>
    <cellStyle name="Comma 12 4 2 2" xfId="31265" xr:uid="{00000000-0005-0000-0000-0000E90C0000}"/>
    <cellStyle name="Comma 12 4 2 3" xfId="33119" xr:uid="{00000000-0005-0000-0000-0000EA0C0000}"/>
    <cellStyle name="Comma 12 4 2 4" xfId="34942" xr:uid="{00000000-0005-0000-0000-0000EB0C0000}"/>
    <cellStyle name="Comma 12 4 2 5" xfId="37040" xr:uid="{00000000-0005-0000-0000-0000EC0C0000}"/>
    <cellStyle name="Comma 12 4 2 6" xfId="40033" xr:uid="{00000000-0005-0000-0000-0000ED0C0000}"/>
    <cellStyle name="Comma 12 4 2 7" xfId="42902" xr:uid="{00000000-0005-0000-0000-0000EE0C0000}"/>
    <cellStyle name="Comma 12 4 2 8" xfId="44050" xr:uid="{00000000-0005-0000-0000-0000EF0C0000}"/>
    <cellStyle name="Comma 12 4 3" xfId="11900" xr:uid="{00000000-0005-0000-0000-0000F00C0000}"/>
    <cellStyle name="Comma 12 4 4" xfId="15303" xr:uid="{00000000-0005-0000-0000-0000F10C0000}"/>
    <cellStyle name="Comma 12 4 5" xfId="29801" xr:uid="{00000000-0005-0000-0000-0000F20C0000}"/>
    <cellStyle name="Comma 12 4 6" xfId="30674" xr:uid="{00000000-0005-0000-0000-0000F30C0000}"/>
    <cellStyle name="Comma 12 4 7" xfId="31624" xr:uid="{00000000-0005-0000-0000-0000F40C0000}"/>
    <cellStyle name="Comma 12 4 8" xfId="32266" xr:uid="{00000000-0005-0000-0000-0000F50C0000}"/>
    <cellStyle name="Comma 12 4 9" xfId="33478" xr:uid="{00000000-0005-0000-0000-0000F60C0000}"/>
    <cellStyle name="Comma 12 5" xfId="6169" xr:uid="{00000000-0005-0000-0000-0000F70C0000}"/>
    <cellStyle name="Comma 12 5 10" xfId="34611" xr:uid="{00000000-0005-0000-0000-0000F80C0000}"/>
    <cellStyle name="Comma 12 5 11" xfId="36739" xr:uid="{00000000-0005-0000-0000-0000F90C0000}"/>
    <cellStyle name="Comma 12 5 12" xfId="38914" xr:uid="{00000000-0005-0000-0000-0000FA0C0000}"/>
    <cellStyle name="Comma 12 5 13" xfId="41945" xr:uid="{00000000-0005-0000-0000-0000FB0C0000}"/>
    <cellStyle name="Comma 12 5 14" xfId="44051" xr:uid="{00000000-0005-0000-0000-0000FC0C0000}"/>
    <cellStyle name="Comma 12 5 15" xfId="11497" xr:uid="{00000000-0005-0000-0000-0000FD0C0000}"/>
    <cellStyle name="Comma 12 5 2" xfId="15118" xr:uid="{00000000-0005-0000-0000-0000FE0C0000}"/>
    <cellStyle name="Comma 12 5 2 2" xfId="31525" xr:uid="{00000000-0005-0000-0000-0000FF0C0000}"/>
    <cellStyle name="Comma 12 5 2 3" xfId="33378" xr:uid="{00000000-0005-0000-0000-0000000D0000}"/>
    <cellStyle name="Comma 12 5 2 4" xfId="35202" xr:uid="{00000000-0005-0000-0000-0000010D0000}"/>
    <cellStyle name="Comma 12 5 2 5" xfId="37282" xr:uid="{00000000-0005-0000-0000-0000020D0000}"/>
    <cellStyle name="Comma 12 5 2 6" xfId="40472" xr:uid="{00000000-0005-0000-0000-0000030D0000}"/>
    <cellStyle name="Comma 12 5 2 7" xfId="43273" xr:uid="{00000000-0005-0000-0000-0000040D0000}"/>
    <cellStyle name="Comma 12 5 2 8" xfId="44052" xr:uid="{00000000-0005-0000-0000-0000050D0000}"/>
    <cellStyle name="Comma 12 5 3" xfId="12160" xr:uid="{00000000-0005-0000-0000-0000060D0000}"/>
    <cellStyle name="Comma 12 5 4" xfId="15304" xr:uid="{00000000-0005-0000-0000-0000070D0000}"/>
    <cellStyle name="Comma 12 5 5" xfId="29802" xr:uid="{00000000-0005-0000-0000-0000080D0000}"/>
    <cellStyle name="Comma 12 5 6" xfId="30934" xr:uid="{00000000-0005-0000-0000-0000090D0000}"/>
    <cellStyle name="Comma 12 5 7" xfId="31625" xr:uid="{00000000-0005-0000-0000-00000A0D0000}"/>
    <cellStyle name="Comma 12 5 8" xfId="32267" xr:uid="{00000000-0005-0000-0000-00000B0D0000}"/>
    <cellStyle name="Comma 12 5 9" xfId="33479" xr:uid="{00000000-0005-0000-0000-00000C0D0000}"/>
    <cellStyle name="Comma 12 6" xfId="12237" xr:uid="{00000000-0005-0000-0000-00000D0D0000}"/>
    <cellStyle name="Comma 12 6 2" xfId="31010" xr:uid="{00000000-0005-0000-0000-00000E0D0000}"/>
    <cellStyle name="Comma 12 6 2 2" xfId="40885" xr:uid="{00000000-0005-0000-0000-00000F0D0000}"/>
    <cellStyle name="Comma 12 6 2 3" xfId="43620" xr:uid="{00000000-0005-0000-0000-0000100D0000}"/>
    <cellStyle name="Comma 12 6 2 4" xfId="44053" xr:uid="{00000000-0005-0000-0000-0000110D0000}"/>
    <cellStyle name="Comma 12 6 3" xfId="32885" xr:uid="{00000000-0005-0000-0000-0000120D0000}"/>
    <cellStyle name="Comma 12 6 4" xfId="34687" xr:uid="{00000000-0005-0000-0000-0000130D0000}"/>
    <cellStyle name="Comma 12 6 5" xfId="36795" xr:uid="{00000000-0005-0000-0000-0000140D0000}"/>
    <cellStyle name="Comma 12 6 6" xfId="39314" xr:uid="{00000000-0005-0000-0000-0000150D0000}"/>
    <cellStyle name="Comma 12 6 7" xfId="42292" xr:uid="{00000000-0005-0000-0000-0000160D0000}"/>
    <cellStyle name="Comma 12 6 8" xfId="44054" xr:uid="{00000000-0005-0000-0000-0000170D0000}"/>
    <cellStyle name="Comma 12 7" xfId="11643" xr:uid="{00000000-0005-0000-0000-0000180D0000}"/>
    <cellStyle name="Comma 12 7 2" xfId="39779" xr:uid="{00000000-0005-0000-0000-0000190D0000}"/>
    <cellStyle name="Comma 12 7 3" xfId="42687" xr:uid="{00000000-0005-0000-0000-00001A0D0000}"/>
    <cellStyle name="Comma 12 7 4" xfId="44055" xr:uid="{00000000-0005-0000-0000-00001B0D0000}"/>
    <cellStyle name="Comma 12 8" xfId="15296" xr:uid="{00000000-0005-0000-0000-00001C0D0000}"/>
    <cellStyle name="Comma 12 9" xfId="29794" xr:uid="{00000000-0005-0000-0000-00001D0D0000}"/>
    <cellStyle name="Comma 13" xfId="2746" xr:uid="{00000000-0005-0000-0000-00001E0D0000}"/>
    <cellStyle name="Comma 13 10" xfId="30420" xr:uid="{00000000-0005-0000-0000-00001F0D0000}"/>
    <cellStyle name="Comma 13 11" xfId="31626" xr:uid="{00000000-0005-0000-0000-0000200D0000}"/>
    <cellStyle name="Comma 13 12" xfId="32268" xr:uid="{00000000-0005-0000-0000-0000210D0000}"/>
    <cellStyle name="Comma 13 13" xfId="33480" xr:uid="{00000000-0005-0000-0000-0000220D0000}"/>
    <cellStyle name="Comma 13 14" xfId="34097" xr:uid="{00000000-0005-0000-0000-0000230D0000}"/>
    <cellStyle name="Comma 13 15" xfId="35308" xr:uid="{00000000-0005-0000-0000-0000240D0000}"/>
    <cellStyle name="Comma 13 16" xfId="36171" xr:uid="{00000000-0005-0000-0000-0000250D0000}"/>
    <cellStyle name="Comma 13 17" xfId="37413" xr:uid="{00000000-0005-0000-0000-0000260D0000}"/>
    <cellStyle name="Comma 13 18" xfId="41360" xr:uid="{00000000-0005-0000-0000-0000270D0000}"/>
    <cellStyle name="Comma 13 19" xfId="44056" xr:uid="{00000000-0005-0000-0000-0000280D0000}"/>
    <cellStyle name="Comma 13 2" xfId="5057" xr:uid="{00000000-0005-0000-0000-0000290D0000}"/>
    <cellStyle name="Comma 13 2 10" xfId="32269" xr:uid="{00000000-0005-0000-0000-00002A0D0000}"/>
    <cellStyle name="Comma 13 2 11" xfId="33481" xr:uid="{00000000-0005-0000-0000-00002B0D0000}"/>
    <cellStyle name="Comma 13 2 12" xfId="34135" xr:uid="{00000000-0005-0000-0000-00002C0D0000}"/>
    <cellStyle name="Comma 13 2 13" xfId="36012" xr:uid="{00000000-0005-0000-0000-00002D0D0000}"/>
    <cellStyle name="Comma 13 2 14" xfId="36312" xr:uid="{00000000-0005-0000-0000-00002E0D0000}"/>
    <cellStyle name="Comma 13 2 15" xfId="37487" xr:uid="{00000000-0005-0000-0000-00002F0D0000}"/>
    <cellStyle name="Comma 13 2 16" xfId="41433" xr:uid="{00000000-0005-0000-0000-0000300D0000}"/>
    <cellStyle name="Comma 13 2 17" xfId="44057" xr:uid="{00000000-0005-0000-0000-0000310D0000}"/>
    <cellStyle name="Comma 13 2 18" xfId="6648" xr:uid="{00000000-0005-0000-0000-0000320D0000}"/>
    <cellStyle name="Comma 13 2 2" xfId="6026" xr:uid="{00000000-0005-0000-0000-0000330D0000}"/>
    <cellStyle name="Comma 13 2 2 10" xfId="33482" xr:uid="{00000000-0005-0000-0000-0000340D0000}"/>
    <cellStyle name="Comma 13 2 2 11" xfId="34287" xr:uid="{00000000-0005-0000-0000-0000350D0000}"/>
    <cellStyle name="Comma 13 2 2 12" xfId="36477" xr:uid="{00000000-0005-0000-0000-0000360D0000}"/>
    <cellStyle name="Comma 13 2 2 13" xfId="38791" xr:uid="{00000000-0005-0000-0000-0000370D0000}"/>
    <cellStyle name="Comma 13 2 2 14" xfId="41830" xr:uid="{00000000-0005-0000-0000-0000380D0000}"/>
    <cellStyle name="Comma 13 2 2 15" xfId="44058" xr:uid="{00000000-0005-0000-0000-0000390D0000}"/>
    <cellStyle name="Comma 13 2 2 16" xfId="8524" xr:uid="{00000000-0005-0000-0000-00003A0D0000}"/>
    <cellStyle name="Comma 13 2 2 2" xfId="8690" xr:uid="{00000000-0005-0000-0000-00003B0D0000}"/>
    <cellStyle name="Comma 13 2 2 2 10" xfId="34357" xr:uid="{00000000-0005-0000-0000-00003C0D0000}"/>
    <cellStyle name="Comma 13 2 2 2 11" xfId="36525" xr:uid="{00000000-0005-0000-0000-00003D0D0000}"/>
    <cellStyle name="Comma 13 2 2 2 12" xfId="40340" xr:uid="{00000000-0005-0000-0000-00003E0D0000}"/>
    <cellStyle name="Comma 13 2 2 2 13" xfId="43158" xr:uid="{00000000-0005-0000-0000-00003F0D0000}"/>
    <cellStyle name="Comma 13 2 2 2 14" xfId="44059" xr:uid="{00000000-0005-0000-0000-0000400D0000}"/>
    <cellStyle name="Comma 13 2 2 2 2" xfId="12689" xr:uid="{00000000-0005-0000-0000-0000410D0000}"/>
    <cellStyle name="Comma 13 2 2 2 2 2" xfId="31271" xr:uid="{00000000-0005-0000-0000-0000420D0000}"/>
    <cellStyle name="Comma 13 2 2 2 2 3" xfId="33125" xr:uid="{00000000-0005-0000-0000-0000430D0000}"/>
    <cellStyle name="Comma 13 2 2 2 2 4" xfId="34948" xr:uid="{00000000-0005-0000-0000-0000440D0000}"/>
    <cellStyle name="Comma 13 2 2 2 2 5" xfId="37046" xr:uid="{00000000-0005-0000-0000-0000450D0000}"/>
    <cellStyle name="Comma 13 2 2 2 3" xfId="11906" xr:uid="{00000000-0005-0000-0000-0000460D0000}"/>
    <cellStyle name="Comma 13 2 2 2 4" xfId="15308" xr:uid="{00000000-0005-0000-0000-0000470D0000}"/>
    <cellStyle name="Comma 13 2 2 2 5" xfId="29806" xr:uid="{00000000-0005-0000-0000-0000480D0000}"/>
    <cellStyle name="Comma 13 2 2 2 6" xfId="30680" xr:uid="{00000000-0005-0000-0000-0000490D0000}"/>
    <cellStyle name="Comma 13 2 2 2 7" xfId="31629" xr:uid="{00000000-0005-0000-0000-00004A0D0000}"/>
    <cellStyle name="Comma 13 2 2 2 8" xfId="32271" xr:uid="{00000000-0005-0000-0000-00004B0D0000}"/>
    <cellStyle name="Comma 13 2 2 2 9" xfId="33483" xr:uid="{00000000-0005-0000-0000-00004C0D0000}"/>
    <cellStyle name="Comma 13 2 2 3" xfId="12559" xr:uid="{00000000-0005-0000-0000-00004D0D0000}"/>
    <cellStyle name="Comma 13 2 2 3 2" xfId="31201" xr:uid="{00000000-0005-0000-0000-00004E0D0000}"/>
    <cellStyle name="Comma 13 2 2 3 3" xfId="33057" xr:uid="{00000000-0005-0000-0000-00004F0D0000}"/>
    <cellStyle name="Comma 13 2 2 3 4" xfId="34878" xr:uid="{00000000-0005-0000-0000-0000500D0000}"/>
    <cellStyle name="Comma 13 2 2 3 5" xfId="36978" xr:uid="{00000000-0005-0000-0000-0000510D0000}"/>
    <cellStyle name="Comma 13 2 2 4" xfId="11836" xr:uid="{00000000-0005-0000-0000-0000520D0000}"/>
    <cellStyle name="Comma 13 2 2 5" xfId="15307" xr:uid="{00000000-0005-0000-0000-0000530D0000}"/>
    <cellStyle name="Comma 13 2 2 6" xfId="29805" xr:uid="{00000000-0005-0000-0000-0000540D0000}"/>
    <cellStyle name="Comma 13 2 2 7" xfId="30610" xr:uid="{00000000-0005-0000-0000-0000550D0000}"/>
    <cellStyle name="Comma 13 2 2 8" xfId="31628" xr:uid="{00000000-0005-0000-0000-0000560D0000}"/>
    <cellStyle name="Comma 13 2 2 9" xfId="32270" xr:uid="{00000000-0005-0000-0000-0000570D0000}"/>
    <cellStyle name="Comma 13 2 3" xfId="6346" xr:uid="{00000000-0005-0000-0000-0000580D0000}"/>
    <cellStyle name="Comma 13 2 3 10" xfId="34356" xr:uid="{00000000-0005-0000-0000-0000590D0000}"/>
    <cellStyle name="Comma 13 2 3 11" xfId="36524" xr:uid="{00000000-0005-0000-0000-00005A0D0000}"/>
    <cellStyle name="Comma 13 2 3 12" xfId="39011" xr:uid="{00000000-0005-0000-0000-00005B0D0000}"/>
    <cellStyle name="Comma 13 2 3 13" xfId="42037" xr:uid="{00000000-0005-0000-0000-00005C0D0000}"/>
    <cellStyle name="Comma 13 2 3 14" xfId="44060" xr:uid="{00000000-0005-0000-0000-00005D0D0000}"/>
    <cellStyle name="Comma 13 2 3 15" xfId="8689" xr:uid="{00000000-0005-0000-0000-00005E0D0000}"/>
    <cellStyle name="Comma 13 2 3 2" xfId="12688" xr:uid="{00000000-0005-0000-0000-00005F0D0000}"/>
    <cellStyle name="Comma 13 2 3 2 2" xfId="31270" xr:uid="{00000000-0005-0000-0000-0000600D0000}"/>
    <cellStyle name="Comma 13 2 3 2 3" xfId="33124" xr:uid="{00000000-0005-0000-0000-0000610D0000}"/>
    <cellStyle name="Comma 13 2 3 2 4" xfId="34947" xr:uid="{00000000-0005-0000-0000-0000620D0000}"/>
    <cellStyle name="Comma 13 2 3 2 5" xfId="37045" xr:uid="{00000000-0005-0000-0000-0000630D0000}"/>
    <cellStyle name="Comma 13 2 3 2 6" xfId="40579" xr:uid="{00000000-0005-0000-0000-0000640D0000}"/>
    <cellStyle name="Comma 13 2 3 2 7" xfId="43365" xr:uid="{00000000-0005-0000-0000-0000650D0000}"/>
    <cellStyle name="Comma 13 2 3 2 8" xfId="44061" xr:uid="{00000000-0005-0000-0000-0000660D0000}"/>
    <cellStyle name="Comma 13 2 3 3" xfId="11905" xr:uid="{00000000-0005-0000-0000-0000670D0000}"/>
    <cellStyle name="Comma 13 2 3 4" xfId="15309" xr:uid="{00000000-0005-0000-0000-0000680D0000}"/>
    <cellStyle name="Comma 13 2 3 5" xfId="29807" xr:uid="{00000000-0005-0000-0000-0000690D0000}"/>
    <cellStyle name="Comma 13 2 3 6" xfId="30679" xr:uid="{00000000-0005-0000-0000-00006A0D0000}"/>
    <cellStyle name="Comma 13 2 3 7" xfId="31630" xr:uid="{00000000-0005-0000-0000-00006B0D0000}"/>
    <cellStyle name="Comma 13 2 3 8" xfId="32272" xr:uid="{00000000-0005-0000-0000-00006C0D0000}"/>
    <cellStyle name="Comma 13 2 3 9" xfId="33484" xr:uid="{00000000-0005-0000-0000-00006D0D0000}"/>
    <cellStyle name="Comma 13 2 4" xfId="12276" xr:uid="{00000000-0005-0000-0000-00006E0D0000}"/>
    <cellStyle name="Comma 13 2 4 2" xfId="31049" xr:uid="{00000000-0005-0000-0000-00006F0D0000}"/>
    <cellStyle name="Comma 13 2 4 2 2" xfId="41196" xr:uid="{00000000-0005-0000-0000-0000700D0000}"/>
    <cellStyle name="Comma 13 2 4 2 3" xfId="43876" xr:uid="{00000000-0005-0000-0000-0000710D0000}"/>
    <cellStyle name="Comma 13 2 4 2 4" xfId="44062" xr:uid="{00000000-0005-0000-0000-0000720D0000}"/>
    <cellStyle name="Comma 13 2 4 3" xfId="32918" xr:uid="{00000000-0005-0000-0000-0000730D0000}"/>
    <cellStyle name="Comma 13 2 4 4" xfId="34726" xr:uid="{00000000-0005-0000-0000-0000740D0000}"/>
    <cellStyle name="Comma 13 2 4 5" xfId="36834" xr:uid="{00000000-0005-0000-0000-0000750D0000}"/>
    <cellStyle name="Comma 13 2 4 6" xfId="39613" xr:uid="{00000000-0005-0000-0000-0000760D0000}"/>
    <cellStyle name="Comma 13 2 4 7" xfId="42548" xr:uid="{00000000-0005-0000-0000-0000770D0000}"/>
    <cellStyle name="Comma 13 2 4 8" xfId="44063" xr:uid="{00000000-0005-0000-0000-0000780D0000}"/>
    <cellStyle name="Comma 13 2 5" xfId="11683" xr:uid="{00000000-0005-0000-0000-0000790D0000}"/>
    <cellStyle name="Comma 13 2 5 2" xfId="39862" xr:uid="{00000000-0005-0000-0000-00007A0D0000}"/>
    <cellStyle name="Comma 13 2 5 3" xfId="42761" xr:uid="{00000000-0005-0000-0000-00007B0D0000}"/>
    <cellStyle name="Comma 13 2 5 4" xfId="44064" xr:uid="{00000000-0005-0000-0000-00007C0D0000}"/>
    <cellStyle name="Comma 13 2 6" xfId="15306" xr:uid="{00000000-0005-0000-0000-00007D0D0000}"/>
    <cellStyle name="Comma 13 2 7" xfId="29804" xr:uid="{00000000-0005-0000-0000-00007E0D0000}"/>
    <cellStyle name="Comma 13 2 8" xfId="30458" xr:uid="{00000000-0005-0000-0000-00007F0D0000}"/>
    <cellStyle name="Comma 13 2 9" xfId="31627" xr:uid="{00000000-0005-0000-0000-0000800D0000}"/>
    <cellStyle name="Comma 13 20" xfId="6536" xr:uid="{00000000-0005-0000-0000-0000810D0000}"/>
    <cellStyle name="Comma 13 3" xfId="4398" xr:uid="{00000000-0005-0000-0000-0000820D0000}"/>
    <cellStyle name="Comma 13 3 10" xfId="33485" xr:uid="{00000000-0005-0000-0000-0000830D0000}"/>
    <cellStyle name="Comma 13 3 11" xfId="34248" xr:uid="{00000000-0005-0000-0000-0000840D0000}"/>
    <cellStyle name="Comma 13 3 12" xfId="35581" xr:uid="{00000000-0005-0000-0000-0000850D0000}"/>
    <cellStyle name="Comma 13 3 13" xfId="36453" xr:uid="{00000000-0005-0000-0000-0000860D0000}"/>
    <cellStyle name="Comma 13 3 14" xfId="38650" xr:uid="{00000000-0005-0000-0000-0000870D0000}"/>
    <cellStyle name="Comma 13 3 15" xfId="41690" xr:uid="{00000000-0005-0000-0000-0000880D0000}"/>
    <cellStyle name="Comma 13 3 16" xfId="44065" xr:uid="{00000000-0005-0000-0000-0000890D0000}"/>
    <cellStyle name="Comma 13 3 17" xfId="8411" xr:uid="{00000000-0005-0000-0000-00008A0D0000}"/>
    <cellStyle name="Comma 13 3 2" xfId="5849" xr:uid="{00000000-0005-0000-0000-00008B0D0000}"/>
    <cellStyle name="Comma 13 3 2 10" xfId="34358" xr:uid="{00000000-0005-0000-0000-00008C0D0000}"/>
    <cellStyle name="Comma 13 3 2 11" xfId="36526" xr:uid="{00000000-0005-0000-0000-00008D0D0000}"/>
    <cellStyle name="Comma 13 3 2 12" xfId="39144" xr:uid="{00000000-0005-0000-0000-00008E0D0000}"/>
    <cellStyle name="Comma 13 3 2 13" xfId="42152" xr:uid="{00000000-0005-0000-0000-00008F0D0000}"/>
    <cellStyle name="Comma 13 3 2 14" xfId="44066" xr:uid="{00000000-0005-0000-0000-0000900D0000}"/>
    <cellStyle name="Comma 13 3 2 15" xfId="8691" xr:uid="{00000000-0005-0000-0000-0000910D0000}"/>
    <cellStyle name="Comma 13 3 2 2" xfId="12690" xr:uid="{00000000-0005-0000-0000-0000920D0000}"/>
    <cellStyle name="Comma 13 3 2 2 2" xfId="31272" xr:uid="{00000000-0005-0000-0000-0000930D0000}"/>
    <cellStyle name="Comma 13 3 2 2 3" xfId="33126" xr:uid="{00000000-0005-0000-0000-0000940D0000}"/>
    <cellStyle name="Comma 13 3 2 2 4" xfId="34949" xr:uid="{00000000-0005-0000-0000-0000950D0000}"/>
    <cellStyle name="Comma 13 3 2 2 5" xfId="37047" xr:uid="{00000000-0005-0000-0000-0000960D0000}"/>
    <cellStyle name="Comma 13 3 2 2 6" xfId="40717" xr:uid="{00000000-0005-0000-0000-0000970D0000}"/>
    <cellStyle name="Comma 13 3 2 2 7" xfId="43480" xr:uid="{00000000-0005-0000-0000-0000980D0000}"/>
    <cellStyle name="Comma 13 3 2 2 8" xfId="44067" xr:uid="{00000000-0005-0000-0000-0000990D0000}"/>
    <cellStyle name="Comma 13 3 2 3" xfId="11907" xr:uid="{00000000-0005-0000-0000-00009A0D0000}"/>
    <cellStyle name="Comma 13 3 2 4" xfId="15311" xr:uid="{00000000-0005-0000-0000-00009B0D0000}"/>
    <cellStyle name="Comma 13 3 2 5" xfId="29809" xr:uid="{00000000-0005-0000-0000-00009C0D0000}"/>
    <cellStyle name="Comma 13 3 2 6" xfId="30681" xr:uid="{00000000-0005-0000-0000-00009D0D0000}"/>
    <cellStyle name="Comma 13 3 2 7" xfId="31632" xr:uid="{00000000-0005-0000-0000-00009E0D0000}"/>
    <cellStyle name="Comma 13 3 2 8" xfId="32274" xr:uid="{00000000-0005-0000-0000-00009F0D0000}"/>
    <cellStyle name="Comma 13 3 2 9" xfId="33486" xr:uid="{00000000-0005-0000-0000-0000A00D0000}"/>
    <cellStyle name="Comma 13 3 3" xfId="12519" xr:uid="{00000000-0005-0000-0000-0000A10D0000}"/>
    <cellStyle name="Comma 13 3 3 2" xfId="31162" xr:uid="{00000000-0005-0000-0000-0000A20D0000}"/>
    <cellStyle name="Comma 13 3 3 2 2" xfId="41024" xr:uid="{00000000-0005-0000-0000-0000A30D0000}"/>
    <cellStyle name="Comma 13 3 3 2 3" xfId="43736" xr:uid="{00000000-0005-0000-0000-0000A40D0000}"/>
    <cellStyle name="Comma 13 3 3 2 4" xfId="44068" xr:uid="{00000000-0005-0000-0000-0000A50D0000}"/>
    <cellStyle name="Comma 13 3 3 3" xfId="33020" xr:uid="{00000000-0005-0000-0000-0000A60D0000}"/>
    <cellStyle name="Comma 13 3 3 4" xfId="34839" xr:uid="{00000000-0005-0000-0000-0000A70D0000}"/>
    <cellStyle name="Comma 13 3 3 5" xfId="36941" xr:uid="{00000000-0005-0000-0000-0000A80D0000}"/>
    <cellStyle name="Comma 13 3 3 6" xfId="39448" xr:uid="{00000000-0005-0000-0000-0000A90D0000}"/>
    <cellStyle name="Comma 13 3 3 7" xfId="42408" xr:uid="{00000000-0005-0000-0000-0000AA0D0000}"/>
    <cellStyle name="Comma 13 3 3 8" xfId="44069" xr:uid="{00000000-0005-0000-0000-0000AB0D0000}"/>
    <cellStyle name="Comma 13 3 4" xfId="11797" xr:uid="{00000000-0005-0000-0000-0000AC0D0000}"/>
    <cellStyle name="Comma 13 3 4 2" xfId="40169" xr:uid="{00000000-0005-0000-0000-0000AD0D0000}"/>
    <cellStyle name="Comma 13 3 4 3" xfId="43018" xr:uid="{00000000-0005-0000-0000-0000AE0D0000}"/>
    <cellStyle name="Comma 13 3 4 4" xfId="44070" xr:uid="{00000000-0005-0000-0000-0000AF0D0000}"/>
    <cellStyle name="Comma 13 3 5" xfId="15310" xr:uid="{00000000-0005-0000-0000-0000B00D0000}"/>
    <cellStyle name="Comma 13 3 6" xfId="29808" xr:uid="{00000000-0005-0000-0000-0000B10D0000}"/>
    <cellStyle name="Comma 13 3 7" xfId="30571" xr:uid="{00000000-0005-0000-0000-0000B20D0000}"/>
    <cellStyle name="Comma 13 3 8" xfId="31631" xr:uid="{00000000-0005-0000-0000-0000B30D0000}"/>
    <cellStyle name="Comma 13 3 9" xfId="32273" xr:uid="{00000000-0005-0000-0000-0000B40D0000}"/>
    <cellStyle name="Comma 13 4" xfId="5711" xr:uid="{00000000-0005-0000-0000-0000B50D0000}"/>
    <cellStyle name="Comma 13 4 10" xfId="34355" xr:uid="{00000000-0005-0000-0000-0000B60D0000}"/>
    <cellStyle name="Comma 13 4 11" xfId="36523" xr:uid="{00000000-0005-0000-0000-0000B70D0000}"/>
    <cellStyle name="Comma 13 4 12" xfId="38078" xr:uid="{00000000-0005-0000-0000-0000B80D0000}"/>
    <cellStyle name="Comma 13 4 13" xfId="41575" xr:uid="{00000000-0005-0000-0000-0000B90D0000}"/>
    <cellStyle name="Comma 13 4 14" xfId="44071" xr:uid="{00000000-0005-0000-0000-0000BA0D0000}"/>
    <cellStyle name="Comma 13 4 15" xfId="8688" xr:uid="{00000000-0005-0000-0000-0000BB0D0000}"/>
    <cellStyle name="Comma 13 4 2" xfId="12687" xr:uid="{00000000-0005-0000-0000-0000BC0D0000}"/>
    <cellStyle name="Comma 13 4 2 2" xfId="31269" xr:uid="{00000000-0005-0000-0000-0000BD0D0000}"/>
    <cellStyle name="Comma 13 4 2 3" xfId="33123" xr:uid="{00000000-0005-0000-0000-0000BE0D0000}"/>
    <cellStyle name="Comma 13 4 2 4" xfId="34946" xr:uid="{00000000-0005-0000-0000-0000BF0D0000}"/>
    <cellStyle name="Comma 13 4 2 5" xfId="37044" xr:uid="{00000000-0005-0000-0000-0000C00D0000}"/>
    <cellStyle name="Comma 13 4 2 6" xfId="40034" xr:uid="{00000000-0005-0000-0000-0000C10D0000}"/>
    <cellStyle name="Comma 13 4 2 7" xfId="42903" xr:uid="{00000000-0005-0000-0000-0000C20D0000}"/>
    <cellStyle name="Comma 13 4 2 8" xfId="44072" xr:uid="{00000000-0005-0000-0000-0000C30D0000}"/>
    <cellStyle name="Comma 13 4 3" xfId="11904" xr:uid="{00000000-0005-0000-0000-0000C40D0000}"/>
    <cellStyle name="Comma 13 4 4" xfId="15312" xr:uid="{00000000-0005-0000-0000-0000C50D0000}"/>
    <cellStyle name="Comma 13 4 5" xfId="29810" xr:uid="{00000000-0005-0000-0000-0000C60D0000}"/>
    <cellStyle name="Comma 13 4 6" xfId="30678" xr:uid="{00000000-0005-0000-0000-0000C70D0000}"/>
    <cellStyle name="Comma 13 4 7" xfId="31633" xr:uid="{00000000-0005-0000-0000-0000C80D0000}"/>
    <cellStyle name="Comma 13 4 8" xfId="32275" xr:uid="{00000000-0005-0000-0000-0000C90D0000}"/>
    <cellStyle name="Comma 13 4 9" xfId="33487" xr:uid="{00000000-0005-0000-0000-0000CA0D0000}"/>
    <cellStyle name="Comma 13 5" xfId="6170" xr:uid="{00000000-0005-0000-0000-0000CB0D0000}"/>
    <cellStyle name="Comma 13 5 10" xfId="34612" xr:uid="{00000000-0005-0000-0000-0000CC0D0000}"/>
    <cellStyle name="Comma 13 5 11" xfId="36740" xr:uid="{00000000-0005-0000-0000-0000CD0D0000}"/>
    <cellStyle name="Comma 13 5 12" xfId="38915" xr:uid="{00000000-0005-0000-0000-0000CE0D0000}"/>
    <cellStyle name="Comma 13 5 13" xfId="41946" xr:uid="{00000000-0005-0000-0000-0000CF0D0000}"/>
    <cellStyle name="Comma 13 5 14" xfId="44073" xr:uid="{00000000-0005-0000-0000-0000D00D0000}"/>
    <cellStyle name="Comma 13 5 15" xfId="11498" xr:uid="{00000000-0005-0000-0000-0000D10D0000}"/>
    <cellStyle name="Comma 13 5 2" xfId="15119" xr:uid="{00000000-0005-0000-0000-0000D20D0000}"/>
    <cellStyle name="Comma 13 5 2 2" xfId="31526" xr:uid="{00000000-0005-0000-0000-0000D30D0000}"/>
    <cellStyle name="Comma 13 5 2 3" xfId="33379" xr:uid="{00000000-0005-0000-0000-0000D40D0000}"/>
    <cellStyle name="Comma 13 5 2 4" xfId="35203" xr:uid="{00000000-0005-0000-0000-0000D50D0000}"/>
    <cellStyle name="Comma 13 5 2 5" xfId="37283" xr:uid="{00000000-0005-0000-0000-0000D60D0000}"/>
    <cellStyle name="Comma 13 5 2 6" xfId="40473" xr:uid="{00000000-0005-0000-0000-0000D70D0000}"/>
    <cellStyle name="Comma 13 5 2 7" xfId="43274" xr:uid="{00000000-0005-0000-0000-0000D80D0000}"/>
    <cellStyle name="Comma 13 5 2 8" xfId="44074" xr:uid="{00000000-0005-0000-0000-0000D90D0000}"/>
    <cellStyle name="Comma 13 5 3" xfId="12161" xr:uid="{00000000-0005-0000-0000-0000DA0D0000}"/>
    <cellStyle name="Comma 13 5 4" xfId="15313" xr:uid="{00000000-0005-0000-0000-0000DB0D0000}"/>
    <cellStyle name="Comma 13 5 5" xfId="29811" xr:uid="{00000000-0005-0000-0000-0000DC0D0000}"/>
    <cellStyle name="Comma 13 5 6" xfId="30935" xr:uid="{00000000-0005-0000-0000-0000DD0D0000}"/>
    <cellStyle name="Comma 13 5 7" xfId="31634" xr:uid="{00000000-0005-0000-0000-0000DE0D0000}"/>
    <cellStyle name="Comma 13 5 8" xfId="32276" xr:uid="{00000000-0005-0000-0000-0000DF0D0000}"/>
    <cellStyle name="Comma 13 5 9" xfId="33488" xr:uid="{00000000-0005-0000-0000-0000E00D0000}"/>
    <cellStyle name="Comma 13 6" xfId="12238" xr:uid="{00000000-0005-0000-0000-0000E10D0000}"/>
    <cellStyle name="Comma 13 6 2" xfId="31011" xr:uid="{00000000-0005-0000-0000-0000E20D0000}"/>
    <cellStyle name="Comma 13 6 2 2" xfId="40886" xr:uid="{00000000-0005-0000-0000-0000E30D0000}"/>
    <cellStyle name="Comma 13 6 2 3" xfId="43621" xr:uid="{00000000-0005-0000-0000-0000E40D0000}"/>
    <cellStyle name="Comma 13 6 2 4" xfId="44075" xr:uid="{00000000-0005-0000-0000-0000E50D0000}"/>
    <cellStyle name="Comma 13 6 3" xfId="32886" xr:uid="{00000000-0005-0000-0000-0000E60D0000}"/>
    <cellStyle name="Comma 13 6 4" xfId="34688" xr:uid="{00000000-0005-0000-0000-0000E70D0000}"/>
    <cellStyle name="Comma 13 6 5" xfId="36796" xr:uid="{00000000-0005-0000-0000-0000E80D0000}"/>
    <cellStyle name="Comma 13 6 6" xfId="39315" xr:uid="{00000000-0005-0000-0000-0000E90D0000}"/>
    <cellStyle name="Comma 13 6 7" xfId="42293" xr:uid="{00000000-0005-0000-0000-0000EA0D0000}"/>
    <cellStyle name="Comma 13 6 8" xfId="44076" xr:uid="{00000000-0005-0000-0000-0000EB0D0000}"/>
    <cellStyle name="Comma 13 7" xfId="11644" xr:uid="{00000000-0005-0000-0000-0000EC0D0000}"/>
    <cellStyle name="Comma 13 7 2" xfId="39780" xr:uid="{00000000-0005-0000-0000-0000ED0D0000}"/>
    <cellStyle name="Comma 13 7 3" xfId="42688" xr:uid="{00000000-0005-0000-0000-0000EE0D0000}"/>
    <cellStyle name="Comma 13 7 4" xfId="44077" xr:uid="{00000000-0005-0000-0000-0000EF0D0000}"/>
    <cellStyle name="Comma 13 8" xfId="15305" xr:uid="{00000000-0005-0000-0000-0000F00D0000}"/>
    <cellStyle name="Comma 13 9" xfId="29803" xr:uid="{00000000-0005-0000-0000-0000F10D0000}"/>
    <cellStyle name="Comma 14" xfId="2747" xr:uid="{00000000-0005-0000-0000-0000F20D0000}"/>
    <cellStyle name="Comma 14 10" xfId="30421" xr:uid="{00000000-0005-0000-0000-0000F30D0000}"/>
    <cellStyle name="Comma 14 11" xfId="31635" xr:uid="{00000000-0005-0000-0000-0000F40D0000}"/>
    <cellStyle name="Comma 14 12" xfId="32277" xr:uid="{00000000-0005-0000-0000-0000F50D0000}"/>
    <cellStyle name="Comma 14 13" xfId="33489" xr:uid="{00000000-0005-0000-0000-0000F60D0000}"/>
    <cellStyle name="Comma 14 14" xfId="34098" xr:uid="{00000000-0005-0000-0000-0000F70D0000}"/>
    <cellStyle name="Comma 14 15" xfId="35309" xr:uid="{00000000-0005-0000-0000-0000F80D0000}"/>
    <cellStyle name="Comma 14 16" xfId="36172" xr:uid="{00000000-0005-0000-0000-0000F90D0000}"/>
    <cellStyle name="Comma 14 17" xfId="37414" xr:uid="{00000000-0005-0000-0000-0000FA0D0000}"/>
    <cellStyle name="Comma 14 18" xfId="41361" xr:uid="{00000000-0005-0000-0000-0000FB0D0000}"/>
    <cellStyle name="Comma 14 19" xfId="44078" xr:uid="{00000000-0005-0000-0000-0000FC0D0000}"/>
    <cellStyle name="Comma 14 2" xfId="5058" xr:uid="{00000000-0005-0000-0000-0000FD0D0000}"/>
    <cellStyle name="Comma 14 2 10" xfId="32278" xr:uid="{00000000-0005-0000-0000-0000FE0D0000}"/>
    <cellStyle name="Comma 14 2 11" xfId="33490" xr:uid="{00000000-0005-0000-0000-0000FF0D0000}"/>
    <cellStyle name="Comma 14 2 12" xfId="34136" xr:uid="{00000000-0005-0000-0000-0000000E0000}"/>
    <cellStyle name="Comma 14 2 13" xfId="36013" xr:uid="{00000000-0005-0000-0000-0000010E0000}"/>
    <cellStyle name="Comma 14 2 14" xfId="36313" xr:uid="{00000000-0005-0000-0000-0000020E0000}"/>
    <cellStyle name="Comma 14 2 15" xfId="37488" xr:uid="{00000000-0005-0000-0000-0000030E0000}"/>
    <cellStyle name="Comma 14 2 16" xfId="41434" xr:uid="{00000000-0005-0000-0000-0000040E0000}"/>
    <cellStyle name="Comma 14 2 17" xfId="44079" xr:uid="{00000000-0005-0000-0000-0000050E0000}"/>
    <cellStyle name="Comma 14 2 18" xfId="6649" xr:uid="{00000000-0005-0000-0000-0000060E0000}"/>
    <cellStyle name="Comma 14 2 2" xfId="6027" xr:uid="{00000000-0005-0000-0000-0000070E0000}"/>
    <cellStyle name="Comma 14 2 2 10" xfId="33491" xr:uid="{00000000-0005-0000-0000-0000080E0000}"/>
    <cellStyle name="Comma 14 2 2 11" xfId="34288" xr:uid="{00000000-0005-0000-0000-0000090E0000}"/>
    <cellStyle name="Comma 14 2 2 12" xfId="36478" xr:uid="{00000000-0005-0000-0000-00000A0E0000}"/>
    <cellStyle name="Comma 14 2 2 13" xfId="38792" xr:uid="{00000000-0005-0000-0000-00000B0E0000}"/>
    <cellStyle name="Comma 14 2 2 14" xfId="41831" xr:uid="{00000000-0005-0000-0000-00000C0E0000}"/>
    <cellStyle name="Comma 14 2 2 15" xfId="44080" xr:uid="{00000000-0005-0000-0000-00000D0E0000}"/>
    <cellStyle name="Comma 14 2 2 16" xfId="8525" xr:uid="{00000000-0005-0000-0000-00000E0E0000}"/>
    <cellStyle name="Comma 14 2 2 2" xfId="8694" xr:uid="{00000000-0005-0000-0000-00000F0E0000}"/>
    <cellStyle name="Comma 14 2 2 2 10" xfId="34361" xr:uid="{00000000-0005-0000-0000-0000100E0000}"/>
    <cellStyle name="Comma 14 2 2 2 11" xfId="36529" xr:uid="{00000000-0005-0000-0000-0000110E0000}"/>
    <cellStyle name="Comma 14 2 2 2 12" xfId="40341" xr:uid="{00000000-0005-0000-0000-0000120E0000}"/>
    <cellStyle name="Comma 14 2 2 2 13" xfId="43159" xr:uid="{00000000-0005-0000-0000-0000130E0000}"/>
    <cellStyle name="Comma 14 2 2 2 14" xfId="44081" xr:uid="{00000000-0005-0000-0000-0000140E0000}"/>
    <cellStyle name="Comma 14 2 2 2 2" xfId="12693" xr:uid="{00000000-0005-0000-0000-0000150E0000}"/>
    <cellStyle name="Comma 14 2 2 2 2 2" xfId="31275" xr:uid="{00000000-0005-0000-0000-0000160E0000}"/>
    <cellStyle name="Comma 14 2 2 2 2 3" xfId="33129" xr:uid="{00000000-0005-0000-0000-0000170E0000}"/>
    <cellStyle name="Comma 14 2 2 2 2 4" xfId="34952" xr:uid="{00000000-0005-0000-0000-0000180E0000}"/>
    <cellStyle name="Comma 14 2 2 2 2 5" xfId="37050" xr:uid="{00000000-0005-0000-0000-0000190E0000}"/>
    <cellStyle name="Comma 14 2 2 2 3" xfId="11910" xr:uid="{00000000-0005-0000-0000-00001A0E0000}"/>
    <cellStyle name="Comma 14 2 2 2 4" xfId="15317" xr:uid="{00000000-0005-0000-0000-00001B0E0000}"/>
    <cellStyle name="Comma 14 2 2 2 5" xfId="29815" xr:uid="{00000000-0005-0000-0000-00001C0E0000}"/>
    <cellStyle name="Comma 14 2 2 2 6" xfId="30684" xr:uid="{00000000-0005-0000-0000-00001D0E0000}"/>
    <cellStyle name="Comma 14 2 2 2 7" xfId="31638" xr:uid="{00000000-0005-0000-0000-00001E0E0000}"/>
    <cellStyle name="Comma 14 2 2 2 8" xfId="32280" xr:uid="{00000000-0005-0000-0000-00001F0E0000}"/>
    <cellStyle name="Comma 14 2 2 2 9" xfId="33492" xr:uid="{00000000-0005-0000-0000-0000200E0000}"/>
    <cellStyle name="Comma 14 2 2 3" xfId="12560" xr:uid="{00000000-0005-0000-0000-0000210E0000}"/>
    <cellStyle name="Comma 14 2 2 3 2" xfId="31202" xr:uid="{00000000-0005-0000-0000-0000220E0000}"/>
    <cellStyle name="Comma 14 2 2 3 3" xfId="33058" xr:uid="{00000000-0005-0000-0000-0000230E0000}"/>
    <cellStyle name="Comma 14 2 2 3 4" xfId="34879" xr:uid="{00000000-0005-0000-0000-0000240E0000}"/>
    <cellStyle name="Comma 14 2 2 3 5" xfId="36979" xr:uid="{00000000-0005-0000-0000-0000250E0000}"/>
    <cellStyle name="Comma 14 2 2 4" xfId="11837" xr:uid="{00000000-0005-0000-0000-0000260E0000}"/>
    <cellStyle name="Comma 14 2 2 5" xfId="15316" xr:uid="{00000000-0005-0000-0000-0000270E0000}"/>
    <cellStyle name="Comma 14 2 2 6" xfId="29814" xr:uid="{00000000-0005-0000-0000-0000280E0000}"/>
    <cellStyle name="Comma 14 2 2 7" xfId="30611" xr:uid="{00000000-0005-0000-0000-0000290E0000}"/>
    <cellStyle name="Comma 14 2 2 8" xfId="31637" xr:uid="{00000000-0005-0000-0000-00002A0E0000}"/>
    <cellStyle name="Comma 14 2 2 9" xfId="32279" xr:uid="{00000000-0005-0000-0000-00002B0E0000}"/>
    <cellStyle name="Comma 14 2 3" xfId="6347" xr:uid="{00000000-0005-0000-0000-00002C0E0000}"/>
    <cellStyle name="Comma 14 2 3 10" xfId="34360" xr:uid="{00000000-0005-0000-0000-00002D0E0000}"/>
    <cellStyle name="Comma 14 2 3 11" xfId="36528" xr:uid="{00000000-0005-0000-0000-00002E0E0000}"/>
    <cellStyle name="Comma 14 2 3 12" xfId="39012" xr:uid="{00000000-0005-0000-0000-00002F0E0000}"/>
    <cellStyle name="Comma 14 2 3 13" xfId="42038" xr:uid="{00000000-0005-0000-0000-0000300E0000}"/>
    <cellStyle name="Comma 14 2 3 14" xfId="44082" xr:uid="{00000000-0005-0000-0000-0000310E0000}"/>
    <cellStyle name="Comma 14 2 3 15" xfId="8693" xr:uid="{00000000-0005-0000-0000-0000320E0000}"/>
    <cellStyle name="Comma 14 2 3 2" xfId="12692" xr:uid="{00000000-0005-0000-0000-0000330E0000}"/>
    <cellStyle name="Comma 14 2 3 2 2" xfId="31274" xr:uid="{00000000-0005-0000-0000-0000340E0000}"/>
    <cellStyle name="Comma 14 2 3 2 3" xfId="33128" xr:uid="{00000000-0005-0000-0000-0000350E0000}"/>
    <cellStyle name="Comma 14 2 3 2 4" xfId="34951" xr:uid="{00000000-0005-0000-0000-0000360E0000}"/>
    <cellStyle name="Comma 14 2 3 2 5" xfId="37049" xr:uid="{00000000-0005-0000-0000-0000370E0000}"/>
    <cellStyle name="Comma 14 2 3 2 6" xfId="40580" xr:uid="{00000000-0005-0000-0000-0000380E0000}"/>
    <cellStyle name="Comma 14 2 3 2 7" xfId="43366" xr:uid="{00000000-0005-0000-0000-0000390E0000}"/>
    <cellStyle name="Comma 14 2 3 2 8" xfId="44083" xr:uid="{00000000-0005-0000-0000-00003A0E0000}"/>
    <cellStyle name="Comma 14 2 3 3" xfId="11909" xr:uid="{00000000-0005-0000-0000-00003B0E0000}"/>
    <cellStyle name="Comma 14 2 3 4" xfId="15318" xr:uid="{00000000-0005-0000-0000-00003C0E0000}"/>
    <cellStyle name="Comma 14 2 3 5" xfId="29816" xr:uid="{00000000-0005-0000-0000-00003D0E0000}"/>
    <cellStyle name="Comma 14 2 3 6" xfId="30683" xr:uid="{00000000-0005-0000-0000-00003E0E0000}"/>
    <cellStyle name="Comma 14 2 3 7" xfId="31639" xr:uid="{00000000-0005-0000-0000-00003F0E0000}"/>
    <cellStyle name="Comma 14 2 3 8" xfId="32281" xr:uid="{00000000-0005-0000-0000-0000400E0000}"/>
    <cellStyle name="Comma 14 2 3 9" xfId="33493" xr:uid="{00000000-0005-0000-0000-0000410E0000}"/>
    <cellStyle name="Comma 14 2 4" xfId="12277" xr:uid="{00000000-0005-0000-0000-0000420E0000}"/>
    <cellStyle name="Comma 14 2 4 2" xfId="31050" xr:uid="{00000000-0005-0000-0000-0000430E0000}"/>
    <cellStyle name="Comma 14 2 4 2 2" xfId="41197" xr:uid="{00000000-0005-0000-0000-0000440E0000}"/>
    <cellStyle name="Comma 14 2 4 2 3" xfId="43877" xr:uid="{00000000-0005-0000-0000-0000450E0000}"/>
    <cellStyle name="Comma 14 2 4 2 4" xfId="44084" xr:uid="{00000000-0005-0000-0000-0000460E0000}"/>
    <cellStyle name="Comma 14 2 4 3" xfId="32919" xr:uid="{00000000-0005-0000-0000-0000470E0000}"/>
    <cellStyle name="Comma 14 2 4 4" xfId="34727" xr:uid="{00000000-0005-0000-0000-0000480E0000}"/>
    <cellStyle name="Comma 14 2 4 5" xfId="36835" xr:uid="{00000000-0005-0000-0000-0000490E0000}"/>
    <cellStyle name="Comma 14 2 4 6" xfId="39614" xr:uid="{00000000-0005-0000-0000-00004A0E0000}"/>
    <cellStyle name="Comma 14 2 4 7" xfId="42549" xr:uid="{00000000-0005-0000-0000-00004B0E0000}"/>
    <cellStyle name="Comma 14 2 4 8" xfId="44085" xr:uid="{00000000-0005-0000-0000-00004C0E0000}"/>
    <cellStyle name="Comma 14 2 5" xfId="11684" xr:uid="{00000000-0005-0000-0000-00004D0E0000}"/>
    <cellStyle name="Comma 14 2 5 2" xfId="39863" xr:uid="{00000000-0005-0000-0000-00004E0E0000}"/>
    <cellStyle name="Comma 14 2 5 3" xfId="42762" xr:uid="{00000000-0005-0000-0000-00004F0E0000}"/>
    <cellStyle name="Comma 14 2 5 4" xfId="44086" xr:uid="{00000000-0005-0000-0000-0000500E0000}"/>
    <cellStyle name="Comma 14 2 6" xfId="15315" xr:uid="{00000000-0005-0000-0000-0000510E0000}"/>
    <cellStyle name="Comma 14 2 7" xfId="29813" xr:uid="{00000000-0005-0000-0000-0000520E0000}"/>
    <cellStyle name="Comma 14 2 8" xfId="30459" xr:uid="{00000000-0005-0000-0000-0000530E0000}"/>
    <cellStyle name="Comma 14 2 9" xfId="31636" xr:uid="{00000000-0005-0000-0000-0000540E0000}"/>
    <cellStyle name="Comma 14 20" xfId="6537" xr:uid="{00000000-0005-0000-0000-0000550E0000}"/>
    <cellStyle name="Comma 14 3" xfId="4399" xr:uid="{00000000-0005-0000-0000-0000560E0000}"/>
    <cellStyle name="Comma 14 3 10" xfId="33494" xr:uid="{00000000-0005-0000-0000-0000570E0000}"/>
    <cellStyle name="Comma 14 3 11" xfId="34249" xr:uid="{00000000-0005-0000-0000-0000580E0000}"/>
    <cellStyle name="Comma 14 3 12" xfId="35582" xr:uid="{00000000-0005-0000-0000-0000590E0000}"/>
    <cellStyle name="Comma 14 3 13" xfId="36454" xr:uid="{00000000-0005-0000-0000-00005A0E0000}"/>
    <cellStyle name="Comma 14 3 14" xfId="38651" xr:uid="{00000000-0005-0000-0000-00005B0E0000}"/>
    <cellStyle name="Comma 14 3 15" xfId="41691" xr:uid="{00000000-0005-0000-0000-00005C0E0000}"/>
    <cellStyle name="Comma 14 3 16" xfId="44087" xr:uid="{00000000-0005-0000-0000-00005D0E0000}"/>
    <cellStyle name="Comma 14 3 17" xfId="8412" xr:uid="{00000000-0005-0000-0000-00005E0E0000}"/>
    <cellStyle name="Comma 14 3 2" xfId="5850" xr:uid="{00000000-0005-0000-0000-00005F0E0000}"/>
    <cellStyle name="Comma 14 3 2 10" xfId="34362" xr:uid="{00000000-0005-0000-0000-0000600E0000}"/>
    <cellStyle name="Comma 14 3 2 11" xfId="36530" xr:uid="{00000000-0005-0000-0000-0000610E0000}"/>
    <cellStyle name="Comma 14 3 2 12" xfId="39145" xr:uid="{00000000-0005-0000-0000-0000620E0000}"/>
    <cellStyle name="Comma 14 3 2 13" xfId="42153" xr:uid="{00000000-0005-0000-0000-0000630E0000}"/>
    <cellStyle name="Comma 14 3 2 14" xfId="44088" xr:uid="{00000000-0005-0000-0000-0000640E0000}"/>
    <cellStyle name="Comma 14 3 2 15" xfId="8695" xr:uid="{00000000-0005-0000-0000-0000650E0000}"/>
    <cellStyle name="Comma 14 3 2 2" xfId="12694" xr:uid="{00000000-0005-0000-0000-0000660E0000}"/>
    <cellStyle name="Comma 14 3 2 2 2" xfId="31276" xr:uid="{00000000-0005-0000-0000-0000670E0000}"/>
    <cellStyle name="Comma 14 3 2 2 3" xfId="33130" xr:uid="{00000000-0005-0000-0000-0000680E0000}"/>
    <cellStyle name="Comma 14 3 2 2 4" xfId="34953" xr:uid="{00000000-0005-0000-0000-0000690E0000}"/>
    <cellStyle name="Comma 14 3 2 2 5" xfId="37051" xr:uid="{00000000-0005-0000-0000-00006A0E0000}"/>
    <cellStyle name="Comma 14 3 2 2 6" xfId="40718" xr:uid="{00000000-0005-0000-0000-00006B0E0000}"/>
    <cellStyle name="Comma 14 3 2 2 7" xfId="43481" xr:uid="{00000000-0005-0000-0000-00006C0E0000}"/>
    <cellStyle name="Comma 14 3 2 2 8" xfId="44089" xr:uid="{00000000-0005-0000-0000-00006D0E0000}"/>
    <cellStyle name="Comma 14 3 2 3" xfId="11911" xr:uid="{00000000-0005-0000-0000-00006E0E0000}"/>
    <cellStyle name="Comma 14 3 2 4" xfId="15320" xr:uid="{00000000-0005-0000-0000-00006F0E0000}"/>
    <cellStyle name="Comma 14 3 2 5" xfId="29818" xr:uid="{00000000-0005-0000-0000-0000700E0000}"/>
    <cellStyle name="Comma 14 3 2 6" xfId="30685" xr:uid="{00000000-0005-0000-0000-0000710E0000}"/>
    <cellStyle name="Comma 14 3 2 7" xfId="31641" xr:uid="{00000000-0005-0000-0000-0000720E0000}"/>
    <cellStyle name="Comma 14 3 2 8" xfId="32283" xr:uid="{00000000-0005-0000-0000-0000730E0000}"/>
    <cellStyle name="Comma 14 3 2 9" xfId="33495" xr:uid="{00000000-0005-0000-0000-0000740E0000}"/>
    <cellStyle name="Comma 14 3 3" xfId="12520" xr:uid="{00000000-0005-0000-0000-0000750E0000}"/>
    <cellStyle name="Comma 14 3 3 2" xfId="31163" xr:uid="{00000000-0005-0000-0000-0000760E0000}"/>
    <cellStyle name="Comma 14 3 3 2 2" xfId="41025" xr:uid="{00000000-0005-0000-0000-0000770E0000}"/>
    <cellStyle name="Comma 14 3 3 2 3" xfId="43737" xr:uid="{00000000-0005-0000-0000-0000780E0000}"/>
    <cellStyle name="Comma 14 3 3 2 4" xfId="44090" xr:uid="{00000000-0005-0000-0000-0000790E0000}"/>
    <cellStyle name="Comma 14 3 3 3" xfId="33021" xr:uid="{00000000-0005-0000-0000-00007A0E0000}"/>
    <cellStyle name="Comma 14 3 3 4" xfId="34840" xr:uid="{00000000-0005-0000-0000-00007B0E0000}"/>
    <cellStyle name="Comma 14 3 3 5" xfId="36942" xr:uid="{00000000-0005-0000-0000-00007C0E0000}"/>
    <cellStyle name="Comma 14 3 3 6" xfId="39449" xr:uid="{00000000-0005-0000-0000-00007D0E0000}"/>
    <cellStyle name="Comma 14 3 3 7" xfId="42409" xr:uid="{00000000-0005-0000-0000-00007E0E0000}"/>
    <cellStyle name="Comma 14 3 3 8" xfId="44091" xr:uid="{00000000-0005-0000-0000-00007F0E0000}"/>
    <cellStyle name="Comma 14 3 4" xfId="11798" xr:uid="{00000000-0005-0000-0000-0000800E0000}"/>
    <cellStyle name="Comma 14 3 4 2" xfId="40170" xr:uid="{00000000-0005-0000-0000-0000810E0000}"/>
    <cellStyle name="Comma 14 3 4 3" xfId="43019" xr:uid="{00000000-0005-0000-0000-0000820E0000}"/>
    <cellStyle name="Comma 14 3 4 4" xfId="44092" xr:uid="{00000000-0005-0000-0000-0000830E0000}"/>
    <cellStyle name="Comma 14 3 5" xfId="15319" xr:uid="{00000000-0005-0000-0000-0000840E0000}"/>
    <cellStyle name="Comma 14 3 6" xfId="29817" xr:uid="{00000000-0005-0000-0000-0000850E0000}"/>
    <cellStyle name="Comma 14 3 7" xfId="30572" xr:uid="{00000000-0005-0000-0000-0000860E0000}"/>
    <cellStyle name="Comma 14 3 8" xfId="31640" xr:uid="{00000000-0005-0000-0000-0000870E0000}"/>
    <cellStyle name="Comma 14 3 9" xfId="32282" xr:uid="{00000000-0005-0000-0000-0000880E0000}"/>
    <cellStyle name="Comma 14 4" xfId="5712" xr:uid="{00000000-0005-0000-0000-0000890E0000}"/>
    <cellStyle name="Comma 14 4 10" xfId="34359" xr:uid="{00000000-0005-0000-0000-00008A0E0000}"/>
    <cellStyle name="Comma 14 4 11" xfId="36527" xr:uid="{00000000-0005-0000-0000-00008B0E0000}"/>
    <cellStyle name="Comma 14 4 12" xfId="38079" xr:uid="{00000000-0005-0000-0000-00008C0E0000}"/>
    <cellStyle name="Comma 14 4 13" xfId="41576" xr:uid="{00000000-0005-0000-0000-00008D0E0000}"/>
    <cellStyle name="Comma 14 4 14" xfId="44093" xr:uid="{00000000-0005-0000-0000-00008E0E0000}"/>
    <cellStyle name="Comma 14 4 15" xfId="8692" xr:uid="{00000000-0005-0000-0000-00008F0E0000}"/>
    <cellStyle name="Comma 14 4 2" xfId="12691" xr:uid="{00000000-0005-0000-0000-0000900E0000}"/>
    <cellStyle name="Comma 14 4 2 2" xfId="31273" xr:uid="{00000000-0005-0000-0000-0000910E0000}"/>
    <cellStyle name="Comma 14 4 2 3" xfId="33127" xr:uid="{00000000-0005-0000-0000-0000920E0000}"/>
    <cellStyle name="Comma 14 4 2 4" xfId="34950" xr:uid="{00000000-0005-0000-0000-0000930E0000}"/>
    <cellStyle name="Comma 14 4 2 5" xfId="37048" xr:uid="{00000000-0005-0000-0000-0000940E0000}"/>
    <cellStyle name="Comma 14 4 2 6" xfId="40035" xr:uid="{00000000-0005-0000-0000-0000950E0000}"/>
    <cellStyle name="Comma 14 4 2 7" xfId="42904" xr:uid="{00000000-0005-0000-0000-0000960E0000}"/>
    <cellStyle name="Comma 14 4 2 8" xfId="44094" xr:uid="{00000000-0005-0000-0000-0000970E0000}"/>
    <cellStyle name="Comma 14 4 3" xfId="11908" xr:uid="{00000000-0005-0000-0000-0000980E0000}"/>
    <cellStyle name="Comma 14 4 4" xfId="15321" xr:uid="{00000000-0005-0000-0000-0000990E0000}"/>
    <cellStyle name="Comma 14 4 5" xfId="29819" xr:uid="{00000000-0005-0000-0000-00009A0E0000}"/>
    <cellStyle name="Comma 14 4 6" xfId="30682" xr:uid="{00000000-0005-0000-0000-00009B0E0000}"/>
    <cellStyle name="Comma 14 4 7" xfId="31642" xr:uid="{00000000-0005-0000-0000-00009C0E0000}"/>
    <cellStyle name="Comma 14 4 8" xfId="32284" xr:uid="{00000000-0005-0000-0000-00009D0E0000}"/>
    <cellStyle name="Comma 14 4 9" xfId="33496" xr:uid="{00000000-0005-0000-0000-00009E0E0000}"/>
    <cellStyle name="Comma 14 5" xfId="6171" xr:uid="{00000000-0005-0000-0000-00009F0E0000}"/>
    <cellStyle name="Comma 14 5 10" xfId="34613" xr:uid="{00000000-0005-0000-0000-0000A00E0000}"/>
    <cellStyle name="Comma 14 5 11" xfId="36741" xr:uid="{00000000-0005-0000-0000-0000A10E0000}"/>
    <cellStyle name="Comma 14 5 12" xfId="38916" xr:uid="{00000000-0005-0000-0000-0000A20E0000}"/>
    <cellStyle name="Comma 14 5 13" xfId="41947" xr:uid="{00000000-0005-0000-0000-0000A30E0000}"/>
    <cellStyle name="Comma 14 5 14" xfId="44095" xr:uid="{00000000-0005-0000-0000-0000A40E0000}"/>
    <cellStyle name="Comma 14 5 15" xfId="11499" xr:uid="{00000000-0005-0000-0000-0000A50E0000}"/>
    <cellStyle name="Comma 14 5 2" xfId="15120" xr:uid="{00000000-0005-0000-0000-0000A60E0000}"/>
    <cellStyle name="Comma 14 5 2 2" xfId="31527" xr:uid="{00000000-0005-0000-0000-0000A70E0000}"/>
    <cellStyle name="Comma 14 5 2 3" xfId="33380" xr:uid="{00000000-0005-0000-0000-0000A80E0000}"/>
    <cellStyle name="Comma 14 5 2 4" xfId="35204" xr:uid="{00000000-0005-0000-0000-0000A90E0000}"/>
    <cellStyle name="Comma 14 5 2 5" xfId="37284" xr:uid="{00000000-0005-0000-0000-0000AA0E0000}"/>
    <cellStyle name="Comma 14 5 2 6" xfId="40474" xr:uid="{00000000-0005-0000-0000-0000AB0E0000}"/>
    <cellStyle name="Comma 14 5 2 7" xfId="43275" xr:uid="{00000000-0005-0000-0000-0000AC0E0000}"/>
    <cellStyle name="Comma 14 5 2 8" xfId="44096" xr:uid="{00000000-0005-0000-0000-0000AD0E0000}"/>
    <cellStyle name="Comma 14 5 3" xfId="12162" xr:uid="{00000000-0005-0000-0000-0000AE0E0000}"/>
    <cellStyle name="Comma 14 5 4" xfId="15322" xr:uid="{00000000-0005-0000-0000-0000AF0E0000}"/>
    <cellStyle name="Comma 14 5 5" xfId="29820" xr:uid="{00000000-0005-0000-0000-0000B00E0000}"/>
    <cellStyle name="Comma 14 5 6" xfId="30936" xr:uid="{00000000-0005-0000-0000-0000B10E0000}"/>
    <cellStyle name="Comma 14 5 7" xfId="31643" xr:uid="{00000000-0005-0000-0000-0000B20E0000}"/>
    <cellStyle name="Comma 14 5 8" xfId="32285" xr:uid="{00000000-0005-0000-0000-0000B30E0000}"/>
    <cellStyle name="Comma 14 5 9" xfId="33497" xr:uid="{00000000-0005-0000-0000-0000B40E0000}"/>
    <cellStyle name="Comma 14 6" xfId="12239" xr:uid="{00000000-0005-0000-0000-0000B50E0000}"/>
    <cellStyle name="Comma 14 6 2" xfId="31012" xr:uid="{00000000-0005-0000-0000-0000B60E0000}"/>
    <cellStyle name="Comma 14 6 2 2" xfId="40887" xr:uid="{00000000-0005-0000-0000-0000B70E0000}"/>
    <cellStyle name="Comma 14 6 2 3" xfId="43622" xr:uid="{00000000-0005-0000-0000-0000B80E0000}"/>
    <cellStyle name="Comma 14 6 2 4" xfId="44097" xr:uid="{00000000-0005-0000-0000-0000B90E0000}"/>
    <cellStyle name="Comma 14 6 3" xfId="32887" xr:uid="{00000000-0005-0000-0000-0000BA0E0000}"/>
    <cellStyle name="Comma 14 6 4" xfId="34689" xr:uid="{00000000-0005-0000-0000-0000BB0E0000}"/>
    <cellStyle name="Comma 14 6 5" xfId="36797" xr:uid="{00000000-0005-0000-0000-0000BC0E0000}"/>
    <cellStyle name="Comma 14 6 6" xfId="39316" xr:uid="{00000000-0005-0000-0000-0000BD0E0000}"/>
    <cellStyle name="Comma 14 6 7" xfId="42294" xr:uid="{00000000-0005-0000-0000-0000BE0E0000}"/>
    <cellStyle name="Comma 14 6 8" xfId="44098" xr:uid="{00000000-0005-0000-0000-0000BF0E0000}"/>
    <cellStyle name="Comma 14 7" xfId="11645" xr:uid="{00000000-0005-0000-0000-0000C00E0000}"/>
    <cellStyle name="Comma 14 7 2" xfId="39781" xr:uid="{00000000-0005-0000-0000-0000C10E0000}"/>
    <cellStyle name="Comma 14 7 3" xfId="42689" xr:uid="{00000000-0005-0000-0000-0000C20E0000}"/>
    <cellStyle name="Comma 14 7 4" xfId="44099" xr:uid="{00000000-0005-0000-0000-0000C30E0000}"/>
    <cellStyle name="Comma 14 8" xfId="15314" xr:uid="{00000000-0005-0000-0000-0000C40E0000}"/>
    <cellStyle name="Comma 14 9" xfId="29812" xr:uid="{00000000-0005-0000-0000-0000C50E0000}"/>
    <cellStyle name="Comma 15" xfId="2748" xr:uid="{00000000-0005-0000-0000-0000C60E0000}"/>
    <cellStyle name="Comma 15 10" xfId="30422" xr:uid="{00000000-0005-0000-0000-0000C70E0000}"/>
    <cellStyle name="Comma 15 11" xfId="31644" xr:uid="{00000000-0005-0000-0000-0000C80E0000}"/>
    <cellStyle name="Comma 15 12" xfId="32286" xr:uid="{00000000-0005-0000-0000-0000C90E0000}"/>
    <cellStyle name="Comma 15 13" xfId="33498" xr:uid="{00000000-0005-0000-0000-0000CA0E0000}"/>
    <cellStyle name="Comma 15 14" xfId="34099" xr:uid="{00000000-0005-0000-0000-0000CB0E0000}"/>
    <cellStyle name="Comma 15 15" xfId="35310" xr:uid="{00000000-0005-0000-0000-0000CC0E0000}"/>
    <cellStyle name="Comma 15 16" xfId="36173" xr:uid="{00000000-0005-0000-0000-0000CD0E0000}"/>
    <cellStyle name="Comma 15 17" xfId="37415" xr:uid="{00000000-0005-0000-0000-0000CE0E0000}"/>
    <cellStyle name="Comma 15 18" xfId="41362" xr:uid="{00000000-0005-0000-0000-0000CF0E0000}"/>
    <cellStyle name="Comma 15 19" xfId="44100" xr:uid="{00000000-0005-0000-0000-0000D00E0000}"/>
    <cellStyle name="Comma 15 2" xfId="5059" xr:uid="{00000000-0005-0000-0000-0000D10E0000}"/>
    <cellStyle name="Comma 15 2 10" xfId="32287" xr:uid="{00000000-0005-0000-0000-0000D20E0000}"/>
    <cellStyle name="Comma 15 2 11" xfId="33499" xr:uid="{00000000-0005-0000-0000-0000D30E0000}"/>
    <cellStyle name="Comma 15 2 12" xfId="34137" xr:uid="{00000000-0005-0000-0000-0000D40E0000}"/>
    <cellStyle name="Comma 15 2 13" xfId="36014" xr:uid="{00000000-0005-0000-0000-0000D50E0000}"/>
    <cellStyle name="Comma 15 2 14" xfId="36314" xr:uid="{00000000-0005-0000-0000-0000D60E0000}"/>
    <cellStyle name="Comma 15 2 15" xfId="37489" xr:uid="{00000000-0005-0000-0000-0000D70E0000}"/>
    <cellStyle name="Comma 15 2 16" xfId="41435" xr:uid="{00000000-0005-0000-0000-0000D80E0000}"/>
    <cellStyle name="Comma 15 2 17" xfId="44101" xr:uid="{00000000-0005-0000-0000-0000D90E0000}"/>
    <cellStyle name="Comma 15 2 18" xfId="6650" xr:uid="{00000000-0005-0000-0000-0000DA0E0000}"/>
    <cellStyle name="Comma 15 2 2" xfId="6028" xr:uid="{00000000-0005-0000-0000-0000DB0E0000}"/>
    <cellStyle name="Comma 15 2 2 10" xfId="33500" xr:uid="{00000000-0005-0000-0000-0000DC0E0000}"/>
    <cellStyle name="Comma 15 2 2 11" xfId="34289" xr:uid="{00000000-0005-0000-0000-0000DD0E0000}"/>
    <cellStyle name="Comma 15 2 2 12" xfId="36479" xr:uid="{00000000-0005-0000-0000-0000DE0E0000}"/>
    <cellStyle name="Comma 15 2 2 13" xfId="38793" xr:uid="{00000000-0005-0000-0000-0000DF0E0000}"/>
    <cellStyle name="Comma 15 2 2 14" xfId="41832" xr:uid="{00000000-0005-0000-0000-0000E00E0000}"/>
    <cellStyle name="Comma 15 2 2 15" xfId="44102" xr:uid="{00000000-0005-0000-0000-0000E10E0000}"/>
    <cellStyle name="Comma 15 2 2 16" xfId="8526" xr:uid="{00000000-0005-0000-0000-0000E20E0000}"/>
    <cellStyle name="Comma 15 2 2 2" xfId="8698" xr:uid="{00000000-0005-0000-0000-0000E30E0000}"/>
    <cellStyle name="Comma 15 2 2 2 10" xfId="34365" xr:uid="{00000000-0005-0000-0000-0000E40E0000}"/>
    <cellStyle name="Comma 15 2 2 2 11" xfId="36533" xr:uid="{00000000-0005-0000-0000-0000E50E0000}"/>
    <cellStyle name="Comma 15 2 2 2 12" xfId="40342" xr:uid="{00000000-0005-0000-0000-0000E60E0000}"/>
    <cellStyle name="Comma 15 2 2 2 13" xfId="43160" xr:uid="{00000000-0005-0000-0000-0000E70E0000}"/>
    <cellStyle name="Comma 15 2 2 2 14" xfId="44103" xr:uid="{00000000-0005-0000-0000-0000E80E0000}"/>
    <cellStyle name="Comma 15 2 2 2 2" xfId="12697" xr:uid="{00000000-0005-0000-0000-0000E90E0000}"/>
    <cellStyle name="Comma 15 2 2 2 2 2" xfId="31279" xr:uid="{00000000-0005-0000-0000-0000EA0E0000}"/>
    <cellStyle name="Comma 15 2 2 2 2 3" xfId="33133" xr:uid="{00000000-0005-0000-0000-0000EB0E0000}"/>
    <cellStyle name="Comma 15 2 2 2 2 4" xfId="34956" xr:uid="{00000000-0005-0000-0000-0000EC0E0000}"/>
    <cellStyle name="Comma 15 2 2 2 2 5" xfId="37054" xr:uid="{00000000-0005-0000-0000-0000ED0E0000}"/>
    <cellStyle name="Comma 15 2 2 2 3" xfId="11914" xr:uid="{00000000-0005-0000-0000-0000EE0E0000}"/>
    <cellStyle name="Comma 15 2 2 2 4" xfId="15326" xr:uid="{00000000-0005-0000-0000-0000EF0E0000}"/>
    <cellStyle name="Comma 15 2 2 2 5" xfId="29824" xr:uid="{00000000-0005-0000-0000-0000F00E0000}"/>
    <cellStyle name="Comma 15 2 2 2 6" xfId="30688" xr:uid="{00000000-0005-0000-0000-0000F10E0000}"/>
    <cellStyle name="Comma 15 2 2 2 7" xfId="31647" xr:uid="{00000000-0005-0000-0000-0000F20E0000}"/>
    <cellStyle name="Comma 15 2 2 2 8" xfId="32289" xr:uid="{00000000-0005-0000-0000-0000F30E0000}"/>
    <cellStyle name="Comma 15 2 2 2 9" xfId="33501" xr:uid="{00000000-0005-0000-0000-0000F40E0000}"/>
    <cellStyle name="Comma 15 2 2 3" xfId="12561" xr:uid="{00000000-0005-0000-0000-0000F50E0000}"/>
    <cellStyle name="Comma 15 2 2 3 2" xfId="31203" xr:uid="{00000000-0005-0000-0000-0000F60E0000}"/>
    <cellStyle name="Comma 15 2 2 3 3" xfId="33059" xr:uid="{00000000-0005-0000-0000-0000F70E0000}"/>
    <cellStyle name="Comma 15 2 2 3 4" xfId="34880" xr:uid="{00000000-0005-0000-0000-0000F80E0000}"/>
    <cellStyle name="Comma 15 2 2 3 5" xfId="36980" xr:uid="{00000000-0005-0000-0000-0000F90E0000}"/>
    <cellStyle name="Comma 15 2 2 4" xfId="11838" xr:uid="{00000000-0005-0000-0000-0000FA0E0000}"/>
    <cellStyle name="Comma 15 2 2 5" xfId="15325" xr:uid="{00000000-0005-0000-0000-0000FB0E0000}"/>
    <cellStyle name="Comma 15 2 2 6" xfId="29823" xr:uid="{00000000-0005-0000-0000-0000FC0E0000}"/>
    <cellStyle name="Comma 15 2 2 7" xfId="30612" xr:uid="{00000000-0005-0000-0000-0000FD0E0000}"/>
    <cellStyle name="Comma 15 2 2 8" xfId="31646" xr:uid="{00000000-0005-0000-0000-0000FE0E0000}"/>
    <cellStyle name="Comma 15 2 2 9" xfId="32288" xr:uid="{00000000-0005-0000-0000-0000FF0E0000}"/>
    <cellStyle name="Comma 15 2 3" xfId="6348" xr:uid="{00000000-0005-0000-0000-0000000F0000}"/>
    <cellStyle name="Comma 15 2 3 10" xfId="34364" xr:uid="{00000000-0005-0000-0000-0000010F0000}"/>
    <cellStyle name="Comma 15 2 3 11" xfId="36532" xr:uid="{00000000-0005-0000-0000-0000020F0000}"/>
    <cellStyle name="Comma 15 2 3 12" xfId="39013" xr:uid="{00000000-0005-0000-0000-0000030F0000}"/>
    <cellStyle name="Comma 15 2 3 13" xfId="42039" xr:uid="{00000000-0005-0000-0000-0000040F0000}"/>
    <cellStyle name="Comma 15 2 3 14" xfId="44104" xr:uid="{00000000-0005-0000-0000-0000050F0000}"/>
    <cellStyle name="Comma 15 2 3 15" xfId="8697" xr:uid="{00000000-0005-0000-0000-0000060F0000}"/>
    <cellStyle name="Comma 15 2 3 2" xfId="12696" xr:uid="{00000000-0005-0000-0000-0000070F0000}"/>
    <cellStyle name="Comma 15 2 3 2 2" xfId="31278" xr:uid="{00000000-0005-0000-0000-0000080F0000}"/>
    <cellStyle name="Comma 15 2 3 2 3" xfId="33132" xr:uid="{00000000-0005-0000-0000-0000090F0000}"/>
    <cellStyle name="Comma 15 2 3 2 4" xfId="34955" xr:uid="{00000000-0005-0000-0000-00000A0F0000}"/>
    <cellStyle name="Comma 15 2 3 2 5" xfId="37053" xr:uid="{00000000-0005-0000-0000-00000B0F0000}"/>
    <cellStyle name="Comma 15 2 3 2 6" xfId="40581" xr:uid="{00000000-0005-0000-0000-00000C0F0000}"/>
    <cellStyle name="Comma 15 2 3 2 7" xfId="43367" xr:uid="{00000000-0005-0000-0000-00000D0F0000}"/>
    <cellStyle name="Comma 15 2 3 2 8" xfId="44105" xr:uid="{00000000-0005-0000-0000-00000E0F0000}"/>
    <cellStyle name="Comma 15 2 3 3" xfId="11913" xr:uid="{00000000-0005-0000-0000-00000F0F0000}"/>
    <cellStyle name="Comma 15 2 3 4" xfId="15327" xr:uid="{00000000-0005-0000-0000-0000100F0000}"/>
    <cellStyle name="Comma 15 2 3 5" xfId="29825" xr:uid="{00000000-0005-0000-0000-0000110F0000}"/>
    <cellStyle name="Comma 15 2 3 6" xfId="30687" xr:uid="{00000000-0005-0000-0000-0000120F0000}"/>
    <cellStyle name="Comma 15 2 3 7" xfId="31648" xr:uid="{00000000-0005-0000-0000-0000130F0000}"/>
    <cellStyle name="Comma 15 2 3 8" xfId="32290" xr:uid="{00000000-0005-0000-0000-0000140F0000}"/>
    <cellStyle name="Comma 15 2 3 9" xfId="33502" xr:uid="{00000000-0005-0000-0000-0000150F0000}"/>
    <cellStyle name="Comma 15 2 4" xfId="12278" xr:uid="{00000000-0005-0000-0000-0000160F0000}"/>
    <cellStyle name="Comma 15 2 4 2" xfId="31051" xr:uid="{00000000-0005-0000-0000-0000170F0000}"/>
    <cellStyle name="Comma 15 2 4 2 2" xfId="41198" xr:uid="{00000000-0005-0000-0000-0000180F0000}"/>
    <cellStyle name="Comma 15 2 4 2 3" xfId="43878" xr:uid="{00000000-0005-0000-0000-0000190F0000}"/>
    <cellStyle name="Comma 15 2 4 2 4" xfId="44106" xr:uid="{00000000-0005-0000-0000-00001A0F0000}"/>
    <cellStyle name="Comma 15 2 4 3" xfId="32920" xr:uid="{00000000-0005-0000-0000-00001B0F0000}"/>
    <cellStyle name="Comma 15 2 4 4" xfId="34728" xr:uid="{00000000-0005-0000-0000-00001C0F0000}"/>
    <cellStyle name="Comma 15 2 4 5" xfId="36836" xr:uid="{00000000-0005-0000-0000-00001D0F0000}"/>
    <cellStyle name="Comma 15 2 4 6" xfId="39615" xr:uid="{00000000-0005-0000-0000-00001E0F0000}"/>
    <cellStyle name="Comma 15 2 4 7" xfId="42550" xr:uid="{00000000-0005-0000-0000-00001F0F0000}"/>
    <cellStyle name="Comma 15 2 4 8" xfId="44107" xr:uid="{00000000-0005-0000-0000-0000200F0000}"/>
    <cellStyle name="Comma 15 2 5" xfId="11685" xr:uid="{00000000-0005-0000-0000-0000210F0000}"/>
    <cellStyle name="Comma 15 2 5 2" xfId="39864" xr:uid="{00000000-0005-0000-0000-0000220F0000}"/>
    <cellStyle name="Comma 15 2 5 3" xfId="42763" xr:uid="{00000000-0005-0000-0000-0000230F0000}"/>
    <cellStyle name="Comma 15 2 5 4" xfId="44108" xr:uid="{00000000-0005-0000-0000-0000240F0000}"/>
    <cellStyle name="Comma 15 2 6" xfId="15324" xr:uid="{00000000-0005-0000-0000-0000250F0000}"/>
    <cellStyle name="Comma 15 2 7" xfId="29822" xr:uid="{00000000-0005-0000-0000-0000260F0000}"/>
    <cellStyle name="Comma 15 2 8" xfId="30460" xr:uid="{00000000-0005-0000-0000-0000270F0000}"/>
    <cellStyle name="Comma 15 2 9" xfId="31645" xr:uid="{00000000-0005-0000-0000-0000280F0000}"/>
    <cellStyle name="Comma 15 20" xfId="6538" xr:uid="{00000000-0005-0000-0000-0000290F0000}"/>
    <cellStyle name="Comma 15 3" xfId="4400" xr:uid="{00000000-0005-0000-0000-00002A0F0000}"/>
    <cellStyle name="Comma 15 3 10" xfId="33503" xr:uid="{00000000-0005-0000-0000-00002B0F0000}"/>
    <cellStyle name="Comma 15 3 11" xfId="34250" xr:uid="{00000000-0005-0000-0000-00002C0F0000}"/>
    <cellStyle name="Comma 15 3 12" xfId="35583" xr:uid="{00000000-0005-0000-0000-00002D0F0000}"/>
    <cellStyle name="Comma 15 3 13" xfId="36455" xr:uid="{00000000-0005-0000-0000-00002E0F0000}"/>
    <cellStyle name="Comma 15 3 14" xfId="38652" xr:uid="{00000000-0005-0000-0000-00002F0F0000}"/>
    <cellStyle name="Comma 15 3 15" xfId="41692" xr:uid="{00000000-0005-0000-0000-0000300F0000}"/>
    <cellStyle name="Comma 15 3 16" xfId="44109" xr:uid="{00000000-0005-0000-0000-0000310F0000}"/>
    <cellStyle name="Comma 15 3 17" xfId="8413" xr:uid="{00000000-0005-0000-0000-0000320F0000}"/>
    <cellStyle name="Comma 15 3 2" xfId="5851" xr:uid="{00000000-0005-0000-0000-0000330F0000}"/>
    <cellStyle name="Comma 15 3 2 10" xfId="34366" xr:uid="{00000000-0005-0000-0000-0000340F0000}"/>
    <cellStyle name="Comma 15 3 2 11" xfId="36534" xr:uid="{00000000-0005-0000-0000-0000350F0000}"/>
    <cellStyle name="Comma 15 3 2 12" xfId="39146" xr:uid="{00000000-0005-0000-0000-0000360F0000}"/>
    <cellStyle name="Comma 15 3 2 13" xfId="42154" xr:uid="{00000000-0005-0000-0000-0000370F0000}"/>
    <cellStyle name="Comma 15 3 2 14" xfId="44110" xr:uid="{00000000-0005-0000-0000-0000380F0000}"/>
    <cellStyle name="Comma 15 3 2 15" xfId="8699" xr:uid="{00000000-0005-0000-0000-0000390F0000}"/>
    <cellStyle name="Comma 15 3 2 2" xfId="12698" xr:uid="{00000000-0005-0000-0000-00003A0F0000}"/>
    <cellStyle name="Comma 15 3 2 2 2" xfId="31280" xr:uid="{00000000-0005-0000-0000-00003B0F0000}"/>
    <cellStyle name="Comma 15 3 2 2 3" xfId="33134" xr:uid="{00000000-0005-0000-0000-00003C0F0000}"/>
    <cellStyle name="Comma 15 3 2 2 4" xfId="34957" xr:uid="{00000000-0005-0000-0000-00003D0F0000}"/>
    <cellStyle name="Comma 15 3 2 2 5" xfId="37055" xr:uid="{00000000-0005-0000-0000-00003E0F0000}"/>
    <cellStyle name="Comma 15 3 2 2 6" xfId="40719" xr:uid="{00000000-0005-0000-0000-00003F0F0000}"/>
    <cellStyle name="Comma 15 3 2 2 7" xfId="43482" xr:uid="{00000000-0005-0000-0000-0000400F0000}"/>
    <cellStyle name="Comma 15 3 2 2 8" xfId="44111" xr:uid="{00000000-0005-0000-0000-0000410F0000}"/>
    <cellStyle name="Comma 15 3 2 3" xfId="11915" xr:uid="{00000000-0005-0000-0000-0000420F0000}"/>
    <cellStyle name="Comma 15 3 2 4" xfId="15329" xr:uid="{00000000-0005-0000-0000-0000430F0000}"/>
    <cellStyle name="Comma 15 3 2 5" xfId="29827" xr:uid="{00000000-0005-0000-0000-0000440F0000}"/>
    <cellStyle name="Comma 15 3 2 6" xfId="30689" xr:uid="{00000000-0005-0000-0000-0000450F0000}"/>
    <cellStyle name="Comma 15 3 2 7" xfId="31650" xr:uid="{00000000-0005-0000-0000-0000460F0000}"/>
    <cellStyle name="Comma 15 3 2 8" xfId="32292" xr:uid="{00000000-0005-0000-0000-0000470F0000}"/>
    <cellStyle name="Comma 15 3 2 9" xfId="33504" xr:uid="{00000000-0005-0000-0000-0000480F0000}"/>
    <cellStyle name="Comma 15 3 3" xfId="12521" xr:uid="{00000000-0005-0000-0000-0000490F0000}"/>
    <cellStyle name="Comma 15 3 3 2" xfId="31164" xr:uid="{00000000-0005-0000-0000-00004A0F0000}"/>
    <cellStyle name="Comma 15 3 3 2 2" xfId="41026" xr:uid="{00000000-0005-0000-0000-00004B0F0000}"/>
    <cellStyle name="Comma 15 3 3 2 3" xfId="43738" xr:uid="{00000000-0005-0000-0000-00004C0F0000}"/>
    <cellStyle name="Comma 15 3 3 2 4" xfId="44112" xr:uid="{00000000-0005-0000-0000-00004D0F0000}"/>
    <cellStyle name="Comma 15 3 3 3" xfId="33022" xr:uid="{00000000-0005-0000-0000-00004E0F0000}"/>
    <cellStyle name="Comma 15 3 3 4" xfId="34841" xr:uid="{00000000-0005-0000-0000-00004F0F0000}"/>
    <cellStyle name="Comma 15 3 3 5" xfId="36943" xr:uid="{00000000-0005-0000-0000-0000500F0000}"/>
    <cellStyle name="Comma 15 3 3 6" xfId="39450" xr:uid="{00000000-0005-0000-0000-0000510F0000}"/>
    <cellStyle name="Comma 15 3 3 7" xfId="42410" xr:uid="{00000000-0005-0000-0000-0000520F0000}"/>
    <cellStyle name="Comma 15 3 3 8" xfId="44113" xr:uid="{00000000-0005-0000-0000-0000530F0000}"/>
    <cellStyle name="Comma 15 3 4" xfId="11799" xr:uid="{00000000-0005-0000-0000-0000540F0000}"/>
    <cellStyle name="Comma 15 3 4 2" xfId="40171" xr:uid="{00000000-0005-0000-0000-0000550F0000}"/>
    <cellStyle name="Comma 15 3 4 3" xfId="43020" xr:uid="{00000000-0005-0000-0000-0000560F0000}"/>
    <cellStyle name="Comma 15 3 4 4" xfId="44114" xr:uid="{00000000-0005-0000-0000-0000570F0000}"/>
    <cellStyle name="Comma 15 3 5" xfId="15328" xr:uid="{00000000-0005-0000-0000-0000580F0000}"/>
    <cellStyle name="Comma 15 3 6" xfId="29826" xr:uid="{00000000-0005-0000-0000-0000590F0000}"/>
    <cellStyle name="Comma 15 3 7" xfId="30573" xr:uid="{00000000-0005-0000-0000-00005A0F0000}"/>
    <cellStyle name="Comma 15 3 8" xfId="31649" xr:uid="{00000000-0005-0000-0000-00005B0F0000}"/>
    <cellStyle name="Comma 15 3 9" xfId="32291" xr:uid="{00000000-0005-0000-0000-00005C0F0000}"/>
    <cellStyle name="Comma 15 4" xfId="5713" xr:uid="{00000000-0005-0000-0000-00005D0F0000}"/>
    <cellStyle name="Comma 15 4 10" xfId="34363" xr:uid="{00000000-0005-0000-0000-00005E0F0000}"/>
    <cellStyle name="Comma 15 4 11" xfId="36531" xr:uid="{00000000-0005-0000-0000-00005F0F0000}"/>
    <cellStyle name="Comma 15 4 12" xfId="38080" xr:uid="{00000000-0005-0000-0000-0000600F0000}"/>
    <cellStyle name="Comma 15 4 13" xfId="41577" xr:uid="{00000000-0005-0000-0000-0000610F0000}"/>
    <cellStyle name="Comma 15 4 14" xfId="44115" xr:uid="{00000000-0005-0000-0000-0000620F0000}"/>
    <cellStyle name="Comma 15 4 15" xfId="8696" xr:uid="{00000000-0005-0000-0000-0000630F0000}"/>
    <cellStyle name="Comma 15 4 2" xfId="12695" xr:uid="{00000000-0005-0000-0000-0000640F0000}"/>
    <cellStyle name="Comma 15 4 2 2" xfId="31277" xr:uid="{00000000-0005-0000-0000-0000650F0000}"/>
    <cellStyle name="Comma 15 4 2 3" xfId="33131" xr:uid="{00000000-0005-0000-0000-0000660F0000}"/>
    <cellStyle name="Comma 15 4 2 4" xfId="34954" xr:uid="{00000000-0005-0000-0000-0000670F0000}"/>
    <cellStyle name="Comma 15 4 2 5" xfId="37052" xr:uid="{00000000-0005-0000-0000-0000680F0000}"/>
    <cellStyle name="Comma 15 4 2 6" xfId="40036" xr:uid="{00000000-0005-0000-0000-0000690F0000}"/>
    <cellStyle name="Comma 15 4 2 7" xfId="42905" xr:uid="{00000000-0005-0000-0000-00006A0F0000}"/>
    <cellStyle name="Comma 15 4 2 8" xfId="44116" xr:uid="{00000000-0005-0000-0000-00006B0F0000}"/>
    <cellStyle name="Comma 15 4 3" xfId="11912" xr:uid="{00000000-0005-0000-0000-00006C0F0000}"/>
    <cellStyle name="Comma 15 4 4" xfId="15330" xr:uid="{00000000-0005-0000-0000-00006D0F0000}"/>
    <cellStyle name="Comma 15 4 5" xfId="29828" xr:uid="{00000000-0005-0000-0000-00006E0F0000}"/>
    <cellStyle name="Comma 15 4 6" xfId="30686" xr:uid="{00000000-0005-0000-0000-00006F0F0000}"/>
    <cellStyle name="Comma 15 4 7" xfId="31651" xr:uid="{00000000-0005-0000-0000-0000700F0000}"/>
    <cellStyle name="Comma 15 4 8" xfId="32293" xr:uid="{00000000-0005-0000-0000-0000710F0000}"/>
    <cellStyle name="Comma 15 4 9" xfId="33505" xr:uid="{00000000-0005-0000-0000-0000720F0000}"/>
    <cellStyle name="Comma 15 5" xfId="6172" xr:uid="{00000000-0005-0000-0000-0000730F0000}"/>
    <cellStyle name="Comma 15 5 10" xfId="34614" xr:uid="{00000000-0005-0000-0000-0000740F0000}"/>
    <cellStyle name="Comma 15 5 11" xfId="36742" xr:uid="{00000000-0005-0000-0000-0000750F0000}"/>
    <cellStyle name="Comma 15 5 12" xfId="38917" xr:uid="{00000000-0005-0000-0000-0000760F0000}"/>
    <cellStyle name="Comma 15 5 13" xfId="41948" xr:uid="{00000000-0005-0000-0000-0000770F0000}"/>
    <cellStyle name="Comma 15 5 14" xfId="44117" xr:uid="{00000000-0005-0000-0000-0000780F0000}"/>
    <cellStyle name="Comma 15 5 15" xfId="11500" xr:uid="{00000000-0005-0000-0000-0000790F0000}"/>
    <cellStyle name="Comma 15 5 2" xfId="15121" xr:uid="{00000000-0005-0000-0000-00007A0F0000}"/>
    <cellStyle name="Comma 15 5 2 2" xfId="31528" xr:uid="{00000000-0005-0000-0000-00007B0F0000}"/>
    <cellStyle name="Comma 15 5 2 3" xfId="33381" xr:uid="{00000000-0005-0000-0000-00007C0F0000}"/>
    <cellStyle name="Comma 15 5 2 4" xfId="35205" xr:uid="{00000000-0005-0000-0000-00007D0F0000}"/>
    <cellStyle name="Comma 15 5 2 5" xfId="37285" xr:uid="{00000000-0005-0000-0000-00007E0F0000}"/>
    <cellStyle name="Comma 15 5 2 6" xfId="40475" xr:uid="{00000000-0005-0000-0000-00007F0F0000}"/>
    <cellStyle name="Comma 15 5 2 7" xfId="43276" xr:uid="{00000000-0005-0000-0000-0000800F0000}"/>
    <cellStyle name="Comma 15 5 2 8" xfId="44118" xr:uid="{00000000-0005-0000-0000-0000810F0000}"/>
    <cellStyle name="Comma 15 5 3" xfId="12163" xr:uid="{00000000-0005-0000-0000-0000820F0000}"/>
    <cellStyle name="Comma 15 5 4" xfId="15331" xr:uid="{00000000-0005-0000-0000-0000830F0000}"/>
    <cellStyle name="Comma 15 5 5" xfId="29829" xr:uid="{00000000-0005-0000-0000-0000840F0000}"/>
    <cellStyle name="Comma 15 5 6" xfId="30937" xr:uid="{00000000-0005-0000-0000-0000850F0000}"/>
    <cellStyle name="Comma 15 5 7" xfId="31652" xr:uid="{00000000-0005-0000-0000-0000860F0000}"/>
    <cellStyle name="Comma 15 5 8" xfId="32294" xr:uid="{00000000-0005-0000-0000-0000870F0000}"/>
    <cellStyle name="Comma 15 5 9" xfId="33506" xr:uid="{00000000-0005-0000-0000-0000880F0000}"/>
    <cellStyle name="Comma 15 6" xfId="12240" xr:uid="{00000000-0005-0000-0000-0000890F0000}"/>
    <cellStyle name="Comma 15 6 2" xfId="31013" xr:uid="{00000000-0005-0000-0000-00008A0F0000}"/>
    <cellStyle name="Comma 15 6 2 2" xfId="40888" xr:uid="{00000000-0005-0000-0000-00008B0F0000}"/>
    <cellStyle name="Comma 15 6 2 3" xfId="43623" xr:uid="{00000000-0005-0000-0000-00008C0F0000}"/>
    <cellStyle name="Comma 15 6 2 4" xfId="44119" xr:uid="{00000000-0005-0000-0000-00008D0F0000}"/>
    <cellStyle name="Comma 15 6 3" xfId="32888" xr:uid="{00000000-0005-0000-0000-00008E0F0000}"/>
    <cellStyle name="Comma 15 6 4" xfId="34690" xr:uid="{00000000-0005-0000-0000-00008F0F0000}"/>
    <cellStyle name="Comma 15 6 5" xfId="36798" xr:uid="{00000000-0005-0000-0000-0000900F0000}"/>
    <cellStyle name="Comma 15 6 6" xfId="39317" xr:uid="{00000000-0005-0000-0000-0000910F0000}"/>
    <cellStyle name="Comma 15 6 7" xfId="42295" xr:uid="{00000000-0005-0000-0000-0000920F0000}"/>
    <cellStyle name="Comma 15 6 8" xfId="44120" xr:uid="{00000000-0005-0000-0000-0000930F0000}"/>
    <cellStyle name="Comma 15 7" xfId="11646" xr:uid="{00000000-0005-0000-0000-0000940F0000}"/>
    <cellStyle name="Comma 15 7 2" xfId="39782" xr:uid="{00000000-0005-0000-0000-0000950F0000}"/>
    <cellStyle name="Comma 15 7 3" xfId="42690" xr:uid="{00000000-0005-0000-0000-0000960F0000}"/>
    <cellStyle name="Comma 15 7 4" xfId="44121" xr:uid="{00000000-0005-0000-0000-0000970F0000}"/>
    <cellStyle name="Comma 15 8" xfId="15323" xr:uid="{00000000-0005-0000-0000-0000980F0000}"/>
    <cellStyle name="Comma 15 9" xfId="29821" xr:uid="{00000000-0005-0000-0000-0000990F0000}"/>
    <cellStyle name="Comma 16" xfId="4536" xr:uid="{00000000-0005-0000-0000-00009A0F0000}"/>
    <cellStyle name="Comma 16 10" xfId="44122" xr:uid="{00000000-0005-0000-0000-00009B0F0000}"/>
    <cellStyle name="Comma 16 11" xfId="15332" xr:uid="{00000000-0005-0000-0000-00009C0F0000}"/>
    <cellStyle name="Comma 16 2" xfId="5985" xr:uid="{00000000-0005-0000-0000-00009D0F0000}"/>
    <cellStyle name="Comma 16 2 2" xfId="40303" xr:uid="{00000000-0005-0000-0000-00009E0F0000}"/>
    <cellStyle name="Comma 16 2 2 2" xfId="43130" xr:uid="{00000000-0005-0000-0000-00009F0F0000}"/>
    <cellStyle name="Comma 16 2 2 3" xfId="44123" xr:uid="{00000000-0005-0000-0000-0000A00F0000}"/>
    <cellStyle name="Comma 16 2 3" xfId="38762" xr:uid="{00000000-0005-0000-0000-0000A10F0000}"/>
    <cellStyle name="Comma 16 2 4" xfId="41802" xr:uid="{00000000-0005-0000-0000-0000A20F0000}"/>
    <cellStyle name="Comma 16 2 5" xfId="44124" xr:uid="{00000000-0005-0000-0000-0000A30F0000}"/>
    <cellStyle name="Comma 16 2 6" xfId="29830" xr:uid="{00000000-0005-0000-0000-0000A40F0000}"/>
    <cellStyle name="Comma 16 3" xfId="6306" xr:uid="{00000000-0005-0000-0000-0000A50F0000}"/>
    <cellStyle name="Comma 16 3 2" xfId="40543" xr:uid="{00000000-0005-0000-0000-0000A60F0000}"/>
    <cellStyle name="Comma 16 3 2 2" xfId="43337" xr:uid="{00000000-0005-0000-0000-0000A70F0000}"/>
    <cellStyle name="Comma 16 3 2 3" xfId="44125" xr:uid="{00000000-0005-0000-0000-0000A80F0000}"/>
    <cellStyle name="Comma 16 3 3" xfId="38980" xr:uid="{00000000-0005-0000-0000-0000A90F0000}"/>
    <cellStyle name="Comma 16 3 4" xfId="42009" xr:uid="{00000000-0005-0000-0000-0000AA0F0000}"/>
    <cellStyle name="Comma 16 3 5" xfId="44126" xr:uid="{00000000-0005-0000-0000-0000AB0F0000}"/>
    <cellStyle name="Comma 16 3 6" xfId="31653" xr:uid="{00000000-0005-0000-0000-0000AC0F0000}"/>
    <cellStyle name="Comma 16 4" xfId="32295" xr:uid="{00000000-0005-0000-0000-0000AD0F0000}"/>
    <cellStyle name="Comma 16 4 2" xfId="41158" xr:uid="{00000000-0005-0000-0000-0000AE0F0000}"/>
    <cellStyle name="Comma 16 4 2 2" xfId="43848" xr:uid="{00000000-0005-0000-0000-0000AF0F0000}"/>
    <cellStyle name="Comma 16 4 2 3" xfId="44127" xr:uid="{00000000-0005-0000-0000-0000B00F0000}"/>
    <cellStyle name="Comma 16 4 3" xfId="39577" xr:uid="{00000000-0005-0000-0000-0000B10F0000}"/>
    <cellStyle name="Comma 16 4 4" xfId="42520" xr:uid="{00000000-0005-0000-0000-0000B20F0000}"/>
    <cellStyle name="Comma 16 4 5" xfId="44128" xr:uid="{00000000-0005-0000-0000-0000B30F0000}"/>
    <cellStyle name="Comma 16 5" xfId="33507" xr:uid="{00000000-0005-0000-0000-0000B40F0000}"/>
    <cellStyle name="Comma 16 5 2" xfId="39994" xr:uid="{00000000-0005-0000-0000-0000B50F0000}"/>
    <cellStyle name="Comma 16 5 3" xfId="42873" xr:uid="{00000000-0005-0000-0000-0000B60F0000}"/>
    <cellStyle name="Comma 16 5 4" xfId="44129" xr:uid="{00000000-0005-0000-0000-0000B70F0000}"/>
    <cellStyle name="Comma 16 6" xfId="35697" xr:uid="{00000000-0005-0000-0000-0000B80F0000}"/>
    <cellStyle name="Comma 16 7" xfId="36284" xr:uid="{00000000-0005-0000-0000-0000B90F0000}"/>
    <cellStyle name="Comma 16 8" xfId="37599" xr:uid="{00000000-0005-0000-0000-0000BA0F0000}"/>
    <cellStyle name="Comma 16 9" xfId="41545" xr:uid="{00000000-0005-0000-0000-0000BB0F0000}"/>
    <cellStyle name="Comma 17" xfId="5664" xr:uid="{00000000-0005-0000-0000-0000BC0F0000}"/>
    <cellStyle name="Comma 17 2" xfId="39284" xr:uid="{00000000-0005-0000-0000-0000BD0F0000}"/>
    <cellStyle name="Comma 17 2 2" xfId="40849" xr:uid="{00000000-0005-0000-0000-0000BE0F0000}"/>
    <cellStyle name="Comma 17 2 2 2" xfId="43593" xr:uid="{00000000-0005-0000-0000-0000BF0F0000}"/>
    <cellStyle name="Comma 17 2 2 3" xfId="44130" xr:uid="{00000000-0005-0000-0000-0000C00F0000}"/>
    <cellStyle name="Comma 17 2 3" xfId="42265" xr:uid="{00000000-0005-0000-0000-0000C10F0000}"/>
    <cellStyle name="Comma 17 2 4" xfId="44131" xr:uid="{00000000-0005-0000-0000-0000C20F0000}"/>
    <cellStyle name="Comma 17 3" xfId="39998" xr:uid="{00000000-0005-0000-0000-0000C30F0000}"/>
    <cellStyle name="Comma 17 3 2" xfId="42875" xr:uid="{00000000-0005-0000-0000-0000C40F0000}"/>
    <cellStyle name="Comma 17 3 3" xfId="44132" xr:uid="{00000000-0005-0000-0000-0000C50F0000}"/>
    <cellStyle name="Comma 17 4" xfId="37607" xr:uid="{00000000-0005-0000-0000-0000C60F0000}"/>
    <cellStyle name="Comma 17 5" xfId="41547" xr:uid="{00000000-0005-0000-0000-0000C70F0000}"/>
    <cellStyle name="Comma 17 6" xfId="44133" xr:uid="{00000000-0005-0000-0000-0000C80F0000}"/>
    <cellStyle name="Comma 17 7" xfId="35277" xr:uid="{00000000-0005-0000-0000-0000C90F0000}"/>
    <cellStyle name="Comma 18" xfId="6164" xr:uid="{00000000-0005-0000-0000-0000CA0F0000}"/>
    <cellStyle name="Comma 18 2" xfId="39743" xr:uid="{00000000-0005-0000-0000-0000CB0F0000}"/>
    <cellStyle name="Comma 18 2 2" xfId="41330" xr:uid="{00000000-0005-0000-0000-0000CC0F0000}"/>
    <cellStyle name="Comma 18 2 2 2" xfId="43988" xr:uid="{00000000-0005-0000-0000-0000CD0F0000}"/>
    <cellStyle name="Comma 18 2 2 3" xfId="44134" xr:uid="{00000000-0005-0000-0000-0000CE0F0000}"/>
    <cellStyle name="Comma 18 2 3" xfId="42660" xr:uid="{00000000-0005-0000-0000-0000CF0F0000}"/>
    <cellStyle name="Comma 18 2 4" xfId="44135" xr:uid="{00000000-0005-0000-0000-0000D00F0000}"/>
    <cellStyle name="Comma 18 3" xfId="40469" xr:uid="{00000000-0005-0000-0000-0000D10F0000}"/>
    <cellStyle name="Comma 18 3 2" xfId="43270" xr:uid="{00000000-0005-0000-0000-0000D20F0000}"/>
    <cellStyle name="Comma 18 3 3" xfId="44136" xr:uid="{00000000-0005-0000-0000-0000D30F0000}"/>
    <cellStyle name="Comma 18 4" xfId="41942" xr:uid="{00000000-0005-0000-0000-0000D40F0000}"/>
    <cellStyle name="Comma 18 5" xfId="44137" xr:uid="{00000000-0005-0000-0000-0000D50F0000}"/>
    <cellStyle name="Comma 18 6" xfId="38909" xr:uid="{00000000-0005-0000-0000-0000D60F0000}"/>
    <cellStyle name="Comma 19" xfId="5658" xr:uid="{00000000-0005-0000-0000-0000D70F0000}"/>
    <cellStyle name="Comma 19 2" xfId="39996" xr:uid="{00000000-0005-0000-0000-0000D80F0000}"/>
    <cellStyle name="Comma 19 2 2" xfId="42874" xr:uid="{00000000-0005-0000-0000-0000D90F0000}"/>
    <cellStyle name="Comma 19 2 3" xfId="44138" xr:uid="{00000000-0005-0000-0000-0000DA0F0000}"/>
    <cellStyle name="Comma 19 3" xfId="41546" xr:uid="{00000000-0005-0000-0000-0000DB0F0000}"/>
    <cellStyle name="Comma 19 4" xfId="44139" xr:uid="{00000000-0005-0000-0000-0000DC0F0000}"/>
    <cellStyle name="Comma 19 5" xfId="37603" xr:uid="{00000000-0005-0000-0000-0000DD0F0000}"/>
    <cellStyle name="Comma 2" xfId="2749" xr:uid="{00000000-0005-0000-0000-0000DE0F0000}"/>
    <cellStyle name="Comma 2 10" xfId="2750" xr:uid="{00000000-0005-0000-0000-0000DF0F0000}"/>
    <cellStyle name="Comma 2 10 10" xfId="31655" xr:uid="{00000000-0005-0000-0000-0000E00F0000}"/>
    <cellStyle name="Comma 2 10 11" xfId="32297" xr:uid="{00000000-0005-0000-0000-0000E10F0000}"/>
    <cellStyle name="Comma 2 10 12" xfId="33509" xr:uid="{00000000-0005-0000-0000-0000E20F0000}"/>
    <cellStyle name="Comma 2 10 13" xfId="34138" xr:uid="{00000000-0005-0000-0000-0000E30F0000}"/>
    <cellStyle name="Comma 2 10 14" xfId="35312" xr:uid="{00000000-0005-0000-0000-0000E40F0000}"/>
    <cellStyle name="Comma 2 10 15" xfId="36175" xr:uid="{00000000-0005-0000-0000-0000E50F0000}"/>
    <cellStyle name="Comma 2 10 16" xfId="37417" xr:uid="{00000000-0005-0000-0000-0000E60F0000}"/>
    <cellStyle name="Comma 2 10 17" xfId="41364" xr:uid="{00000000-0005-0000-0000-0000E70F0000}"/>
    <cellStyle name="Comma 2 10 18" xfId="44140" xr:uid="{00000000-0005-0000-0000-0000E80F0000}"/>
    <cellStyle name="Comma 2 10 19" xfId="6651" xr:uid="{00000000-0005-0000-0000-0000E90F0000}"/>
    <cellStyle name="Comma 2 10 2" xfId="5061" xr:uid="{00000000-0005-0000-0000-0000EA0F0000}"/>
    <cellStyle name="Comma 2 10 2 10" xfId="33510" xr:uid="{00000000-0005-0000-0000-0000EB0F0000}"/>
    <cellStyle name="Comma 2 10 2 11" xfId="34290" xr:uid="{00000000-0005-0000-0000-0000EC0F0000}"/>
    <cellStyle name="Comma 2 10 2 12" xfId="36016" xr:uid="{00000000-0005-0000-0000-0000ED0F0000}"/>
    <cellStyle name="Comma 2 10 2 13" xfId="36316" xr:uid="{00000000-0005-0000-0000-0000EE0F0000}"/>
    <cellStyle name="Comma 2 10 2 14" xfId="37491" xr:uid="{00000000-0005-0000-0000-0000EF0F0000}"/>
    <cellStyle name="Comma 2 10 2 15" xfId="41437" xr:uid="{00000000-0005-0000-0000-0000F00F0000}"/>
    <cellStyle name="Comma 2 10 2 16" xfId="44141" xr:uid="{00000000-0005-0000-0000-0000F10F0000}"/>
    <cellStyle name="Comma 2 10 2 17" xfId="8527" xr:uid="{00000000-0005-0000-0000-0000F20F0000}"/>
    <cellStyle name="Comma 2 10 2 2" xfId="6030" xr:uid="{00000000-0005-0000-0000-0000F30F0000}"/>
    <cellStyle name="Comma 2 10 2 2 10" xfId="34369" xr:uid="{00000000-0005-0000-0000-0000F40F0000}"/>
    <cellStyle name="Comma 2 10 2 2 11" xfId="36537" xr:uid="{00000000-0005-0000-0000-0000F50F0000}"/>
    <cellStyle name="Comma 2 10 2 2 12" xfId="38795" xr:uid="{00000000-0005-0000-0000-0000F60F0000}"/>
    <cellStyle name="Comma 2 10 2 2 13" xfId="41834" xr:uid="{00000000-0005-0000-0000-0000F70F0000}"/>
    <cellStyle name="Comma 2 10 2 2 14" xfId="44142" xr:uid="{00000000-0005-0000-0000-0000F80F0000}"/>
    <cellStyle name="Comma 2 10 2 2 15" xfId="8702" xr:uid="{00000000-0005-0000-0000-0000F90F0000}"/>
    <cellStyle name="Comma 2 10 2 2 2" xfId="12701" xr:uid="{00000000-0005-0000-0000-0000FA0F0000}"/>
    <cellStyle name="Comma 2 10 2 2 2 2" xfId="31283" xr:uid="{00000000-0005-0000-0000-0000FB0F0000}"/>
    <cellStyle name="Comma 2 10 2 2 2 3" xfId="33137" xr:uid="{00000000-0005-0000-0000-0000FC0F0000}"/>
    <cellStyle name="Comma 2 10 2 2 2 4" xfId="34960" xr:uid="{00000000-0005-0000-0000-0000FD0F0000}"/>
    <cellStyle name="Comma 2 10 2 2 2 5" xfId="37058" xr:uid="{00000000-0005-0000-0000-0000FE0F0000}"/>
    <cellStyle name="Comma 2 10 2 2 2 6" xfId="40344" xr:uid="{00000000-0005-0000-0000-0000FF0F0000}"/>
    <cellStyle name="Comma 2 10 2 2 2 7" xfId="43162" xr:uid="{00000000-0005-0000-0000-000000100000}"/>
    <cellStyle name="Comma 2 10 2 2 2 8" xfId="44143" xr:uid="{00000000-0005-0000-0000-000001100000}"/>
    <cellStyle name="Comma 2 10 2 2 3" xfId="11918" xr:uid="{00000000-0005-0000-0000-000002100000}"/>
    <cellStyle name="Comma 2 10 2 2 4" xfId="15336" xr:uid="{00000000-0005-0000-0000-000003100000}"/>
    <cellStyle name="Comma 2 10 2 2 5" xfId="29834" xr:uid="{00000000-0005-0000-0000-000004100000}"/>
    <cellStyle name="Comma 2 10 2 2 6" xfId="30692" xr:uid="{00000000-0005-0000-0000-000005100000}"/>
    <cellStyle name="Comma 2 10 2 2 7" xfId="31657" xr:uid="{00000000-0005-0000-0000-000006100000}"/>
    <cellStyle name="Comma 2 10 2 2 8" xfId="32299" xr:uid="{00000000-0005-0000-0000-000007100000}"/>
    <cellStyle name="Comma 2 10 2 2 9" xfId="33511" xr:uid="{00000000-0005-0000-0000-000008100000}"/>
    <cellStyle name="Comma 2 10 2 3" xfId="6350" xr:uid="{00000000-0005-0000-0000-000009100000}"/>
    <cellStyle name="Comma 2 10 2 3 2" xfId="31204" xr:uid="{00000000-0005-0000-0000-00000A100000}"/>
    <cellStyle name="Comma 2 10 2 3 2 2" xfId="40583" xr:uid="{00000000-0005-0000-0000-00000B100000}"/>
    <cellStyle name="Comma 2 10 2 3 2 3" xfId="43369" xr:uid="{00000000-0005-0000-0000-00000C100000}"/>
    <cellStyle name="Comma 2 10 2 3 2 4" xfId="44144" xr:uid="{00000000-0005-0000-0000-00000D100000}"/>
    <cellStyle name="Comma 2 10 2 3 3" xfId="33060" xr:uid="{00000000-0005-0000-0000-00000E100000}"/>
    <cellStyle name="Comma 2 10 2 3 4" xfId="34881" xr:uid="{00000000-0005-0000-0000-00000F100000}"/>
    <cellStyle name="Comma 2 10 2 3 5" xfId="36981" xr:uid="{00000000-0005-0000-0000-000010100000}"/>
    <cellStyle name="Comma 2 10 2 3 6" xfId="39015" xr:uid="{00000000-0005-0000-0000-000011100000}"/>
    <cellStyle name="Comma 2 10 2 3 7" xfId="42041" xr:uid="{00000000-0005-0000-0000-000012100000}"/>
    <cellStyle name="Comma 2 10 2 3 8" xfId="44145" xr:uid="{00000000-0005-0000-0000-000013100000}"/>
    <cellStyle name="Comma 2 10 2 3 9" xfId="12562" xr:uid="{00000000-0005-0000-0000-000014100000}"/>
    <cellStyle name="Comma 2 10 2 4" xfId="11839" xr:uid="{00000000-0005-0000-0000-000015100000}"/>
    <cellStyle name="Comma 2 10 2 4 2" xfId="41200" xr:uid="{00000000-0005-0000-0000-000016100000}"/>
    <cellStyle name="Comma 2 10 2 4 2 2" xfId="43880" xr:uid="{00000000-0005-0000-0000-000017100000}"/>
    <cellStyle name="Comma 2 10 2 4 2 3" xfId="44146" xr:uid="{00000000-0005-0000-0000-000018100000}"/>
    <cellStyle name="Comma 2 10 2 4 3" xfId="39617" xr:uid="{00000000-0005-0000-0000-000019100000}"/>
    <cellStyle name="Comma 2 10 2 4 4" xfId="42552" xr:uid="{00000000-0005-0000-0000-00001A100000}"/>
    <cellStyle name="Comma 2 10 2 4 5" xfId="44147" xr:uid="{00000000-0005-0000-0000-00001B100000}"/>
    <cellStyle name="Comma 2 10 2 5" xfId="15335" xr:uid="{00000000-0005-0000-0000-00001C100000}"/>
    <cellStyle name="Comma 2 10 2 5 2" xfId="39866" xr:uid="{00000000-0005-0000-0000-00001D100000}"/>
    <cellStyle name="Comma 2 10 2 5 3" xfId="42765" xr:uid="{00000000-0005-0000-0000-00001E100000}"/>
    <cellStyle name="Comma 2 10 2 5 4" xfId="44148" xr:uid="{00000000-0005-0000-0000-00001F100000}"/>
    <cellStyle name="Comma 2 10 2 6" xfId="29833" xr:uid="{00000000-0005-0000-0000-000020100000}"/>
    <cellStyle name="Comma 2 10 2 7" xfId="30613" xr:uid="{00000000-0005-0000-0000-000021100000}"/>
    <cellStyle name="Comma 2 10 2 8" xfId="31656" xr:uid="{00000000-0005-0000-0000-000022100000}"/>
    <cellStyle name="Comma 2 10 2 9" xfId="32298" xr:uid="{00000000-0005-0000-0000-000023100000}"/>
    <cellStyle name="Comma 2 10 3" xfId="4402" xr:uid="{00000000-0005-0000-0000-000024100000}"/>
    <cellStyle name="Comma 2 10 3 10" xfId="34368" xr:uid="{00000000-0005-0000-0000-000025100000}"/>
    <cellStyle name="Comma 2 10 3 11" xfId="35585" xr:uid="{00000000-0005-0000-0000-000026100000}"/>
    <cellStyle name="Comma 2 10 3 12" xfId="36536" xr:uid="{00000000-0005-0000-0000-000027100000}"/>
    <cellStyle name="Comma 2 10 3 13" xfId="38654" xr:uid="{00000000-0005-0000-0000-000028100000}"/>
    <cellStyle name="Comma 2 10 3 14" xfId="41694" xr:uid="{00000000-0005-0000-0000-000029100000}"/>
    <cellStyle name="Comma 2 10 3 15" xfId="44149" xr:uid="{00000000-0005-0000-0000-00002A100000}"/>
    <cellStyle name="Comma 2 10 3 16" xfId="8701" xr:uid="{00000000-0005-0000-0000-00002B100000}"/>
    <cellStyle name="Comma 2 10 3 2" xfId="5853" xr:uid="{00000000-0005-0000-0000-00002C100000}"/>
    <cellStyle name="Comma 2 10 3 2 2" xfId="31282" xr:uid="{00000000-0005-0000-0000-00002D100000}"/>
    <cellStyle name="Comma 2 10 3 2 2 2" xfId="40721" xr:uid="{00000000-0005-0000-0000-00002E100000}"/>
    <cellStyle name="Comma 2 10 3 2 2 3" xfId="43484" xr:uid="{00000000-0005-0000-0000-00002F100000}"/>
    <cellStyle name="Comma 2 10 3 2 2 4" xfId="44150" xr:uid="{00000000-0005-0000-0000-000030100000}"/>
    <cellStyle name="Comma 2 10 3 2 3" xfId="33136" xr:uid="{00000000-0005-0000-0000-000031100000}"/>
    <cellStyle name="Comma 2 10 3 2 4" xfId="34959" xr:uid="{00000000-0005-0000-0000-000032100000}"/>
    <cellStyle name="Comma 2 10 3 2 5" xfId="37057" xr:uid="{00000000-0005-0000-0000-000033100000}"/>
    <cellStyle name="Comma 2 10 3 2 6" xfId="39148" xr:uid="{00000000-0005-0000-0000-000034100000}"/>
    <cellStyle name="Comma 2 10 3 2 7" xfId="42156" xr:uid="{00000000-0005-0000-0000-000035100000}"/>
    <cellStyle name="Comma 2 10 3 2 8" xfId="44151" xr:uid="{00000000-0005-0000-0000-000036100000}"/>
    <cellStyle name="Comma 2 10 3 2 9" xfId="12700" xr:uid="{00000000-0005-0000-0000-000037100000}"/>
    <cellStyle name="Comma 2 10 3 3" xfId="11917" xr:uid="{00000000-0005-0000-0000-000038100000}"/>
    <cellStyle name="Comma 2 10 3 3 2" xfId="41028" xr:uid="{00000000-0005-0000-0000-000039100000}"/>
    <cellStyle name="Comma 2 10 3 3 2 2" xfId="43740" xr:uid="{00000000-0005-0000-0000-00003A100000}"/>
    <cellStyle name="Comma 2 10 3 3 2 3" xfId="44152" xr:uid="{00000000-0005-0000-0000-00003B100000}"/>
    <cellStyle name="Comma 2 10 3 3 3" xfId="39452" xr:uid="{00000000-0005-0000-0000-00003C100000}"/>
    <cellStyle name="Comma 2 10 3 3 4" xfId="42412" xr:uid="{00000000-0005-0000-0000-00003D100000}"/>
    <cellStyle name="Comma 2 10 3 3 5" xfId="44153" xr:uid="{00000000-0005-0000-0000-00003E100000}"/>
    <cellStyle name="Comma 2 10 3 4" xfId="15337" xr:uid="{00000000-0005-0000-0000-00003F100000}"/>
    <cellStyle name="Comma 2 10 3 4 2" xfId="40173" xr:uid="{00000000-0005-0000-0000-000040100000}"/>
    <cellStyle name="Comma 2 10 3 4 3" xfId="43022" xr:uid="{00000000-0005-0000-0000-000041100000}"/>
    <cellStyle name="Comma 2 10 3 4 4" xfId="44154" xr:uid="{00000000-0005-0000-0000-000042100000}"/>
    <cellStyle name="Comma 2 10 3 5" xfId="29835" xr:uid="{00000000-0005-0000-0000-000043100000}"/>
    <cellStyle name="Comma 2 10 3 6" xfId="30691" xr:uid="{00000000-0005-0000-0000-000044100000}"/>
    <cellStyle name="Comma 2 10 3 7" xfId="31658" xr:uid="{00000000-0005-0000-0000-000045100000}"/>
    <cellStyle name="Comma 2 10 3 8" xfId="32300" xr:uid="{00000000-0005-0000-0000-000046100000}"/>
    <cellStyle name="Comma 2 10 3 9" xfId="33512" xr:uid="{00000000-0005-0000-0000-000047100000}"/>
    <cellStyle name="Comma 2 10 4" xfId="5715" xr:uid="{00000000-0005-0000-0000-000048100000}"/>
    <cellStyle name="Comma 2 10 4 10" xfId="34616" xr:uid="{00000000-0005-0000-0000-000049100000}"/>
    <cellStyle name="Comma 2 10 4 11" xfId="36744" xr:uid="{00000000-0005-0000-0000-00004A100000}"/>
    <cellStyle name="Comma 2 10 4 12" xfId="38082" xr:uid="{00000000-0005-0000-0000-00004B100000}"/>
    <cellStyle name="Comma 2 10 4 13" xfId="41579" xr:uid="{00000000-0005-0000-0000-00004C100000}"/>
    <cellStyle name="Comma 2 10 4 14" xfId="44155" xr:uid="{00000000-0005-0000-0000-00004D100000}"/>
    <cellStyle name="Comma 2 10 4 15" xfId="11502" xr:uid="{00000000-0005-0000-0000-00004E100000}"/>
    <cellStyle name="Comma 2 10 4 2" xfId="15123" xr:uid="{00000000-0005-0000-0000-00004F100000}"/>
    <cellStyle name="Comma 2 10 4 2 2" xfId="31530" xr:uid="{00000000-0005-0000-0000-000050100000}"/>
    <cellStyle name="Comma 2 10 4 2 3" xfId="33383" xr:uid="{00000000-0005-0000-0000-000051100000}"/>
    <cellStyle name="Comma 2 10 4 2 4" xfId="35207" xr:uid="{00000000-0005-0000-0000-000052100000}"/>
    <cellStyle name="Comma 2 10 4 2 5" xfId="37287" xr:uid="{00000000-0005-0000-0000-000053100000}"/>
    <cellStyle name="Comma 2 10 4 2 6" xfId="40038" xr:uid="{00000000-0005-0000-0000-000054100000}"/>
    <cellStyle name="Comma 2 10 4 2 7" xfId="42907" xr:uid="{00000000-0005-0000-0000-000055100000}"/>
    <cellStyle name="Comma 2 10 4 2 8" xfId="44156" xr:uid="{00000000-0005-0000-0000-000056100000}"/>
    <cellStyle name="Comma 2 10 4 3" xfId="12165" xr:uid="{00000000-0005-0000-0000-000057100000}"/>
    <cellStyle name="Comma 2 10 4 4" xfId="15338" xr:uid="{00000000-0005-0000-0000-000058100000}"/>
    <cellStyle name="Comma 2 10 4 5" xfId="29836" xr:uid="{00000000-0005-0000-0000-000059100000}"/>
    <cellStyle name="Comma 2 10 4 6" xfId="30939" xr:uid="{00000000-0005-0000-0000-00005A100000}"/>
    <cellStyle name="Comma 2 10 4 7" xfId="31659" xr:uid="{00000000-0005-0000-0000-00005B100000}"/>
    <cellStyle name="Comma 2 10 4 8" xfId="32301" xr:uid="{00000000-0005-0000-0000-00005C100000}"/>
    <cellStyle name="Comma 2 10 4 9" xfId="33513" xr:uid="{00000000-0005-0000-0000-00005D100000}"/>
    <cellStyle name="Comma 2 10 5" xfId="6174" xr:uid="{00000000-0005-0000-0000-00005E100000}"/>
    <cellStyle name="Comma 2 10 5 2" xfId="31052" xr:uid="{00000000-0005-0000-0000-00005F100000}"/>
    <cellStyle name="Comma 2 10 5 2 2" xfId="40477" xr:uid="{00000000-0005-0000-0000-000060100000}"/>
    <cellStyle name="Comma 2 10 5 2 3" xfId="43278" xr:uid="{00000000-0005-0000-0000-000061100000}"/>
    <cellStyle name="Comma 2 10 5 2 4" xfId="44157" xr:uid="{00000000-0005-0000-0000-000062100000}"/>
    <cellStyle name="Comma 2 10 5 3" xfId="32921" xr:uid="{00000000-0005-0000-0000-000063100000}"/>
    <cellStyle name="Comma 2 10 5 4" xfId="34729" xr:uid="{00000000-0005-0000-0000-000064100000}"/>
    <cellStyle name="Comma 2 10 5 5" xfId="36837" xr:uid="{00000000-0005-0000-0000-000065100000}"/>
    <cellStyle name="Comma 2 10 5 6" xfId="38919" xr:uid="{00000000-0005-0000-0000-000066100000}"/>
    <cellStyle name="Comma 2 10 5 7" xfId="41950" xr:uid="{00000000-0005-0000-0000-000067100000}"/>
    <cellStyle name="Comma 2 10 5 8" xfId="44158" xr:uid="{00000000-0005-0000-0000-000068100000}"/>
    <cellStyle name="Comma 2 10 5 9" xfId="12279" xr:uid="{00000000-0005-0000-0000-000069100000}"/>
    <cellStyle name="Comma 2 10 6" xfId="11686" xr:uid="{00000000-0005-0000-0000-00006A100000}"/>
    <cellStyle name="Comma 2 10 6 2" xfId="40890" xr:uid="{00000000-0005-0000-0000-00006B100000}"/>
    <cellStyle name="Comma 2 10 6 2 2" xfId="43625" xr:uid="{00000000-0005-0000-0000-00006C100000}"/>
    <cellStyle name="Comma 2 10 6 2 3" xfId="44159" xr:uid="{00000000-0005-0000-0000-00006D100000}"/>
    <cellStyle name="Comma 2 10 6 3" xfId="39319" xr:uid="{00000000-0005-0000-0000-00006E100000}"/>
    <cellStyle name="Comma 2 10 6 4" xfId="42297" xr:uid="{00000000-0005-0000-0000-00006F100000}"/>
    <cellStyle name="Comma 2 10 6 5" xfId="44160" xr:uid="{00000000-0005-0000-0000-000070100000}"/>
    <cellStyle name="Comma 2 10 7" xfId="15334" xr:uid="{00000000-0005-0000-0000-000071100000}"/>
    <cellStyle name="Comma 2 10 7 2" xfId="39784" xr:uid="{00000000-0005-0000-0000-000072100000}"/>
    <cellStyle name="Comma 2 10 7 3" xfId="42692" xr:uid="{00000000-0005-0000-0000-000073100000}"/>
    <cellStyle name="Comma 2 10 7 4" xfId="44161" xr:uid="{00000000-0005-0000-0000-000074100000}"/>
    <cellStyle name="Comma 2 10 8" xfId="29832" xr:uid="{00000000-0005-0000-0000-000075100000}"/>
    <cellStyle name="Comma 2 10 9" xfId="30461" xr:uid="{00000000-0005-0000-0000-000076100000}"/>
    <cellStyle name="Comma 2 11" xfId="5060" xr:uid="{00000000-0005-0000-0000-000077100000}"/>
    <cellStyle name="Comma 2 11 10" xfId="32302" xr:uid="{00000000-0005-0000-0000-000078100000}"/>
    <cellStyle name="Comma 2 11 11" xfId="33514" xr:uid="{00000000-0005-0000-0000-000079100000}"/>
    <cellStyle name="Comma 2 11 12" xfId="34170" xr:uid="{00000000-0005-0000-0000-00007A100000}"/>
    <cellStyle name="Comma 2 11 13" xfId="36015" xr:uid="{00000000-0005-0000-0000-00007B100000}"/>
    <cellStyle name="Comma 2 11 14" xfId="36315" xr:uid="{00000000-0005-0000-0000-00007C100000}"/>
    <cellStyle name="Comma 2 11 15" xfId="37490" xr:uid="{00000000-0005-0000-0000-00007D100000}"/>
    <cellStyle name="Comma 2 11 16" xfId="41436" xr:uid="{00000000-0005-0000-0000-00007E100000}"/>
    <cellStyle name="Comma 2 11 17" xfId="44162" xr:uid="{00000000-0005-0000-0000-00007F100000}"/>
    <cellStyle name="Comma 2 11 18" xfId="7333" xr:uid="{00000000-0005-0000-0000-000080100000}"/>
    <cellStyle name="Comma 2 11 2" xfId="6029" xr:uid="{00000000-0005-0000-0000-000081100000}"/>
    <cellStyle name="Comma 2 11 2 10" xfId="33515" xr:uid="{00000000-0005-0000-0000-000082100000}"/>
    <cellStyle name="Comma 2 11 2 11" xfId="34322" xr:uid="{00000000-0005-0000-0000-000083100000}"/>
    <cellStyle name="Comma 2 11 2 12" xfId="36498" xr:uid="{00000000-0005-0000-0000-000084100000}"/>
    <cellStyle name="Comma 2 11 2 13" xfId="38794" xr:uid="{00000000-0005-0000-0000-000085100000}"/>
    <cellStyle name="Comma 2 11 2 14" xfId="41833" xr:uid="{00000000-0005-0000-0000-000086100000}"/>
    <cellStyle name="Comma 2 11 2 15" xfId="44163" xr:uid="{00000000-0005-0000-0000-000087100000}"/>
    <cellStyle name="Comma 2 11 2 16" xfId="8592" xr:uid="{00000000-0005-0000-0000-000088100000}"/>
    <cellStyle name="Comma 2 11 2 2" xfId="8704" xr:uid="{00000000-0005-0000-0000-000089100000}"/>
    <cellStyle name="Comma 2 11 2 2 10" xfId="34371" xr:uid="{00000000-0005-0000-0000-00008A100000}"/>
    <cellStyle name="Comma 2 11 2 2 11" xfId="36539" xr:uid="{00000000-0005-0000-0000-00008B100000}"/>
    <cellStyle name="Comma 2 11 2 2 12" xfId="40343" xr:uid="{00000000-0005-0000-0000-00008C100000}"/>
    <cellStyle name="Comma 2 11 2 2 13" xfId="43161" xr:uid="{00000000-0005-0000-0000-00008D100000}"/>
    <cellStyle name="Comma 2 11 2 2 14" xfId="44164" xr:uid="{00000000-0005-0000-0000-00008E100000}"/>
    <cellStyle name="Comma 2 11 2 2 2" xfId="12703" xr:uid="{00000000-0005-0000-0000-00008F100000}"/>
    <cellStyle name="Comma 2 11 2 2 2 2" xfId="31285" xr:uid="{00000000-0005-0000-0000-000090100000}"/>
    <cellStyle name="Comma 2 11 2 2 2 3" xfId="33139" xr:uid="{00000000-0005-0000-0000-000091100000}"/>
    <cellStyle name="Comma 2 11 2 2 2 4" xfId="34962" xr:uid="{00000000-0005-0000-0000-000092100000}"/>
    <cellStyle name="Comma 2 11 2 2 2 5" xfId="37060" xr:uid="{00000000-0005-0000-0000-000093100000}"/>
    <cellStyle name="Comma 2 11 2 2 3" xfId="11920" xr:uid="{00000000-0005-0000-0000-000094100000}"/>
    <cellStyle name="Comma 2 11 2 2 4" xfId="15341" xr:uid="{00000000-0005-0000-0000-000095100000}"/>
    <cellStyle name="Comma 2 11 2 2 5" xfId="29839" xr:uid="{00000000-0005-0000-0000-000096100000}"/>
    <cellStyle name="Comma 2 11 2 2 6" xfId="30694" xr:uid="{00000000-0005-0000-0000-000097100000}"/>
    <cellStyle name="Comma 2 11 2 2 7" xfId="31662" xr:uid="{00000000-0005-0000-0000-000098100000}"/>
    <cellStyle name="Comma 2 11 2 2 8" xfId="32304" xr:uid="{00000000-0005-0000-0000-000099100000}"/>
    <cellStyle name="Comma 2 11 2 2 9" xfId="33516" xr:uid="{00000000-0005-0000-0000-00009A100000}"/>
    <cellStyle name="Comma 2 11 2 3" xfId="12598" xr:uid="{00000000-0005-0000-0000-00009B100000}"/>
    <cellStyle name="Comma 2 11 2 3 2" xfId="31236" xr:uid="{00000000-0005-0000-0000-00009C100000}"/>
    <cellStyle name="Comma 2 11 2 3 3" xfId="33090" xr:uid="{00000000-0005-0000-0000-00009D100000}"/>
    <cellStyle name="Comma 2 11 2 3 4" xfId="34913" xr:uid="{00000000-0005-0000-0000-00009E100000}"/>
    <cellStyle name="Comma 2 11 2 3 5" xfId="37011" xr:uid="{00000000-0005-0000-0000-00009F100000}"/>
    <cellStyle name="Comma 2 11 2 4" xfId="11871" xr:uid="{00000000-0005-0000-0000-0000A0100000}"/>
    <cellStyle name="Comma 2 11 2 5" xfId="15340" xr:uid="{00000000-0005-0000-0000-0000A1100000}"/>
    <cellStyle name="Comma 2 11 2 6" xfId="29838" xr:uid="{00000000-0005-0000-0000-0000A2100000}"/>
    <cellStyle name="Comma 2 11 2 7" xfId="30645" xr:uid="{00000000-0005-0000-0000-0000A3100000}"/>
    <cellStyle name="Comma 2 11 2 8" xfId="31661" xr:uid="{00000000-0005-0000-0000-0000A4100000}"/>
    <cellStyle name="Comma 2 11 2 9" xfId="32303" xr:uid="{00000000-0005-0000-0000-0000A5100000}"/>
    <cellStyle name="Comma 2 11 3" xfId="6349" xr:uid="{00000000-0005-0000-0000-0000A6100000}"/>
    <cellStyle name="Comma 2 11 3 10" xfId="34370" xr:uid="{00000000-0005-0000-0000-0000A7100000}"/>
    <cellStyle name="Comma 2 11 3 11" xfId="36538" xr:uid="{00000000-0005-0000-0000-0000A8100000}"/>
    <cellStyle name="Comma 2 11 3 12" xfId="39014" xr:uid="{00000000-0005-0000-0000-0000A9100000}"/>
    <cellStyle name="Comma 2 11 3 13" xfId="42040" xr:uid="{00000000-0005-0000-0000-0000AA100000}"/>
    <cellStyle name="Comma 2 11 3 14" xfId="44165" xr:uid="{00000000-0005-0000-0000-0000AB100000}"/>
    <cellStyle name="Comma 2 11 3 15" xfId="8703" xr:uid="{00000000-0005-0000-0000-0000AC100000}"/>
    <cellStyle name="Comma 2 11 3 2" xfId="12702" xr:uid="{00000000-0005-0000-0000-0000AD100000}"/>
    <cellStyle name="Comma 2 11 3 2 2" xfId="31284" xr:uid="{00000000-0005-0000-0000-0000AE100000}"/>
    <cellStyle name="Comma 2 11 3 2 3" xfId="33138" xr:uid="{00000000-0005-0000-0000-0000AF100000}"/>
    <cellStyle name="Comma 2 11 3 2 4" xfId="34961" xr:uid="{00000000-0005-0000-0000-0000B0100000}"/>
    <cellStyle name="Comma 2 11 3 2 5" xfId="37059" xr:uid="{00000000-0005-0000-0000-0000B1100000}"/>
    <cellStyle name="Comma 2 11 3 2 6" xfId="40582" xr:uid="{00000000-0005-0000-0000-0000B2100000}"/>
    <cellStyle name="Comma 2 11 3 2 7" xfId="43368" xr:uid="{00000000-0005-0000-0000-0000B3100000}"/>
    <cellStyle name="Comma 2 11 3 2 8" xfId="44166" xr:uid="{00000000-0005-0000-0000-0000B4100000}"/>
    <cellStyle name="Comma 2 11 3 3" xfId="11919" xr:uid="{00000000-0005-0000-0000-0000B5100000}"/>
    <cellStyle name="Comma 2 11 3 4" xfId="15342" xr:uid="{00000000-0005-0000-0000-0000B6100000}"/>
    <cellStyle name="Comma 2 11 3 5" xfId="29840" xr:uid="{00000000-0005-0000-0000-0000B7100000}"/>
    <cellStyle name="Comma 2 11 3 6" xfId="30693" xr:uid="{00000000-0005-0000-0000-0000B8100000}"/>
    <cellStyle name="Comma 2 11 3 7" xfId="31663" xr:uid="{00000000-0005-0000-0000-0000B9100000}"/>
    <cellStyle name="Comma 2 11 3 8" xfId="32305" xr:uid="{00000000-0005-0000-0000-0000BA100000}"/>
    <cellStyle name="Comma 2 11 3 9" xfId="33517" xr:uid="{00000000-0005-0000-0000-0000BB100000}"/>
    <cellStyle name="Comma 2 11 4" xfId="12312" xr:uid="{00000000-0005-0000-0000-0000BC100000}"/>
    <cellStyle name="Comma 2 11 4 2" xfId="31084" xr:uid="{00000000-0005-0000-0000-0000BD100000}"/>
    <cellStyle name="Comma 2 11 4 2 2" xfId="41199" xr:uid="{00000000-0005-0000-0000-0000BE100000}"/>
    <cellStyle name="Comma 2 11 4 2 3" xfId="43879" xr:uid="{00000000-0005-0000-0000-0000BF100000}"/>
    <cellStyle name="Comma 2 11 4 2 4" xfId="44167" xr:uid="{00000000-0005-0000-0000-0000C0100000}"/>
    <cellStyle name="Comma 2 11 4 3" xfId="32946" xr:uid="{00000000-0005-0000-0000-0000C1100000}"/>
    <cellStyle name="Comma 2 11 4 4" xfId="34761" xr:uid="{00000000-0005-0000-0000-0000C2100000}"/>
    <cellStyle name="Comma 2 11 4 5" xfId="36867" xr:uid="{00000000-0005-0000-0000-0000C3100000}"/>
    <cellStyle name="Comma 2 11 4 6" xfId="39616" xr:uid="{00000000-0005-0000-0000-0000C4100000}"/>
    <cellStyle name="Comma 2 11 4 7" xfId="42551" xr:uid="{00000000-0005-0000-0000-0000C5100000}"/>
    <cellStyle name="Comma 2 11 4 8" xfId="44168" xr:uid="{00000000-0005-0000-0000-0000C6100000}"/>
    <cellStyle name="Comma 2 11 5" xfId="11719" xr:uid="{00000000-0005-0000-0000-0000C7100000}"/>
    <cellStyle name="Comma 2 11 5 2" xfId="39865" xr:uid="{00000000-0005-0000-0000-0000C8100000}"/>
    <cellStyle name="Comma 2 11 5 3" xfId="42764" xr:uid="{00000000-0005-0000-0000-0000C9100000}"/>
    <cellStyle name="Comma 2 11 5 4" xfId="44169" xr:uid="{00000000-0005-0000-0000-0000CA100000}"/>
    <cellStyle name="Comma 2 11 6" xfId="15339" xr:uid="{00000000-0005-0000-0000-0000CB100000}"/>
    <cellStyle name="Comma 2 11 7" xfId="29837" xr:uid="{00000000-0005-0000-0000-0000CC100000}"/>
    <cellStyle name="Comma 2 11 8" xfId="30493" xr:uid="{00000000-0005-0000-0000-0000CD100000}"/>
    <cellStyle name="Comma 2 11 9" xfId="31660" xr:uid="{00000000-0005-0000-0000-0000CE100000}"/>
    <cellStyle name="Comma 2 12" xfId="4401" xr:uid="{00000000-0005-0000-0000-0000CF100000}"/>
    <cellStyle name="Comma 2 12 10" xfId="33518" xr:uid="{00000000-0005-0000-0000-0000D0100000}"/>
    <cellStyle name="Comma 2 12 11" xfId="34251" xr:uid="{00000000-0005-0000-0000-0000D1100000}"/>
    <cellStyle name="Comma 2 12 12" xfId="35584" xr:uid="{00000000-0005-0000-0000-0000D2100000}"/>
    <cellStyle name="Comma 2 12 13" xfId="36456" xr:uid="{00000000-0005-0000-0000-0000D3100000}"/>
    <cellStyle name="Comma 2 12 14" xfId="38653" xr:uid="{00000000-0005-0000-0000-0000D4100000}"/>
    <cellStyle name="Comma 2 12 15" xfId="41693" xr:uid="{00000000-0005-0000-0000-0000D5100000}"/>
    <cellStyle name="Comma 2 12 16" xfId="44170" xr:uid="{00000000-0005-0000-0000-0000D6100000}"/>
    <cellStyle name="Comma 2 12 17" xfId="8414" xr:uid="{00000000-0005-0000-0000-0000D7100000}"/>
    <cellStyle name="Comma 2 12 2" xfId="5852" xr:uid="{00000000-0005-0000-0000-0000D8100000}"/>
    <cellStyle name="Comma 2 12 2 10" xfId="34372" xr:uid="{00000000-0005-0000-0000-0000D9100000}"/>
    <cellStyle name="Comma 2 12 2 11" xfId="36540" xr:uid="{00000000-0005-0000-0000-0000DA100000}"/>
    <cellStyle name="Comma 2 12 2 12" xfId="39147" xr:uid="{00000000-0005-0000-0000-0000DB100000}"/>
    <cellStyle name="Comma 2 12 2 13" xfId="42155" xr:uid="{00000000-0005-0000-0000-0000DC100000}"/>
    <cellStyle name="Comma 2 12 2 14" xfId="44171" xr:uid="{00000000-0005-0000-0000-0000DD100000}"/>
    <cellStyle name="Comma 2 12 2 15" xfId="8705" xr:uid="{00000000-0005-0000-0000-0000DE100000}"/>
    <cellStyle name="Comma 2 12 2 2" xfId="12704" xr:uid="{00000000-0005-0000-0000-0000DF100000}"/>
    <cellStyle name="Comma 2 12 2 2 2" xfId="31286" xr:uid="{00000000-0005-0000-0000-0000E0100000}"/>
    <cellStyle name="Comma 2 12 2 2 3" xfId="33140" xr:uid="{00000000-0005-0000-0000-0000E1100000}"/>
    <cellStyle name="Comma 2 12 2 2 4" xfId="34963" xr:uid="{00000000-0005-0000-0000-0000E2100000}"/>
    <cellStyle name="Comma 2 12 2 2 5" xfId="37061" xr:uid="{00000000-0005-0000-0000-0000E3100000}"/>
    <cellStyle name="Comma 2 12 2 2 6" xfId="40720" xr:uid="{00000000-0005-0000-0000-0000E4100000}"/>
    <cellStyle name="Comma 2 12 2 2 7" xfId="43483" xr:uid="{00000000-0005-0000-0000-0000E5100000}"/>
    <cellStyle name="Comma 2 12 2 2 8" xfId="44172" xr:uid="{00000000-0005-0000-0000-0000E6100000}"/>
    <cellStyle name="Comma 2 12 2 3" xfId="11921" xr:uid="{00000000-0005-0000-0000-0000E7100000}"/>
    <cellStyle name="Comma 2 12 2 4" xfId="15344" xr:uid="{00000000-0005-0000-0000-0000E8100000}"/>
    <cellStyle name="Comma 2 12 2 5" xfId="29842" xr:uid="{00000000-0005-0000-0000-0000E9100000}"/>
    <cellStyle name="Comma 2 12 2 6" xfId="30695" xr:uid="{00000000-0005-0000-0000-0000EA100000}"/>
    <cellStyle name="Comma 2 12 2 7" xfId="31665" xr:uid="{00000000-0005-0000-0000-0000EB100000}"/>
    <cellStyle name="Comma 2 12 2 8" xfId="32307" xr:uid="{00000000-0005-0000-0000-0000EC100000}"/>
    <cellStyle name="Comma 2 12 2 9" xfId="33519" xr:uid="{00000000-0005-0000-0000-0000ED100000}"/>
    <cellStyle name="Comma 2 12 3" xfId="12522" xr:uid="{00000000-0005-0000-0000-0000EE100000}"/>
    <cellStyle name="Comma 2 12 3 2" xfId="31165" xr:uid="{00000000-0005-0000-0000-0000EF100000}"/>
    <cellStyle name="Comma 2 12 3 2 2" xfId="41027" xr:uid="{00000000-0005-0000-0000-0000F0100000}"/>
    <cellStyle name="Comma 2 12 3 2 3" xfId="43739" xr:uid="{00000000-0005-0000-0000-0000F1100000}"/>
    <cellStyle name="Comma 2 12 3 2 4" xfId="44173" xr:uid="{00000000-0005-0000-0000-0000F2100000}"/>
    <cellStyle name="Comma 2 12 3 3" xfId="33023" xr:uid="{00000000-0005-0000-0000-0000F3100000}"/>
    <cellStyle name="Comma 2 12 3 4" xfId="34842" xr:uid="{00000000-0005-0000-0000-0000F4100000}"/>
    <cellStyle name="Comma 2 12 3 5" xfId="36944" xr:uid="{00000000-0005-0000-0000-0000F5100000}"/>
    <cellStyle name="Comma 2 12 3 6" xfId="39451" xr:uid="{00000000-0005-0000-0000-0000F6100000}"/>
    <cellStyle name="Comma 2 12 3 7" xfId="42411" xr:uid="{00000000-0005-0000-0000-0000F7100000}"/>
    <cellStyle name="Comma 2 12 3 8" xfId="44174" xr:uid="{00000000-0005-0000-0000-0000F8100000}"/>
    <cellStyle name="Comma 2 12 4" xfId="11800" xr:uid="{00000000-0005-0000-0000-0000F9100000}"/>
    <cellStyle name="Comma 2 12 4 2" xfId="40172" xr:uid="{00000000-0005-0000-0000-0000FA100000}"/>
    <cellStyle name="Comma 2 12 4 3" xfId="43021" xr:uid="{00000000-0005-0000-0000-0000FB100000}"/>
    <cellStyle name="Comma 2 12 4 4" xfId="44175" xr:uid="{00000000-0005-0000-0000-0000FC100000}"/>
    <cellStyle name="Comma 2 12 5" xfId="15343" xr:uid="{00000000-0005-0000-0000-0000FD100000}"/>
    <cellStyle name="Comma 2 12 6" xfId="29841" xr:uid="{00000000-0005-0000-0000-0000FE100000}"/>
    <cellStyle name="Comma 2 12 7" xfId="30574" xr:uid="{00000000-0005-0000-0000-0000FF100000}"/>
    <cellStyle name="Comma 2 12 8" xfId="31664" xr:uid="{00000000-0005-0000-0000-000000110000}"/>
    <cellStyle name="Comma 2 12 9" xfId="32306" xr:uid="{00000000-0005-0000-0000-000001110000}"/>
    <cellStyle name="Comma 2 13" xfId="5714" xr:uid="{00000000-0005-0000-0000-000002110000}"/>
    <cellStyle name="Comma 2 13 10" xfId="33520" xr:uid="{00000000-0005-0000-0000-000003110000}"/>
    <cellStyle name="Comma 2 13 11" xfId="34191" xr:uid="{00000000-0005-0000-0000-000004110000}"/>
    <cellStyle name="Comma 2 13 12" xfId="36425" xr:uid="{00000000-0005-0000-0000-000005110000}"/>
    <cellStyle name="Comma 2 13 13" xfId="38081" xr:uid="{00000000-0005-0000-0000-000006110000}"/>
    <cellStyle name="Comma 2 13 14" xfId="41578" xr:uid="{00000000-0005-0000-0000-000007110000}"/>
    <cellStyle name="Comma 2 13 15" xfId="44176" xr:uid="{00000000-0005-0000-0000-000008110000}"/>
    <cellStyle name="Comma 2 13 16" xfId="8082" xr:uid="{00000000-0005-0000-0000-000009110000}"/>
    <cellStyle name="Comma 2 13 2" xfId="8706" xr:uid="{00000000-0005-0000-0000-00000A110000}"/>
    <cellStyle name="Comma 2 13 2 10" xfId="34373" xr:uid="{00000000-0005-0000-0000-00000B110000}"/>
    <cellStyle name="Comma 2 13 2 11" xfId="36541" xr:uid="{00000000-0005-0000-0000-00000C110000}"/>
    <cellStyle name="Comma 2 13 2 12" xfId="40037" xr:uid="{00000000-0005-0000-0000-00000D110000}"/>
    <cellStyle name="Comma 2 13 2 13" xfId="42906" xr:uid="{00000000-0005-0000-0000-00000E110000}"/>
    <cellStyle name="Comma 2 13 2 14" xfId="44177" xr:uid="{00000000-0005-0000-0000-00000F110000}"/>
    <cellStyle name="Comma 2 13 2 2" xfId="12705" xr:uid="{00000000-0005-0000-0000-000010110000}"/>
    <cellStyle name="Comma 2 13 2 2 2" xfId="31287" xr:uid="{00000000-0005-0000-0000-000011110000}"/>
    <cellStyle name="Comma 2 13 2 2 3" xfId="33141" xr:uid="{00000000-0005-0000-0000-000012110000}"/>
    <cellStyle name="Comma 2 13 2 2 4" xfId="34964" xr:uid="{00000000-0005-0000-0000-000013110000}"/>
    <cellStyle name="Comma 2 13 2 2 5" xfId="37062" xr:uid="{00000000-0005-0000-0000-000014110000}"/>
    <cellStyle name="Comma 2 13 2 3" xfId="11922" xr:uid="{00000000-0005-0000-0000-000015110000}"/>
    <cellStyle name="Comma 2 13 2 4" xfId="15346" xr:uid="{00000000-0005-0000-0000-000016110000}"/>
    <cellStyle name="Comma 2 13 2 5" xfId="29844" xr:uid="{00000000-0005-0000-0000-000017110000}"/>
    <cellStyle name="Comma 2 13 2 6" xfId="30696" xr:uid="{00000000-0005-0000-0000-000018110000}"/>
    <cellStyle name="Comma 2 13 2 7" xfId="31667" xr:uid="{00000000-0005-0000-0000-000019110000}"/>
    <cellStyle name="Comma 2 13 2 8" xfId="32309" xr:uid="{00000000-0005-0000-0000-00001A110000}"/>
    <cellStyle name="Comma 2 13 2 9" xfId="33521" xr:uid="{00000000-0005-0000-0000-00001B110000}"/>
    <cellStyle name="Comma 2 13 3" xfId="12394" xr:uid="{00000000-0005-0000-0000-00001C110000}"/>
    <cellStyle name="Comma 2 13 3 2" xfId="31105" xr:uid="{00000000-0005-0000-0000-00001D110000}"/>
    <cellStyle name="Comma 2 13 3 3" xfId="32967" xr:uid="{00000000-0005-0000-0000-00001E110000}"/>
    <cellStyle name="Comma 2 13 3 4" xfId="34782" xr:uid="{00000000-0005-0000-0000-00001F110000}"/>
    <cellStyle name="Comma 2 13 3 5" xfId="36888" xr:uid="{00000000-0005-0000-0000-000020110000}"/>
    <cellStyle name="Comma 2 13 4" xfId="11740" xr:uid="{00000000-0005-0000-0000-000021110000}"/>
    <cellStyle name="Comma 2 13 5" xfId="15345" xr:uid="{00000000-0005-0000-0000-000022110000}"/>
    <cellStyle name="Comma 2 13 6" xfId="29843" xr:uid="{00000000-0005-0000-0000-000023110000}"/>
    <cellStyle name="Comma 2 13 7" xfId="30514" xr:uid="{00000000-0005-0000-0000-000024110000}"/>
    <cellStyle name="Comma 2 13 8" xfId="31666" xr:uid="{00000000-0005-0000-0000-000025110000}"/>
    <cellStyle name="Comma 2 13 9" xfId="32308" xr:uid="{00000000-0005-0000-0000-000026110000}"/>
    <cellStyle name="Comma 2 14" xfId="6173" xr:uid="{00000000-0005-0000-0000-000027110000}"/>
    <cellStyle name="Comma 2 14 10" xfId="34374" xr:uid="{00000000-0005-0000-0000-000028110000}"/>
    <cellStyle name="Comma 2 14 11" xfId="36542" xr:uid="{00000000-0005-0000-0000-000029110000}"/>
    <cellStyle name="Comma 2 14 12" xfId="38918" xr:uid="{00000000-0005-0000-0000-00002A110000}"/>
    <cellStyle name="Comma 2 14 13" xfId="41949" xr:uid="{00000000-0005-0000-0000-00002B110000}"/>
    <cellStyle name="Comma 2 14 14" xfId="44178" xr:uid="{00000000-0005-0000-0000-00002C110000}"/>
    <cellStyle name="Comma 2 14 15" xfId="8707" xr:uid="{00000000-0005-0000-0000-00002D110000}"/>
    <cellStyle name="Comma 2 14 2" xfId="12706" xr:uid="{00000000-0005-0000-0000-00002E110000}"/>
    <cellStyle name="Comma 2 14 2 2" xfId="31288" xr:uid="{00000000-0005-0000-0000-00002F110000}"/>
    <cellStyle name="Comma 2 14 2 3" xfId="33142" xr:uid="{00000000-0005-0000-0000-000030110000}"/>
    <cellStyle name="Comma 2 14 2 4" xfId="34965" xr:uid="{00000000-0005-0000-0000-000031110000}"/>
    <cellStyle name="Comma 2 14 2 5" xfId="37063" xr:uid="{00000000-0005-0000-0000-000032110000}"/>
    <cellStyle name="Comma 2 14 2 6" xfId="40476" xr:uid="{00000000-0005-0000-0000-000033110000}"/>
    <cellStyle name="Comma 2 14 2 7" xfId="43277" xr:uid="{00000000-0005-0000-0000-000034110000}"/>
    <cellStyle name="Comma 2 14 2 8" xfId="44179" xr:uid="{00000000-0005-0000-0000-000035110000}"/>
    <cellStyle name="Comma 2 14 3" xfId="11923" xr:uid="{00000000-0005-0000-0000-000036110000}"/>
    <cellStyle name="Comma 2 14 4" xfId="15347" xr:uid="{00000000-0005-0000-0000-000037110000}"/>
    <cellStyle name="Comma 2 14 5" xfId="29845" xr:uid="{00000000-0005-0000-0000-000038110000}"/>
    <cellStyle name="Comma 2 14 6" xfId="30697" xr:uid="{00000000-0005-0000-0000-000039110000}"/>
    <cellStyle name="Comma 2 14 7" xfId="31668" xr:uid="{00000000-0005-0000-0000-00003A110000}"/>
    <cellStyle name="Comma 2 14 8" xfId="32310" xr:uid="{00000000-0005-0000-0000-00003B110000}"/>
    <cellStyle name="Comma 2 14 9" xfId="33522" xr:uid="{00000000-0005-0000-0000-00003C110000}"/>
    <cellStyle name="Comma 2 15" xfId="8700" xr:uid="{00000000-0005-0000-0000-00003D110000}"/>
    <cellStyle name="Comma 2 15 10" xfId="34367" xr:uid="{00000000-0005-0000-0000-00003E110000}"/>
    <cellStyle name="Comma 2 15 11" xfId="36535" xr:uid="{00000000-0005-0000-0000-00003F110000}"/>
    <cellStyle name="Comma 2 15 12" xfId="39318" xr:uid="{00000000-0005-0000-0000-000040110000}"/>
    <cellStyle name="Comma 2 15 13" xfId="42296" xr:uid="{00000000-0005-0000-0000-000041110000}"/>
    <cellStyle name="Comma 2 15 14" xfId="44180" xr:uid="{00000000-0005-0000-0000-000042110000}"/>
    <cellStyle name="Comma 2 15 2" xfId="12699" xr:uid="{00000000-0005-0000-0000-000043110000}"/>
    <cellStyle name="Comma 2 15 2 2" xfId="31281" xr:uid="{00000000-0005-0000-0000-000044110000}"/>
    <cellStyle name="Comma 2 15 2 3" xfId="33135" xr:uid="{00000000-0005-0000-0000-000045110000}"/>
    <cellStyle name="Comma 2 15 2 4" xfId="34958" xr:uid="{00000000-0005-0000-0000-000046110000}"/>
    <cellStyle name="Comma 2 15 2 5" xfId="37056" xr:uid="{00000000-0005-0000-0000-000047110000}"/>
    <cellStyle name="Comma 2 15 2 6" xfId="40889" xr:uid="{00000000-0005-0000-0000-000048110000}"/>
    <cellStyle name="Comma 2 15 2 7" xfId="43624" xr:uid="{00000000-0005-0000-0000-000049110000}"/>
    <cellStyle name="Comma 2 15 2 8" xfId="44181" xr:uid="{00000000-0005-0000-0000-00004A110000}"/>
    <cellStyle name="Comma 2 15 3" xfId="11916" xr:uid="{00000000-0005-0000-0000-00004B110000}"/>
    <cellStyle name="Comma 2 15 4" xfId="15348" xr:uid="{00000000-0005-0000-0000-00004C110000}"/>
    <cellStyle name="Comma 2 15 5" xfId="29846" xr:uid="{00000000-0005-0000-0000-00004D110000}"/>
    <cellStyle name="Comma 2 15 6" xfId="30690" xr:uid="{00000000-0005-0000-0000-00004E110000}"/>
    <cellStyle name="Comma 2 15 7" xfId="31669" xr:uid="{00000000-0005-0000-0000-00004F110000}"/>
    <cellStyle name="Comma 2 15 8" xfId="32311" xr:uid="{00000000-0005-0000-0000-000050110000}"/>
    <cellStyle name="Comma 2 15 9" xfId="33523" xr:uid="{00000000-0005-0000-0000-000051110000}"/>
    <cellStyle name="Comma 2 16" xfId="11501" xr:uid="{00000000-0005-0000-0000-000052110000}"/>
    <cellStyle name="Comma 2 16 10" xfId="34615" xr:uid="{00000000-0005-0000-0000-000053110000}"/>
    <cellStyle name="Comma 2 16 11" xfId="36743" xr:uid="{00000000-0005-0000-0000-000054110000}"/>
    <cellStyle name="Comma 2 16 12" xfId="39783" xr:uid="{00000000-0005-0000-0000-000055110000}"/>
    <cellStyle name="Comma 2 16 13" xfId="42691" xr:uid="{00000000-0005-0000-0000-000056110000}"/>
    <cellStyle name="Comma 2 16 14" xfId="44182" xr:uid="{00000000-0005-0000-0000-000057110000}"/>
    <cellStyle name="Comma 2 16 2" xfId="15122" xr:uid="{00000000-0005-0000-0000-000058110000}"/>
    <cellStyle name="Comma 2 16 2 2" xfId="31529" xr:uid="{00000000-0005-0000-0000-000059110000}"/>
    <cellStyle name="Comma 2 16 2 3" xfId="33382" xr:uid="{00000000-0005-0000-0000-00005A110000}"/>
    <cellStyle name="Comma 2 16 2 4" xfId="35206" xr:uid="{00000000-0005-0000-0000-00005B110000}"/>
    <cellStyle name="Comma 2 16 2 5" xfId="37286" xr:uid="{00000000-0005-0000-0000-00005C110000}"/>
    <cellStyle name="Comma 2 16 3" xfId="12164" xr:uid="{00000000-0005-0000-0000-00005D110000}"/>
    <cellStyle name="Comma 2 16 4" xfId="15349" xr:uid="{00000000-0005-0000-0000-00005E110000}"/>
    <cellStyle name="Comma 2 16 5" xfId="29847" xr:uid="{00000000-0005-0000-0000-00005F110000}"/>
    <cellStyle name="Comma 2 16 6" xfId="30938" xr:uid="{00000000-0005-0000-0000-000060110000}"/>
    <cellStyle name="Comma 2 16 7" xfId="31670" xr:uid="{00000000-0005-0000-0000-000061110000}"/>
    <cellStyle name="Comma 2 16 8" xfId="32312" xr:uid="{00000000-0005-0000-0000-000062110000}"/>
    <cellStyle name="Comma 2 16 9" xfId="33524" xr:uid="{00000000-0005-0000-0000-000063110000}"/>
    <cellStyle name="Comma 2 17" xfId="11599" xr:uid="{00000000-0005-0000-0000-000064110000}"/>
    <cellStyle name="Comma 2 17 2" xfId="15214" xr:uid="{00000000-0005-0000-0000-000065110000}"/>
    <cellStyle name="Comma 2 17 2 2" xfId="31593" xr:uid="{00000000-0005-0000-0000-000066110000}"/>
    <cellStyle name="Comma 2 17 2 3" xfId="33446" xr:uid="{00000000-0005-0000-0000-000067110000}"/>
    <cellStyle name="Comma 2 17 2 4" xfId="35270" xr:uid="{00000000-0005-0000-0000-000068110000}"/>
    <cellStyle name="Comma 2 17 2 5" xfId="37344" xr:uid="{00000000-0005-0000-0000-000069110000}"/>
    <cellStyle name="Comma 2 17 3" xfId="12229" xr:uid="{00000000-0005-0000-0000-00006A110000}"/>
    <cellStyle name="Comma 2 17 4" xfId="31002" xr:uid="{00000000-0005-0000-0000-00006B110000}"/>
    <cellStyle name="Comma 2 17 5" xfId="32881" xr:uid="{00000000-0005-0000-0000-00006C110000}"/>
    <cellStyle name="Comma 2 17 6" xfId="34679" xr:uid="{00000000-0005-0000-0000-00006D110000}"/>
    <cellStyle name="Comma 2 17 7" xfId="36787" xr:uid="{00000000-0005-0000-0000-00006E110000}"/>
    <cellStyle name="Comma 2 18" xfId="12241" xr:uid="{00000000-0005-0000-0000-00006F110000}"/>
    <cellStyle name="Comma 2 18 2" xfId="31014" xr:uid="{00000000-0005-0000-0000-000070110000}"/>
    <cellStyle name="Comma 2 18 3" xfId="32889" xr:uid="{00000000-0005-0000-0000-000071110000}"/>
    <cellStyle name="Comma 2 18 4" xfId="34691" xr:uid="{00000000-0005-0000-0000-000072110000}"/>
    <cellStyle name="Comma 2 18 5" xfId="36799" xr:uid="{00000000-0005-0000-0000-000073110000}"/>
    <cellStyle name="Comma 2 19" xfId="11647" xr:uid="{00000000-0005-0000-0000-000074110000}"/>
    <cellStyle name="Comma 2 2" xfId="1024" xr:uid="{00000000-0005-0000-0000-000075110000}"/>
    <cellStyle name="Comma 2 2 10" xfId="2752" xr:uid="{00000000-0005-0000-0000-000076110000}"/>
    <cellStyle name="Comma 2 2 10 10" xfId="32314" xr:uid="{00000000-0005-0000-0000-000077110000}"/>
    <cellStyle name="Comma 2 2 10 11" xfId="33526" xr:uid="{00000000-0005-0000-0000-000078110000}"/>
    <cellStyle name="Comma 2 2 10 12" xfId="34171" xr:uid="{00000000-0005-0000-0000-000079110000}"/>
    <cellStyle name="Comma 2 2 10 13" xfId="35314" xr:uid="{00000000-0005-0000-0000-00007A110000}"/>
    <cellStyle name="Comma 2 2 10 14" xfId="36177" xr:uid="{00000000-0005-0000-0000-00007B110000}"/>
    <cellStyle name="Comma 2 2 10 15" xfId="37418" xr:uid="{00000000-0005-0000-0000-00007C110000}"/>
    <cellStyle name="Comma 2 2 10 16" xfId="41365" xr:uid="{00000000-0005-0000-0000-00007D110000}"/>
    <cellStyle name="Comma 2 2 10 17" xfId="44183" xr:uid="{00000000-0005-0000-0000-00007E110000}"/>
    <cellStyle name="Comma 2 2 10 18" xfId="7334" xr:uid="{00000000-0005-0000-0000-00007F110000}"/>
    <cellStyle name="Comma 2 2 10 2" xfId="5063" xr:uid="{00000000-0005-0000-0000-000080110000}"/>
    <cellStyle name="Comma 2 2 10 2 10" xfId="33527" xr:uid="{00000000-0005-0000-0000-000081110000}"/>
    <cellStyle name="Comma 2 2 10 2 11" xfId="34323" xr:uid="{00000000-0005-0000-0000-000082110000}"/>
    <cellStyle name="Comma 2 2 10 2 12" xfId="36018" xr:uid="{00000000-0005-0000-0000-000083110000}"/>
    <cellStyle name="Comma 2 2 10 2 13" xfId="36318" xr:uid="{00000000-0005-0000-0000-000084110000}"/>
    <cellStyle name="Comma 2 2 10 2 14" xfId="37566" xr:uid="{00000000-0005-0000-0000-000085110000}"/>
    <cellStyle name="Comma 2 2 10 2 15" xfId="41512" xr:uid="{00000000-0005-0000-0000-000086110000}"/>
    <cellStyle name="Comma 2 2 10 2 16" xfId="44184" xr:uid="{00000000-0005-0000-0000-000087110000}"/>
    <cellStyle name="Comma 2 2 10 2 17" xfId="8593" xr:uid="{00000000-0005-0000-0000-000088110000}"/>
    <cellStyle name="Comma 2 2 10 2 2" xfId="6032" xr:uid="{00000000-0005-0000-0000-000089110000}"/>
    <cellStyle name="Comma 2 2 10 2 2 10" xfId="34377" xr:uid="{00000000-0005-0000-0000-00008A110000}"/>
    <cellStyle name="Comma 2 2 10 2 2 11" xfId="36545" xr:uid="{00000000-0005-0000-0000-00008B110000}"/>
    <cellStyle name="Comma 2 2 10 2 2 12" xfId="38797" xr:uid="{00000000-0005-0000-0000-00008C110000}"/>
    <cellStyle name="Comma 2 2 10 2 2 13" xfId="41836" xr:uid="{00000000-0005-0000-0000-00008D110000}"/>
    <cellStyle name="Comma 2 2 10 2 2 14" xfId="44185" xr:uid="{00000000-0005-0000-0000-00008E110000}"/>
    <cellStyle name="Comma 2 2 10 2 2 15" xfId="8710" xr:uid="{00000000-0005-0000-0000-00008F110000}"/>
    <cellStyle name="Comma 2 2 10 2 2 2" xfId="12709" xr:uid="{00000000-0005-0000-0000-000090110000}"/>
    <cellStyle name="Comma 2 2 10 2 2 2 2" xfId="31291" xr:uid="{00000000-0005-0000-0000-000091110000}"/>
    <cellStyle name="Comma 2 2 10 2 2 2 3" xfId="33145" xr:uid="{00000000-0005-0000-0000-000092110000}"/>
    <cellStyle name="Comma 2 2 10 2 2 2 4" xfId="34968" xr:uid="{00000000-0005-0000-0000-000093110000}"/>
    <cellStyle name="Comma 2 2 10 2 2 2 5" xfId="37066" xr:uid="{00000000-0005-0000-0000-000094110000}"/>
    <cellStyle name="Comma 2 2 10 2 2 2 6" xfId="40346" xr:uid="{00000000-0005-0000-0000-000095110000}"/>
    <cellStyle name="Comma 2 2 10 2 2 2 7" xfId="43164" xr:uid="{00000000-0005-0000-0000-000096110000}"/>
    <cellStyle name="Comma 2 2 10 2 2 2 8" xfId="44186" xr:uid="{00000000-0005-0000-0000-000097110000}"/>
    <cellStyle name="Comma 2 2 10 2 2 3" xfId="11926" xr:uid="{00000000-0005-0000-0000-000098110000}"/>
    <cellStyle name="Comma 2 2 10 2 2 4" xfId="15353" xr:uid="{00000000-0005-0000-0000-000099110000}"/>
    <cellStyle name="Comma 2 2 10 2 2 5" xfId="29851" xr:uid="{00000000-0005-0000-0000-00009A110000}"/>
    <cellStyle name="Comma 2 2 10 2 2 6" xfId="30700" xr:uid="{00000000-0005-0000-0000-00009B110000}"/>
    <cellStyle name="Comma 2 2 10 2 2 7" xfId="31674" xr:uid="{00000000-0005-0000-0000-00009C110000}"/>
    <cellStyle name="Comma 2 2 10 2 2 8" xfId="32316" xr:uid="{00000000-0005-0000-0000-00009D110000}"/>
    <cellStyle name="Comma 2 2 10 2 2 9" xfId="33528" xr:uid="{00000000-0005-0000-0000-00009E110000}"/>
    <cellStyle name="Comma 2 2 10 2 3" xfId="6352" xr:uid="{00000000-0005-0000-0000-00009F110000}"/>
    <cellStyle name="Comma 2 2 10 2 3 2" xfId="31237" xr:uid="{00000000-0005-0000-0000-0000A0110000}"/>
    <cellStyle name="Comma 2 2 10 2 3 2 2" xfId="40788" xr:uid="{00000000-0005-0000-0000-0000A1110000}"/>
    <cellStyle name="Comma 2 2 10 2 3 2 3" xfId="43543" xr:uid="{00000000-0005-0000-0000-0000A2110000}"/>
    <cellStyle name="Comma 2 2 10 2 3 2 4" xfId="44187" xr:uid="{00000000-0005-0000-0000-0000A3110000}"/>
    <cellStyle name="Comma 2 2 10 2 3 3" xfId="33091" xr:uid="{00000000-0005-0000-0000-0000A4110000}"/>
    <cellStyle name="Comma 2 2 10 2 3 4" xfId="34914" xr:uid="{00000000-0005-0000-0000-0000A5110000}"/>
    <cellStyle name="Comma 2 2 10 2 3 5" xfId="37012" xr:uid="{00000000-0005-0000-0000-0000A6110000}"/>
    <cellStyle name="Comma 2 2 10 2 3 6" xfId="39225" xr:uid="{00000000-0005-0000-0000-0000A7110000}"/>
    <cellStyle name="Comma 2 2 10 2 3 7" xfId="42215" xr:uid="{00000000-0005-0000-0000-0000A8110000}"/>
    <cellStyle name="Comma 2 2 10 2 3 8" xfId="44188" xr:uid="{00000000-0005-0000-0000-0000A9110000}"/>
    <cellStyle name="Comma 2 2 10 2 3 9" xfId="12599" xr:uid="{00000000-0005-0000-0000-0000AA110000}"/>
    <cellStyle name="Comma 2 2 10 2 4" xfId="11872" xr:uid="{00000000-0005-0000-0000-0000AB110000}"/>
    <cellStyle name="Comma 2 2 10 2 4 2" xfId="41202" xr:uid="{00000000-0005-0000-0000-0000AC110000}"/>
    <cellStyle name="Comma 2 2 10 2 4 2 2" xfId="43882" xr:uid="{00000000-0005-0000-0000-0000AD110000}"/>
    <cellStyle name="Comma 2 2 10 2 4 2 3" xfId="44189" xr:uid="{00000000-0005-0000-0000-0000AE110000}"/>
    <cellStyle name="Comma 2 2 10 2 4 3" xfId="39619" xr:uid="{00000000-0005-0000-0000-0000AF110000}"/>
    <cellStyle name="Comma 2 2 10 2 4 4" xfId="42554" xr:uid="{00000000-0005-0000-0000-0000B0110000}"/>
    <cellStyle name="Comma 2 2 10 2 4 5" xfId="44190" xr:uid="{00000000-0005-0000-0000-0000B1110000}"/>
    <cellStyle name="Comma 2 2 10 2 5" xfId="15352" xr:uid="{00000000-0005-0000-0000-0000B2110000}"/>
    <cellStyle name="Comma 2 2 10 2 5 2" xfId="39952" xr:uid="{00000000-0005-0000-0000-0000B3110000}"/>
    <cellStyle name="Comma 2 2 10 2 5 3" xfId="42840" xr:uid="{00000000-0005-0000-0000-0000B4110000}"/>
    <cellStyle name="Comma 2 2 10 2 5 4" xfId="44191" xr:uid="{00000000-0005-0000-0000-0000B5110000}"/>
    <cellStyle name="Comma 2 2 10 2 6" xfId="29850" xr:uid="{00000000-0005-0000-0000-0000B6110000}"/>
    <cellStyle name="Comma 2 2 10 2 7" xfId="30646" xr:uid="{00000000-0005-0000-0000-0000B7110000}"/>
    <cellStyle name="Comma 2 2 10 2 8" xfId="31673" xr:uid="{00000000-0005-0000-0000-0000B8110000}"/>
    <cellStyle name="Comma 2 2 10 2 9" xfId="32315" xr:uid="{00000000-0005-0000-0000-0000B9110000}"/>
    <cellStyle name="Comma 2 2 10 3" xfId="4404" xr:uid="{00000000-0005-0000-0000-0000BA110000}"/>
    <cellStyle name="Comma 2 2 10 3 10" xfId="34376" xr:uid="{00000000-0005-0000-0000-0000BB110000}"/>
    <cellStyle name="Comma 2 2 10 3 11" xfId="35587" xr:uid="{00000000-0005-0000-0000-0000BC110000}"/>
    <cellStyle name="Comma 2 2 10 3 12" xfId="36544" xr:uid="{00000000-0005-0000-0000-0000BD110000}"/>
    <cellStyle name="Comma 2 2 10 3 13" xfId="38656" xr:uid="{00000000-0005-0000-0000-0000BE110000}"/>
    <cellStyle name="Comma 2 2 10 3 14" xfId="41696" xr:uid="{00000000-0005-0000-0000-0000BF110000}"/>
    <cellStyle name="Comma 2 2 10 3 15" xfId="44192" xr:uid="{00000000-0005-0000-0000-0000C0110000}"/>
    <cellStyle name="Comma 2 2 10 3 16" xfId="8709" xr:uid="{00000000-0005-0000-0000-0000C1110000}"/>
    <cellStyle name="Comma 2 2 10 3 2" xfId="5855" xr:uid="{00000000-0005-0000-0000-0000C2110000}"/>
    <cellStyle name="Comma 2 2 10 3 2 2" xfId="31290" xr:uid="{00000000-0005-0000-0000-0000C3110000}"/>
    <cellStyle name="Comma 2 2 10 3 2 2 2" xfId="41030" xr:uid="{00000000-0005-0000-0000-0000C4110000}"/>
    <cellStyle name="Comma 2 2 10 3 2 2 3" xfId="43742" xr:uid="{00000000-0005-0000-0000-0000C5110000}"/>
    <cellStyle name="Comma 2 2 10 3 2 2 4" xfId="44193" xr:uid="{00000000-0005-0000-0000-0000C6110000}"/>
    <cellStyle name="Comma 2 2 10 3 2 3" xfId="33144" xr:uid="{00000000-0005-0000-0000-0000C7110000}"/>
    <cellStyle name="Comma 2 2 10 3 2 4" xfId="34967" xr:uid="{00000000-0005-0000-0000-0000C8110000}"/>
    <cellStyle name="Comma 2 2 10 3 2 5" xfId="37065" xr:uid="{00000000-0005-0000-0000-0000C9110000}"/>
    <cellStyle name="Comma 2 2 10 3 2 6" xfId="39454" xr:uid="{00000000-0005-0000-0000-0000CA110000}"/>
    <cellStyle name="Comma 2 2 10 3 2 7" xfId="42414" xr:uid="{00000000-0005-0000-0000-0000CB110000}"/>
    <cellStyle name="Comma 2 2 10 3 2 8" xfId="44194" xr:uid="{00000000-0005-0000-0000-0000CC110000}"/>
    <cellStyle name="Comma 2 2 10 3 2 9" xfId="12708" xr:uid="{00000000-0005-0000-0000-0000CD110000}"/>
    <cellStyle name="Comma 2 2 10 3 3" xfId="11925" xr:uid="{00000000-0005-0000-0000-0000CE110000}"/>
    <cellStyle name="Comma 2 2 10 3 3 2" xfId="40175" xr:uid="{00000000-0005-0000-0000-0000CF110000}"/>
    <cellStyle name="Comma 2 2 10 3 3 3" xfId="43024" xr:uid="{00000000-0005-0000-0000-0000D0110000}"/>
    <cellStyle name="Comma 2 2 10 3 3 4" xfId="44195" xr:uid="{00000000-0005-0000-0000-0000D1110000}"/>
    <cellStyle name="Comma 2 2 10 3 4" xfId="15354" xr:uid="{00000000-0005-0000-0000-0000D2110000}"/>
    <cellStyle name="Comma 2 2 10 3 5" xfId="29852" xr:uid="{00000000-0005-0000-0000-0000D3110000}"/>
    <cellStyle name="Comma 2 2 10 3 6" xfId="30699" xr:uid="{00000000-0005-0000-0000-0000D4110000}"/>
    <cellStyle name="Comma 2 2 10 3 7" xfId="31675" xr:uid="{00000000-0005-0000-0000-0000D5110000}"/>
    <cellStyle name="Comma 2 2 10 3 8" xfId="32317" xr:uid="{00000000-0005-0000-0000-0000D6110000}"/>
    <cellStyle name="Comma 2 2 10 3 9" xfId="33529" xr:uid="{00000000-0005-0000-0000-0000D7110000}"/>
    <cellStyle name="Comma 2 2 10 4" xfId="5717" xr:uid="{00000000-0005-0000-0000-0000D8110000}"/>
    <cellStyle name="Comma 2 2 10 4 2" xfId="31085" xr:uid="{00000000-0005-0000-0000-0000D9110000}"/>
    <cellStyle name="Comma 2 2 10 4 2 2" xfId="40040" xr:uid="{00000000-0005-0000-0000-0000DA110000}"/>
    <cellStyle name="Comma 2 2 10 4 2 3" xfId="42909" xr:uid="{00000000-0005-0000-0000-0000DB110000}"/>
    <cellStyle name="Comma 2 2 10 4 2 4" xfId="44196" xr:uid="{00000000-0005-0000-0000-0000DC110000}"/>
    <cellStyle name="Comma 2 2 10 4 3" xfId="32947" xr:uid="{00000000-0005-0000-0000-0000DD110000}"/>
    <cellStyle name="Comma 2 2 10 4 4" xfId="34762" xr:uid="{00000000-0005-0000-0000-0000DE110000}"/>
    <cellStyle name="Comma 2 2 10 4 5" xfId="36868" xr:uid="{00000000-0005-0000-0000-0000DF110000}"/>
    <cellStyle name="Comma 2 2 10 4 6" xfId="38084" xr:uid="{00000000-0005-0000-0000-0000E0110000}"/>
    <cellStyle name="Comma 2 2 10 4 7" xfId="41581" xr:uid="{00000000-0005-0000-0000-0000E1110000}"/>
    <cellStyle name="Comma 2 2 10 4 8" xfId="44197" xr:uid="{00000000-0005-0000-0000-0000E2110000}"/>
    <cellStyle name="Comma 2 2 10 4 9" xfId="12313" xr:uid="{00000000-0005-0000-0000-0000E3110000}"/>
    <cellStyle name="Comma 2 2 10 5" xfId="6176" xr:uid="{00000000-0005-0000-0000-0000E4110000}"/>
    <cellStyle name="Comma 2 2 10 5 2" xfId="40585" xr:uid="{00000000-0005-0000-0000-0000E5110000}"/>
    <cellStyle name="Comma 2 2 10 5 2 2" xfId="43371" xr:uid="{00000000-0005-0000-0000-0000E6110000}"/>
    <cellStyle name="Comma 2 2 10 5 2 3" xfId="44198" xr:uid="{00000000-0005-0000-0000-0000E7110000}"/>
    <cellStyle name="Comma 2 2 10 5 3" xfId="39017" xr:uid="{00000000-0005-0000-0000-0000E8110000}"/>
    <cellStyle name="Comma 2 2 10 5 4" xfId="42043" xr:uid="{00000000-0005-0000-0000-0000E9110000}"/>
    <cellStyle name="Comma 2 2 10 5 5" xfId="44199" xr:uid="{00000000-0005-0000-0000-0000EA110000}"/>
    <cellStyle name="Comma 2 2 10 5 6" xfId="11720" xr:uid="{00000000-0005-0000-0000-0000EB110000}"/>
    <cellStyle name="Comma 2 2 10 6" xfId="15351" xr:uid="{00000000-0005-0000-0000-0000EC110000}"/>
    <cellStyle name="Comma 2 2 10 6 2" xfId="40892" xr:uid="{00000000-0005-0000-0000-0000ED110000}"/>
    <cellStyle name="Comma 2 2 10 6 2 2" xfId="43627" xr:uid="{00000000-0005-0000-0000-0000EE110000}"/>
    <cellStyle name="Comma 2 2 10 6 2 3" xfId="44200" xr:uid="{00000000-0005-0000-0000-0000EF110000}"/>
    <cellStyle name="Comma 2 2 10 6 3" xfId="39321" xr:uid="{00000000-0005-0000-0000-0000F0110000}"/>
    <cellStyle name="Comma 2 2 10 6 4" xfId="42299" xr:uid="{00000000-0005-0000-0000-0000F1110000}"/>
    <cellStyle name="Comma 2 2 10 6 5" xfId="44201" xr:uid="{00000000-0005-0000-0000-0000F2110000}"/>
    <cellStyle name="Comma 2 2 10 7" xfId="29849" xr:uid="{00000000-0005-0000-0000-0000F3110000}"/>
    <cellStyle name="Comma 2 2 10 7 2" xfId="39785" xr:uid="{00000000-0005-0000-0000-0000F4110000}"/>
    <cellStyle name="Comma 2 2 10 7 3" xfId="42693" xr:uid="{00000000-0005-0000-0000-0000F5110000}"/>
    <cellStyle name="Comma 2 2 10 7 4" xfId="44202" xr:uid="{00000000-0005-0000-0000-0000F6110000}"/>
    <cellStyle name="Comma 2 2 10 8" xfId="30494" xr:uid="{00000000-0005-0000-0000-0000F7110000}"/>
    <cellStyle name="Comma 2 2 10 9" xfId="31672" xr:uid="{00000000-0005-0000-0000-0000F8110000}"/>
    <cellStyle name="Comma 2 2 11" xfId="2751" xr:uid="{00000000-0005-0000-0000-0000F9110000}"/>
    <cellStyle name="Comma 2 2 11 10" xfId="33530" xr:uid="{00000000-0005-0000-0000-0000FA110000}"/>
    <cellStyle name="Comma 2 2 11 11" xfId="34252" xr:uid="{00000000-0005-0000-0000-0000FB110000}"/>
    <cellStyle name="Comma 2 2 11 12" xfId="35313" xr:uid="{00000000-0005-0000-0000-0000FC110000}"/>
    <cellStyle name="Comma 2 2 11 13" xfId="36317" xr:uid="{00000000-0005-0000-0000-0000FD110000}"/>
    <cellStyle name="Comma 2 2 11 14" xfId="37492" xr:uid="{00000000-0005-0000-0000-0000FE110000}"/>
    <cellStyle name="Comma 2 2 11 15" xfId="41438" xr:uid="{00000000-0005-0000-0000-0000FF110000}"/>
    <cellStyle name="Comma 2 2 11 16" xfId="44203" xr:uid="{00000000-0005-0000-0000-000000120000}"/>
    <cellStyle name="Comma 2 2 11 17" xfId="8415" xr:uid="{00000000-0005-0000-0000-000001120000}"/>
    <cellStyle name="Comma 2 2 11 2" xfId="5062" xr:uid="{00000000-0005-0000-0000-000002120000}"/>
    <cellStyle name="Comma 2 2 11 2 10" xfId="34378" xr:uid="{00000000-0005-0000-0000-000003120000}"/>
    <cellStyle name="Comma 2 2 11 2 11" xfId="36017" xr:uid="{00000000-0005-0000-0000-000004120000}"/>
    <cellStyle name="Comma 2 2 11 2 12" xfId="36546" xr:uid="{00000000-0005-0000-0000-000005120000}"/>
    <cellStyle name="Comma 2 2 11 2 13" xfId="38796" xr:uid="{00000000-0005-0000-0000-000006120000}"/>
    <cellStyle name="Comma 2 2 11 2 14" xfId="41835" xr:uid="{00000000-0005-0000-0000-000007120000}"/>
    <cellStyle name="Comma 2 2 11 2 15" xfId="44204" xr:uid="{00000000-0005-0000-0000-000008120000}"/>
    <cellStyle name="Comma 2 2 11 2 16" xfId="8711" xr:uid="{00000000-0005-0000-0000-000009120000}"/>
    <cellStyle name="Comma 2 2 11 2 2" xfId="6031" xr:uid="{00000000-0005-0000-0000-00000A120000}"/>
    <cellStyle name="Comma 2 2 11 2 2 2" xfId="31292" xr:uid="{00000000-0005-0000-0000-00000B120000}"/>
    <cellStyle name="Comma 2 2 11 2 2 2 2" xfId="41201" xr:uid="{00000000-0005-0000-0000-00000C120000}"/>
    <cellStyle name="Comma 2 2 11 2 2 2 3" xfId="43881" xr:uid="{00000000-0005-0000-0000-00000D120000}"/>
    <cellStyle name="Comma 2 2 11 2 2 2 4" xfId="44205" xr:uid="{00000000-0005-0000-0000-00000E120000}"/>
    <cellStyle name="Comma 2 2 11 2 2 3" xfId="33146" xr:uid="{00000000-0005-0000-0000-00000F120000}"/>
    <cellStyle name="Comma 2 2 11 2 2 4" xfId="34969" xr:uid="{00000000-0005-0000-0000-000010120000}"/>
    <cellStyle name="Comma 2 2 11 2 2 5" xfId="37067" xr:uid="{00000000-0005-0000-0000-000011120000}"/>
    <cellStyle name="Comma 2 2 11 2 2 6" xfId="39618" xr:uid="{00000000-0005-0000-0000-000012120000}"/>
    <cellStyle name="Comma 2 2 11 2 2 7" xfId="42553" xr:uid="{00000000-0005-0000-0000-000013120000}"/>
    <cellStyle name="Comma 2 2 11 2 2 8" xfId="44206" xr:uid="{00000000-0005-0000-0000-000014120000}"/>
    <cellStyle name="Comma 2 2 11 2 2 9" xfId="12710" xr:uid="{00000000-0005-0000-0000-000015120000}"/>
    <cellStyle name="Comma 2 2 11 2 3" xfId="11927" xr:uid="{00000000-0005-0000-0000-000016120000}"/>
    <cellStyle name="Comma 2 2 11 2 3 2" xfId="40345" xr:uid="{00000000-0005-0000-0000-000017120000}"/>
    <cellStyle name="Comma 2 2 11 2 3 3" xfId="43163" xr:uid="{00000000-0005-0000-0000-000018120000}"/>
    <cellStyle name="Comma 2 2 11 2 3 4" xfId="44207" xr:uid="{00000000-0005-0000-0000-000019120000}"/>
    <cellStyle name="Comma 2 2 11 2 4" xfId="15356" xr:uid="{00000000-0005-0000-0000-00001A120000}"/>
    <cellStyle name="Comma 2 2 11 2 5" xfId="29854" xr:uid="{00000000-0005-0000-0000-00001B120000}"/>
    <cellStyle name="Comma 2 2 11 2 6" xfId="30701" xr:uid="{00000000-0005-0000-0000-00001C120000}"/>
    <cellStyle name="Comma 2 2 11 2 7" xfId="31677" xr:uid="{00000000-0005-0000-0000-00001D120000}"/>
    <cellStyle name="Comma 2 2 11 2 8" xfId="32319" xr:uid="{00000000-0005-0000-0000-00001E120000}"/>
    <cellStyle name="Comma 2 2 11 2 9" xfId="33531" xr:uid="{00000000-0005-0000-0000-00001F120000}"/>
    <cellStyle name="Comma 2 2 11 3" xfId="5716" xr:uid="{00000000-0005-0000-0000-000020120000}"/>
    <cellStyle name="Comma 2 2 11 3 2" xfId="31166" xr:uid="{00000000-0005-0000-0000-000021120000}"/>
    <cellStyle name="Comma 2 2 11 3 2 2" xfId="40039" xr:uid="{00000000-0005-0000-0000-000022120000}"/>
    <cellStyle name="Comma 2 2 11 3 2 3" xfId="42908" xr:uid="{00000000-0005-0000-0000-000023120000}"/>
    <cellStyle name="Comma 2 2 11 3 2 4" xfId="44208" xr:uid="{00000000-0005-0000-0000-000024120000}"/>
    <cellStyle name="Comma 2 2 11 3 3" xfId="33024" xr:uid="{00000000-0005-0000-0000-000025120000}"/>
    <cellStyle name="Comma 2 2 11 3 4" xfId="34843" xr:uid="{00000000-0005-0000-0000-000026120000}"/>
    <cellStyle name="Comma 2 2 11 3 5" xfId="36945" xr:uid="{00000000-0005-0000-0000-000027120000}"/>
    <cellStyle name="Comma 2 2 11 3 6" xfId="38083" xr:uid="{00000000-0005-0000-0000-000028120000}"/>
    <cellStyle name="Comma 2 2 11 3 7" xfId="41580" xr:uid="{00000000-0005-0000-0000-000029120000}"/>
    <cellStyle name="Comma 2 2 11 3 8" xfId="44209" xr:uid="{00000000-0005-0000-0000-00002A120000}"/>
    <cellStyle name="Comma 2 2 11 3 9" xfId="12523" xr:uid="{00000000-0005-0000-0000-00002B120000}"/>
    <cellStyle name="Comma 2 2 11 4" xfId="6351" xr:uid="{00000000-0005-0000-0000-00002C120000}"/>
    <cellStyle name="Comma 2 2 11 4 2" xfId="40584" xr:uid="{00000000-0005-0000-0000-00002D120000}"/>
    <cellStyle name="Comma 2 2 11 4 2 2" xfId="43370" xr:uid="{00000000-0005-0000-0000-00002E120000}"/>
    <cellStyle name="Comma 2 2 11 4 2 3" xfId="44210" xr:uid="{00000000-0005-0000-0000-00002F120000}"/>
    <cellStyle name="Comma 2 2 11 4 3" xfId="39016" xr:uid="{00000000-0005-0000-0000-000030120000}"/>
    <cellStyle name="Comma 2 2 11 4 4" xfId="42042" xr:uid="{00000000-0005-0000-0000-000031120000}"/>
    <cellStyle name="Comma 2 2 11 4 5" xfId="44211" xr:uid="{00000000-0005-0000-0000-000032120000}"/>
    <cellStyle name="Comma 2 2 11 4 6" xfId="11801" xr:uid="{00000000-0005-0000-0000-000033120000}"/>
    <cellStyle name="Comma 2 2 11 5" xfId="15355" xr:uid="{00000000-0005-0000-0000-000034120000}"/>
    <cellStyle name="Comma 2 2 11 5 2" xfId="40891" xr:uid="{00000000-0005-0000-0000-000035120000}"/>
    <cellStyle name="Comma 2 2 11 5 2 2" xfId="43626" xr:uid="{00000000-0005-0000-0000-000036120000}"/>
    <cellStyle name="Comma 2 2 11 5 2 3" xfId="44212" xr:uid="{00000000-0005-0000-0000-000037120000}"/>
    <cellStyle name="Comma 2 2 11 5 3" xfId="39320" xr:uid="{00000000-0005-0000-0000-000038120000}"/>
    <cellStyle name="Comma 2 2 11 5 4" xfId="42298" xr:uid="{00000000-0005-0000-0000-000039120000}"/>
    <cellStyle name="Comma 2 2 11 5 5" xfId="44213" xr:uid="{00000000-0005-0000-0000-00003A120000}"/>
    <cellStyle name="Comma 2 2 11 6" xfId="29853" xr:uid="{00000000-0005-0000-0000-00003B120000}"/>
    <cellStyle name="Comma 2 2 11 6 2" xfId="39867" xr:uid="{00000000-0005-0000-0000-00003C120000}"/>
    <cellStyle name="Comma 2 2 11 6 3" xfId="42766" xr:uid="{00000000-0005-0000-0000-00003D120000}"/>
    <cellStyle name="Comma 2 2 11 6 4" xfId="44214" xr:uid="{00000000-0005-0000-0000-00003E120000}"/>
    <cellStyle name="Comma 2 2 11 7" xfId="30575" xr:uid="{00000000-0005-0000-0000-00003F120000}"/>
    <cellStyle name="Comma 2 2 11 8" xfId="31676" xr:uid="{00000000-0005-0000-0000-000040120000}"/>
    <cellStyle name="Comma 2 2 11 9" xfId="32318" xr:uid="{00000000-0005-0000-0000-000041120000}"/>
    <cellStyle name="Comma 2 2 12" xfId="4537" xr:uid="{00000000-0005-0000-0000-000042120000}"/>
    <cellStyle name="Comma 2 2 12 10" xfId="33532" xr:uid="{00000000-0005-0000-0000-000043120000}"/>
    <cellStyle name="Comma 2 2 12 11" xfId="34192" xr:uid="{00000000-0005-0000-0000-000044120000}"/>
    <cellStyle name="Comma 2 2 12 12" xfId="35698" xr:uid="{00000000-0005-0000-0000-000045120000}"/>
    <cellStyle name="Comma 2 2 12 13" xfId="36285" xr:uid="{00000000-0005-0000-0000-000046120000}"/>
    <cellStyle name="Comma 2 2 12 14" xfId="38763" xr:uid="{00000000-0005-0000-0000-000047120000}"/>
    <cellStyle name="Comma 2 2 12 15" xfId="41803" xr:uid="{00000000-0005-0000-0000-000048120000}"/>
    <cellStyle name="Comma 2 2 12 16" xfId="44215" xr:uid="{00000000-0005-0000-0000-000049120000}"/>
    <cellStyle name="Comma 2 2 12 17" xfId="8083" xr:uid="{00000000-0005-0000-0000-00004A120000}"/>
    <cellStyle name="Comma 2 2 12 2" xfId="5986" xr:uid="{00000000-0005-0000-0000-00004B120000}"/>
    <cellStyle name="Comma 2 2 12 2 10" xfId="34379" xr:uid="{00000000-0005-0000-0000-00004C120000}"/>
    <cellStyle name="Comma 2 2 12 2 11" xfId="36547" xr:uid="{00000000-0005-0000-0000-00004D120000}"/>
    <cellStyle name="Comma 2 2 12 2 12" xfId="38981" xr:uid="{00000000-0005-0000-0000-00004E120000}"/>
    <cellStyle name="Comma 2 2 12 2 13" xfId="42010" xr:uid="{00000000-0005-0000-0000-00004F120000}"/>
    <cellStyle name="Comma 2 2 12 2 14" xfId="44216" xr:uid="{00000000-0005-0000-0000-000050120000}"/>
    <cellStyle name="Comma 2 2 12 2 15" xfId="8712" xr:uid="{00000000-0005-0000-0000-000051120000}"/>
    <cellStyle name="Comma 2 2 12 2 2" xfId="12711" xr:uid="{00000000-0005-0000-0000-000052120000}"/>
    <cellStyle name="Comma 2 2 12 2 2 2" xfId="31293" xr:uid="{00000000-0005-0000-0000-000053120000}"/>
    <cellStyle name="Comma 2 2 12 2 2 3" xfId="33147" xr:uid="{00000000-0005-0000-0000-000054120000}"/>
    <cellStyle name="Comma 2 2 12 2 2 4" xfId="34970" xr:uid="{00000000-0005-0000-0000-000055120000}"/>
    <cellStyle name="Comma 2 2 12 2 2 5" xfId="37068" xr:uid="{00000000-0005-0000-0000-000056120000}"/>
    <cellStyle name="Comma 2 2 12 2 2 6" xfId="40544" xr:uid="{00000000-0005-0000-0000-000057120000}"/>
    <cellStyle name="Comma 2 2 12 2 2 7" xfId="43338" xr:uid="{00000000-0005-0000-0000-000058120000}"/>
    <cellStyle name="Comma 2 2 12 2 2 8" xfId="44217" xr:uid="{00000000-0005-0000-0000-000059120000}"/>
    <cellStyle name="Comma 2 2 12 2 3" xfId="11928" xr:uid="{00000000-0005-0000-0000-00005A120000}"/>
    <cellStyle name="Comma 2 2 12 2 4" xfId="15358" xr:uid="{00000000-0005-0000-0000-00005B120000}"/>
    <cellStyle name="Comma 2 2 12 2 5" xfId="29856" xr:uid="{00000000-0005-0000-0000-00005C120000}"/>
    <cellStyle name="Comma 2 2 12 2 6" xfId="30702" xr:uid="{00000000-0005-0000-0000-00005D120000}"/>
    <cellStyle name="Comma 2 2 12 2 7" xfId="31679" xr:uid="{00000000-0005-0000-0000-00005E120000}"/>
    <cellStyle name="Comma 2 2 12 2 8" xfId="32321" xr:uid="{00000000-0005-0000-0000-00005F120000}"/>
    <cellStyle name="Comma 2 2 12 2 9" xfId="33533" xr:uid="{00000000-0005-0000-0000-000060120000}"/>
    <cellStyle name="Comma 2 2 12 3" xfId="6307" xr:uid="{00000000-0005-0000-0000-000061120000}"/>
    <cellStyle name="Comma 2 2 12 3 2" xfId="31106" xr:uid="{00000000-0005-0000-0000-000062120000}"/>
    <cellStyle name="Comma 2 2 12 3 2 2" xfId="41159" xr:uid="{00000000-0005-0000-0000-000063120000}"/>
    <cellStyle name="Comma 2 2 12 3 2 3" xfId="43849" xr:uid="{00000000-0005-0000-0000-000064120000}"/>
    <cellStyle name="Comma 2 2 12 3 2 4" xfId="44218" xr:uid="{00000000-0005-0000-0000-000065120000}"/>
    <cellStyle name="Comma 2 2 12 3 3" xfId="32968" xr:uid="{00000000-0005-0000-0000-000066120000}"/>
    <cellStyle name="Comma 2 2 12 3 4" xfId="34783" xr:uid="{00000000-0005-0000-0000-000067120000}"/>
    <cellStyle name="Comma 2 2 12 3 5" xfId="36889" xr:uid="{00000000-0005-0000-0000-000068120000}"/>
    <cellStyle name="Comma 2 2 12 3 6" xfId="39578" xr:uid="{00000000-0005-0000-0000-000069120000}"/>
    <cellStyle name="Comma 2 2 12 3 7" xfId="42521" xr:uid="{00000000-0005-0000-0000-00006A120000}"/>
    <cellStyle name="Comma 2 2 12 3 8" xfId="44219" xr:uid="{00000000-0005-0000-0000-00006B120000}"/>
    <cellStyle name="Comma 2 2 12 3 9" xfId="12395" xr:uid="{00000000-0005-0000-0000-00006C120000}"/>
    <cellStyle name="Comma 2 2 12 4" xfId="11741" xr:uid="{00000000-0005-0000-0000-00006D120000}"/>
    <cellStyle name="Comma 2 2 12 4 2" xfId="40304" xr:uid="{00000000-0005-0000-0000-00006E120000}"/>
    <cellStyle name="Comma 2 2 12 4 3" xfId="43131" xr:uid="{00000000-0005-0000-0000-00006F120000}"/>
    <cellStyle name="Comma 2 2 12 4 4" xfId="44220" xr:uid="{00000000-0005-0000-0000-000070120000}"/>
    <cellStyle name="Comma 2 2 12 5" xfId="15357" xr:uid="{00000000-0005-0000-0000-000071120000}"/>
    <cellStyle name="Comma 2 2 12 6" xfId="29855" xr:uid="{00000000-0005-0000-0000-000072120000}"/>
    <cellStyle name="Comma 2 2 12 7" xfId="30515" xr:uid="{00000000-0005-0000-0000-000073120000}"/>
    <cellStyle name="Comma 2 2 12 8" xfId="31678" xr:uid="{00000000-0005-0000-0000-000074120000}"/>
    <cellStyle name="Comma 2 2 12 9" xfId="32320" xr:uid="{00000000-0005-0000-0000-000075120000}"/>
    <cellStyle name="Comma 2 2 13" xfId="4403" xr:uid="{00000000-0005-0000-0000-000076120000}"/>
    <cellStyle name="Comma 2 2 13 10" xfId="34380" xr:uid="{00000000-0005-0000-0000-000077120000}"/>
    <cellStyle name="Comma 2 2 13 11" xfId="35586" xr:uid="{00000000-0005-0000-0000-000078120000}"/>
    <cellStyle name="Comma 2 2 13 12" xfId="36548" xr:uid="{00000000-0005-0000-0000-000079120000}"/>
    <cellStyle name="Comma 2 2 13 13" xfId="38655" xr:uid="{00000000-0005-0000-0000-00007A120000}"/>
    <cellStyle name="Comma 2 2 13 14" xfId="41695" xr:uid="{00000000-0005-0000-0000-00007B120000}"/>
    <cellStyle name="Comma 2 2 13 15" xfId="44221" xr:uid="{00000000-0005-0000-0000-00007C120000}"/>
    <cellStyle name="Comma 2 2 13 16" xfId="8713" xr:uid="{00000000-0005-0000-0000-00007D120000}"/>
    <cellStyle name="Comma 2 2 13 2" xfId="5854" xr:uid="{00000000-0005-0000-0000-00007E120000}"/>
    <cellStyle name="Comma 2 2 13 2 2" xfId="31294" xr:uid="{00000000-0005-0000-0000-00007F120000}"/>
    <cellStyle name="Comma 2 2 13 2 2 2" xfId="40722" xr:uid="{00000000-0005-0000-0000-000080120000}"/>
    <cellStyle name="Comma 2 2 13 2 2 3" xfId="43485" xr:uid="{00000000-0005-0000-0000-000081120000}"/>
    <cellStyle name="Comma 2 2 13 2 2 4" xfId="44222" xr:uid="{00000000-0005-0000-0000-000082120000}"/>
    <cellStyle name="Comma 2 2 13 2 3" xfId="33148" xr:uid="{00000000-0005-0000-0000-000083120000}"/>
    <cellStyle name="Comma 2 2 13 2 4" xfId="34971" xr:uid="{00000000-0005-0000-0000-000084120000}"/>
    <cellStyle name="Comma 2 2 13 2 5" xfId="37069" xr:uid="{00000000-0005-0000-0000-000085120000}"/>
    <cellStyle name="Comma 2 2 13 2 6" xfId="39149" xr:uid="{00000000-0005-0000-0000-000086120000}"/>
    <cellStyle name="Comma 2 2 13 2 7" xfId="42157" xr:uid="{00000000-0005-0000-0000-000087120000}"/>
    <cellStyle name="Comma 2 2 13 2 8" xfId="44223" xr:uid="{00000000-0005-0000-0000-000088120000}"/>
    <cellStyle name="Comma 2 2 13 2 9" xfId="12712" xr:uid="{00000000-0005-0000-0000-000089120000}"/>
    <cellStyle name="Comma 2 2 13 3" xfId="11929" xr:uid="{00000000-0005-0000-0000-00008A120000}"/>
    <cellStyle name="Comma 2 2 13 3 2" xfId="41029" xr:uid="{00000000-0005-0000-0000-00008B120000}"/>
    <cellStyle name="Comma 2 2 13 3 2 2" xfId="43741" xr:uid="{00000000-0005-0000-0000-00008C120000}"/>
    <cellStyle name="Comma 2 2 13 3 2 3" xfId="44224" xr:uid="{00000000-0005-0000-0000-00008D120000}"/>
    <cellStyle name="Comma 2 2 13 3 3" xfId="39453" xr:uid="{00000000-0005-0000-0000-00008E120000}"/>
    <cellStyle name="Comma 2 2 13 3 4" xfId="42413" xr:uid="{00000000-0005-0000-0000-00008F120000}"/>
    <cellStyle name="Comma 2 2 13 3 5" xfId="44225" xr:uid="{00000000-0005-0000-0000-000090120000}"/>
    <cellStyle name="Comma 2 2 13 4" xfId="15359" xr:uid="{00000000-0005-0000-0000-000091120000}"/>
    <cellStyle name="Comma 2 2 13 4 2" xfId="40174" xr:uid="{00000000-0005-0000-0000-000092120000}"/>
    <cellStyle name="Comma 2 2 13 4 3" xfId="43023" xr:uid="{00000000-0005-0000-0000-000093120000}"/>
    <cellStyle name="Comma 2 2 13 4 4" xfId="44226" xr:uid="{00000000-0005-0000-0000-000094120000}"/>
    <cellStyle name="Comma 2 2 13 5" xfId="29857" xr:uid="{00000000-0005-0000-0000-000095120000}"/>
    <cellStyle name="Comma 2 2 13 6" xfId="30703" xr:uid="{00000000-0005-0000-0000-000096120000}"/>
    <cellStyle name="Comma 2 2 13 7" xfId="31680" xr:uid="{00000000-0005-0000-0000-000097120000}"/>
    <cellStyle name="Comma 2 2 13 8" xfId="32322" xr:uid="{00000000-0005-0000-0000-000098120000}"/>
    <cellStyle name="Comma 2 2 13 9" xfId="33534" xr:uid="{00000000-0005-0000-0000-000099120000}"/>
    <cellStyle name="Comma 2 2 14" xfId="5665" xr:uid="{00000000-0005-0000-0000-00009A120000}"/>
    <cellStyle name="Comma 2 2 14 10" xfId="34375" xr:uid="{00000000-0005-0000-0000-00009B120000}"/>
    <cellStyle name="Comma 2 2 14 11" xfId="36543" xr:uid="{00000000-0005-0000-0000-00009C120000}"/>
    <cellStyle name="Comma 2 2 14 12" xfId="37608" xr:uid="{00000000-0005-0000-0000-00009D120000}"/>
    <cellStyle name="Comma 2 2 14 13" xfId="41548" xr:uid="{00000000-0005-0000-0000-00009E120000}"/>
    <cellStyle name="Comma 2 2 14 14" xfId="44227" xr:uid="{00000000-0005-0000-0000-00009F120000}"/>
    <cellStyle name="Comma 2 2 14 15" xfId="8708" xr:uid="{00000000-0005-0000-0000-0000A0120000}"/>
    <cellStyle name="Comma 2 2 14 2" xfId="12707" xr:uid="{00000000-0005-0000-0000-0000A1120000}"/>
    <cellStyle name="Comma 2 2 14 2 2" xfId="31289" xr:uid="{00000000-0005-0000-0000-0000A2120000}"/>
    <cellStyle name="Comma 2 2 14 2 3" xfId="33143" xr:uid="{00000000-0005-0000-0000-0000A3120000}"/>
    <cellStyle name="Comma 2 2 14 2 4" xfId="34966" xr:uid="{00000000-0005-0000-0000-0000A4120000}"/>
    <cellStyle name="Comma 2 2 14 2 5" xfId="37064" xr:uid="{00000000-0005-0000-0000-0000A5120000}"/>
    <cellStyle name="Comma 2 2 14 2 6" xfId="39999" xr:uid="{00000000-0005-0000-0000-0000A6120000}"/>
    <cellStyle name="Comma 2 2 14 2 7" xfId="42876" xr:uid="{00000000-0005-0000-0000-0000A7120000}"/>
    <cellStyle name="Comma 2 2 14 2 8" xfId="44228" xr:uid="{00000000-0005-0000-0000-0000A8120000}"/>
    <cellStyle name="Comma 2 2 14 3" xfId="11924" xr:uid="{00000000-0005-0000-0000-0000A9120000}"/>
    <cellStyle name="Comma 2 2 14 4" xfId="15360" xr:uid="{00000000-0005-0000-0000-0000AA120000}"/>
    <cellStyle name="Comma 2 2 14 5" xfId="29858" xr:uid="{00000000-0005-0000-0000-0000AB120000}"/>
    <cellStyle name="Comma 2 2 14 6" xfId="30698" xr:uid="{00000000-0005-0000-0000-0000AC120000}"/>
    <cellStyle name="Comma 2 2 14 7" xfId="31681" xr:uid="{00000000-0005-0000-0000-0000AD120000}"/>
    <cellStyle name="Comma 2 2 14 8" xfId="32323" xr:uid="{00000000-0005-0000-0000-0000AE120000}"/>
    <cellStyle name="Comma 2 2 14 9" xfId="33535" xr:uid="{00000000-0005-0000-0000-0000AF120000}"/>
    <cellStyle name="Comma 2 2 15" xfId="6175" xr:uid="{00000000-0005-0000-0000-0000B0120000}"/>
    <cellStyle name="Comma 2 2 15 10" xfId="34617" xr:uid="{00000000-0005-0000-0000-0000B1120000}"/>
    <cellStyle name="Comma 2 2 15 11" xfId="36745" xr:uid="{00000000-0005-0000-0000-0000B2120000}"/>
    <cellStyle name="Comma 2 2 15 12" xfId="38920" xr:uid="{00000000-0005-0000-0000-0000B3120000}"/>
    <cellStyle name="Comma 2 2 15 13" xfId="41951" xr:uid="{00000000-0005-0000-0000-0000B4120000}"/>
    <cellStyle name="Comma 2 2 15 14" xfId="44229" xr:uid="{00000000-0005-0000-0000-0000B5120000}"/>
    <cellStyle name="Comma 2 2 15 15" xfId="11503" xr:uid="{00000000-0005-0000-0000-0000B6120000}"/>
    <cellStyle name="Comma 2 2 15 2" xfId="15124" xr:uid="{00000000-0005-0000-0000-0000B7120000}"/>
    <cellStyle name="Comma 2 2 15 2 2" xfId="31531" xr:uid="{00000000-0005-0000-0000-0000B8120000}"/>
    <cellStyle name="Comma 2 2 15 2 3" xfId="33384" xr:uid="{00000000-0005-0000-0000-0000B9120000}"/>
    <cellStyle name="Comma 2 2 15 2 4" xfId="35208" xr:uid="{00000000-0005-0000-0000-0000BA120000}"/>
    <cellStyle name="Comma 2 2 15 2 5" xfId="37288" xr:uid="{00000000-0005-0000-0000-0000BB120000}"/>
    <cellStyle name="Comma 2 2 15 2 6" xfId="40478" xr:uid="{00000000-0005-0000-0000-0000BC120000}"/>
    <cellStyle name="Comma 2 2 15 2 7" xfId="43279" xr:uid="{00000000-0005-0000-0000-0000BD120000}"/>
    <cellStyle name="Comma 2 2 15 2 8" xfId="44230" xr:uid="{00000000-0005-0000-0000-0000BE120000}"/>
    <cellStyle name="Comma 2 2 15 3" xfId="12166" xr:uid="{00000000-0005-0000-0000-0000BF120000}"/>
    <cellStyle name="Comma 2 2 15 4" xfId="15361" xr:uid="{00000000-0005-0000-0000-0000C0120000}"/>
    <cellStyle name="Comma 2 2 15 5" xfId="29859" xr:uid="{00000000-0005-0000-0000-0000C1120000}"/>
    <cellStyle name="Comma 2 2 15 6" xfId="30940" xr:uid="{00000000-0005-0000-0000-0000C2120000}"/>
    <cellStyle name="Comma 2 2 15 7" xfId="31682" xr:uid="{00000000-0005-0000-0000-0000C3120000}"/>
    <cellStyle name="Comma 2 2 15 8" xfId="32324" xr:uid="{00000000-0005-0000-0000-0000C4120000}"/>
    <cellStyle name="Comma 2 2 15 9" xfId="33536" xr:uid="{00000000-0005-0000-0000-0000C5120000}"/>
    <cellStyle name="Comma 2 2 16" xfId="11600" xr:uid="{00000000-0005-0000-0000-0000C6120000}"/>
    <cellStyle name="Comma 2 2 16 10" xfId="34680" xr:uid="{00000000-0005-0000-0000-0000C7120000}"/>
    <cellStyle name="Comma 2 2 16 11" xfId="36788" xr:uid="{00000000-0005-0000-0000-0000C8120000}"/>
    <cellStyle name="Comma 2 2 16 12" xfId="39285" xr:uid="{00000000-0005-0000-0000-0000C9120000}"/>
    <cellStyle name="Comma 2 2 16 13" xfId="42266" xr:uid="{00000000-0005-0000-0000-0000CA120000}"/>
    <cellStyle name="Comma 2 2 16 14" xfId="44231" xr:uid="{00000000-0005-0000-0000-0000CB120000}"/>
    <cellStyle name="Comma 2 2 16 2" xfId="15215" xr:uid="{00000000-0005-0000-0000-0000CC120000}"/>
    <cellStyle name="Comma 2 2 16 2 2" xfId="31594" xr:uid="{00000000-0005-0000-0000-0000CD120000}"/>
    <cellStyle name="Comma 2 2 16 2 3" xfId="33447" xr:uid="{00000000-0005-0000-0000-0000CE120000}"/>
    <cellStyle name="Comma 2 2 16 2 4" xfId="35271" xr:uid="{00000000-0005-0000-0000-0000CF120000}"/>
    <cellStyle name="Comma 2 2 16 2 5" xfId="37345" xr:uid="{00000000-0005-0000-0000-0000D0120000}"/>
    <cellStyle name="Comma 2 2 16 2 6" xfId="40850" xr:uid="{00000000-0005-0000-0000-0000D1120000}"/>
    <cellStyle name="Comma 2 2 16 2 7" xfId="43594" xr:uid="{00000000-0005-0000-0000-0000D2120000}"/>
    <cellStyle name="Comma 2 2 16 2 8" xfId="44232" xr:uid="{00000000-0005-0000-0000-0000D3120000}"/>
    <cellStyle name="Comma 2 2 16 3" xfId="12230" xr:uid="{00000000-0005-0000-0000-0000D4120000}"/>
    <cellStyle name="Comma 2 2 16 4" xfId="15362" xr:uid="{00000000-0005-0000-0000-0000D5120000}"/>
    <cellStyle name="Comma 2 2 16 5" xfId="29860" xr:uid="{00000000-0005-0000-0000-0000D6120000}"/>
    <cellStyle name="Comma 2 2 16 6" xfId="31003" xr:uid="{00000000-0005-0000-0000-0000D7120000}"/>
    <cellStyle name="Comma 2 2 16 7" xfId="31683" xr:uid="{00000000-0005-0000-0000-0000D8120000}"/>
    <cellStyle name="Comma 2 2 16 8" xfId="32325" xr:uid="{00000000-0005-0000-0000-0000D9120000}"/>
    <cellStyle name="Comma 2 2 16 9" xfId="33537" xr:uid="{00000000-0005-0000-0000-0000DA120000}"/>
    <cellStyle name="Comma 2 2 17" xfId="12242" xr:uid="{00000000-0005-0000-0000-0000DB120000}"/>
    <cellStyle name="Comma 2 2 17 2" xfId="31015" xr:uid="{00000000-0005-0000-0000-0000DC120000}"/>
    <cellStyle name="Comma 2 2 17 3" xfId="32890" xr:uid="{00000000-0005-0000-0000-0000DD120000}"/>
    <cellStyle name="Comma 2 2 17 4" xfId="34692" xr:uid="{00000000-0005-0000-0000-0000DE120000}"/>
    <cellStyle name="Comma 2 2 17 5" xfId="36800" xr:uid="{00000000-0005-0000-0000-0000DF120000}"/>
    <cellStyle name="Comma 2 2 17 6" xfId="39748" xr:uid="{00000000-0005-0000-0000-0000E0120000}"/>
    <cellStyle name="Comma 2 2 17 7" xfId="42661" xr:uid="{00000000-0005-0000-0000-0000E1120000}"/>
    <cellStyle name="Comma 2 2 17 8" xfId="44233" xr:uid="{00000000-0005-0000-0000-0000E2120000}"/>
    <cellStyle name="Comma 2 2 18" xfId="11648" xr:uid="{00000000-0005-0000-0000-0000E3120000}"/>
    <cellStyle name="Comma 2 2 19" xfId="15350" xr:uid="{00000000-0005-0000-0000-0000E4120000}"/>
    <cellStyle name="Comma 2 2 2" xfId="1025" xr:uid="{00000000-0005-0000-0000-0000E5120000}"/>
    <cellStyle name="Comma 2 2 2 10" xfId="11601" xr:uid="{00000000-0005-0000-0000-0000E6120000}"/>
    <cellStyle name="Comma 2 2 2 10 10" xfId="34681" xr:uid="{00000000-0005-0000-0000-0000E7120000}"/>
    <cellStyle name="Comma 2 2 2 10 11" xfId="36789" xr:uid="{00000000-0005-0000-0000-0000E8120000}"/>
    <cellStyle name="Comma 2 2 2 10 12" xfId="39286" xr:uid="{00000000-0005-0000-0000-0000E9120000}"/>
    <cellStyle name="Comma 2 2 2 10 13" xfId="42267" xr:uid="{00000000-0005-0000-0000-0000EA120000}"/>
    <cellStyle name="Comma 2 2 2 10 14" xfId="44234" xr:uid="{00000000-0005-0000-0000-0000EB120000}"/>
    <cellStyle name="Comma 2 2 2 10 2" xfId="15216" xr:uid="{00000000-0005-0000-0000-0000EC120000}"/>
    <cellStyle name="Comma 2 2 2 10 2 2" xfId="31595" xr:uid="{00000000-0005-0000-0000-0000ED120000}"/>
    <cellStyle name="Comma 2 2 2 10 2 3" xfId="33448" xr:uid="{00000000-0005-0000-0000-0000EE120000}"/>
    <cellStyle name="Comma 2 2 2 10 2 4" xfId="35272" xr:uid="{00000000-0005-0000-0000-0000EF120000}"/>
    <cellStyle name="Comma 2 2 2 10 2 5" xfId="37346" xr:uid="{00000000-0005-0000-0000-0000F0120000}"/>
    <cellStyle name="Comma 2 2 2 10 2 6" xfId="40851" xr:uid="{00000000-0005-0000-0000-0000F1120000}"/>
    <cellStyle name="Comma 2 2 2 10 2 7" xfId="43595" xr:uid="{00000000-0005-0000-0000-0000F2120000}"/>
    <cellStyle name="Comma 2 2 2 10 2 8" xfId="44235" xr:uid="{00000000-0005-0000-0000-0000F3120000}"/>
    <cellStyle name="Comma 2 2 2 10 3" xfId="12231" xr:uid="{00000000-0005-0000-0000-0000F4120000}"/>
    <cellStyle name="Comma 2 2 2 10 4" xfId="15364" xr:uid="{00000000-0005-0000-0000-0000F5120000}"/>
    <cellStyle name="Comma 2 2 2 10 5" xfId="29862" xr:uid="{00000000-0005-0000-0000-0000F6120000}"/>
    <cellStyle name="Comma 2 2 2 10 6" xfId="31004" xr:uid="{00000000-0005-0000-0000-0000F7120000}"/>
    <cellStyle name="Comma 2 2 2 10 7" xfId="31685" xr:uid="{00000000-0005-0000-0000-0000F8120000}"/>
    <cellStyle name="Comma 2 2 2 10 8" xfId="32327" xr:uid="{00000000-0005-0000-0000-0000F9120000}"/>
    <cellStyle name="Comma 2 2 2 10 9" xfId="33539" xr:uid="{00000000-0005-0000-0000-0000FA120000}"/>
    <cellStyle name="Comma 2 2 2 11" xfId="12243" xr:uid="{00000000-0005-0000-0000-0000FB120000}"/>
    <cellStyle name="Comma 2 2 2 11 2" xfId="31016" xr:uid="{00000000-0005-0000-0000-0000FC120000}"/>
    <cellStyle name="Comma 2 2 2 11 3" xfId="32891" xr:uid="{00000000-0005-0000-0000-0000FD120000}"/>
    <cellStyle name="Comma 2 2 2 11 4" xfId="34693" xr:uid="{00000000-0005-0000-0000-0000FE120000}"/>
    <cellStyle name="Comma 2 2 2 11 5" xfId="36801" xr:uid="{00000000-0005-0000-0000-0000FF120000}"/>
    <cellStyle name="Comma 2 2 2 11 6" xfId="39749" xr:uid="{00000000-0005-0000-0000-000000130000}"/>
    <cellStyle name="Comma 2 2 2 11 7" xfId="42662" xr:uid="{00000000-0005-0000-0000-000001130000}"/>
    <cellStyle name="Comma 2 2 2 11 8" xfId="44236" xr:uid="{00000000-0005-0000-0000-000002130000}"/>
    <cellStyle name="Comma 2 2 2 12" xfId="11649" xr:uid="{00000000-0005-0000-0000-000003130000}"/>
    <cellStyle name="Comma 2 2 2 13" xfId="15363" xr:uid="{00000000-0005-0000-0000-000004130000}"/>
    <cellStyle name="Comma 2 2 2 14" xfId="29861" xr:uid="{00000000-0005-0000-0000-000005130000}"/>
    <cellStyle name="Comma 2 2 2 15" xfId="30425" xr:uid="{00000000-0005-0000-0000-000006130000}"/>
    <cellStyle name="Comma 2 2 2 16" xfId="31684" xr:uid="{00000000-0005-0000-0000-000007130000}"/>
    <cellStyle name="Comma 2 2 2 17" xfId="32326" xr:uid="{00000000-0005-0000-0000-000008130000}"/>
    <cellStyle name="Comma 2 2 2 18" xfId="33538" xr:uid="{00000000-0005-0000-0000-000009130000}"/>
    <cellStyle name="Comma 2 2 2 19" xfId="34102" xr:uid="{00000000-0005-0000-0000-00000A130000}"/>
    <cellStyle name="Comma 2 2 2 2" xfId="2754" xr:uid="{00000000-0005-0000-0000-00000B130000}"/>
    <cellStyle name="Comma 2 2 2 2 10" xfId="11650" xr:uid="{00000000-0005-0000-0000-00000C130000}"/>
    <cellStyle name="Comma 2 2 2 2 11" xfId="15365" xr:uid="{00000000-0005-0000-0000-00000D130000}"/>
    <cellStyle name="Comma 2 2 2 2 12" xfId="29863" xr:uid="{00000000-0005-0000-0000-00000E130000}"/>
    <cellStyle name="Comma 2 2 2 2 13" xfId="30426" xr:uid="{00000000-0005-0000-0000-00000F130000}"/>
    <cellStyle name="Comma 2 2 2 2 14" xfId="31686" xr:uid="{00000000-0005-0000-0000-000010130000}"/>
    <cellStyle name="Comma 2 2 2 2 15" xfId="32328" xr:uid="{00000000-0005-0000-0000-000011130000}"/>
    <cellStyle name="Comma 2 2 2 2 16" xfId="33540" xr:uid="{00000000-0005-0000-0000-000012130000}"/>
    <cellStyle name="Comma 2 2 2 2 17" xfId="34103" xr:uid="{00000000-0005-0000-0000-000013130000}"/>
    <cellStyle name="Comma 2 2 2 2 18" xfId="35316" xr:uid="{00000000-0005-0000-0000-000014130000}"/>
    <cellStyle name="Comma 2 2 2 2 19" xfId="36179" xr:uid="{00000000-0005-0000-0000-000015130000}"/>
    <cellStyle name="Comma 2 2 2 2 2" xfId="2755" xr:uid="{00000000-0005-0000-0000-000016130000}"/>
    <cellStyle name="Comma 2 2 2 2 2 10" xfId="29864" xr:uid="{00000000-0005-0000-0000-000017130000}"/>
    <cellStyle name="Comma 2 2 2 2 2 11" xfId="30427" xr:uid="{00000000-0005-0000-0000-000018130000}"/>
    <cellStyle name="Comma 2 2 2 2 2 12" xfId="31687" xr:uid="{00000000-0005-0000-0000-000019130000}"/>
    <cellStyle name="Comma 2 2 2 2 2 13" xfId="32329" xr:uid="{00000000-0005-0000-0000-00001A130000}"/>
    <cellStyle name="Comma 2 2 2 2 2 14" xfId="33541" xr:uid="{00000000-0005-0000-0000-00001B130000}"/>
    <cellStyle name="Comma 2 2 2 2 2 15" xfId="34104" xr:uid="{00000000-0005-0000-0000-00001C130000}"/>
    <cellStyle name="Comma 2 2 2 2 2 16" xfId="35317" xr:uid="{00000000-0005-0000-0000-00001D130000}"/>
    <cellStyle name="Comma 2 2 2 2 2 17" xfId="36180" xr:uid="{00000000-0005-0000-0000-00001E130000}"/>
    <cellStyle name="Comma 2 2 2 2 2 18" xfId="37421" xr:uid="{00000000-0005-0000-0000-00001F130000}"/>
    <cellStyle name="Comma 2 2 2 2 2 19" xfId="41368" xr:uid="{00000000-0005-0000-0000-000020130000}"/>
    <cellStyle name="Comma 2 2 2 2 2 2" xfId="5066" xr:uid="{00000000-0005-0000-0000-000021130000}"/>
    <cellStyle name="Comma 2 2 2 2 2 2 10" xfId="32330" xr:uid="{00000000-0005-0000-0000-000022130000}"/>
    <cellStyle name="Comma 2 2 2 2 2 2 11" xfId="33542" xr:uid="{00000000-0005-0000-0000-000023130000}"/>
    <cellStyle name="Comma 2 2 2 2 2 2 12" xfId="34142" xr:uid="{00000000-0005-0000-0000-000024130000}"/>
    <cellStyle name="Comma 2 2 2 2 2 2 13" xfId="36021" xr:uid="{00000000-0005-0000-0000-000025130000}"/>
    <cellStyle name="Comma 2 2 2 2 2 2 14" xfId="36321" xr:uid="{00000000-0005-0000-0000-000026130000}"/>
    <cellStyle name="Comma 2 2 2 2 2 2 15" xfId="37495" xr:uid="{00000000-0005-0000-0000-000027130000}"/>
    <cellStyle name="Comma 2 2 2 2 2 2 16" xfId="41441" xr:uid="{00000000-0005-0000-0000-000028130000}"/>
    <cellStyle name="Comma 2 2 2 2 2 2 17" xfId="44237" xr:uid="{00000000-0005-0000-0000-000029130000}"/>
    <cellStyle name="Comma 2 2 2 2 2 2 18" xfId="6655" xr:uid="{00000000-0005-0000-0000-00002A130000}"/>
    <cellStyle name="Comma 2 2 2 2 2 2 2" xfId="6035" xr:uid="{00000000-0005-0000-0000-00002B130000}"/>
    <cellStyle name="Comma 2 2 2 2 2 2 2 10" xfId="33543" xr:uid="{00000000-0005-0000-0000-00002C130000}"/>
    <cellStyle name="Comma 2 2 2 2 2 2 2 11" xfId="34294" xr:uid="{00000000-0005-0000-0000-00002D130000}"/>
    <cellStyle name="Comma 2 2 2 2 2 2 2 12" xfId="36481" xr:uid="{00000000-0005-0000-0000-00002E130000}"/>
    <cellStyle name="Comma 2 2 2 2 2 2 2 13" xfId="38800" xr:uid="{00000000-0005-0000-0000-00002F130000}"/>
    <cellStyle name="Comma 2 2 2 2 2 2 2 14" xfId="41839" xr:uid="{00000000-0005-0000-0000-000030130000}"/>
    <cellStyle name="Comma 2 2 2 2 2 2 2 15" xfId="44238" xr:uid="{00000000-0005-0000-0000-000031130000}"/>
    <cellStyle name="Comma 2 2 2 2 2 2 2 16" xfId="8531" xr:uid="{00000000-0005-0000-0000-000032130000}"/>
    <cellStyle name="Comma 2 2 2 2 2 2 2 2" xfId="8718" xr:uid="{00000000-0005-0000-0000-000033130000}"/>
    <cellStyle name="Comma 2 2 2 2 2 2 2 2 10" xfId="34385" xr:uid="{00000000-0005-0000-0000-000034130000}"/>
    <cellStyle name="Comma 2 2 2 2 2 2 2 2 11" xfId="36553" xr:uid="{00000000-0005-0000-0000-000035130000}"/>
    <cellStyle name="Comma 2 2 2 2 2 2 2 2 12" xfId="40349" xr:uid="{00000000-0005-0000-0000-000036130000}"/>
    <cellStyle name="Comma 2 2 2 2 2 2 2 2 13" xfId="43167" xr:uid="{00000000-0005-0000-0000-000037130000}"/>
    <cellStyle name="Comma 2 2 2 2 2 2 2 2 14" xfId="44239" xr:uid="{00000000-0005-0000-0000-000038130000}"/>
    <cellStyle name="Comma 2 2 2 2 2 2 2 2 2" xfId="12717" xr:uid="{00000000-0005-0000-0000-000039130000}"/>
    <cellStyle name="Comma 2 2 2 2 2 2 2 2 2 2" xfId="31299" xr:uid="{00000000-0005-0000-0000-00003A130000}"/>
    <cellStyle name="Comma 2 2 2 2 2 2 2 2 2 3" xfId="33153" xr:uid="{00000000-0005-0000-0000-00003B130000}"/>
    <cellStyle name="Comma 2 2 2 2 2 2 2 2 2 4" xfId="34976" xr:uid="{00000000-0005-0000-0000-00003C130000}"/>
    <cellStyle name="Comma 2 2 2 2 2 2 2 2 2 5" xfId="37074" xr:uid="{00000000-0005-0000-0000-00003D130000}"/>
    <cellStyle name="Comma 2 2 2 2 2 2 2 2 3" xfId="11934" xr:uid="{00000000-0005-0000-0000-00003E130000}"/>
    <cellStyle name="Comma 2 2 2 2 2 2 2 2 4" xfId="15369" xr:uid="{00000000-0005-0000-0000-00003F130000}"/>
    <cellStyle name="Comma 2 2 2 2 2 2 2 2 5" xfId="29867" xr:uid="{00000000-0005-0000-0000-000040130000}"/>
    <cellStyle name="Comma 2 2 2 2 2 2 2 2 6" xfId="30708" xr:uid="{00000000-0005-0000-0000-000041130000}"/>
    <cellStyle name="Comma 2 2 2 2 2 2 2 2 7" xfId="31690" xr:uid="{00000000-0005-0000-0000-000042130000}"/>
    <cellStyle name="Comma 2 2 2 2 2 2 2 2 8" xfId="32332" xr:uid="{00000000-0005-0000-0000-000043130000}"/>
    <cellStyle name="Comma 2 2 2 2 2 2 2 2 9" xfId="33544" xr:uid="{00000000-0005-0000-0000-000044130000}"/>
    <cellStyle name="Comma 2 2 2 2 2 2 2 3" xfId="12566" xr:uid="{00000000-0005-0000-0000-000045130000}"/>
    <cellStyle name="Comma 2 2 2 2 2 2 2 3 2" xfId="31208" xr:uid="{00000000-0005-0000-0000-000046130000}"/>
    <cellStyle name="Comma 2 2 2 2 2 2 2 3 3" xfId="33064" xr:uid="{00000000-0005-0000-0000-000047130000}"/>
    <cellStyle name="Comma 2 2 2 2 2 2 2 3 4" xfId="34885" xr:uid="{00000000-0005-0000-0000-000048130000}"/>
    <cellStyle name="Comma 2 2 2 2 2 2 2 3 5" xfId="36985" xr:uid="{00000000-0005-0000-0000-000049130000}"/>
    <cellStyle name="Comma 2 2 2 2 2 2 2 4" xfId="11843" xr:uid="{00000000-0005-0000-0000-00004A130000}"/>
    <cellStyle name="Comma 2 2 2 2 2 2 2 5" xfId="15368" xr:uid="{00000000-0005-0000-0000-00004B130000}"/>
    <cellStyle name="Comma 2 2 2 2 2 2 2 6" xfId="29866" xr:uid="{00000000-0005-0000-0000-00004C130000}"/>
    <cellStyle name="Comma 2 2 2 2 2 2 2 7" xfId="30617" xr:uid="{00000000-0005-0000-0000-00004D130000}"/>
    <cellStyle name="Comma 2 2 2 2 2 2 2 8" xfId="31689" xr:uid="{00000000-0005-0000-0000-00004E130000}"/>
    <cellStyle name="Comma 2 2 2 2 2 2 2 9" xfId="32331" xr:uid="{00000000-0005-0000-0000-00004F130000}"/>
    <cellStyle name="Comma 2 2 2 2 2 2 3" xfId="6355" xr:uid="{00000000-0005-0000-0000-000050130000}"/>
    <cellStyle name="Comma 2 2 2 2 2 2 3 10" xfId="34384" xr:uid="{00000000-0005-0000-0000-000051130000}"/>
    <cellStyle name="Comma 2 2 2 2 2 2 3 11" xfId="36552" xr:uid="{00000000-0005-0000-0000-000052130000}"/>
    <cellStyle name="Comma 2 2 2 2 2 2 3 12" xfId="39020" xr:uid="{00000000-0005-0000-0000-000053130000}"/>
    <cellStyle name="Comma 2 2 2 2 2 2 3 13" xfId="42046" xr:uid="{00000000-0005-0000-0000-000054130000}"/>
    <cellStyle name="Comma 2 2 2 2 2 2 3 14" xfId="44240" xr:uid="{00000000-0005-0000-0000-000055130000}"/>
    <cellStyle name="Comma 2 2 2 2 2 2 3 15" xfId="8717" xr:uid="{00000000-0005-0000-0000-000056130000}"/>
    <cellStyle name="Comma 2 2 2 2 2 2 3 2" xfId="12716" xr:uid="{00000000-0005-0000-0000-000057130000}"/>
    <cellStyle name="Comma 2 2 2 2 2 2 3 2 2" xfId="31298" xr:uid="{00000000-0005-0000-0000-000058130000}"/>
    <cellStyle name="Comma 2 2 2 2 2 2 3 2 3" xfId="33152" xr:uid="{00000000-0005-0000-0000-000059130000}"/>
    <cellStyle name="Comma 2 2 2 2 2 2 3 2 4" xfId="34975" xr:uid="{00000000-0005-0000-0000-00005A130000}"/>
    <cellStyle name="Comma 2 2 2 2 2 2 3 2 5" xfId="37073" xr:uid="{00000000-0005-0000-0000-00005B130000}"/>
    <cellStyle name="Comma 2 2 2 2 2 2 3 2 6" xfId="40588" xr:uid="{00000000-0005-0000-0000-00005C130000}"/>
    <cellStyle name="Comma 2 2 2 2 2 2 3 2 7" xfId="43374" xr:uid="{00000000-0005-0000-0000-00005D130000}"/>
    <cellStyle name="Comma 2 2 2 2 2 2 3 2 8" xfId="44241" xr:uid="{00000000-0005-0000-0000-00005E130000}"/>
    <cellStyle name="Comma 2 2 2 2 2 2 3 3" xfId="11933" xr:uid="{00000000-0005-0000-0000-00005F130000}"/>
    <cellStyle name="Comma 2 2 2 2 2 2 3 4" xfId="15370" xr:uid="{00000000-0005-0000-0000-000060130000}"/>
    <cellStyle name="Comma 2 2 2 2 2 2 3 5" xfId="29868" xr:uid="{00000000-0005-0000-0000-000061130000}"/>
    <cellStyle name="Comma 2 2 2 2 2 2 3 6" xfId="30707" xr:uid="{00000000-0005-0000-0000-000062130000}"/>
    <cellStyle name="Comma 2 2 2 2 2 2 3 7" xfId="31691" xr:uid="{00000000-0005-0000-0000-000063130000}"/>
    <cellStyle name="Comma 2 2 2 2 2 2 3 8" xfId="32333" xr:uid="{00000000-0005-0000-0000-000064130000}"/>
    <cellStyle name="Comma 2 2 2 2 2 2 3 9" xfId="33545" xr:uid="{00000000-0005-0000-0000-000065130000}"/>
    <cellStyle name="Comma 2 2 2 2 2 2 4" xfId="12283" xr:uid="{00000000-0005-0000-0000-000066130000}"/>
    <cellStyle name="Comma 2 2 2 2 2 2 4 2" xfId="31056" xr:uid="{00000000-0005-0000-0000-000067130000}"/>
    <cellStyle name="Comma 2 2 2 2 2 2 4 2 2" xfId="41205" xr:uid="{00000000-0005-0000-0000-000068130000}"/>
    <cellStyle name="Comma 2 2 2 2 2 2 4 2 3" xfId="43885" xr:uid="{00000000-0005-0000-0000-000069130000}"/>
    <cellStyle name="Comma 2 2 2 2 2 2 4 2 4" xfId="44242" xr:uid="{00000000-0005-0000-0000-00006A130000}"/>
    <cellStyle name="Comma 2 2 2 2 2 2 4 3" xfId="32924" xr:uid="{00000000-0005-0000-0000-00006B130000}"/>
    <cellStyle name="Comma 2 2 2 2 2 2 4 4" xfId="34733" xr:uid="{00000000-0005-0000-0000-00006C130000}"/>
    <cellStyle name="Comma 2 2 2 2 2 2 4 5" xfId="36841" xr:uid="{00000000-0005-0000-0000-00006D130000}"/>
    <cellStyle name="Comma 2 2 2 2 2 2 4 6" xfId="39622" xr:uid="{00000000-0005-0000-0000-00006E130000}"/>
    <cellStyle name="Comma 2 2 2 2 2 2 4 7" xfId="42557" xr:uid="{00000000-0005-0000-0000-00006F130000}"/>
    <cellStyle name="Comma 2 2 2 2 2 2 4 8" xfId="44243" xr:uid="{00000000-0005-0000-0000-000070130000}"/>
    <cellStyle name="Comma 2 2 2 2 2 2 5" xfId="11690" xr:uid="{00000000-0005-0000-0000-000071130000}"/>
    <cellStyle name="Comma 2 2 2 2 2 2 5 2" xfId="39870" xr:uid="{00000000-0005-0000-0000-000072130000}"/>
    <cellStyle name="Comma 2 2 2 2 2 2 5 3" xfId="42769" xr:uid="{00000000-0005-0000-0000-000073130000}"/>
    <cellStyle name="Comma 2 2 2 2 2 2 5 4" xfId="44244" xr:uid="{00000000-0005-0000-0000-000074130000}"/>
    <cellStyle name="Comma 2 2 2 2 2 2 6" xfId="15367" xr:uid="{00000000-0005-0000-0000-000075130000}"/>
    <cellStyle name="Comma 2 2 2 2 2 2 7" xfId="29865" xr:uid="{00000000-0005-0000-0000-000076130000}"/>
    <cellStyle name="Comma 2 2 2 2 2 2 8" xfId="30465" xr:uid="{00000000-0005-0000-0000-000077130000}"/>
    <cellStyle name="Comma 2 2 2 2 2 2 9" xfId="31688" xr:uid="{00000000-0005-0000-0000-000078130000}"/>
    <cellStyle name="Comma 2 2 2 2 2 20" xfId="44245" xr:uid="{00000000-0005-0000-0000-000079130000}"/>
    <cellStyle name="Comma 2 2 2 2 2 21" xfId="6543" xr:uid="{00000000-0005-0000-0000-00007A130000}"/>
    <cellStyle name="Comma 2 2 2 2 2 3" xfId="4407" xr:uid="{00000000-0005-0000-0000-00007B130000}"/>
    <cellStyle name="Comma 2 2 2 2 2 3 10" xfId="33546" xr:uid="{00000000-0005-0000-0000-00007C130000}"/>
    <cellStyle name="Comma 2 2 2 2 2 3 11" xfId="34255" xr:uid="{00000000-0005-0000-0000-00007D130000}"/>
    <cellStyle name="Comma 2 2 2 2 2 3 12" xfId="35590" xr:uid="{00000000-0005-0000-0000-00007E130000}"/>
    <cellStyle name="Comma 2 2 2 2 2 3 13" xfId="36458" xr:uid="{00000000-0005-0000-0000-00007F130000}"/>
    <cellStyle name="Comma 2 2 2 2 2 3 14" xfId="38659" xr:uid="{00000000-0005-0000-0000-000080130000}"/>
    <cellStyle name="Comma 2 2 2 2 2 3 15" xfId="41699" xr:uid="{00000000-0005-0000-0000-000081130000}"/>
    <cellStyle name="Comma 2 2 2 2 2 3 16" xfId="44246" xr:uid="{00000000-0005-0000-0000-000082130000}"/>
    <cellStyle name="Comma 2 2 2 2 2 3 17" xfId="8418" xr:uid="{00000000-0005-0000-0000-000083130000}"/>
    <cellStyle name="Comma 2 2 2 2 2 3 2" xfId="5858" xr:uid="{00000000-0005-0000-0000-000084130000}"/>
    <cellStyle name="Comma 2 2 2 2 2 3 2 10" xfId="34386" xr:uid="{00000000-0005-0000-0000-000085130000}"/>
    <cellStyle name="Comma 2 2 2 2 2 3 2 11" xfId="36554" xr:uid="{00000000-0005-0000-0000-000086130000}"/>
    <cellStyle name="Comma 2 2 2 2 2 3 2 12" xfId="39152" xr:uid="{00000000-0005-0000-0000-000087130000}"/>
    <cellStyle name="Comma 2 2 2 2 2 3 2 13" xfId="42160" xr:uid="{00000000-0005-0000-0000-000088130000}"/>
    <cellStyle name="Comma 2 2 2 2 2 3 2 14" xfId="44247" xr:uid="{00000000-0005-0000-0000-000089130000}"/>
    <cellStyle name="Comma 2 2 2 2 2 3 2 15" xfId="8719" xr:uid="{00000000-0005-0000-0000-00008A130000}"/>
    <cellStyle name="Comma 2 2 2 2 2 3 2 2" xfId="12718" xr:uid="{00000000-0005-0000-0000-00008B130000}"/>
    <cellStyle name="Comma 2 2 2 2 2 3 2 2 2" xfId="31300" xr:uid="{00000000-0005-0000-0000-00008C130000}"/>
    <cellStyle name="Comma 2 2 2 2 2 3 2 2 3" xfId="33154" xr:uid="{00000000-0005-0000-0000-00008D130000}"/>
    <cellStyle name="Comma 2 2 2 2 2 3 2 2 4" xfId="34977" xr:uid="{00000000-0005-0000-0000-00008E130000}"/>
    <cellStyle name="Comma 2 2 2 2 2 3 2 2 5" xfId="37075" xr:uid="{00000000-0005-0000-0000-00008F130000}"/>
    <cellStyle name="Comma 2 2 2 2 2 3 2 2 6" xfId="40725" xr:uid="{00000000-0005-0000-0000-000090130000}"/>
    <cellStyle name="Comma 2 2 2 2 2 3 2 2 7" xfId="43488" xr:uid="{00000000-0005-0000-0000-000091130000}"/>
    <cellStyle name="Comma 2 2 2 2 2 3 2 2 8" xfId="44248" xr:uid="{00000000-0005-0000-0000-000092130000}"/>
    <cellStyle name="Comma 2 2 2 2 2 3 2 3" xfId="11935" xr:uid="{00000000-0005-0000-0000-000093130000}"/>
    <cellStyle name="Comma 2 2 2 2 2 3 2 4" xfId="15372" xr:uid="{00000000-0005-0000-0000-000094130000}"/>
    <cellStyle name="Comma 2 2 2 2 2 3 2 5" xfId="29870" xr:uid="{00000000-0005-0000-0000-000095130000}"/>
    <cellStyle name="Comma 2 2 2 2 2 3 2 6" xfId="30709" xr:uid="{00000000-0005-0000-0000-000096130000}"/>
    <cellStyle name="Comma 2 2 2 2 2 3 2 7" xfId="31693" xr:uid="{00000000-0005-0000-0000-000097130000}"/>
    <cellStyle name="Comma 2 2 2 2 2 3 2 8" xfId="32335" xr:uid="{00000000-0005-0000-0000-000098130000}"/>
    <cellStyle name="Comma 2 2 2 2 2 3 2 9" xfId="33547" xr:uid="{00000000-0005-0000-0000-000099130000}"/>
    <cellStyle name="Comma 2 2 2 2 2 3 3" xfId="12526" xr:uid="{00000000-0005-0000-0000-00009A130000}"/>
    <cellStyle name="Comma 2 2 2 2 2 3 3 2" xfId="31169" xr:uid="{00000000-0005-0000-0000-00009B130000}"/>
    <cellStyle name="Comma 2 2 2 2 2 3 3 2 2" xfId="41033" xr:uid="{00000000-0005-0000-0000-00009C130000}"/>
    <cellStyle name="Comma 2 2 2 2 2 3 3 2 3" xfId="43745" xr:uid="{00000000-0005-0000-0000-00009D130000}"/>
    <cellStyle name="Comma 2 2 2 2 2 3 3 2 4" xfId="44249" xr:uid="{00000000-0005-0000-0000-00009E130000}"/>
    <cellStyle name="Comma 2 2 2 2 2 3 3 3" xfId="33027" xr:uid="{00000000-0005-0000-0000-00009F130000}"/>
    <cellStyle name="Comma 2 2 2 2 2 3 3 4" xfId="34846" xr:uid="{00000000-0005-0000-0000-0000A0130000}"/>
    <cellStyle name="Comma 2 2 2 2 2 3 3 5" xfId="36948" xr:uid="{00000000-0005-0000-0000-0000A1130000}"/>
    <cellStyle name="Comma 2 2 2 2 2 3 3 6" xfId="39457" xr:uid="{00000000-0005-0000-0000-0000A2130000}"/>
    <cellStyle name="Comma 2 2 2 2 2 3 3 7" xfId="42417" xr:uid="{00000000-0005-0000-0000-0000A3130000}"/>
    <cellStyle name="Comma 2 2 2 2 2 3 3 8" xfId="44250" xr:uid="{00000000-0005-0000-0000-0000A4130000}"/>
    <cellStyle name="Comma 2 2 2 2 2 3 4" xfId="11804" xr:uid="{00000000-0005-0000-0000-0000A5130000}"/>
    <cellStyle name="Comma 2 2 2 2 2 3 4 2" xfId="40178" xr:uid="{00000000-0005-0000-0000-0000A6130000}"/>
    <cellStyle name="Comma 2 2 2 2 2 3 4 3" xfId="43027" xr:uid="{00000000-0005-0000-0000-0000A7130000}"/>
    <cellStyle name="Comma 2 2 2 2 2 3 4 4" xfId="44251" xr:uid="{00000000-0005-0000-0000-0000A8130000}"/>
    <cellStyle name="Comma 2 2 2 2 2 3 5" xfId="15371" xr:uid="{00000000-0005-0000-0000-0000A9130000}"/>
    <cellStyle name="Comma 2 2 2 2 2 3 6" xfId="29869" xr:uid="{00000000-0005-0000-0000-0000AA130000}"/>
    <cellStyle name="Comma 2 2 2 2 2 3 7" xfId="30578" xr:uid="{00000000-0005-0000-0000-0000AB130000}"/>
    <cellStyle name="Comma 2 2 2 2 2 3 8" xfId="31692" xr:uid="{00000000-0005-0000-0000-0000AC130000}"/>
    <cellStyle name="Comma 2 2 2 2 2 3 9" xfId="32334" xr:uid="{00000000-0005-0000-0000-0000AD130000}"/>
    <cellStyle name="Comma 2 2 2 2 2 4" xfId="5720" xr:uid="{00000000-0005-0000-0000-0000AE130000}"/>
    <cellStyle name="Comma 2 2 2 2 2 4 10" xfId="33548" xr:uid="{00000000-0005-0000-0000-0000AF130000}"/>
    <cellStyle name="Comma 2 2 2 2 2 4 11" xfId="34240" xr:uid="{00000000-0005-0000-0000-0000B0130000}"/>
    <cellStyle name="Comma 2 2 2 2 2 4 12" xfId="36446" xr:uid="{00000000-0005-0000-0000-0000B1130000}"/>
    <cellStyle name="Comma 2 2 2 2 2 4 13" xfId="38087" xr:uid="{00000000-0005-0000-0000-0000B2130000}"/>
    <cellStyle name="Comma 2 2 2 2 2 4 14" xfId="41584" xr:uid="{00000000-0005-0000-0000-0000B3130000}"/>
    <cellStyle name="Comma 2 2 2 2 2 4 15" xfId="44252" xr:uid="{00000000-0005-0000-0000-0000B4130000}"/>
    <cellStyle name="Comma 2 2 2 2 2 4 16" xfId="8375" xr:uid="{00000000-0005-0000-0000-0000B5130000}"/>
    <cellStyle name="Comma 2 2 2 2 2 4 2" xfId="8720" xr:uid="{00000000-0005-0000-0000-0000B6130000}"/>
    <cellStyle name="Comma 2 2 2 2 2 4 2 10" xfId="34387" xr:uid="{00000000-0005-0000-0000-0000B7130000}"/>
    <cellStyle name="Comma 2 2 2 2 2 4 2 11" xfId="36555" xr:uid="{00000000-0005-0000-0000-0000B8130000}"/>
    <cellStyle name="Comma 2 2 2 2 2 4 2 12" xfId="40043" xr:uid="{00000000-0005-0000-0000-0000B9130000}"/>
    <cellStyle name="Comma 2 2 2 2 2 4 2 13" xfId="42912" xr:uid="{00000000-0005-0000-0000-0000BA130000}"/>
    <cellStyle name="Comma 2 2 2 2 2 4 2 14" xfId="44253" xr:uid="{00000000-0005-0000-0000-0000BB130000}"/>
    <cellStyle name="Comma 2 2 2 2 2 4 2 2" xfId="12719" xr:uid="{00000000-0005-0000-0000-0000BC130000}"/>
    <cellStyle name="Comma 2 2 2 2 2 4 2 2 2" xfId="31301" xr:uid="{00000000-0005-0000-0000-0000BD130000}"/>
    <cellStyle name="Comma 2 2 2 2 2 4 2 2 3" xfId="33155" xr:uid="{00000000-0005-0000-0000-0000BE130000}"/>
    <cellStyle name="Comma 2 2 2 2 2 4 2 2 4" xfId="34978" xr:uid="{00000000-0005-0000-0000-0000BF130000}"/>
    <cellStyle name="Comma 2 2 2 2 2 4 2 2 5" xfId="37076" xr:uid="{00000000-0005-0000-0000-0000C0130000}"/>
    <cellStyle name="Comma 2 2 2 2 2 4 2 3" xfId="11936" xr:uid="{00000000-0005-0000-0000-0000C1130000}"/>
    <cellStyle name="Comma 2 2 2 2 2 4 2 4" xfId="15374" xr:uid="{00000000-0005-0000-0000-0000C2130000}"/>
    <cellStyle name="Comma 2 2 2 2 2 4 2 5" xfId="29872" xr:uid="{00000000-0005-0000-0000-0000C3130000}"/>
    <cellStyle name="Comma 2 2 2 2 2 4 2 6" xfId="30710" xr:uid="{00000000-0005-0000-0000-0000C4130000}"/>
    <cellStyle name="Comma 2 2 2 2 2 4 2 7" xfId="31695" xr:uid="{00000000-0005-0000-0000-0000C5130000}"/>
    <cellStyle name="Comma 2 2 2 2 2 4 2 8" xfId="32337" xr:uid="{00000000-0005-0000-0000-0000C6130000}"/>
    <cellStyle name="Comma 2 2 2 2 2 4 2 9" xfId="33549" xr:uid="{00000000-0005-0000-0000-0000C7130000}"/>
    <cellStyle name="Comma 2 2 2 2 2 4 3" xfId="12500" xr:uid="{00000000-0005-0000-0000-0000C8130000}"/>
    <cellStyle name="Comma 2 2 2 2 2 4 3 2" xfId="31154" xr:uid="{00000000-0005-0000-0000-0000C9130000}"/>
    <cellStyle name="Comma 2 2 2 2 2 4 3 3" xfId="33012" xr:uid="{00000000-0005-0000-0000-0000CA130000}"/>
    <cellStyle name="Comma 2 2 2 2 2 4 3 4" xfId="34831" xr:uid="{00000000-0005-0000-0000-0000CB130000}"/>
    <cellStyle name="Comma 2 2 2 2 2 4 3 5" xfId="36933" xr:uid="{00000000-0005-0000-0000-0000CC130000}"/>
    <cellStyle name="Comma 2 2 2 2 2 4 4" xfId="11789" xr:uid="{00000000-0005-0000-0000-0000CD130000}"/>
    <cellStyle name="Comma 2 2 2 2 2 4 5" xfId="15373" xr:uid="{00000000-0005-0000-0000-0000CE130000}"/>
    <cellStyle name="Comma 2 2 2 2 2 4 6" xfId="29871" xr:uid="{00000000-0005-0000-0000-0000CF130000}"/>
    <cellStyle name="Comma 2 2 2 2 2 4 7" xfId="30563" xr:uid="{00000000-0005-0000-0000-0000D0130000}"/>
    <cellStyle name="Comma 2 2 2 2 2 4 8" xfId="31694" xr:uid="{00000000-0005-0000-0000-0000D1130000}"/>
    <cellStyle name="Comma 2 2 2 2 2 4 9" xfId="32336" xr:uid="{00000000-0005-0000-0000-0000D2130000}"/>
    <cellStyle name="Comma 2 2 2 2 2 5" xfId="6179" xr:uid="{00000000-0005-0000-0000-0000D3130000}"/>
    <cellStyle name="Comma 2 2 2 2 2 5 10" xfId="34388" xr:uid="{00000000-0005-0000-0000-0000D4130000}"/>
    <cellStyle name="Comma 2 2 2 2 2 5 11" xfId="36556" xr:uid="{00000000-0005-0000-0000-0000D5130000}"/>
    <cellStyle name="Comma 2 2 2 2 2 5 12" xfId="38923" xr:uid="{00000000-0005-0000-0000-0000D6130000}"/>
    <cellStyle name="Comma 2 2 2 2 2 5 13" xfId="41954" xr:uid="{00000000-0005-0000-0000-0000D7130000}"/>
    <cellStyle name="Comma 2 2 2 2 2 5 14" xfId="44254" xr:uid="{00000000-0005-0000-0000-0000D8130000}"/>
    <cellStyle name="Comma 2 2 2 2 2 5 15" xfId="8721" xr:uid="{00000000-0005-0000-0000-0000D9130000}"/>
    <cellStyle name="Comma 2 2 2 2 2 5 2" xfId="12720" xr:uid="{00000000-0005-0000-0000-0000DA130000}"/>
    <cellStyle name="Comma 2 2 2 2 2 5 2 2" xfId="31302" xr:uid="{00000000-0005-0000-0000-0000DB130000}"/>
    <cellStyle name="Comma 2 2 2 2 2 5 2 3" xfId="33156" xr:uid="{00000000-0005-0000-0000-0000DC130000}"/>
    <cellStyle name="Comma 2 2 2 2 2 5 2 4" xfId="34979" xr:uid="{00000000-0005-0000-0000-0000DD130000}"/>
    <cellStyle name="Comma 2 2 2 2 2 5 2 5" xfId="37077" xr:uid="{00000000-0005-0000-0000-0000DE130000}"/>
    <cellStyle name="Comma 2 2 2 2 2 5 2 6" xfId="40481" xr:uid="{00000000-0005-0000-0000-0000DF130000}"/>
    <cellStyle name="Comma 2 2 2 2 2 5 2 7" xfId="43282" xr:uid="{00000000-0005-0000-0000-0000E0130000}"/>
    <cellStyle name="Comma 2 2 2 2 2 5 2 8" xfId="44255" xr:uid="{00000000-0005-0000-0000-0000E1130000}"/>
    <cellStyle name="Comma 2 2 2 2 2 5 3" xfId="11937" xr:uid="{00000000-0005-0000-0000-0000E2130000}"/>
    <cellStyle name="Comma 2 2 2 2 2 5 4" xfId="15375" xr:uid="{00000000-0005-0000-0000-0000E3130000}"/>
    <cellStyle name="Comma 2 2 2 2 2 5 5" xfId="29873" xr:uid="{00000000-0005-0000-0000-0000E4130000}"/>
    <cellStyle name="Comma 2 2 2 2 2 5 6" xfId="30711" xr:uid="{00000000-0005-0000-0000-0000E5130000}"/>
    <cellStyle name="Comma 2 2 2 2 2 5 7" xfId="31696" xr:uid="{00000000-0005-0000-0000-0000E6130000}"/>
    <cellStyle name="Comma 2 2 2 2 2 5 8" xfId="32338" xr:uid="{00000000-0005-0000-0000-0000E7130000}"/>
    <cellStyle name="Comma 2 2 2 2 2 5 9" xfId="33550" xr:uid="{00000000-0005-0000-0000-0000E8130000}"/>
    <cellStyle name="Comma 2 2 2 2 2 6" xfId="8716" xr:uid="{00000000-0005-0000-0000-0000E9130000}"/>
    <cellStyle name="Comma 2 2 2 2 2 6 10" xfId="34383" xr:uid="{00000000-0005-0000-0000-0000EA130000}"/>
    <cellStyle name="Comma 2 2 2 2 2 6 11" xfId="36551" xr:uid="{00000000-0005-0000-0000-0000EB130000}"/>
    <cellStyle name="Comma 2 2 2 2 2 6 12" xfId="39324" xr:uid="{00000000-0005-0000-0000-0000EC130000}"/>
    <cellStyle name="Comma 2 2 2 2 2 6 13" xfId="42302" xr:uid="{00000000-0005-0000-0000-0000ED130000}"/>
    <cellStyle name="Comma 2 2 2 2 2 6 14" xfId="44256" xr:uid="{00000000-0005-0000-0000-0000EE130000}"/>
    <cellStyle name="Comma 2 2 2 2 2 6 2" xfId="12715" xr:uid="{00000000-0005-0000-0000-0000EF130000}"/>
    <cellStyle name="Comma 2 2 2 2 2 6 2 2" xfId="31297" xr:uid="{00000000-0005-0000-0000-0000F0130000}"/>
    <cellStyle name="Comma 2 2 2 2 2 6 2 3" xfId="33151" xr:uid="{00000000-0005-0000-0000-0000F1130000}"/>
    <cellStyle name="Comma 2 2 2 2 2 6 2 4" xfId="34974" xr:uid="{00000000-0005-0000-0000-0000F2130000}"/>
    <cellStyle name="Comma 2 2 2 2 2 6 2 5" xfId="37072" xr:uid="{00000000-0005-0000-0000-0000F3130000}"/>
    <cellStyle name="Comma 2 2 2 2 2 6 2 6" xfId="40895" xr:uid="{00000000-0005-0000-0000-0000F4130000}"/>
    <cellStyle name="Comma 2 2 2 2 2 6 2 7" xfId="43630" xr:uid="{00000000-0005-0000-0000-0000F5130000}"/>
    <cellStyle name="Comma 2 2 2 2 2 6 2 8" xfId="44257" xr:uid="{00000000-0005-0000-0000-0000F6130000}"/>
    <cellStyle name="Comma 2 2 2 2 2 6 3" xfId="11932" xr:uid="{00000000-0005-0000-0000-0000F7130000}"/>
    <cellStyle name="Comma 2 2 2 2 2 6 4" xfId="15376" xr:uid="{00000000-0005-0000-0000-0000F8130000}"/>
    <cellStyle name="Comma 2 2 2 2 2 6 5" xfId="29874" xr:uid="{00000000-0005-0000-0000-0000F9130000}"/>
    <cellStyle name="Comma 2 2 2 2 2 6 6" xfId="30706" xr:uid="{00000000-0005-0000-0000-0000FA130000}"/>
    <cellStyle name="Comma 2 2 2 2 2 6 7" xfId="31697" xr:uid="{00000000-0005-0000-0000-0000FB130000}"/>
    <cellStyle name="Comma 2 2 2 2 2 6 8" xfId="32339" xr:uid="{00000000-0005-0000-0000-0000FC130000}"/>
    <cellStyle name="Comma 2 2 2 2 2 6 9" xfId="33551" xr:uid="{00000000-0005-0000-0000-0000FD130000}"/>
    <cellStyle name="Comma 2 2 2 2 2 7" xfId="12245" xr:uid="{00000000-0005-0000-0000-0000FE130000}"/>
    <cellStyle name="Comma 2 2 2 2 2 7 10" xfId="39788" xr:uid="{00000000-0005-0000-0000-0000FF130000}"/>
    <cellStyle name="Comma 2 2 2 2 2 7 11" xfId="42696" xr:uid="{00000000-0005-0000-0000-000000140000}"/>
    <cellStyle name="Comma 2 2 2 2 2 7 12" xfId="44258" xr:uid="{00000000-0005-0000-0000-000001140000}"/>
    <cellStyle name="Comma 2 2 2 2 2 7 2" xfId="15377" xr:uid="{00000000-0005-0000-0000-000002140000}"/>
    <cellStyle name="Comma 2 2 2 2 2 7 3" xfId="29875" xr:uid="{00000000-0005-0000-0000-000003140000}"/>
    <cellStyle name="Comma 2 2 2 2 2 7 4" xfId="31018" xr:uid="{00000000-0005-0000-0000-000004140000}"/>
    <cellStyle name="Comma 2 2 2 2 2 7 5" xfId="31698" xr:uid="{00000000-0005-0000-0000-000005140000}"/>
    <cellStyle name="Comma 2 2 2 2 2 7 6" xfId="32340" xr:uid="{00000000-0005-0000-0000-000006140000}"/>
    <cellStyle name="Comma 2 2 2 2 2 7 7" xfId="33552" xr:uid="{00000000-0005-0000-0000-000007140000}"/>
    <cellStyle name="Comma 2 2 2 2 2 7 8" xfId="34695" xr:uid="{00000000-0005-0000-0000-000008140000}"/>
    <cellStyle name="Comma 2 2 2 2 2 7 9" xfId="36803" xr:uid="{00000000-0005-0000-0000-000009140000}"/>
    <cellStyle name="Comma 2 2 2 2 2 8" xfId="11651" xr:uid="{00000000-0005-0000-0000-00000A140000}"/>
    <cellStyle name="Comma 2 2 2 2 2 9" xfId="15366" xr:uid="{00000000-0005-0000-0000-00000B140000}"/>
    <cellStyle name="Comma 2 2 2 2 20" xfId="37420" xr:uid="{00000000-0005-0000-0000-00000C140000}"/>
    <cellStyle name="Comma 2 2 2 2 21" xfId="41367" xr:uid="{00000000-0005-0000-0000-00000D140000}"/>
    <cellStyle name="Comma 2 2 2 2 22" xfId="44259" xr:uid="{00000000-0005-0000-0000-00000E140000}"/>
    <cellStyle name="Comma 2 2 2 2 23" xfId="6542" xr:uid="{00000000-0005-0000-0000-00000F140000}"/>
    <cellStyle name="Comma 2 2 2 2 3" xfId="5065" xr:uid="{00000000-0005-0000-0000-000010140000}"/>
    <cellStyle name="Comma 2 2 2 2 3 10" xfId="32341" xr:uid="{00000000-0005-0000-0000-000011140000}"/>
    <cellStyle name="Comma 2 2 2 2 3 11" xfId="33553" xr:uid="{00000000-0005-0000-0000-000012140000}"/>
    <cellStyle name="Comma 2 2 2 2 3 12" xfId="34141" xr:uid="{00000000-0005-0000-0000-000013140000}"/>
    <cellStyle name="Comma 2 2 2 2 3 13" xfId="36020" xr:uid="{00000000-0005-0000-0000-000014140000}"/>
    <cellStyle name="Comma 2 2 2 2 3 14" xfId="36320" xr:uid="{00000000-0005-0000-0000-000015140000}"/>
    <cellStyle name="Comma 2 2 2 2 3 15" xfId="37494" xr:uid="{00000000-0005-0000-0000-000016140000}"/>
    <cellStyle name="Comma 2 2 2 2 3 16" xfId="41440" xr:uid="{00000000-0005-0000-0000-000017140000}"/>
    <cellStyle name="Comma 2 2 2 2 3 17" xfId="44260" xr:uid="{00000000-0005-0000-0000-000018140000}"/>
    <cellStyle name="Comma 2 2 2 2 3 18" xfId="6654" xr:uid="{00000000-0005-0000-0000-000019140000}"/>
    <cellStyle name="Comma 2 2 2 2 3 2" xfId="6034" xr:uid="{00000000-0005-0000-0000-00001A140000}"/>
    <cellStyle name="Comma 2 2 2 2 3 2 10" xfId="33554" xr:uid="{00000000-0005-0000-0000-00001B140000}"/>
    <cellStyle name="Comma 2 2 2 2 3 2 11" xfId="34293" xr:uid="{00000000-0005-0000-0000-00001C140000}"/>
    <cellStyle name="Comma 2 2 2 2 3 2 12" xfId="36480" xr:uid="{00000000-0005-0000-0000-00001D140000}"/>
    <cellStyle name="Comma 2 2 2 2 3 2 13" xfId="38799" xr:uid="{00000000-0005-0000-0000-00001E140000}"/>
    <cellStyle name="Comma 2 2 2 2 3 2 14" xfId="41838" xr:uid="{00000000-0005-0000-0000-00001F140000}"/>
    <cellStyle name="Comma 2 2 2 2 3 2 15" xfId="44261" xr:uid="{00000000-0005-0000-0000-000020140000}"/>
    <cellStyle name="Comma 2 2 2 2 3 2 16" xfId="8530" xr:uid="{00000000-0005-0000-0000-000021140000}"/>
    <cellStyle name="Comma 2 2 2 2 3 2 2" xfId="8723" xr:uid="{00000000-0005-0000-0000-000022140000}"/>
    <cellStyle name="Comma 2 2 2 2 3 2 2 10" xfId="34390" xr:uid="{00000000-0005-0000-0000-000023140000}"/>
    <cellStyle name="Comma 2 2 2 2 3 2 2 11" xfId="36558" xr:uid="{00000000-0005-0000-0000-000024140000}"/>
    <cellStyle name="Comma 2 2 2 2 3 2 2 12" xfId="40348" xr:uid="{00000000-0005-0000-0000-000025140000}"/>
    <cellStyle name="Comma 2 2 2 2 3 2 2 13" xfId="43166" xr:uid="{00000000-0005-0000-0000-000026140000}"/>
    <cellStyle name="Comma 2 2 2 2 3 2 2 14" xfId="44262" xr:uid="{00000000-0005-0000-0000-000027140000}"/>
    <cellStyle name="Comma 2 2 2 2 3 2 2 2" xfId="12722" xr:uid="{00000000-0005-0000-0000-000028140000}"/>
    <cellStyle name="Comma 2 2 2 2 3 2 2 2 2" xfId="31304" xr:uid="{00000000-0005-0000-0000-000029140000}"/>
    <cellStyle name="Comma 2 2 2 2 3 2 2 2 3" xfId="33158" xr:uid="{00000000-0005-0000-0000-00002A140000}"/>
    <cellStyle name="Comma 2 2 2 2 3 2 2 2 4" xfId="34981" xr:uid="{00000000-0005-0000-0000-00002B140000}"/>
    <cellStyle name="Comma 2 2 2 2 3 2 2 2 5" xfId="37079" xr:uid="{00000000-0005-0000-0000-00002C140000}"/>
    <cellStyle name="Comma 2 2 2 2 3 2 2 3" xfId="11939" xr:uid="{00000000-0005-0000-0000-00002D140000}"/>
    <cellStyle name="Comma 2 2 2 2 3 2 2 4" xfId="15380" xr:uid="{00000000-0005-0000-0000-00002E140000}"/>
    <cellStyle name="Comma 2 2 2 2 3 2 2 5" xfId="29878" xr:uid="{00000000-0005-0000-0000-00002F140000}"/>
    <cellStyle name="Comma 2 2 2 2 3 2 2 6" xfId="30713" xr:uid="{00000000-0005-0000-0000-000030140000}"/>
    <cellStyle name="Comma 2 2 2 2 3 2 2 7" xfId="31701" xr:uid="{00000000-0005-0000-0000-000031140000}"/>
    <cellStyle name="Comma 2 2 2 2 3 2 2 8" xfId="32343" xr:uid="{00000000-0005-0000-0000-000032140000}"/>
    <cellStyle name="Comma 2 2 2 2 3 2 2 9" xfId="33555" xr:uid="{00000000-0005-0000-0000-000033140000}"/>
    <cellStyle name="Comma 2 2 2 2 3 2 3" xfId="12565" xr:uid="{00000000-0005-0000-0000-000034140000}"/>
    <cellStyle name="Comma 2 2 2 2 3 2 3 2" xfId="31207" xr:uid="{00000000-0005-0000-0000-000035140000}"/>
    <cellStyle name="Comma 2 2 2 2 3 2 3 3" xfId="33063" xr:uid="{00000000-0005-0000-0000-000036140000}"/>
    <cellStyle name="Comma 2 2 2 2 3 2 3 4" xfId="34884" xr:uid="{00000000-0005-0000-0000-000037140000}"/>
    <cellStyle name="Comma 2 2 2 2 3 2 3 5" xfId="36984" xr:uid="{00000000-0005-0000-0000-000038140000}"/>
    <cellStyle name="Comma 2 2 2 2 3 2 4" xfId="11842" xr:uid="{00000000-0005-0000-0000-000039140000}"/>
    <cellStyle name="Comma 2 2 2 2 3 2 5" xfId="15379" xr:uid="{00000000-0005-0000-0000-00003A140000}"/>
    <cellStyle name="Comma 2 2 2 2 3 2 6" xfId="29877" xr:uid="{00000000-0005-0000-0000-00003B140000}"/>
    <cellStyle name="Comma 2 2 2 2 3 2 7" xfId="30616" xr:uid="{00000000-0005-0000-0000-00003C140000}"/>
    <cellStyle name="Comma 2 2 2 2 3 2 8" xfId="31700" xr:uid="{00000000-0005-0000-0000-00003D140000}"/>
    <cellStyle name="Comma 2 2 2 2 3 2 9" xfId="32342" xr:uid="{00000000-0005-0000-0000-00003E140000}"/>
    <cellStyle name="Comma 2 2 2 2 3 3" xfId="6354" xr:uid="{00000000-0005-0000-0000-00003F140000}"/>
    <cellStyle name="Comma 2 2 2 2 3 3 10" xfId="34389" xr:uid="{00000000-0005-0000-0000-000040140000}"/>
    <cellStyle name="Comma 2 2 2 2 3 3 11" xfId="36557" xr:uid="{00000000-0005-0000-0000-000041140000}"/>
    <cellStyle name="Comma 2 2 2 2 3 3 12" xfId="39019" xr:uid="{00000000-0005-0000-0000-000042140000}"/>
    <cellStyle name="Comma 2 2 2 2 3 3 13" xfId="42045" xr:uid="{00000000-0005-0000-0000-000043140000}"/>
    <cellStyle name="Comma 2 2 2 2 3 3 14" xfId="44263" xr:uid="{00000000-0005-0000-0000-000044140000}"/>
    <cellStyle name="Comma 2 2 2 2 3 3 15" xfId="8722" xr:uid="{00000000-0005-0000-0000-000045140000}"/>
    <cellStyle name="Comma 2 2 2 2 3 3 2" xfId="12721" xr:uid="{00000000-0005-0000-0000-000046140000}"/>
    <cellStyle name="Comma 2 2 2 2 3 3 2 2" xfId="31303" xr:uid="{00000000-0005-0000-0000-000047140000}"/>
    <cellStyle name="Comma 2 2 2 2 3 3 2 3" xfId="33157" xr:uid="{00000000-0005-0000-0000-000048140000}"/>
    <cellStyle name="Comma 2 2 2 2 3 3 2 4" xfId="34980" xr:uid="{00000000-0005-0000-0000-000049140000}"/>
    <cellStyle name="Comma 2 2 2 2 3 3 2 5" xfId="37078" xr:uid="{00000000-0005-0000-0000-00004A140000}"/>
    <cellStyle name="Comma 2 2 2 2 3 3 2 6" xfId="40587" xr:uid="{00000000-0005-0000-0000-00004B140000}"/>
    <cellStyle name="Comma 2 2 2 2 3 3 2 7" xfId="43373" xr:uid="{00000000-0005-0000-0000-00004C140000}"/>
    <cellStyle name="Comma 2 2 2 2 3 3 2 8" xfId="44264" xr:uid="{00000000-0005-0000-0000-00004D140000}"/>
    <cellStyle name="Comma 2 2 2 2 3 3 3" xfId="11938" xr:uid="{00000000-0005-0000-0000-00004E140000}"/>
    <cellStyle name="Comma 2 2 2 2 3 3 4" xfId="15381" xr:uid="{00000000-0005-0000-0000-00004F140000}"/>
    <cellStyle name="Comma 2 2 2 2 3 3 5" xfId="29879" xr:uid="{00000000-0005-0000-0000-000050140000}"/>
    <cellStyle name="Comma 2 2 2 2 3 3 6" xfId="30712" xr:uid="{00000000-0005-0000-0000-000051140000}"/>
    <cellStyle name="Comma 2 2 2 2 3 3 7" xfId="31702" xr:uid="{00000000-0005-0000-0000-000052140000}"/>
    <cellStyle name="Comma 2 2 2 2 3 3 8" xfId="32344" xr:uid="{00000000-0005-0000-0000-000053140000}"/>
    <cellStyle name="Comma 2 2 2 2 3 3 9" xfId="33556" xr:uid="{00000000-0005-0000-0000-000054140000}"/>
    <cellStyle name="Comma 2 2 2 2 3 4" xfId="12282" xr:uid="{00000000-0005-0000-0000-000055140000}"/>
    <cellStyle name="Comma 2 2 2 2 3 4 2" xfId="31055" xr:uid="{00000000-0005-0000-0000-000056140000}"/>
    <cellStyle name="Comma 2 2 2 2 3 4 2 2" xfId="41204" xr:uid="{00000000-0005-0000-0000-000057140000}"/>
    <cellStyle name="Comma 2 2 2 2 3 4 2 3" xfId="43884" xr:uid="{00000000-0005-0000-0000-000058140000}"/>
    <cellStyle name="Comma 2 2 2 2 3 4 2 4" xfId="44265" xr:uid="{00000000-0005-0000-0000-000059140000}"/>
    <cellStyle name="Comma 2 2 2 2 3 4 3" xfId="32923" xr:uid="{00000000-0005-0000-0000-00005A140000}"/>
    <cellStyle name="Comma 2 2 2 2 3 4 4" xfId="34732" xr:uid="{00000000-0005-0000-0000-00005B140000}"/>
    <cellStyle name="Comma 2 2 2 2 3 4 5" xfId="36840" xr:uid="{00000000-0005-0000-0000-00005C140000}"/>
    <cellStyle name="Comma 2 2 2 2 3 4 6" xfId="39621" xr:uid="{00000000-0005-0000-0000-00005D140000}"/>
    <cellStyle name="Comma 2 2 2 2 3 4 7" xfId="42556" xr:uid="{00000000-0005-0000-0000-00005E140000}"/>
    <cellStyle name="Comma 2 2 2 2 3 4 8" xfId="44266" xr:uid="{00000000-0005-0000-0000-00005F140000}"/>
    <cellStyle name="Comma 2 2 2 2 3 5" xfId="11689" xr:uid="{00000000-0005-0000-0000-000060140000}"/>
    <cellStyle name="Comma 2 2 2 2 3 5 2" xfId="39869" xr:uid="{00000000-0005-0000-0000-000061140000}"/>
    <cellStyle name="Comma 2 2 2 2 3 5 3" xfId="42768" xr:uid="{00000000-0005-0000-0000-000062140000}"/>
    <cellStyle name="Comma 2 2 2 2 3 5 4" xfId="44267" xr:uid="{00000000-0005-0000-0000-000063140000}"/>
    <cellStyle name="Comma 2 2 2 2 3 6" xfId="15378" xr:uid="{00000000-0005-0000-0000-000064140000}"/>
    <cellStyle name="Comma 2 2 2 2 3 7" xfId="29876" xr:uid="{00000000-0005-0000-0000-000065140000}"/>
    <cellStyle name="Comma 2 2 2 2 3 8" xfId="30464" xr:uid="{00000000-0005-0000-0000-000066140000}"/>
    <cellStyle name="Comma 2 2 2 2 3 9" xfId="31699" xr:uid="{00000000-0005-0000-0000-000067140000}"/>
    <cellStyle name="Comma 2 2 2 2 4" xfId="4406" xr:uid="{00000000-0005-0000-0000-000068140000}"/>
    <cellStyle name="Comma 2 2 2 2 4 10" xfId="33557" xr:uid="{00000000-0005-0000-0000-000069140000}"/>
    <cellStyle name="Comma 2 2 2 2 4 11" xfId="34254" xr:uid="{00000000-0005-0000-0000-00006A140000}"/>
    <cellStyle name="Comma 2 2 2 2 4 12" xfId="35589" xr:uid="{00000000-0005-0000-0000-00006B140000}"/>
    <cellStyle name="Comma 2 2 2 2 4 13" xfId="36457" xr:uid="{00000000-0005-0000-0000-00006C140000}"/>
    <cellStyle name="Comma 2 2 2 2 4 14" xfId="38658" xr:uid="{00000000-0005-0000-0000-00006D140000}"/>
    <cellStyle name="Comma 2 2 2 2 4 15" xfId="41698" xr:uid="{00000000-0005-0000-0000-00006E140000}"/>
    <cellStyle name="Comma 2 2 2 2 4 16" xfId="44268" xr:uid="{00000000-0005-0000-0000-00006F140000}"/>
    <cellStyle name="Comma 2 2 2 2 4 17" xfId="8417" xr:uid="{00000000-0005-0000-0000-000070140000}"/>
    <cellStyle name="Comma 2 2 2 2 4 2" xfId="5857" xr:uid="{00000000-0005-0000-0000-000071140000}"/>
    <cellStyle name="Comma 2 2 2 2 4 2 10" xfId="34391" xr:uid="{00000000-0005-0000-0000-000072140000}"/>
    <cellStyle name="Comma 2 2 2 2 4 2 11" xfId="36559" xr:uid="{00000000-0005-0000-0000-000073140000}"/>
    <cellStyle name="Comma 2 2 2 2 4 2 12" xfId="39151" xr:uid="{00000000-0005-0000-0000-000074140000}"/>
    <cellStyle name="Comma 2 2 2 2 4 2 13" xfId="42159" xr:uid="{00000000-0005-0000-0000-000075140000}"/>
    <cellStyle name="Comma 2 2 2 2 4 2 14" xfId="44269" xr:uid="{00000000-0005-0000-0000-000076140000}"/>
    <cellStyle name="Comma 2 2 2 2 4 2 15" xfId="8724" xr:uid="{00000000-0005-0000-0000-000077140000}"/>
    <cellStyle name="Comma 2 2 2 2 4 2 2" xfId="12723" xr:uid="{00000000-0005-0000-0000-000078140000}"/>
    <cellStyle name="Comma 2 2 2 2 4 2 2 2" xfId="31305" xr:uid="{00000000-0005-0000-0000-000079140000}"/>
    <cellStyle name="Comma 2 2 2 2 4 2 2 3" xfId="33159" xr:uid="{00000000-0005-0000-0000-00007A140000}"/>
    <cellStyle name="Comma 2 2 2 2 4 2 2 4" xfId="34982" xr:uid="{00000000-0005-0000-0000-00007B140000}"/>
    <cellStyle name="Comma 2 2 2 2 4 2 2 5" xfId="37080" xr:uid="{00000000-0005-0000-0000-00007C140000}"/>
    <cellStyle name="Comma 2 2 2 2 4 2 2 6" xfId="40724" xr:uid="{00000000-0005-0000-0000-00007D140000}"/>
    <cellStyle name="Comma 2 2 2 2 4 2 2 7" xfId="43487" xr:uid="{00000000-0005-0000-0000-00007E140000}"/>
    <cellStyle name="Comma 2 2 2 2 4 2 2 8" xfId="44270" xr:uid="{00000000-0005-0000-0000-00007F140000}"/>
    <cellStyle name="Comma 2 2 2 2 4 2 3" xfId="11940" xr:uid="{00000000-0005-0000-0000-000080140000}"/>
    <cellStyle name="Comma 2 2 2 2 4 2 4" xfId="15383" xr:uid="{00000000-0005-0000-0000-000081140000}"/>
    <cellStyle name="Comma 2 2 2 2 4 2 5" xfId="29881" xr:uid="{00000000-0005-0000-0000-000082140000}"/>
    <cellStyle name="Comma 2 2 2 2 4 2 6" xfId="30714" xr:uid="{00000000-0005-0000-0000-000083140000}"/>
    <cellStyle name="Comma 2 2 2 2 4 2 7" xfId="31704" xr:uid="{00000000-0005-0000-0000-000084140000}"/>
    <cellStyle name="Comma 2 2 2 2 4 2 8" xfId="32346" xr:uid="{00000000-0005-0000-0000-000085140000}"/>
    <cellStyle name="Comma 2 2 2 2 4 2 9" xfId="33558" xr:uid="{00000000-0005-0000-0000-000086140000}"/>
    <cellStyle name="Comma 2 2 2 2 4 3" xfId="12525" xr:uid="{00000000-0005-0000-0000-000087140000}"/>
    <cellStyle name="Comma 2 2 2 2 4 3 2" xfId="31168" xr:uid="{00000000-0005-0000-0000-000088140000}"/>
    <cellStyle name="Comma 2 2 2 2 4 3 2 2" xfId="41032" xr:uid="{00000000-0005-0000-0000-000089140000}"/>
    <cellStyle name="Comma 2 2 2 2 4 3 2 3" xfId="43744" xr:uid="{00000000-0005-0000-0000-00008A140000}"/>
    <cellStyle name="Comma 2 2 2 2 4 3 2 4" xfId="44271" xr:uid="{00000000-0005-0000-0000-00008B140000}"/>
    <cellStyle name="Comma 2 2 2 2 4 3 3" xfId="33026" xr:uid="{00000000-0005-0000-0000-00008C140000}"/>
    <cellStyle name="Comma 2 2 2 2 4 3 4" xfId="34845" xr:uid="{00000000-0005-0000-0000-00008D140000}"/>
    <cellStyle name="Comma 2 2 2 2 4 3 5" xfId="36947" xr:uid="{00000000-0005-0000-0000-00008E140000}"/>
    <cellStyle name="Comma 2 2 2 2 4 3 6" xfId="39456" xr:uid="{00000000-0005-0000-0000-00008F140000}"/>
    <cellStyle name="Comma 2 2 2 2 4 3 7" xfId="42416" xr:uid="{00000000-0005-0000-0000-000090140000}"/>
    <cellStyle name="Comma 2 2 2 2 4 3 8" xfId="44272" xr:uid="{00000000-0005-0000-0000-000091140000}"/>
    <cellStyle name="Comma 2 2 2 2 4 4" xfId="11803" xr:uid="{00000000-0005-0000-0000-000092140000}"/>
    <cellStyle name="Comma 2 2 2 2 4 4 2" xfId="40177" xr:uid="{00000000-0005-0000-0000-000093140000}"/>
    <cellStyle name="Comma 2 2 2 2 4 4 3" xfId="43026" xr:uid="{00000000-0005-0000-0000-000094140000}"/>
    <cellStyle name="Comma 2 2 2 2 4 4 4" xfId="44273" xr:uid="{00000000-0005-0000-0000-000095140000}"/>
    <cellStyle name="Comma 2 2 2 2 4 5" xfId="15382" xr:uid="{00000000-0005-0000-0000-000096140000}"/>
    <cellStyle name="Comma 2 2 2 2 4 6" xfId="29880" xr:uid="{00000000-0005-0000-0000-000097140000}"/>
    <cellStyle name="Comma 2 2 2 2 4 7" xfId="30577" xr:uid="{00000000-0005-0000-0000-000098140000}"/>
    <cellStyle name="Comma 2 2 2 2 4 8" xfId="31703" xr:uid="{00000000-0005-0000-0000-000099140000}"/>
    <cellStyle name="Comma 2 2 2 2 4 9" xfId="32345" xr:uid="{00000000-0005-0000-0000-00009A140000}"/>
    <cellStyle name="Comma 2 2 2 2 5" xfId="5719" xr:uid="{00000000-0005-0000-0000-00009B140000}"/>
    <cellStyle name="Comma 2 2 2 2 5 10" xfId="33559" xr:uid="{00000000-0005-0000-0000-00009C140000}"/>
    <cellStyle name="Comma 2 2 2 2 5 11" xfId="34194" xr:uid="{00000000-0005-0000-0000-00009D140000}"/>
    <cellStyle name="Comma 2 2 2 2 5 12" xfId="36426" xr:uid="{00000000-0005-0000-0000-00009E140000}"/>
    <cellStyle name="Comma 2 2 2 2 5 13" xfId="38086" xr:uid="{00000000-0005-0000-0000-00009F140000}"/>
    <cellStyle name="Comma 2 2 2 2 5 14" xfId="41583" xr:uid="{00000000-0005-0000-0000-0000A0140000}"/>
    <cellStyle name="Comma 2 2 2 2 5 15" xfId="44274" xr:uid="{00000000-0005-0000-0000-0000A1140000}"/>
    <cellStyle name="Comma 2 2 2 2 5 16" xfId="8085" xr:uid="{00000000-0005-0000-0000-0000A2140000}"/>
    <cellStyle name="Comma 2 2 2 2 5 2" xfId="8725" xr:uid="{00000000-0005-0000-0000-0000A3140000}"/>
    <cellStyle name="Comma 2 2 2 2 5 2 10" xfId="34392" xr:uid="{00000000-0005-0000-0000-0000A4140000}"/>
    <cellStyle name="Comma 2 2 2 2 5 2 11" xfId="36560" xr:uid="{00000000-0005-0000-0000-0000A5140000}"/>
    <cellStyle name="Comma 2 2 2 2 5 2 12" xfId="40042" xr:uid="{00000000-0005-0000-0000-0000A6140000}"/>
    <cellStyle name="Comma 2 2 2 2 5 2 13" xfId="42911" xr:uid="{00000000-0005-0000-0000-0000A7140000}"/>
    <cellStyle name="Comma 2 2 2 2 5 2 14" xfId="44275" xr:uid="{00000000-0005-0000-0000-0000A8140000}"/>
    <cellStyle name="Comma 2 2 2 2 5 2 2" xfId="12724" xr:uid="{00000000-0005-0000-0000-0000A9140000}"/>
    <cellStyle name="Comma 2 2 2 2 5 2 2 2" xfId="31306" xr:uid="{00000000-0005-0000-0000-0000AA140000}"/>
    <cellStyle name="Comma 2 2 2 2 5 2 2 3" xfId="33160" xr:uid="{00000000-0005-0000-0000-0000AB140000}"/>
    <cellStyle name="Comma 2 2 2 2 5 2 2 4" xfId="34983" xr:uid="{00000000-0005-0000-0000-0000AC140000}"/>
    <cellStyle name="Comma 2 2 2 2 5 2 2 5" xfId="37081" xr:uid="{00000000-0005-0000-0000-0000AD140000}"/>
    <cellStyle name="Comma 2 2 2 2 5 2 3" xfId="11941" xr:uid="{00000000-0005-0000-0000-0000AE140000}"/>
    <cellStyle name="Comma 2 2 2 2 5 2 4" xfId="15385" xr:uid="{00000000-0005-0000-0000-0000AF140000}"/>
    <cellStyle name="Comma 2 2 2 2 5 2 5" xfId="29883" xr:uid="{00000000-0005-0000-0000-0000B0140000}"/>
    <cellStyle name="Comma 2 2 2 2 5 2 6" xfId="30715" xr:uid="{00000000-0005-0000-0000-0000B1140000}"/>
    <cellStyle name="Comma 2 2 2 2 5 2 7" xfId="31706" xr:uid="{00000000-0005-0000-0000-0000B2140000}"/>
    <cellStyle name="Comma 2 2 2 2 5 2 8" xfId="32348" xr:uid="{00000000-0005-0000-0000-0000B3140000}"/>
    <cellStyle name="Comma 2 2 2 2 5 2 9" xfId="33560" xr:uid="{00000000-0005-0000-0000-0000B4140000}"/>
    <cellStyle name="Comma 2 2 2 2 5 3" xfId="12397" xr:uid="{00000000-0005-0000-0000-0000B5140000}"/>
    <cellStyle name="Comma 2 2 2 2 5 3 2" xfId="31108" xr:uid="{00000000-0005-0000-0000-0000B6140000}"/>
    <cellStyle name="Comma 2 2 2 2 5 3 3" xfId="32970" xr:uid="{00000000-0005-0000-0000-0000B7140000}"/>
    <cellStyle name="Comma 2 2 2 2 5 3 4" xfId="34785" xr:uid="{00000000-0005-0000-0000-0000B8140000}"/>
    <cellStyle name="Comma 2 2 2 2 5 3 5" xfId="36891" xr:uid="{00000000-0005-0000-0000-0000B9140000}"/>
    <cellStyle name="Comma 2 2 2 2 5 4" xfId="11743" xr:uid="{00000000-0005-0000-0000-0000BA140000}"/>
    <cellStyle name="Comma 2 2 2 2 5 5" xfId="15384" xr:uid="{00000000-0005-0000-0000-0000BB140000}"/>
    <cellStyle name="Comma 2 2 2 2 5 6" xfId="29882" xr:uid="{00000000-0005-0000-0000-0000BC140000}"/>
    <cellStyle name="Comma 2 2 2 2 5 7" xfId="30517" xr:uid="{00000000-0005-0000-0000-0000BD140000}"/>
    <cellStyle name="Comma 2 2 2 2 5 8" xfId="31705" xr:uid="{00000000-0005-0000-0000-0000BE140000}"/>
    <cellStyle name="Comma 2 2 2 2 5 9" xfId="32347" xr:uid="{00000000-0005-0000-0000-0000BF140000}"/>
    <cellStyle name="Comma 2 2 2 2 6" xfId="6178" xr:uid="{00000000-0005-0000-0000-0000C0140000}"/>
    <cellStyle name="Comma 2 2 2 2 6 10" xfId="34393" xr:uid="{00000000-0005-0000-0000-0000C1140000}"/>
    <cellStyle name="Comma 2 2 2 2 6 11" xfId="36561" xr:uid="{00000000-0005-0000-0000-0000C2140000}"/>
    <cellStyle name="Comma 2 2 2 2 6 12" xfId="38922" xr:uid="{00000000-0005-0000-0000-0000C3140000}"/>
    <cellStyle name="Comma 2 2 2 2 6 13" xfId="41953" xr:uid="{00000000-0005-0000-0000-0000C4140000}"/>
    <cellStyle name="Comma 2 2 2 2 6 14" xfId="44276" xr:uid="{00000000-0005-0000-0000-0000C5140000}"/>
    <cellStyle name="Comma 2 2 2 2 6 15" xfId="8726" xr:uid="{00000000-0005-0000-0000-0000C6140000}"/>
    <cellStyle name="Comma 2 2 2 2 6 2" xfId="12725" xr:uid="{00000000-0005-0000-0000-0000C7140000}"/>
    <cellStyle name="Comma 2 2 2 2 6 2 2" xfId="31307" xr:uid="{00000000-0005-0000-0000-0000C8140000}"/>
    <cellStyle name="Comma 2 2 2 2 6 2 3" xfId="33161" xr:uid="{00000000-0005-0000-0000-0000C9140000}"/>
    <cellStyle name="Comma 2 2 2 2 6 2 4" xfId="34984" xr:uid="{00000000-0005-0000-0000-0000CA140000}"/>
    <cellStyle name="Comma 2 2 2 2 6 2 5" xfId="37082" xr:uid="{00000000-0005-0000-0000-0000CB140000}"/>
    <cellStyle name="Comma 2 2 2 2 6 2 6" xfId="40480" xr:uid="{00000000-0005-0000-0000-0000CC140000}"/>
    <cellStyle name="Comma 2 2 2 2 6 2 7" xfId="43281" xr:uid="{00000000-0005-0000-0000-0000CD140000}"/>
    <cellStyle name="Comma 2 2 2 2 6 2 8" xfId="44277" xr:uid="{00000000-0005-0000-0000-0000CE140000}"/>
    <cellStyle name="Comma 2 2 2 2 6 3" xfId="11942" xr:uid="{00000000-0005-0000-0000-0000CF140000}"/>
    <cellStyle name="Comma 2 2 2 2 6 4" xfId="15386" xr:uid="{00000000-0005-0000-0000-0000D0140000}"/>
    <cellStyle name="Comma 2 2 2 2 6 5" xfId="29884" xr:uid="{00000000-0005-0000-0000-0000D1140000}"/>
    <cellStyle name="Comma 2 2 2 2 6 6" xfId="30716" xr:uid="{00000000-0005-0000-0000-0000D2140000}"/>
    <cellStyle name="Comma 2 2 2 2 6 7" xfId="31707" xr:uid="{00000000-0005-0000-0000-0000D3140000}"/>
    <cellStyle name="Comma 2 2 2 2 6 8" xfId="32349" xr:uid="{00000000-0005-0000-0000-0000D4140000}"/>
    <cellStyle name="Comma 2 2 2 2 6 9" xfId="33561" xr:uid="{00000000-0005-0000-0000-0000D5140000}"/>
    <cellStyle name="Comma 2 2 2 2 7" xfId="8715" xr:uid="{00000000-0005-0000-0000-0000D6140000}"/>
    <cellStyle name="Comma 2 2 2 2 7 10" xfId="34382" xr:uid="{00000000-0005-0000-0000-0000D7140000}"/>
    <cellStyle name="Comma 2 2 2 2 7 11" xfId="36550" xr:uid="{00000000-0005-0000-0000-0000D8140000}"/>
    <cellStyle name="Comma 2 2 2 2 7 12" xfId="39323" xr:uid="{00000000-0005-0000-0000-0000D9140000}"/>
    <cellStyle name="Comma 2 2 2 2 7 13" xfId="42301" xr:uid="{00000000-0005-0000-0000-0000DA140000}"/>
    <cellStyle name="Comma 2 2 2 2 7 14" xfId="44278" xr:uid="{00000000-0005-0000-0000-0000DB140000}"/>
    <cellStyle name="Comma 2 2 2 2 7 2" xfId="12714" xr:uid="{00000000-0005-0000-0000-0000DC140000}"/>
    <cellStyle name="Comma 2 2 2 2 7 2 2" xfId="31296" xr:uid="{00000000-0005-0000-0000-0000DD140000}"/>
    <cellStyle name="Comma 2 2 2 2 7 2 3" xfId="33150" xr:uid="{00000000-0005-0000-0000-0000DE140000}"/>
    <cellStyle name="Comma 2 2 2 2 7 2 4" xfId="34973" xr:uid="{00000000-0005-0000-0000-0000DF140000}"/>
    <cellStyle name="Comma 2 2 2 2 7 2 5" xfId="37071" xr:uid="{00000000-0005-0000-0000-0000E0140000}"/>
    <cellStyle name="Comma 2 2 2 2 7 2 6" xfId="40894" xr:uid="{00000000-0005-0000-0000-0000E1140000}"/>
    <cellStyle name="Comma 2 2 2 2 7 2 7" xfId="43629" xr:uid="{00000000-0005-0000-0000-0000E2140000}"/>
    <cellStyle name="Comma 2 2 2 2 7 2 8" xfId="44279" xr:uid="{00000000-0005-0000-0000-0000E3140000}"/>
    <cellStyle name="Comma 2 2 2 2 7 3" xfId="11931" xr:uid="{00000000-0005-0000-0000-0000E4140000}"/>
    <cellStyle name="Comma 2 2 2 2 7 4" xfId="15387" xr:uid="{00000000-0005-0000-0000-0000E5140000}"/>
    <cellStyle name="Comma 2 2 2 2 7 5" xfId="29885" xr:uid="{00000000-0005-0000-0000-0000E6140000}"/>
    <cellStyle name="Comma 2 2 2 2 7 6" xfId="30705" xr:uid="{00000000-0005-0000-0000-0000E7140000}"/>
    <cellStyle name="Comma 2 2 2 2 7 7" xfId="31708" xr:uid="{00000000-0005-0000-0000-0000E8140000}"/>
    <cellStyle name="Comma 2 2 2 2 7 8" xfId="32350" xr:uid="{00000000-0005-0000-0000-0000E9140000}"/>
    <cellStyle name="Comma 2 2 2 2 7 9" xfId="33562" xr:uid="{00000000-0005-0000-0000-0000EA140000}"/>
    <cellStyle name="Comma 2 2 2 2 8" xfId="11602" xr:uid="{00000000-0005-0000-0000-0000EB140000}"/>
    <cellStyle name="Comma 2 2 2 2 8 10" xfId="34682" xr:uid="{00000000-0005-0000-0000-0000EC140000}"/>
    <cellStyle name="Comma 2 2 2 2 8 11" xfId="36790" xr:uid="{00000000-0005-0000-0000-0000ED140000}"/>
    <cellStyle name="Comma 2 2 2 2 8 12" xfId="39787" xr:uid="{00000000-0005-0000-0000-0000EE140000}"/>
    <cellStyle name="Comma 2 2 2 2 8 13" xfId="42695" xr:uid="{00000000-0005-0000-0000-0000EF140000}"/>
    <cellStyle name="Comma 2 2 2 2 8 14" xfId="44280" xr:uid="{00000000-0005-0000-0000-0000F0140000}"/>
    <cellStyle name="Comma 2 2 2 2 8 2" xfId="15217" xr:uid="{00000000-0005-0000-0000-0000F1140000}"/>
    <cellStyle name="Comma 2 2 2 2 8 2 2" xfId="31596" xr:uid="{00000000-0005-0000-0000-0000F2140000}"/>
    <cellStyle name="Comma 2 2 2 2 8 2 3" xfId="33449" xr:uid="{00000000-0005-0000-0000-0000F3140000}"/>
    <cellStyle name="Comma 2 2 2 2 8 2 4" xfId="35273" xr:uid="{00000000-0005-0000-0000-0000F4140000}"/>
    <cellStyle name="Comma 2 2 2 2 8 2 5" xfId="37347" xr:uid="{00000000-0005-0000-0000-0000F5140000}"/>
    <cellStyle name="Comma 2 2 2 2 8 3" xfId="12232" xr:uid="{00000000-0005-0000-0000-0000F6140000}"/>
    <cellStyle name="Comma 2 2 2 2 8 4" xfId="15388" xr:uid="{00000000-0005-0000-0000-0000F7140000}"/>
    <cellStyle name="Comma 2 2 2 2 8 5" xfId="29886" xr:uid="{00000000-0005-0000-0000-0000F8140000}"/>
    <cellStyle name="Comma 2 2 2 2 8 6" xfId="31005" xr:uid="{00000000-0005-0000-0000-0000F9140000}"/>
    <cellStyle name="Comma 2 2 2 2 8 7" xfId="31709" xr:uid="{00000000-0005-0000-0000-0000FA140000}"/>
    <cellStyle name="Comma 2 2 2 2 8 8" xfId="32351" xr:uid="{00000000-0005-0000-0000-0000FB140000}"/>
    <cellStyle name="Comma 2 2 2 2 8 9" xfId="33563" xr:uid="{00000000-0005-0000-0000-0000FC140000}"/>
    <cellStyle name="Comma 2 2 2 2 9" xfId="12244" xr:uid="{00000000-0005-0000-0000-0000FD140000}"/>
    <cellStyle name="Comma 2 2 2 2 9 2" xfId="31017" xr:uid="{00000000-0005-0000-0000-0000FE140000}"/>
    <cellStyle name="Comma 2 2 2 2 9 3" xfId="32892" xr:uid="{00000000-0005-0000-0000-0000FF140000}"/>
    <cellStyle name="Comma 2 2 2 2 9 4" xfId="34694" xr:uid="{00000000-0005-0000-0000-000000150000}"/>
    <cellStyle name="Comma 2 2 2 2 9 5" xfId="36802" xr:uid="{00000000-0005-0000-0000-000001150000}"/>
    <cellStyle name="Comma 2 2 2 20" xfId="35279" xr:uid="{00000000-0005-0000-0000-000002150000}"/>
    <cellStyle name="Comma 2 2 2 21" xfId="36178" xr:uid="{00000000-0005-0000-0000-000003150000}"/>
    <cellStyle name="Comma 2 2 2 22" xfId="37386" xr:uid="{00000000-0005-0000-0000-000004150000}"/>
    <cellStyle name="Comma 2 2 2 23" xfId="41334" xr:uid="{00000000-0005-0000-0000-000005150000}"/>
    <cellStyle name="Comma 2 2 2 24" xfId="44281" xr:uid="{00000000-0005-0000-0000-000006150000}"/>
    <cellStyle name="Comma 2 2 2 25" xfId="6541" xr:uid="{00000000-0005-0000-0000-000007150000}"/>
    <cellStyle name="Comma 2 2 2 3" xfId="2756" xr:uid="{00000000-0005-0000-0000-000008150000}"/>
    <cellStyle name="Comma 2 2 2 3 10" xfId="30463" xr:uid="{00000000-0005-0000-0000-000009150000}"/>
    <cellStyle name="Comma 2 2 2 3 11" xfId="31710" xr:uid="{00000000-0005-0000-0000-00000A150000}"/>
    <cellStyle name="Comma 2 2 2 3 12" xfId="32352" xr:uid="{00000000-0005-0000-0000-00000B150000}"/>
    <cellStyle name="Comma 2 2 2 3 13" xfId="33564" xr:uid="{00000000-0005-0000-0000-00000C150000}"/>
    <cellStyle name="Comma 2 2 2 3 14" xfId="34140" xr:uid="{00000000-0005-0000-0000-00000D150000}"/>
    <cellStyle name="Comma 2 2 2 3 15" xfId="35318" xr:uid="{00000000-0005-0000-0000-00000E150000}"/>
    <cellStyle name="Comma 2 2 2 3 16" xfId="36181" xr:uid="{00000000-0005-0000-0000-00000F150000}"/>
    <cellStyle name="Comma 2 2 2 3 17" xfId="37422" xr:uid="{00000000-0005-0000-0000-000010150000}"/>
    <cellStyle name="Comma 2 2 2 3 18" xfId="41369" xr:uid="{00000000-0005-0000-0000-000011150000}"/>
    <cellStyle name="Comma 2 2 2 3 19" xfId="44282" xr:uid="{00000000-0005-0000-0000-000012150000}"/>
    <cellStyle name="Comma 2 2 2 3 2" xfId="5067" xr:uid="{00000000-0005-0000-0000-000013150000}"/>
    <cellStyle name="Comma 2 2 2 3 2 10" xfId="33565" xr:uid="{00000000-0005-0000-0000-000014150000}"/>
    <cellStyle name="Comma 2 2 2 3 2 11" xfId="34292" xr:uid="{00000000-0005-0000-0000-000015150000}"/>
    <cellStyle name="Comma 2 2 2 3 2 12" xfId="36022" xr:uid="{00000000-0005-0000-0000-000016150000}"/>
    <cellStyle name="Comma 2 2 2 3 2 13" xfId="36322" xr:uid="{00000000-0005-0000-0000-000017150000}"/>
    <cellStyle name="Comma 2 2 2 3 2 14" xfId="37496" xr:uid="{00000000-0005-0000-0000-000018150000}"/>
    <cellStyle name="Comma 2 2 2 3 2 15" xfId="41442" xr:uid="{00000000-0005-0000-0000-000019150000}"/>
    <cellStyle name="Comma 2 2 2 3 2 16" xfId="44283" xr:uid="{00000000-0005-0000-0000-00001A150000}"/>
    <cellStyle name="Comma 2 2 2 3 2 17" xfId="8529" xr:uid="{00000000-0005-0000-0000-00001B150000}"/>
    <cellStyle name="Comma 2 2 2 3 2 2" xfId="6036" xr:uid="{00000000-0005-0000-0000-00001C150000}"/>
    <cellStyle name="Comma 2 2 2 3 2 2 10" xfId="34395" xr:uid="{00000000-0005-0000-0000-00001D150000}"/>
    <cellStyle name="Comma 2 2 2 3 2 2 11" xfId="36563" xr:uid="{00000000-0005-0000-0000-00001E150000}"/>
    <cellStyle name="Comma 2 2 2 3 2 2 12" xfId="38801" xr:uid="{00000000-0005-0000-0000-00001F150000}"/>
    <cellStyle name="Comma 2 2 2 3 2 2 13" xfId="41840" xr:uid="{00000000-0005-0000-0000-000020150000}"/>
    <cellStyle name="Comma 2 2 2 3 2 2 14" xfId="44284" xr:uid="{00000000-0005-0000-0000-000021150000}"/>
    <cellStyle name="Comma 2 2 2 3 2 2 15" xfId="8728" xr:uid="{00000000-0005-0000-0000-000022150000}"/>
    <cellStyle name="Comma 2 2 2 3 2 2 2" xfId="12727" xr:uid="{00000000-0005-0000-0000-000023150000}"/>
    <cellStyle name="Comma 2 2 2 3 2 2 2 2" xfId="31309" xr:uid="{00000000-0005-0000-0000-000024150000}"/>
    <cellStyle name="Comma 2 2 2 3 2 2 2 3" xfId="33163" xr:uid="{00000000-0005-0000-0000-000025150000}"/>
    <cellStyle name="Comma 2 2 2 3 2 2 2 4" xfId="34986" xr:uid="{00000000-0005-0000-0000-000026150000}"/>
    <cellStyle name="Comma 2 2 2 3 2 2 2 5" xfId="37084" xr:uid="{00000000-0005-0000-0000-000027150000}"/>
    <cellStyle name="Comma 2 2 2 3 2 2 2 6" xfId="40350" xr:uid="{00000000-0005-0000-0000-000028150000}"/>
    <cellStyle name="Comma 2 2 2 3 2 2 2 7" xfId="43168" xr:uid="{00000000-0005-0000-0000-000029150000}"/>
    <cellStyle name="Comma 2 2 2 3 2 2 2 8" xfId="44285" xr:uid="{00000000-0005-0000-0000-00002A150000}"/>
    <cellStyle name="Comma 2 2 2 3 2 2 3" xfId="11944" xr:uid="{00000000-0005-0000-0000-00002B150000}"/>
    <cellStyle name="Comma 2 2 2 3 2 2 4" xfId="15391" xr:uid="{00000000-0005-0000-0000-00002C150000}"/>
    <cellStyle name="Comma 2 2 2 3 2 2 5" xfId="29889" xr:uid="{00000000-0005-0000-0000-00002D150000}"/>
    <cellStyle name="Comma 2 2 2 3 2 2 6" xfId="30718" xr:uid="{00000000-0005-0000-0000-00002E150000}"/>
    <cellStyle name="Comma 2 2 2 3 2 2 7" xfId="31712" xr:uid="{00000000-0005-0000-0000-00002F150000}"/>
    <cellStyle name="Comma 2 2 2 3 2 2 8" xfId="32354" xr:uid="{00000000-0005-0000-0000-000030150000}"/>
    <cellStyle name="Comma 2 2 2 3 2 2 9" xfId="33566" xr:uid="{00000000-0005-0000-0000-000031150000}"/>
    <cellStyle name="Comma 2 2 2 3 2 3" xfId="6356" xr:uid="{00000000-0005-0000-0000-000032150000}"/>
    <cellStyle name="Comma 2 2 2 3 2 3 2" xfId="31206" xr:uid="{00000000-0005-0000-0000-000033150000}"/>
    <cellStyle name="Comma 2 2 2 3 2 3 2 2" xfId="40589" xr:uid="{00000000-0005-0000-0000-000034150000}"/>
    <cellStyle name="Comma 2 2 2 3 2 3 2 3" xfId="43375" xr:uid="{00000000-0005-0000-0000-000035150000}"/>
    <cellStyle name="Comma 2 2 2 3 2 3 2 4" xfId="44286" xr:uid="{00000000-0005-0000-0000-000036150000}"/>
    <cellStyle name="Comma 2 2 2 3 2 3 3" xfId="33062" xr:uid="{00000000-0005-0000-0000-000037150000}"/>
    <cellStyle name="Comma 2 2 2 3 2 3 4" xfId="34883" xr:uid="{00000000-0005-0000-0000-000038150000}"/>
    <cellStyle name="Comma 2 2 2 3 2 3 5" xfId="36983" xr:uid="{00000000-0005-0000-0000-000039150000}"/>
    <cellStyle name="Comma 2 2 2 3 2 3 6" xfId="39021" xr:uid="{00000000-0005-0000-0000-00003A150000}"/>
    <cellStyle name="Comma 2 2 2 3 2 3 7" xfId="42047" xr:uid="{00000000-0005-0000-0000-00003B150000}"/>
    <cellStyle name="Comma 2 2 2 3 2 3 8" xfId="44287" xr:uid="{00000000-0005-0000-0000-00003C150000}"/>
    <cellStyle name="Comma 2 2 2 3 2 3 9" xfId="12564" xr:uid="{00000000-0005-0000-0000-00003D150000}"/>
    <cellStyle name="Comma 2 2 2 3 2 4" xfId="11841" xr:uid="{00000000-0005-0000-0000-00003E150000}"/>
    <cellStyle name="Comma 2 2 2 3 2 4 2" xfId="41206" xr:uid="{00000000-0005-0000-0000-00003F150000}"/>
    <cellStyle name="Comma 2 2 2 3 2 4 2 2" xfId="43886" xr:uid="{00000000-0005-0000-0000-000040150000}"/>
    <cellStyle name="Comma 2 2 2 3 2 4 2 3" xfId="44288" xr:uid="{00000000-0005-0000-0000-000041150000}"/>
    <cellStyle name="Comma 2 2 2 3 2 4 3" xfId="39623" xr:uid="{00000000-0005-0000-0000-000042150000}"/>
    <cellStyle name="Comma 2 2 2 3 2 4 4" xfId="42558" xr:uid="{00000000-0005-0000-0000-000043150000}"/>
    <cellStyle name="Comma 2 2 2 3 2 4 5" xfId="44289" xr:uid="{00000000-0005-0000-0000-000044150000}"/>
    <cellStyle name="Comma 2 2 2 3 2 5" xfId="15390" xr:uid="{00000000-0005-0000-0000-000045150000}"/>
    <cellStyle name="Comma 2 2 2 3 2 5 2" xfId="39871" xr:uid="{00000000-0005-0000-0000-000046150000}"/>
    <cellStyle name="Comma 2 2 2 3 2 5 3" xfId="42770" xr:uid="{00000000-0005-0000-0000-000047150000}"/>
    <cellStyle name="Comma 2 2 2 3 2 5 4" xfId="44290" xr:uid="{00000000-0005-0000-0000-000048150000}"/>
    <cellStyle name="Comma 2 2 2 3 2 6" xfId="29888" xr:uid="{00000000-0005-0000-0000-000049150000}"/>
    <cellStyle name="Comma 2 2 2 3 2 7" xfId="30615" xr:uid="{00000000-0005-0000-0000-00004A150000}"/>
    <cellStyle name="Comma 2 2 2 3 2 8" xfId="31711" xr:uid="{00000000-0005-0000-0000-00004B150000}"/>
    <cellStyle name="Comma 2 2 2 3 2 9" xfId="32353" xr:uid="{00000000-0005-0000-0000-00004C150000}"/>
    <cellStyle name="Comma 2 2 2 3 20" xfId="6653" xr:uid="{00000000-0005-0000-0000-00004D150000}"/>
    <cellStyle name="Comma 2 2 2 3 3" xfId="4408" xr:uid="{00000000-0005-0000-0000-00004E150000}"/>
    <cellStyle name="Comma 2 2 2 3 3 10" xfId="33567" xr:uid="{00000000-0005-0000-0000-00004F150000}"/>
    <cellStyle name="Comma 2 2 2 3 3 11" xfId="34241" xr:uid="{00000000-0005-0000-0000-000050150000}"/>
    <cellStyle name="Comma 2 2 2 3 3 12" xfId="35591" xr:uid="{00000000-0005-0000-0000-000051150000}"/>
    <cellStyle name="Comma 2 2 2 3 3 13" xfId="36447" xr:uid="{00000000-0005-0000-0000-000052150000}"/>
    <cellStyle name="Comma 2 2 2 3 3 14" xfId="38660" xr:uid="{00000000-0005-0000-0000-000053150000}"/>
    <cellStyle name="Comma 2 2 2 3 3 15" xfId="41700" xr:uid="{00000000-0005-0000-0000-000054150000}"/>
    <cellStyle name="Comma 2 2 2 3 3 16" xfId="44291" xr:uid="{00000000-0005-0000-0000-000055150000}"/>
    <cellStyle name="Comma 2 2 2 3 3 17" xfId="8376" xr:uid="{00000000-0005-0000-0000-000056150000}"/>
    <cellStyle name="Comma 2 2 2 3 3 2" xfId="5859" xr:uid="{00000000-0005-0000-0000-000057150000}"/>
    <cellStyle name="Comma 2 2 2 3 3 2 10" xfId="34396" xr:uid="{00000000-0005-0000-0000-000058150000}"/>
    <cellStyle name="Comma 2 2 2 3 3 2 11" xfId="36564" xr:uid="{00000000-0005-0000-0000-000059150000}"/>
    <cellStyle name="Comma 2 2 2 3 3 2 12" xfId="39153" xr:uid="{00000000-0005-0000-0000-00005A150000}"/>
    <cellStyle name="Comma 2 2 2 3 3 2 13" xfId="42161" xr:uid="{00000000-0005-0000-0000-00005B150000}"/>
    <cellStyle name="Comma 2 2 2 3 3 2 14" xfId="44292" xr:uid="{00000000-0005-0000-0000-00005C150000}"/>
    <cellStyle name="Comma 2 2 2 3 3 2 15" xfId="8729" xr:uid="{00000000-0005-0000-0000-00005D150000}"/>
    <cellStyle name="Comma 2 2 2 3 3 2 2" xfId="12728" xr:uid="{00000000-0005-0000-0000-00005E150000}"/>
    <cellStyle name="Comma 2 2 2 3 3 2 2 2" xfId="31310" xr:uid="{00000000-0005-0000-0000-00005F150000}"/>
    <cellStyle name="Comma 2 2 2 3 3 2 2 3" xfId="33164" xr:uid="{00000000-0005-0000-0000-000060150000}"/>
    <cellStyle name="Comma 2 2 2 3 3 2 2 4" xfId="34987" xr:uid="{00000000-0005-0000-0000-000061150000}"/>
    <cellStyle name="Comma 2 2 2 3 3 2 2 5" xfId="37085" xr:uid="{00000000-0005-0000-0000-000062150000}"/>
    <cellStyle name="Comma 2 2 2 3 3 2 2 6" xfId="40726" xr:uid="{00000000-0005-0000-0000-000063150000}"/>
    <cellStyle name="Comma 2 2 2 3 3 2 2 7" xfId="43489" xr:uid="{00000000-0005-0000-0000-000064150000}"/>
    <cellStyle name="Comma 2 2 2 3 3 2 2 8" xfId="44293" xr:uid="{00000000-0005-0000-0000-000065150000}"/>
    <cellStyle name="Comma 2 2 2 3 3 2 3" xfId="11945" xr:uid="{00000000-0005-0000-0000-000066150000}"/>
    <cellStyle name="Comma 2 2 2 3 3 2 4" xfId="15393" xr:uid="{00000000-0005-0000-0000-000067150000}"/>
    <cellStyle name="Comma 2 2 2 3 3 2 5" xfId="29891" xr:uid="{00000000-0005-0000-0000-000068150000}"/>
    <cellStyle name="Comma 2 2 2 3 3 2 6" xfId="30719" xr:uid="{00000000-0005-0000-0000-000069150000}"/>
    <cellStyle name="Comma 2 2 2 3 3 2 7" xfId="31714" xr:uid="{00000000-0005-0000-0000-00006A150000}"/>
    <cellStyle name="Comma 2 2 2 3 3 2 8" xfId="32356" xr:uid="{00000000-0005-0000-0000-00006B150000}"/>
    <cellStyle name="Comma 2 2 2 3 3 2 9" xfId="33568" xr:uid="{00000000-0005-0000-0000-00006C150000}"/>
    <cellStyle name="Comma 2 2 2 3 3 3" xfId="12501" xr:uid="{00000000-0005-0000-0000-00006D150000}"/>
    <cellStyle name="Comma 2 2 2 3 3 3 2" xfId="31155" xr:uid="{00000000-0005-0000-0000-00006E150000}"/>
    <cellStyle name="Comma 2 2 2 3 3 3 2 2" xfId="41034" xr:uid="{00000000-0005-0000-0000-00006F150000}"/>
    <cellStyle name="Comma 2 2 2 3 3 3 2 3" xfId="43746" xr:uid="{00000000-0005-0000-0000-000070150000}"/>
    <cellStyle name="Comma 2 2 2 3 3 3 2 4" xfId="44294" xr:uid="{00000000-0005-0000-0000-000071150000}"/>
    <cellStyle name="Comma 2 2 2 3 3 3 3" xfId="33013" xr:uid="{00000000-0005-0000-0000-000072150000}"/>
    <cellStyle name="Comma 2 2 2 3 3 3 4" xfId="34832" xr:uid="{00000000-0005-0000-0000-000073150000}"/>
    <cellStyle name="Comma 2 2 2 3 3 3 5" xfId="36934" xr:uid="{00000000-0005-0000-0000-000074150000}"/>
    <cellStyle name="Comma 2 2 2 3 3 3 6" xfId="39458" xr:uid="{00000000-0005-0000-0000-000075150000}"/>
    <cellStyle name="Comma 2 2 2 3 3 3 7" xfId="42418" xr:uid="{00000000-0005-0000-0000-000076150000}"/>
    <cellStyle name="Comma 2 2 2 3 3 3 8" xfId="44295" xr:uid="{00000000-0005-0000-0000-000077150000}"/>
    <cellStyle name="Comma 2 2 2 3 3 4" xfId="11790" xr:uid="{00000000-0005-0000-0000-000078150000}"/>
    <cellStyle name="Comma 2 2 2 3 3 4 2" xfId="40179" xr:uid="{00000000-0005-0000-0000-000079150000}"/>
    <cellStyle name="Comma 2 2 2 3 3 4 3" xfId="43028" xr:uid="{00000000-0005-0000-0000-00007A150000}"/>
    <cellStyle name="Comma 2 2 2 3 3 4 4" xfId="44296" xr:uid="{00000000-0005-0000-0000-00007B150000}"/>
    <cellStyle name="Comma 2 2 2 3 3 5" xfId="15392" xr:uid="{00000000-0005-0000-0000-00007C150000}"/>
    <cellStyle name="Comma 2 2 2 3 3 6" xfId="29890" xr:uid="{00000000-0005-0000-0000-00007D150000}"/>
    <cellStyle name="Comma 2 2 2 3 3 7" xfId="30564" xr:uid="{00000000-0005-0000-0000-00007E150000}"/>
    <cellStyle name="Comma 2 2 2 3 3 8" xfId="31713" xr:uid="{00000000-0005-0000-0000-00007F150000}"/>
    <cellStyle name="Comma 2 2 2 3 3 9" xfId="32355" xr:uid="{00000000-0005-0000-0000-000080150000}"/>
    <cellStyle name="Comma 2 2 2 3 4" xfId="5721" xr:uid="{00000000-0005-0000-0000-000081150000}"/>
    <cellStyle name="Comma 2 2 2 3 4 10" xfId="34397" xr:uid="{00000000-0005-0000-0000-000082150000}"/>
    <cellStyle name="Comma 2 2 2 3 4 11" xfId="36565" xr:uid="{00000000-0005-0000-0000-000083150000}"/>
    <cellStyle name="Comma 2 2 2 3 4 12" xfId="38088" xr:uid="{00000000-0005-0000-0000-000084150000}"/>
    <cellStyle name="Comma 2 2 2 3 4 13" xfId="41585" xr:uid="{00000000-0005-0000-0000-000085150000}"/>
    <cellStyle name="Comma 2 2 2 3 4 14" xfId="44297" xr:uid="{00000000-0005-0000-0000-000086150000}"/>
    <cellStyle name="Comma 2 2 2 3 4 15" xfId="8730" xr:uid="{00000000-0005-0000-0000-000087150000}"/>
    <cellStyle name="Comma 2 2 2 3 4 2" xfId="12729" xr:uid="{00000000-0005-0000-0000-000088150000}"/>
    <cellStyle name="Comma 2 2 2 3 4 2 2" xfId="31311" xr:uid="{00000000-0005-0000-0000-000089150000}"/>
    <cellStyle name="Comma 2 2 2 3 4 2 3" xfId="33165" xr:uid="{00000000-0005-0000-0000-00008A150000}"/>
    <cellStyle name="Comma 2 2 2 3 4 2 4" xfId="34988" xr:uid="{00000000-0005-0000-0000-00008B150000}"/>
    <cellStyle name="Comma 2 2 2 3 4 2 5" xfId="37086" xr:uid="{00000000-0005-0000-0000-00008C150000}"/>
    <cellStyle name="Comma 2 2 2 3 4 2 6" xfId="40044" xr:uid="{00000000-0005-0000-0000-00008D150000}"/>
    <cellStyle name="Comma 2 2 2 3 4 2 7" xfId="42913" xr:uid="{00000000-0005-0000-0000-00008E150000}"/>
    <cellStyle name="Comma 2 2 2 3 4 2 8" xfId="44298" xr:uid="{00000000-0005-0000-0000-00008F150000}"/>
    <cellStyle name="Comma 2 2 2 3 4 3" xfId="11946" xr:uid="{00000000-0005-0000-0000-000090150000}"/>
    <cellStyle name="Comma 2 2 2 3 4 4" xfId="15394" xr:uid="{00000000-0005-0000-0000-000091150000}"/>
    <cellStyle name="Comma 2 2 2 3 4 5" xfId="29892" xr:uid="{00000000-0005-0000-0000-000092150000}"/>
    <cellStyle name="Comma 2 2 2 3 4 6" xfId="30720" xr:uid="{00000000-0005-0000-0000-000093150000}"/>
    <cellStyle name="Comma 2 2 2 3 4 7" xfId="31715" xr:uid="{00000000-0005-0000-0000-000094150000}"/>
    <cellStyle name="Comma 2 2 2 3 4 8" xfId="32357" xr:uid="{00000000-0005-0000-0000-000095150000}"/>
    <cellStyle name="Comma 2 2 2 3 4 9" xfId="33569" xr:uid="{00000000-0005-0000-0000-000096150000}"/>
    <cellStyle name="Comma 2 2 2 3 5" xfId="6180" xr:uid="{00000000-0005-0000-0000-000097150000}"/>
    <cellStyle name="Comma 2 2 2 3 5 10" xfId="34394" xr:uid="{00000000-0005-0000-0000-000098150000}"/>
    <cellStyle name="Comma 2 2 2 3 5 11" xfId="36562" xr:uid="{00000000-0005-0000-0000-000099150000}"/>
    <cellStyle name="Comma 2 2 2 3 5 12" xfId="38924" xr:uid="{00000000-0005-0000-0000-00009A150000}"/>
    <cellStyle name="Comma 2 2 2 3 5 13" xfId="41955" xr:uid="{00000000-0005-0000-0000-00009B150000}"/>
    <cellStyle name="Comma 2 2 2 3 5 14" xfId="44299" xr:uid="{00000000-0005-0000-0000-00009C150000}"/>
    <cellStyle name="Comma 2 2 2 3 5 15" xfId="8727" xr:uid="{00000000-0005-0000-0000-00009D150000}"/>
    <cellStyle name="Comma 2 2 2 3 5 2" xfId="12726" xr:uid="{00000000-0005-0000-0000-00009E150000}"/>
    <cellStyle name="Comma 2 2 2 3 5 2 2" xfId="31308" xr:uid="{00000000-0005-0000-0000-00009F150000}"/>
    <cellStyle name="Comma 2 2 2 3 5 2 3" xfId="33162" xr:uid="{00000000-0005-0000-0000-0000A0150000}"/>
    <cellStyle name="Comma 2 2 2 3 5 2 4" xfId="34985" xr:uid="{00000000-0005-0000-0000-0000A1150000}"/>
    <cellStyle name="Comma 2 2 2 3 5 2 5" xfId="37083" xr:uid="{00000000-0005-0000-0000-0000A2150000}"/>
    <cellStyle name="Comma 2 2 2 3 5 2 6" xfId="40482" xr:uid="{00000000-0005-0000-0000-0000A3150000}"/>
    <cellStyle name="Comma 2 2 2 3 5 2 7" xfId="43283" xr:uid="{00000000-0005-0000-0000-0000A4150000}"/>
    <cellStyle name="Comma 2 2 2 3 5 2 8" xfId="44300" xr:uid="{00000000-0005-0000-0000-0000A5150000}"/>
    <cellStyle name="Comma 2 2 2 3 5 3" xfId="11943" xr:uid="{00000000-0005-0000-0000-0000A6150000}"/>
    <cellStyle name="Comma 2 2 2 3 5 4" xfId="15395" xr:uid="{00000000-0005-0000-0000-0000A7150000}"/>
    <cellStyle name="Comma 2 2 2 3 5 5" xfId="29893" xr:uid="{00000000-0005-0000-0000-0000A8150000}"/>
    <cellStyle name="Comma 2 2 2 3 5 6" xfId="30717" xr:uid="{00000000-0005-0000-0000-0000A9150000}"/>
    <cellStyle name="Comma 2 2 2 3 5 7" xfId="31716" xr:uid="{00000000-0005-0000-0000-0000AA150000}"/>
    <cellStyle name="Comma 2 2 2 3 5 8" xfId="32358" xr:uid="{00000000-0005-0000-0000-0000AB150000}"/>
    <cellStyle name="Comma 2 2 2 3 5 9" xfId="33570" xr:uid="{00000000-0005-0000-0000-0000AC150000}"/>
    <cellStyle name="Comma 2 2 2 3 6" xfId="12281" xr:uid="{00000000-0005-0000-0000-0000AD150000}"/>
    <cellStyle name="Comma 2 2 2 3 6 10" xfId="39325" xr:uid="{00000000-0005-0000-0000-0000AE150000}"/>
    <cellStyle name="Comma 2 2 2 3 6 11" xfId="42303" xr:uid="{00000000-0005-0000-0000-0000AF150000}"/>
    <cellStyle name="Comma 2 2 2 3 6 12" xfId="44301" xr:uid="{00000000-0005-0000-0000-0000B0150000}"/>
    <cellStyle name="Comma 2 2 2 3 6 2" xfId="15396" xr:uid="{00000000-0005-0000-0000-0000B1150000}"/>
    <cellStyle name="Comma 2 2 2 3 6 2 2" xfId="40896" xr:uid="{00000000-0005-0000-0000-0000B2150000}"/>
    <cellStyle name="Comma 2 2 2 3 6 2 3" xfId="43631" xr:uid="{00000000-0005-0000-0000-0000B3150000}"/>
    <cellStyle name="Comma 2 2 2 3 6 2 4" xfId="44302" xr:uid="{00000000-0005-0000-0000-0000B4150000}"/>
    <cellStyle name="Comma 2 2 2 3 6 3" xfId="29894" xr:uid="{00000000-0005-0000-0000-0000B5150000}"/>
    <cellStyle name="Comma 2 2 2 3 6 4" xfId="31054" xr:uid="{00000000-0005-0000-0000-0000B6150000}"/>
    <cellStyle name="Comma 2 2 2 3 6 5" xfId="31717" xr:uid="{00000000-0005-0000-0000-0000B7150000}"/>
    <cellStyle name="Comma 2 2 2 3 6 6" xfId="32359" xr:uid="{00000000-0005-0000-0000-0000B8150000}"/>
    <cellStyle name="Comma 2 2 2 3 6 7" xfId="33571" xr:uid="{00000000-0005-0000-0000-0000B9150000}"/>
    <cellStyle name="Comma 2 2 2 3 6 8" xfId="34731" xr:uid="{00000000-0005-0000-0000-0000BA150000}"/>
    <cellStyle name="Comma 2 2 2 3 6 9" xfId="36839" xr:uid="{00000000-0005-0000-0000-0000BB150000}"/>
    <cellStyle name="Comma 2 2 2 3 7" xfId="11688" xr:uid="{00000000-0005-0000-0000-0000BC150000}"/>
    <cellStyle name="Comma 2 2 2 3 7 2" xfId="39789" xr:uid="{00000000-0005-0000-0000-0000BD150000}"/>
    <cellStyle name="Comma 2 2 2 3 7 3" xfId="42697" xr:uid="{00000000-0005-0000-0000-0000BE150000}"/>
    <cellStyle name="Comma 2 2 2 3 7 4" xfId="44303" xr:uid="{00000000-0005-0000-0000-0000BF150000}"/>
    <cellStyle name="Comma 2 2 2 3 8" xfId="15389" xr:uid="{00000000-0005-0000-0000-0000C0150000}"/>
    <cellStyle name="Comma 2 2 2 3 9" xfId="29887" xr:uid="{00000000-0005-0000-0000-0000C1150000}"/>
    <cellStyle name="Comma 2 2 2 4" xfId="2757" xr:uid="{00000000-0005-0000-0000-0000C2150000}"/>
    <cellStyle name="Comma 2 2 2 4 10" xfId="30495" xr:uid="{00000000-0005-0000-0000-0000C3150000}"/>
    <cellStyle name="Comma 2 2 2 4 11" xfId="31718" xr:uid="{00000000-0005-0000-0000-0000C4150000}"/>
    <cellStyle name="Comma 2 2 2 4 12" xfId="32360" xr:uid="{00000000-0005-0000-0000-0000C5150000}"/>
    <cellStyle name="Comma 2 2 2 4 13" xfId="33572" xr:uid="{00000000-0005-0000-0000-0000C6150000}"/>
    <cellStyle name="Comma 2 2 2 4 14" xfId="34172" xr:uid="{00000000-0005-0000-0000-0000C7150000}"/>
    <cellStyle name="Comma 2 2 2 4 15" xfId="35319" xr:uid="{00000000-0005-0000-0000-0000C8150000}"/>
    <cellStyle name="Comma 2 2 2 4 16" xfId="36182" xr:uid="{00000000-0005-0000-0000-0000C9150000}"/>
    <cellStyle name="Comma 2 2 2 4 17" xfId="37419" xr:uid="{00000000-0005-0000-0000-0000CA150000}"/>
    <cellStyle name="Comma 2 2 2 4 18" xfId="41366" xr:uid="{00000000-0005-0000-0000-0000CB150000}"/>
    <cellStyle name="Comma 2 2 2 4 19" xfId="44304" xr:uid="{00000000-0005-0000-0000-0000CC150000}"/>
    <cellStyle name="Comma 2 2 2 4 2" xfId="5068" xr:uid="{00000000-0005-0000-0000-0000CD150000}"/>
    <cellStyle name="Comma 2 2 2 4 2 10" xfId="33573" xr:uid="{00000000-0005-0000-0000-0000CE150000}"/>
    <cellStyle name="Comma 2 2 2 4 2 11" xfId="34324" xr:uid="{00000000-0005-0000-0000-0000CF150000}"/>
    <cellStyle name="Comma 2 2 2 4 2 12" xfId="36023" xr:uid="{00000000-0005-0000-0000-0000D0150000}"/>
    <cellStyle name="Comma 2 2 2 4 2 13" xfId="36323" xr:uid="{00000000-0005-0000-0000-0000D1150000}"/>
    <cellStyle name="Comma 2 2 2 4 2 14" xfId="37567" xr:uid="{00000000-0005-0000-0000-0000D2150000}"/>
    <cellStyle name="Comma 2 2 2 4 2 15" xfId="41513" xr:uid="{00000000-0005-0000-0000-0000D3150000}"/>
    <cellStyle name="Comma 2 2 2 4 2 16" xfId="44305" xr:uid="{00000000-0005-0000-0000-0000D4150000}"/>
    <cellStyle name="Comma 2 2 2 4 2 17" xfId="8594" xr:uid="{00000000-0005-0000-0000-0000D5150000}"/>
    <cellStyle name="Comma 2 2 2 4 2 2" xfId="6037" xr:uid="{00000000-0005-0000-0000-0000D6150000}"/>
    <cellStyle name="Comma 2 2 2 4 2 2 10" xfId="34399" xr:uid="{00000000-0005-0000-0000-0000D7150000}"/>
    <cellStyle name="Comma 2 2 2 4 2 2 11" xfId="36567" xr:uid="{00000000-0005-0000-0000-0000D8150000}"/>
    <cellStyle name="Comma 2 2 2 4 2 2 12" xfId="38802" xr:uid="{00000000-0005-0000-0000-0000D9150000}"/>
    <cellStyle name="Comma 2 2 2 4 2 2 13" xfId="41841" xr:uid="{00000000-0005-0000-0000-0000DA150000}"/>
    <cellStyle name="Comma 2 2 2 4 2 2 14" xfId="44306" xr:uid="{00000000-0005-0000-0000-0000DB150000}"/>
    <cellStyle name="Comma 2 2 2 4 2 2 15" xfId="8732" xr:uid="{00000000-0005-0000-0000-0000DC150000}"/>
    <cellStyle name="Comma 2 2 2 4 2 2 2" xfId="12731" xr:uid="{00000000-0005-0000-0000-0000DD150000}"/>
    <cellStyle name="Comma 2 2 2 4 2 2 2 2" xfId="31313" xr:uid="{00000000-0005-0000-0000-0000DE150000}"/>
    <cellStyle name="Comma 2 2 2 4 2 2 2 3" xfId="33167" xr:uid="{00000000-0005-0000-0000-0000DF150000}"/>
    <cellStyle name="Comma 2 2 2 4 2 2 2 4" xfId="34990" xr:uid="{00000000-0005-0000-0000-0000E0150000}"/>
    <cellStyle name="Comma 2 2 2 4 2 2 2 5" xfId="37088" xr:uid="{00000000-0005-0000-0000-0000E1150000}"/>
    <cellStyle name="Comma 2 2 2 4 2 2 2 6" xfId="40351" xr:uid="{00000000-0005-0000-0000-0000E2150000}"/>
    <cellStyle name="Comma 2 2 2 4 2 2 2 7" xfId="43169" xr:uid="{00000000-0005-0000-0000-0000E3150000}"/>
    <cellStyle name="Comma 2 2 2 4 2 2 2 8" xfId="44307" xr:uid="{00000000-0005-0000-0000-0000E4150000}"/>
    <cellStyle name="Comma 2 2 2 4 2 2 3" xfId="11948" xr:uid="{00000000-0005-0000-0000-0000E5150000}"/>
    <cellStyle name="Comma 2 2 2 4 2 2 4" xfId="15399" xr:uid="{00000000-0005-0000-0000-0000E6150000}"/>
    <cellStyle name="Comma 2 2 2 4 2 2 5" xfId="29897" xr:uid="{00000000-0005-0000-0000-0000E7150000}"/>
    <cellStyle name="Comma 2 2 2 4 2 2 6" xfId="30722" xr:uid="{00000000-0005-0000-0000-0000E8150000}"/>
    <cellStyle name="Comma 2 2 2 4 2 2 7" xfId="31720" xr:uid="{00000000-0005-0000-0000-0000E9150000}"/>
    <cellStyle name="Comma 2 2 2 4 2 2 8" xfId="32362" xr:uid="{00000000-0005-0000-0000-0000EA150000}"/>
    <cellStyle name="Comma 2 2 2 4 2 2 9" xfId="33574" xr:uid="{00000000-0005-0000-0000-0000EB150000}"/>
    <cellStyle name="Comma 2 2 2 4 2 3" xfId="6357" xr:uid="{00000000-0005-0000-0000-0000EC150000}"/>
    <cellStyle name="Comma 2 2 2 4 2 3 2" xfId="31238" xr:uid="{00000000-0005-0000-0000-0000ED150000}"/>
    <cellStyle name="Comma 2 2 2 4 2 3 2 2" xfId="40789" xr:uid="{00000000-0005-0000-0000-0000EE150000}"/>
    <cellStyle name="Comma 2 2 2 4 2 3 2 3" xfId="43544" xr:uid="{00000000-0005-0000-0000-0000EF150000}"/>
    <cellStyle name="Comma 2 2 2 4 2 3 2 4" xfId="44308" xr:uid="{00000000-0005-0000-0000-0000F0150000}"/>
    <cellStyle name="Comma 2 2 2 4 2 3 3" xfId="33092" xr:uid="{00000000-0005-0000-0000-0000F1150000}"/>
    <cellStyle name="Comma 2 2 2 4 2 3 4" xfId="34915" xr:uid="{00000000-0005-0000-0000-0000F2150000}"/>
    <cellStyle name="Comma 2 2 2 4 2 3 5" xfId="37013" xr:uid="{00000000-0005-0000-0000-0000F3150000}"/>
    <cellStyle name="Comma 2 2 2 4 2 3 6" xfId="39226" xr:uid="{00000000-0005-0000-0000-0000F4150000}"/>
    <cellStyle name="Comma 2 2 2 4 2 3 7" xfId="42216" xr:uid="{00000000-0005-0000-0000-0000F5150000}"/>
    <cellStyle name="Comma 2 2 2 4 2 3 8" xfId="44309" xr:uid="{00000000-0005-0000-0000-0000F6150000}"/>
    <cellStyle name="Comma 2 2 2 4 2 3 9" xfId="12600" xr:uid="{00000000-0005-0000-0000-0000F7150000}"/>
    <cellStyle name="Comma 2 2 2 4 2 4" xfId="11873" xr:uid="{00000000-0005-0000-0000-0000F8150000}"/>
    <cellStyle name="Comma 2 2 2 4 2 4 2" xfId="41207" xr:uid="{00000000-0005-0000-0000-0000F9150000}"/>
    <cellStyle name="Comma 2 2 2 4 2 4 2 2" xfId="43887" xr:uid="{00000000-0005-0000-0000-0000FA150000}"/>
    <cellStyle name="Comma 2 2 2 4 2 4 2 3" xfId="44310" xr:uid="{00000000-0005-0000-0000-0000FB150000}"/>
    <cellStyle name="Comma 2 2 2 4 2 4 3" xfId="39624" xr:uid="{00000000-0005-0000-0000-0000FC150000}"/>
    <cellStyle name="Comma 2 2 2 4 2 4 4" xfId="42559" xr:uid="{00000000-0005-0000-0000-0000FD150000}"/>
    <cellStyle name="Comma 2 2 2 4 2 4 5" xfId="44311" xr:uid="{00000000-0005-0000-0000-0000FE150000}"/>
    <cellStyle name="Comma 2 2 2 4 2 5" xfId="15398" xr:uid="{00000000-0005-0000-0000-0000FF150000}"/>
    <cellStyle name="Comma 2 2 2 4 2 5 2" xfId="39953" xr:uid="{00000000-0005-0000-0000-000000160000}"/>
    <cellStyle name="Comma 2 2 2 4 2 5 3" xfId="42841" xr:uid="{00000000-0005-0000-0000-000001160000}"/>
    <cellStyle name="Comma 2 2 2 4 2 5 4" xfId="44312" xr:uid="{00000000-0005-0000-0000-000002160000}"/>
    <cellStyle name="Comma 2 2 2 4 2 6" xfId="29896" xr:uid="{00000000-0005-0000-0000-000003160000}"/>
    <cellStyle name="Comma 2 2 2 4 2 7" xfId="30647" xr:uid="{00000000-0005-0000-0000-000004160000}"/>
    <cellStyle name="Comma 2 2 2 4 2 8" xfId="31719" xr:uid="{00000000-0005-0000-0000-000005160000}"/>
    <cellStyle name="Comma 2 2 2 4 2 9" xfId="32361" xr:uid="{00000000-0005-0000-0000-000006160000}"/>
    <cellStyle name="Comma 2 2 2 4 20" xfId="7335" xr:uid="{00000000-0005-0000-0000-000007160000}"/>
    <cellStyle name="Comma 2 2 2 4 3" xfId="4409" xr:uid="{00000000-0005-0000-0000-000008160000}"/>
    <cellStyle name="Comma 2 2 2 4 3 10" xfId="33575" xr:uid="{00000000-0005-0000-0000-000009160000}"/>
    <cellStyle name="Comma 2 2 2 4 3 11" xfId="34242" xr:uid="{00000000-0005-0000-0000-00000A160000}"/>
    <cellStyle name="Comma 2 2 2 4 3 12" xfId="35592" xr:uid="{00000000-0005-0000-0000-00000B160000}"/>
    <cellStyle name="Comma 2 2 2 4 3 13" xfId="36448" xr:uid="{00000000-0005-0000-0000-00000C160000}"/>
    <cellStyle name="Comma 2 2 2 4 3 14" xfId="38661" xr:uid="{00000000-0005-0000-0000-00000D160000}"/>
    <cellStyle name="Comma 2 2 2 4 3 15" xfId="41701" xr:uid="{00000000-0005-0000-0000-00000E160000}"/>
    <cellStyle name="Comma 2 2 2 4 3 16" xfId="44313" xr:uid="{00000000-0005-0000-0000-00000F160000}"/>
    <cellStyle name="Comma 2 2 2 4 3 17" xfId="8377" xr:uid="{00000000-0005-0000-0000-000010160000}"/>
    <cellStyle name="Comma 2 2 2 4 3 2" xfId="5860" xr:uid="{00000000-0005-0000-0000-000011160000}"/>
    <cellStyle name="Comma 2 2 2 4 3 2 10" xfId="34400" xr:uid="{00000000-0005-0000-0000-000012160000}"/>
    <cellStyle name="Comma 2 2 2 4 3 2 11" xfId="36568" xr:uid="{00000000-0005-0000-0000-000013160000}"/>
    <cellStyle name="Comma 2 2 2 4 3 2 12" xfId="39459" xr:uid="{00000000-0005-0000-0000-000014160000}"/>
    <cellStyle name="Comma 2 2 2 4 3 2 13" xfId="42419" xr:uid="{00000000-0005-0000-0000-000015160000}"/>
    <cellStyle name="Comma 2 2 2 4 3 2 14" xfId="44314" xr:uid="{00000000-0005-0000-0000-000016160000}"/>
    <cellStyle name="Comma 2 2 2 4 3 2 15" xfId="8733" xr:uid="{00000000-0005-0000-0000-000017160000}"/>
    <cellStyle name="Comma 2 2 2 4 3 2 2" xfId="12732" xr:uid="{00000000-0005-0000-0000-000018160000}"/>
    <cellStyle name="Comma 2 2 2 4 3 2 2 10" xfId="37089" xr:uid="{00000000-0005-0000-0000-000019160000}"/>
    <cellStyle name="Comma 2 2 2 4 3 2 2 11" xfId="41035" xr:uid="{00000000-0005-0000-0000-00001A160000}"/>
    <cellStyle name="Comma 2 2 2 4 3 2 2 12" xfId="43747" xr:uid="{00000000-0005-0000-0000-00001B160000}"/>
    <cellStyle name="Comma 2 2 2 4 3 2 2 13" xfId="44315" xr:uid="{00000000-0005-0000-0000-00001C160000}"/>
    <cellStyle name="Comma 2 2 2 4 3 2 2 2" xfId="15402" xr:uid="{00000000-0005-0000-0000-00001D160000}"/>
    <cellStyle name="Comma 2 2 2 4 3 2 2 3" xfId="29900" xr:uid="{00000000-0005-0000-0000-00001E160000}"/>
    <cellStyle name="Comma 2 2 2 4 3 2 2 4" xfId="31314" xr:uid="{00000000-0005-0000-0000-00001F160000}"/>
    <cellStyle name="Comma 2 2 2 4 3 2 2 5" xfId="31723" xr:uid="{00000000-0005-0000-0000-000020160000}"/>
    <cellStyle name="Comma 2 2 2 4 3 2 2 6" xfId="32365" xr:uid="{00000000-0005-0000-0000-000021160000}"/>
    <cellStyle name="Comma 2 2 2 4 3 2 2 7" xfId="33168" xr:uid="{00000000-0005-0000-0000-000022160000}"/>
    <cellStyle name="Comma 2 2 2 4 3 2 2 8" xfId="33577" xr:uid="{00000000-0005-0000-0000-000023160000}"/>
    <cellStyle name="Comma 2 2 2 4 3 2 2 9" xfId="34991" xr:uid="{00000000-0005-0000-0000-000024160000}"/>
    <cellStyle name="Comma 2 2 2 4 3 2 3" xfId="11949" xr:uid="{00000000-0005-0000-0000-000025160000}"/>
    <cellStyle name="Comma 2 2 2 4 3 2 4" xfId="15401" xr:uid="{00000000-0005-0000-0000-000026160000}"/>
    <cellStyle name="Comma 2 2 2 4 3 2 5" xfId="29899" xr:uid="{00000000-0005-0000-0000-000027160000}"/>
    <cellStyle name="Comma 2 2 2 4 3 2 6" xfId="30723" xr:uid="{00000000-0005-0000-0000-000028160000}"/>
    <cellStyle name="Comma 2 2 2 4 3 2 7" xfId="31722" xr:uid="{00000000-0005-0000-0000-000029160000}"/>
    <cellStyle name="Comma 2 2 2 4 3 2 8" xfId="32364" xr:uid="{00000000-0005-0000-0000-00002A160000}"/>
    <cellStyle name="Comma 2 2 2 4 3 2 9" xfId="33576" xr:uid="{00000000-0005-0000-0000-00002B160000}"/>
    <cellStyle name="Comma 2 2 2 4 3 3" xfId="12502" xr:uid="{00000000-0005-0000-0000-00002C160000}"/>
    <cellStyle name="Comma 2 2 2 4 3 3 10" xfId="36935" xr:uid="{00000000-0005-0000-0000-00002D160000}"/>
    <cellStyle name="Comma 2 2 2 4 3 3 11" xfId="40180" xr:uid="{00000000-0005-0000-0000-00002E160000}"/>
    <cellStyle name="Comma 2 2 2 4 3 3 12" xfId="43029" xr:uid="{00000000-0005-0000-0000-00002F160000}"/>
    <cellStyle name="Comma 2 2 2 4 3 3 13" xfId="44316" xr:uid="{00000000-0005-0000-0000-000030160000}"/>
    <cellStyle name="Comma 2 2 2 4 3 3 2" xfId="15403" xr:uid="{00000000-0005-0000-0000-000031160000}"/>
    <cellStyle name="Comma 2 2 2 4 3 3 3" xfId="29901" xr:uid="{00000000-0005-0000-0000-000032160000}"/>
    <cellStyle name="Comma 2 2 2 4 3 3 4" xfId="31156" xr:uid="{00000000-0005-0000-0000-000033160000}"/>
    <cellStyle name="Comma 2 2 2 4 3 3 5" xfId="31724" xr:uid="{00000000-0005-0000-0000-000034160000}"/>
    <cellStyle name="Comma 2 2 2 4 3 3 6" xfId="32366" xr:uid="{00000000-0005-0000-0000-000035160000}"/>
    <cellStyle name="Comma 2 2 2 4 3 3 7" xfId="33014" xr:uid="{00000000-0005-0000-0000-000036160000}"/>
    <cellStyle name="Comma 2 2 2 4 3 3 8" xfId="33578" xr:uid="{00000000-0005-0000-0000-000037160000}"/>
    <cellStyle name="Comma 2 2 2 4 3 3 9" xfId="34833" xr:uid="{00000000-0005-0000-0000-000038160000}"/>
    <cellStyle name="Comma 2 2 2 4 3 4" xfId="11791" xr:uid="{00000000-0005-0000-0000-000039160000}"/>
    <cellStyle name="Comma 2 2 2 4 3 5" xfId="15400" xr:uid="{00000000-0005-0000-0000-00003A160000}"/>
    <cellStyle name="Comma 2 2 2 4 3 6" xfId="29898" xr:uid="{00000000-0005-0000-0000-00003B160000}"/>
    <cellStyle name="Comma 2 2 2 4 3 7" xfId="30565" xr:uid="{00000000-0005-0000-0000-00003C160000}"/>
    <cellStyle name="Comma 2 2 2 4 3 8" xfId="31721" xr:uid="{00000000-0005-0000-0000-00003D160000}"/>
    <cellStyle name="Comma 2 2 2 4 3 9" xfId="32363" xr:uid="{00000000-0005-0000-0000-00003E160000}"/>
    <cellStyle name="Comma 2 2 2 4 4" xfId="5722" xr:uid="{00000000-0005-0000-0000-00003F160000}"/>
    <cellStyle name="Comma 2 2 2 4 4 10" xfId="34401" xr:uid="{00000000-0005-0000-0000-000040160000}"/>
    <cellStyle name="Comma 2 2 2 4 4 11" xfId="36569" xr:uid="{00000000-0005-0000-0000-000041160000}"/>
    <cellStyle name="Comma 2 2 2 4 4 12" xfId="38089" xr:uid="{00000000-0005-0000-0000-000042160000}"/>
    <cellStyle name="Comma 2 2 2 4 4 13" xfId="41586" xr:uid="{00000000-0005-0000-0000-000043160000}"/>
    <cellStyle name="Comma 2 2 2 4 4 14" xfId="44317" xr:uid="{00000000-0005-0000-0000-000044160000}"/>
    <cellStyle name="Comma 2 2 2 4 4 15" xfId="8734" xr:uid="{00000000-0005-0000-0000-000045160000}"/>
    <cellStyle name="Comma 2 2 2 4 4 2" xfId="12733" xr:uid="{00000000-0005-0000-0000-000046160000}"/>
    <cellStyle name="Comma 2 2 2 4 4 2 2" xfId="31315" xr:uid="{00000000-0005-0000-0000-000047160000}"/>
    <cellStyle name="Comma 2 2 2 4 4 2 3" xfId="33169" xr:uid="{00000000-0005-0000-0000-000048160000}"/>
    <cellStyle name="Comma 2 2 2 4 4 2 4" xfId="34992" xr:uid="{00000000-0005-0000-0000-000049160000}"/>
    <cellStyle name="Comma 2 2 2 4 4 2 5" xfId="37090" xr:uid="{00000000-0005-0000-0000-00004A160000}"/>
    <cellStyle name="Comma 2 2 2 4 4 2 6" xfId="40045" xr:uid="{00000000-0005-0000-0000-00004B160000}"/>
    <cellStyle name="Comma 2 2 2 4 4 2 7" xfId="42914" xr:uid="{00000000-0005-0000-0000-00004C160000}"/>
    <cellStyle name="Comma 2 2 2 4 4 2 8" xfId="44318" xr:uid="{00000000-0005-0000-0000-00004D160000}"/>
    <cellStyle name="Comma 2 2 2 4 4 3" xfId="11950" xr:uid="{00000000-0005-0000-0000-00004E160000}"/>
    <cellStyle name="Comma 2 2 2 4 4 4" xfId="15404" xr:uid="{00000000-0005-0000-0000-00004F160000}"/>
    <cellStyle name="Comma 2 2 2 4 4 5" xfId="29902" xr:uid="{00000000-0005-0000-0000-000050160000}"/>
    <cellStyle name="Comma 2 2 2 4 4 6" xfId="30724" xr:uid="{00000000-0005-0000-0000-000051160000}"/>
    <cellStyle name="Comma 2 2 2 4 4 7" xfId="31725" xr:uid="{00000000-0005-0000-0000-000052160000}"/>
    <cellStyle name="Comma 2 2 2 4 4 8" xfId="32367" xr:uid="{00000000-0005-0000-0000-000053160000}"/>
    <cellStyle name="Comma 2 2 2 4 4 9" xfId="33579" xr:uid="{00000000-0005-0000-0000-000054160000}"/>
    <cellStyle name="Comma 2 2 2 4 5" xfId="6181" xr:uid="{00000000-0005-0000-0000-000055160000}"/>
    <cellStyle name="Comma 2 2 2 4 5 10" xfId="34398" xr:uid="{00000000-0005-0000-0000-000056160000}"/>
    <cellStyle name="Comma 2 2 2 4 5 11" xfId="36566" xr:uid="{00000000-0005-0000-0000-000057160000}"/>
    <cellStyle name="Comma 2 2 2 4 5 12" xfId="39022" xr:uid="{00000000-0005-0000-0000-000058160000}"/>
    <cellStyle name="Comma 2 2 2 4 5 13" xfId="42048" xr:uid="{00000000-0005-0000-0000-000059160000}"/>
    <cellStyle name="Comma 2 2 2 4 5 14" xfId="44319" xr:uid="{00000000-0005-0000-0000-00005A160000}"/>
    <cellStyle name="Comma 2 2 2 4 5 15" xfId="8731" xr:uid="{00000000-0005-0000-0000-00005B160000}"/>
    <cellStyle name="Comma 2 2 2 4 5 2" xfId="12730" xr:uid="{00000000-0005-0000-0000-00005C160000}"/>
    <cellStyle name="Comma 2 2 2 4 5 2 10" xfId="37087" xr:uid="{00000000-0005-0000-0000-00005D160000}"/>
    <cellStyle name="Comma 2 2 2 4 5 2 11" xfId="40590" xr:uid="{00000000-0005-0000-0000-00005E160000}"/>
    <cellStyle name="Comma 2 2 2 4 5 2 12" xfId="43376" xr:uid="{00000000-0005-0000-0000-00005F160000}"/>
    <cellStyle name="Comma 2 2 2 4 5 2 13" xfId="44320" xr:uid="{00000000-0005-0000-0000-000060160000}"/>
    <cellStyle name="Comma 2 2 2 4 5 2 2" xfId="15406" xr:uid="{00000000-0005-0000-0000-000061160000}"/>
    <cellStyle name="Comma 2 2 2 4 5 2 3" xfId="29904" xr:uid="{00000000-0005-0000-0000-000062160000}"/>
    <cellStyle name="Comma 2 2 2 4 5 2 4" xfId="31312" xr:uid="{00000000-0005-0000-0000-000063160000}"/>
    <cellStyle name="Comma 2 2 2 4 5 2 5" xfId="31727" xr:uid="{00000000-0005-0000-0000-000064160000}"/>
    <cellStyle name="Comma 2 2 2 4 5 2 6" xfId="32369" xr:uid="{00000000-0005-0000-0000-000065160000}"/>
    <cellStyle name="Comma 2 2 2 4 5 2 7" xfId="33166" xr:uid="{00000000-0005-0000-0000-000066160000}"/>
    <cellStyle name="Comma 2 2 2 4 5 2 8" xfId="33581" xr:uid="{00000000-0005-0000-0000-000067160000}"/>
    <cellStyle name="Comma 2 2 2 4 5 2 9" xfId="34989" xr:uid="{00000000-0005-0000-0000-000068160000}"/>
    <cellStyle name="Comma 2 2 2 4 5 3" xfId="11947" xr:uid="{00000000-0005-0000-0000-000069160000}"/>
    <cellStyle name="Comma 2 2 2 4 5 4" xfId="15405" xr:uid="{00000000-0005-0000-0000-00006A160000}"/>
    <cellStyle name="Comma 2 2 2 4 5 5" xfId="29903" xr:uid="{00000000-0005-0000-0000-00006B160000}"/>
    <cellStyle name="Comma 2 2 2 4 5 6" xfId="30721" xr:uid="{00000000-0005-0000-0000-00006C160000}"/>
    <cellStyle name="Comma 2 2 2 4 5 7" xfId="31726" xr:uid="{00000000-0005-0000-0000-00006D160000}"/>
    <cellStyle name="Comma 2 2 2 4 5 8" xfId="32368" xr:uid="{00000000-0005-0000-0000-00006E160000}"/>
    <cellStyle name="Comma 2 2 2 4 5 9" xfId="33580" xr:uid="{00000000-0005-0000-0000-00006F160000}"/>
    <cellStyle name="Comma 2 2 2 4 6" xfId="12314" xr:uid="{00000000-0005-0000-0000-000070160000}"/>
    <cellStyle name="Comma 2 2 2 4 6 10" xfId="36869" xr:uid="{00000000-0005-0000-0000-000071160000}"/>
    <cellStyle name="Comma 2 2 2 4 6 11" xfId="39326" xr:uid="{00000000-0005-0000-0000-000072160000}"/>
    <cellStyle name="Comma 2 2 2 4 6 12" xfId="42304" xr:uid="{00000000-0005-0000-0000-000073160000}"/>
    <cellStyle name="Comma 2 2 2 4 6 13" xfId="44321" xr:uid="{00000000-0005-0000-0000-000074160000}"/>
    <cellStyle name="Comma 2 2 2 4 6 2" xfId="15407" xr:uid="{00000000-0005-0000-0000-000075160000}"/>
    <cellStyle name="Comma 2 2 2 4 6 2 2" xfId="40897" xr:uid="{00000000-0005-0000-0000-000076160000}"/>
    <cellStyle name="Comma 2 2 2 4 6 2 3" xfId="43632" xr:uid="{00000000-0005-0000-0000-000077160000}"/>
    <cellStyle name="Comma 2 2 2 4 6 2 4" xfId="44322" xr:uid="{00000000-0005-0000-0000-000078160000}"/>
    <cellStyle name="Comma 2 2 2 4 6 3" xfId="29905" xr:uid="{00000000-0005-0000-0000-000079160000}"/>
    <cellStyle name="Comma 2 2 2 4 6 4" xfId="31086" xr:uid="{00000000-0005-0000-0000-00007A160000}"/>
    <cellStyle name="Comma 2 2 2 4 6 5" xfId="31728" xr:uid="{00000000-0005-0000-0000-00007B160000}"/>
    <cellStyle name="Comma 2 2 2 4 6 6" xfId="32370" xr:uid="{00000000-0005-0000-0000-00007C160000}"/>
    <cellStyle name="Comma 2 2 2 4 6 7" xfId="32948" xr:uid="{00000000-0005-0000-0000-00007D160000}"/>
    <cellStyle name="Comma 2 2 2 4 6 8" xfId="33582" xr:uid="{00000000-0005-0000-0000-00007E160000}"/>
    <cellStyle name="Comma 2 2 2 4 6 9" xfId="34763" xr:uid="{00000000-0005-0000-0000-00007F160000}"/>
    <cellStyle name="Comma 2 2 2 4 7" xfId="11721" xr:uid="{00000000-0005-0000-0000-000080160000}"/>
    <cellStyle name="Comma 2 2 2 4 7 2" xfId="39786" xr:uid="{00000000-0005-0000-0000-000081160000}"/>
    <cellStyle name="Comma 2 2 2 4 7 3" xfId="42694" xr:uid="{00000000-0005-0000-0000-000082160000}"/>
    <cellStyle name="Comma 2 2 2 4 7 4" xfId="44323" xr:uid="{00000000-0005-0000-0000-000083160000}"/>
    <cellStyle name="Comma 2 2 2 4 8" xfId="15397" xr:uid="{00000000-0005-0000-0000-000084160000}"/>
    <cellStyle name="Comma 2 2 2 4 9" xfId="29895" xr:uid="{00000000-0005-0000-0000-000085160000}"/>
    <cellStyle name="Comma 2 2 2 5" xfId="2753" xr:uid="{00000000-0005-0000-0000-000086160000}"/>
    <cellStyle name="Comma 2 2 2 5 10" xfId="33583" xr:uid="{00000000-0005-0000-0000-000087160000}"/>
    <cellStyle name="Comma 2 2 2 5 11" xfId="34253" xr:uid="{00000000-0005-0000-0000-000088160000}"/>
    <cellStyle name="Comma 2 2 2 5 12" xfId="35315" xr:uid="{00000000-0005-0000-0000-000089160000}"/>
    <cellStyle name="Comma 2 2 2 5 13" xfId="36319" xr:uid="{00000000-0005-0000-0000-00008A160000}"/>
    <cellStyle name="Comma 2 2 2 5 14" xfId="37493" xr:uid="{00000000-0005-0000-0000-00008B160000}"/>
    <cellStyle name="Comma 2 2 2 5 15" xfId="41439" xr:uid="{00000000-0005-0000-0000-00008C160000}"/>
    <cellStyle name="Comma 2 2 2 5 16" xfId="44324" xr:uid="{00000000-0005-0000-0000-00008D160000}"/>
    <cellStyle name="Comma 2 2 2 5 17" xfId="8416" xr:uid="{00000000-0005-0000-0000-00008E160000}"/>
    <cellStyle name="Comma 2 2 2 5 2" xfId="5064" xr:uid="{00000000-0005-0000-0000-00008F160000}"/>
    <cellStyle name="Comma 2 2 2 5 2 10" xfId="34402" xr:uid="{00000000-0005-0000-0000-000090160000}"/>
    <cellStyle name="Comma 2 2 2 5 2 11" xfId="36019" xr:uid="{00000000-0005-0000-0000-000091160000}"/>
    <cellStyle name="Comma 2 2 2 5 2 12" xfId="36570" xr:uid="{00000000-0005-0000-0000-000092160000}"/>
    <cellStyle name="Comma 2 2 2 5 2 13" xfId="38798" xr:uid="{00000000-0005-0000-0000-000093160000}"/>
    <cellStyle name="Comma 2 2 2 5 2 14" xfId="41837" xr:uid="{00000000-0005-0000-0000-000094160000}"/>
    <cellStyle name="Comma 2 2 2 5 2 15" xfId="44325" xr:uid="{00000000-0005-0000-0000-000095160000}"/>
    <cellStyle name="Comma 2 2 2 5 2 16" xfId="8735" xr:uid="{00000000-0005-0000-0000-000096160000}"/>
    <cellStyle name="Comma 2 2 2 5 2 2" xfId="6033" xr:uid="{00000000-0005-0000-0000-000097160000}"/>
    <cellStyle name="Comma 2 2 2 5 2 2 2" xfId="31316" xr:uid="{00000000-0005-0000-0000-000098160000}"/>
    <cellStyle name="Comma 2 2 2 5 2 2 2 2" xfId="41203" xr:uid="{00000000-0005-0000-0000-000099160000}"/>
    <cellStyle name="Comma 2 2 2 5 2 2 2 3" xfId="43883" xr:uid="{00000000-0005-0000-0000-00009A160000}"/>
    <cellStyle name="Comma 2 2 2 5 2 2 2 4" xfId="44326" xr:uid="{00000000-0005-0000-0000-00009B160000}"/>
    <cellStyle name="Comma 2 2 2 5 2 2 3" xfId="33170" xr:uid="{00000000-0005-0000-0000-00009C160000}"/>
    <cellStyle name="Comma 2 2 2 5 2 2 4" xfId="34993" xr:uid="{00000000-0005-0000-0000-00009D160000}"/>
    <cellStyle name="Comma 2 2 2 5 2 2 5" xfId="37091" xr:uid="{00000000-0005-0000-0000-00009E160000}"/>
    <cellStyle name="Comma 2 2 2 5 2 2 6" xfId="39620" xr:uid="{00000000-0005-0000-0000-00009F160000}"/>
    <cellStyle name="Comma 2 2 2 5 2 2 7" xfId="42555" xr:uid="{00000000-0005-0000-0000-0000A0160000}"/>
    <cellStyle name="Comma 2 2 2 5 2 2 8" xfId="44327" xr:uid="{00000000-0005-0000-0000-0000A1160000}"/>
    <cellStyle name="Comma 2 2 2 5 2 2 9" xfId="12734" xr:uid="{00000000-0005-0000-0000-0000A2160000}"/>
    <cellStyle name="Comma 2 2 2 5 2 3" xfId="11951" xr:uid="{00000000-0005-0000-0000-0000A3160000}"/>
    <cellStyle name="Comma 2 2 2 5 2 3 2" xfId="40347" xr:uid="{00000000-0005-0000-0000-0000A4160000}"/>
    <cellStyle name="Comma 2 2 2 5 2 3 3" xfId="43165" xr:uid="{00000000-0005-0000-0000-0000A5160000}"/>
    <cellStyle name="Comma 2 2 2 5 2 3 4" xfId="44328" xr:uid="{00000000-0005-0000-0000-0000A6160000}"/>
    <cellStyle name="Comma 2 2 2 5 2 4" xfId="15409" xr:uid="{00000000-0005-0000-0000-0000A7160000}"/>
    <cellStyle name="Comma 2 2 2 5 2 5" xfId="29907" xr:uid="{00000000-0005-0000-0000-0000A8160000}"/>
    <cellStyle name="Comma 2 2 2 5 2 6" xfId="30725" xr:uid="{00000000-0005-0000-0000-0000A9160000}"/>
    <cellStyle name="Comma 2 2 2 5 2 7" xfId="31730" xr:uid="{00000000-0005-0000-0000-0000AA160000}"/>
    <cellStyle name="Comma 2 2 2 5 2 8" xfId="32372" xr:uid="{00000000-0005-0000-0000-0000AB160000}"/>
    <cellStyle name="Comma 2 2 2 5 2 9" xfId="33584" xr:uid="{00000000-0005-0000-0000-0000AC160000}"/>
    <cellStyle name="Comma 2 2 2 5 3" xfId="5718" xr:uid="{00000000-0005-0000-0000-0000AD160000}"/>
    <cellStyle name="Comma 2 2 2 5 3 2" xfId="31167" xr:uid="{00000000-0005-0000-0000-0000AE160000}"/>
    <cellStyle name="Comma 2 2 2 5 3 2 2" xfId="40041" xr:uid="{00000000-0005-0000-0000-0000AF160000}"/>
    <cellStyle name="Comma 2 2 2 5 3 2 3" xfId="42910" xr:uid="{00000000-0005-0000-0000-0000B0160000}"/>
    <cellStyle name="Comma 2 2 2 5 3 2 4" xfId="44329" xr:uid="{00000000-0005-0000-0000-0000B1160000}"/>
    <cellStyle name="Comma 2 2 2 5 3 3" xfId="33025" xr:uid="{00000000-0005-0000-0000-0000B2160000}"/>
    <cellStyle name="Comma 2 2 2 5 3 4" xfId="34844" xr:uid="{00000000-0005-0000-0000-0000B3160000}"/>
    <cellStyle name="Comma 2 2 2 5 3 5" xfId="36946" xr:uid="{00000000-0005-0000-0000-0000B4160000}"/>
    <cellStyle name="Comma 2 2 2 5 3 6" xfId="38085" xr:uid="{00000000-0005-0000-0000-0000B5160000}"/>
    <cellStyle name="Comma 2 2 2 5 3 7" xfId="41582" xr:uid="{00000000-0005-0000-0000-0000B6160000}"/>
    <cellStyle name="Comma 2 2 2 5 3 8" xfId="44330" xr:uid="{00000000-0005-0000-0000-0000B7160000}"/>
    <cellStyle name="Comma 2 2 2 5 3 9" xfId="12524" xr:uid="{00000000-0005-0000-0000-0000B8160000}"/>
    <cellStyle name="Comma 2 2 2 5 4" xfId="6353" xr:uid="{00000000-0005-0000-0000-0000B9160000}"/>
    <cellStyle name="Comma 2 2 2 5 4 2" xfId="40586" xr:uid="{00000000-0005-0000-0000-0000BA160000}"/>
    <cellStyle name="Comma 2 2 2 5 4 2 2" xfId="43372" xr:uid="{00000000-0005-0000-0000-0000BB160000}"/>
    <cellStyle name="Comma 2 2 2 5 4 2 3" xfId="44331" xr:uid="{00000000-0005-0000-0000-0000BC160000}"/>
    <cellStyle name="Comma 2 2 2 5 4 3" xfId="39018" xr:uid="{00000000-0005-0000-0000-0000BD160000}"/>
    <cellStyle name="Comma 2 2 2 5 4 4" xfId="42044" xr:uid="{00000000-0005-0000-0000-0000BE160000}"/>
    <cellStyle name="Comma 2 2 2 5 4 5" xfId="44332" xr:uid="{00000000-0005-0000-0000-0000BF160000}"/>
    <cellStyle name="Comma 2 2 2 5 4 6" xfId="11802" xr:uid="{00000000-0005-0000-0000-0000C0160000}"/>
    <cellStyle name="Comma 2 2 2 5 5" xfId="15408" xr:uid="{00000000-0005-0000-0000-0000C1160000}"/>
    <cellStyle name="Comma 2 2 2 5 5 2" xfId="40893" xr:uid="{00000000-0005-0000-0000-0000C2160000}"/>
    <cellStyle name="Comma 2 2 2 5 5 2 2" xfId="43628" xr:uid="{00000000-0005-0000-0000-0000C3160000}"/>
    <cellStyle name="Comma 2 2 2 5 5 2 3" xfId="44333" xr:uid="{00000000-0005-0000-0000-0000C4160000}"/>
    <cellStyle name="Comma 2 2 2 5 5 3" xfId="39322" xr:uid="{00000000-0005-0000-0000-0000C5160000}"/>
    <cellStyle name="Comma 2 2 2 5 5 4" xfId="42300" xr:uid="{00000000-0005-0000-0000-0000C6160000}"/>
    <cellStyle name="Comma 2 2 2 5 5 5" xfId="44334" xr:uid="{00000000-0005-0000-0000-0000C7160000}"/>
    <cellStyle name="Comma 2 2 2 5 6" xfId="29906" xr:uid="{00000000-0005-0000-0000-0000C8160000}"/>
    <cellStyle name="Comma 2 2 2 5 6 2" xfId="39868" xr:uid="{00000000-0005-0000-0000-0000C9160000}"/>
    <cellStyle name="Comma 2 2 2 5 6 3" xfId="42767" xr:uid="{00000000-0005-0000-0000-0000CA160000}"/>
    <cellStyle name="Comma 2 2 2 5 6 4" xfId="44335" xr:uid="{00000000-0005-0000-0000-0000CB160000}"/>
    <cellStyle name="Comma 2 2 2 5 7" xfId="30576" xr:uid="{00000000-0005-0000-0000-0000CC160000}"/>
    <cellStyle name="Comma 2 2 2 5 8" xfId="31729" xr:uid="{00000000-0005-0000-0000-0000CD160000}"/>
    <cellStyle name="Comma 2 2 2 5 9" xfId="32371" xr:uid="{00000000-0005-0000-0000-0000CE160000}"/>
    <cellStyle name="Comma 2 2 2 6" xfId="4538" xr:uid="{00000000-0005-0000-0000-0000CF160000}"/>
    <cellStyle name="Comma 2 2 2 6 10" xfId="33585" xr:uid="{00000000-0005-0000-0000-0000D0160000}"/>
    <cellStyle name="Comma 2 2 2 6 11" xfId="34193" xr:uid="{00000000-0005-0000-0000-0000D1160000}"/>
    <cellStyle name="Comma 2 2 2 6 12" xfId="35699" xr:uid="{00000000-0005-0000-0000-0000D2160000}"/>
    <cellStyle name="Comma 2 2 2 6 13" xfId="36286" xr:uid="{00000000-0005-0000-0000-0000D3160000}"/>
    <cellStyle name="Comma 2 2 2 6 14" xfId="38764" xr:uid="{00000000-0005-0000-0000-0000D4160000}"/>
    <cellStyle name="Comma 2 2 2 6 15" xfId="41804" xr:uid="{00000000-0005-0000-0000-0000D5160000}"/>
    <cellStyle name="Comma 2 2 2 6 16" xfId="44336" xr:uid="{00000000-0005-0000-0000-0000D6160000}"/>
    <cellStyle name="Comma 2 2 2 6 17" xfId="8084" xr:uid="{00000000-0005-0000-0000-0000D7160000}"/>
    <cellStyle name="Comma 2 2 2 6 2" xfId="5987" xr:uid="{00000000-0005-0000-0000-0000D8160000}"/>
    <cellStyle name="Comma 2 2 2 6 2 10" xfId="34403" xr:uid="{00000000-0005-0000-0000-0000D9160000}"/>
    <cellStyle name="Comma 2 2 2 6 2 11" xfId="36571" xr:uid="{00000000-0005-0000-0000-0000DA160000}"/>
    <cellStyle name="Comma 2 2 2 6 2 12" xfId="38982" xr:uid="{00000000-0005-0000-0000-0000DB160000}"/>
    <cellStyle name="Comma 2 2 2 6 2 13" xfId="42011" xr:uid="{00000000-0005-0000-0000-0000DC160000}"/>
    <cellStyle name="Comma 2 2 2 6 2 14" xfId="44337" xr:uid="{00000000-0005-0000-0000-0000DD160000}"/>
    <cellStyle name="Comma 2 2 2 6 2 15" xfId="8736" xr:uid="{00000000-0005-0000-0000-0000DE160000}"/>
    <cellStyle name="Comma 2 2 2 6 2 2" xfId="12735" xr:uid="{00000000-0005-0000-0000-0000DF160000}"/>
    <cellStyle name="Comma 2 2 2 6 2 2 2" xfId="31317" xr:uid="{00000000-0005-0000-0000-0000E0160000}"/>
    <cellStyle name="Comma 2 2 2 6 2 2 3" xfId="33171" xr:uid="{00000000-0005-0000-0000-0000E1160000}"/>
    <cellStyle name="Comma 2 2 2 6 2 2 4" xfId="34994" xr:uid="{00000000-0005-0000-0000-0000E2160000}"/>
    <cellStyle name="Comma 2 2 2 6 2 2 5" xfId="37092" xr:uid="{00000000-0005-0000-0000-0000E3160000}"/>
    <cellStyle name="Comma 2 2 2 6 2 2 6" xfId="40545" xr:uid="{00000000-0005-0000-0000-0000E4160000}"/>
    <cellStyle name="Comma 2 2 2 6 2 2 7" xfId="43339" xr:uid="{00000000-0005-0000-0000-0000E5160000}"/>
    <cellStyle name="Comma 2 2 2 6 2 2 8" xfId="44338" xr:uid="{00000000-0005-0000-0000-0000E6160000}"/>
    <cellStyle name="Comma 2 2 2 6 2 3" xfId="11952" xr:uid="{00000000-0005-0000-0000-0000E7160000}"/>
    <cellStyle name="Comma 2 2 2 6 2 4" xfId="15411" xr:uid="{00000000-0005-0000-0000-0000E8160000}"/>
    <cellStyle name="Comma 2 2 2 6 2 5" xfId="29909" xr:uid="{00000000-0005-0000-0000-0000E9160000}"/>
    <cellStyle name="Comma 2 2 2 6 2 6" xfId="30726" xr:uid="{00000000-0005-0000-0000-0000EA160000}"/>
    <cellStyle name="Comma 2 2 2 6 2 7" xfId="31732" xr:uid="{00000000-0005-0000-0000-0000EB160000}"/>
    <cellStyle name="Comma 2 2 2 6 2 8" xfId="32374" xr:uid="{00000000-0005-0000-0000-0000EC160000}"/>
    <cellStyle name="Comma 2 2 2 6 2 9" xfId="33586" xr:uid="{00000000-0005-0000-0000-0000ED160000}"/>
    <cellStyle name="Comma 2 2 2 6 3" xfId="6308" xr:uid="{00000000-0005-0000-0000-0000EE160000}"/>
    <cellStyle name="Comma 2 2 2 6 3 2" xfId="31107" xr:uid="{00000000-0005-0000-0000-0000EF160000}"/>
    <cellStyle name="Comma 2 2 2 6 3 2 2" xfId="41160" xr:uid="{00000000-0005-0000-0000-0000F0160000}"/>
    <cellStyle name="Comma 2 2 2 6 3 2 3" xfId="43850" xr:uid="{00000000-0005-0000-0000-0000F1160000}"/>
    <cellStyle name="Comma 2 2 2 6 3 2 4" xfId="44339" xr:uid="{00000000-0005-0000-0000-0000F2160000}"/>
    <cellStyle name="Comma 2 2 2 6 3 3" xfId="32969" xr:uid="{00000000-0005-0000-0000-0000F3160000}"/>
    <cellStyle name="Comma 2 2 2 6 3 4" xfId="34784" xr:uid="{00000000-0005-0000-0000-0000F4160000}"/>
    <cellStyle name="Comma 2 2 2 6 3 5" xfId="36890" xr:uid="{00000000-0005-0000-0000-0000F5160000}"/>
    <cellStyle name="Comma 2 2 2 6 3 6" xfId="39579" xr:uid="{00000000-0005-0000-0000-0000F6160000}"/>
    <cellStyle name="Comma 2 2 2 6 3 7" xfId="42522" xr:uid="{00000000-0005-0000-0000-0000F7160000}"/>
    <cellStyle name="Comma 2 2 2 6 3 8" xfId="44340" xr:uid="{00000000-0005-0000-0000-0000F8160000}"/>
    <cellStyle name="Comma 2 2 2 6 3 9" xfId="12396" xr:uid="{00000000-0005-0000-0000-0000F9160000}"/>
    <cellStyle name="Comma 2 2 2 6 4" xfId="11742" xr:uid="{00000000-0005-0000-0000-0000FA160000}"/>
    <cellStyle name="Comma 2 2 2 6 4 2" xfId="40305" xr:uid="{00000000-0005-0000-0000-0000FB160000}"/>
    <cellStyle name="Comma 2 2 2 6 4 3" xfId="43132" xr:uid="{00000000-0005-0000-0000-0000FC160000}"/>
    <cellStyle name="Comma 2 2 2 6 4 4" xfId="44341" xr:uid="{00000000-0005-0000-0000-0000FD160000}"/>
    <cellStyle name="Comma 2 2 2 6 5" xfId="15410" xr:uid="{00000000-0005-0000-0000-0000FE160000}"/>
    <cellStyle name="Comma 2 2 2 6 6" xfId="29908" xr:uid="{00000000-0005-0000-0000-0000FF160000}"/>
    <cellStyle name="Comma 2 2 2 6 7" xfId="30516" xr:uid="{00000000-0005-0000-0000-000000170000}"/>
    <cellStyle name="Comma 2 2 2 6 8" xfId="31731" xr:uid="{00000000-0005-0000-0000-000001170000}"/>
    <cellStyle name="Comma 2 2 2 6 9" xfId="32373" xr:uid="{00000000-0005-0000-0000-000002170000}"/>
    <cellStyle name="Comma 2 2 2 7" xfId="4405" xr:uid="{00000000-0005-0000-0000-000003170000}"/>
    <cellStyle name="Comma 2 2 2 7 10" xfId="34404" xr:uid="{00000000-0005-0000-0000-000004170000}"/>
    <cellStyle name="Comma 2 2 2 7 11" xfId="35588" xr:uid="{00000000-0005-0000-0000-000005170000}"/>
    <cellStyle name="Comma 2 2 2 7 12" xfId="36572" xr:uid="{00000000-0005-0000-0000-000006170000}"/>
    <cellStyle name="Comma 2 2 2 7 13" xfId="38657" xr:uid="{00000000-0005-0000-0000-000007170000}"/>
    <cellStyle name="Comma 2 2 2 7 14" xfId="41697" xr:uid="{00000000-0005-0000-0000-000008170000}"/>
    <cellStyle name="Comma 2 2 2 7 15" xfId="44342" xr:uid="{00000000-0005-0000-0000-000009170000}"/>
    <cellStyle name="Comma 2 2 2 7 16" xfId="8737" xr:uid="{00000000-0005-0000-0000-00000A170000}"/>
    <cellStyle name="Comma 2 2 2 7 2" xfId="5856" xr:uid="{00000000-0005-0000-0000-00000B170000}"/>
    <cellStyle name="Comma 2 2 2 7 2 2" xfId="31318" xr:uid="{00000000-0005-0000-0000-00000C170000}"/>
    <cellStyle name="Comma 2 2 2 7 2 2 2" xfId="40723" xr:uid="{00000000-0005-0000-0000-00000D170000}"/>
    <cellStyle name="Comma 2 2 2 7 2 2 3" xfId="43486" xr:uid="{00000000-0005-0000-0000-00000E170000}"/>
    <cellStyle name="Comma 2 2 2 7 2 2 4" xfId="44343" xr:uid="{00000000-0005-0000-0000-00000F170000}"/>
    <cellStyle name="Comma 2 2 2 7 2 3" xfId="33172" xr:uid="{00000000-0005-0000-0000-000010170000}"/>
    <cellStyle name="Comma 2 2 2 7 2 4" xfId="34995" xr:uid="{00000000-0005-0000-0000-000011170000}"/>
    <cellStyle name="Comma 2 2 2 7 2 5" xfId="37093" xr:uid="{00000000-0005-0000-0000-000012170000}"/>
    <cellStyle name="Comma 2 2 2 7 2 6" xfId="39150" xr:uid="{00000000-0005-0000-0000-000013170000}"/>
    <cellStyle name="Comma 2 2 2 7 2 7" xfId="42158" xr:uid="{00000000-0005-0000-0000-000014170000}"/>
    <cellStyle name="Comma 2 2 2 7 2 8" xfId="44344" xr:uid="{00000000-0005-0000-0000-000015170000}"/>
    <cellStyle name="Comma 2 2 2 7 2 9" xfId="12736" xr:uid="{00000000-0005-0000-0000-000016170000}"/>
    <cellStyle name="Comma 2 2 2 7 3" xfId="11953" xr:uid="{00000000-0005-0000-0000-000017170000}"/>
    <cellStyle name="Comma 2 2 2 7 3 2" xfId="41031" xr:uid="{00000000-0005-0000-0000-000018170000}"/>
    <cellStyle name="Comma 2 2 2 7 3 2 2" xfId="43743" xr:uid="{00000000-0005-0000-0000-000019170000}"/>
    <cellStyle name="Comma 2 2 2 7 3 2 3" xfId="44345" xr:uid="{00000000-0005-0000-0000-00001A170000}"/>
    <cellStyle name="Comma 2 2 2 7 3 3" xfId="39455" xr:uid="{00000000-0005-0000-0000-00001B170000}"/>
    <cellStyle name="Comma 2 2 2 7 3 4" xfId="42415" xr:uid="{00000000-0005-0000-0000-00001C170000}"/>
    <cellStyle name="Comma 2 2 2 7 3 5" xfId="44346" xr:uid="{00000000-0005-0000-0000-00001D170000}"/>
    <cellStyle name="Comma 2 2 2 7 4" xfId="15412" xr:uid="{00000000-0005-0000-0000-00001E170000}"/>
    <cellStyle name="Comma 2 2 2 7 4 2" xfId="40176" xr:uid="{00000000-0005-0000-0000-00001F170000}"/>
    <cellStyle name="Comma 2 2 2 7 4 3" xfId="43025" xr:uid="{00000000-0005-0000-0000-000020170000}"/>
    <cellStyle name="Comma 2 2 2 7 4 4" xfId="44347" xr:uid="{00000000-0005-0000-0000-000021170000}"/>
    <cellStyle name="Comma 2 2 2 7 5" xfId="29910" xr:uid="{00000000-0005-0000-0000-000022170000}"/>
    <cellStyle name="Comma 2 2 2 7 6" xfId="30727" xr:uid="{00000000-0005-0000-0000-000023170000}"/>
    <cellStyle name="Comma 2 2 2 7 7" xfId="31733" xr:uid="{00000000-0005-0000-0000-000024170000}"/>
    <cellStyle name="Comma 2 2 2 7 8" xfId="32375" xr:uid="{00000000-0005-0000-0000-000025170000}"/>
    <cellStyle name="Comma 2 2 2 7 9" xfId="33587" xr:uid="{00000000-0005-0000-0000-000026170000}"/>
    <cellStyle name="Comma 2 2 2 8" xfId="5666" xr:uid="{00000000-0005-0000-0000-000027170000}"/>
    <cellStyle name="Comma 2 2 2 8 10" xfId="34381" xr:uid="{00000000-0005-0000-0000-000028170000}"/>
    <cellStyle name="Comma 2 2 2 8 11" xfId="36549" xr:uid="{00000000-0005-0000-0000-000029170000}"/>
    <cellStyle name="Comma 2 2 2 8 12" xfId="37609" xr:uid="{00000000-0005-0000-0000-00002A170000}"/>
    <cellStyle name="Comma 2 2 2 8 13" xfId="41549" xr:uid="{00000000-0005-0000-0000-00002B170000}"/>
    <cellStyle name="Comma 2 2 2 8 14" xfId="44348" xr:uid="{00000000-0005-0000-0000-00002C170000}"/>
    <cellStyle name="Comma 2 2 2 8 15" xfId="8714" xr:uid="{00000000-0005-0000-0000-00002D170000}"/>
    <cellStyle name="Comma 2 2 2 8 2" xfId="12713" xr:uid="{00000000-0005-0000-0000-00002E170000}"/>
    <cellStyle name="Comma 2 2 2 8 2 2" xfId="31295" xr:uid="{00000000-0005-0000-0000-00002F170000}"/>
    <cellStyle name="Comma 2 2 2 8 2 3" xfId="33149" xr:uid="{00000000-0005-0000-0000-000030170000}"/>
    <cellStyle name="Comma 2 2 2 8 2 4" xfId="34972" xr:uid="{00000000-0005-0000-0000-000031170000}"/>
    <cellStyle name="Comma 2 2 2 8 2 5" xfId="37070" xr:uid="{00000000-0005-0000-0000-000032170000}"/>
    <cellStyle name="Comma 2 2 2 8 2 6" xfId="40000" xr:uid="{00000000-0005-0000-0000-000033170000}"/>
    <cellStyle name="Comma 2 2 2 8 2 7" xfId="42877" xr:uid="{00000000-0005-0000-0000-000034170000}"/>
    <cellStyle name="Comma 2 2 2 8 2 8" xfId="44349" xr:uid="{00000000-0005-0000-0000-000035170000}"/>
    <cellStyle name="Comma 2 2 2 8 3" xfId="11930" xr:uid="{00000000-0005-0000-0000-000036170000}"/>
    <cellStyle name="Comma 2 2 2 8 4" xfId="15413" xr:uid="{00000000-0005-0000-0000-000037170000}"/>
    <cellStyle name="Comma 2 2 2 8 5" xfId="29911" xr:uid="{00000000-0005-0000-0000-000038170000}"/>
    <cellStyle name="Comma 2 2 2 8 6" xfId="30704" xr:uid="{00000000-0005-0000-0000-000039170000}"/>
    <cellStyle name="Comma 2 2 2 8 7" xfId="31734" xr:uid="{00000000-0005-0000-0000-00003A170000}"/>
    <cellStyle name="Comma 2 2 2 8 8" xfId="32376" xr:uid="{00000000-0005-0000-0000-00003B170000}"/>
    <cellStyle name="Comma 2 2 2 8 9" xfId="33588" xr:uid="{00000000-0005-0000-0000-00003C170000}"/>
    <cellStyle name="Comma 2 2 2 9" xfId="6177" xr:uid="{00000000-0005-0000-0000-00003D170000}"/>
    <cellStyle name="Comma 2 2 2 9 10" xfId="34618" xr:uid="{00000000-0005-0000-0000-00003E170000}"/>
    <cellStyle name="Comma 2 2 2 9 11" xfId="36746" xr:uid="{00000000-0005-0000-0000-00003F170000}"/>
    <cellStyle name="Comma 2 2 2 9 12" xfId="38921" xr:uid="{00000000-0005-0000-0000-000040170000}"/>
    <cellStyle name="Comma 2 2 2 9 13" xfId="41952" xr:uid="{00000000-0005-0000-0000-000041170000}"/>
    <cellStyle name="Comma 2 2 2 9 14" xfId="44350" xr:uid="{00000000-0005-0000-0000-000042170000}"/>
    <cellStyle name="Comma 2 2 2 9 15" xfId="11504" xr:uid="{00000000-0005-0000-0000-000043170000}"/>
    <cellStyle name="Comma 2 2 2 9 2" xfId="15125" xr:uid="{00000000-0005-0000-0000-000044170000}"/>
    <cellStyle name="Comma 2 2 2 9 2 2" xfId="31532" xr:uid="{00000000-0005-0000-0000-000045170000}"/>
    <cellStyle name="Comma 2 2 2 9 2 3" xfId="33385" xr:uid="{00000000-0005-0000-0000-000046170000}"/>
    <cellStyle name="Comma 2 2 2 9 2 4" xfId="35209" xr:uid="{00000000-0005-0000-0000-000047170000}"/>
    <cellStyle name="Comma 2 2 2 9 2 5" xfId="37289" xr:uid="{00000000-0005-0000-0000-000048170000}"/>
    <cellStyle name="Comma 2 2 2 9 2 6" xfId="40479" xr:uid="{00000000-0005-0000-0000-000049170000}"/>
    <cellStyle name="Comma 2 2 2 9 2 7" xfId="43280" xr:uid="{00000000-0005-0000-0000-00004A170000}"/>
    <cellStyle name="Comma 2 2 2 9 2 8" xfId="44351" xr:uid="{00000000-0005-0000-0000-00004B170000}"/>
    <cellStyle name="Comma 2 2 2 9 3" xfId="12167" xr:uid="{00000000-0005-0000-0000-00004C170000}"/>
    <cellStyle name="Comma 2 2 2 9 4" xfId="15414" xr:uid="{00000000-0005-0000-0000-00004D170000}"/>
    <cellStyle name="Comma 2 2 2 9 5" xfId="29912" xr:uid="{00000000-0005-0000-0000-00004E170000}"/>
    <cellStyle name="Comma 2 2 2 9 6" xfId="30941" xr:uid="{00000000-0005-0000-0000-00004F170000}"/>
    <cellStyle name="Comma 2 2 2 9 7" xfId="31735" xr:uid="{00000000-0005-0000-0000-000050170000}"/>
    <cellStyle name="Comma 2 2 2 9 8" xfId="32377" xr:uid="{00000000-0005-0000-0000-000051170000}"/>
    <cellStyle name="Comma 2 2 2 9 9" xfId="33589" xr:uid="{00000000-0005-0000-0000-000052170000}"/>
    <cellStyle name="Comma 2 2 20" xfId="29848" xr:uid="{00000000-0005-0000-0000-000053170000}"/>
    <cellStyle name="Comma 2 2 21" xfId="30424" xr:uid="{00000000-0005-0000-0000-000054170000}"/>
    <cellStyle name="Comma 2 2 22" xfId="31671" xr:uid="{00000000-0005-0000-0000-000055170000}"/>
    <cellStyle name="Comma 2 2 23" xfId="32313" xr:uid="{00000000-0005-0000-0000-000056170000}"/>
    <cellStyle name="Comma 2 2 24" xfId="33525" xr:uid="{00000000-0005-0000-0000-000057170000}"/>
    <cellStyle name="Comma 2 2 25" xfId="34101" xr:uid="{00000000-0005-0000-0000-000058170000}"/>
    <cellStyle name="Comma 2 2 26" xfId="35278" xr:uid="{00000000-0005-0000-0000-000059170000}"/>
    <cellStyle name="Comma 2 2 27" xfId="36176" xr:uid="{00000000-0005-0000-0000-00005A170000}"/>
    <cellStyle name="Comma 2 2 28" xfId="37385" xr:uid="{00000000-0005-0000-0000-00005B170000}"/>
    <cellStyle name="Comma 2 2 29" xfId="41333" xr:uid="{00000000-0005-0000-0000-00005C170000}"/>
    <cellStyle name="Comma 2 2 3" xfId="1026" xr:uid="{00000000-0005-0000-0000-00005D170000}"/>
    <cellStyle name="Comma 2 2 3 10" xfId="6182" xr:uid="{00000000-0005-0000-0000-00005E170000}"/>
    <cellStyle name="Comma 2 2 3 10 10" xfId="34619" xr:uid="{00000000-0005-0000-0000-00005F170000}"/>
    <cellStyle name="Comma 2 2 3 10 11" xfId="36747" xr:uid="{00000000-0005-0000-0000-000060170000}"/>
    <cellStyle name="Comma 2 2 3 10 12" xfId="38925" xr:uid="{00000000-0005-0000-0000-000061170000}"/>
    <cellStyle name="Comma 2 2 3 10 13" xfId="41956" xr:uid="{00000000-0005-0000-0000-000062170000}"/>
    <cellStyle name="Comma 2 2 3 10 14" xfId="44352" xr:uid="{00000000-0005-0000-0000-000063170000}"/>
    <cellStyle name="Comma 2 2 3 10 15" xfId="11505" xr:uid="{00000000-0005-0000-0000-000064170000}"/>
    <cellStyle name="Comma 2 2 3 10 2" xfId="15126" xr:uid="{00000000-0005-0000-0000-000065170000}"/>
    <cellStyle name="Comma 2 2 3 10 2 2" xfId="31533" xr:uid="{00000000-0005-0000-0000-000066170000}"/>
    <cellStyle name="Comma 2 2 3 10 2 3" xfId="33386" xr:uid="{00000000-0005-0000-0000-000067170000}"/>
    <cellStyle name="Comma 2 2 3 10 2 4" xfId="35210" xr:uid="{00000000-0005-0000-0000-000068170000}"/>
    <cellStyle name="Comma 2 2 3 10 2 5" xfId="37290" xr:uid="{00000000-0005-0000-0000-000069170000}"/>
    <cellStyle name="Comma 2 2 3 10 2 6" xfId="40483" xr:uid="{00000000-0005-0000-0000-00006A170000}"/>
    <cellStyle name="Comma 2 2 3 10 2 7" xfId="43284" xr:uid="{00000000-0005-0000-0000-00006B170000}"/>
    <cellStyle name="Comma 2 2 3 10 2 8" xfId="44353" xr:uid="{00000000-0005-0000-0000-00006C170000}"/>
    <cellStyle name="Comma 2 2 3 10 3" xfId="12168" xr:uid="{00000000-0005-0000-0000-00006D170000}"/>
    <cellStyle name="Comma 2 2 3 10 4" xfId="15416" xr:uid="{00000000-0005-0000-0000-00006E170000}"/>
    <cellStyle name="Comma 2 2 3 10 5" xfId="29914" xr:uid="{00000000-0005-0000-0000-00006F170000}"/>
    <cellStyle name="Comma 2 2 3 10 6" xfId="30942" xr:uid="{00000000-0005-0000-0000-000070170000}"/>
    <cellStyle name="Comma 2 2 3 10 7" xfId="31737" xr:uid="{00000000-0005-0000-0000-000071170000}"/>
    <cellStyle name="Comma 2 2 3 10 8" xfId="32379" xr:uid="{00000000-0005-0000-0000-000072170000}"/>
    <cellStyle name="Comma 2 2 3 10 9" xfId="33591" xr:uid="{00000000-0005-0000-0000-000073170000}"/>
    <cellStyle name="Comma 2 2 3 11" xfId="12246" xr:uid="{00000000-0005-0000-0000-000074170000}"/>
    <cellStyle name="Comma 2 2 3 11 10" xfId="39287" xr:uid="{00000000-0005-0000-0000-000075170000}"/>
    <cellStyle name="Comma 2 2 3 11 11" xfId="42268" xr:uid="{00000000-0005-0000-0000-000076170000}"/>
    <cellStyle name="Comma 2 2 3 11 12" xfId="44354" xr:uid="{00000000-0005-0000-0000-000077170000}"/>
    <cellStyle name="Comma 2 2 3 11 2" xfId="15417" xr:uid="{00000000-0005-0000-0000-000078170000}"/>
    <cellStyle name="Comma 2 2 3 11 2 2" xfId="40852" xr:uid="{00000000-0005-0000-0000-000079170000}"/>
    <cellStyle name="Comma 2 2 3 11 2 3" xfId="43596" xr:uid="{00000000-0005-0000-0000-00007A170000}"/>
    <cellStyle name="Comma 2 2 3 11 2 4" xfId="44355" xr:uid="{00000000-0005-0000-0000-00007B170000}"/>
    <cellStyle name="Comma 2 2 3 11 3" xfId="29915" xr:uid="{00000000-0005-0000-0000-00007C170000}"/>
    <cellStyle name="Comma 2 2 3 11 4" xfId="31019" xr:uid="{00000000-0005-0000-0000-00007D170000}"/>
    <cellStyle name="Comma 2 2 3 11 5" xfId="31738" xr:uid="{00000000-0005-0000-0000-00007E170000}"/>
    <cellStyle name="Comma 2 2 3 11 6" xfId="32380" xr:uid="{00000000-0005-0000-0000-00007F170000}"/>
    <cellStyle name="Comma 2 2 3 11 7" xfId="33592" xr:uid="{00000000-0005-0000-0000-000080170000}"/>
    <cellStyle name="Comma 2 2 3 11 8" xfId="34696" xr:uid="{00000000-0005-0000-0000-000081170000}"/>
    <cellStyle name="Comma 2 2 3 11 9" xfId="36804" xr:uid="{00000000-0005-0000-0000-000082170000}"/>
    <cellStyle name="Comma 2 2 3 12" xfId="11652" xr:uid="{00000000-0005-0000-0000-000083170000}"/>
    <cellStyle name="Comma 2 2 3 12 2" xfId="39750" xr:uid="{00000000-0005-0000-0000-000084170000}"/>
    <cellStyle name="Comma 2 2 3 12 3" xfId="42663" xr:uid="{00000000-0005-0000-0000-000085170000}"/>
    <cellStyle name="Comma 2 2 3 12 4" xfId="44356" xr:uid="{00000000-0005-0000-0000-000086170000}"/>
    <cellStyle name="Comma 2 2 3 13" xfId="15415" xr:uid="{00000000-0005-0000-0000-000087170000}"/>
    <cellStyle name="Comma 2 2 3 14" xfId="29913" xr:uid="{00000000-0005-0000-0000-000088170000}"/>
    <cellStyle name="Comma 2 2 3 15" xfId="30428" xr:uid="{00000000-0005-0000-0000-000089170000}"/>
    <cellStyle name="Comma 2 2 3 16" xfId="31736" xr:uid="{00000000-0005-0000-0000-00008A170000}"/>
    <cellStyle name="Comma 2 2 3 17" xfId="32378" xr:uid="{00000000-0005-0000-0000-00008B170000}"/>
    <cellStyle name="Comma 2 2 3 18" xfId="33590" xr:uid="{00000000-0005-0000-0000-00008C170000}"/>
    <cellStyle name="Comma 2 2 3 19" xfId="34105" xr:uid="{00000000-0005-0000-0000-00008D170000}"/>
    <cellStyle name="Comma 2 2 3 2" xfId="2759" xr:uid="{00000000-0005-0000-0000-00008E170000}"/>
    <cellStyle name="Comma 2 2 3 2 10" xfId="29916" xr:uid="{00000000-0005-0000-0000-00008F170000}"/>
    <cellStyle name="Comma 2 2 3 2 11" xfId="30429" xr:uid="{00000000-0005-0000-0000-000090170000}"/>
    <cellStyle name="Comma 2 2 3 2 12" xfId="31739" xr:uid="{00000000-0005-0000-0000-000091170000}"/>
    <cellStyle name="Comma 2 2 3 2 13" xfId="32381" xr:uid="{00000000-0005-0000-0000-000092170000}"/>
    <cellStyle name="Comma 2 2 3 2 14" xfId="33593" xr:uid="{00000000-0005-0000-0000-000093170000}"/>
    <cellStyle name="Comma 2 2 3 2 15" xfId="34106" xr:uid="{00000000-0005-0000-0000-000094170000}"/>
    <cellStyle name="Comma 2 2 3 2 16" xfId="35321" xr:uid="{00000000-0005-0000-0000-000095170000}"/>
    <cellStyle name="Comma 2 2 3 2 17" xfId="36184" xr:uid="{00000000-0005-0000-0000-000096170000}"/>
    <cellStyle name="Comma 2 2 3 2 18" xfId="37424" xr:uid="{00000000-0005-0000-0000-000097170000}"/>
    <cellStyle name="Comma 2 2 3 2 19" xfId="41371" xr:uid="{00000000-0005-0000-0000-000098170000}"/>
    <cellStyle name="Comma 2 2 3 2 2" xfId="5070" xr:uid="{00000000-0005-0000-0000-000099170000}"/>
    <cellStyle name="Comma 2 2 3 2 2 10" xfId="32382" xr:uid="{00000000-0005-0000-0000-00009A170000}"/>
    <cellStyle name="Comma 2 2 3 2 2 11" xfId="33594" xr:uid="{00000000-0005-0000-0000-00009B170000}"/>
    <cellStyle name="Comma 2 2 3 2 2 12" xfId="34144" xr:uid="{00000000-0005-0000-0000-00009C170000}"/>
    <cellStyle name="Comma 2 2 3 2 2 13" xfId="36025" xr:uid="{00000000-0005-0000-0000-00009D170000}"/>
    <cellStyle name="Comma 2 2 3 2 2 14" xfId="36325" xr:uid="{00000000-0005-0000-0000-00009E170000}"/>
    <cellStyle name="Comma 2 2 3 2 2 15" xfId="37498" xr:uid="{00000000-0005-0000-0000-00009F170000}"/>
    <cellStyle name="Comma 2 2 3 2 2 16" xfId="41444" xr:uid="{00000000-0005-0000-0000-0000A0170000}"/>
    <cellStyle name="Comma 2 2 3 2 2 17" xfId="44357" xr:uid="{00000000-0005-0000-0000-0000A1170000}"/>
    <cellStyle name="Comma 2 2 3 2 2 18" xfId="6657" xr:uid="{00000000-0005-0000-0000-0000A2170000}"/>
    <cellStyle name="Comma 2 2 3 2 2 2" xfId="6039" xr:uid="{00000000-0005-0000-0000-0000A3170000}"/>
    <cellStyle name="Comma 2 2 3 2 2 2 10" xfId="33595" xr:uid="{00000000-0005-0000-0000-0000A4170000}"/>
    <cellStyle name="Comma 2 2 3 2 2 2 11" xfId="34296" xr:uid="{00000000-0005-0000-0000-0000A5170000}"/>
    <cellStyle name="Comma 2 2 3 2 2 2 12" xfId="36482" xr:uid="{00000000-0005-0000-0000-0000A6170000}"/>
    <cellStyle name="Comma 2 2 3 2 2 2 13" xfId="38804" xr:uid="{00000000-0005-0000-0000-0000A7170000}"/>
    <cellStyle name="Comma 2 2 3 2 2 2 14" xfId="41843" xr:uid="{00000000-0005-0000-0000-0000A8170000}"/>
    <cellStyle name="Comma 2 2 3 2 2 2 15" xfId="44358" xr:uid="{00000000-0005-0000-0000-0000A9170000}"/>
    <cellStyle name="Comma 2 2 3 2 2 2 16" xfId="8533" xr:uid="{00000000-0005-0000-0000-0000AA170000}"/>
    <cellStyle name="Comma 2 2 3 2 2 2 2" xfId="8741" xr:uid="{00000000-0005-0000-0000-0000AB170000}"/>
    <cellStyle name="Comma 2 2 3 2 2 2 2 10" xfId="34408" xr:uid="{00000000-0005-0000-0000-0000AC170000}"/>
    <cellStyle name="Comma 2 2 3 2 2 2 2 11" xfId="36576" xr:uid="{00000000-0005-0000-0000-0000AD170000}"/>
    <cellStyle name="Comma 2 2 3 2 2 2 2 12" xfId="40353" xr:uid="{00000000-0005-0000-0000-0000AE170000}"/>
    <cellStyle name="Comma 2 2 3 2 2 2 2 13" xfId="43171" xr:uid="{00000000-0005-0000-0000-0000AF170000}"/>
    <cellStyle name="Comma 2 2 3 2 2 2 2 14" xfId="44359" xr:uid="{00000000-0005-0000-0000-0000B0170000}"/>
    <cellStyle name="Comma 2 2 3 2 2 2 2 2" xfId="12740" xr:uid="{00000000-0005-0000-0000-0000B1170000}"/>
    <cellStyle name="Comma 2 2 3 2 2 2 2 2 2" xfId="31322" xr:uid="{00000000-0005-0000-0000-0000B2170000}"/>
    <cellStyle name="Comma 2 2 3 2 2 2 2 2 3" xfId="33176" xr:uid="{00000000-0005-0000-0000-0000B3170000}"/>
    <cellStyle name="Comma 2 2 3 2 2 2 2 2 4" xfId="34999" xr:uid="{00000000-0005-0000-0000-0000B4170000}"/>
    <cellStyle name="Comma 2 2 3 2 2 2 2 2 5" xfId="37097" xr:uid="{00000000-0005-0000-0000-0000B5170000}"/>
    <cellStyle name="Comma 2 2 3 2 2 2 2 3" xfId="11957" xr:uid="{00000000-0005-0000-0000-0000B6170000}"/>
    <cellStyle name="Comma 2 2 3 2 2 2 2 4" xfId="15421" xr:uid="{00000000-0005-0000-0000-0000B7170000}"/>
    <cellStyle name="Comma 2 2 3 2 2 2 2 5" xfId="29919" xr:uid="{00000000-0005-0000-0000-0000B8170000}"/>
    <cellStyle name="Comma 2 2 3 2 2 2 2 6" xfId="30731" xr:uid="{00000000-0005-0000-0000-0000B9170000}"/>
    <cellStyle name="Comma 2 2 3 2 2 2 2 7" xfId="31742" xr:uid="{00000000-0005-0000-0000-0000BA170000}"/>
    <cellStyle name="Comma 2 2 3 2 2 2 2 8" xfId="32384" xr:uid="{00000000-0005-0000-0000-0000BB170000}"/>
    <cellStyle name="Comma 2 2 3 2 2 2 2 9" xfId="33596" xr:uid="{00000000-0005-0000-0000-0000BC170000}"/>
    <cellStyle name="Comma 2 2 3 2 2 2 3" xfId="12568" xr:uid="{00000000-0005-0000-0000-0000BD170000}"/>
    <cellStyle name="Comma 2 2 3 2 2 2 3 2" xfId="31210" xr:uid="{00000000-0005-0000-0000-0000BE170000}"/>
    <cellStyle name="Comma 2 2 3 2 2 2 3 3" xfId="33066" xr:uid="{00000000-0005-0000-0000-0000BF170000}"/>
    <cellStyle name="Comma 2 2 3 2 2 2 3 4" xfId="34887" xr:uid="{00000000-0005-0000-0000-0000C0170000}"/>
    <cellStyle name="Comma 2 2 3 2 2 2 3 5" xfId="36987" xr:uid="{00000000-0005-0000-0000-0000C1170000}"/>
    <cellStyle name="Comma 2 2 3 2 2 2 4" xfId="11845" xr:uid="{00000000-0005-0000-0000-0000C2170000}"/>
    <cellStyle name="Comma 2 2 3 2 2 2 5" xfId="15420" xr:uid="{00000000-0005-0000-0000-0000C3170000}"/>
    <cellStyle name="Comma 2 2 3 2 2 2 6" xfId="29918" xr:uid="{00000000-0005-0000-0000-0000C4170000}"/>
    <cellStyle name="Comma 2 2 3 2 2 2 7" xfId="30619" xr:uid="{00000000-0005-0000-0000-0000C5170000}"/>
    <cellStyle name="Comma 2 2 3 2 2 2 8" xfId="31741" xr:uid="{00000000-0005-0000-0000-0000C6170000}"/>
    <cellStyle name="Comma 2 2 3 2 2 2 9" xfId="32383" xr:uid="{00000000-0005-0000-0000-0000C7170000}"/>
    <cellStyle name="Comma 2 2 3 2 2 3" xfId="6359" xr:uid="{00000000-0005-0000-0000-0000C8170000}"/>
    <cellStyle name="Comma 2 2 3 2 2 3 10" xfId="34407" xr:uid="{00000000-0005-0000-0000-0000C9170000}"/>
    <cellStyle name="Comma 2 2 3 2 2 3 11" xfId="36575" xr:uid="{00000000-0005-0000-0000-0000CA170000}"/>
    <cellStyle name="Comma 2 2 3 2 2 3 12" xfId="39024" xr:uid="{00000000-0005-0000-0000-0000CB170000}"/>
    <cellStyle name="Comma 2 2 3 2 2 3 13" xfId="42050" xr:uid="{00000000-0005-0000-0000-0000CC170000}"/>
    <cellStyle name="Comma 2 2 3 2 2 3 14" xfId="44360" xr:uid="{00000000-0005-0000-0000-0000CD170000}"/>
    <cellStyle name="Comma 2 2 3 2 2 3 15" xfId="8740" xr:uid="{00000000-0005-0000-0000-0000CE170000}"/>
    <cellStyle name="Comma 2 2 3 2 2 3 2" xfId="12739" xr:uid="{00000000-0005-0000-0000-0000CF170000}"/>
    <cellStyle name="Comma 2 2 3 2 2 3 2 2" xfId="31321" xr:uid="{00000000-0005-0000-0000-0000D0170000}"/>
    <cellStyle name="Comma 2 2 3 2 2 3 2 3" xfId="33175" xr:uid="{00000000-0005-0000-0000-0000D1170000}"/>
    <cellStyle name="Comma 2 2 3 2 2 3 2 4" xfId="34998" xr:uid="{00000000-0005-0000-0000-0000D2170000}"/>
    <cellStyle name="Comma 2 2 3 2 2 3 2 5" xfId="37096" xr:uid="{00000000-0005-0000-0000-0000D3170000}"/>
    <cellStyle name="Comma 2 2 3 2 2 3 2 6" xfId="40592" xr:uid="{00000000-0005-0000-0000-0000D4170000}"/>
    <cellStyle name="Comma 2 2 3 2 2 3 2 7" xfId="43378" xr:uid="{00000000-0005-0000-0000-0000D5170000}"/>
    <cellStyle name="Comma 2 2 3 2 2 3 2 8" xfId="44361" xr:uid="{00000000-0005-0000-0000-0000D6170000}"/>
    <cellStyle name="Comma 2 2 3 2 2 3 3" xfId="11956" xr:uid="{00000000-0005-0000-0000-0000D7170000}"/>
    <cellStyle name="Comma 2 2 3 2 2 3 4" xfId="15422" xr:uid="{00000000-0005-0000-0000-0000D8170000}"/>
    <cellStyle name="Comma 2 2 3 2 2 3 5" xfId="29920" xr:uid="{00000000-0005-0000-0000-0000D9170000}"/>
    <cellStyle name="Comma 2 2 3 2 2 3 6" xfId="30730" xr:uid="{00000000-0005-0000-0000-0000DA170000}"/>
    <cellStyle name="Comma 2 2 3 2 2 3 7" xfId="31743" xr:uid="{00000000-0005-0000-0000-0000DB170000}"/>
    <cellStyle name="Comma 2 2 3 2 2 3 8" xfId="32385" xr:uid="{00000000-0005-0000-0000-0000DC170000}"/>
    <cellStyle name="Comma 2 2 3 2 2 3 9" xfId="33597" xr:uid="{00000000-0005-0000-0000-0000DD170000}"/>
    <cellStyle name="Comma 2 2 3 2 2 4" xfId="12285" xr:uid="{00000000-0005-0000-0000-0000DE170000}"/>
    <cellStyle name="Comma 2 2 3 2 2 4 2" xfId="31058" xr:uid="{00000000-0005-0000-0000-0000DF170000}"/>
    <cellStyle name="Comma 2 2 3 2 2 4 2 2" xfId="41209" xr:uid="{00000000-0005-0000-0000-0000E0170000}"/>
    <cellStyle name="Comma 2 2 3 2 2 4 2 3" xfId="43889" xr:uid="{00000000-0005-0000-0000-0000E1170000}"/>
    <cellStyle name="Comma 2 2 3 2 2 4 2 4" xfId="44362" xr:uid="{00000000-0005-0000-0000-0000E2170000}"/>
    <cellStyle name="Comma 2 2 3 2 2 4 3" xfId="32926" xr:uid="{00000000-0005-0000-0000-0000E3170000}"/>
    <cellStyle name="Comma 2 2 3 2 2 4 4" xfId="34735" xr:uid="{00000000-0005-0000-0000-0000E4170000}"/>
    <cellStyle name="Comma 2 2 3 2 2 4 5" xfId="36843" xr:uid="{00000000-0005-0000-0000-0000E5170000}"/>
    <cellStyle name="Comma 2 2 3 2 2 4 6" xfId="39626" xr:uid="{00000000-0005-0000-0000-0000E6170000}"/>
    <cellStyle name="Comma 2 2 3 2 2 4 7" xfId="42561" xr:uid="{00000000-0005-0000-0000-0000E7170000}"/>
    <cellStyle name="Comma 2 2 3 2 2 4 8" xfId="44363" xr:uid="{00000000-0005-0000-0000-0000E8170000}"/>
    <cellStyle name="Comma 2 2 3 2 2 5" xfId="11692" xr:uid="{00000000-0005-0000-0000-0000E9170000}"/>
    <cellStyle name="Comma 2 2 3 2 2 5 2" xfId="39873" xr:uid="{00000000-0005-0000-0000-0000EA170000}"/>
    <cellStyle name="Comma 2 2 3 2 2 5 3" xfId="42772" xr:uid="{00000000-0005-0000-0000-0000EB170000}"/>
    <cellStyle name="Comma 2 2 3 2 2 5 4" xfId="44364" xr:uid="{00000000-0005-0000-0000-0000EC170000}"/>
    <cellStyle name="Comma 2 2 3 2 2 6" xfId="15419" xr:uid="{00000000-0005-0000-0000-0000ED170000}"/>
    <cellStyle name="Comma 2 2 3 2 2 7" xfId="29917" xr:uid="{00000000-0005-0000-0000-0000EE170000}"/>
    <cellStyle name="Comma 2 2 3 2 2 8" xfId="30467" xr:uid="{00000000-0005-0000-0000-0000EF170000}"/>
    <cellStyle name="Comma 2 2 3 2 2 9" xfId="31740" xr:uid="{00000000-0005-0000-0000-0000F0170000}"/>
    <cellStyle name="Comma 2 2 3 2 20" xfId="44365" xr:uid="{00000000-0005-0000-0000-0000F1170000}"/>
    <cellStyle name="Comma 2 2 3 2 21" xfId="6545" xr:uid="{00000000-0005-0000-0000-0000F2170000}"/>
    <cellStyle name="Comma 2 2 3 2 3" xfId="4411" xr:uid="{00000000-0005-0000-0000-0000F3170000}"/>
    <cellStyle name="Comma 2 2 3 2 3 10" xfId="33598" xr:uid="{00000000-0005-0000-0000-0000F4170000}"/>
    <cellStyle name="Comma 2 2 3 2 3 11" xfId="34257" xr:uid="{00000000-0005-0000-0000-0000F5170000}"/>
    <cellStyle name="Comma 2 2 3 2 3 12" xfId="35594" xr:uid="{00000000-0005-0000-0000-0000F6170000}"/>
    <cellStyle name="Comma 2 2 3 2 3 13" xfId="36459" xr:uid="{00000000-0005-0000-0000-0000F7170000}"/>
    <cellStyle name="Comma 2 2 3 2 3 14" xfId="38663" xr:uid="{00000000-0005-0000-0000-0000F8170000}"/>
    <cellStyle name="Comma 2 2 3 2 3 15" xfId="41703" xr:uid="{00000000-0005-0000-0000-0000F9170000}"/>
    <cellStyle name="Comma 2 2 3 2 3 16" xfId="44366" xr:uid="{00000000-0005-0000-0000-0000FA170000}"/>
    <cellStyle name="Comma 2 2 3 2 3 17" xfId="8420" xr:uid="{00000000-0005-0000-0000-0000FB170000}"/>
    <cellStyle name="Comma 2 2 3 2 3 2" xfId="5862" xr:uid="{00000000-0005-0000-0000-0000FC170000}"/>
    <cellStyle name="Comma 2 2 3 2 3 2 10" xfId="34409" xr:uid="{00000000-0005-0000-0000-0000FD170000}"/>
    <cellStyle name="Comma 2 2 3 2 3 2 11" xfId="36577" xr:uid="{00000000-0005-0000-0000-0000FE170000}"/>
    <cellStyle name="Comma 2 2 3 2 3 2 12" xfId="39155" xr:uid="{00000000-0005-0000-0000-0000FF170000}"/>
    <cellStyle name="Comma 2 2 3 2 3 2 13" xfId="42163" xr:uid="{00000000-0005-0000-0000-000000180000}"/>
    <cellStyle name="Comma 2 2 3 2 3 2 14" xfId="44367" xr:uid="{00000000-0005-0000-0000-000001180000}"/>
    <cellStyle name="Comma 2 2 3 2 3 2 15" xfId="8742" xr:uid="{00000000-0005-0000-0000-000002180000}"/>
    <cellStyle name="Comma 2 2 3 2 3 2 2" xfId="12741" xr:uid="{00000000-0005-0000-0000-000003180000}"/>
    <cellStyle name="Comma 2 2 3 2 3 2 2 2" xfId="31323" xr:uid="{00000000-0005-0000-0000-000004180000}"/>
    <cellStyle name="Comma 2 2 3 2 3 2 2 3" xfId="33177" xr:uid="{00000000-0005-0000-0000-000005180000}"/>
    <cellStyle name="Comma 2 2 3 2 3 2 2 4" xfId="35000" xr:uid="{00000000-0005-0000-0000-000006180000}"/>
    <cellStyle name="Comma 2 2 3 2 3 2 2 5" xfId="37098" xr:uid="{00000000-0005-0000-0000-000007180000}"/>
    <cellStyle name="Comma 2 2 3 2 3 2 2 6" xfId="40728" xr:uid="{00000000-0005-0000-0000-000008180000}"/>
    <cellStyle name="Comma 2 2 3 2 3 2 2 7" xfId="43491" xr:uid="{00000000-0005-0000-0000-000009180000}"/>
    <cellStyle name="Comma 2 2 3 2 3 2 2 8" xfId="44368" xr:uid="{00000000-0005-0000-0000-00000A180000}"/>
    <cellStyle name="Comma 2 2 3 2 3 2 3" xfId="11958" xr:uid="{00000000-0005-0000-0000-00000B180000}"/>
    <cellStyle name="Comma 2 2 3 2 3 2 4" xfId="15424" xr:uid="{00000000-0005-0000-0000-00000C180000}"/>
    <cellStyle name="Comma 2 2 3 2 3 2 5" xfId="29922" xr:uid="{00000000-0005-0000-0000-00000D180000}"/>
    <cellStyle name="Comma 2 2 3 2 3 2 6" xfId="30732" xr:uid="{00000000-0005-0000-0000-00000E180000}"/>
    <cellStyle name="Comma 2 2 3 2 3 2 7" xfId="31745" xr:uid="{00000000-0005-0000-0000-00000F180000}"/>
    <cellStyle name="Comma 2 2 3 2 3 2 8" xfId="32387" xr:uid="{00000000-0005-0000-0000-000010180000}"/>
    <cellStyle name="Comma 2 2 3 2 3 2 9" xfId="33599" xr:uid="{00000000-0005-0000-0000-000011180000}"/>
    <cellStyle name="Comma 2 2 3 2 3 3" xfId="12528" xr:uid="{00000000-0005-0000-0000-000012180000}"/>
    <cellStyle name="Comma 2 2 3 2 3 3 2" xfId="31171" xr:uid="{00000000-0005-0000-0000-000013180000}"/>
    <cellStyle name="Comma 2 2 3 2 3 3 2 2" xfId="41037" xr:uid="{00000000-0005-0000-0000-000014180000}"/>
    <cellStyle name="Comma 2 2 3 2 3 3 2 3" xfId="43749" xr:uid="{00000000-0005-0000-0000-000015180000}"/>
    <cellStyle name="Comma 2 2 3 2 3 3 2 4" xfId="44369" xr:uid="{00000000-0005-0000-0000-000016180000}"/>
    <cellStyle name="Comma 2 2 3 2 3 3 3" xfId="33029" xr:uid="{00000000-0005-0000-0000-000017180000}"/>
    <cellStyle name="Comma 2 2 3 2 3 3 4" xfId="34848" xr:uid="{00000000-0005-0000-0000-000018180000}"/>
    <cellStyle name="Comma 2 2 3 2 3 3 5" xfId="36950" xr:uid="{00000000-0005-0000-0000-000019180000}"/>
    <cellStyle name="Comma 2 2 3 2 3 3 6" xfId="39461" xr:uid="{00000000-0005-0000-0000-00001A180000}"/>
    <cellStyle name="Comma 2 2 3 2 3 3 7" xfId="42421" xr:uid="{00000000-0005-0000-0000-00001B180000}"/>
    <cellStyle name="Comma 2 2 3 2 3 3 8" xfId="44370" xr:uid="{00000000-0005-0000-0000-00001C180000}"/>
    <cellStyle name="Comma 2 2 3 2 3 4" xfId="11806" xr:uid="{00000000-0005-0000-0000-00001D180000}"/>
    <cellStyle name="Comma 2 2 3 2 3 4 2" xfId="40182" xr:uid="{00000000-0005-0000-0000-00001E180000}"/>
    <cellStyle name="Comma 2 2 3 2 3 4 3" xfId="43031" xr:uid="{00000000-0005-0000-0000-00001F180000}"/>
    <cellStyle name="Comma 2 2 3 2 3 4 4" xfId="44371" xr:uid="{00000000-0005-0000-0000-000020180000}"/>
    <cellStyle name="Comma 2 2 3 2 3 5" xfId="15423" xr:uid="{00000000-0005-0000-0000-000021180000}"/>
    <cellStyle name="Comma 2 2 3 2 3 6" xfId="29921" xr:uid="{00000000-0005-0000-0000-000022180000}"/>
    <cellStyle name="Comma 2 2 3 2 3 7" xfId="30580" xr:uid="{00000000-0005-0000-0000-000023180000}"/>
    <cellStyle name="Comma 2 2 3 2 3 8" xfId="31744" xr:uid="{00000000-0005-0000-0000-000024180000}"/>
    <cellStyle name="Comma 2 2 3 2 3 9" xfId="32386" xr:uid="{00000000-0005-0000-0000-000025180000}"/>
    <cellStyle name="Comma 2 2 3 2 4" xfId="5724" xr:uid="{00000000-0005-0000-0000-000026180000}"/>
    <cellStyle name="Comma 2 2 3 2 4 10" xfId="33600" xr:uid="{00000000-0005-0000-0000-000027180000}"/>
    <cellStyle name="Comma 2 2 3 2 4 11" xfId="34196" xr:uid="{00000000-0005-0000-0000-000028180000}"/>
    <cellStyle name="Comma 2 2 3 2 4 12" xfId="36427" xr:uid="{00000000-0005-0000-0000-000029180000}"/>
    <cellStyle name="Comma 2 2 3 2 4 13" xfId="38091" xr:uid="{00000000-0005-0000-0000-00002A180000}"/>
    <cellStyle name="Comma 2 2 3 2 4 14" xfId="41588" xr:uid="{00000000-0005-0000-0000-00002B180000}"/>
    <cellStyle name="Comma 2 2 3 2 4 15" xfId="44372" xr:uid="{00000000-0005-0000-0000-00002C180000}"/>
    <cellStyle name="Comma 2 2 3 2 4 16" xfId="8087" xr:uid="{00000000-0005-0000-0000-00002D180000}"/>
    <cellStyle name="Comma 2 2 3 2 4 2" xfId="8743" xr:uid="{00000000-0005-0000-0000-00002E180000}"/>
    <cellStyle name="Comma 2 2 3 2 4 2 10" xfId="34410" xr:uid="{00000000-0005-0000-0000-00002F180000}"/>
    <cellStyle name="Comma 2 2 3 2 4 2 11" xfId="36578" xr:uid="{00000000-0005-0000-0000-000030180000}"/>
    <cellStyle name="Comma 2 2 3 2 4 2 12" xfId="40047" xr:uid="{00000000-0005-0000-0000-000031180000}"/>
    <cellStyle name="Comma 2 2 3 2 4 2 13" xfId="42916" xr:uid="{00000000-0005-0000-0000-000032180000}"/>
    <cellStyle name="Comma 2 2 3 2 4 2 14" xfId="44373" xr:uid="{00000000-0005-0000-0000-000033180000}"/>
    <cellStyle name="Comma 2 2 3 2 4 2 2" xfId="12742" xr:uid="{00000000-0005-0000-0000-000034180000}"/>
    <cellStyle name="Comma 2 2 3 2 4 2 2 2" xfId="31324" xr:uid="{00000000-0005-0000-0000-000035180000}"/>
    <cellStyle name="Comma 2 2 3 2 4 2 2 3" xfId="33178" xr:uid="{00000000-0005-0000-0000-000036180000}"/>
    <cellStyle name="Comma 2 2 3 2 4 2 2 4" xfId="35001" xr:uid="{00000000-0005-0000-0000-000037180000}"/>
    <cellStyle name="Comma 2 2 3 2 4 2 2 5" xfId="37099" xr:uid="{00000000-0005-0000-0000-000038180000}"/>
    <cellStyle name="Comma 2 2 3 2 4 2 3" xfId="11959" xr:uid="{00000000-0005-0000-0000-000039180000}"/>
    <cellStyle name="Comma 2 2 3 2 4 2 4" xfId="15426" xr:uid="{00000000-0005-0000-0000-00003A180000}"/>
    <cellStyle name="Comma 2 2 3 2 4 2 5" xfId="29924" xr:uid="{00000000-0005-0000-0000-00003B180000}"/>
    <cellStyle name="Comma 2 2 3 2 4 2 6" xfId="30733" xr:uid="{00000000-0005-0000-0000-00003C180000}"/>
    <cellStyle name="Comma 2 2 3 2 4 2 7" xfId="31747" xr:uid="{00000000-0005-0000-0000-00003D180000}"/>
    <cellStyle name="Comma 2 2 3 2 4 2 8" xfId="32389" xr:uid="{00000000-0005-0000-0000-00003E180000}"/>
    <cellStyle name="Comma 2 2 3 2 4 2 9" xfId="33601" xr:uid="{00000000-0005-0000-0000-00003F180000}"/>
    <cellStyle name="Comma 2 2 3 2 4 3" xfId="12399" xr:uid="{00000000-0005-0000-0000-000040180000}"/>
    <cellStyle name="Comma 2 2 3 2 4 3 2" xfId="31110" xr:uid="{00000000-0005-0000-0000-000041180000}"/>
    <cellStyle name="Comma 2 2 3 2 4 3 3" xfId="32972" xr:uid="{00000000-0005-0000-0000-000042180000}"/>
    <cellStyle name="Comma 2 2 3 2 4 3 4" xfId="34787" xr:uid="{00000000-0005-0000-0000-000043180000}"/>
    <cellStyle name="Comma 2 2 3 2 4 3 5" xfId="36893" xr:uid="{00000000-0005-0000-0000-000044180000}"/>
    <cellStyle name="Comma 2 2 3 2 4 4" xfId="11745" xr:uid="{00000000-0005-0000-0000-000045180000}"/>
    <cellStyle name="Comma 2 2 3 2 4 5" xfId="15425" xr:uid="{00000000-0005-0000-0000-000046180000}"/>
    <cellStyle name="Comma 2 2 3 2 4 6" xfId="29923" xr:uid="{00000000-0005-0000-0000-000047180000}"/>
    <cellStyle name="Comma 2 2 3 2 4 7" xfId="30519" xr:uid="{00000000-0005-0000-0000-000048180000}"/>
    <cellStyle name="Comma 2 2 3 2 4 8" xfId="31746" xr:uid="{00000000-0005-0000-0000-000049180000}"/>
    <cellStyle name="Comma 2 2 3 2 4 9" xfId="32388" xr:uid="{00000000-0005-0000-0000-00004A180000}"/>
    <cellStyle name="Comma 2 2 3 2 5" xfId="6183" xr:uid="{00000000-0005-0000-0000-00004B180000}"/>
    <cellStyle name="Comma 2 2 3 2 5 10" xfId="34406" xr:uid="{00000000-0005-0000-0000-00004C180000}"/>
    <cellStyle name="Comma 2 2 3 2 5 11" xfId="36574" xr:uid="{00000000-0005-0000-0000-00004D180000}"/>
    <cellStyle name="Comma 2 2 3 2 5 12" xfId="38926" xr:uid="{00000000-0005-0000-0000-00004E180000}"/>
    <cellStyle name="Comma 2 2 3 2 5 13" xfId="41957" xr:uid="{00000000-0005-0000-0000-00004F180000}"/>
    <cellStyle name="Comma 2 2 3 2 5 14" xfId="44374" xr:uid="{00000000-0005-0000-0000-000050180000}"/>
    <cellStyle name="Comma 2 2 3 2 5 15" xfId="8739" xr:uid="{00000000-0005-0000-0000-000051180000}"/>
    <cellStyle name="Comma 2 2 3 2 5 2" xfId="12738" xr:uid="{00000000-0005-0000-0000-000052180000}"/>
    <cellStyle name="Comma 2 2 3 2 5 2 2" xfId="31320" xr:uid="{00000000-0005-0000-0000-000053180000}"/>
    <cellStyle name="Comma 2 2 3 2 5 2 3" xfId="33174" xr:uid="{00000000-0005-0000-0000-000054180000}"/>
    <cellStyle name="Comma 2 2 3 2 5 2 4" xfId="34997" xr:uid="{00000000-0005-0000-0000-000055180000}"/>
    <cellStyle name="Comma 2 2 3 2 5 2 5" xfId="37095" xr:uid="{00000000-0005-0000-0000-000056180000}"/>
    <cellStyle name="Comma 2 2 3 2 5 2 6" xfId="40484" xr:uid="{00000000-0005-0000-0000-000057180000}"/>
    <cellStyle name="Comma 2 2 3 2 5 2 7" xfId="43285" xr:uid="{00000000-0005-0000-0000-000058180000}"/>
    <cellStyle name="Comma 2 2 3 2 5 2 8" xfId="44375" xr:uid="{00000000-0005-0000-0000-000059180000}"/>
    <cellStyle name="Comma 2 2 3 2 5 3" xfId="11955" xr:uid="{00000000-0005-0000-0000-00005A180000}"/>
    <cellStyle name="Comma 2 2 3 2 5 4" xfId="15427" xr:uid="{00000000-0005-0000-0000-00005B180000}"/>
    <cellStyle name="Comma 2 2 3 2 5 5" xfId="29925" xr:uid="{00000000-0005-0000-0000-00005C180000}"/>
    <cellStyle name="Comma 2 2 3 2 5 6" xfId="30729" xr:uid="{00000000-0005-0000-0000-00005D180000}"/>
    <cellStyle name="Comma 2 2 3 2 5 7" xfId="31748" xr:uid="{00000000-0005-0000-0000-00005E180000}"/>
    <cellStyle name="Comma 2 2 3 2 5 8" xfId="32390" xr:uid="{00000000-0005-0000-0000-00005F180000}"/>
    <cellStyle name="Comma 2 2 3 2 5 9" xfId="33602" xr:uid="{00000000-0005-0000-0000-000060180000}"/>
    <cellStyle name="Comma 2 2 3 2 6" xfId="11506" xr:uid="{00000000-0005-0000-0000-000061180000}"/>
    <cellStyle name="Comma 2 2 3 2 6 10" xfId="34620" xr:uid="{00000000-0005-0000-0000-000062180000}"/>
    <cellStyle name="Comma 2 2 3 2 6 11" xfId="36748" xr:uid="{00000000-0005-0000-0000-000063180000}"/>
    <cellStyle name="Comma 2 2 3 2 6 12" xfId="39328" xr:uid="{00000000-0005-0000-0000-000064180000}"/>
    <cellStyle name="Comma 2 2 3 2 6 13" xfId="42306" xr:uid="{00000000-0005-0000-0000-000065180000}"/>
    <cellStyle name="Comma 2 2 3 2 6 14" xfId="44376" xr:uid="{00000000-0005-0000-0000-000066180000}"/>
    <cellStyle name="Comma 2 2 3 2 6 2" xfId="15127" xr:uid="{00000000-0005-0000-0000-000067180000}"/>
    <cellStyle name="Comma 2 2 3 2 6 2 2" xfId="31534" xr:uid="{00000000-0005-0000-0000-000068180000}"/>
    <cellStyle name="Comma 2 2 3 2 6 2 3" xfId="33387" xr:uid="{00000000-0005-0000-0000-000069180000}"/>
    <cellStyle name="Comma 2 2 3 2 6 2 4" xfId="35211" xr:uid="{00000000-0005-0000-0000-00006A180000}"/>
    <cellStyle name="Comma 2 2 3 2 6 2 5" xfId="37291" xr:uid="{00000000-0005-0000-0000-00006B180000}"/>
    <cellStyle name="Comma 2 2 3 2 6 2 6" xfId="40899" xr:uid="{00000000-0005-0000-0000-00006C180000}"/>
    <cellStyle name="Comma 2 2 3 2 6 2 7" xfId="43634" xr:uid="{00000000-0005-0000-0000-00006D180000}"/>
    <cellStyle name="Comma 2 2 3 2 6 2 8" xfId="44377" xr:uid="{00000000-0005-0000-0000-00006E180000}"/>
    <cellStyle name="Comma 2 2 3 2 6 3" xfId="12169" xr:uid="{00000000-0005-0000-0000-00006F180000}"/>
    <cellStyle name="Comma 2 2 3 2 6 4" xfId="15428" xr:uid="{00000000-0005-0000-0000-000070180000}"/>
    <cellStyle name="Comma 2 2 3 2 6 5" xfId="29926" xr:uid="{00000000-0005-0000-0000-000071180000}"/>
    <cellStyle name="Comma 2 2 3 2 6 6" xfId="30943" xr:uid="{00000000-0005-0000-0000-000072180000}"/>
    <cellStyle name="Comma 2 2 3 2 6 7" xfId="31749" xr:uid="{00000000-0005-0000-0000-000073180000}"/>
    <cellStyle name="Comma 2 2 3 2 6 8" xfId="32391" xr:uid="{00000000-0005-0000-0000-000074180000}"/>
    <cellStyle name="Comma 2 2 3 2 6 9" xfId="33603" xr:uid="{00000000-0005-0000-0000-000075180000}"/>
    <cellStyle name="Comma 2 2 3 2 7" xfId="12247" xr:uid="{00000000-0005-0000-0000-000076180000}"/>
    <cellStyle name="Comma 2 2 3 2 7 2" xfId="31020" xr:uid="{00000000-0005-0000-0000-000077180000}"/>
    <cellStyle name="Comma 2 2 3 2 7 3" xfId="32893" xr:uid="{00000000-0005-0000-0000-000078180000}"/>
    <cellStyle name="Comma 2 2 3 2 7 4" xfId="34697" xr:uid="{00000000-0005-0000-0000-000079180000}"/>
    <cellStyle name="Comma 2 2 3 2 7 5" xfId="36805" xr:uid="{00000000-0005-0000-0000-00007A180000}"/>
    <cellStyle name="Comma 2 2 3 2 7 6" xfId="39791" xr:uid="{00000000-0005-0000-0000-00007B180000}"/>
    <cellStyle name="Comma 2 2 3 2 7 7" xfId="42699" xr:uid="{00000000-0005-0000-0000-00007C180000}"/>
    <cellStyle name="Comma 2 2 3 2 7 8" xfId="44378" xr:uid="{00000000-0005-0000-0000-00007D180000}"/>
    <cellStyle name="Comma 2 2 3 2 8" xfId="11653" xr:uid="{00000000-0005-0000-0000-00007E180000}"/>
    <cellStyle name="Comma 2 2 3 2 9" xfId="15418" xr:uid="{00000000-0005-0000-0000-00007F180000}"/>
    <cellStyle name="Comma 2 2 3 20" xfId="35280" xr:uid="{00000000-0005-0000-0000-000080180000}"/>
    <cellStyle name="Comma 2 2 3 21" xfId="36183" xr:uid="{00000000-0005-0000-0000-000081180000}"/>
    <cellStyle name="Comma 2 2 3 22" xfId="37387" xr:uid="{00000000-0005-0000-0000-000082180000}"/>
    <cellStyle name="Comma 2 2 3 23" xfId="41335" xr:uid="{00000000-0005-0000-0000-000083180000}"/>
    <cellStyle name="Comma 2 2 3 24" xfId="44379" xr:uid="{00000000-0005-0000-0000-000084180000}"/>
    <cellStyle name="Comma 2 2 3 25" xfId="6544" xr:uid="{00000000-0005-0000-0000-000085180000}"/>
    <cellStyle name="Comma 2 2 3 3" xfId="2760" xr:uid="{00000000-0005-0000-0000-000086180000}"/>
    <cellStyle name="Comma 2 2 3 3 10" xfId="29927" xr:uid="{00000000-0005-0000-0000-000087180000}"/>
    <cellStyle name="Comma 2 2 3 3 11" xfId="30430" xr:uid="{00000000-0005-0000-0000-000088180000}"/>
    <cellStyle name="Comma 2 2 3 3 12" xfId="31750" xr:uid="{00000000-0005-0000-0000-000089180000}"/>
    <cellStyle name="Comma 2 2 3 3 13" xfId="32392" xr:uid="{00000000-0005-0000-0000-00008A180000}"/>
    <cellStyle name="Comma 2 2 3 3 14" xfId="33604" xr:uid="{00000000-0005-0000-0000-00008B180000}"/>
    <cellStyle name="Comma 2 2 3 3 15" xfId="34107" xr:uid="{00000000-0005-0000-0000-00008C180000}"/>
    <cellStyle name="Comma 2 2 3 3 16" xfId="35322" xr:uid="{00000000-0005-0000-0000-00008D180000}"/>
    <cellStyle name="Comma 2 2 3 3 17" xfId="36185" xr:uid="{00000000-0005-0000-0000-00008E180000}"/>
    <cellStyle name="Comma 2 2 3 3 18" xfId="37425" xr:uid="{00000000-0005-0000-0000-00008F180000}"/>
    <cellStyle name="Comma 2 2 3 3 19" xfId="41372" xr:uid="{00000000-0005-0000-0000-000090180000}"/>
    <cellStyle name="Comma 2 2 3 3 2" xfId="5071" xr:uid="{00000000-0005-0000-0000-000091180000}"/>
    <cellStyle name="Comma 2 2 3 3 2 10" xfId="32393" xr:uid="{00000000-0005-0000-0000-000092180000}"/>
    <cellStyle name="Comma 2 2 3 3 2 11" xfId="33605" xr:uid="{00000000-0005-0000-0000-000093180000}"/>
    <cellStyle name="Comma 2 2 3 3 2 12" xfId="34145" xr:uid="{00000000-0005-0000-0000-000094180000}"/>
    <cellStyle name="Comma 2 2 3 3 2 13" xfId="36026" xr:uid="{00000000-0005-0000-0000-000095180000}"/>
    <cellStyle name="Comma 2 2 3 3 2 14" xfId="36326" xr:uid="{00000000-0005-0000-0000-000096180000}"/>
    <cellStyle name="Comma 2 2 3 3 2 15" xfId="37499" xr:uid="{00000000-0005-0000-0000-000097180000}"/>
    <cellStyle name="Comma 2 2 3 3 2 16" xfId="41445" xr:uid="{00000000-0005-0000-0000-000098180000}"/>
    <cellStyle name="Comma 2 2 3 3 2 17" xfId="44380" xr:uid="{00000000-0005-0000-0000-000099180000}"/>
    <cellStyle name="Comma 2 2 3 3 2 18" xfId="6658" xr:uid="{00000000-0005-0000-0000-00009A180000}"/>
    <cellStyle name="Comma 2 2 3 3 2 2" xfId="6040" xr:uid="{00000000-0005-0000-0000-00009B180000}"/>
    <cellStyle name="Comma 2 2 3 3 2 2 10" xfId="33606" xr:uid="{00000000-0005-0000-0000-00009C180000}"/>
    <cellStyle name="Comma 2 2 3 3 2 2 11" xfId="34297" xr:uid="{00000000-0005-0000-0000-00009D180000}"/>
    <cellStyle name="Comma 2 2 3 3 2 2 12" xfId="36483" xr:uid="{00000000-0005-0000-0000-00009E180000}"/>
    <cellStyle name="Comma 2 2 3 3 2 2 13" xfId="38805" xr:uid="{00000000-0005-0000-0000-00009F180000}"/>
    <cellStyle name="Comma 2 2 3 3 2 2 14" xfId="41844" xr:uid="{00000000-0005-0000-0000-0000A0180000}"/>
    <cellStyle name="Comma 2 2 3 3 2 2 15" xfId="44381" xr:uid="{00000000-0005-0000-0000-0000A1180000}"/>
    <cellStyle name="Comma 2 2 3 3 2 2 16" xfId="8534" xr:uid="{00000000-0005-0000-0000-0000A2180000}"/>
    <cellStyle name="Comma 2 2 3 3 2 2 2" xfId="8746" xr:uid="{00000000-0005-0000-0000-0000A3180000}"/>
    <cellStyle name="Comma 2 2 3 3 2 2 2 10" xfId="34413" xr:uid="{00000000-0005-0000-0000-0000A4180000}"/>
    <cellStyle name="Comma 2 2 3 3 2 2 2 11" xfId="36581" xr:uid="{00000000-0005-0000-0000-0000A5180000}"/>
    <cellStyle name="Comma 2 2 3 3 2 2 2 12" xfId="40354" xr:uid="{00000000-0005-0000-0000-0000A6180000}"/>
    <cellStyle name="Comma 2 2 3 3 2 2 2 13" xfId="43172" xr:uid="{00000000-0005-0000-0000-0000A7180000}"/>
    <cellStyle name="Comma 2 2 3 3 2 2 2 14" xfId="44382" xr:uid="{00000000-0005-0000-0000-0000A8180000}"/>
    <cellStyle name="Comma 2 2 3 3 2 2 2 2" xfId="12745" xr:uid="{00000000-0005-0000-0000-0000A9180000}"/>
    <cellStyle name="Comma 2 2 3 3 2 2 2 2 2" xfId="31327" xr:uid="{00000000-0005-0000-0000-0000AA180000}"/>
    <cellStyle name="Comma 2 2 3 3 2 2 2 2 3" xfId="33181" xr:uid="{00000000-0005-0000-0000-0000AB180000}"/>
    <cellStyle name="Comma 2 2 3 3 2 2 2 2 4" xfId="35004" xr:uid="{00000000-0005-0000-0000-0000AC180000}"/>
    <cellStyle name="Comma 2 2 3 3 2 2 2 2 5" xfId="37102" xr:uid="{00000000-0005-0000-0000-0000AD180000}"/>
    <cellStyle name="Comma 2 2 3 3 2 2 2 3" xfId="11962" xr:uid="{00000000-0005-0000-0000-0000AE180000}"/>
    <cellStyle name="Comma 2 2 3 3 2 2 2 4" xfId="15432" xr:uid="{00000000-0005-0000-0000-0000AF180000}"/>
    <cellStyle name="Comma 2 2 3 3 2 2 2 5" xfId="29930" xr:uid="{00000000-0005-0000-0000-0000B0180000}"/>
    <cellStyle name="Comma 2 2 3 3 2 2 2 6" xfId="30736" xr:uid="{00000000-0005-0000-0000-0000B1180000}"/>
    <cellStyle name="Comma 2 2 3 3 2 2 2 7" xfId="31753" xr:uid="{00000000-0005-0000-0000-0000B2180000}"/>
    <cellStyle name="Comma 2 2 3 3 2 2 2 8" xfId="32395" xr:uid="{00000000-0005-0000-0000-0000B3180000}"/>
    <cellStyle name="Comma 2 2 3 3 2 2 2 9" xfId="33607" xr:uid="{00000000-0005-0000-0000-0000B4180000}"/>
    <cellStyle name="Comma 2 2 3 3 2 2 3" xfId="12569" xr:uid="{00000000-0005-0000-0000-0000B5180000}"/>
    <cellStyle name="Comma 2 2 3 3 2 2 3 2" xfId="31211" xr:uid="{00000000-0005-0000-0000-0000B6180000}"/>
    <cellStyle name="Comma 2 2 3 3 2 2 3 3" xfId="33067" xr:uid="{00000000-0005-0000-0000-0000B7180000}"/>
    <cellStyle name="Comma 2 2 3 3 2 2 3 4" xfId="34888" xr:uid="{00000000-0005-0000-0000-0000B8180000}"/>
    <cellStyle name="Comma 2 2 3 3 2 2 3 5" xfId="36988" xr:uid="{00000000-0005-0000-0000-0000B9180000}"/>
    <cellStyle name="Comma 2 2 3 3 2 2 4" xfId="11846" xr:uid="{00000000-0005-0000-0000-0000BA180000}"/>
    <cellStyle name="Comma 2 2 3 3 2 2 5" xfId="15431" xr:uid="{00000000-0005-0000-0000-0000BB180000}"/>
    <cellStyle name="Comma 2 2 3 3 2 2 6" xfId="29929" xr:uid="{00000000-0005-0000-0000-0000BC180000}"/>
    <cellStyle name="Comma 2 2 3 3 2 2 7" xfId="30620" xr:uid="{00000000-0005-0000-0000-0000BD180000}"/>
    <cellStyle name="Comma 2 2 3 3 2 2 8" xfId="31752" xr:uid="{00000000-0005-0000-0000-0000BE180000}"/>
    <cellStyle name="Comma 2 2 3 3 2 2 9" xfId="32394" xr:uid="{00000000-0005-0000-0000-0000BF180000}"/>
    <cellStyle name="Comma 2 2 3 3 2 3" xfId="6360" xr:uid="{00000000-0005-0000-0000-0000C0180000}"/>
    <cellStyle name="Comma 2 2 3 3 2 3 10" xfId="34412" xr:uid="{00000000-0005-0000-0000-0000C1180000}"/>
    <cellStyle name="Comma 2 2 3 3 2 3 11" xfId="36580" xr:uid="{00000000-0005-0000-0000-0000C2180000}"/>
    <cellStyle name="Comma 2 2 3 3 2 3 12" xfId="39025" xr:uid="{00000000-0005-0000-0000-0000C3180000}"/>
    <cellStyle name="Comma 2 2 3 3 2 3 13" xfId="42051" xr:uid="{00000000-0005-0000-0000-0000C4180000}"/>
    <cellStyle name="Comma 2 2 3 3 2 3 14" xfId="44383" xr:uid="{00000000-0005-0000-0000-0000C5180000}"/>
    <cellStyle name="Comma 2 2 3 3 2 3 15" xfId="8745" xr:uid="{00000000-0005-0000-0000-0000C6180000}"/>
    <cellStyle name="Comma 2 2 3 3 2 3 2" xfId="12744" xr:uid="{00000000-0005-0000-0000-0000C7180000}"/>
    <cellStyle name="Comma 2 2 3 3 2 3 2 2" xfId="31326" xr:uid="{00000000-0005-0000-0000-0000C8180000}"/>
    <cellStyle name="Comma 2 2 3 3 2 3 2 3" xfId="33180" xr:uid="{00000000-0005-0000-0000-0000C9180000}"/>
    <cellStyle name="Comma 2 2 3 3 2 3 2 4" xfId="35003" xr:uid="{00000000-0005-0000-0000-0000CA180000}"/>
    <cellStyle name="Comma 2 2 3 3 2 3 2 5" xfId="37101" xr:uid="{00000000-0005-0000-0000-0000CB180000}"/>
    <cellStyle name="Comma 2 2 3 3 2 3 2 6" xfId="40593" xr:uid="{00000000-0005-0000-0000-0000CC180000}"/>
    <cellStyle name="Comma 2 2 3 3 2 3 2 7" xfId="43379" xr:uid="{00000000-0005-0000-0000-0000CD180000}"/>
    <cellStyle name="Comma 2 2 3 3 2 3 2 8" xfId="44384" xr:uid="{00000000-0005-0000-0000-0000CE180000}"/>
    <cellStyle name="Comma 2 2 3 3 2 3 3" xfId="11961" xr:uid="{00000000-0005-0000-0000-0000CF180000}"/>
    <cellStyle name="Comma 2 2 3 3 2 3 4" xfId="15433" xr:uid="{00000000-0005-0000-0000-0000D0180000}"/>
    <cellStyle name="Comma 2 2 3 3 2 3 5" xfId="29931" xr:uid="{00000000-0005-0000-0000-0000D1180000}"/>
    <cellStyle name="Comma 2 2 3 3 2 3 6" xfId="30735" xr:uid="{00000000-0005-0000-0000-0000D2180000}"/>
    <cellStyle name="Comma 2 2 3 3 2 3 7" xfId="31754" xr:uid="{00000000-0005-0000-0000-0000D3180000}"/>
    <cellStyle name="Comma 2 2 3 3 2 3 8" xfId="32396" xr:uid="{00000000-0005-0000-0000-0000D4180000}"/>
    <cellStyle name="Comma 2 2 3 3 2 3 9" xfId="33608" xr:uid="{00000000-0005-0000-0000-0000D5180000}"/>
    <cellStyle name="Comma 2 2 3 3 2 4" xfId="12286" xr:uid="{00000000-0005-0000-0000-0000D6180000}"/>
    <cellStyle name="Comma 2 2 3 3 2 4 2" xfId="31059" xr:uid="{00000000-0005-0000-0000-0000D7180000}"/>
    <cellStyle name="Comma 2 2 3 3 2 4 2 2" xfId="41210" xr:uid="{00000000-0005-0000-0000-0000D8180000}"/>
    <cellStyle name="Comma 2 2 3 3 2 4 2 3" xfId="43890" xr:uid="{00000000-0005-0000-0000-0000D9180000}"/>
    <cellStyle name="Comma 2 2 3 3 2 4 2 4" xfId="44385" xr:uid="{00000000-0005-0000-0000-0000DA180000}"/>
    <cellStyle name="Comma 2 2 3 3 2 4 3" xfId="32927" xr:uid="{00000000-0005-0000-0000-0000DB180000}"/>
    <cellStyle name="Comma 2 2 3 3 2 4 4" xfId="34736" xr:uid="{00000000-0005-0000-0000-0000DC180000}"/>
    <cellStyle name="Comma 2 2 3 3 2 4 5" xfId="36844" xr:uid="{00000000-0005-0000-0000-0000DD180000}"/>
    <cellStyle name="Comma 2 2 3 3 2 4 6" xfId="39627" xr:uid="{00000000-0005-0000-0000-0000DE180000}"/>
    <cellStyle name="Comma 2 2 3 3 2 4 7" xfId="42562" xr:uid="{00000000-0005-0000-0000-0000DF180000}"/>
    <cellStyle name="Comma 2 2 3 3 2 4 8" xfId="44386" xr:uid="{00000000-0005-0000-0000-0000E0180000}"/>
    <cellStyle name="Comma 2 2 3 3 2 5" xfId="11693" xr:uid="{00000000-0005-0000-0000-0000E1180000}"/>
    <cellStyle name="Comma 2 2 3 3 2 5 2" xfId="39874" xr:uid="{00000000-0005-0000-0000-0000E2180000}"/>
    <cellStyle name="Comma 2 2 3 3 2 5 3" xfId="42773" xr:uid="{00000000-0005-0000-0000-0000E3180000}"/>
    <cellStyle name="Comma 2 2 3 3 2 5 4" xfId="44387" xr:uid="{00000000-0005-0000-0000-0000E4180000}"/>
    <cellStyle name="Comma 2 2 3 3 2 6" xfId="15430" xr:uid="{00000000-0005-0000-0000-0000E5180000}"/>
    <cellStyle name="Comma 2 2 3 3 2 7" xfId="29928" xr:uid="{00000000-0005-0000-0000-0000E6180000}"/>
    <cellStyle name="Comma 2 2 3 3 2 8" xfId="30468" xr:uid="{00000000-0005-0000-0000-0000E7180000}"/>
    <cellStyle name="Comma 2 2 3 3 2 9" xfId="31751" xr:uid="{00000000-0005-0000-0000-0000E8180000}"/>
    <cellStyle name="Comma 2 2 3 3 20" xfId="44388" xr:uid="{00000000-0005-0000-0000-0000E9180000}"/>
    <cellStyle name="Comma 2 2 3 3 21" xfId="6546" xr:uid="{00000000-0005-0000-0000-0000EA180000}"/>
    <cellStyle name="Comma 2 2 3 3 3" xfId="4412" xr:uid="{00000000-0005-0000-0000-0000EB180000}"/>
    <cellStyle name="Comma 2 2 3 3 3 10" xfId="33609" xr:uid="{00000000-0005-0000-0000-0000EC180000}"/>
    <cellStyle name="Comma 2 2 3 3 3 11" xfId="34258" xr:uid="{00000000-0005-0000-0000-0000ED180000}"/>
    <cellStyle name="Comma 2 2 3 3 3 12" xfId="35595" xr:uid="{00000000-0005-0000-0000-0000EE180000}"/>
    <cellStyle name="Comma 2 2 3 3 3 13" xfId="36460" xr:uid="{00000000-0005-0000-0000-0000EF180000}"/>
    <cellStyle name="Comma 2 2 3 3 3 14" xfId="38664" xr:uid="{00000000-0005-0000-0000-0000F0180000}"/>
    <cellStyle name="Comma 2 2 3 3 3 15" xfId="41704" xr:uid="{00000000-0005-0000-0000-0000F1180000}"/>
    <cellStyle name="Comma 2 2 3 3 3 16" xfId="44389" xr:uid="{00000000-0005-0000-0000-0000F2180000}"/>
    <cellStyle name="Comma 2 2 3 3 3 17" xfId="8421" xr:uid="{00000000-0005-0000-0000-0000F3180000}"/>
    <cellStyle name="Comma 2 2 3 3 3 2" xfId="5863" xr:uid="{00000000-0005-0000-0000-0000F4180000}"/>
    <cellStyle name="Comma 2 2 3 3 3 2 10" xfId="34414" xr:uid="{00000000-0005-0000-0000-0000F5180000}"/>
    <cellStyle name="Comma 2 2 3 3 3 2 11" xfId="36582" xr:uid="{00000000-0005-0000-0000-0000F6180000}"/>
    <cellStyle name="Comma 2 2 3 3 3 2 12" xfId="39156" xr:uid="{00000000-0005-0000-0000-0000F7180000}"/>
    <cellStyle name="Comma 2 2 3 3 3 2 13" xfId="42164" xr:uid="{00000000-0005-0000-0000-0000F8180000}"/>
    <cellStyle name="Comma 2 2 3 3 3 2 14" xfId="44390" xr:uid="{00000000-0005-0000-0000-0000F9180000}"/>
    <cellStyle name="Comma 2 2 3 3 3 2 15" xfId="8747" xr:uid="{00000000-0005-0000-0000-0000FA180000}"/>
    <cellStyle name="Comma 2 2 3 3 3 2 2" xfId="12746" xr:uid="{00000000-0005-0000-0000-0000FB180000}"/>
    <cellStyle name="Comma 2 2 3 3 3 2 2 2" xfId="31328" xr:uid="{00000000-0005-0000-0000-0000FC180000}"/>
    <cellStyle name="Comma 2 2 3 3 3 2 2 3" xfId="33182" xr:uid="{00000000-0005-0000-0000-0000FD180000}"/>
    <cellStyle name="Comma 2 2 3 3 3 2 2 4" xfId="35005" xr:uid="{00000000-0005-0000-0000-0000FE180000}"/>
    <cellStyle name="Comma 2 2 3 3 3 2 2 5" xfId="37103" xr:uid="{00000000-0005-0000-0000-0000FF180000}"/>
    <cellStyle name="Comma 2 2 3 3 3 2 2 6" xfId="40729" xr:uid="{00000000-0005-0000-0000-000000190000}"/>
    <cellStyle name="Comma 2 2 3 3 3 2 2 7" xfId="43492" xr:uid="{00000000-0005-0000-0000-000001190000}"/>
    <cellStyle name="Comma 2 2 3 3 3 2 2 8" xfId="44391" xr:uid="{00000000-0005-0000-0000-000002190000}"/>
    <cellStyle name="Comma 2 2 3 3 3 2 3" xfId="11963" xr:uid="{00000000-0005-0000-0000-000003190000}"/>
    <cellStyle name="Comma 2 2 3 3 3 2 4" xfId="15435" xr:uid="{00000000-0005-0000-0000-000004190000}"/>
    <cellStyle name="Comma 2 2 3 3 3 2 5" xfId="29933" xr:uid="{00000000-0005-0000-0000-000005190000}"/>
    <cellStyle name="Comma 2 2 3 3 3 2 6" xfId="30737" xr:uid="{00000000-0005-0000-0000-000006190000}"/>
    <cellStyle name="Comma 2 2 3 3 3 2 7" xfId="31756" xr:uid="{00000000-0005-0000-0000-000007190000}"/>
    <cellStyle name="Comma 2 2 3 3 3 2 8" xfId="32398" xr:uid="{00000000-0005-0000-0000-000008190000}"/>
    <cellStyle name="Comma 2 2 3 3 3 2 9" xfId="33610" xr:uid="{00000000-0005-0000-0000-000009190000}"/>
    <cellStyle name="Comma 2 2 3 3 3 3" xfId="12529" xr:uid="{00000000-0005-0000-0000-00000A190000}"/>
    <cellStyle name="Comma 2 2 3 3 3 3 2" xfId="31172" xr:uid="{00000000-0005-0000-0000-00000B190000}"/>
    <cellStyle name="Comma 2 2 3 3 3 3 2 2" xfId="41038" xr:uid="{00000000-0005-0000-0000-00000C190000}"/>
    <cellStyle name="Comma 2 2 3 3 3 3 2 3" xfId="43750" xr:uid="{00000000-0005-0000-0000-00000D190000}"/>
    <cellStyle name="Comma 2 2 3 3 3 3 2 4" xfId="44392" xr:uid="{00000000-0005-0000-0000-00000E190000}"/>
    <cellStyle name="Comma 2 2 3 3 3 3 3" xfId="33030" xr:uid="{00000000-0005-0000-0000-00000F190000}"/>
    <cellStyle name="Comma 2 2 3 3 3 3 4" xfId="34849" xr:uid="{00000000-0005-0000-0000-000010190000}"/>
    <cellStyle name="Comma 2 2 3 3 3 3 5" xfId="36951" xr:uid="{00000000-0005-0000-0000-000011190000}"/>
    <cellStyle name="Comma 2 2 3 3 3 3 6" xfId="39462" xr:uid="{00000000-0005-0000-0000-000012190000}"/>
    <cellStyle name="Comma 2 2 3 3 3 3 7" xfId="42422" xr:uid="{00000000-0005-0000-0000-000013190000}"/>
    <cellStyle name="Comma 2 2 3 3 3 3 8" xfId="44393" xr:uid="{00000000-0005-0000-0000-000014190000}"/>
    <cellStyle name="Comma 2 2 3 3 3 4" xfId="11807" xr:uid="{00000000-0005-0000-0000-000015190000}"/>
    <cellStyle name="Comma 2 2 3 3 3 4 2" xfId="40183" xr:uid="{00000000-0005-0000-0000-000016190000}"/>
    <cellStyle name="Comma 2 2 3 3 3 4 3" xfId="43032" xr:uid="{00000000-0005-0000-0000-000017190000}"/>
    <cellStyle name="Comma 2 2 3 3 3 4 4" xfId="44394" xr:uid="{00000000-0005-0000-0000-000018190000}"/>
    <cellStyle name="Comma 2 2 3 3 3 5" xfId="15434" xr:uid="{00000000-0005-0000-0000-000019190000}"/>
    <cellStyle name="Comma 2 2 3 3 3 6" xfId="29932" xr:uid="{00000000-0005-0000-0000-00001A190000}"/>
    <cellStyle name="Comma 2 2 3 3 3 7" xfId="30581" xr:uid="{00000000-0005-0000-0000-00001B190000}"/>
    <cellStyle name="Comma 2 2 3 3 3 8" xfId="31755" xr:uid="{00000000-0005-0000-0000-00001C190000}"/>
    <cellStyle name="Comma 2 2 3 3 3 9" xfId="32397" xr:uid="{00000000-0005-0000-0000-00001D190000}"/>
    <cellStyle name="Comma 2 2 3 3 4" xfId="5725" xr:uid="{00000000-0005-0000-0000-00001E190000}"/>
    <cellStyle name="Comma 2 2 3 3 4 10" xfId="33611" xr:uid="{00000000-0005-0000-0000-00001F190000}"/>
    <cellStyle name="Comma 2 2 3 3 4 11" xfId="34197" xr:uid="{00000000-0005-0000-0000-000020190000}"/>
    <cellStyle name="Comma 2 2 3 3 4 12" xfId="36428" xr:uid="{00000000-0005-0000-0000-000021190000}"/>
    <cellStyle name="Comma 2 2 3 3 4 13" xfId="38092" xr:uid="{00000000-0005-0000-0000-000022190000}"/>
    <cellStyle name="Comma 2 2 3 3 4 14" xfId="41589" xr:uid="{00000000-0005-0000-0000-000023190000}"/>
    <cellStyle name="Comma 2 2 3 3 4 15" xfId="44395" xr:uid="{00000000-0005-0000-0000-000024190000}"/>
    <cellStyle name="Comma 2 2 3 3 4 16" xfId="8088" xr:uid="{00000000-0005-0000-0000-000025190000}"/>
    <cellStyle name="Comma 2 2 3 3 4 2" xfId="8748" xr:uid="{00000000-0005-0000-0000-000026190000}"/>
    <cellStyle name="Comma 2 2 3 3 4 2 10" xfId="34415" xr:uid="{00000000-0005-0000-0000-000027190000}"/>
    <cellStyle name="Comma 2 2 3 3 4 2 11" xfId="36583" xr:uid="{00000000-0005-0000-0000-000028190000}"/>
    <cellStyle name="Comma 2 2 3 3 4 2 12" xfId="40048" xr:uid="{00000000-0005-0000-0000-000029190000}"/>
    <cellStyle name="Comma 2 2 3 3 4 2 13" xfId="42917" xr:uid="{00000000-0005-0000-0000-00002A190000}"/>
    <cellStyle name="Comma 2 2 3 3 4 2 14" xfId="44396" xr:uid="{00000000-0005-0000-0000-00002B190000}"/>
    <cellStyle name="Comma 2 2 3 3 4 2 2" xfId="12747" xr:uid="{00000000-0005-0000-0000-00002C190000}"/>
    <cellStyle name="Comma 2 2 3 3 4 2 2 2" xfId="31329" xr:uid="{00000000-0005-0000-0000-00002D190000}"/>
    <cellStyle name="Comma 2 2 3 3 4 2 2 3" xfId="33183" xr:uid="{00000000-0005-0000-0000-00002E190000}"/>
    <cellStyle name="Comma 2 2 3 3 4 2 2 4" xfId="35006" xr:uid="{00000000-0005-0000-0000-00002F190000}"/>
    <cellStyle name="Comma 2 2 3 3 4 2 2 5" xfId="37104" xr:uid="{00000000-0005-0000-0000-000030190000}"/>
    <cellStyle name="Comma 2 2 3 3 4 2 3" xfId="11964" xr:uid="{00000000-0005-0000-0000-000031190000}"/>
    <cellStyle name="Comma 2 2 3 3 4 2 4" xfId="15437" xr:uid="{00000000-0005-0000-0000-000032190000}"/>
    <cellStyle name="Comma 2 2 3 3 4 2 5" xfId="29935" xr:uid="{00000000-0005-0000-0000-000033190000}"/>
    <cellStyle name="Comma 2 2 3 3 4 2 6" xfId="30738" xr:uid="{00000000-0005-0000-0000-000034190000}"/>
    <cellStyle name="Comma 2 2 3 3 4 2 7" xfId="31758" xr:uid="{00000000-0005-0000-0000-000035190000}"/>
    <cellStyle name="Comma 2 2 3 3 4 2 8" xfId="32400" xr:uid="{00000000-0005-0000-0000-000036190000}"/>
    <cellStyle name="Comma 2 2 3 3 4 2 9" xfId="33612" xr:uid="{00000000-0005-0000-0000-000037190000}"/>
    <cellStyle name="Comma 2 2 3 3 4 3" xfId="12400" xr:uid="{00000000-0005-0000-0000-000038190000}"/>
    <cellStyle name="Comma 2 2 3 3 4 3 2" xfId="31111" xr:uid="{00000000-0005-0000-0000-000039190000}"/>
    <cellStyle name="Comma 2 2 3 3 4 3 3" xfId="32973" xr:uid="{00000000-0005-0000-0000-00003A190000}"/>
    <cellStyle name="Comma 2 2 3 3 4 3 4" xfId="34788" xr:uid="{00000000-0005-0000-0000-00003B190000}"/>
    <cellStyle name="Comma 2 2 3 3 4 3 5" xfId="36894" xr:uid="{00000000-0005-0000-0000-00003C190000}"/>
    <cellStyle name="Comma 2 2 3 3 4 4" xfId="11746" xr:uid="{00000000-0005-0000-0000-00003D190000}"/>
    <cellStyle name="Comma 2 2 3 3 4 5" xfId="15436" xr:uid="{00000000-0005-0000-0000-00003E190000}"/>
    <cellStyle name="Comma 2 2 3 3 4 6" xfId="29934" xr:uid="{00000000-0005-0000-0000-00003F190000}"/>
    <cellStyle name="Comma 2 2 3 3 4 7" xfId="30520" xr:uid="{00000000-0005-0000-0000-000040190000}"/>
    <cellStyle name="Comma 2 2 3 3 4 8" xfId="31757" xr:uid="{00000000-0005-0000-0000-000041190000}"/>
    <cellStyle name="Comma 2 2 3 3 4 9" xfId="32399" xr:uid="{00000000-0005-0000-0000-000042190000}"/>
    <cellStyle name="Comma 2 2 3 3 5" xfId="6184" xr:uid="{00000000-0005-0000-0000-000043190000}"/>
    <cellStyle name="Comma 2 2 3 3 5 10" xfId="34411" xr:uid="{00000000-0005-0000-0000-000044190000}"/>
    <cellStyle name="Comma 2 2 3 3 5 11" xfId="36579" xr:uid="{00000000-0005-0000-0000-000045190000}"/>
    <cellStyle name="Comma 2 2 3 3 5 12" xfId="38927" xr:uid="{00000000-0005-0000-0000-000046190000}"/>
    <cellStyle name="Comma 2 2 3 3 5 13" xfId="41958" xr:uid="{00000000-0005-0000-0000-000047190000}"/>
    <cellStyle name="Comma 2 2 3 3 5 14" xfId="44397" xr:uid="{00000000-0005-0000-0000-000048190000}"/>
    <cellStyle name="Comma 2 2 3 3 5 15" xfId="8744" xr:uid="{00000000-0005-0000-0000-000049190000}"/>
    <cellStyle name="Comma 2 2 3 3 5 2" xfId="12743" xr:uid="{00000000-0005-0000-0000-00004A190000}"/>
    <cellStyle name="Comma 2 2 3 3 5 2 2" xfId="31325" xr:uid="{00000000-0005-0000-0000-00004B190000}"/>
    <cellStyle name="Comma 2 2 3 3 5 2 3" xfId="33179" xr:uid="{00000000-0005-0000-0000-00004C190000}"/>
    <cellStyle name="Comma 2 2 3 3 5 2 4" xfId="35002" xr:uid="{00000000-0005-0000-0000-00004D190000}"/>
    <cellStyle name="Comma 2 2 3 3 5 2 5" xfId="37100" xr:uid="{00000000-0005-0000-0000-00004E190000}"/>
    <cellStyle name="Comma 2 2 3 3 5 2 6" xfId="40485" xr:uid="{00000000-0005-0000-0000-00004F190000}"/>
    <cellStyle name="Comma 2 2 3 3 5 2 7" xfId="43286" xr:uid="{00000000-0005-0000-0000-000050190000}"/>
    <cellStyle name="Comma 2 2 3 3 5 2 8" xfId="44398" xr:uid="{00000000-0005-0000-0000-000051190000}"/>
    <cellStyle name="Comma 2 2 3 3 5 3" xfId="11960" xr:uid="{00000000-0005-0000-0000-000052190000}"/>
    <cellStyle name="Comma 2 2 3 3 5 4" xfId="15438" xr:uid="{00000000-0005-0000-0000-000053190000}"/>
    <cellStyle name="Comma 2 2 3 3 5 5" xfId="29936" xr:uid="{00000000-0005-0000-0000-000054190000}"/>
    <cellStyle name="Comma 2 2 3 3 5 6" xfId="30734" xr:uid="{00000000-0005-0000-0000-000055190000}"/>
    <cellStyle name="Comma 2 2 3 3 5 7" xfId="31759" xr:uid="{00000000-0005-0000-0000-000056190000}"/>
    <cellStyle name="Comma 2 2 3 3 5 8" xfId="32401" xr:uid="{00000000-0005-0000-0000-000057190000}"/>
    <cellStyle name="Comma 2 2 3 3 5 9" xfId="33613" xr:uid="{00000000-0005-0000-0000-000058190000}"/>
    <cellStyle name="Comma 2 2 3 3 6" xfId="11507" xr:uid="{00000000-0005-0000-0000-000059190000}"/>
    <cellStyle name="Comma 2 2 3 3 6 10" xfId="34621" xr:uid="{00000000-0005-0000-0000-00005A190000}"/>
    <cellStyle name="Comma 2 2 3 3 6 11" xfId="36749" xr:uid="{00000000-0005-0000-0000-00005B190000}"/>
    <cellStyle name="Comma 2 2 3 3 6 12" xfId="39329" xr:uid="{00000000-0005-0000-0000-00005C190000}"/>
    <cellStyle name="Comma 2 2 3 3 6 13" xfId="42307" xr:uid="{00000000-0005-0000-0000-00005D190000}"/>
    <cellStyle name="Comma 2 2 3 3 6 14" xfId="44399" xr:uid="{00000000-0005-0000-0000-00005E190000}"/>
    <cellStyle name="Comma 2 2 3 3 6 2" xfId="15128" xr:uid="{00000000-0005-0000-0000-00005F190000}"/>
    <cellStyle name="Comma 2 2 3 3 6 2 2" xfId="31535" xr:uid="{00000000-0005-0000-0000-000060190000}"/>
    <cellStyle name="Comma 2 2 3 3 6 2 3" xfId="33388" xr:uid="{00000000-0005-0000-0000-000061190000}"/>
    <cellStyle name="Comma 2 2 3 3 6 2 4" xfId="35212" xr:uid="{00000000-0005-0000-0000-000062190000}"/>
    <cellStyle name="Comma 2 2 3 3 6 2 5" xfId="37292" xr:uid="{00000000-0005-0000-0000-000063190000}"/>
    <cellStyle name="Comma 2 2 3 3 6 2 6" xfId="40900" xr:uid="{00000000-0005-0000-0000-000064190000}"/>
    <cellStyle name="Comma 2 2 3 3 6 2 7" xfId="43635" xr:uid="{00000000-0005-0000-0000-000065190000}"/>
    <cellStyle name="Comma 2 2 3 3 6 2 8" xfId="44400" xr:uid="{00000000-0005-0000-0000-000066190000}"/>
    <cellStyle name="Comma 2 2 3 3 6 3" xfId="12170" xr:uid="{00000000-0005-0000-0000-000067190000}"/>
    <cellStyle name="Comma 2 2 3 3 6 4" xfId="15439" xr:uid="{00000000-0005-0000-0000-000068190000}"/>
    <cellStyle name="Comma 2 2 3 3 6 5" xfId="29937" xr:uid="{00000000-0005-0000-0000-000069190000}"/>
    <cellStyle name="Comma 2 2 3 3 6 6" xfId="30944" xr:uid="{00000000-0005-0000-0000-00006A190000}"/>
    <cellStyle name="Comma 2 2 3 3 6 7" xfId="31760" xr:uid="{00000000-0005-0000-0000-00006B190000}"/>
    <cellStyle name="Comma 2 2 3 3 6 8" xfId="32402" xr:uid="{00000000-0005-0000-0000-00006C190000}"/>
    <cellStyle name="Comma 2 2 3 3 6 9" xfId="33614" xr:uid="{00000000-0005-0000-0000-00006D190000}"/>
    <cellStyle name="Comma 2 2 3 3 7" xfId="12248" xr:uid="{00000000-0005-0000-0000-00006E190000}"/>
    <cellStyle name="Comma 2 2 3 3 7 2" xfId="31021" xr:uid="{00000000-0005-0000-0000-00006F190000}"/>
    <cellStyle name="Comma 2 2 3 3 7 3" xfId="32894" xr:uid="{00000000-0005-0000-0000-000070190000}"/>
    <cellStyle name="Comma 2 2 3 3 7 4" xfId="34698" xr:uid="{00000000-0005-0000-0000-000071190000}"/>
    <cellStyle name="Comma 2 2 3 3 7 5" xfId="36806" xr:uid="{00000000-0005-0000-0000-000072190000}"/>
    <cellStyle name="Comma 2 2 3 3 7 6" xfId="39792" xr:uid="{00000000-0005-0000-0000-000073190000}"/>
    <cellStyle name="Comma 2 2 3 3 7 7" xfId="42700" xr:uid="{00000000-0005-0000-0000-000074190000}"/>
    <cellStyle name="Comma 2 2 3 3 7 8" xfId="44401" xr:uid="{00000000-0005-0000-0000-000075190000}"/>
    <cellStyle name="Comma 2 2 3 3 8" xfId="11654" xr:uid="{00000000-0005-0000-0000-000076190000}"/>
    <cellStyle name="Comma 2 2 3 3 9" xfId="15429" xr:uid="{00000000-0005-0000-0000-000077190000}"/>
    <cellStyle name="Comma 2 2 3 4" xfId="2761" xr:uid="{00000000-0005-0000-0000-000078190000}"/>
    <cellStyle name="Comma 2 2 3 4 10" xfId="31761" xr:uid="{00000000-0005-0000-0000-000079190000}"/>
    <cellStyle name="Comma 2 2 3 4 11" xfId="32403" xr:uid="{00000000-0005-0000-0000-00007A190000}"/>
    <cellStyle name="Comma 2 2 3 4 12" xfId="33615" xr:uid="{00000000-0005-0000-0000-00007B190000}"/>
    <cellStyle name="Comma 2 2 3 4 13" xfId="34143" xr:uid="{00000000-0005-0000-0000-00007C190000}"/>
    <cellStyle name="Comma 2 2 3 4 14" xfId="35323" xr:uid="{00000000-0005-0000-0000-00007D190000}"/>
    <cellStyle name="Comma 2 2 3 4 15" xfId="36186" xr:uid="{00000000-0005-0000-0000-00007E190000}"/>
    <cellStyle name="Comma 2 2 3 4 16" xfId="37426" xr:uid="{00000000-0005-0000-0000-00007F190000}"/>
    <cellStyle name="Comma 2 2 3 4 17" xfId="41373" xr:uid="{00000000-0005-0000-0000-000080190000}"/>
    <cellStyle name="Comma 2 2 3 4 18" xfId="44402" xr:uid="{00000000-0005-0000-0000-000081190000}"/>
    <cellStyle name="Comma 2 2 3 4 19" xfId="6656" xr:uid="{00000000-0005-0000-0000-000082190000}"/>
    <cellStyle name="Comma 2 2 3 4 2" xfId="5072" xr:uid="{00000000-0005-0000-0000-000083190000}"/>
    <cellStyle name="Comma 2 2 3 4 2 10" xfId="33616" xr:uid="{00000000-0005-0000-0000-000084190000}"/>
    <cellStyle name="Comma 2 2 3 4 2 11" xfId="34295" xr:uid="{00000000-0005-0000-0000-000085190000}"/>
    <cellStyle name="Comma 2 2 3 4 2 12" xfId="36027" xr:uid="{00000000-0005-0000-0000-000086190000}"/>
    <cellStyle name="Comma 2 2 3 4 2 13" xfId="36327" xr:uid="{00000000-0005-0000-0000-000087190000}"/>
    <cellStyle name="Comma 2 2 3 4 2 14" xfId="37500" xr:uid="{00000000-0005-0000-0000-000088190000}"/>
    <cellStyle name="Comma 2 2 3 4 2 15" xfId="41446" xr:uid="{00000000-0005-0000-0000-000089190000}"/>
    <cellStyle name="Comma 2 2 3 4 2 16" xfId="44403" xr:uid="{00000000-0005-0000-0000-00008A190000}"/>
    <cellStyle name="Comma 2 2 3 4 2 17" xfId="8532" xr:uid="{00000000-0005-0000-0000-00008B190000}"/>
    <cellStyle name="Comma 2 2 3 4 2 2" xfId="6041" xr:uid="{00000000-0005-0000-0000-00008C190000}"/>
    <cellStyle name="Comma 2 2 3 4 2 2 10" xfId="34417" xr:uid="{00000000-0005-0000-0000-00008D190000}"/>
    <cellStyle name="Comma 2 2 3 4 2 2 11" xfId="36585" xr:uid="{00000000-0005-0000-0000-00008E190000}"/>
    <cellStyle name="Comma 2 2 3 4 2 2 12" xfId="38806" xr:uid="{00000000-0005-0000-0000-00008F190000}"/>
    <cellStyle name="Comma 2 2 3 4 2 2 13" xfId="41845" xr:uid="{00000000-0005-0000-0000-000090190000}"/>
    <cellStyle name="Comma 2 2 3 4 2 2 14" xfId="44404" xr:uid="{00000000-0005-0000-0000-000091190000}"/>
    <cellStyle name="Comma 2 2 3 4 2 2 15" xfId="8750" xr:uid="{00000000-0005-0000-0000-000092190000}"/>
    <cellStyle name="Comma 2 2 3 4 2 2 2" xfId="12749" xr:uid="{00000000-0005-0000-0000-000093190000}"/>
    <cellStyle name="Comma 2 2 3 4 2 2 2 2" xfId="31331" xr:uid="{00000000-0005-0000-0000-000094190000}"/>
    <cellStyle name="Comma 2 2 3 4 2 2 2 3" xfId="33185" xr:uid="{00000000-0005-0000-0000-000095190000}"/>
    <cellStyle name="Comma 2 2 3 4 2 2 2 4" xfId="35008" xr:uid="{00000000-0005-0000-0000-000096190000}"/>
    <cellStyle name="Comma 2 2 3 4 2 2 2 5" xfId="37106" xr:uid="{00000000-0005-0000-0000-000097190000}"/>
    <cellStyle name="Comma 2 2 3 4 2 2 2 6" xfId="40355" xr:uid="{00000000-0005-0000-0000-000098190000}"/>
    <cellStyle name="Comma 2 2 3 4 2 2 2 7" xfId="43173" xr:uid="{00000000-0005-0000-0000-000099190000}"/>
    <cellStyle name="Comma 2 2 3 4 2 2 2 8" xfId="44405" xr:uid="{00000000-0005-0000-0000-00009A190000}"/>
    <cellStyle name="Comma 2 2 3 4 2 2 3" xfId="11966" xr:uid="{00000000-0005-0000-0000-00009B190000}"/>
    <cellStyle name="Comma 2 2 3 4 2 2 4" xfId="15442" xr:uid="{00000000-0005-0000-0000-00009C190000}"/>
    <cellStyle name="Comma 2 2 3 4 2 2 5" xfId="29940" xr:uid="{00000000-0005-0000-0000-00009D190000}"/>
    <cellStyle name="Comma 2 2 3 4 2 2 6" xfId="30740" xr:uid="{00000000-0005-0000-0000-00009E190000}"/>
    <cellStyle name="Comma 2 2 3 4 2 2 7" xfId="31763" xr:uid="{00000000-0005-0000-0000-00009F190000}"/>
    <cellStyle name="Comma 2 2 3 4 2 2 8" xfId="32405" xr:uid="{00000000-0005-0000-0000-0000A0190000}"/>
    <cellStyle name="Comma 2 2 3 4 2 2 9" xfId="33617" xr:uid="{00000000-0005-0000-0000-0000A1190000}"/>
    <cellStyle name="Comma 2 2 3 4 2 3" xfId="6361" xr:uid="{00000000-0005-0000-0000-0000A2190000}"/>
    <cellStyle name="Comma 2 2 3 4 2 3 2" xfId="31209" xr:uid="{00000000-0005-0000-0000-0000A3190000}"/>
    <cellStyle name="Comma 2 2 3 4 2 3 2 2" xfId="40594" xr:uid="{00000000-0005-0000-0000-0000A4190000}"/>
    <cellStyle name="Comma 2 2 3 4 2 3 2 3" xfId="43380" xr:uid="{00000000-0005-0000-0000-0000A5190000}"/>
    <cellStyle name="Comma 2 2 3 4 2 3 2 4" xfId="44406" xr:uid="{00000000-0005-0000-0000-0000A6190000}"/>
    <cellStyle name="Comma 2 2 3 4 2 3 3" xfId="33065" xr:uid="{00000000-0005-0000-0000-0000A7190000}"/>
    <cellStyle name="Comma 2 2 3 4 2 3 4" xfId="34886" xr:uid="{00000000-0005-0000-0000-0000A8190000}"/>
    <cellStyle name="Comma 2 2 3 4 2 3 5" xfId="36986" xr:uid="{00000000-0005-0000-0000-0000A9190000}"/>
    <cellStyle name="Comma 2 2 3 4 2 3 6" xfId="39026" xr:uid="{00000000-0005-0000-0000-0000AA190000}"/>
    <cellStyle name="Comma 2 2 3 4 2 3 7" xfId="42052" xr:uid="{00000000-0005-0000-0000-0000AB190000}"/>
    <cellStyle name="Comma 2 2 3 4 2 3 8" xfId="44407" xr:uid="{00000000-0005-0000-0000-0000AC190000}"/>
    <cellStyle name="Comma 2 2 3 4 2 3 9" xfId="12567" xr:uid="{00000000-0005-0000-0000-0000AD190000}"/>
    <cellStyle name="Comma 2 2 3 4 2 4" xfId="11844" xr:uid="{00000000-0005-0000-0000-0000AE190000}"/>
    <cellStyle name="Comma 2 2 3 4 2 4 2" xfId="41211" xr:uid="{00000000-0005-0000-0000-0000AF190000}"/>
    <cellStyle name="Comma 2 2 3 4 2 4 2 2" xfId="43891" xr:uid="{00000000-0005-0000-0000-0000B0190000}"/>
    <cellStyle name="Comma 2 2 3 4 2 4 2 3" xfId="44408" xr:uid="{00000000-0005-0000-0000-0000B1190000}"/>
    <cellStyle name="Comma 2 2 3 4 2 4 3" xfId="39628" xr:uid="{00000000-0005-0000-0000-0000B2190000}"/>
    <cellStyle name="Comma 2 2 3 4 2 4 4" xfId="42563" xr:uid="{00000000-0005-0000-0000-0000B3190000}"/>
    <cellStyle name="Comma 2 2 3 4 2 4 5" xfId="44409" xr:uid="{00000000-0005-0000-0000-0000B4190000}"/>
    <cellStyle name="Comma 2 2 3 4 2 5" xfId="15441" xr:uid="{00000000-0005-0000-0000-0000B5190000}"/>
    <cellStyle name="Comma 2 2 3 4 2 5 2" xfId="39875" xr:uid="{00000000-0005-0000-0000-0000B6190000}"/>
    <cellStyle name="Comma 2 2 3 4 2 5 3" xfId="42774" xr:uid="{00000000-0005-0000-0000-0000B7190000}"/>
    <cellStyle name="Comma 2 2 3 4 2 5 4" xfId="44410" xr:uid="{00000000-0005-0000-0000-0000B8190000}"/>
    <cellStyle name="Comma 2 2 3 4 2 6" xfId="29939" xr:uid="{00000000-0005-0000-0000-0000B9190000}"/>
    <cellStyle name="Comma 2 2 3 4 2 7" xfId="30618" xr:uid="{00000000-0005-0000-0000-0000BA190000}"/>
    <cellStyle name="Comma 2 2 3 4 2 8" xfId="31762" xr:uid="{00000000-0005-0000-0000-0000BB190000}"/>
    <cellStyle name="Comma 2 2 3 4 2 9" xfId="32404" xr:uid="{00000000-0005-0000-0000-0000BC190000}"/>
    <cellStyle name="Comma 2 2 3 4 3" xfId="4413" xr:uid="{00000000-0005-0000-0000-0000BD190000}"/>
    <cellStyle name="Comma 2 2 3 4 3 10" xfId="34416" xr:uid="{00000000-0005-0000-0000-0000BE190000}"/>
    <cellStyle name="Comma 2 2 3 4 3 11" xfId="35596" xr:uid="{00000000-0005-0000-0000-0000BF190000}"/>
    <cellStyle name="Comma 2 2 3 4 3 12" xfId="36584" xr:uid="{00000000-0005-0000-0000-0000C0190000}"/>
    <cellStyle name="Comma 2 2 3 4 3 13" xfId="38665" xr:uid="{00000000-0005-0000-0000-0000C1190000}"/>
    <cellStyle name="Comma 2 2 3 4 3 14" xfId="41705" xr:uid="{00000000-0005-0000-0000-0000C2190000}"/>
    <cellStyle name="Comma 2 2 3 4 3 15" xfId="44411" xr:uid="{00000000-0005-0000-0000-0000C3190000}"/>
    <cellStyle name="Comma 2 2 3 4 3 16" xfId="8749" xr:uid="{00000000-0005-0000-0000-0000C4190000}"/>
    <cellStyle name="Comma 2 2 3 4 3 2" xfId="5864" xr:uid="{00000000-0005-0000-0000-0000C5190000}"/>
    <cellStyle name="Comma 2 2 3 4 3 2 2" xfId="31330" xr:uid="{00000000-0005-0000-0000-0000C6190000}"/>
    <cellStyle name="Comma 2 2 3 4 3 2 2 2" xfId="40730" xr:uid="{00000000-0005-0000-0000-0000C7190000}"/>
    <cellStyle name="Comma 2 2 3 4 3 2 2 3" xfId="43493" xr:uid="{00000000-0005-0000-0000-0000C8190000}"/>
    <cellStyle name="Comma 2 2 3 4 3 2 2 4" xfId="44412" xr:uid="{00000000-0005-0000-0000-0000C9190000}"/>
    <cellStyle name="Comma 2 2 3 4 3 2 3" xfId="33184" xr:uid="{00000000-0005-0000-0000-0000CA190000}"/>
    <cellStyle name="Comma 2 2 3 4 3 2 4" xfId="35007" xr:uid="{00000000-0005-0000-0000-0000CB190000}"/>
    <cellStyle name="Comma 2 2 3 4 3 2 5" xfId="37105" xr:uid="{00000000-0005-0000-0000-0000CC190000}"/>
    <cellStyle name="Comma 2 2 3 4 3 2 6" xfId="39157" xr:uid="{00000000-0005-0000-0000-0000CD190000}"/>
    <cellStyle name="Comma 2 2 3 4 3 2 7" xfId="42165" xr:uid="{00000000-0005-0000-0000-0000CE190000}"/>
    <cellStyle name="Comma 2 2 3 4 3 2 8" xfId="44413" xr:uid="{00000000-0005-0000-0000-0000CF190000}"/>
    <cellStyle name="Comma 2 2 3 4 3 2 9" xfId="12748" xr:uid="{00000000-0005-0000-0000-0000D0190000}"/>
    <cellStyle name="Comma 2 2 3 4 3 3" xfId="11965" xr:uid="{00000000-0005-0000-0000-0000D1190000}"/>
    <cellStyle name="Comma 2 2 3 4 3 3 2" xfId="41039" xr:uid="{00000000-0005-0000-0000-0000D2190000}"/>
    <cellStyle name="Comma 2 2 3 4 3 3 2 2" xfId="43751" xr:uid="{00000000-0005-0000-0000-0000D3190000}"/>
    <cellStyle name="Comma 2 2 3 4 3 3 2 3" xfId="44414" xr:uid="{00000000-0005-0000-0000-0000D4190000}"/>
    <cellStyle name="Comma 2 2 3 4 3 3 3" xfId="39463" xr:uid="{00000000-0005-0000-0000-0000D5190000}"/>
    <cellStyle name="Comma 2 2 3 4 3 3 4" xfId="42423" xr:uid="{00000000-0005-0000-0000-0000D6190000}"/>
    <cellStyle name="Comma 2 2 3 4 3 3 5" xfId="44415" xr:uid="{00000000-0005-0000-0000-0000D7190000}"/>
    <cellStyle name="Comma 2 2 3 4 3 4" xfId="15443" xr:uid="{00000000-0005-0000-0000-0000D8190000}"/>
    <cellStyle name="Comma 2 2 3 4 3 4 2" xfId="40184" xr:uid="{00000000-0005-0000-0000-0000D9190000}"/>
    <cellStyle name="Comma 2 2 3 4 3 4 3" xfId="43033" xr:uid="{00000000-0005-0000-0000-0000DA190000}"/>
    <cellStyle name="Comma 2 2 3 4 3 4 4" xfId="44416" xr:uid="{00000000-0005-0000-0000-0000DB190000}"/>
    <cellStyle name="Comma 2 2 3 4 3 5" xfId="29941" xr:uid="{00000000-0005-0000-0000-0000DC190000}"/>
    <cellStyle name="Comma 2 2 3 4 3 6" xfId="30739" xr:uid="{00000000-0005-0000-0000-0000DD190000}"/>
    <cellStyle name="Comma 2 2 3 4 3 7" xfId="31764" xr:uid="{00000000-0005-0000-0000-0000DE190000}"/>
    <cellStyle name="Comma 2 2 3 4 3 8" xfId="32406" xr:uid="{00000000-0005-0000-0000-0000DF190000}"/>
    <cellStyle name="Comma 2 2 3 4 3 9" xfId="33618" xr:uid="{00000000-0005-0000-0000-0000E0190000}"/>
    <cellStyle name="Comma 2 2 3 4 4" xfId="5726" xr:uid="{00000000-0005-0000-0000-0000E1190000}"/>
    <cellStyle name="Comma 2 2 3 4 4 10" xfId="34622" xr:uid="{00000000-0005-0000-0000-0000E2190000}"/>
    <cellStyle name="Comma 2 2 3 4 4 11" xfId="36750" xr:uid="{00000000-0005-0000-0000-0000E3190000}"/>
    <cellStyle name="Comma 2 2 3 4 4 12" xfId="38093" xr:uid="{00000000-0005-0000-0000-0000E4190000}"/>
    <cellStyle name="Comma 2 2 3 4 4 13" xfId="41590" xr:uid="{00000000-0005-0000-0000-0000E5190000}"/>
    <cellStyle name="Comma 2 2 3 4 4 14" xfId="44417" xr:uid="{00000000-0005-0000-0000-0000E6190000}"/>
    <cellStyle name="Comma 2 2 3 4 4 15" xfId="11508" xr:uid="{00000000-0005-0000-0000-0000E7190000}"/>
    <cellStyle name="Comma 2 2 3 4 4 2" xfId="15129" xr:uid="{00000000-0005-0000-0000-0000E8190000}"/>
    <cellStyle name="Comma 2 2 3 4 4 2 2" xfId="31536" xr:uid="{00000000-0005-0000-0000-0000E9190000}"/>
    <cellStyle name="Comma 2 2 3 4 4 2 3" xfId="33389" xr:uid="{00000000-0005-0000-0000-0000EA190000}"/>
    <cellStyle name="Comma 2 2 3 4 4 2 4" xfId="35213" xr:uid="{00000000-0005-0000-0000-0000EB190000}"/>
    <cellStyle name="Comma 2 2 3 4 4 2 5" xfId="37293" xr:uid="{00000000-0005-0000-0000-0000EC190000}"/>
    <cellStyle name="Comma 2 2 3 4 4 2 6" xfId="40049" xr:uid="{00000000-0005-0000-0000-0000ED190000}"/>
    <cellStyle name="Comma 2 2 3 4 4 2 7" xfId="42918" xr:uid="{00000000-0005-0000-0000-0000EE190000}"/>
    <cellStyle name="Comma 2 2 3 4 4 2 8" xfId="44418" xr:uid="{00000000-0005-0000-0000-0000EF190000}"/>
    <cellStyle name="Comma 2 2 3 4 4 3" xfId="12171" xr:uid="{00000000-0005-0000-0000-0000F0190000}"/>
    <cellStyle name="Comma 2 2 3 4 4 4" xfId="15444" xr:uid="{00000000-0005-0000-0000-0000F1190000}"/>
    <cellStyle name="Comma 2 2 3 4 4 5" xfId="29942" xr:uid="{00000000-0005-0000-0000-0000F2190000}"/>
    <cellStyle name="Comma 2 2 3 4 4 6" xfId="30945" xr:uid="{00000000-0005-0000-0000-0000F3190000}"/>
    <cellStyle name="Comma 2 2 3 4 4 7" xfId="31765" xr:uid="{00000000-0005-0000-0000-0000F4190000}"/>
    <cellStyle name="Comma 2 2 3 4 4 8" xfId="32407" xr:uid="{00000000-0005-0000-0000-0000F5190000}"/>
    <cellStyle name="Comma 2 2 3 4 4 9" xfId="33619" xr:uid="{00000000-0005-0000-0000-0000F6190000}"/>
    <cellStyle name="Comma 2 2 3 4 5" xfId="6185" xr:uid="{00000000-0005-0000-0000-0000F7190000}"/>
    <cellStyle name="Comma 2 2 3 4 5 2" xfId="31057" xr:uid="{00000000-0005-0000-0000-0000F8190000}"/>
    <cellStyle name="Comma 2 2 3 4 5 2 2" xfId="40486" xr:uid="{00000000-0005-0000-0000-0000F9190000}"/>
    <cellStyle name="Comma 2 2 3 4 5 2 3" xfId="43287" xr:uid="{00000000-0005-0000-0000-0000FA190000}"/>
    <cellStyle name="Comma 2 2 3 4 5 2 4" xfId="44419" xr:uid="{00000000-0005-0000-0000-0000FB190000}"/>
    <cellStyle name="Comma 2 2 3 4 5 3" xfId="32925" xr:uid="{00000000-0005-0000-0000-0000FC190000}"/>
    <cellStyle name="Comma 2 2 3 4 5 4" xfId="34734" xr:uid="{00000000-0005-0000-0000-0000FD190000}"/>
    <cellStyle name="Comma 2 2 3 4 5 5" xfId="36842" xr:uid="{00000000-0005-0000-0000-0000FE190000}"/>
    <cellStyle name="Comma 2 2 3 4 5 6" xfId="38928" xr:uid="{00000000-0005-0000-0000-0000FF190000}"/>
    <cellStyle name="Comma 2 2 3 4 5 7" xfId="41959" xr:uid="{00000000-0005-0000-0000-0000001A0000}"/>
    <cellStyle name="Comma 2 2 3 4 5 8" xfId="44420" xr:uid="{00000000-0005-0000-0000-0000011A0000}"/>
    <cellStyle name="Comma 2 2 3 4 5 9" xfId="12284" xr:uid="{00000000-0005-0000-0000-0000021A0000}"/>
    <cellStyle name="Comma 2 2 3 4 6" xfId="11691" xr:uid="{00000000-0005-0000-0000-0000031A0000}"/>
    <cellStyle name="Comma 2 2 3 4 6 2" xfId="40901" xr:uid="{00000000-0005-0000-0000-0000041A0000}"/>
    <cellStyle name="Comma 2 2 3 4 6 2 2" xfId="43636" xr:uid="{00000000-0005-0000-0000-0000051A0000}"/>
    <cellStyle name="Comma 2 2 3 4 6 2 3" xfId="44421" xr:uid="{00000000-0005-0000-0000-0000061A0000}"/>
    <cellStyle name="Comma 2 2 3 4 6 3" xfId="39330" xr:uid="{00000000-0005-0000-0000-0000071A0000}"/>
    <cellStyle name="Comma 2 2 3 4 6 4" xfId="42308" xr:uid="{00000000-0005-0000-0000-0000081A0000}"/>
    <cellStyle name="Comma 2 2 3 4 6 5" xfId="44422" xr:uid="{00000000-0005-0000-0000-0000091A0000}"/>
    <cellStyle name="Comma 2 2 3 4 7" xfId="15440" xr:uid="{00000000-0005-0000-0000-00000A1A0000}"/>
    <cellStyle name="Comma 2 2 3 4 7 2" xfId="39793" xr:uid="{00000000-0005-0000-0000-00000B1A0000}"/>
    <cellStyle name="Comma 2 2 3 4 7 3" xfId="42701" xr:uid="{00000000-0005-0000-0000-00000C1A0000}"/>
    <cellStyle name="Comma 2 2 3 4 7 4" xfId="44423" xr:uid="{00000000-0005-0000-0000-00000D1A0000}"/>
    <cellStyle name="Comma 2 2 3 4 8" xfId="29938" xr:uid="{00000000-0005-0000-0000-00000E1A0000}"/>
    <cellStyle name="Comma 2 2 3 4 9" xfId="30466" xr:uid="{00000000-0005-0000-0000-00000F1A0000}"/>
    <cellStyle name="Comma 2 2 3 5" xfId="2762" xr:uid="{00000000-0005-0000-0000-0000101A0000}"/>
    <cellStyle name="Comma 2 2 3 5 10" xfId="32408" xr:uid="{00000000-0005-0000-0000-0000111A0000}"/>
    <cellStyle name="Comma 2 2 3 5 11" xfId="33620" xr:uid="{00000000-0005-0000-0000-0000121A0000}"/>
    <cellStyle name="Comma 2 2 3 5 12" xfId="34173" xr:uid="{00000000-0005-0000-0000-0000131A0000}"/>
    <cellStyle name="Comma 2 2 3 5 13" xfId="35324" xr:uid="{00000000-0005-0000-0000-0000141A0000}"/>
    <cellStyle name="Comma 2 2 3 5 14" xfId="36187" xr:uid="{00000000-0005-0000-0000-0000151A0000}"/>
    <cellStyle name="Comma 2 2 3 5 15" xfId="37423" xr:uid="{00000000-0005-0000-0000-0000161A0000}"/>
    <cellStyle name="Comma 2 2 3 5 16" xfId="41370" xr:uid="{00000000-0005-0000-0000-0000171A0000}"/>
    <cellStyle name="Comma 2 2 3 5 17" xfId="44424" xr:uid="{00000000-0005-0000-0000-0000181A0000}"/>
    <cellStyle name="Comma 2 2 3 5 18" xfId="7336" xr:uid="{00000000-0005-0000-0000-0000191A0000}"/>
    <cellStyle name="Comma 2 2 3 5 2" xfId="5073" xr:uid="{00000000-0005-0000-0000-00001A1A0000}"/>
    <cellStyle name="Comma 2 2 3 5 2 10" xfId="33621" xr:uid="{00000000-0005-0000-0000-00001B1A0000}"/>
    <cellStyle name="Comma 2 2 3 5 2 11" xfId="34325" xr:uid="{00000000-0005-0000-0000-00001C1A0000}"/>
    <cellStyle name="Comma 2 2 3 5 2 12" xfId="36028" xr:uid="{00000000-0005-0000-0000-00001D1A0000}"/>
    <cellStyle name="Comma 2 2 3 5 2 13" xfId="36328" xr:uid="{00000000-0005-0000-0000-00001E1A0000}"/>
    <cellStyle name="Comma 2 2 3 5 2 14" xfId="37568" xr:uid="{00000000-0005-0000-0000-00001F1A0000}"/>
    <cellStyle name="Comma 2 2 3 5 2 15" xfId="41514" xr:uid="{00000000-0005-0000-0000-0000201A0000}"/>
    <cellStyle name="Comma 2 2 3 5 2 16" xfId="44425" xr:uid="{00000000-0005-0000-0000-0000211A0000}"/>
    <cellStyle name="Comma 2 2 3 5 2 17" xfId="8595" xr:uid="{00000000-0005-0000-0000-0000221A0000}"/>
    <cellStyle name="Comma 2 2 3 5 2 2" xfId="6042" xr:uid="{00000000-0005-0000-0000-0000231A0000}"/>
    <cellStyle name="Comma 2 2 3 5 2 2 10" xfId="34419" xr:uid="{00000000-0005-0000-0000-0000241A0000}"/>
    <cellStyle name="Comma 2 2 3 5 2 2 11" xfId="36587" xr:uid="{00000000-0005-0000-0000-0000251A0000}"/>
    <cellStyle name="Comma 2 2 3 5 2 2 12" xfId="38807" xr:uid="{00000000-0005-0000-0000-0000261A0000}"/>
    <cellStyle name="Comma 2 2 3 5 2 2 13" xfId="41846" xr:uid="{00000000-0005-0000-0000-0000271A0000}"/>
    <cellStyle name="Comma 2 2 3 5 2 2 14" xfId="44426" xr:uid="{00000000-0005-0000-0000-0000281A0000}"/>
    <cellStyle name="Comma 2 2 3 5 2 2 15" xfId="8752" xr:uid="{00000000-0005-0000-0000-0000291A0000}"/>
    <cellStyle name="Comma 2 2 3 5 2 2 2" xfId="12751" xr:uid="{00000000-0005-0000-0000-00002A1A0000}"/>
    <cellStyle name="Comma 2 2 3 5 2 2 2 2" xfId="31333" xr:uid="{00000000-0005-0000-0000-00002B1A0000}"/>
    <cellStyle name="Comma 2 2 3 5 2 2 2 3" xfId="33187" xr:uid="{00000000-0005-0000-0000-00002C1A0000}"/>
    <cellStyle name="Comma 2 2 3 5 2 2 2 4" xfId="35010" xr:uid="{00000000-0005-0000-0000-00002D1A0000}"/>
    <cellStyle name="Comma 2 2 3 5 2 2 2 5" xfId="37108" xr:uid="{00000000-0005-0000-0000-00002E1A0000}"/>
    <cellStyle name="Comma 2 2 3 5 2 2 2 6" xfId="40356" xr:uid="{00000000-0005-0000-0000-00002F1A0000}"/>
    <cellStyle name="Comma 2 2 3 5 2 2 2 7" xfId="43174" xr:uid="{00000000-0005-0000-0000-0000301A0000}"/>
    <cellStyle name="Comma 2 2 3 5 2 2 2 8" xfId="44427" xr:uid="{00000000-0005-0000-0000-0000311A0000}"/>
    <cellStyle name="Comma 2 2 3 5 2 2 3" xfId="11968" xr:uid="{00000000-0005-0000-0000-0000321A0000}"/>
    <cellStyle name="Comma 2 2 3 5 2 2 4" xfId="15447" xr:uid="{00000000-0005-0000-0000-0000331A0000}"/>
    <cellStyle name="Comma 2 2 3 5 2 2 5" xfId="29945" xr:uid="{00000000-0005-0000-0000-0000341A0000}"/>
    <cellStyle name="Comma 2 2 3 5 2 2 6" xfId="30742" xr:uid="{00000000-0005-0000-0000-0000351A0000}"/>
    <cellStyle name="Comma 2 2 3 5 2 2 7" xfId="31768" xr:uid="{00000000-0005-0000-0000-0000361A0000}"/>
    <cellStyle name="Comma 2 2 3 5 2 2 8" xfId="32410" xr:uid="{00000000-0005-0000-0000-0000371A0000}"/>
    <cellStyle name="Comma 2 2 3 5 2 2 9" xfId="33622" xr:uid="{00000000-0005-0000-0000-0000381A0000}"/>
    <cellStyle name="Comma 2 2 3 5 2 3" xfId="6362" xr:uid="{00000000-0005-0000-0000-0000391A0000}"/>
    <cellStyle name="Comma 2 2 3 5 2 3 2" xfId="31239" xr:uid="{00000000-0005-0000-0000-00003A1A0000}"/>
    <cellStyle name="Comma 2 2 3 5 2 3 2 2" xfId="40790" xr:uid="{00000000-0005-0000-0000-00003B1A0000}"/>
    <cellStyle name="Comma 2 2 3 5 2 3 2 3" xfId="43545" xr:uid="{00000000-0005-0000-0000-00003C1A0000}"/>
    <cellStyle name="Comma 2 2 3 5 2 3 2 4" xfId="44428" xr:uid="{00000000-0005-0000-0000-00003D1A0000}"/>
    <cellStyle name="Comma 2 2 3 5 2 3 3" xfId="33093" xr:uid="{00000000-0005-0000-0000-00003E1A0000}"/>
    <cellStyle name="Comma 2 2 3 5 2 3 4" xfId="34916" xr:uid="{00000000-0005-0000-0000-00003F1A0000}"/>
    <cellStyle name="Comma 2 2 3 5 2 3 5" xfId="37014" xr:uid="{00000000-0005-0000-0000-0000401A0000}"/>
    <cellStyle name="Comma 2 2 3 5 2 3 6" xfId="39227" xr:uid="{00000000-0005-0000-0000-0000411A0000}"/>
    <cellStyle name="Comma 2 2 3 5 2 3 7" xfId="42217" xr:uid="{00000000-0005-0000-0000-0000421A0000}"/>
    <cellStyle name="Comma 2 2 3 5 2 3 8" xfId="44429" xr:uid="{00000000-0005-0000-0000-0000431A0000}"/>
    <cellStyle name="Comma 2 2 3 5 2 3 9" xfId="12601" xr:uid="{00000000-0005-0000-0000-0000441A0000}"/>
    <cellStyle name="Comma 2 2 3 5 2 4" xfId="11874" xr:uid="{00000000-0005-0000-0000-0000451A0000}"/>
    <cellStyle name="Comma 2 2 3 5 2 4 2" xfId="41212" xr:uid="{00000000-0005-0000-0000-0000461A0000}"/>
    <cellStyle name="Comma 2 2 3 5 2 4 2 2" xfId="43892" xr:uid="{00000000-0005-0000-0000-0000471A0000}"/>
    <cellStyle name="Comma 2 2 3 5 2 4 2 3" xfId="44430" xr:uid="{00000000-0005-0000-0000-0000481A0000}"/>
    <cellStyle name="Comma 2 2 3 5 2 4 3" xfId="39629" xr:uid="{00000000-0005-0000-0000-0000491A0000}"/>
    <cellStyle name="Comma 2 2 3 5 2 4 4" xfId="42564" xr:uid="{00000000-0005-0000-0000-00004A1A0000}"/>
    <cellStyle name="Comma 2 2 3 5 2 4 5" xfId="44431" xr:uid="{00000000-0005-0000-0000-00004B1A0000}"/>
    <cellStyle name="Comma 2 2 3 5 2 5" xfId="15446" xr:uid="{00000000-0005-0000-0000-00004C1A0000}"/>
    <cellStyle name="Comma 2 2 3 5 2 5 2" xfId="39954" xr:uid="{00000000-0005-0000-0000-00004D1A0000}"/>
    <cellStyle name="Comma 2 2 3 5 2 5 3" xfId="42842" xr:uid="{00000000-0005-0000-0000-00004E1A0000}"/>
    <cellStyle name="Comma 2 2 3 5 2 5 4" xfId="44432" xr:uid="{00000000-0005-0000-0000-00004F1A0000}"/>
    <cellStyle name="Comma 2 2 3 5 2 6" xfId="29944" xr:uid="{00000000-0005-0000-0000-0000501A0000}"/>
    <cellStyle name="Comma 2 2 3 5 2 7" xfId="30648" xr:uid="{00000000-0005-0000-0000-0000511A0000}"/>
    <cellStyle name="Comma 2 2 3 5 2 8" xfId="31767" xr:uid="{00000000-0005-0000-0000-0000521A0000}"/>
    <cellStyle name="Comma 2 2 3 5 2 9" xfId="32409" xr:uid="{00000000-0005-0000-0000-0000531A0000}"/>
    <cellStyle name="Comma 2 2 3 5 3" xfId="4414" xr:uid="{00000000-0005-0000-0000-0000541A0000}"/>
    <cellStyle name="Comma 2 2 3 5 3 10" xfId="34418" xr:uid="{00000000-0005-0000-0000-0000551A0000}"/>
    <cellStyle name="Comma 2 2 3 5 3 11" xfId="35597" xr:uid="{00000000-0005-0000-0000-0000561A0000}"/>
    <cellStyle name="Comma 2 2 3 5 3 12" xfId="36586" xr:uid="{00000000-0005-0000-0000-0000571A0000}"/>
    <cellStyle name="Comma 2 2 3 5 3 13" xfId="38666" xr:uid="{00000000-0005-0000-0000-0000581A0000}"/>
    <cellStyle name="Comma 2 2 3 5 3 14" xfId="41706" xr:uid="{00000000-0005-0000-0000-0000591A0000}"/>
    <cellStyle name="Comma 2 2 3 5 3 15" xfId="44433" xr:uid="{00000000-0005-0000-0000-00005A1A0000}"/>
    <cellStyle name="Comma 2 2 3 5 3 16" xfId="8751" xr:uid="{00000000-0005-0000-0000-00005B1A0000}"/>
    <cellStyle name="Comma 2 2 3 5 3 2" xfId="5865" xr:uid="{00000000-0005-0000-0000-00005C1A0000}"/>
    <cellStyle name="Comma 2 2 3 5 3 2 2" xfId="31332" xr:uid="{00000000-0005-0000-0000-00005D1A0000}"/>
    <cellStyle name="Comma 2 2 3 5 3 2 2 2" xfId="41040" xr:uid="{00000000-0005-0000-0000-00005E1A0000}"/>
    <cellStyle name="Comma 2 2 3 5 3 2 2 3" xfId="43752" xr:uid="{00000000-0005-0000-0000-00005F1A0000}"/>
    <cellStyle name="Comma 2 2 3 5 3 2 2 4" xfId="44434" xr:uid="{00000000-0005-0000-0000-0000601A0000}"/>
    <cellStyle name="Comma 2 2 3 5 3 2 3" xfId="33186" xr:uid="{00000000-0005-0000-0000-0000611A0000}"/>
    <cellStyle name="Comma 2 2 3 5 3 2 4" xfId="35009" xr:uid="{00000000-0005-0000-0000-0000621A0000}"/>
    <cellStyle name="Comma 2 2 3 5 3 2 5" xfId="37107" xr:uid="{00000000-0005-0000-0000-0000631A0000}"/>
    <cellStyle name="Comma 2 2 3 5 3 2 6" xfId="39464" xr:uid="{00000000-0005-0000-0000-0000641A0000}"/>
    <cellStyle name="Comma 2 2 3 5 3 2 7" xfId="42424" xr:uid="{00000000-0005-0000-0000-0000651A0000}"/>
    <cellStyle name="Comma 2 2 3 5 3 2 8" xfId="44435" xr:uid="{00000000-0005-0000-0000-0000661A0000}"/>
    <cellStyle name="Comma 2 2 3 5 3 2 9" xfId="12750" xr:uid="{00000000-0005-0000-0000-0000671A0000}"/>
    <cellStyle name="Comma 2 2 3 5 3 3" xfId="11967" xr:uid="{00000000-0005-0000-0000-0000681A0000}"/>
    <cellStyle name="Comma 2 2 3 5 3 3 2" xfId="40185" xr:uid="{00000000-0005-0000-0000-0000691A0000}"/>
    <cellStyle name="Comma 2 2 3 5 3 3 3" xfId="43034" xr:uid="{00000000-0005-0000-0000-00006A1A0000}"/>
    <cellStyle name="Comma 2 2 3 5 3 3 4" xfId="44436" xr:uid="{00000000-0005-0000-0000-00006B1A0000}"/>
    <cellStyle name="Comma 2 2 3 5 3 4" xfId="15448" xr:uid="{00000000-0005-0000-0000-00006C1A0000}"/>
    <cellStyle name="Comma 2 2 3 5 3 5" xfId="29946" xr:uid="{00000000-0005-0000-0000-00006D1A0000}"/>
    <cellStyle name="Comma 2 2 3 5 3 6" xfId="30741" xr:uid="{00000000-0005-0000-0000-00006E1A0000}"/>
    <cellStyle name="Comma 2 2 3 5 3 7" xfId="31769" xr:uid="{00000000-0005-0000-0000-00006F1A0000}"/>
    <cellStyle name="Comma 2 2 3 5 3 8" xfId="32411" xr:uid="{00000000-0005-0000-0000-0000701A0000}"/>
    <cellStyle name="Comma 2 2 3 5 3 9" xfId="33623" xr:uid="{00000000-0005-0000-0000-0000711A0000}"/>
    <cellStyle name="Comma 2 2 3 5 4" xfId="5727" xr:uid="{00000000-0005-0000-0000-0000721A0000}"/>
    <cellStyle name="Comma 2 2 3 5 4 2" xfId="31087" xr:uid="{00000000-0005-0000-0000-0000731A0000}"/>
    <cellStyle name="Comma 2 2 3 5 4 2 2" xfId="40050" xr:uid="{00000000-0005-0000-0000-0000741A0000}"/>
    <cellStyle name="Comma 2 2 3 5 4 2 3" xfId="42919" xr:uid="{00000000-0005-0000-0000-0000751A0000}"/>
    <cellStyle name="Comma 2 2 3 5 4 2 4" xfId="44437" xr:uid="{00000000-0005-0000-0000-0000761A0000}"/>
    <cellStyle name="Comma 2 2 3 5 4 3" xfId="32949" xr:uid="{00000000-0005-0000-0000-0000771A0000}"/>
    <cellStyle name="Comma 2 2 3 5 4 4" xfId="34764" xr:uid="{00000000-0005-0000-0000-0000781A0000}"/>
    <cellStyle name="Comma 2 2 3 5 4 5" xfId="36870" xr:uid="{00000000-0005-0000-0000-0000791A0000}"/>
    <cellStyle name="Comma 2 2 3 5 4 6" xfId="38094" xr:uid="{00000000-0005-0000-0000-00007A1A0000}"/>
    <cellStyle name="Comma 2 2 3 5 4 7" xfId="41591" xr:uid="{00000000-0005-0000-0000-00007B1A0000}"/>
    <cellStyle name="Comma 2 2 3 5 4 8" xfId="44438" xr:uid="{00000000-0005-0000-0000-00007C1A0000}"/>
    <cellStyle name="Comma 2 2 3 5 4 9" xfId="12315" xr:uid="{00000000-0005-0000-0000-00007D1A0000}"/>
    <cellStyle name="Comma 2 2 3 5 5" xfId="6186" xr:uid="{00000000-0005-0000-0000-00007E1A0000}"/>
    <cellStyle name="Comma 2 2 3 5 5 2" xfId="40595" xr:uid="{00000000-0005-0000-0000-00007F1A0000}"/>
    <cellStyle name="Comma 2 2 3 5 5 2 2" xfId="43381" xr:uid="{00000000-0005-0000-0000-0000801A0000}"/>
    <cellStyle name="Comma 2 2 3 5 5 2 3" xfId="44439" xr:uid="{00000000-0005-0000-0000-0000811A0000}"/>
    <cellStyle name="Comma 2 2 3 5 5 3" xfId="39027" xr:uid="{00000000-0005-0000-0000-0000821A0000}"/>
    <cellStyle name="Comma 2 2 3 5 5 4" xfId="42053" xr:uid="{00000000-0005-0000-0000-0000831A0000}"/>
    <cellStyle name="Comma 2 2 3 5 5 5" xfId="44440" xr:uid="{00000000-0005-0000-0000-0000841A0000}"/>
    <cellStyle name="Comma 2 2 3 5 5 6" xfId="11722" xr:uid="{00000000-0005-0000-0000-0000851A0000}"/>
    <cellStyle name="Comma 2 2 3 5 6" xfId="15445" xr:uid="{00000000-0005-0000-0000-0000861A0000}"/>
    <cellStyle name="Comma 2 2 3 5 6 2" xfId="40902" xr:uid="{00000000-0005-0000-0000-0000871A0000}"/>
    <cellStyle name="Comma 2 2 3 5 6 2 2" xfId="43637" xr:uid="{00000000-0005-0000-0000-0000881A0000}"/>
    <cellStyle name="Comma 2 2 3 5 6 2 3" xfId="44441" xr:uid="{00000000-0005-0000-0000-0000891A0000}"/>
    <cellStyle name="Comma 2 2 3 5 6 3" xfId="39331" xr:uid="{00000000-0005-0000-0000-00008A1A0000}"/>
    <cellStyle name="Comma 2 2 3 5 6 4" xfId="42309" xr:uid="{00000000-0005-0000-0000-00008B1A0000}"/>
    <cellStyle name="Comma 2 2 3 5 6 5" xfId="44442" xr:uid="{00000000-0005-0000-0000-00008C1A0000}"/>
    <cellStyle name="Comma 2 2 3 5 7" xfId="29943" xr:uid="{00000000-0005-0000-0000-00008D1A0000}"/>
    <cellStyle name="Comma 2 2 3 5 7 2" xfId="39790" xr:uid="{00000000-0005-0000-0000-00008E1A0000}"/>
    <cellStyle name="Comma 2 2 3 5 7 3" xfId="42698" xr:uid="{00000000-0005-0000-0000-00008F1A0000}"/>
    <cellStyle name="Comma 2 2 3 5 7 4" xfId="44443" xr:uid="{00000000-0005-0000-0000-0000901A0000}"/>
    <cellStyle name="Comma 2 2 3 5 8" xfId="30496" xr:uid="{00000000-0005-0000-0000-0000911A0000}"/>
    <cellStyle name="Comma 2 2 3 5 9" xfId="31766" xr:uid="{00000000-0005-0000-0000-0000921A0000}"/>
    <cellStyle name="Comma 2 2 3 6" xfId="2758" xr:uid="{00000000-0005-0000-0000-0000931A0000}"/>
    <cellStyle name="Comma 2 2 3 6 10" xfId="33624" xr:uid="{00000000-0005-0000-0000-0000941A0000}"/>
    <cellStyle name="Comma 2 2 3 6 11" xfId="34256" xr:uid="{00000000-0005-0000-0000-0000951A0000}"/>
    <cellStyle name="Comma 2 2 3 6 12" xfId="35320" xr:uid="{00000000-0005-0000-0000-0000961A0000}"/>
    <cellStyle name="Comma 2 2 3 6 13" xfId="36324" xr:uid="{00000000-0005-0000-0000-0000971A0000}"/>
    <cellStyle name="Comma 2 2 3 6 14" xfId="37497" xr:uid="{00000000-0005-0000-0000-0000981A0000}"/>
    <cellStyle name="Comma 2 2 3 6 15" xfId="41443" xr:uid="{00000000-0005-0000-0000-0000991A0000}"/>
    <cellStyle name="Comma 2 2 3 6 16" xfId="44444" xr:uid="{00000000-0005-0000-0000-00009A1A0000}"/>
    <cellStyle name="Comma 2 2 3 6 17" xfId="8419" xr:uid="{00000000-0005-0000-0000-00009B1A0000}"/>
    <cellStyle name="Comma 2 2 3 6 2" xfId="5069" xr:uid="{00000000-0005-0000-0000-00009C1A0000}"/>
    <cellStyle name="Comma 2 2 3 6 2 10" xfId="34420" xr:uid="{00000000-0005-0000-0000-00009D1A0000}"/>
    <cellStyle name="Comma 2 2 3 6 2 11" xfId="36024" xr:uid="{00000000-0005-0000-0000-00009E1A0000}"/>
    <cellStyle name="Comma 2 2 3 6 2 12" xfId="36588" xr:uid="{00000000-0005-0000-0000-00009F1A0000}"/>
    <cellStyle name="Comma 2 2 3 6 2 13" xfId="38803" xr:uid="{00000000-0005-0000-0000-0000A01A0000}"/>
    <cellStyle name="Comma 2 2 3 6 2 14" xfId="41842" xr:uid="{00000000-0005-0000-0000-0000A11A0000}"/>
    <cellStyle name="Comma 2 2 3 6 2 15" xfId="44445" xr:uid="{00000000-0005-0000-0000-0000A21A0000}"/>
    <cellStyle name="Comma 2 2 3 6 2 16" xfId="8753" xr:uid="{00000000-0005-0000-0000-0000A31A0000}"/>
    <cellStyle name="Comma 2 2 3 6 2 2" xfId="6038" xr:uid="{00000000-0005-0000-0000-0000A41A0000}"/>
    <cellStyle name="Comma 2 2 3 6 2 2 2" xfId="31334" xr:uid="{00000000-0005-0000-0000-0000A51A0000}"/>
    <cellStyle name="Comma 2 2 3 6 2 2 2 2" xfId="41208" xr:uid="{00000000-0005-0000-0000-0000A61A0000}"/>
    <cellStyle name="Comma 2 2 3 6 2 2 2 3" xfId="43888" xr:uid="{00000000-0005-0000-0000-0000A71A0000}"/>
    <cellStyle name="Comma 2 2 3 6 2 2 2 4" xfId="44446" xr:uid="{00000000-0005-0000-0000-0000A81A0000}"/>
    <cellStyle name="Comma 2 2 3 6 2 2 3" xfId="33188" xr:uid="{00000000-0005-0000-0000-0000A91A0000}"/>
    <cellStyle name="Comma 2 2 3 6 2 2 4" xfId="35011" xr:uid="{00000000-0005-0000-0000-0000AA1A0000}"/>
    <cellStyle name="Comma 2 2 3 6 2 2 5" xfId="37109" xr:uid="{00000000-0005-0000-0000-0000AB1A0000}"/>
    <cellStyle name="Comma 2 2 3 6 2 2 6" xfId="39625" xr:uid="{00000000-0005-0000-0000-0000AC1A0000}"/>
    <cellStyle name="Comma 2 2 3 6 2 2 7" xfId="42560" xr:uid="{00000000-0005-0000-0000-0000AD1A0000}"/>
    <cellStyle name="Comma 2 2 3 6 2 2 8" xfId="44447" xr:uid="{00000000-0005-0000-0000-0000AE1A0000}"/>
    <cellStyle name="Comma 2 2 3 6 2 2 9" xfId="12752" xr:uid="{00000000-0005-0000-0000-0000AF1A0000}"/>
    <cellStyle name="Comma 2 2 3 6 2 3" xfId="11969" xr:uid="{00000000-0005-0000-0000-0000B01A0000}"/>
    <cellStyle name="Comma 2 2 3 6 2 3 2" xfId="40352" xr:uid="{00000000-0005-0000-0000-0000B11A0000}"/>
    <cellStyle name="Comma 2 2 3 6 2 3 3" xfId="43170" xr:uid="{00000000-0005-0000-0000-0000B21A0000}"/>
    <cellStyle name="Comma 2 2 3 6 2 3 4" xfId="44448" xr:uid="{00000000-0005-0000-0000-0000B31A0000}"/>
    <cellStyle name="Comma 2 2 3 6 2 4" xfId="15450" xr:uid="{00000000-0005-0000-0000-0000B41A0000}"/>
    <cellStyle name="Comma 2 2 3 6 2 5" xfId="29948" xr:uid="{00000000-0005-0000-0000-0000B51A0000}"/>
    <cellStyle name="Comma 2 2 3 6 2 6" xfId="30743" xr:uid="{00000000-0005-0000-0000-0000B61A0000}"/>
    <cellStyle name="Comma 2 2 3 6 2 7" xfId="31771" xr:uid="{00000000-0005-0000-0000-0000B71A0000}"/>
    <cellStyle name="Comma 2 2 3 6 2 8" xfId="32413" xr:uid="{00000000-0005-0000-0000-0000B81A0000}"/>
    <cellStyle name="Comma 2 2 3 6 2 9" xfId="33625" xr:uid="{00000000-0005-0000-0000-0000B91A0000}"/>
    <cellStyle name="Comma 2 2 3 6 3" xfId="5723" xr:uid="{00000000-0005-0000-0000-0000BA1A0000}"/>
    <cellStyle name="Comma 2 2 3 6 3 2" xfId="31170" xr:uid="{00000000-0005-0000-0000-0000BB1A0000}"/>
    <cellStyle name="Comma 2 2 3 6 3 2 2" xfId="40046" xr:uid="{00000000-0005-0000-0000-0000BC1A0000}"/>
    <cellStyle name="Comma 2 2 3 6 3 2 3" xfId="42915" xr:uid="{00000000-0005-0000-0000-0000BD1A0000}"/>
    <cellStyle name="Comma 2 2 3 6 3 2 4" xfId="44449" xr:uid="{00000000-0005-0000-0000-0000BE1A0000}"/>
    <cellStyle name="Comma 2 2 3 6 3 3" xfId="33028" xr:uid="{00000000-0005-0000-0000-0000BF1A0000}"/>
    <cellStyle name="Comma 2 2 3 6 3 4" xfId="34847" xr:uid="{00000000-0005-0000-0000-0000C01A0000}"/>
    <cellStyle name="Comma 2 2 3 6 3 5" xfId="36949" xr:uid="{00000000-0005-0000-0000-0000C11A0000}"/>
    <cellStyle name="Comma 2 2 3 6 3 6" xfId="38090" xr:uid="{00000000-0005-0000-0000-0000C21A0000}"/>
    <cellStyle name="Comma 2 2 3 6 3 7" xfId="41587" xr:uid="{00000000-0005-0000-0000-0000C31A0000}"/>
    <cellStyle name="Comma 2 2 3 6 3 8" xfId="44450" xr:uid="{00000000-0005-0000-0000-0000C41A0000}"/>
    <cellStyle name="Comma 2 2 3 6 3 9" xfId="12527" xr:uid="{00000000-0005-0000-0000-0000C51A0000}"/>
    <cellStyle name="Comma 2 2 3 6 4" xfId="6358" xr:uid="{00000000-0005-0000-0000-0000C61A0000}"/>
    <cellStyle name="Comma 2 2 3 6 4 2" xfId="40591" xr:uid="{00000000-0005-0000-0000-0000C71A0000}"/>
    <cellStyle name="Comma 2 2 3 6 4 2 2" xfId="43377" xr:uid="{00000000-0005-0000-0000-0000C81A0000}"/>
    <cellStyle name="Comma 2 2 3 6 4 2 3" xfId="44451" xr:uid="{00000000-0005-0000-0000-0000C91A0000}"/>
    <cellStyle name="Comma 2 2 3 6 4 3" xfId="39023" xr:uid="{00000000-0005-0000-0000-0000CA1A0000}"/>
    <cellStyle name="Comma 2 2 3 6 4 4" xfId="42049" xr:uid="{00000000-0005-0000-0000-0000CB1A0000}"/>
    <cellStyle name="Comma 2 2 3 6 4 5" xfId="44452" xr:uid="{00000000-0005-0000-0000-0000CC1A0000}"/>
    <cellStyle name="Comma 2 2 3 6 4 6" xfId="11805" xr:uid="{00000000-0005-0000-0000-0000CD1A0000}"/>
    <cellStyle name="Comma 2 2 3 6 5" xfId="15449" xr:uid="{00000000-0005-0000-0000-0000CE1A0000}"/>
    <cellStyle name="Comma 2 2 3 6 5 2" xfId="40898" xr:uid="{00000000-0005-0000-0000-0000CF1A0000}"/>
    <cellStyle name="Comma 2 2 3 6 5 2 2" xfId="43633" xr:uid="{00000000-0005-0000-0000-0000D01A0000}"/>
    <cellStyle name="Comma 2 2 3 6 5 2 3" xfId="44453" xr:uid="{00000000-0005-0000-0000-0000D11A0000}"/>
    <cellStyle name="Comma 2 2 3 6 5 3" xfId="39327" xr:uid="{00000000-0005-0000-0000-0000D21A0000}"/>
    <cellStyle name="Comma 2 2 3 6 5 4" xfId="42305" xr:uid="{00000000-0005-0000-0000-0000D31A0000}"/>
    <cellStyle name="Comma 2 2 3 6 5 5" xfId="44454" xr:uid="{00000000-0005-0000-0000-0000D41A0000}"/>
    <cellStyle name="Comma 2 2 3 6 6" xfId="29947" xr:uid="{00000000-0005-0000-0000-0000D51A0000}"/>
    <cellStyle name="Comma 2 2 3 6 6 2" xfId="39872" xr:uid="{00000000-0005-0000-0000-0000D61A0000}"/>
    <cellStyle name="Comma 2 2 3 6 6 3" xfId="42771" xr:uid="{00000000-0005-0000-0000-0000D71A0000}"/>
    <cellStyle name="Comma 2 2 3 6 6 4" xfId="44455" xr:uid="{00000000-0005-0000-0000-0000D81A0000}"/>
    <cellStyle name="Comma 2 2 3 6 7" xfId="30579" xr:uid="{00000000-0005-0000-0000-0000D91A0000}"/>
    <cellStyle name="Comma 2 2 3 6 8" xfId="31770" xr:uid="{00000000-0005-0000-0000-0000DA1A0000}"/>
    <cellStyle name="Comma 2 2 3 6 9" xfId="32412" xr:uid="{00000000-0005-0000-0000-0000DB1A0000}"/>
    <cellStyle name="Comma 2 2 3 7" xfId="4539" xr:uid="{00000000-0005-0000-0000-0000DC1A0000}"/>
    <cellStyle name="Comma 2 2 3 7 10" xfId="33626" xr:uid="{00000000-0005-0000-0000-0000DD1A0000}"/>
    <cellStyle name="Comma 2 2 3 7 11" xfId="34195" xr:uid="{00000000-0005-0000-0000-0000DE1A0000}"/>
    <cellStyle name="Comma 2 2 3 7 12" xfId="35700" xr:uid="{00000000-0005-0000-0000-0000DF1A0000}"/>
    <cellStyle name="Comma 2 2 3 7 13" xfId="36287" xr:uid="{00000000-0005-0000-0000-0000E01A0000}"/>
    <cellStyle name="Comma 2 2 3 7 14" xfId="38765" xr:uid="{00000000-0005-0000-0000-0000E11A0000}"/>
    <cellStyle name="Comma 2 2 3 7 15" xfId="41805" xr:uid="{00000000-0005-0000-0000-0000E21A0000}"/>
    <cellStyle name="Comma 2 2 3 7 16" xfId="44456" xr:uid="{00000000-0005-0000-0000-0000E31A0000}"/>
    <cellStyle name="Comma 2 2 3 7 17" xfId="8086" xr:uid="{00000000-0005-0000-0000-0000E41A0000}"/>
    <cellStyle name="Comma 2 2 3 7 2" xfId="5988" xr:uid="{00000000-0005-0000-0000-0000E51A0000}"/>
    <cellStyle name="Comma 2 2 3 7 2 10" xfId="34421" xr:uid="{00000000-0005-0000-0000-0000E61A0000}"/>
    <cellStyle name="Comma 2 2 3 7 2 11" xfId="36589" xr:uid="{00000000-0005-0000-0000-0000E71A0000}"/>
    <cellStyle name="Comma 2 2 3 7 2 12" xfId="38983" xr:uid="{00000000-0005-0000-0000-0000E81A0000}"/>
    <cellStyle name="Comma 2 2 3 7 2 13" xfId="42012" xr:uid="{00000000-0005-0000-0000-0000E91A0000}"/>
    <cellStyle name="Comma 2 2 3 7 2 14" xfId="44457" xr:uid="{00000000-0005-0000-0000-0000EA1A0000}"/>
    <cellStyle name="Comma 2 2 3 7 2 15" xfId="8754" xr:uid="{00000000-0005-0000-0000-0000EB1A0000}"/>
    <cellStyle name="Comma 2 2 3 7 2 2" xfId="12753" xr:uid="{00000000-0005-0000-0000-0000EC1A0000}"/>
    <cellStyle name="Comma 2 2 3 7 2 2 2" xfId="31335" xr:uid="{00000000-0005-0000-0000-0000ED1A0000}"/>
    <cellStyle name="Comma 2 2 3 7 2 2 3" xfId="33189" xr:uid="{00000000-0005-0000-0000-0000EE1A0000}"/>
    <cellStyle name="Comma 2 2 3 7 2 2 4" xfId="35012" xr:uid="{00000000-0005-0000-0000-0000EF1A0000}"/>
    <cellStyle name="Comma 2 2 3 7 2 2 5" xfId="37110" xr:uid="{00000000-0005-0000-0000-0000F01A0000}"/>
    <cellStyle name="Comma 2 2 3 7 2 2 6" xfId="40546" xr:uid="{00000000-0005-0000-0000-0000F11A0000}"/>
    <cellStyle name="Comma 2 2 3 7 2 2 7" xfId="43340" xr:uid="{00000000-0005-0000-0000-0000F21A0000}"/>
    <cellStyle name="Comma 2 2 3 7 2 2 8" xfId="44458" xr:uid="{00000000-0005-0000-0000-0000F31A0000}"/>
    <cellStyle name="Comma 2 2 3 7 2 3" xfId="11970" xr:uid="{00000000-0005-0000-0000-0000F41A0000}"/>
    <cellStyle name="Comma 2 2 3 7 2 4" xfId="15452" xr:uid="{00000000-0005-0000-0000-0000F51A0000}"/>
    <cellStyle name="Comma 2 2 3 7 2 5" xfId="29950" xr:uid="{00000000-0005-0000-0000-0000F61A0000}"/>
    <cellStyle name="Comma 2 2 3 7 2 6" xfId="30744" xr:uid="{00000000-0005-0000-0000-0000F71A0000}"/>
    <cellStyle name="Comma 2 2 3 7 2 7" xfId="31773" xr:uid="{00000000-0005-0000-0000-0000F81A0000}"/>
    <cellStyle name="Comma 2 2 3 7 2 8" xfId="32415" xr:uid="{00000000-0005-0000-0000-0000F91A0000}"/>
    <cellStyle name="Comma 2 2 3 7 2 9" xfId="33627" xr:uid="{00000000-0005-0000-0000-0000FA1A0000}"/>
    <cellStyle name="Comma 2 2 3 7 3" xfId="6309" xr:uid="{00000000-0005-0000-0000-0000FB1A0000}"/>
    <cellStyle name="Comma 2 2 3 7 3 2" xfId="31109" xr:uid="{00000000-0005-0000-0000-0000FC1A0000}"/>
    <cellStyle name="Comma 2 2 3 7 3 2 2" xfId="41161" xr:uid="{00000000-0005-0000-0000-0000FD1A0000}"/>
    <cellStyle name="Comma 2 2 3 7 3 2 3" xfId="43851" xr:uid="{00000000-0005-0000-0000-0000FE1A0000}"/>
    <cellStyle name="Comma 2 2 3 7 3 2 4" xfId="44459" xr:uid="{00000000-0005-0000-0000-0000FF1A0000}"/>
    <cellStyle name="Comma 2 2 3 7 3 3" xfId="32971" xr:uid="{00000000-0005-0000-0000-0000001B0000}"/>
    <cellStyle name="Comma 2 2 3 7 3 4" xfId="34786" xr:uid="{00000000-0005-0000-0000-0000011B0000}"/>
    <cellStyle name="Comma 2 2 3 7 3 5" xfId="36892" xr:uid="{00000000-0005-0000-0000-0000021B0000}"/>
    <cellStyle name="Comma 2 2 3 7 3 6" xfId="39580" xr:uid="{00000000-0005-0000-0000-0000031B0000}"/>
    <cellStyle name="Comma 2 2 3 7 3 7" xfId="42523" xr:uid="{00000000-0005-0000-0000-0000041B0000}"/>
    <cellStyle name="Comma 2 2 3 7 3 8" xfId="44460" xr:uid="{00000000-0005-0000-0000-0000051B0000}"/>
    <cellStyle name="Comma 2 2 3 7 3 9" xfId="12398" xr:uid="{00000000-0005-0000-0000-0000061B0000}"/>
    <cellStyle name="Comma 2 2 3 7 4" xfId="11744" xr:uid="{00000000-0005-0000-0000-0000071B0000}"/>
    <cellStyle name="Comma 2 2 3 7 4 2" xfId="40306" xr:uid="{00000000-0005-0000-0000-0000081B0000}"/>
    <cellStyle name="Comma 2 2 3 7 4 3" xfId="43133" xr:uid="{00000000-0005-0000-0000-0000091B0000}"/>
    <cellStyle name="Comma 2 2 3 7 4 4" xfId="44461" xr:uid="{00000000-0005-0000-0000-00000A1B0000}"/>
    <cellStyle name="Comma 2 2 3 7 5" xfId="15451" xr:uid="{00000000-0005-0000-0000-00000B1B0000}"/>
    <cellStyle name="Comma 2 2 3 7 6" xfId="29949" xr:uid="{00000000-0005-0000-0000-00000C1B0000}"/>
    <cellStyle name="Comma 2 2 3 7 7" xfId="30518" xr:uid="{00000000-0005-0000-0000-00000D1B0000}"/>
    <cellStyle name="Comma 2 2 3 7 8" xfId="31772" xr:uid="{00000000-0005-0000-0000-00000E1B0000}"/>
    <cellStyle name="Comma 2 2 3 7 9" xfId="32414" xr:uid="{00000000-0005-0000-0000-00000F1B0000}"/>
    <cellStyle name="Comma 2 2 3 8" xfId="4410" xr:uid="{00000000-0005-0000-0000-0000101B0000}"/>
    <cellStyle name="Comma 2 2 3 8 10" xfId="34422" xr:uid="{00000000-0005-0000-0000-0000111B0000}"/>
    <cellStyle name="Comma 2 2 3 8 11" xfId="35593" xr:uid="{00000000-0005-0000-0000-0000121B0000}"/>
    <cellStyle name="Comma 2 2 3 8 12" xfId="36590" xr:uid="{00000000-0005-0000-0000-0000131B0000}"/>
    <cellStyle name="Comma 2 2 3 8 13" xfId="38662" xr:uid="{00000000-0005-0000-0000-0000141B0000}"/>
    <cellStyle name="Comma 2 2 3 8 14" xfId="41702" xr:uid="{00000000-0005-0000-0000-0000151B0000}"/>
    <cellStyle name="Comma 2 2 3 8 15" xfId="44462" xr:uid="{00000000-0005-0000-0000-0000161B0000}"/>
    <cellStyle name="Comma 2 2 3 8 16" xfId="8755" xr:uid="{00000000-0005-0000-0000-0000171B0000}"/>
    <cellStyle name="Comma 2 2 3 8 2" xfId="5861" xr:uid="{00000000-0005-0000-0000-0000181B0000}"/>
    <cellStyle name="Comma 2 2 3 8 2 2" xfId="31336" xr:uid="{00000000-0005-0000-0000-0000191B0000}"/>
    <cellStyle name="Comma 2 2 3 8 2 2 2" xfId="40727" xr:uid="{00000000-0005-0000-0000-00001A1B0000}"/>
    <cellStyle name="Comma 2 2 3 8 2 2 3" xfId="43490" xr:uid="{00000000-0005-0000-0000-00001B1B0000}"/>
    <cellStyle name="Comma 2 2 3 8 2 2 4" xfId="44463" xr:uid="{00000000-0005-0000-0000-00001C1B0000}"/>
    <cellStyle name="Comma 2 2 3 8 2 3" xfId="33190" xr:uid="{00000000-0005-0000-0000-00001D1B0000}"/>
    <cellStyle name="Comma 2 2 3 8 2 4" xfId="35013" xr:uid="{00000000-0005-0000-0000-00001E1B0000}"/>
    <cellStyle name="Comma 2 2 3 8 2 5" xfId="37111" xr:uid="{00000000-0005-0000-0000-00001F1B0000}"/>
    <cellStyle name="Comma 2 2 3 8 2 6" xfId="39154" xr:uid="{00000000-0005-0000-0000-0000201B0000}"/>
    <cellStyle name="Comma 2 2 3 8 2 7" xfId="42162" xr:uid="{00000000-0005-0000-0000-0000211B0000}"/>
    <cellStyle name="Comma 2 2 3 8 2 8" xfId="44464" xr:uid="{00000000-0005-0000-0000-0000221B0000}"/>
    <cellStyle name="Comma 2 2 3 8 2 9" xfId="12754" xr:uid="{00000000-0005-0000-0000-0000231B0000}"/>
    <cellStyle name="Comma 2 2 3 8 3" xfId="11971" xr:uid="{00000000-0005-0000-0000-0000241B0000}"/>
    <cellStyle name="Comma 2 2 3 8 3 2" xfId="41036" xr:uid="{00000000-0005-0000-0000-0000251B0000}"/>
    <cellStyle name="Comma 2 2 3 8 3 2 2" xfId="43748" xr:uid="{00000000-0005-0000-0000-0000261B0000}"/>
    <cellStyle name="Comma 2 2 3 8 3 2 3" xfId="44465" xr:uid="{00000000-0005-0000-0000-0000271B0000}"/>
    <cellStyle name="Comma 2 2 3 8 3 3" xfId="39460" xr:uid="{00000000-0005-0000-0000-0000281B0000}"/>
    <cellStyle name="Comma 2 2 3 8 3 4" xfId="42420" xr:uid="{00000000-0005-0000-0000-0000291B0000}"/>
    <cellStyle name="Comma 2 2 3 8 3 5" xfId="44466" xr:uid="{00000000-0005-0000-0000-00002A1B0000}"/>
    <cellStyle name="Comma 2 2 3 8 4" xfId="15453" xr:uid="{00000000-0005-0000-0000-00002B1B0000}"/>
    <cellStyle name="Comma 2 2 3 8 4 2" xfId="40181" xr:uid="{00000000-0005-0000-0000-00002C1B0000}"/>
    <cellStyle name="Comma 2 2 3 8 4 3" xfId="43030" xr:uid="{00000000-0005-0000-0000-00002D1B0000}"/>
    <cellStyle name="Comma 2 2 3 8 4 4" xfId="44467" xr:uid="{00000000-0005-0000-0000-00002E1B0000}"/>
    <cellStyle name="Comma 2 2 3 8 5" xfId="29951" xr:uid="{00000000-0005-0000-0000-00002F1B0000}"/>
    <cellStyle name="Comma 2 2 3 8 6" xfId="30745" xr:uid="{00000000-0005-0000-0000-0000301B0000}"/>
    <cellStyle name="Comma 2 2 3 8 7" xfId="31774" xr:uid="{00000000-0005-0000-0000-0000311B0000}"/>
    <cellStyle name="Comma 2 2 3 8 8" xfId="32416" xr:uid="{00000000-0005-0000-0000-0000321B0000}"/>
    <cellStyle name="Comma 2 2 3 8 9" xfId="33628" xr:uid="{00000000-0005-0000-0000-0000331B0000}"/>
    <cellStyle name="Comma 2 2 3 9" xfId="5667" xr:uid="{00000000-0005-0000-0000-0000341B0000}"/>
    <cellStyle name="Comma 2 2 3 9 10" xfId="34405" xr:uid="{00000000-0005-0000-0000-0000351B0000}"/>
    <cellStyle name="Comma 2 2 3 9 11" xfId="36573" xr:uid="{00000000-0005-0000-0000-0000361B0000}"/>
    <cellStyle name="Comma 2 2 3 9 12" xfId="37610" xr:uid="{00000000-0005-0000-0000-0000371B0000}"/>
    <cellStyle name="Comma 2 2 3 9 13" xfId="41550" xr:uid="{00000000-0005-0000-0000-0000381B0000}"/>
    <cellStyle name="Comma 2 2 3 9 14" xfId="44468" xr:uid="{00000000-0005-0000-0000-0000391B0000}"/>
    <cellStyle name="Comma 2 2 3 9 15" xfId="8738" xr:uid="{00000000-0005-0000-0000-00003A1B0000}"/>
    <cellStyle name="Comma 2 2 3 9 2" xfId="12737" xr:uid="{00000000-0005-0000-0000-00003B1B0000}"/>
    <cellStyle name="Comma 2 2 3 9 2 2" xfId="31319" xr:uid="{00000000-0005-0000-0000-00003C1B0000}"/>
    <cellStyle name="Comma 2 2 3 9 2 3" xfId="33173" xr:uid="{00000000-0005-0000-0000-00003D1B0000}"/>
    <cellStyle name="Comma 2 2 3 9 2 4" xfId="34996" xr:uid="{00000000-0005-0000-0000-00003E1B0000}"/>
    <cellStyle name="Comma 2 2 3 9 2 5" xfId="37094" xr:uid="{00000000-0005-0000-0000-00003F1B0000}"/>
    <cellStyle name="Comma 2 2 3 9 2 6" xfId="40001" xr:uid="{00000000-0005-0000-0000-0000401B0000}"/>
    <cellStyle name="Comma 2 2 3 9 2 7" xfId="42878" xr:uid="{00000000-0005-0000-0000-0000411B0000}"/>
    <cellStyle name="Comma 2 2 3 9 2 8" xfId="44469" xr:uid="{00000000-0005-0000-0000-0000421B0000}"/>
    <cellStyle name="Comma 2 2 3 9 3" xfId="11954" xr:uid="{00000000-0005-0000-0000-0000431B0000}"/>
    <cellStyle name="Comma 2 2 3 9 4" xfId="15454" xr:uid="{00000000-0005-0000-0000-0000441B0000}"/>
    <cellStyle name="Comma 2 2 3 9 5" xfId="29952" xr:uid="{00000000-0005-0000-0000-0000451B0000}"/>
    <cellStyle name="Comma 2 2 3 9 6" xfId="30728" xr:uid="{00000000-0005-0000-0000-0000461B0000}"/>
    <cellStyle name="Comma 2 2 3 9 7" xfId="31775" xr:uid="{00000000-0005-0000-0000-0000471B0000}"/>
    <cellStyle name="Comma 2 2 3 9 8" xfId="32417" xr:uid="{00000000-0005-0000-0000-0000481B0000}"/>
    <cellStyle name="Comma 2 2 3 9 9" xfId="33629" xr:uid="{00000000-0005-0000-0000-0000491B0000}"/>
    <cellStyle name="Comma 2 2 30" xfId="44470" xr:uid="{00000000-0005-0000-0000-00004A1B0000}"/>
    <cellStyle name="Comma 2 2 31" xfId="6540" xr:uid="{00000000-0005-0000-0000-00004B1B0000}"/>
    <cellStyle name="Comma 2 2 4" xfId="1027" xr:uid="{00000000-0005-0000-0000-00004C1B0000}"/>
    <cellStyle name="Comma 2 2 4 10" xfId="6187" xr:uid="{00000000-0005-0000-0000-00004D1B0000}"/>
    <cellStyle name="Comma 2 2 4 10 10" xfId="38929" xr:uid="{00000000-0005-0000-0000-00004E1B0000}"/>
    <cellStyle name="Comma 2 2 4 10 11" xfId="41960" xr:uid="{00000000-0005-0000-0000-00004F1B0000}"/>
    <cellStyle name="Comma 2 2 4 10 12" xfId="44471" xr:uid="{00000000-0005-0000-0000-0000501B0000}"/>
    <cellStyle name="Comma 2 2 4 10 13" xfId="12249" xr:uid="{00000000-0005-0000-0000-0000511B0000}"/>
    <cellStyle name="Comma 2 2 4 10 2" xfId="15456" xr:uid="{00000000-0005-0000-0000-0000521B0000}"/>
    <cellStyle name="Comma 2 2 4 10 2 2" xfId="40487" xr:uid="{00000000-0005-0000-0000-0000531B0000}"/>
    <cellStyle name="Comma 2 2 4 10 2 3" xfId="43288" xr:uid="{00000000-0005-0000-0000-0000541B0000}"/>
    <cellStyle name="Comma 2 2 4 10 2 4" xfId="44472" xr:uid="{00000000-0005-0000-0000-0000551B0000}"/>
    <cellStyle name="Comma 2 2 4 10 3" xfId="29954" xr:uid="{00000000-0005-0000-0000-0000561B0000}"/>
    <cellStyle name="Comma 2 2 4 10 4" xfId="31022" xr:uid="{00000000-0005-0000-0000-0000571B0000}"/>
    <cellStyle name="Comma 2 2 4 10 5" xfId="31777" xr:uid="{00000000-0005-0000-0000-0000581B0000}"/>
    <cellStyle name="Comma 2 2 4 10 6" xfId="32419" xr:uid="{00000000-0005-0000-0000-0000591B0000}"/>
    <cellStyle name="Comma 2 2 4 10 7" xfId="33631" xr:uid="{00000000-0005-0000-0000-00005A1B0000}"/>
    <cellStyle name="Comma 2 2 4 10 8" xfId="34699" xr:uid="{00000000-0005-0000-0000-00005B1B0000}"/>
    <cellStyle name="Comma 2 2 4 10 9" xfId="36807" xr:uid="{00000000-0005-0000-0000-00005C1B0000}"/>
    <cellStyle name="Comma 2 2 4 11" xfId="11655" xr:uid="{00000000-0005-0000-0000-00005D1B0000}"/>
    <cellStyle name="Comma 2 2 4 11 2" xfId="40853" xr:uid="{00000000-0005-0000-0000-00005E1B0000}"/>
    <cellStyle name="Comma 2 2 4 11 2 2" xfId="43597" xr:uid="{00000000-0005-0000-0000-00005F1B0000}"/>
    <cellStyle name="Comma 2 2 4 11 2 3" xfId="44473" xr:uid="{00000000-0005-0000-0000-0000601B0000}"/>
    <cellStyle name="Comma 2 2 4 11 3" xfId="39288" xr:uid="{00000000-0005-0000-0000-0000611B0000}"/>
    <cellStyle name="Comma 2 2 4 11 4" xfId="42269" xr:uid="{00000000-0005-0000-0000-0000621B0000}"/>
    <cellStyle name="Comma 2 2 4 11 5" xfId="44474" xr:uid="{00000000-0005-0000-0000-0000631B0000}"/>
    <cellStyle name="Comma 2 2 4 12" xfId="15455" xr:uid="{00000000-0005-0000-0000-0000641B0000}"/>
    <cellStyle name="Comma 2 2 4 12 2" xfId="39751" xr:uid="{00000000-0005-0000-0000-0000651B0000}"/>
    <cellStyle name="Comma 2 2 4 12 3" xfId="42664" xr:uid="{00000000-0005-0000-0000-0000661B0000}"/>
    <cellStyle name="Comma 2 2 4 12 4" xfId="44475" xr:uid="{00000000-0005-0000-0000-0000671B0000}"/>
    <cellStyle name="Comma 2 2 4 13" xfId="29953" xr:uid="{00000000-0005-0000-0000-0000681B0000}"/>
    <cellStyle name="Comma 2 2 4 14" xfId="30431" xr:uid="{00000000-0005-0000-0000-0000691B0000}"/>
    <cellStyle name="Comma 2 2 4 15" xfId="31776" xr:uid="{00000000-0005-0000-0000-00006A1B0000}"/>
    <cellStyle name="Comma 2 2 4 16" xfId="32418" xr:uid="{00000000-0005-0000-0000-00006B1B0000}"/>
    <cellStyle name="Comma 2 2 4 17" xfId="33630" xr:uid="{00000000-0005-0000-0000-00006C1B0000}"/>
    <cellStyle name="Comma 2 2 4 18" xfId="34108" xr:uid="{00000000-0005-0000-0000-00006D1B0000}"/>
    <cellStyle name="Comma 2 2 4 19" xfId="35281" xr:uid="{00000000-0005-0000-0000-00006E1B0000}"/>
    <cellStyle name="Comma 2 2 4 2" xfId="2764" xr:uid="{00000000-0005-0000-0000-00006F1B0000}"/>
    <cellStyle name="Comma 2 2 4 2 10" xfId="29955" xr:uid="{00000000-0005-0000-0000-0000701B0000}"/>
    <cellStyle name="Comma 2 2 4 2 11" xfId="30432" xr:uid="{00000000-0005-0000-0000-0000711B0000}"/>
    <cellStyle name="Comma 2 2 4 2 12" xfId="31778" xr:uid="{00000000-0005-0000-0000-0000721B0000}"/>
    <cellStyle name="Comma 2 2 4 2 13" xfId="32420" xr:uid="{00000000-0005-0000-0000-0000731B0000}"/>
    <cellStyle name="Comma 2 2 4 2 14" xfId="33632" xr:uid="{00000000-0005-0000-0000-0000741B0000}"/>
    <cellStyle name="Comma 2 2 4 2 15" xfId="34109" xr:uid="{00000000-0005-0000-0000-0000751B0000}"/>
    <cellStyle name="Comma 2 2 4 2 16" xfId="35326" xr:uid="{00000000-0005-0000-0000-0000761B0000}"/>
    <cellStyle name="Comma 2 2 4 2 17" xfId="36189" xr:uid="{00000000-0005-0000-0000-0000771B0000}"/>
    <cellStyle name="Comma 2 2 4 2 18" xfId="37428" xr:uid="{00000000-0005-0000-0000-0000781B0000}"/>
    <cellStyle name="Comma 2 2 4 2 19" xfId="41375" xr:uid="{00000000-0005-0000-0000-0000791B0000}"/>
    <cellStyle name="Comma 2 2 4 2 2" xfId="5075" xr:uid="{00000000-0005-0000-0000-00007A1B0000}"/>
    <cellStyle name="Comma 2 2 4 2 2 10" xfId="32421" xr:uid="{00000000-0005-0000-0000-00007B1B0000}"/>
    <cellStyle name="Comma 2 2 4 2 2 11" xfId="33633" xr:uid="{00000000-0005-0000-0000-00007C1B0000}"/>
    <cellStyle name="Comma 2 2 4 2 2 12" xfId="34147" xr:uid="{00000000-0005-0000-0000-00007D1B0000}"/>
    <cellStyle name="Comma 2 2 4 2 2 13" xfId="36030" xr:uid="{00000000-0005-0000-0000-00007E1B0000}"/>
    <cellStyle name="Comma 2 2 4 2 2 14" xfId="36330" xr:uid="{00000000-0005-0000-0000-00007F1B0000}"/>
    <cellStyle name="Comma 2 2 4 2 2 15" xfId="37502" xr:uid="{00000000-0005-0000-0000-0000801B0000}"/>
    <cellStyle name="Comma 2 2 4 2 2 16" xfId="41448" xr:uid="{00000000-0005-0000-0000-0000811B0000}"/>
    <cellStyle name="Comma 2 2 4 2 2 17" xfId="44476" xr:uid="{00000000-0005-0000-0000-0000821B0000}"/>
    <cellStyle name="Comma 2 2 4 2 2 18" xfId="6660" xr:uid="{00000000-0005-0000-0000-0000831B0000}"/>
    <cellStyle name="Comma 2 2 4 2 2 2" xfId="6044" xr:uid="{00000000-0005-0000-0000-0000841B0000}"/>
    <cellStyle name="Comma 2 2 4 2 2 2 10" xfId="33634" xr:uid="{00000000-0005-0000-0000-0000851B0000}"/>
    <cellStyle name="Comma 2 2 4 2 2 2 11" xfId="34299" xr:uid="{00000000-0005-0000-0000-0000861B0000}"/>
    <cellStyle name="Comma 2 2 4 2 2 2 12" xfId="36484" xr:uid="{00000000-0005-0000-0000-0000871B0000}"/>
    <cellStyle name="Comma 2 2 4 2 2 2 13" xfId="38809" xr:uid="{00000000-0005-0000-0000-0000881B0000}"/>
    <cellStyle name="Comma 2 2 4 2 2 2 14" xfId="41848" xr:uid="{00000000-0005-0000-0000-0000891B0000}"/>
    <cellStyle name="Comma 2 2 4 2 2 2 15" xfId="44477" xr:uid="{00000000-0005-0000-0000-00008A1B0000}"/>
    <cellStyle name="Comma 2 2 4 2 2 2 16" xfId="8536" xr:uid="{00000000-0005-0000-0000-00008B1B0000}"/>
    <cellStyle name="Comma 2 2 4 2 2 2 2" xfId="8759" xr:uid="{00000000-0005-0000-0000-00008C1B0000}"/>
    <cellStyle name="Comma 2 2 4 2 2 2 2 10" xfId="34426" xr:uid="{00000000-0005-0000-0000-00008D1B0000}"/>
    <cellStyle name="Comma 2 2 4 2 2 2 2 11" xfId="36594" xr:uid="{00000000-0005-0000-0000-00008E1B0000}"/>
    <cellStyle name="Comma 2 2 4 2 2 2 2 12" xfId="40358" xr:uid="{00000000-0005-0000-0000-00008F1B0000}"/>
    <cellStyle name="Comma 2 2 4 2 2 2 2 13" xfId="43176" xr:uid="{00000000-0005-0000-0000-0000901B0000}"/>
    <cellStyle name="Comma 2 2 4 2 2 2 2 14" xfId="44478" xr:uid="{00000000-0005-0000-0000-0000911B0000}"/>
    <cellStyle name="Comma 2 2 4 2 2 2 2 2" xfId="12758" xr:uid="{00000000-0005-0000-0000-0000921B0000}"/>
    <cellStyle name="Comma 2 2 4 2 2 2 2 2 2" xfId="31340" xr:uid="{00000000-0005-0000-0000-0000931B0000}"/>
    <cellStyle name="Comma 2 2 4 2 2 2 2 2 3" xfId="33194" xr:uid="{00000000-0005-0000-0000-0000941B0000}"/>
    <cellStyle name="Comma 2 2 4 2 2 2 2 2 4" xfId="35017" xr:uid="{00000000-0005-0000-0000-0000951B0000}"/>
    <cellStyle name="Comma 2 2 4 2 2 2 2 2 5" xfId="37115" xr:uid="{00000000-0005-0000-0000-0000961B0000}"/>
    <cellStyle name="Comma 2 2 4 2 2 2 2 3" xfId="11975" xr:uid="{00000000-0005-0000-0000-0000971B0000}"/>
    <cellStyle name="Comma 2 2 4 2 2 2 2 4" xfId="15460" xr:uid="{00000000-0005-0000-0000-0000981B0000}"/>
    <cellStyle name="Comma 2 2 4 2 2 2 2 5" xfId="29958" xr:uid="{00000000-0005-0000-0000-0000991B0000}"/>
    <cellStyle name="Comma 2 2 4 2 2 2 2 6" xfId="30749" xr:uid="{00000000-0005-0000-0000-00009A1B0000}"/>
    <cellStyle name="Comma 2 2 4 2 2 2 2 7" xfId="31781" xr:uid="{00000000-0005-0000-0000-00009B1B0000}"/>
    <cellStyle name="Comma 2 2 4 2 2 2 2 8" xfId="32423" xr:uid="{00000000-0005-0000-0000-00009C1B0000}"/>
    <cellStyle name="Comma 2 2 4 2 2 2 2 9" xfId="33635" xr:uid="{00000000-0005-0000-0000-00009D1B0000}"/>
    <cellStyle name="Comma 2 2 4 2 2 2 3" xfId="12571" xr:uid="{00000000-0005-0000-0000-00009E1B0000}"/>
    <cellStyle name="Comma 2 2 4 2 2 2 3 2" xfId="31213" xr:uid="{00000000-0005-0000-0000-00009F1B0000}"/>
    <cellStyle name="Comma 2 2 4 2 2 2 3 3" xfId="33069" xr:uid="{00000000-0005-0000-0000-0000A01B0000}"/>
    <cellStyle name="Comma 2 2 4 2 2 2 3 4" xfId="34890" xr:uid="{00000000-0005-0000-0000-0000A11B0000}"/>
    <cellStyle name="Comma 2 2 4 2 2 2 3 5" xfId="36990" xr:uid="{00000000-0005-0000-0000-0000A21B0000}"/>
    <cellStyle name="Comma 2 2 4 2 2 2 4" xfId="11848" xr:uid="{00000000-0005-0000-0000-0000A31B0000}"/>
    <cellStyle name="Comma 2 2 4 2 2 2 5" xfId="15459" xr:uid="{00000000-0005-0000-0000-0000A41B0000}"/>
    <cellStyle name="Comma 2 2 4 2 2 2 6" xfId="29957" xr:uid="{00000000-0005-0000-0000-0000A51B0000}"/>
    <cellStyle name="Comma 2 2 4 2 2 2 7" xfId="30622" xr:uid="{00000000-0005-0000-0000-0000A61B0000}"/>
    <cellStyle name="Comma 2 2 4 2 2 2 8" xfId="31780" xr:uid="{00000000-0005-0000-0000-0000A71B0000}"/>
    <cellStyle name="Comma 2 2 4 2 2 2 9" xfId="32422" xr:uid="{00000000-0005-0000-0000-0000A81B0000}"/>
    <cellStyle name="Comma 2 2 4 2 2 3" xfId="6364" xr:uid="{00000000-0005-0000-0000-0000A91B0000}"/>
    <cellStyle name="Comma 2 2 4 2 2 3 10" xfId="34425" xr:uid="{00000000-0005-0000-0000-0000AA1B0000}"/>
    <cellStyle name="Comma 2 2 4 2 2 3 11" xfId="36593" xr:uid="{00000000-0005-0000-0000-0000AB1B0000}"/>
    <cellStyle name="Comma 2 2 4 2 2 3 12" xfId="39029" xr:uid="{00000000-0005-0000-0000-0000AC1B0000}"/>
    <cellStyle name="Comma 2 2 4 2 2 3 13" xfId="42055" xr:uid="{00000000-0005-0000-0000-0000AD1B0000}"/>
    <cellStyle name="Comma 2 2 4 2 2 3 14" xfId="44479" xr:uid="{00000000-0005-0000-0000-0000AE1B0000}"/>
    <cellStyle name="Comma 2 2 4 2 2 3 15" xfId="8758" xr:uid="{00000000-0005-0000-0000-0000AF1B0000}"/>
    <cellStyle name="Comma 2 2 4 2 2 3 2" xfId="12757" xr:uid="{00000000-0005-0000-0000-0000B01B0000}"/>
    <cellStyle name="Comma 2 2 4 2 2 3 2 2" xfId="31339" xr:uid="{00000000-0005-0000-0000-0000B11B0000}"/>
    <cellStyle name="Comma 2 2 4 2 2 3 2 3" xfId="33193" xr:uid="{00000000-0005-0000-0000-0000B21B0000}"/>
    <cellStyle name="Comma 2 2 4 2 2 3 2 4" xfId="35016" xr:uid="{00000000-0005-0000-0000-0000B31B0000}"/>
    <cellStyle name="Comma 2 2 4 2 2 3 2 5" xfId="37114" xr:uid="{00000000-0005-0000-0000-0000B41B0000}"/>
    <cellStyle name="Comma 2 2 4 2 2 3 2 6" xfId="40597" xr:uid="{00000000-0005-0000-0000-0000B51B0000}"/>
    <cellStyle name="Comma 2 2 4 2 2 3 2 7" xfId="43383" xr:uid="{00000000-0005-0000-0000-0000B61B0000}"/>
    <cellStyle name="Comma 2 2 4 2 2 3 2 8" xfId="44480" xr:uid="{00000000-0005-0000-0000-0000B71B0000}"/>
    <cellStyle name="Comma 2 2 4 2 2 3 3" xfId="11974" xr:uid="{00000000-0005-0000-0000-0000B81B0000}"/>
    <cellStyle name="Comma 2 2 4 2 2 3 4" xfId="15461" xr:uid="{00000000-0005-0000-0000-0000B91B0000}"/>
    <cellStyle name="Comma 2 2 4 2 2 3 5" xfId="29959" xr:uid="{00000000-0005-0000-0000-0000BA1B0000}"/>
    <cellStyle name="Comma 2 2 4 2 2 3 6" xfId="30748" xr:uid="{00000000-0005-0000-0000-0000BB1B0000}"/>
    <cellStyle name="Comma 2 2 4 2 2 3 7" xfId="31782" xr:uid="{00000000-0005-0000-0000-0000BC1B0000}"/>
    <cellStyle name="Comma 2 2 4 2 2 3 8" xfId="32424" xr:uid="{00000000-0005-0000-0000-0000BD1B0000}"/>
    <cellStyle name="Comma 2 2 4 2 2 3 9" xfId="33636" xr:uid="{00000000-0005-0000-0000-0000BE1B0000}"/>
    <cellStyle name="Comma 2 2 4 2 2 4" xfId="12288" xr:uid="{00000000-0005-0000-0000-0000BF1B0000}"/>
    <cellStyle name="Comma 2 2 4 2 2 4 2" xfId="31061" xr:uid="{00000000-0005-0000-0000-0000C01B0000}"/>
    <cellStyle name="Comma 2 2 4 2 2 4 2 2" xfId="41214" xr:uid="{00000000-0005-0000-0000-0000C11B0000}"/>
    <cellStyle name="Comma 2 2 4 2 2 4 2 3" xfId="43894" xr:uid="{00000000-0005-0000-0000-0000C21B0000}"/>
    <cellStyle name="Comma 2 2 4 2 2 4 2 4" xfId="44481" xr:uid="{00000000-0005-0000-0000-0000C31B0000}"/>
    <cellStyle name="Comma 2 2 4 2 2 4 3" xfId="32929" xr:uid="{00000000-0005-0000-0000-0000C41B0000}"/>
    <cellStyle name="Comma 2 2 4 2 2 4 4" xfId="34738" xr:uid="{00000000-0005-0000-0000-0000C51B0000}"/>
    <cellStyle name="Comma 2 2 4 2 2 4 5" xfId="36846" xr:uid="{00000000-0005-0000-0000-0000C61B0000}"/>
    <cellStyle name="Comma 2 2 4 2 2 4 6" xfId="39631" xr:uid="{00000000-0005-0000-0000-0000C71B0000}"/>
    <cellStyle name="Comma 2 2 4 2 2 4 7" xfId="42566" xr:uid="{00000000-0005-0000-0000-0000C81B0000}"/>
    <cellStyle name="Comma 2 2 4 2 2 4 8" xfId="44482" xr:uid="{00000000-0005-0000-0000-0000C91B0000}"/>
    <cellStyle name="Comma 2 2 4 2 2 5" xfId="11695" xr:uid="{00000000-0005-0000-0000-0000CA1B0000}"/>
    <cellStyle name="Comma 2 2 4 2 2 5 2" xfId="39877" xr:uid="{00000000-0005-0000-0000-0000CB1B0000}"/>
    <cellStyle name="Comma 2 2 4 2 2 5 3" xfId="42776" xr:uid="{00000000-0005-0000-0000-0000CC1B0000}"/>
    <cellStyle name="Comma 2 2 4 2 2 5 4" xfId="44483" xr:uid="{00000000-0005-0000-0000-0000CD1B0000}"/>
    <cellStyle name="Comma 2 2 4 2 2 6" xfId="15458" xr:uid="{00000000-0005-0000-0000-0000CE1B0000}"/>
    <cellStyle name="Comma 2 2 4 2 2 7" xfId="29956" xr:uid="{00000000-0005-0000-0000-0000CF1B0000}"/>
    <cellStyle name="Comma 2 2 4 2 2 8" xfId="30470" xr:uid="{00000000-0005-0000-0000-0000D01B0000}"/>
    <cellStyle name="Comma 2 2 4 2 2 9" xfId="31779" xr:uid="{00000000-0005-0000-0000-0000D11B0000}"/>
    <cellStyle name="Comma 2 2 4 2 20" xfId="44484" xr:uid="{00000000-0005-0000-0000-0000D21B0000}"/>
    <cellStyle name="Comma 2 2 4 2 21" xfId="6548" xr:uid="{00000000-0005-0000-0000-0000D31B0000}"/>
    <cellStyle name="Comma 2 2 4 2 3" xfId="4416" xr:uid="{00000000-0005-0000-0000-0000D41B0000}"/>
    <cellStyle name="Comma 2 2 4 2 3 10" xfId="33637" xr:uid="{00000000-0005-0000-0000-0000D51B0000}"/>
    <cellStyle name="Comma 2 2 4 2 3 11" xfId="34260" xr:uid="{00000000-0005-0000-0000-0000D61B0000}"/>
    <cellStyle name="Comma 2 2 4 2 3 12" xfId="35599" xr:uid="{00000000-0005-0000-0000-0000D71B0000}"/>
    <cellStyle name="Comma 2 2 4 2 3 13" xfId="36461" xr:uid="{00000000-0005-0000-0000-0000D81B0000}"/>
    <cellStyle name="Comma 2 2 4 2 3 14" xfId="38668" xr:uid="{00000000-0005-0000-0000-0000D91B0000}"/>
    <cellStyle name="Comma 2 2 4 2 3 15" xfId="41708" xr:uid="{00000000-0005-0000-0000-0000DA1B0000}"/>
    <cellStyle name="Comma 2 2 4 2 3 16" xfId="44485" xr:uid="{00000000-0005-0000-0000-0000DB1B0000}"/>
    <cellStyle name="Comma 2 2 4 2 3 17" xfId="8423" xr:uid="{00000000-0005-0000-0000-0000DC1B0000}"/>
    <cellStyle name="Comma 2 2 4 2 3 2" xfId="5867" xr:uid="{00000000-0005-0000-0000-0000DD1B0000}"/>
    <cellStyle name="Comma 2 2 4 2 3 2 10" xfId="34427" xr:uid="{00000000-0005-0000-0000-0000DE1B0000}"/>
    <cellStyle name="Comma 2 2 4 2 3 2 11" xfId="36595" xr:uid="{00000000-0005-0000-0000-0000DF1B0000}"/>
    <cellStyle name="Comma 2 2 4 2 3 2 12" xfId="39159" xr:uid="{00000000-0005-0000-0000-0000E01B0000}"/>
    <cellStyle name="Comma 2 2 4 2 3 2 13" xfId="42167" xr:uid="{00000000-0005-0000-0000-0000E11B0000}"/>
    <cellStyle name="Comma 2 2 4 2 3 2 14" xfId="44486" xr:uid="{00000000-0005-0000-0000-0000E21B0000}"/>
    <cellStyle name="Comma 2 2 4 2 3 2 15" xfId="8760" xr:uid="{00000000-0005-0000-0000-0000E31B0000}"/>
    <cellStyle name="Comma 2 2 4 2 3 2 2" xfId="12759" xr:uid="{00000000-0005-0000-0000-0000E41B0000}"/>
    <cellStyle name="Comma 2 2 4 2 3 2 2 2" xfId="31341" xr:uid="{00000000-0005-0000-0000-0000E51B0000}"/>
    <cellStyle name="Comma 2 2 4 2 3 2 2 3" xfId="33195" xr:uid="{00000000-0005-0000-0000-0000E61B0000}"/>
    <cellStyle name="Comma 2 2 4 2 3 2 2 4" xfId="35018" xr:uid="{00000000-0005-0000-0000-0000E71B0000}"/>
    <cellStyle name="Comma 2 2 4 2 3 2 2 5" xfId="37116" xr:uid="{00000000-0005-0000-0000-0000E81B0000}"/>
    <cellStyle name="Comma 2 2 4 2 3 2 2 6" xfId="40732" xr:uid="{00000000-0005-0000-0000-0000E91B0000}"/>
    <cellStyle name="Comma 2 2 4 2 3 2 2 7" xfId="43495" xr:uid="{00000000-0005-0000-0000-0000EA1B0000}"/>
    <cellStyle name="Comma 2 2 4 2 3 2 2 8" xfId="44487" xr:uid="{00000000-0005-0000-0000-0000EB1B0000}"/>
    <cellStyle name="Comma 2 2 4 2 3 2 3" xfId="11976" xr:uid="{00000000-0005-0000-0000-0000EC1B0000}"/>
    <cellStyle name="Comma 2 2 4 2 3 2 4" xfId="15463" xr:uid="{00000000-0005-0000-0000-0000ED1B0000}"/>
    <cellStyle name="Comma 2 2 4 2 3 2 5" xfId="29961" xr:uid="{00000000-0005-0000-0000-0000EE1B0000}"/>
    <cellStyle name="Comma 2 2 4 2 3 2 6" xfId="30750" xr:uid="{00000000-0005-0000-0000-0000EF1B0000}"/>
    <cellStyle name="Comma 2 2 4 2 3 2 7" xfId="31784" xr:uid="{00000000-0005-0000-0000-0000F01B0000}"/>
    <cellStyle name="Comma 2 2 4 2 3 2 8" xfId="32426" xr:uid="{00000000-0005-0000-0000-0000F11B0000}"/>
    <cellStyle name="Comma 2 2 4 2 3 2 9" xfId="33638" xr:uid="{00000000-0005-0000-0000-0000F21B0000}"/>
    <cellStyle name="Comma 2 2 4 2 3 3" xfId="12531" xr:uid="{00000000-0005-0000-0000-0000F31B0000}"/>
    <cellStyle name="Comma 2 2 4 2 3 3 2" xfId="31174" xr:uid="{00000000-0005-0000-0000-0000F41B0000}"/>
    <cellStyle name="Comma 2 2 4 2 3 3 2 2" xfId="41042" xr:uid="{00000000-0005-0000-0000-0000F51B0000}"/>
    <cellStyle name="Comma 2 2 4 2 3 3 2 3" xfId="43754" xr:uid="{00000000-0005-0000-0000-0000F61B0000}"/>
    <cellStyle name="Comma 2 2 4 2 3 3 2 4" xfId="44488" xr:uid="{00000000-0005-0000-0000-0000F71B0000}"/>
    <cellStyle name="Comma 2 2 4 2 3 3 3" xfId="33032" xr:uid="{00000000-0005-0000-0000-0000F81B0000}"/>
    <cellStyle name="Comma 2 2 4 2 3 3 4" xfId="34851" xr:uid="{00000000-0005-0000-0000-0000F91B0000}"/>
    <cellStyle name="Comma 2 2 4 2 3 3 5" xfId="36953" xr:uid="{00000000-0005-0000-0000-0000FA1B0000}"/>
    <cellStyle name="Comma 2 2 4 2 3 3 6" xfId="39466" xr:uid="{00000000-0005-0000-0000-0000FB1B0000}"/>
    <cellStyle name="Comma 2 2 4 2 3 3 7" xfId="42426" xr:uid="{00000000-0005-0000-0000-0000FC1B0000}"/>
    <cellStyle name="Comma 2 2 4 2 3 3 8" xfId="44489" xr:uid="{00000000-0005-0000-0000-0000FD1B0000}"/>
    <cellStyle name="Comma 2 2 4 2 3 4" xfId="11809" xr:uid="{00000000-0005-0000-0000-0000FE1B0000}"/>
    <cellStyle name="Comma 2 2 4 2 3 4 2" xfId="40187" xr:uid="{00000000-0005-0000-0000-0000FF1B0000}"/>
    <cellStyle name="Comma 2 2 4 2 3 4 3" xfId="43036" xr:uid="{00000000-0005-0000-0000-0000001C0000}"/>
    <cellStyle name="Comma 2 2 4 2 3 4 4" xfId="44490" xr:uid="{00000000-0005-0000-0000-0000011C0000}"/>
    <cellStyle name="Comma 2 2 4 2 3 5" xfId="15462" xr:uid="{00000000-0005-0000-0000-0000021C0000}"/>
    <cellStyle name="Comma 2 2 4 2 3 6" xfId="29960" xr:uid="{00000000-0005-0000-0000-0000031C0000}"/>
    <cellStyle name="Comma 2 2 4 2 3 7" xfId="30583" xr:uid="{00000000-0005-0000-0000-0000041C0000}"/>
    <cellStyle name="Comma 2 2 4 2 3 8" xfId="31783" xr:uid="{00000000-0005-0000-0000-0000051C0000}"/>
    <cellStyle name="Comma 2 2 4 2 3 9" xfId="32425" xr:uid="{00000000-0005-0000-0000-0000061C0000}"/>
    <cellStyle name="Comma 2 2 4 2 4" xfId="5729" xr:uid="{00000000-0005-0000-0000-0000071C0000}"/>
    <cellStyle name="Comma 2 2 4 2 4 10" xfId="33639" xr:uid="{00000000-0005-0000-0000-0000081C0000}"/>
    <cellStyle name="Comma 2 2 4 2 4 11" xfId="34199" xr:uid="{00000000-0005-0000-0000-0000091C0000}"/>
    <cellStyle name="Comma 2 2 4 2 4 12" xfId="36429" xr:uid="{00000000-0005-0000-0000-00000A1C0000}"/>
    <cellStyle name="Comma 2 2 4 2 4 13" xfId="38096" xr:uid="{00000000-0005-0000-0000-00000B1C0000}"/>
    <cellStyle name="Comma 2 2 4 2 4 14" xfId="41593" xr:uid="{00000000-0005-0000-0000-00000C1C0000}"/>
    <cellStyle name="Comma 2 2 4 2 4 15" xfId="44491" xr:uid="{00000000-0005-0000-0000-00000D1C0000}"/>
    <cellStyle name="Comma 2 2 4 2 4 16" xfId="8090" xr:uid="{00000000-0005-0000-0000-00000E1C0000}"/>
    <cellStyle name="Comma 2 2 4 2 4 2" xfId="8761" xr:uid="{00000000-0005-0000-0000-00000F1C0000}"/>
    <cellStyle name="Comma 2 2 4 2 4 2 10" xfId="34428" xr:uid="{00000000-0005-0000-0000-0000101C0000}"/>
    <cellStyle name="Comma 2 2 4 2 4 2 11" xfId="36596" xr:uid="{00000000-0005-0000-0000-0000111C0000}"/>
    <cellStyle name="Comma 2 2 4 2 4 2 12" xfId="40052" xr:uid="{00000000-0005-0000-0000-0000121C0000}"/>
    <cellStyle name="Comma 2 2 4 2 4 2 13" xfId="42921" xr:uid="{00000000-0005-0000-0000-0000131C0000}"/>
    <cellStyle name="Comma 2 2 4 2 4 2 14" xfId="44492" xr:uid="{00000000-0005-0000-0000-0000141C0000}"/>
    <cellStyle name="Comma 2 2 4 2 4 2 2" xfId="12760" xr:uid="{00000000-0005-0000-0000-0000151C0000}"/>
    <cellStyle name="Comma 2 2 4 2 4 2 2 2" xfId="31342" xr:uid="{00000000-0005-0000-0000-0000161C0000}"/>
    <cellStyle name="Comma 2 2 4 2 4 2 2 3" xfId="33196" xr:uid="{00000000-0005-0000-0000-0000171C0000}"/>
    <cellStyle name="Comma 2 2 4 2 4 2 2 4" xfId="35019" xr:uid="{00000000-0005-0000-0000-0000181C0000}"/>
    <cellStyle name="Comma 2 2 4 2 4 2 2 5" xfId="37117" xr:uid="{00000000-0005-0000-0000-0000191C0000}"/>
    <cellStyle name="Comma 2 2 4 2 4 2 3" xfId="11977" xr:uid="{00000000-0005-0000-0000-00001A1C0000}"/>
    <cellStyle name="Comma 2 2 4 2 4 2 4" xfId="15465" xr:uid="{00000000-0005-0000-0000-00001B1C0000}"/>
    <cellStyle name="Comma 2 2 4 2 4 2 5" xfId="29963" xr:uid="{00000000-0005-0000-0000-00001C1C0000}"/>
    <cellStyle name="Comma 2 2 4 2 4 2 6" xfId="30751" xr:uid="{00000000-0005-0000-0000-00001D1C0000}"/>
    <cellStyle name="Comma 2 2 4 2 4 2 7" xfId="31786" xr:uid="{00000000-0005-0000-0000-00001E1C0000}"/>
    <cellStyle name="Comma 2 2 4 2 4 2 8" xfId="32428" xr:uid="{00000000-0005-0000-0000-00001F1C0000}"/>
    <cellStyle name="Comma 2 2 4 2 4 2 9" xfId="33640" xr:uid="{00000000-0005-0000-0000-0000201C0000}"/>
    <cellStyle name="Comma 2 2 4 2 4 3" xfId="12402" xr:uid="{00000000-0005-0000-0000-0000211C0000}"/>
    <cellStyle name="Comma 2 2 4 2 4 3 2" xfId="31113" xr:uid="{00000000-0005-0000-0000-0000221C0000}"/>
    <cellStyle name="Comma 2 2 4 2 4 3 3" xfId="32975" xr:uid="{00000000-0005-0000-0000-0000231C0000}"/>
    <cellStyle name="Comma 2 2 4 2 4 3 4" xfId="34790" xr:uid="{00000000-0005-0000-0000-0000241C0000}"/>
    <cellStyle name="Comma 2 2 4 2 4 3 5" xfId="36896" xr:uid="{00000000-0005-0000-0000-0000251C0000}"/>
    <cellStyle name="Comma 2 2 4 2 4 4" xfId="11748" xr:uid="{00000000-0005-0000-0000-0000261C0000}"/>
    <cellStyle name="Comma 2 2 4 2 4 5" xfId="15464" xr:uid="{00000000-0005-0000-0000-0000271C0000}"/>
    <cellStyle name="Comma 2 2 4 2 4 6" xfId="29962" xr:uid="{00000000-0005-0000-0000-0000281C0000}"/>
    <cellStyle name="Comma 2 2 4 2 4 7" xfId="30522" xr:uid="{00000000-0005-0000-0000-0000291C0000}"/>
    <cellStyle name="Comma 2 2 4 2 4 8" xfId="31785" xr:uid="{00000000-0005-0000-0000-00002A1C0000}"/>
    <cellStyle name="Comma 2 2 4 2 4 9" xfId="32427" xr:uid="{00000000-0005-0000-0000-00002B1C0000}"/>
    <cellStyle name="Comma 2 2 4 2 5" xfId="6188" xr:uid="{00000000-0005-0000-0000-00002C1C0000}"/>
    <cellStyle name="Comma 2 2 4 2 5 10" xfId="34424" xr:uid="{00000000-0005-0000-0000-00002D1C0000}"/>
    <cellStyle name="Comma 2 2 4 2 5 11" xfId="36592" xr:uid="{00000000-0005-0000-0000-00002E1C0000}"/>
    <cellStyle name="Comma 2 2 4 2 5 12" xfId="38930" xr:uid="{00000000-0005-0000-0000-00002F1C0000}"/>
    <cellStyle name="Comma 2 2 4 2 5 13" xfId="41961" xr:uid="{00000000-0005-0000-0000-0000301C0000}"/>
    <cellStyle name="Comma 2 2 4 2 5 14" xfId="44493" xr:uid="{00000000-0005-0000-0000-0000311C0000}"/>
    <cellStyle name="Comma 2 2 4 2 5 15" xfId="8757" xr:uid="{00000000-0005-0000-0000-0000321C0000}"/>
    <cellStyle name="Comma 2 2 4 2 5 2" xfId="12756" xr:uid="{00000000-0005-0000-0000-0000331C0000}"/>
    <cellStyle name="Comma 2 2 4 2 5 2 2" xfId="31338" xr:uid="{00000000-0005-0000-0000-0000341C0000}"/>
    <cellStyle name="Comma 2 2 4 2 5 2 3" xfId="33192" xr:uid="{00000000-0005-0000-0000-0000351C0000}"/>
    <cellStyle name="Comma 2 2 4 2 5 2 4" xfId="35015" xr:uid="{00000000-0005-0000-0000-0000361C0000}"/>
    <cellStyle name="Comma 2 2 4 2 5 2 5" xfId="37113" xr:uid="{00000000-0005-0000-0000-0000371C0000}"/>
    <cellStyle name="Comma 2 2 4 2 5 2 6" xfId="40488" xr:uid="{00000000-0005-0000-0000-0000381C0000}"/>
    <cellStyle name="Comma 2 2 4 2 5 2 7" xfId="43289" xr:uid="{00000000-0005-0000-0000-0000391C0000}"/>
    <cellStyle name="Comma 2 2 4 2 5 2 8" xfId="44494" xr:uid="{00000000-0005-0000-0000-00003A1C0000}"/>
    <cellStyle name="Comma 2 2 4 2 5 3" xfId="11973" xr:uid="{00000000-0005-0000-0000-00003B1C0000}"/>
    <cellStyle name="Comma 2 2 4 2 5 4" xfId="15466" xr:uid="{00000000-0005-0000-0000-00003C1C0000}"/>
    <cellStyle name="Comma 2 2 4 2 5 5" xfId="29964" xr:uid="{00000000-0005-0000-0000-00003D1C0000}"/>
    <cellStyle name="Comma 2 2 4 2 5 6" xfId="30747" xr:uid="{00000000-0005-0000-0000-00003E1C0000}"/>
    <cellStyle name="Comma 2 2 4 2 5 7" xfId="31787" xr:uid="{00000000-0005-0000-0000-00003F1C0000}"/>
    <cellStyle name="Comma 2 2 4 2 5 8" xfId="32429" xr:uid="{00000000-0005-0000-0000-0000401C0000}"/>
    <cellStyle name="Comma 2 2 4 2 5 9" xfId="33641" xr:uid="{00000000-0005-0000-0000-0000411C0000}"/>
    <cellStyle name="Comma 2 2 4 2 6" xfId="11510" xr:uid="{00000000-0005-0000-0000-0000421C0000}"/>
    <cellStyle name="Comma 2 2 4 2 6 10" xfId="34624" xr:uid="{00000000-0005-0000-0000-0000431C0000}"/>
    <cellStyle name="Comma 2 2 4 2 6 11" xfId="36752" xr:uid="{00000000-0005-0000-0000-0000441C0000}"/>
    <cellStyle name="Comma 2 2 4 2 6 12" xfId="39333" xr:uid="{00000000-0005-0000-0000-0000451C0000}"/>
    <cellStyle name="Comma 2 2 4 2 6 13" xfId="42311" xr:uid="{00000000-0005-0000-0000-0000461C0000}"/>
    <cellStyle name="Comma 2 2 4 2 6 14" xfId="44495" xr:uid="{00000000-0005-0000-0000-0000471C0000}"/>
    <cellStyle name="Comma 2 2 4 2 6 2" xfId="15131" xr:uid="{00000000-0005-0000-0000-0000481C0000}"/>
    <cellStyle name="Comma 2 2 4 2 6 2 2" xfId="31538" xr:uid="{00000000-0005-0000-0000-0000491C0000}"/>
    <cellStyle name="Comma 2 2 4 2 6 2 3" xfId="33391" xr:uid="{00000000-0005-0000-0000-00004A1C0000}"/>
    <cellStyle name="Comma 2 2 4 2 6 2 4" xfId="35215" xr:uid="{00000000-0005-0000-0000-00004B1C0000}"/>
    <cellStyle name="Comma 2 2 4 2 6 2 5" xfId="37295" xr:uid="{00000000-0005-0000-0000-00004C1C0000}"/>
    <cellStyle name="Comma 2 2 4 2 6 2 6" xfId="40904" xr:uid="{00000000-0005-0000-0000-00004D1C0000}"/>
    <cellStyle name="Comma 2 2 4 2 6 2 7" xfId="43639" xr:uid="{00000000-0005-0000-0000-00004E1C0000}"/>
    <cellStyle name="Comma 2 2 4 2 6 2 8" xfId="44496" xr:uid="{00000000-0005-0000-0000-00004F1C0000}"/>
    <cellStyle name="Comma 2 2 4 2 6 3" xfId="12173" xr:uid="{00000000-0005-0000-0000-0000501C0000}"/>
    <cellStyle name="Comma 2 2 4 2 6 4" xfId="15467" xr:uid="{00000000-0005-0000-0000-0000511C0000}"/>
    <cellStyle name="Comma 2 2 4 2 6 5" xfId="29965" xr:uid="{00000000-0005-0000-0000-0000521C0000}"/>
    <cellStyle name="Comma 2 2 4 2 6 6" xfId="30947" xr:uid="{00000000-0005-0000-0000-0000531C0000}"/>
    <cellStyle name="Comma 2 2 4 2 6 7" xfId="31788" xr:uid="{00000000-0005-0000-0000-0000541C0000}"/>
    <cellStyle name="Comma 2 2 4 2 6 8" xfId="32430" xr:uid="{00000000-0005-0000-0000-0000551C0000}"/>
    <cellStyle name="Comma 2 2 4 2 6 9" xfId="33642" xr:uid="{00000000-0005-0000-0000-0000561C0000}"/>
    <cellStyle name="Comma 2 2 4 2 7" xfId="12250" xr:uid="{00000000-0005-0000-0000-0000571C0000}"/>
    <cellStyle name="Comma 2 2 4 2 7 2" xfId="31023" xr:uid="{00000000-0005-0000-0000-0000581C0000}"/>
    <cellStyle name="Comma 2 2 4 2 7 3" xfId="32895" xr:uid="{00000000-0005-0000-0000-0000591C0000}"/>
    <cellStyle name="Comma 2 2 4 2 7 4" xfId="34700" xr:uid="{00000000-0005-0000-0000-00005A1C0000}"/>
    <cellStyle name="Comma 2 2 4 2 7 5" xfId="36808" xr:uid="{00000000-0005-0000-0000-00005B1C0000}"/>
    <cellStyle name="Comma 2 2 4 2 7 6" xfId="39795" xr:uid="{00000000-0005-0000-0000-00005C1C0000}"/>
    <cellStyle name="Comma 2 2 4 2 7 7" xfId="42703" xr:uid="{00000000-0005-0000-0000-00005D1C0000}"/>
    <cellStyle name="Comma 2 2 4 2 7 8" xfId="44497" xr:uid="{00000000-0005-0000-0000-00005E1C0000}"/>
    <cellStyle name="Comma 2 2 4 2 8" xfId="11656" xr:uid="{00000000-0005-0000-0000-00005F1C0000}"/>
    <cellStyle name="Comma 2 2 4 2 9" xfId="15457" xr:uid="{00000000-0005-0000-0000-0000601C0000}"/>
    <cellStyle name="Comma 2 2 4 20" xfId="36188" xr:uid="{00000000-0005-0000-0000-0000611C0000}"/>
    <cellStyle name="Comma 2 2 4 21" xfId="37388" xr:uid="{00000000-0005-0000-0000-0000621C0000}"/>
    <cellStyle name="Comma 2 2 4 22" xfId="41336" xr:uid="{00000000-0005-0000-0000-0000631C0000}"/>
    <cellStyle name="Comma 2 2 4 23" xfId="44498" xr:uid="{00000000-0005-0000-0000-0000641C0000}"/>
    <cellStyle name="Comma 2 2 4 24" xfId="6547" xr:uid="{00000000-0005-0000-0000-0000651C0000}"/>
    <cellStyle name="Comma 2 2 4 3" xfId="2765" xr:uid="{00000000-0005-0000-0000-0000661C0000}"/>
    <cellStyle name="Comma 2 2 4 3 10" xfId="29966" xr:uid="{00000000-0005-0000-0000-0000671C0000}"/>
    <cellStyle name="Comma 2 2 4 3 11" xfId="30433" xr:uid="{00000000-0005-0000-0000-0000681C0000}"/>
    <cellStyle name="Comma 2 2 4 3 12" xfId="31789" xr:uid="{00000000-0005-0000-0000-0000691C0000}"/>
    <cellStyle name="Comma 2 2 4 3 13" xfId="32431" xr:uid="{00000000-0005-0000-0000-00006A1C0000}"/>
    <cellStyle name="Comma 2 2 4 3 14" xfId="33643" xr:uid="{00000000-0005-0000-0000-00006B1C0000}"/>
    <cellStyle name="Comma 2 2 4 3 15" xfId="34110" xr:uid="{00000000-0005-0000-0000-00006C1C0000}"/>
    <cellStyle name="Comma 2 2 4 3 16" xfId="35327" xr:uid="{00000000-0005-0000-0000-00006D1C0000}"/>
    <cellStyle name="Comma 2 2 4 3 17" xfId="36190" xr:uid="{00000000-0005-0000-0000-00006E1C0000}"/>
    <cellStyle name="Comma 2 2 4 3 18" xfId="37429" xr:uid="{00000000-0005-0000-0000-00006F1C0000}"/>
    <cellStyle name="Comma 2 2 4 3 19" xfId="41376" xr:uid="{00000000-0005-0000-0000-0000701C0000}"/>
    <cellStyle name="Comma 2 2 4 3 2" xfId="5076" xr:uid="{00000000-0005-0000-0000-0000711C0000}"/>
    <cellStyle name="Comma 2 2 4 3 2 10" xfId="32432" xr:uid="{00000000-0005-0000-0000-0000721C0000}"/>
    <cellStyle name="Comma 2 2 4 3 2 11" xfId="33644" xr:uid="{00000000-0005-0000-0000-0000731C0000}"/>
    <cellStyle name="Comma 2 2 4 3 2 12" xfId="34148" xr:uid="{00000000-0005-0000-0000-0000741C0000}"/>
    <cellStyle name="Comma 2 2 4 3 2 13" xfId="36031" xr:uid="{00000000-0005-0000-0000-0000751C0000}"/>
    <cellStyle name="Comma 2 2 4 3 2 14" xfId="36331" xr:uid="{00000000-0005-0000-0000-0000761C0000}"/>
    <cellStyle name="Comma 2 2 4 3 2 15" xfId="37503" xr:uid="{00000000-0005-0000-0000-0000771C0000}"/>
    <cellStyle name="Comma 2 2 4 3 2 16" xfId="41449" xr:uid="{00000000-0005-0000-0000-0000781C0000}"/>
    <cellStyle name="Comma 2 2 4 3 2 17" xfId="44499" xr:uid="{00000000-0005-0000-0000-0000791C0000}"/>
    <cellStyle name="Comma 2 2 4 3 2 18" xfId="6661" xr:uid="{00000000-0005-0000-0000-00007A1C0000}"/>
    <cellStyle name="Comma 2 2 4 3 2 2" xfId="6045" xr:uid="{00000000-0005-0000-0000-00007B1C0000}"/>
    <cellStyle name="Comma 2 2 4 3 2 2 10" xfId="33645" xr:uid="{00000000-0005-0000-0000-00007C1C0000}"/>
    <cellStyle name="Comma 2 2 4 3 2 2 11" xfId="34300" xr:uid="{00000000-0005-0000-0000-00007D1C0000}"/>
    <cellStyle name="Comma 2 2 4 3 2 2 12" xfId="36485" xr:uid="{00000000-0005-0000-0000-00007E1C0000}"/>
    <cellStyle name="Comma 2 2 4 3 2 2 13" xfId="38810" xr:uid="{00000000-0005-0000-0000-00007F1C0000}"/>
    <cellStyle name="Comma 2 2 4 3 2 2 14" xfId="41849" xr:uid="{00000000-0005-0000-0000-0000801C0000}"/>
    <cellStyle name="Comma 2 2 4 3 2 2 15" xfId="44500" xr:uid="{00000000-0005-0000-0000-0000811C0000}"/>
    <cellStyle name="Comma 2 2 4 3 2 2 16" xfId="8537" xr:uid="{00000000-0005-0000-0000-0000821C0000}"/>
    <cellStyle name="Comma 2 2 4 3 2 2 2" xfId="8764" xr:uid="{00000000-0005-0000-0000-0000831C0000}"/>
    <cellStyle name="Comma 2 2 4 3 2 2 2 10" xfId="34431" xr:uid="{00000000-0005-0000-0000-0000841C0000}"/>
    <cellStyle name="Comma 2 2 4 3 2 2 2 11" xfId="36599" xr:uid="{00000000-0005-0000-0000-0000851C0000}"/>
    <cellStyle name="Comma 2 2 4 3 2 2 2 12" xfId="40359" xr:uid="{00000000-0005-0000-0000-0000861C0000}"/>
    <cellStyle name="Comma 2 2 4 3 2 2 2 13" xfId="43177" xr:uid="{00000000-0005-0000-0000-0000871C0000}"/>
    <cellStyle name="Comma 2 2 4 3 2 2 2 14" xfId="44501" xr:uid="{00000000-0005-0000-0000-0000881C0000}"/>
    <cellStyle name="Comma 2 2 4 3 2 2 2 2" xfId="12763" xr:uid="{00000000-0005-0000-0000-0000891C0000}"/>
    <cellStyle name="Comma 2 2 4 3 2 2 2 2 2" xfId="31345" xr:uid="{00000000-0005-0000-0000-00008A1C0000}"/>
    <cellStyle name="Comma 2 2 4 3 2 2 2 2 3" xfId="33199" xr:uid="{00000000-0005-0000-0000-00008B1C0000}"/>
    <cellStyle name="Comma 2 2 4 3 2 2 2 2 4" xfId="35022" xr:uid="{00000000-0005-0000-0000-00008C1C0000}"/>
    <cellStyle name="Comma 2 2 4 3 2 2 2 2 5" xfId="37120" xr:uid="{00000000-0005-0000-0000-00008D1C0000}"/>
    <cellStyle name="Comma 2 2 4 3 2 2 2 3" xfId="11980" xr:uid="{00000000-0005-0000-0000-00008E1C0000}"/>
    <cellStyle name="Comma 2 2 4 3 2 2 2 4" xfId="15471" xr:uid="{00000000-0005-0000-0000-00008F1C0000}"/>
    <cellStyle name="Comma 2 2 4 3 2 2 2 5" xfId="29969" xr:uid="{00000000-0005-0000-0000-0000901C0000}"/>
    <cellStyle name="Comma 2 2 4 3 2 2 2 6" xfId="30754" xr:uid="{00000000-0005-0000-0000-0000911C0000}"/>
    <cellStyle name="Comma 2 2 4 3 2 2 2 7" xfId="31792" xr:uid="{00000000-0005-0000-0000-0000921C0000}"/>
    <cellStyle name="Comma 2 2 4 3 2 2 2 8" xfId="32434" xr:uid="{00000000-0005-0000-0000-0000931C0000}"/>
    <cellStyle name="Comma 2 2 4 3 2 2 2 9" xfId="33646" xr:uid="{00000000-0005-0000-0000-0000941C0000}"/>
    <cellStyle name="Comma 2 2 4 3 2 2 3" xfId="12572" xr:uid="{00000000-0005-0000-0000-0000951C0000}"/>
    <cellStyle name="Comma 2 2 4 3 2 2 3 2" xfId="31214" xr:uid="{00000000-0005-0000-0000-0000961C0000}"/>
    <cellStyle name="Comma 2 2 4 3 2 2 3 3" xfId="33070" xr:uid="{00000000-0005-0000-0000-0000971C0000}"/>
    <cellStyle name="Comma 2 2 4 3 2 2 3 4" xfId="34891" xr:uid="{00000000-0005-0000-0000-0000981C0000}"/>
    <cellStyle name="Comma 2 2 4 3 2 2 3 5" xfId="36991" xr:uid="{00000000-0005-0000-0000-0000991C0000}"/>
    <cellStyle name="Comma 2 2 4 3 2 2 4" xfId="11849" xr:uid="{00000000-0005-0000-0000-00009A1C0000}"/>
    <cellStyle name="Comma 2 2 4 3 2 2 5" xfId="15470" xr:uid="{00000000-0005-0000-0000-00009B1C0000}"/>
    <cellStyle name="Comma 2 2 4 3 2 2 6" xfId="29968" xr:uid="{00000000-0005-0000-0000-00009C1C0000}"/>
    <cellStyle name="Comma 2 2 4 3 2 2 7" xfId="30623" xr:uid="{00000000-0005-0000-0000-00009D1C0000}"/>
    <cellStyle name="Comma 2 2 4 3 2 2 8" xfId="31791" xr:uid="{00000000-0005-0000-0000-00009E1C0000}"/>
    <cellStyle name="Comma 2 2 4 3 2 2 9" xfId="32433" xr:uid="{00000000-0005-0000-0000-00009F1C0000}"/>
    <cellStyle name="Comma 2 2 4 3 2 3" xfId="6365" xr:uid="{00000000-0005-0000-0000-0000A01C0000}"/>
    <cellStyle name="Comma 2 2 4 3 2 3 10" xfId="34430" xr:uid="{00000000-0005-0000-0000-0000A11C0000}"/>
    <cellStyle name="Comma 2 2 4 3 2 3 11" xfId="36598" xr:uid="{00000000-0005-0000-0000-0000A21C0000}"/>
    <cellStyle name="Comma 2 2 4 3 2 3 12" xfId="39030" xr:uid="{00000000-0005-0000-0000-0000A31C0000}"/>
    <cellStyle name="Comma 2 2 4 3 2 3 13" xfId="42056" xr:uid="{00000000-0005-0000-0000-0000A41C0000}"/>
    <cellStyle name="Comma 2 2 4 3 2 3 14" xfId="44502" xr:uid="{00000000-0005-0000-0000-0000A51C0000}"/>
    <cellStyle name="Comma 2 2 4 3 2 3 15" xfId="8763" xr:uid="{00000000-0005-0000-0000-0000A61C0000}"/>
    <cellStyle name="Comma 2 2 4 3 2 3 2" xfId="12762" xr:uid="{00000000-0005-0000-0000-0000A71C0000}"/>
    <cellStyle name="Comma 2 2 4 3 2 3 2 2" xfId="31344" xr:uid="{00000000-0005-0000-0000-0000A81C0000}"/>
    <cellStyle name="Comma 2 2 4 3 2 3 2 3" xfId="33198" xr:uid="{00000000-0005-0000-0000-0000A91C0000}"/>
    <cellStyle name="Comma 2 2 4 3 2 3 2 4" xfId="35021" xr:uid="{00000000-0005-0000-0000-0000AA1C0000}"/>
    <cellStyle name="Comma 2 2 4 3 2 3 2 5" xfId="37119" xr:uid="{00000000-0005-0000-0000-0000AB1C0000}"/>
    <cellStyle name="Comma 2 2 4 3 2 3 2 6" xfId="40598" xr:uid="{00000000-0005-0000-0000-0000AC1C0000}"/>
    <cellStyle name="Comma 2 2 4 3 2 3 2 7" xfId="43384" xr:uid="{00000000-0005-0000-0000-0000AD1C0000}"/>
    <cellStyle name="Comma 2 2 4 3 2 3 2 8" xfId="44503" xr:uid="{00000000-0005-0000-0000-0000AE1C0000}"/>
    <cellStyle name="Comma 2 2 4 3 2 3 3" xfId="11979" xr:uid="{00000000-0005-0000-0000-0000AF1C0000}"/>
    <cellStyle name="Comma 2 2 4 3 2 3 4" xfId="15472" xr:uid="{00000000-0005-0000-0000-0000B01C0000}"/>
    <cellStyle name="Comma 2 2 4 3 2 3 5" xfId="29970" xr:uid="{00000000-0005-0000-0000-0000B11C0000}"/>
    <cellStyle name="Comma 2 2 4 3 2 3 6" xfId="30753" xr:uid="{00000000-0005-0000-0000-0000B21C0000}"/>
    <cellStyle name="Comma 2 2 4 3 2 3 7" xfId="31793" xr:uid="{00000000-0005-0000-0000-0000B31C0000}"/>
    <cellStyle name="Comma 2 2 4 3 2 3 8" xfId="32435" xr:uid="{00000000-0005-0000-0000-0000B41C0000}"/>
    <cellStyle name="Comma 2 2 4 3 2 3 9" xfId="33647" xr:uid="{00000000-0005-0000-0000-0000B51C0000}"/>
    <cellStyle name="Comma 2 2 4 3 2 4" xfId="12289" xr:uid="{00000000-0005-0000-0000-0000B61C0000}"/>
    <cellStyle name="Comma 2 2 4 3 2 4 2" xfId="31062" xr:uid="{00000000-0005-0000-0000-0000B71C0000}"/>
    <cellStyle name="Comma 2 2 4 3 2 4 2 2" xfId="41215" xr:uid="{00000000-0005-0000-0000-0000B81C0000}"/>
    <cellStyle name="Comma 2 2 4 3 2 4 2 3" xfId="43895" xr:uid="{00000000-0005-0000-0000-0000B91C0000}"/>
    <cellStyle name="Comma 2 2 4 3 2 4 2 4" xfId="44504" xr:uid="{00000000-0005-0000-0000-0000BA1C0000}"/>
    <cellStyle name="Comma 2 2 4 3 2 4 3" xfId="32930" xr:uid="{00000000-0005-0000-0000-0000BB1C0000}"/>
    <cellStyle name="Comma 2 2 4 3 2 4 4" xfId="34739" xr:uid="{00000000-0005-0000-0000-0000BC1C0000}"/>
    <cellStyle name="Comma 2 2 4 3 2 4 5" xfId="36847" xr:uid="{00000000-0005-0000-0000-0000BD1C0000}"/>
    <cellStyle name="Comma 2 2 4 3 2 4 6" xfId="39632" xr:uid="{00000000-0005-0000-0000-0000BE1C0000}"/>
    <cellStyle name="Comma 2 2 4 3 2 4 7" xfId="42567" xr:uid="{00000000-0005-0000-0000-0000BF1C0000}"/>
    <cellStyle name="Comma 2 2 4 3 2 4 8" xfId="44505" xr:uid="{00000000-0005-0000-0000-0000C01C0000}"/>
    <cellStyle name="Comma 2 2 4 3 2 5" xfId="11696" xr:uid="{00000000-0005-0000-0000-0000C11C0000}"/>
    <cellStyle name="Comma 2 2 4 3 2 5 2" xfId="39878" xr:uid="{00000000-0005-0000-0000-0000C21C0000}"/>
    <cellStyle name="Comma 2 2 4 3 2 5 3" xfId="42777" xr:uid="{00000000-0005-0000-0000-0000C31C0000}"/>
    <cellStyle name="Comma 2 2 4 3 2 5 4" xfId="44506" xr:uid="{00000000-0005-0000-0000-0000C41C0000}"/>
    <cellStyle name="Comma 2 2 4 3 2 6" xfId="15469" xr:uid="{00000000-0005-0000-0000-0000C51C0000}"/>
    <cellStyle name="Comma 2 2 4 3 2 7" xfId="29967" xr:uid="{00000000-0005-0000-0000-0000C61C0000}"/>
    <cellStyle name="Comma 2 2 4 3 2 8" xfId="30471" xr:uid="{00000000-0005-0000-0000-0000C71C0000}"/>
    <cellStyle name="Comma 2 2 4 3 2 9" xfId="31790" xr:uid="{00000000-0005-0000-0000-0000C81C0000}"/>
    <cellStyle name="Comma 2 2 4 3 20" xfId="44507" xr:uid="{00000000-0005-0000-0000-0000C91C0000}"/>
    <cellStyle name="Comma 2 2 4 3 21" xfId="6549" xr:uid="{00000000-0005-0000-0000-0000CA1C0000}"/>
    <cellStyle name="Comma 2 2 4 3 3" xfId="4417" xr:uid="{00000000-0005-0000-0000-0000CB1C0000}"/>
    <cellStyle name="Comma 2 2 4 3 3 10" xfId="33648" xr:uid="{00000000-0005-0000-0000-0000CC1C0000}"/>
    <cellStyle name="Comma 2 2 4 3 3 11" xfId="34261" xr:uid="{00000000-0005-0000-0000-0000CD1C0000}"/>
    <cellStyle name="Comma 2 2 4 3 3 12" xfId="35600" xr:uid="{00000000-0005-0000-0000-0000CE1C0000}"/>
    <cellStyle name="Comma 2 2 4 3 3 13" xfId="36462" xr:uid="{00000000-0005-0000-0000-0000CF1C0000}"/>
    <cellStyle name="Comma 2 2 4 3 3 14" xfId="38669" xr:uid="{00000000-0005-0000-0000-0000D01C0000}"/>
    <cellStyle name="Comma 2 2 4 3 3 15" xfId="41709" xr:uid="{00000000-0005-0000-0000-0000D11C0000}"/>
    <cellStyle name="Comma 2 2 4 3 3 16" xfId="44508" xr:uid="{00000000-0005-0000-0000-0000D21C0000}"/>
    <cellStyle name="Comma 2 2 4 3 3 17" xfId="8424" xr:uid="{00000000-0005-0000-0000-0000D31C0000}"/>
    <cellStyle name="Comma 2 2 4 3 3 2" xfId="5868" xr:uid="{00000000-0005-0000-0000-0000D41C0000}"/>
    <cellStyle name="Comma 2 2 4 3 3 2 10" xfId="34432" xr:uid="{00000000-0005-0000-0000-0000D51C0000}"/>
    <cellStyle name="Comma 2 2 4 3 3 2 11" xfId="36600" xr:uid="{00000000-0005-0000-0000-0000D61C0000}"/>
    <cellStyle name="Comma 2 2 4 3 3 2 12" xfId="39160" xr:uid="{00000000-0005-0000-0000-0000D71C0000}"/>
    <cellStyle name="Comma 2 2 4 3 3 2 13" xfId="42168" xr:uid="{00000000-0005-0000-0000-0000D81C0000}"/>
    <cellStyle name="Comma 2 2 4 3 3 2 14" xfId="44509" xr:uid="{00000000-0005-0000-0000-0000D91C0000}"/>
    <cellStyle name="Comma 2 2 4 3 3 2 15" xfId="8765" xr:uid="{00000000-0005-0000-0000-0000DA1C0000}"/>
    <cellStyle name="Comma 2 2 4 3 3 2 2" xfId="12764" xr:uid="{00000000-0005-0000-0000-0000DB1C0000}"/>
    <cellStyle name="Comma 2 2 4 3 3 2 2 2" xfId="31346" xr:uid="{00000000-0005-0000-0000-0000DC1C0000}"/>
    <cellStyle name="Comma 2 2 4 3 3 2 2 3" xfId="33200" xr:uid="{00000000-0005-0000-0000-0000DD1C0000}"/>
    <cellStyle name="Comma 2 2 4 3 3 2 2 4" xfId="35023" xr:uid="{00000000-0005-0000-0000-0000DE1C0000}"/>
    <cellStyle name="Comma 2 2 4 3 3 2 2 5" xfId="37121" xr:uid="{00000000-0005-0000-0000-0000DF1C0000}"/>
    <cellStyle name="Comma 2 2 4 3 3 2 2 6" xfId="40733" xr:uid="{00000000-0005-0000-0000-0000E01C0000}"/>
    <cellStyle name="Comma 2 2 4 3 3 2 2 7" xfId="43496" xr:uid="{00000000-0005-0000-0000-0000E11C0000}"/>
    <cellStyle name="Comma 2 2 4 3 3 2 2 8" xfId="44510" xr:uid="{00000000-0005-0000-0000-0000E21C0000}"/>
    <cellStyle name="Comma 2 2 4 3 3 2 3" xfId="11981" xr:uid="{00000000-0005-0000-0000-0000E31C0000}"/>
    <cellStyle name="Comma 2 2 4 3 3 2 4" xfId="15474" xr:uid="{00000000-0005-0000-0000-0000E41C0000}"/>
    <cellStyle name="Comma 2 2 4 3 3 2 5" xfId="29972" xr:uid="{00000000-0005-0000-0000-0000E51C0000}"/>
    <cellStyle name="Comma 2 2 4 3 3 2 6" xfId="30755" xr:uid="{00000000-0005-0000-0000-0000E61C0000}"/>
    <cellStyle name="Comma 2 2 4 3 3 2 7" xfId="31795" xr:uid="{00000000-0005-0000-0000-0000E71C0000}"/>
    <cellStyle name="Comma 2 2 4 3 3 2 8" xfId="32437" xr:uid="{00000000-0005-0000-0000-0000E81C0000}"/>
    <cellStyle name="Comma 2 2 4 3 3 2 9" xfId="33649" xr:uid="{00000000-0005-0000-0000-0000E91C0000}"/>
    <cellStyle name="Comma 2 2 4 3 3 3" xfId="12532" xr:uid="{00000000-0005-0000-0000-0000EA1C0000}"/>
    <cellStyle name="Comma 2 2 4 3 3 3 2" xfId="31175" xr:uid="{00000000-0005-0000-0000-0000EB1C0000}"/>
    <cellStyle name="Comma 2 2 4 3 3 3 2 2" xfId="41043" xr:uid="{00000000-0005-0000-0000-0000EC1C0000}"/>
    <cellStyle name="Comma 2 2 4 3 3 3 2 3" xfId="43755" xr:uid="{00000000-0005-0000-0000-0000ED1C0000}"/>
    <cellStyle name="Comma 2 2 4 3 3 3 2 4" xfId="44511" xr:uid="{00000000-0005-0000-0000-0000EE1C0000}"/>
    <cellStyle name="Comma 2 2 4 3 3 3 3" xfId="33033" xr:uid="{00000000-0005-0000-0000-0000EF1C0000}"/>
    <cellStyle name="Comma 2 2 4 3 3 3 4" xfId="34852" xr:uid="{00000000-0005-0000-0000-0000F01C0000}"/>
    <cellStyle name="Comma 2 2 4 3 3 3 5" xfId="36954" xr:uid="{00000000-0005-0000-0000-0000F11C0000}"/>
    <cellStyle name="Comma 2 2 4 3 3 3 6" xfId="39467" xr:uid="{00000000-0005-0000-0000-0000F21C0000}"/>
    <cellStyle name="Comma 2 2 4 3 3 3 7" xfId="42427" xr:uid="{00000000-0005-0000-0000-0000F31C0000}"/>
    <cellStyle name="Comma 2 2 4 3 3 3 8" xfId="44512" xr:uid="{00000000-0005-0000-0000-0000F41C0000}"/>
    <cellStyle name="Comma 2 2 4 3 3 4" xfId="11810" xr:uid="{00000000-0005-0000-0000-0000F51C0000}"/>
    <cellStyle name="Comma 2 2 4 3 3 4 2" xfId="40188" xr:uid="{00000000-0005-0000-0000-0000F61C0000}"/>
    <cellStyle name="Comma 2 2 4 3 3 4 3" xfId="43037" xr:uid="{00000000-0005-0000-0000-0000F71C0000}"/>
    <cellStyle name="Comma 2 2 4 3 3 4 4" xfId="44513" xr:uid="{00000000-0005-0000-0000-0000F81C0000}"/>
    <cellStyle name="Comma 2 2 4 3 3 5" xfId="15473" xr:uid="{00000000-0005-0000-0000-0000F91C0000}"/>
    <cellStyle name="Comma 2 2 4 3 3 6" xfId="29971" xr:uid="{00000000-0005-0000-0000-0000FA1C0000}"/>
    <cellStyle name="Comma 2 2 4 3 3 7" xfId="30584" xr:uid="{00000000-0005-0000-0000-0000FB1C0000}"/>
    <cellStyle name="Comma 2 2 4 3 3 8" xfId="31794" xr:uid="{00000000-0005-0000-0000-0000FC1C0000}"/>
    <cellStyle name="Comma 2 2 4 3 3 9" xfId="32436" xr:uid="{00000000-0005-0000-0000-0000FD1C0000}"/>
    <cellStyle name="Comma 2 2 4 3 4" xfId="5730" xr:uid="{00000000-0005-0000-0000-0000FE1C0000}"/>
    <cellStyle name="Comma 2 2 4 3 4 10" xfId="33650" xr:uid="{00000000-0005-0000-0000-0000FF1C0000}"/>
    <cellStyle name="Comma 2 2 4 3 4 11" xfId="34200" xr:uid="{00000000-0005-0000-0000-0000001D0000}"/>
    <cellStyle name="Comma 2 2 4 3 4 12" xfId="36430" xr:uid="{00000000-0005-0000-0000-0000011D0000}"/>
    <cellStyle name="Comma 2 2 4 3 4 13" xfId="38097" xr:uid="{00000000-0005-0000-0000-0000021D0000}"/>
    <cellStyle name="Comma 2 2 4 3 4 14" xfId="41594" xr:uid="{00000000-0005-0000-0000-0000031D0000}"/>
    <cellStyle name="Comma 2 2 4 3 4 15" xfId="44514" xr:uid="{00000000-0005-0000-0000-0000041D0000}"/>
    <cellStyle name="Comma 2 2 4 3 4 16" xfId="8091" xr:uid="{00000000-0005-0000-0000-0000051D0000}"/>
    <cellStyle name="Comma 2 2 4 3 4 2" xfId="8766" xr:uid="{00000000-0005-0000-0000-0000061D0000}"/>
    <cellStyle name="Comma 2 2 4 3 4 2 10" xfId="34433" xr:uid="{00000000-0005-0000-0000-0000071D0000}"/>
    <cellStyle name="Comma 2 2 4 3 4 2 11" xfId="36601" xr:uid="{00000000-0005-0000-0000-0000081D0000}"/>
    <cellStyle name="Comma 2 2 4 3 4 2 12" xfId="40053" xr:uid="{00000000-0005-0000-0000-0000091D0000}"/>
    <cellStyle name="Comma 2 2 4 3 4 2 13" xfId="42922" xr:uid="{00000000-0005-0000-0000-00000A1D0000}"/>
    <cellStyle name="Comma 2 2 4 3 4 2 14" xfId="44515" xr:uid="{00000000-0005-0000-0000-00000B1D0000}"/>
    <cellStyle name="Comma 2 2 4 3 4 2 2" xfId="12765" xr:uid="{00000000-0005-0000-0000-00000C1D0000}"/>
    <cellStyle name="Comma 2 2 4 3 4 2 2 2" xfId="31347" xr:uid="{00000000-0005-0000-0000-00000D1D0000}"/>
    <cellStyle name="Comma 2 2 4 3 4 2 2 3" xfId="33201" xr:uid="{00000000-0005-0000-0000-00000E1D0000}"/>
    <cellStyle name="Comma 2 2 4 3 4 2 2 4" xfId="35024" xr:uid="{00000000-0005-0000-0000-00000F1D0000}"/>
    <cellStyle name="Comma 2 2 4 3 4 2 2 5" xfId="37122" xr:uid="{00000000-0005-0000-0000-0000101D0000}"/>
    <cellStyle name="Comma 2 2 4 3 4 2 3" xfId="11982" xr:uid="{00000000-0005-0000-0000-0000111D0000}"/>
    <cellStyle name="Comma 2 2 4 3 4 2 4" xfId="15476" xr:uid="{00000000-0005-0000-0000-0000121D0000}"/>
    <cellStyle name="Comma 2 2 4 3 4 2 5" xfId="29974" xr:uid="{00000000-0005-0000-0000-0000131D0000}"/>
    <cellStyle name="Comma 2 2 4 3 4 2 6" xfId="30756" xr:uid="{00000000-0005-0000-0000-0000141D0000}"/>
    <cellStyle name="Comma 2 2 4 3 4 2 7" xfId="31797" xr:uid="{00000000-0005-0000-0000-0000151D0000}"/>
    <cellStyle name="Comma 2 2 4 3 4 2 8" xfId="32439" xr:uid="{00000000-0005-0000-0000-0000161D0000}"/>
    <cellStyle name="Comma 2 2 4 3 4 2 9" xfId="33651" xr:uid="{00000000-0005-0000-0000-0000171D0000}"/>
    <cellStyle name="Comma 2 2 4 3 4 3" xfId="12403" xr:uid="{00000000-0005-0000-0000-0000181D0000}"/>
    <cellStyle name="Comma 2 2 4 3 4 3 2" xfId="31114" xr:uid="{00000000-0005-0000-0000-0000191D0000}"/>
    <cellStyle name="Comma 2 2 4 3 4 3 3" xfId="32976" xr:uid="{00000000-0005-0000-0000-00001A1D0000}"/>
    <cellStyle name="Comma 2 2 4 3 4 3 4" xfId="34791" xr:uid="{00000000-0005-0000-0000-00001B1D0000}"/>
    <cellStyle name="Comma 2 2 4 3 4 3 5" xfId="36897" xr:uid="{00000000-0005-0000-0000-00001C1D0000}"/>
    <cellStyle name="Comma 2 2 4 3 4 4" xfId="11749" xr:uid="{00000000-0005-0000-0000-00001D1D0000}"/>
    <cellStyle name="Comma 2 2 4 3 4 5" xfId="15475" xr:uid="{00000000-0005-0000-0000-00001E1D0000}"/>
    <cellStyle name="Comma 2 2 4 3 4 6" xfId="29973" xr:uid="{00000000-0005-0000-0000-00001F1D0000}"/>
    <cellStyle name="Comma 2 2 4 3 4 7" xfId="30523" xr:uid="{00000000-0005-0000-0000-0000201D0000}"/>
    <cellStyle name="Comma 2 2 4 3 4 8" xfId="31796" xr:uid="{00000000-0005-0000-0000-0000211D0000}"/>
    <cellStyle name="Comma 2 2 4 3 4 9" xfId="32438" xr:uid="{00000000-0005-0000-0000-0000221D0000}"/>
    <cellStyle name="Comma 2 2 4 3 5" xfId="6189" xr:uid="{00000000-0005-0000-0000-0000231D0000}"/>
    <cellStyle name="Comma 2 2 4 3 5 10" xfId="34429" xr:uid="{00000000-0005-0000-0000-0000241D0000}"/>
    <cellStyle name="Comma 2 2 4 3 5 11" xfId="36597" xr:uid="{00000000-0005-0000-0000-0000251D0000}"/>
    <cellStyle name="Comma 2 2 4 3 5 12" xfId="38931" xr:uid="{00000000-0005-0000-0000-0000261D0000}"/>
    <cellStyle name="Comma 2 2 4 3 5 13" xfId="41962" xr:uid="{00000000-0005-0000-0000-0000271D0000}"/>
    <cellStyle name="Comma 2 2 4 3 5 14" xfId="44516" xr:uid="{00000000-0005-0000-0000-0000281D0000}"/>
    <cellStyle name="Comma 2 2 4 3 5 15" xfId="8762" xr:uid="{00000000-0005-0000-0000-0000291D0000}"/>
    <cellStyle name="Comma 2 2 4 3 5 2" xfId="12761" xr:uid="{00000000-0005-0000-0000-00002A1D0000}"/>
    <cellStyle name="Comma 2 2 4 3 5 2 2" xfId="31343" xr:uid="{00000000-0005-0000-0000-00002B1D0000}"/>
    <cellStyle name="Comma 2 2 4 3 5 2 3" xfId="33197" xr:uid="{00000000-0005-0000-0000-00002C1D0000}"/>
    <cellStyle name="Comma 2 2 4 3 5 2 4" xfId="35020" xr:uid="{00000000-0005-0000-0000-00002D1D0000}"/>
    <cellStyle name="Comma 2 2 4 3 5 2 5" xfId="37118" xr:uid="{00000000-0005-0000-0000-00002E1D0000}"/>
    <cellStyle name="Comma 2 2 4 3 5 2 6" xfId="40489" xr:uid="{00000000-0005-0000-0000-00002F1D0000}"/>
    <cellStyle name="Comma 2 2 4 3 5 2 7" xfId="43290" xr:uid="{00000000-0005-0000-0000-0000301D0000}"/>
    <cellStyle name="Comma 2 2 4 3 5 2 8" xfId="44517" xr:uid="{00000000-0005-0000-0000-0000311D0000}"/>
    <cellStyle name="Comma 2 2 4 3 5 3" xfId="11978" xr:uid="{00000000-0005-0000-0000-0000321D0000}"/>
    <cellStyle name="Comma 2 2 4 3 5 4" xfId="15477" xr:uid="{00000000-0005-0000-0000-0000331D0000}"/>
    <cellStyle name="Comma 2 2 4 3 5 5" xfId="29975" xr:uid="{00000000-0005-0000-0000-0000341D0000}"/>
    <cellStyle name="Comma 2 2 4 3 5 6" xfId="30752" xr:uid="{00000000-0005-0000-0000-0000351D0000}"/>
    <cellStyle name="Comma 2 2 4 3 5 7" xfId="31798" xr:uid="{00000000-0005-0000-0000-0000361D0000}"/>
    <cellStyle name="Comma 2 2 4 3 5 8" xfId="32440" xr:uid="{00000000-0005-0000-0000-0000371D0000}"/>
    <cellStyle name="Comma 2 2 4 3 5 9" xfId="33652" xr:uid="{00000000-0005-0000-0000-0000381D0000}"/>
    <cellStyle name="Comma 2 2 4 3 6" xfId="11511" xr:uid="{00000000-0005-0000-0000-0000391D0000}"/>
    <cellStyle name="Comma 2 2 4 3 6 10" xfId="34625" xr:uid="{00000000-0005-0000-0000-00003A1D0000}"/>
    <cellStyle name="Comma 2 2 4 3 6 11" xfId="36753" xr:uid="{00000000-0005-0000-0000-00003B1D0000}"/>
    <cellStyle name="Comma 2 2 4 3 6 12" xfId="39334" xr:uid="{00000000-0005-0000-0000-00003C1D0000}"/>
    <cellStyle name="Comma 2 2 4 3 6 13" xfId="42312" xr:uid="{00000000-0005-0000-0000-00003D1D0000}"/>
    <cellStyle name="Comma 2 2 4 3 6 14" xfId="44518" xr:uid="{00000000-0005-0000-0000-00003E1D0000}"/>
    <cellStyle name="Comma 2 2 4 3 6 2" xfId="15132" xr:uid="{00000000-0005-0000-0000-00003F1D0000}"/>
    <cellStyle name="Comma 2 2 4 3 6 2 2" xfId="31539" xr:uid="{00000000-0005-0000-0000-0000401D0000}"/>
    <cellStyle name="Comma 2 2 4 3 6 2 3" xfId="33392" xr:uid="{00000000-0005-0000-0000-0000411D0000}"/>
    <cellStyle name="Comma 2 2 4 3 6 2 4" xfId="35216" xr:uid="{00000000-0005-0000-0000-0000421D0000}"/>
    <cellStyle name="Comma 2 2 4 3 6 2 5" xfId="37296" xr:uid="{00000000-0005-0000-0000-0000431D0000}"/>
    <cellStyle name="Comma 2 2 4 3 6 2 6" xfId="40905" xr:uid="{00000000-0005-0000-0000-0000441D0000}"/>
    <cellStyle name="Comma 2 2 4 3 6 2 7" xfId="43640" xr:uid="{00000000-0005-0000-0000-0000451D0000}"/>
    <cellStyle name="Comma 2 2 4 3 6 2 8" xfId="44519" xr:uid="{00000000-0005-0000-0000-0000461D0000}"/>
    <cellStyle name="Comma 2 2 4 3 6 3" xfId="12174" xr:uid="{00000000-0005-0000-0000-0000471D0000}"/>
    <cellStyle name="Comma 2 2 4 3 6 4" xfId="15478" xr:uid="{00000000-0005-0000-0000-0000481D0000}"/>
    <cellStyle name="Comma 2 2 4 3 6 5" xfId="29976" xr:uid="{00000000-0005-0000-0000-0000491D0000}"/>
    <cellStyle name="Comma 2 2 4 3 6 6" xfId="30948" xr:uid="{00000000-0005-0000-0000-00004A1D0000}"/>
    <cellStyle name="Comma 2 2 4 3 6 7" xfId="31799" xr:uid="{00000000-0005-0000-0000-00004B1D0000}"/>
    <cellStyle name="Comma 2 2 4 3 6 8" xfId="32441" xr:uid="{00000000-0005-0000-0000-00004C1D0000}"/>
    <cellStyle name="Comma 2 2 4 3 6 9" xfId="33653" xr:uid="{00000000-0005-0000-0000-00004D1D0000}"/>
    <cellStyle name="Comma 2 2 4 3 7" xfId="12251" xr:uid="{00000000-0005-0000-0000-00004E1D0000}"/>
    <cellStyle name="Comma 2 2 4 3 7 2" xfId="31024" xr:uid="{00000000-0005-0000-0000-00004F1D0000}"/>
    <cellStyle name="Comma 2 2 4 3 7 3" xfId="32896" xr:uid="{00000000-0005-0000-0000-0000501D0000}"/>
    <cellStyle name="Comma 2 2 4 3 7 4" xfId="34701" xr:uid="{00000000-0005-0000-0000-0000511D0000}"/>
    <cellStyle name="Comma 2 2 4 3 7 5" xfId="36809" xr:uid="{00000000-0005-0000-0000-0000521D0000}"/>
    <cellStyle name="Comma 2 2 4 3 7 6" xfId="39796" xr:uid="{00000000-0005-0000-0000-0000531D0000}"/>
    <cellStyle name="Comma 2 2 4 3 7 7" xfId="42704" xr:uid="{00000000-0005-0000-0000-0000541D0000}"/>
    <cellStyle name="Comma 2 2 4 3 7 8" xfId="44520" xr:uid="{00000000-0005-0000-0000-0000551D0000}"/>
    <cellStyle name="Comma 2 2 4 3 8" xfId="11657" xr:uid="{00000000-0005-0000-0000-0000561D0000}"/>
    <cellStyle name="Comma 2 2 4 3 9" xfId="15468" xr:uid="{00000000-0005-0000-0000-0000571D0000}"/>
    <cellStyle name="Comma 2 2 4 4" xfId="2766" xr:uid="{00000000-0005-0000-0000-0000581D0000}"/>
    <cellStyle name="Comma 2 2 4 4 10" xfId="31800" xr:uid="{00000000-0005-0000-0000-0000591D0000}"/>
    <cellStyle name="Comma 2 2 4 4 11" xfId="32442" xr:uid="{00000000-0005-0000-0000-00005A1D0000}"/>
    <cellStyle name="Comma 2 2 4 4 12" xfId="33654" xr:uid="{00000000-0005-0000-0000-00005B1D0000}"/>
    <cellStyle name="Comma 2 2 4 4 13" xfId="34146" xr:uid="{00000000-0005-0000-0000-00005C1D0000}"/>
    <cellStyle name="Comma 2 2 4 4 14" xfId="35328" xr:uid="{00000000-0005-0000-0000-00005D1D0000}"/>
    <cellStyle name="Comma 2 2 4 4 15" xfId="36191" xr:uid="{00000000-0005-0000-0000-00005E1D0000}"/>
    <cellStyle name="Comma 2 2 4 4 16" xfId="37430" xr:uid="{00000000-0005-0000-0000-00005F1D0000}"/>
    <cellStyle name="Comma 2 2 4 4 17" xfId="41377" xr:uid="{00000000-0005-0000-0000-0000601D0000}"/>
    <cellStyle name="Comma 2 2 4 4 18" xfId="44521" xr:uid="{00000000-0005-0000-0000-0000611D0000}"/>
    <cellStyle name="Comma 2 2 4 4 19" xfId="6659" xr:uid="{00000000-0005-0000-0000-0000621D0000}"/>
    <cellStyle name="Comma 2 2 4 4 2" xfId="5077" xr:uid="{00000000-0005-0000-0000-0000631D0000}"/>
    <cellStyle name="Comma 2 2 4 4 2 10" xfId="33655" xr:uid="{00000000-0005-0000-0000-0000641D0000}"/>
    <cellStyle name="Comma 2 2 4 4 2 11" xfId="34298" xr:uid="{00000000-0005-0000-0000-0000651D0000}"/>
    <cellStyle name="Comma 2 2 4 4 2 12" xfId="36032" xr:uid="{00000000-0005-0000-0000-0000661D0000}"/>
    <cellStyle name="Comma 2 2 4 4 2 13" xfId="36332" xr:uid="{00000000-0005-0000-0000-0000671D0000}"/>
    <cellStyle name="Comma 2 2 4 4 2 14" xfId="37504" xr:uid="{00000000-0005-0000-0000-0000681D0000}"/>
    <cellStyle name="Comma 2 2 4 4 2 15" xfId="41450" xr:uid="{00000000-0005-0000-0000-0000691D0000}"/>
    <cellStyle name="Comma 2 2 4 4 2 16" xfId="44522" xr:uid="{00000000-0005-0000-0000-00006A1D0000}"/>
    <cellStyle name="Comma 2 2 4 4 2 17" xfId="8535" xr:uid="{00000000-0005-0000-0000-00006B1D0000}"/>
    <cellStyle name="Comma 2 2 4 4 2 2" xfId="6046" xr:uid="{00000000-0005-0000-0000-00006C1D0000}"/>
    <cellStyle name="Comma 2 2 4 4 2 2 10" xfId="34435" xr:uid="{00000000-0005-0000-0000-00006D1D0000}"/>
    <cellStyle name="Comma 2 2 4 4 2 2 11" xfId="36603" xr:uid="{00000000-0005-0000-0000-00006E1D0000}"/>
    <cellStyle name="Comma 2 2 4 4 2 2 12" xfId="38811" xr:uid="{00000000-0005-0000-0000-00006F1D0000}"/>
    <cellStyle name="Comma 2 2 4 4 2 2 13" xfId="41850" xr:uid="{00000000-0005-0000-0000-0000701D0000}"/>
    <cellStyle name="Comma 2 2 4 4 2 2 14" xfId="44523" xr:uid="{00000000-0005-0000-0000-0000711D0000}"/>
    <cellStyle name="Comma 2 2 4 4 2 2 15" xfId="8768" xr:uid="{00000000-0005-0000-0000-0000721D0000}"/>
    <cellStyle name="Comma 2 2 4 4 2 2 2" xfId="12767" xr:uid="{00000000-0005-0000-0000-0000731D0000}"/>
    <cellStyle name="Comma 2 2 4 4 2 2 2 2" xfId="31349" xr:uid="{00000000-0005-0000-0000-0000741D0000}"/>
    <cellStyle name="Comma 2 2 4 4 2 2 2 3" xfId="33203" xr:uid="{00000000-0005-0000-0000-0000751D0000}"/>
    <cellStyle name="Comma 2 2 4 4 2 2 2 4" xfId="35026" xr:uid="{00000000-0005-0000-0000-0000761D0000}"/>
    <cellStyle name="Comma 2 2 4 4 2 2 2 5" xfId="37124" xr:uid="{00000000-0005-0000-0000-0000771D0000}"/>
    <cellStyle name="Comma 2 2 4 4 2 2 2 6" xfId="40360" xr:uid="{00000000-0005-0000-0000-0000781D0000}"/>
    <cellStyle name="Comma 2 2 4 4 2 2 2 7" xfId="43178" xr:uid="{00000000-0005-0000-0000-0000791D0000}"/>
    <cellStyle name="Comma 2 2 4 4 2 2 2 8" xfId="44524" xr:uid="{00000000-0005-0000-0000-00007A1D0000}"/>
    <cellStyle name="Comma 2 2 4 4 2 2 3" xfId="11984" xr:uid="{00000000-0005-0000-0000-00007B1D0000}"/>
    <cellStyle name="Comma 2 2 4 4 2 2 4" xfId="15481" xr:uid="{00000000-0005-0000-0000-00007C1D0000}"/>
    <cellStyle name="Comma 2 2 4 4 2 2 5" xfId="29979" xr:uid="{00000000-0005-0000-0000-00007D1D0000}"/>
    <cellStyle name="Comma 2 2 4 4 2 2 6" xfId="30758" xr:uid="{00000000-0005-0000-0000-00007E1D0000}"/>
    <cellStyle name="Comma 2 2 4 4 2 2 7" xfId="31802" xr:uid="{00000000-0005-0000-0000-00007F1D0000}"/>
    <cellStyle name="Comma 2 2 4 4 2 2 8" xfId="32444" xr:uid="{00000000-0005-0000-0000-0000801D0000}"/>
    <cellStyle name="Comma 2 2 4 4 2 2 9" xfId="33656" xr:uid="{00000000-0005-0000-0000-0000811D0000}"/>
    <cellStyle name="Comma 2 2 4 4 2 3" xfId="6366" xr:uid="{00000000-0005-0000-0000-0000821D0000}"/>
    <cellStyle name="Comma 2 2 4 4 2 3 2" xfId="31212" xr:uid="{00000000-0005-0000-0000-0000831D0000}"/>
    <cellStyle name="Comma 2 2 4 4 2 3 2 2" xfId="40599" xr:uid="{00000000-0005-0000-0000-0000841D0000}"/>
    <cellStyle name="Comma 2 2 4 4 2 3 2 3" xfId="43385" xr:uid="{00000000-0005-0000-0000-0000851D0000}"/>
    <cellStyle name="Comma 2 2 4 4 2 3 2 4" xfId="44525" xr:uid="{00000000-0005-0000-0000-0000861D0000}"/>
    <cellStyle name="Comma 2 2 4 4 2 3 3" xfId="33068" xr:uid="{00000000-0005-0000-0000-0000871D0000}"/>
    <cellStyle name="Comma 2 2 4 4 2 3 4" xfId="34889" xr:uid="{00000000-0005-0000-0000-0000881D0000}"/>
    <cellStyle name="Comma 2 2 4 4 2 3 5" xfId="36989" xr:uid="{00000000-0005-0000-0000-0000891D0000}"/>
    <cellStyle name="Comma 2 2 4 4 2 3 6" xfId="39031" xr:uid="{00000000-0005-0000-0000-00008A1D0000}"/>
    <cellStyle name="Comma 2 2 4 4 2 3 7" xfId="42057" xr:uid="{00000000-0005-0000-0000-00008B1D0000}"/>
    <cellStyle name="Comma 2 2 4 4 2 3 8" xfId="44526" xr:uid="{00000000-0005-0000-0000-00008C1D0000}"/>
    <cellStyle name="Comma 2 2 4 4 2 3 9" xfId="12570" xr:uid="{00000000-0005-0000-0000-00008D1D0000}"/>
    <cellStyle name="Comma 2 2 4 4 2 4" xfId="11847" xr:uid="{00000000-0005-0000-0000-00008E1D0000}"/>
    <cellStyle name="Comma 2 2 4 4 2 4 2" xfId="41216" xr:uid="{00000000-0005-0000-0000-00008F1D0000}"/>
    <cellStyle name="Comma 2 2 4 4 2 4 2 2" xfId="43896" xr:uid="{00000000-0005-0000-0000-0000901D0000}"/>
    <cellStyle name="Comma 2 2 4 4 2 4 2 3" xfId="44527" xr:uid="{00000000-0005-0000-0000-0000911D0000}"/>
    <cellStyle name="Comma 2 2 4 4 2 4 3" xfId="39633" xr:uid="{00000000-0005-0000-0000-0000921D0000}"/>
    <cellStyle name="Comma 2 2 4 4 2 4 4" xfId="42568" xr:uid="{00000000-0005-0000-0000-0000931D0000}"/>
    <cellStyle name="Comma 2 2 4 4 2 4 5" xfId="44528" xr:uid="{00000000-0005-0000-0000-0000941D0000}"/>
    <cellStyle name="Comma 2 2 4 4 2 5" xfId="15480" xr:uid="{00000000-0005-0000-0000-0000951D0000}"/>
    <cellStyle name="Comma 2 2 4 4 2 5 2" xfId="39879" xr:uid="{00000000-0005-0000-0000-0000961D0000}"/>
    <cellStyle name="Comma 2 2 4 4 2 5 3" xfId="42778" xr:uid="{00000000-0005-0000-0000-0000971D0000}"/>
    <cellStyle name="Comma 2 2 4 4 2 5 4" xfId="44529" xr:uid="{00000000-0005-0000-0000-0000981D0000}"/>
    <cellStyle name="Comma 2 2 4 4 2 6" xfId="29978" xr:uid="{00000000-0005-0000-0000-0000991D0000}"/>
    <cellStyle name="Comma 2 2 4 4 2 7" xfId="30621" xr:uid="{00000000-0005-0000-0000-00009A1D0000}"/>
    <cellStyle name="Comma 2 2 4 4 2 8" xfId="31801" xr:uid="{00000000-0005-0000-0000-00009B1D0000}"/>
    <cellStyle name="Comma 2 2 4 4 2 9" xfId="32443" xr:uid="{00000000-0005-0000-0000-00009C1D0000}"/>
    <cellStyle name="Comma 2 2 4 4 3" xfId="4418" xr:uid="{00000000-0005-0000-0000-00009D1D0000}"/>
    <cellStyle name="Comma 2 2 4 4 3 10" xfId="34434" xr:uid="{00000000-0005-0000-0000-00009E1D0000}"/>
    <cellStyle name="Comma 2 2 4 4 3 11" xfId="35601" xr:uid="{00000000-0005-0000-0000-00009F1D0000}"/>
    <cellStyle name="Comma 2 2 4 4 3 12" xfId="36602" xr:uid="{00000000-0005-0000-0000-0000A01D0000}"/>
    <cellStyle name="Comma 2 2 4 4 3 13" xfId="38670" xr:uid="{00000000-0005-0000-0000-0000A11D0000}"/>
    <cellStyle name="Comma 2 2 4 4 3 14" xfId="41710" xr:uid="{00000000-0005-0000-0000-0000A21D0000}"/>
    <cellStyle name="Comma 2 2 4 4 3 15" xfId="44530" xr:uid="{00000000-0005-0000-0000-0000A31D0000}"/>
    <cellStyle name="Comma 2 2 4 4 3 16" xfId="8767" xr:uid="{00000000-0005-0000-0000-0000A41D0000}"/>
    <cellStyle name="Comma 2 2 4 4 3 2" xfId="5869" xr:uid="{00000000-0005-0000-0000-0000A51D0000}"/>
    <cellStyle name="Comma 2 2 4 4 3 2 2" xfId="31348" xr:uid="{00000000-0005-0000-0000-0000A61D0000}"/>
    <cellStyle name="Comma 2 2 4 4 3 2 2 2" xfId="40734" xr:uid="{00000000-0005-0000-0000-0000A71D0000}"/>
    <cellStyle name="Comma 2 2 4 4 3 2 2 3" xfId="43497" xr:uid="{00000000-0005-0000-0000-0000A81D0000}"/>
    <cellStyle name="Comma 2 2 4 4 3 2 2 4" xfId="44531" xr:uid="{00000000-0005-0000-0000-0000A91D0000}"/>
    <cellStyle name="Comma 2 2 4 4 3 2 3" xfId="33202" xr:uid="{00000000-0005-0000-0000-0000AA1D0000}"/>
    <cellStyle name="Comma 2 2 4 4 3 2 4" xfId="35025" xr:uid="{00000000-0005-0000-0000-0000AB1D0000}"/>
    <cellStyle name="Comma 2 2 4 4 3 2 5" xfId="37123" xr:uid="{00000000-0005-0000-0000-0000AC1D0000}"/>
    <cellStyle name="Comma 2 2 4 4 3 2 6" xfId="39161" xr:uid="{00000000-0005-0000-0000-0000AD1D0000}"/>
    <cellStyle name="Comma 2 2 4 4 3 2 7" xfId="42169" xr:uid="{00000000-0005-0000-0000-0000AE1D0000}"/>
    <cellStyle name="Comma 2 2 4 4 3 2 8" xfId="44532" xr:uid="{00000000-0005-0000-0000-0000AF1D0000}"/>
    <cellStyle name="Comma 2 2 4 4 3 2 9" xfId="12766" xr:uid="{00000000-0005-0000-0000-0000B01D0000}"/>
    <cellStyle name="Comma 2 2 4 4 3 3" xfId="11983" xr:uid="{00000000-0005-0000-0000-0000B11D0000}"/>
    <cellStyle name="Comma 2 2 4 4 3 3 2" xfId="41044" xr:uid="{00000000-0005-0000-0000-0000B21D0000}"/>
    <cellStyle name="Comma 2 2 4 4 3 3 2 2" xfId="43756" xr:uid="{00000000-0005-0000-0000-0000B31D0000}"/>
    <cellStyle name="Comma 2 2 4 4 3 3 2 3" xfId="44533" xr:uid="{00000000-0005-0000-0000-0000B41D0000}"/>
    <cellStyle name="Comma 2 2 4 4 3 3 3" xfId="39468" xr:uid="{00000000-0005-0000-0000-0000B51D0000}"/>
    <cellStyle name="Comma 2 2 4 4 3 3 4" xfId="42428" xr:uid="{00000000-0005-0000-0000-0000B61D0000}"/>
    <cellStyle name="Comma 2 2 4 4 3 3 5" xfId="44534" xr:uid="{00000000-0005-0000-0000-0000B71D0000}"/>
    <cellStyle name="Comma 2 2 4 4 3 4" xfId="15482" xr:uid="{00000000-0005-0000-0000-0000B81D0000}"/>
    <cellStyle name="Comma 2 2 4 4 3 4 2" xfId="40189" xr:uid="{00000000-0005-0000-0000-0000B91D0000}"/>
    <cellStyle name="Comma 2 2 4 4 3 4 3" xfId="43038" xr:uid="{00000000-0005-0000-0000-0000BA1D0000}"/>
    <cellStyle name="Comma 2 2 4 4 3 4 4" xfId="44535" xr:uid="{00000000-0005-0000-0000-0000BB1D0000}"/>
    <cellStyle name="Comma 2 2 4 4 3 5" xfId="29980" xr:uid="{00000000-0005-0000-0000-0000BC1D0000}"/>
    <cellStyle name="Comma 2 2 4 4 3 6" xfId="30757" xr:uid="{00000000-0005-0000-0000-0000BD1D0000}"/>
    <cellStyle name="Comma 2 2 4 4 3 7" xfId="31803" xr:uid="{00000000-0005-0000-0000-0000BE1D0000}"/>
    <cellStyle name="Comma 2 2 4 4 3 8" xfId="32445" xr:uid="{00000000-0005-0000-0000-0000BF1D0000}"/>
    <cellStyle name="Comma 2 2 4 4 3 9" xfId="33657" xr:uid="{00000000-0005-0000-0000-0000C01D0000}"/>
    <cellStyle name="Comma 2 2 4 4 4" xfId="5731" xr:uid="{00000000-0005-0000-0000-0000C11D0000}"/>
    <cellStyle name="Comma 2 2 4 4 4 10" xfId="34626" xr:uid="{00000000-0005-0000-0000-0000C21D0000}"/>
    <cellStyle name="Comma 2 2 4 4 4 11" xfId="36754" xr:uid="{00000000-0005-0000-0000-0000C31D0000}"/>
    <cellStyle name="Comma 2 2 4 4 4 12" xfId="38098" xr:uid="{00000000-0005-0000-0000-0000C41D0000}"/>
    <cellStyle name="Comma 2 2 4 4 4 13" xfId="41595" xr:uid="{00000000-0005-0000-0000-0000C51D0000}"/>
    <cellStyle name="Comma 2 2 4 4 4 14" xfId="44536" xr:uid="{00000000-0005-0000-0000-0000C61D0000}"/>
    <cellStyle name="Comma 2 2 4 4 4 15" xfId="11512" xr:uid="{00000000-0005-0000-0000-0000C71D0000}"/>
    <cellStyle name="Comma 2 2 4 4 4 2" xfId="15133" xr:uid="{00000000-0005-0000-0000-0000C81D0000}"/>
    <cellStyle name="Comma 2 2 4 4 4 2 2" xfId="31540" xr:uid="{00000000-0005-0000-0000-0000C91D0000}"/>
    <cellStyle name="Comma 2 2 4 4 4 2 3" xfId="33393" xr:uid="{00000000-0005-0000-0000-0000CA1D0000}"/>
    <cellStyle name="Comma 2 2 4 4 4 2 4" xfId="35217" xr:uid="{00000000-0005-0000-0000-0000CB1D0000}"/>
    <cellStyle name="Comma 2 2 4 4 4 2 5" xfId="37297" xr:uid="{00000000-0005-0000-0000-0000CC1D0000}"/>
    <cellStyle name="Comma 2 2 4 4 4 2 6" xfId="40054" xr:uid="{00000000-0005-0000-0000-0000CD1D0000}"/>
    <cellStyle name="Comma 2 2 4 4 4 2 7" xfId="42923" xr:uid="{00000000-0005-0000-0000-0000CE1D0000}"/>
    <cellStyle name="Comma 2 2 4 4 4 2 8" xfId="44537" xr:uid="{00000000-0005-0000-0000-0000CF1D0000}"/>
    <cellStyle name="Comma 2 2 4 4 4 3" xfId="12175" xr:uid="{00000000-0005-0000-0000-0000D01D0000}"/>
    <cellStyle name="Comma 2 2 4 4 4 4" xfId="15483" xr:uid="{00000000-0005-0000-0000-0000D11D0000}"/>
    <cellStyle name="Comma 2 2 4 4 4 5" xfId="29981" xr:uid="{00000000-0005-0000-0000-0000D21D0000}"/>
    <cellStyle name="Comma 2 2 4 4 4 6" xfId="30949" xr:uid="{00000000-0005-0000-0000-0000D31D0000}"/>
    <cellStyle name="Comma 2 2 4 4 4 7" xfId="31804" xr:uid="{00000000-0005-0000-0000-0000D41D0000}"/>
    <cellStyle name="Comma 2 2 4 4 4 8" xfId="32446" xr:uid="{00000000-0005-0000-0000-0000D51D0000}"/>
    <cellStyle name="Comma 2 2 4 4 4 9" xfId="33658" xr:uid="{00000000-0005-0000-0000-0000D61D0000}"/>
    <cellStyle name="Comma 2 2 4 4 5" xfId="6190" xr:uid="{00000000-0005-0000-0000-0000D71D0000}"/>
    <cellStyle name="Comma 2 2 4 4 5 2" xfId="31060" xr:uid="{00000000-0005-0000-0000-0000D81D0000}"/>
    <cellStyle name="Comma 2 2 4 4 5 2 2" xfId="40490" xr:uid="{00000000-0005-0000-0000-0000D91D0000}"/>
    <cellStyle name="Comma 2 2 4 4 5 2 3" xfId="43291" xr:uid="{00000000-0005-0000-0000-0000DA1D0000}"/>
    <cellStyle name="Comma 2 2 4 4 5 2 4" xfId="44538" xr:uid="{00000000-0005-0000-0000-0000DB1D0000}"/>
    <cellStyle name="Comma 2 2 4 4 5 3" xfId="32928" xr:uid="{00000000-0005-0000-0000-0000DC1D0000}"/>
    <cellStyle name="Comma 2 2 4 4 5 4" xfId="34737" xr:uid="{00000000-0005-0000-0000-0000DD1D0000}"/>
    <cellStyle name="Comma 2 2 4 4 5 5" xfId="36845" xr:uid="{00000000-0005-0000-0000-0000DE1D0000}"/>
    <cellStyle name="Comma 2 2 4 4 5 6" xfId="38932" xr:uid="{00000000-0005-0000-0000-0000DF1D0000}"/>
    <cellStyle name="Comma 2 2 4 4 5 7" xfId="41963" xr:uid="{00000000-0005-0000-0000-0000E01D0000}"/>
    <cellStyle name="Comma 2 2 4 4 5 8" xfId="44539" xr:uid="{00000000-0005-0000-0000-0000E11D0000}"/>
    <cellStyle name="Comma 2 2 4 4 5 9" xfId="12287" xr:uid="{00000000-0005-0000-0000-0000E21D0000}"/>
    <cellStyle name="Comma 2 2 4 4 6" xfId="11694" xr:uid="{00000000-0005-0000-0000-0000E31D0000}"/>
    <cellStyle name="Comma 2 2 4 4 6 2" xfId="40906" xr:uid="{00000000-0005-0000-0000-0000E41D0000}"/>
    <cellStyle name="Comma 2 2 4 4 6 2 2" xfId="43641" xr:uid="{00000000-0005-0000-0000-0000E51D0000}"/>
    <cellStyle name="Comma 2 2 4 4 6 2 3" xfId="44540" xr:uid="{00000000-0005-0000-0000-0000E61D0000}"/>
    <cellStyle name="Comma 2 2 4 4 6 3" xfId="39335" xr:uid="{00000000-0005-0000-0000-0000E71D0000}"/>
    <cellStyle name="Comma 2 2 4 4 6 4" xfId="42313" xr:uid="{00000000-0005-0000-0000-0000E81D0000}"/>
    <cellStyle name="Comma 2 2 4 4 6 5" xfId="44541" xr:uid="{00000000-0005-0000-0000-0000E91D0000}"/>
    <cellStyle name="Comma 2 2 4 4 7" xfId="15479" xr:uid="{00000000-0005-0000-0000-0000EA1D0000}"/>
    <cellStyle name="Comma 2 2 4 4 7 2" xfId="39797" xr:uid="{00000000-0005-0000-0000-0000EB1D0000}"/>
    <cellStyle name="Comma 2 2 4 4 7 3" xfId="42705" xr:uid="{00000000-0005-0000-0000-0000EC1D0000}"/>
    <cellStyle name="Comma 2 2 4 4 7 4" xfId="44542" xr:uid="{00000000-0005-0000-0000-0000ED1D0000}"/>
    <cellStyle name="Comma 2 2 4 4 8" xfId="29977" xr:uid="{00000000-0005-0000-0000-0000EE1D0000}"/>
    <cellStyle name="Comma 2 2 4 4 9" xfId="30469" xr:uid="{00000000-0005-0000-0000-0000EF1D0000}"/>
    <cellStyle name="Comma 2 2 4 5" xfId="2767" xr:uid="{00000000-0005-0000-0000-0000F01D0000}"/>
    <cellStyle name="Comma 2 2 4 5 10" xfId="32447" xr:uid="{00000000-0005-0000-0000-0000F11D0000}"/>
    <cellStyle name="Comma 2 2 4 5 11" xfId="33659" xr:uid="{00000000-0005-0000-0000-0000F21D0000}"/>
    <cellStyle name="Comma 2 2 4 5 12" xfId="34174" xr:uid="{00000000-0005-0000-0000-0000F31D0000}"/>
    <cellStyle name="Comma 2 2 4 5 13" xfId="35329" xr:uid="{00000000-0005-0000-0000-0000F41D0000}"/>
    <cellStyle name="Comma 2 2 4 5 14" xfId="36192" xr:uid="{00000000-0005-0000-0000-0000F51D0000}"/>
    <cellStyle name="Comma 2 2 4 5 15" xfId="37427" xr:uid="{00000000-0005-0000-0000-0000F61D0000}"/>
    <cellStyle name="Comma 2 2 4 5 16" xfId="41374" xr:uid="{00000000-0005-0000-0000-0000F71D0000}"/>
    <cellStyle name="Comma 2 2 4 5 17" xfId="44543" xr:uid="{00000000-0005-0000-0000-0000F81D0000}"/>
    <cellStyle name="Comma 2 2 4 5 18" xfId="7337" xr:uid="{00000000-0005-0000-0000-0000F91D0000}"/>
    <cellStyle name="Comma 2 2 4 5 2" xfId="5078" xr:uid="{00000000-0005-0000-0000-0000FA1D0000}"/>
    <cellStyle name="Comma 2 2 4 5 2 10" xfId="33660" xr:uid="{00000000-0005-0000-0000-0000FB1D0000}"/>
    <cellStyle name="Comma 2 2 4 5 2 11" xfId="34326" xr:uid="{00000000-0005-0000-0000-0000FC1D0000}"/>
    <cellStyle name="Comma 2 2 4 5 2 12" xfId="36033" xr:uid="{00000000-0005-0000-0000-0000FD1D0000}"/>
    <cellStyle name="Comma 2 2 4 5 2 13" xfId="36333" xr:uid="{00000000-0005-0000-0000-0000FE1D0000}"/>
    <cellStyle name="Comma 2 2 4 5 2 14" xfId="37569" xr:uid="{00000000-0005-0000-0000-0000FF1D0000}"/>
    <cellStyle name="Comma 2 2 4 5 2 15" xfId="41515" xr:uid="{00000000-0005-0000-0000-0000001E0000}"/>
    <cellStyle name="Comma 2 2 4 5 2 16" xfId="44544" xr:uid="{00000000-0005-0000-0000-0000011E0000}"/>
    <cellStyle name="Comma 2 2 4 5 2 17" xfId="8596" xr:uid="{00000000-0005-0000-0000-0000021E0000}"/>
    <cellStyle name="Comma 2 2 4 5 2 2" xfId="6047" xr:uid="{00000000-0005-0000-0000-0000031E0000}"/>
    <cellStyle name="Comma 2 2 4 5 2 2 10" xfId="34437" xr:uid="{00000000-0005-0000-0000-0000041E0000}"/>
    <cellStyle name="Comma 2 2 4 5 2 2 11" xfId="36605" xr:uid="{00000000-0005-0000-0000-0000051E0000}"/>
    <cellStyle name="Comma 2 2 4 5 2 2 12" xfId="38812" xr:uid="{00000000-0005-0000-0000-0000061E0000}"/>
    <cellStyle name="Comma 2 2 4 5 2 2 13" xfId="41851" xr:uid="{00000000-0005-0000-0000-0000071E0000}"/>
    <cellStyle name="Comma 2 2 4 5 2 2 14" xfId="44545" xr:uid="{00000000-0005-0000-0000-0000081E0000}"/>
    <cellStyle name="Comma 2 2 4 5 2 2 15" xfId="8770" xr:uid="{00000000-0005-0000-0000-0000091E0000}"/>
    <cellStyle name="Comma 2 2 4 5 2 2 2" xfId="12769" xr:uid="{00000000-0005-0000-0000-00000A1E0000}"/>
    <cellStyle name="Comma 2 2 4 5 2 2 2 2" xfId="31351" xr:uid="{00000000-0005-0000-0000-00000B1E0000}"/>
    <cellStyle name="Comma 2 2 4 5 2 2 2 3" xfId="33205" xr:uid="{00000000-0005-0000-0000-00000C1E0000}"/>
    <cellStyle name="Comma 2 2 4 5 2 2 2 4" xfId="35028" xr:uid="{00000000-0005-0000-0000-00000D1E0000}"/>
    <cellStyle name="Comma 2 2 4 5 2 2 2 5" xfId="37126" xr:uid="{00000000-0005-0000-0000-00000E1E0000}"/>
    <cellStyle name="Comma 2 2 4 5 2 2 2 6" xfId="40361" xr:uid="{00000000-0005-0000-0000-00000F1E0000}"/>
    <cellStyle name="Comma 2 2 4 5 2 2 2 7" xfId="43179" xr:uid="{00000000-0005-0000-0000-0000101E0000}"/>
    <cellStyle name="Comma 2 2 4 5 2 2 2 8" xfId="44546" xr:uid="{00000000-0005-0000-0000-0000111E0000}"/>
    <cellStyle name="Comma 2 2 4 5 2 2 3" xfId="11986" xr:uid="{00000000-0005-0000-0000-0000121E0000}"/>
    <cellStyle name="Comma 2 2 4 5 2 2 4" xfId="15486" xr:uid="{00000000-0005-0000-0000-0000131E0000}"/>
    <cellStyle name="Comma 2 2 4 5 2 2 5" xfId="29984" xr:uid="{00000000-0005-0000-0000-0000141E0000}"/>
    <cellStyle name="Comma 2 2 4 5 2 2 6" xfId="30760" xr:uid="{00000000-0005-0000-0000-0000151E0000}"/>
    <cellStyle name="Comma 2 2 4 5 2 2 7" xfId="31807" xr:uid="{00000000-0005-0000-0000-0000161E0000}"/>
    <cellStyle name="Comma 2 2 4 5 2 2 8" xfId="32449" xr:uid="{00000000-0005-0000-0000-0000171E0000}"/>
    <cellStyle name="Comma 2 2 4 5 2 2 9" xfId="33661" xr:uid="{00000000-0005-0000-0000-0000181E0000}"/>
    <cellStyle name="Comma 2 2 4 5 2 3" xfId="6367" xr:uid="{00000000-0005-0000-0000-0000191E0000}"/>
    <cellStyle name="Comma 2 2 4 5 2 3 2" xfId="31240" xr:uid="{00000000-0005-0000-0000-00001A1E0000}"/>
    <cellStyle name="Comma 2 2 4 5 2 3 2 2" xfId="40791" xr:uid="{00000000-0005-0000-0000-00001B1E0000}"/>
    <cellStyle name="Comma 2 2 4 5 2 3 2 3" xfId="43546" xr:uid="{00000000-0005-0000-0000-00001C1E0000}"/>
    <cellStyle name="Comma 2 2 4 5 2 3 2 4" xfId="44547" xr:uid="{00000000-0005-0000-0000-00001D1E0000}"/>
    <cellStyle name="Comma 2 2 4 5 2 3 3" xfId="33094" xr:uid="{00000000-0005-0000-0000-00001E1E0000}"/>
    <cellStyle name="Comma 2 2 4 5 2 3 4" xfId="34917" xr:uid="{00000000-0005-0000-0000-00001F1E0000}"/>
    <cellStyle name="Comma 2 2 4 5 2 3 5" xfId="37015" xr:uid="{00000000-0005-0000-0000-0000201E0000}"/>
    <cellStyle name="Comma 2 2 4 5 2 3 6" xfId="39228" xr:uid="{00000000-0005-0000-0000-0000211E0000}"/>
    <cellStyle name="Comma 2 2 4 5 2 3 7" xfId="42218" xr:uid="{00000000-0005-0000-0000-0000221E0000}"/>
    <cellStyle name="Comma 2 2 4 5 2 3 8" xfId="44548" xr:uid="{00000000-0005-0000-0000-0000231E0000}"/>
    <cellStyle name="Comma 2 2 4 5 2 3 9" xfId="12602" xr:uid="{00000000-0005-0000-0000-0000241E0000}"/>
    <cellStyle name="Comma 2 2 4 5 2 4" xfId="11875" xr:uid="{00000000-0005-0000-0000-0000251E0000}"/>
    <cellStyle name="Comma 2 2 4 5 2 4 2" xfId="41217" xr:uid="{00000000-0005-0000-0000-0000261E0000}"/>
    <cellStyle name="Comma 2 2 4 5 2 4 2 2" xfId="43897" xr:uid="{00000000-0005-0000-0000-0000271E0000}"/>
    <cellStyle name="Comma 2 2 4 5 2 4 2 3" xfId="44549" xr:uid="{00000000-0005-0000-0000-0000281E0000}"/>
    <cellStyle name="Comma 2 2 4 5 2 4 3" xfId="39634" xr:uid="{00000000-0005-0000-0000-0000291E0000}"/>
    <cellStyle name="Comma 2 2 4 5 2 4 4" xfId="42569" xr:uid="{00000000-0005-0000-0000-00002A1E0000}"/>
    <cellStyle name="Comma 2 2 4 5 2 4 5" xfId="44550" xr:uid="{00000000-0005-0000-0000-00002B1E0000}"/>
    <cellStyle name="Comma 2 2 4 5 2 5" xfId="15485" xr:uid="{00000000-0005-0000-0000-00002C1E0000}"/>
    <cellStyle name="Comma 2 2 4 5 2 5 2" xfId="39955" xr:uid="{00000000-0005-0000-0000-00002D1E0000}"/>
    <cellStyle name="Comma 2 2 4 5 2 5 3" xfId="42843" xr:uid="{00000000-0005-0000-0000-00002E1E0000}"/>
    <cellStyle name="Comma 2 2 4 5 2 5 4" xfId="44551" xr:uid="{00000000-0005-0000-0000-00002F1E0000}"/>
    <cellStyle name="Comma 2 2 4 5 2 6" xfId="29983" xr:uid="{00000000-0005-0000-0000-0000301E0000}"/>
    <cellStyle name="Comma 2 2 4 5 2 7" xfId="30649" xr:uid="{00000000-0005-0000-0000-0000311E0000}"/>
    <cellStyle name="Comma 2 2 4 5 2 8" xfId="31806" xr:uid="{00000000-0005-0000-0000-0000321E0000}"/>
    <cellStyle name="Comma 2 2 4 5 2 9" xfId="32448" xr:uid="{00000000-0005-0000-0000-0000331E0000}"/>
    <cellStyle name="Comma 2 2 4 5 3" xfId="4419" xr:uid="{00000000-0005-0000-0000-0000341E0000}"/>
    <cellStyle name="Comma 2 2 4 5 3 10" xfId="34436" xr:uid="{00000000-0005-0000-0000-0000351E0000}"/>
    <cellStyle name="Comma 2 2 4 5 3 11" xfId="35602" xr:uid="{00000000-0005-0000-0000-0000361E0000}"/>
    <cellStyle name="Comma 2 2 4 5 3 12" xfId="36604" xr:uid="{00000000-0005-0000-0000-0000371E0000}"/>
    <cellStyle name="Comma 2 2 4 5 3 13" xfId="38671" xr:uid="{00000000-0005-0000-0000-0000381E0000}"/>
    <cellStyle name="Comma 2 2 4 5 3 14" xfId="41711" xr:uid="{00000000-0005-0000-0000-0000391E0000}"/>
    <cellStyle name="Comma 2 2 4 5 3 15" xfId="44552" xr:uid="{00000000-0005-0000-0000-00003A1E0000}"/>
    <cellStyle name="Comma 2 2 4 5 3 16" xfId="8769" xr:uid="{00000000-0005-0000-0000-00003B1E0000}"/>
    <cellStyle name="Comma 2 2 4 5 3 2" xfId="5870" xr:uid="{00000000-0005-0000-0000-00003C1E0000}"/>
    <cellStyle name="Comma 2 2 4 5 3 2 2" xfId="31350" xr:uid="{00000000-0005-0000-0000-00003D1E0000}"/>
    <cellStyle name="Comma 2 2 4 5 3 2 2 2" xfId="41045" xr:uid="{00000000-0005-0000-0000-00003E1E0000}"/>
    <cellStyle name="Comma 2 2 4 5 3 2 2 3" xfId="43757" xr:uid="{00000000-0005-0000-0000-00003F1E0000}"/>
    <cellStyle name="Comma 2 2 4 5 3 2 2 4" xfId="44553" xr:uid="{00000000-0005-0000-0000-0000401E0000}"/>
    <cellStyle name="Comma 2 2 4 5 3 2 3" xfId="33204" xr:uid="{00000000-0005-0000-0000-0000411E0000}"/>
    <cellStyle name="Comma 2 2 4 5 3 2 4" xfId="35027" xr:uid="{00000000-0005-0000-0000-0000421E0000}"/>
    <cellStyle name="Comma 2 2 4 5 3 2 5" xfId="37125" xr:uid="{00000000-0005-0000-0000-0000431E0000}"/>
    <cellStyle name="Comma 2 2 4 5 3 2 6" xfId="39469" xr:uid="{00000000-0005-0000-0000-0000441E0000}"/>
    <cellStyle name="Comma 2 2 4 5 3 2 7" xfId="42429" xr:uid="{00000000-0005-0000-0000-0000451E0000}"/>
    <cellStyle name="Comma 2 2 4 5 3 2 8" xfId="44554" xr:uid="{00000000-0005-0000-0000-0000461E0000}"/>
    <cellStyle name="Comma 2 2 4 5 3 2 9" xfId="12768" xr:uid="{00000000-0005-0000-0000-0000471E0000}"/>
    <cellStyle name="Comma 2 2 4 5 3 3" xfId="11985" xr:uid="{00000000-0005-0000-0000-0000481E0000}"/>
    <cellStyle name="Comma 2 2 4 5 3 3 2" xfId="40190" xr:uid="{00000000-0005-0000-0000-0000491E0000}"/>
    <cellStyle name="Comma 2 2 4 5 3 3 3" xfId="43039" xr:uid="{00000000-0005-0000-0000-00004A1E0000}"/>
    <cellStyle name="Comma 2 2 4 5 3 3 4" xfId="44555" xr:uid="{00000000-0005-0000-0000-00004B1E0000}"/>
    <cellStyle name="Comma 2 2 4 5 3 4" xfId="15487" xr:uid="{00000000-0005-0000-0000-00004C1E0000}"/>
    <cellStyle name="Comma 2 2 4 5 3 5" xfId="29985" xr:uid="{00000000-0005-0000-0000-00004D1E0000}"/>
    <cellStyle name="Comma 2 2 4 5 3 6" xfId="30759" xr:uid="{00000000-0005-0000-0000-00004E1E0000}"/>
    <cellStyle name="Comma 2 2 4 5 3 7" xfId="31808" xr:uid="{00000000-0005-0000-0000-00004F1E0000}"/>
    <cellStyle name="Comma 2 2 4 5 3 8" xfId="32450" xr:uid="{00000000-0005-0000-0000-0000501E0000}"/>
    <cellStyle name="Comma 2 2 4 5 3 9" xfId="33662" xr:uid="{00000000-0005-0000-0000-0000511E0000}"/>
    <cellStyle name="Comma 2 2 4 5 4" xfId="5732" xr:uid="{00000000-0005-0000-0000-0000521E0000}"/>
    <cellStyle name="Comma 2 2 4 5 4 2" xfId="31088" xr:uid="{00000000-0005-0000-0000-0000531E0000}"/>
    <cellStyle name="Comma 2 2 4 5 4 2 2" xfId="40055" xr:uid="{00000000-0005-0000-0000-0000541E0000}"/>
    <cellStyle name="Comma 2 2 4 5 4 2 3" xfId="42924" xr:uid="{00000000-0005-0000-0000-0000551E0000}"/>
    <cellStyle name="Comma 2 2 4 5 4 2 4" xfId="44556" xr:uid="{00000000-0005-0000-0000-0000561E0000}"/>
    <cellStyle name="Comma 2 2 4 5 4 3" xfId="32950" xr:uid="{00000000-0005-0000-0000-0000571E0000}"/>
    <cellStyle name="Comma 2 2 4 5 4 4" xfId="34765" xr:uid="{00000000-0005-0000-0000-0000581E0000}"/>
    <cellStyle name="Comma 2 2 4 5 4 5" xfId="36871" xr:uid="{00000000-0005-0000-0000-0000591E0000}"/>
    <cellStyle name="Comma 2 2 4 5 4 6" xfId="38099" xr:uid="{00000000-0005-0000-0000-00005A1E0000}"/>
    <cellStyle name="Comma 2 2 4 5 4 7" xfId="41596" xr:uid="{00000000-0005-0000-0000-00005B1E0000}"/>
    <cellStyle name="Comma 2 2 4 5 4 8" xfId="44557" xr:uid="{00000000-0005-0000-0000-00005C1E0000}"/>
    <cellStyle name="Comma 2 2 4 5 4 9" xfId="12316" xr:uid="{00000000-0005-0000-0000-00005D1E0000}"/>
    <cellStyle name="Comma 2 2 4 5 5" xfId="6191" xr:uid="{00000000-0005-0000-0000-00005E1E0000}"/>
    <cellStyle name="Comma 2 2 4 5 5 2" xfId="40600" xr:uid="{00000000-0005-0000-0000-00005F1E0000}"/>
    <cellStyle name="Comma 2 2 4 5 5 2 2" xfId="43386" xr:uid="{00000000-0005-0000-0000-0000601E0000}"/>
    <cellStyle name="Comma 2 2 4 5 5 2 3" xfId="44558" xr:uid="{00000000-0005-0000-0000-0000611E0000}"/>
    <cellStyle name="Comma 2 2 4 5 5 3" xfId="39032" xr:uid="{00000000-0005-0000-0000-0000621E0000}"/>
    <cellStyle name="Comma 2 2 4 5 5 4" xfId="42058" xr:uid="{00000000-0005-0000-0000-0000631E0000}"/>
    <cellStyle name="Comma 2 2 4 5 5 5" xfId="44559" xr:uid="{00000000-0005-0000-0000-0000641E0000}"/>
    <cellStyle name="Comma 2 2 4 5 5 6" xfId="11723" xr:uid="{00000000-0005-0000-0000-0000651E0000}"/>
    <cellStyle name="Comma 2 2 4 5 6" xfId="15484" xr:uid="{00000000-0005-0000-0000-0000661E0000}"/>
    <cellStyle name="Comma 2 2 4 5 6 2" xfId="40907" xr:uid="{00000000-0005-0000-0000-0000671E0000}"/>
    <cellStyle name="Comma 2 2 4 5 6 2 2" xfId="43642" xr:uid="{00000000-0005-0000-0000-0000681E0000}"/>
    <cellStyle name="Comma 2 2 4 5 6 2 3" xfId="44560" xr:uid="{00000000-0005-0000-0000-0000691E0000}"/>
    <cellStyle name="Comma 2 2 4 5 6 3" xfId="39336" xr:uid="{00000000-0005-0000-0000-00006A1E0000}"/>
    <cellStyle name="Comma 2 2 4 5 6 4" xfId="42314" xr:uid="{00000000-0005-0000-0000-00006B1E0000}"/>
    <cellStyle name="Comma 2 2 4 5 6 5" xfId="44561" xr:uid="{00000000-0005-0000-0000-00006C1E0000}"/>
    <cellStyle name="Comma 2 2 4 5 7" xfId="29982" xr:uid="{00000000-0005-0000-0000-00006D1E0000}"/>
    <cellStyle name="Comma 2 2 4 5 7 2" xfId="39794" xr:uid="{00000000-0005-0000-0000-00006E1E0000}"/>
    <cellStyle name="Comma 2 2 4 5 7 3" xfId="42702" xr:uid="{00000000-0005-0000-0000-00006F1E0000}"/>
    <cellStyle name="Comma 2 2 4 5 7 4" xfId="44562" xr:uid="{00000000-0005-0000-0000-0000701E0000}"/>
    <cellStyle name="Comma 2 2 4 5 8" xfId="30497" xr:uid="{00000000-0005-0000-0000-0000711E0000}"/>
    <cellStyle name="Comma 2 2 4 5 9" xfId="31805" xr:uid="{00000000-0005-0000-0000-0000721E0000}"/>
    <cellStyle name="Comma 2 2 4 6" xfId="2763" xr:uid="{00000000-0005-0000-0000-0000731E0000}"/>
    <cellStyle name="Comma 2 2 4 6 10" xfId="33663" xr:uid="{00000000-0005-0000-0000-0000741E0000}"/>
    <cellStyle name="Comma 2 2 4 6 11" xfId="34259" xr:uid="{00000000-0005-0000-0000-0000751E0000}"/>
    <cellStyle name="Comma 2 2 4 6 12" xfId="35325" xr:uid="{00000000-0005-0000-0000-0000761E0000}"/>
    <cellStyle name="Comma 2 2 4 6 13" xfId="36329" xr:uid="{00000000-0005-0000-0000-0000771E0000}"/>
    <cellStyle name="Comma 2 2 4 6 14" xfId="37501" xr:uid="{00000000-0005-0000-0000-0000781E0000}"/>
    <cellStyle name="Comma 2 2 4 6 15" xfId="41447" xr:uid="{00000000-0005-0000-0000-0000791E0000}"/>
    <cellStyle name="Comma 2 2 4 6 16" xfId="44563" xr:uid="{00000000-0005-0000-0000-00007A1E0000}"/>
    <cellStyle name="Comma 2 2 4 6 17" xfId="8422" xr:uid="{00000000-0005-0000-0000-00007B1E0000}"/>
    <cellStyle name="Comma 2 2 4 6 2" xfId="5074" xr:uid="{00000000-0005-0000-0000-00007C1E0000}"/>
    <cellStyle name="Comma 2 2 4 6 2 10" xfId="34438" xr:uid="{00000000-0005-0000-0000-00007D1E0000}"/>
    <cellStyle name="Comma 2 2 4 6 2 11" xfId="36029" xr:uid="{00000000-0005-0000-0000-00007E1E0000}"/>
    <cellStyle name="Comma 2 2 4 6 2 12" xfId="36606" xr:uid="{00000000-0005-0000-0000-00007F1E0000}"/>
    <cellStyle name="Comma 2 2 4 6 2 13" xfId="38808" xr:uid="{00000000-0005-0000-0000-0000801E0000}"/>
    <cellStyle name="Comma 2 2 4 6 2 14" xfId="41847" xr:uid="{00000000-0005-0000-0000-0000811E0000}"/>
    <cellStyle name="Comma 2 2 4 6 2 15" xfId="44564" xr:uid="{00000000-0005-0000-0000-0000821E0000}"/>
    <cellStyle name="Comma 2 2 4 6 2 16" xfId="8771" xr:uid="{00000000-0005-0000-0000-0000831E0000}"/>
    <cellStyle name="Comma 2 2 4 6 2 2" xfId="6043" xr:uid="{00000000-0005-0000-0000-0000841E0000}"/>
    <cellStyle name="Comma 2 2 4 6 2 2 2" xfId="31352" xr:uid="{00000000-0005-0000-0000-0000851E0000}"/>
    <cellStyle name="Comma 2 2 4 6 2 2 2 2" xfId="41213" xr:uid="{00000000-0005-0000-0000-0000861E0000}"/>
    <cellStyle name="Comma 2 2 4 6 2 2 2 3" xfId="43893" xr:uid="{00000000-0005-0000-0000-0000871E0000}"/>
    <cellStyle name="Comma 2 2 4 6 2 2 2 4" xfId="44565" xr:uid="{00000000-0005-0000-0000-0000881E0000}"/>
    <cellStyle name="Comma 2 2 4 6 2 2 3" xfId="33206" xr:uid="{00000000-0005-0000-0000-0000891E0000}"/>
    <cellStyle name="Comma 2 2 4 6 2 2 4" xfId="35029" xr:uid="{00000000-0005-0000-0000-00008A1E0000}"/>
    <cellStyle name="Comma 2 2 4 6 2 2 5" xfId="37127" xr:uid="{00000000-0005-0000-0000-00008B1E0000}"/>
    <cellStyle name="Comma 2 2 4 6 2 2 6" xfId="39630" xr:uid="{00000000-0005-0000-0000-00008C1E0000}"/>
    <cellStyle name="Comma 2 2 4 6 2 2 7" xfId="42565" xr:uid="{00000000-0005-0000-0000-00008D1E0000}"/>
    <cellStyle name="Comma 2 2 4 6 2 2 8" xfId="44566" xr:uid="{00000000-0005-0000-0000-00008E1E0000}"/>
    <cellStyle name="Comma 2 2 4 6 2 2 9" xfId="12770" xr:uid="{00000000-0005-0000-0000-00008F1E0000}"/>
    <cellStyle name="Comma 2 2 4 6 2 3" xfId="11987" xr:uid="{00000000-0005-0000-0000-0000901E0000}"/>
    <cellStyle name="Comma 2 2 4 6 2 3 2" xfId="40357" xr:uid="{00000000-0005-0000-0000-0000911E0000}"/>
    <cellStyle name="Comma 2 2 4 6 2 3 3" xfId="43175" xr:uid="{00000000-0005-0000-0000-0000921E0000}"/>
    <cellStyle name="Comma 2 2 4 6 2 3 4" xfId="44567" xr:uid="{00000000-0005-0000-0000-0000931E0000}"/>
    <cellStyle name="Comma 2 2 4 6 2 4" xfId="15489" xr:uid="{00000000-0005-0000-0000-0000941E0000}"/>
    <cellStyle name="Comma 2 2 4 6 2 5" xfId="29987" xr:uid="{00000000-0005-0000-0000-0000951E0000}"/>
    <cellStyle name="Comma 2 2 4 6 2 6" xfId="30761" xr:uid="{00000000-0005-0000-0000-0000961E0000}"/>
    <cellStyle name="Comma 2 2 4 6 2 7" xfId="31810" xr:uid="{00000000-0005-0000-0000-0000971E0000}"/>
    <cellStyle name="Comma 2 2 4 6 2 8" xfId="32452" xr:uid="{00000000-0005-0000-0000-0000981E0000}"/>
    <cellStyle name="Comma 2 2 4 6 2 9" xfId="33664" xr:uid="{00000000-0005-0000-0000-0000991E0000}"/>
    <cellStyle name="Comma 2 2 4 6 3" xfId="5728" xr:uid="{00000000-0005-0000-0000-00009A1E0000}"/>
    <cellStyle name="Comma 2 2 4 6 3 2" xfId="31173" xr:uid="{00000000-0005-0000-0000-00009B1E0000}"/>
    <cellStyle name="Comma 2 2 4 6 3 2 2" xfId="40051" xr:uid="{00000000-0005-0000-0000-00009C1E0000}"/>
    <cellStyle name="Comma 2 2 4 6 3 2 3" xfId="42920" xr:uid="{00000000-0005-0000-0000-00009D1E0000}"/>
    <cellStyle name="Comma 2 2 4 6 3 2 4" xfId="44568" xr:uid="{00000000-0005-0000-0000-00009E1E0000}"/>
    <cellStyle name="Comma 2 2 4 6 3 3" xfId="33031" xr:uid="{00000000-0005-0000-0000-00009F1E0000}"/>
    <cellStyle name="Comma 2 2 4 6 3 4" xfId="34850" xr:uid="{00000000-0005-0000-0000-0000A01E0000}"/>
    <cellStyle name="Comma 2 2 4 6 3 5" xfId="36952" xr:uid="{00000000-0005-0000-0000-0000A11E0000}"/>
    <cellStyle name="Comma 2 2 4 6 3 6" xfId="38095" xr:uid="{00000000-0005-0000-0000-0000A21E0000}"/>
    <cellStyle name="Comma 2 2 4 6 3 7" xfId="41592" xr:uid="{00000000-0005-0000-0000-0000A31E0000}"/>
    <cellStyle name="Comma 2 2 4 6 3 8" xfId="44569" xr:uid="{00000000-0005-0000-0000-0000A41E0000}"/>
    <cellStyle name="Comma 2 2 4 6 3 9" xfId="12530" xr:uid="{00000000-0005-0000-0000-0000A51E0000}"/>
    <cellStyle name="Comma 2 2 4 6 4" xfId="6363" xr:uid="{00000000-0005-0000-0000-0000A61E0000}"/>
    <cellStyle name="Comma 2 2 4 6 4 2" xfId="40596" xr:uid="{00000000-0005-0000-0000-0000A71E0000}"/>
    <cellStyle name="Comma 2 2 4 6 4 2 2" xfId="43382" xr:uid="{00000000-0005-0000-0000-0000A81E0000}"/>
    <cellStyle name="Comma 2 2 4 6 4 2 3" xfId="44570" xr:uid="{00000000-0005-0000-0000-0000A91E0000}"/>
    <cellStyle name="Comma 2 2 4 6 4 3" xfId="39028" xr:uid="{00000000-0005-0000-0000-0000AA1E0000}"/>
    <cellStyle name="Comma 2 2 4 6 4 4" xfId="42054" xr:uid="{00000000-0005-0000-0000-0000AB1E0000}"/>
    <cellStyle name="Comma 2 2 4 6 4 5" xfId="44571" xr:uid="{00000000-0005-0000-0000-0000AC1E0000}"/>
    <cellStyle name="Comma 2 2 4 6 4 6" xfId="11808" xr:uid="{00000000-0005-0000-0000-0000AD1E0000}"/>
    <cellStyle name="Comma 2 2 4 6 5" xfId="15488" xr:uid="{00000000-0005-0000-0000-0000AE1E0000}"/>
    <cellStyle name="Comma 2 2 4 6 5 2" xfId="40903" xr:uid="{00000000-0005-0000-0000-0000AF1E0000}"/>
    <cellStyle name="Comma 2 2 4 6 5 2 2" xfId="43638" xr:uid="{00000000-0005-0000-0000-0000B01E0000}"/>
    <cellStyle name="Comma 2 2 4 6 5 2 3" xfId="44572" xr:uid="{00000000-0005-0000-0000-0000B11E0000}"/>
    <cellStyle name="Comma 2 2 4 6 5 3" xfId="39332" xr:uid="{00000000-0005-0000-0000-0000B21E0000}"/>
    <cellStyle name="Comma 2 2 4 6 5 4" xfId="42310" xr:uid="{00000000-0005-0000-0000-0000B31E0000}"/>
    <cellStyle name="Comma 2 2 4 6 5 5" xfId="44573" xr:uid="{00000000-0005-0000-0000-0000B41E0000}"/>
    <cellStyle name="Comma 2 2 4 6 6" xfId="29986" xr:uid="{00000000-0005-0000-0000-0000B51E0000}"/>
    <cellStyle name="Comma 2 2 4 6 6 2" xfId="39876" xr:uid="{00000000-0005-0000-0000-0000B61E0000}"/>
    <cellStyle name="Comma 2 2 4 6 6 3" xfId="42775" xr:uid="{00000000-0005-0000-0000-0000B71E0000}"/>
    <cellStyle name="Comma 2 2 4 6 6 4" xfId="44574" xr:uid="{00000000-0005-0000-0000-0000B81E0000}"/>
    <cellStyle name="Comma 2 2 4 6 7" xfId="30582" xr:uid="{00000000-0005-0000-0000-0000B91E0000}"/>
    <cellStyle name="Comma 2 2 4 6 8" xfId="31809" xr:uid="{00000000-0005-0000-0000-0000BA1E0000}"/>
    <cellStyle name="Comma 2 2 4 6 9" xfId="32451" xr:uid="{00000000-0005-0000-0000-0000BB1E0000}"/>
    <cellStyle name="Comma 2 2 4 7" xfId="4540" xr:uid="{00000000-0005-0000-0000-0000BC1E0000}"/>
    <cellStyle name="Comma 2 2 4 7 10" xfId="33665" xr:uid="{00000000-0005-0000-0000-0000BD1E0000}"/>
    <cellStyle name="Comma 2 2 4 7 11" xfId="34198" xr:uid="{00000000-0005-0000-0000-0000BE1E0000}"/>
    <cellStyle name="Comma 2 2 4 7 12" xfId="35701" xr:uid="{00000000-0005-0000-0000-0000BF1E0000}"/>
    <cellStyle name="Comma 2 2 4 7 13" xfId="36288" xr:uid="{00000000-0005-0000-0000-0000C01E0000}"/>
    <cellStyle name="Comma 2 2 4 7 14" xfId="38766" xr:uid="{00000000-0005-0000-0000-0000C11E0000}"/>
    <cellStyle name="Comma 2 2 4 7 15" xfId="41806" xr:uid="{00000000-0005-0000-0000-0000C21E0000}"/>
    <cellStyle name="Comma 2 2 4 7 16" xfId="44575" xr:uid="{00000000-0005-0000-0000-0000C31E0000}"/>
    <cellStyle name="Comma 2 2 4 7 17" xfId="8089" xr:uid="{00000000-0005-0000-0000-0000C41E0000}"/>
    <cellStyle name="Comma 2 2 4 7 2" xfId="5989" xr:uid="{00000000-0005-0000-0000-0000C51E0000}"/>
    <cellStyle name="Comma 2 2 4 7 2 10" xfId="34439" xr:uid="{00000000-0005-0000-0000-0000C61E0000}"/>
    <cellStyle name="Comma 2 2 4 7 2 11" xfId="36607" xr:uid="{00000000-0005-0000-0000-0000C71E0000}"/>
    <cellStyle name="Comma 2 2 4 7 2 12" xfId="38984" xr:uid="{00000000-0005-0000-0000-0000C81E0000}"/>
    <cellStyle name="Comma 2 2 4 7 2 13" xfId="42013" xr:uid="{00000000-0005-0000-0000-0000C91E0000}"/>
    <cellStyle name="Comma 2 2 4 7 2 14" xfId="44576" xr:uid="{00000000-0005-0000-0000-0000CA1E0000}"/>
    <cellStyle name="Comma 2 2 4 7 2 15" xfId="8772" xr:uid="{00000000-0005-0000-0000-0000CB1E0000}"/>
    <cellStyle name="Comma 2 2 4 7 2 2" xfId="12771" xr:uid="{00000000-0005-0000-0000-0000CC1E0000}"/>
    <cellStyle name="Comma 2 2 4 7 2 2 2" xfId="31353" xr:uid="{00000000-0005-0000-0000-0000CD1E0000}"/>
    <cellStyle name="Comma 2 2 4 7 2 2 3" xfId="33207" xr:uid="{00000000-0005-0000-0000-0000CE1E0000}"/>
    <cellStyle name="Comma 2 2 4 7 2 2 4" xfId="35030" xr:uid="{00000000-0005-0000-0000-0000CF1E0000}"/>
    <cellStyle name="Comma 2 2 4 7 2 2 5" xfId="37128" xr:uid="{00000000-0005-0000-0000-0000D01E0000}"/>
    <cellStyle name="Comma 2 2 4 7 2 2 6" xfId="40547" xr:uid="{00000000-0005-0000-0000-0000D11E0000}"/>
    <cellStyle name="Comma 2 2 4 7 2 2 7" xfId="43341" xr:uid="{00000000-0005-0000-0000-0000D21E0000}"/>
    <cellStyle name="Comma 2 2 4 7 2 2 8" xfId="44577" xr:uid="{00000000-0005-0000-0000-0000D31E0000}"/>
    <cellStyle name="Comma 2 2 4 7 2 3" xfId="11988" xr:uid="{00000000-0005-0000-0000-0000D41E0000}"/>
    <cellStyle name="Comma 2 2 4 7 2 4" xfId="15491" xr:uid="{00000000-0005-0000-0000-0000D51E0000}"/>
    <cellStyle name="Comma 2 2 4 7 2 5" xfId="29989" xr:uid="{00000000-0005-0000-0000-0000D61E0000}"/>
    <cellStyle name="Comma 2 2 4 7 2 6" xfId="30762" xr:uid="{00000000-0005-0000-0000-0000D71E0000}"/>
    <cellStyle name="Comma 2 2 4 7 2 7" xfId="31812" xr:uid="{00000000-0005-0000-0000-0000D81E0000}"/>
    <cellStyle name="Comma 2 2 4 7 2 8" xfId="32454" xr:uid="{00000000-0005-0000-0000-0000D91E0000}"/>
    <cellStyle name="Comma 2 2 4 7 2 9" xfId="33666" xr:uid="{00000000-0005-0000-0000-0000DA1E0000}"/>
    <cellStyle name="Comma 2 2 4 7 3" xfId="6310" xr:uid="{00000000-0005-0000-0000-0000DB1E0000}"/>
    <cellStyle name="Comma 2 2 4 7 3 2" xfId="31112" xr:uid="{00000000-0005-0000-0000-0000DC1E0000}"/>
    <cellStyle name="Comma 2 2 4 7 3 2 2" xfId="41162" xr:uid="{00000000-0005-0000-0000-0000DD1E0000}"/>
    <cellStyle name="Comma 2 2 4 7 3 2 3" xfId="43852" xr:uid="{00000000-0005-0000-0000-0000DE1E0000}"/>
    <cellStyle name="Comma 2 2 4 7 3 2 4" xfId="44578" xr:uid="{00000000-0005-0000-0000-0000DF1E0000}"/>
    <cellStyle name="Comma 2 2 4 7 3 3" xfId="32974" xr:uid="{00000000-0005-0000-0000-0000E01E0000}"/>
    <cellStyle name="Comma 2 2 4 7 3 4" xfId="34789" xr:uid="{00000000-0005-0000-0000-0000E11E0000}"/>
    <cellStyle name="Comma 2 2 4 7 3 5" xfId="36895" xr:uid="{00000000-0005-0000-0000-0000E21E0000}"/>
    <cellStyle name="Comma 2 2 4 7 3 6" xfId="39581" xr:uid="{00000000-0005-0000-0000-0000E31E0000}"/>
    <cellStyle name="Comma 2 2 4 7 3 7" xfId="42524" xr:uid="{00000000-0005-0000-0000-0000E41E0000}"/>
    <cellStyle name="Comma 2 2 4 7 3 8" xfId="44579" xr:uid="{00000000-0005-0000-0000-0000E51E0000}"/>
    <cellStyle name="Comma 2 2 4 7 3 9" xfId="12401" xr:uid="{00000000-0005-0000-0000-0000E61E0000}"/>
    <cellStyle name="Comma 2 2 4 7 4" xfId="11747" xr:uid="{00000000-0005-0000-0000-0000E71E0000}"/>
    <cellStyle name="Comma 2 2 4 7 4 2" xfId="40307" xr:uid="{00000000-0005-0000-0000-0000E81E0000}"/>
    <cellStyle name="Comma 2 2 4 7 4 3" xfId="43134" xr:uid="{00000000-0005-0000-0000-0000E91E0000}"/>
    <cellStyle name="Comma 2 2 4 7 4 4" xfId="44580" xr:uid="{00000000-0005-0000-0000-0000EA1E0000}"/>
    <cellStyle name="Comma 2 2 4 7 5" xfId="15490" xr:uid="{00000000-0005-0000-0000-0000EB1E0000}"/>
    <cellStyle name="Comma 2 2 4 7 6" xfId="29988" xr:uid="{00000000-0005-0000-0000-0000EC1E0000}"/>
    <cellStyle name="Comma 2 2 4 7 7" xfId="30521" xr:uid="{00000000-0005-0000-0000-0000ED1E0000}"/>
    <cellStyle name="Comma 2 2 4 7 8" xfId="31811" xr:uid="{00000000-0005-0000-0000-0000EE1E0000}"/>
    <cellStyle name="Comma 2 2 4 7 9" xfId="32453" xr:uid="{00000000-0005-0000-0000-0000EF1E0000}"/>
    <cellStyle name="Comma 2 2 4 8" xfId="4415" xr:uid="{00000000-0005-0000-0000-0000F01E0000}"/>
    <cellStyle name="Comma 2 2 4 8 10" xfId="34423" xr:uid="{00000000-0005-0000-0000-0000F11E0000}"/>
    <cellStyle name="Comma 2 2 4 8 11" xfId="35598" xr:uid="{00000000-0005-0000-0000-0000F21E0000}"/>
    <cellStyle name="Comma 2 2 4 8 12" xfId="36591" xr:uid="{00000000-0005-0000-0000-0000F31E0000}"/>
    <cellStyle name="Comma 2 2 4 8 13" xfId="38667" xr:uid="{00000000-0005-0000-0000-0000F41E0000}"/>
    <cellStyle name="Comma 2 2 4 8 14" xfId="41707" xr:uid="{00000000-0005-0000-0000-0000F51E0000}"/>
    <cellStyle name="Comma 2 2 4 8 15" xfId="44581" xr:uid="{00000000-0005-0000-0000-0000F61E0000}"/>
    <cellStyle name="Comma 2 2 4 8 16" xfId="8756" xr:uid="{00000000-0005-0000-0000-0000F71E0000}"/>
    <cellStyle name="Comma 2 2 4 8 2" xfId="5866" xr:uid="{00000000-0005-0000-0000-0000F81E0000}"/>
    <cellStyle name="Comma 2 2 4 8 2 2" xfId="31337" xr:uid="{00000000-0005-0000-0000-0000F91E0000}"/>
    <cellStyle name="Comma 2 2 4 8 2 2 2" xfId="40731" xr:uid="{00000000-0005-0000-0000-0000FA1E0000}"/>
    <cellStyle name="Comma 2 2 4 8 2 2 3" xfId="43494" xr:uid="{00000000-0005-0000-0000-0000FB1E0000}"/>
    <cellStyle name="Comma 2 2 4 8 2 2 4" xfId="44582" xr:uid="{00000000-0005-0000-0000-0000FC1E0000}"/>
    <cellStyle name="Comma 2 2 4 8 2 3" xfId="33191" xr:uid="{00000000-0005-0000-0000-0000FD1E0000}"/>
    <cellStyle name="Comma 2 2 4 8 2 4" xfId="35014" xr:uid="{00000000-0005-0000-0000-0000FE1E0000}"/>
    <cellStyle name="Comma 2 2 4 8 2 5" xfId="37112" xr:uid="{00000000-0005-0000-0000-0000FF1E0000}"/>
    <cellStyle name="Comma 2 2 4 8 2 6" xfId="39158" xr:uid="{00000000-0005-0000-0000-0000001F0000}"/>
    <cellStyle name="Comma 2 2 4 8 2 7" xfId="42166" xr:uid="{00000000-0005-0000-0000-0000011F0000}"/>
    <cellStyle name="Comma 2 2 4 8 2 8" xfId="44583" xr:uid="{00000000-0005-0000-0000-0000021F0000}"/>
    <cellStyle name="Comma 2 2 4 8 2 9" xfId="12755" xr:uid="{00000000-0005-0000-0000-0000031F0000}"/>
    <cellStyle name="Comma 2 2 4 8 3" xfId="11972" xr:uid="{00000000-0005-0000-0000-0000041F0000}"/>
    <cellStyle name="Comma 2 2 4 8 3 2" xfId="41041" xr:uid="{00000000-0005-0000-0000-0000051F0000}"/>
    <cellStyle name="Comma 2 2 4 8 3 2 2" xfId="43753" xr:uid="{00000000-0005-0000-0000-0000061F0000}"/>
    <cellStyle name="Comma 2 2 4 8 3 2 3" xfId="44584" xr:uid="{00000000-0005-0000-0000-0000071F0000}"/>
    <cellStyle name="Comma 2 2 4 8 3 3" xfId="39465" xr:uid="{00000000-0005-0000-0000-0000081F0000}"/>
    <cellStyle name="Comma 2 2 4 8 3 4" xfId="42425" xr:uid="{00000000-0005-0000-0000-0000091F0000}"/>
    <cellStyle name="Comma 2 2 4 8 3 5" xfId="44585" xr:uid="{00000000-0005-0000-0000-00000A1F0000}"/>
    <cellStyle name="Comma 2 2 4 8 4" xfId="15492" xr:uid="{00000000-0005-0000-0000-00000B1F0000}"/>
    <cellStyle name="Comma 2 2 4 8 4 2" xfId="40186" xr:uid="{00000000-0005-0000-0000-00000C1F0000}"/>
    <cellStyle name="Comma 2 2 4 8 4 3" xfId="43035" xr:uid="{00000000-0005-0000-0000-00000D1F0000}"/>
    <cellStyle name="Comma 2 2 4 8 4 4" xfId="44586" xr:uid="{00000000-0005-0000-0000-00000E1F0000}"/>
    <cellStyle name="Comma 2 2 4 8 5" xfId="29990" xr:uid="{00000000-0005-0000-0000-00000F1F0000}"/>
    <cellStyle name="Comma 2 2 4 8 6" xfId="30746" xr:uid="{00000000-0005-0000-0000-0000101F0000}"/>
    <cellStyle name="Comma 2 2 4 8 7" xfId="31813" xr:uid="{00000000-0005-0000-0000-0000111F0000}"/>
    <cellStyle name="Comma 2 2 4 8 8" xfId="32455" xr:uid="{00000000-0005-0000-0000-0000121F0000}"/>
    <cellStyle name="Comma 2 2 4 8 9" xfId="33667" xr:uid="{00000000-0005-0000-0000-0000131F0000}"/>
    <cellStyle name="Comma 2 2 4 9" xfId="5668" xr:uid="{00000000-0005-0000-0000-0000141F0000}"/>
    <cellStyle name="Comma 2 2 4 9 10" xfId="34623" xr:uid="{00000000-0005-0000-0000-0000151F0000}"/>
    <cellStyle name="Comma 2 2 4 9 11" xfId="36751" xr:uid="{00000000-0005-0000-0000-0000161F0000}"/>
    <cellStyle name="Comma 2 2 4 9 12" xfId="37611" xr:uid="{00000000-0005-0000-0000-0000171F0000}"/>
    <cellStyle name="Comma 2 2 4 9 13" xfId="41551" xr:uid="{00000000-0005-0000-0000-0000181F0000}"/>
    <cellStyle name="Comma 2 2 4 9 14" xfId="44587" xr:uid="{00000000-0005-0000-0000-0000191F0000}"/>
    <cellStyle name="Comma 2 2 4 9 15" xfId="11509" xr:uid="{00000000-0005-0000-0000-00001A1F0000}"/>
    <cellStyle name="Comma 2 2 4 9 2" xfId="15130" xr:uid="{00000000-0005-0000-0000-00001B1F0000}"/>
    <cellStyle name="Comma 2 2 4 9 2 2" xfId="31537" xr:uid="{00000000-0005-0000-0000-00001C1F0000}"/>
    <cellStyle name="Comma 2 2 4 9 2 3" xfId="33390" xr:uid="{00000000-0005-0000-0000-00001D1F0000}"/>
    <cellStyle name="Comma 2 2 4 9 2 4" xfId="35214" xr:uid="{00000000-0005-0000-0000-00001E1F0000}"/>
    <cellStyle name="Comma 2 2 4 9 2 5" xfId="37294" xr:uid="{00000000-0005-0000-0000-00001F1F0000}"/>
    <cellStyle name="Comma 2 2 4 9 2 6" xfId="40002" xr:uid="{00000000-0005-0000-0000-0000201F0000}"/>
    <cellStyle name="Comma 2 2 4 9 2 7" xfId="42879" xr:uid="{00000000-0005-0000-0000-0000211F0000}"/>
    <cellStyle name="Comma 2 2 4 9 2 8" xfId="44588" xr:uid="{00000000-0005-0000-0000-0000221F0000}"/>
    <cellStyle name="Comma 2 2 4 9 3" xfId="12172" xr:uid="{00000000-0005-0000-0000-0000231F0000}"/>
    <cellStyle name="Comma 2 2 4 9 4" xfId="15493" xr:uid="{00000000-0005-0000-0000-0000241F0000}"/>
    <cellStyle name="Comma 2 2 4 9 5" xfId="29991" xr:uid="{00000000-0005-0000-0000-0000251F0000}"/>
    <cellStyle name="Comma 2 2 4 9 6" xfId="30946" xr:uid="{00000000-0005-0000-0000-0000261F0000}"/>
    <cellStyle name="Comma 2 2 4 9 7" xfId="31814" xr:uid="{00000000-0005-0000-0000-0000271F0000}"/>
    <cellStyle name="Comma 2 2 4 9 8" xfId="32456" xr:uid="{00000000-0005-0000-0000-0000281F0000}"/>
    <cellStyle name="Comma 2 2 4 9 9" xfId="33668" xr:uid="{00000000-0005-0000-0000-0000291F0000}"/>
    <cellStyle name="Comma 2 2 5" xfId="2768" xr:uid="{00000000-0005-0000-0000-00002A1F0000}"/>
    <cellStyle name="Comma 2 2 5 10" xfId="15494" xr:uid="{00000000-0005-0000-0000-00002B1F0000}"/>
    <cellStyle name="Comma 2 2 5 11" xfId="29992" xr:uid="{00000000-0005-0000-0000-00002C1F0000}"/>
    <cellStyle name="Comma 2 2 5 12" xfId="30434" xr:uid="{00000000-0005-0000-0000-00002D1F0000}"/>
    <cellStyle name="Comma 2 2 5 13" xfId="31815" xr:uid="{00000000-0005-0000-0000-00002E1F0000}"/>
    <cellStyle name="Comma 2 2 5 14" xfId="32457" xr:uid="{00000000-0005-0000-0000-00002F1F0000}"/>
    <cellStyle name="Comma 2 2 5 15" xfId="33669" xr:uid="{00000000-0005-0000-0000-0000301F0000}"/>
    <cellStyle name="Comma 2 2 5 16" xfId="34111" xr:uid="{00000000-0005-0000-0000-0000311F0000}"/>
    <cellStyle name="Comma 2 2 5 17" xfId="35330" xr:uid="{00000000-0005-0000-0000-0000321F0000}"/>
    <cellStyle name="Comma 2 2 5 18" xfId="36193" xr:uid="{00000000-0005-0000-0000-0000331F0000}"/>
    <cellStyle name="Comma 2 2 5 19" xfId="37431" xr:uid="{00000000-0005-0000-0000-0000341F0000}"/>
    <cellStyle name="Comma 2 2 5 2" xfId="5079" xr:uid="{00000000-0005-0000-0000-0000351F0000}"/>
    <cellStyle name="Comma 2 2 5 2 10" xfId="32458" xr:uid="{00000000-0005-0000-0000-0000361F0000}"/>
    <cellStyle name="Comma 2 2 5 2 11" xfId="33670" xr:uid="{00000000-0005-0000-0000-0000371F0000}"/>
    <cellStyle name="Comma 2 2 5 2 12" xfId="34149" xr:uid="{00000000-0005-0000-0000-0000381F0000}"/>
    <cellStyle name="Comma 2 2 5 2 13" xfId="36034" xr:uid="{00000000-0005-0000-0000-0000391F0000}"/>
    <cellStyle name="Comma 2 2 5 2 14" xfId="36334" xr:uid="{00000000-0005-0000-0000-00003A1F0000}"/>
    <cellStyle name="Comma 2 2 5 2 15" xfId="37505" xr:uid="{00000000-0005-0000-0000-00003B1F0000}"/>
    <cellStyle name="Comma 2 2 5 2 16" xfId="41451" xr:uid="{00000000-0005-0000-0000-00003C1F0000}"/>
    <cellStyle name="Comma 2 2 5 2 17" xfId="44589" xr:uid="{00000000-0005-0000-0000-00003D1F0000}"/>
    <cellStyle name="Comma 2 2 5 2 18" xfId="6662" xr:uid="{00000000-0005-0000-0000-00003E1F0000}"/>
    <cellStyle name="Comma 2 2 5 2 2" xfId="6048" xr:uid="{00000000-0005-0000-0000-00003F1F0000}"/>
    <cellStyle name="Comma 2 2 5 2 2 10" xfId="33671" xr:uid="{00000000-0005-0000-0000-0000401F0000}"/>
    <cellStyle name="Comma 2 2 5 2 2 11" xfId="34301" xr:uid="{00000000-0005-0000-0000-0000411F0000}"/>
    <cellStyle name="Comma 2 2 5 2 2 12" xfId="36486" xr:uid="{00000000-0005-0000-0000-0000421F0000}"/>
    <cellStyle name="Comma 2 2 5 2 2 13" xfId="38813" xr:uid="{00000000-0005-0000-0000-0000431F0000}"/>
    <cellStyle name="Comma 2 2 5 2 2 14" xfId="41852" xr:uid="{00000000-0005-0000-0000-0000441F0000}"/>
    <cellStyle name="Comma 2 2 5 2 2 15" xfId="44590" xr:uid="{00000000-0005-0000-0000-0000451F0000}"/>
    <cellStyle name="Comma 2 2 5 2 2 16" xfId="8538" xr:uid="{00000000-0005-0000-0000-0000461F0000}"/>
    <cellStyle name="Comma 2 2 5 2 2 2" xfId="8775" xr:uid="{00000000-0005-0000-0000-0000471F0000}"/>
    <cellStyle name="Comma 2 2 5 2 2 2 10" xfId="34442" xr:uid="{00000000-0005-0000-0000-0000481F0000}"/>
    <cellStyle name="Comma 2 2 5 2 2 2 11" xfId="36610" xr:uid="{00000000-0005-0000-0000-0000491F0000}"/>
    <cellStyle name="Comma 2 2 5 2 2 2 12" xfId="40362" xr:uid="{00000000-0005-0000-0000-00004A1F0000}"/>
    <cellStyle name="Comma 2 2 5 2 2 2 13" xfId="43180" xr:uid="{00000000-0005-0000-0000-00004B1F0000}"/>
    <cellStyle name="Comma 2 2 5 2 2 2 14" xfId="44591" xr:uid="{00000000-0005-0000-0000-00004C1F0000}"/>
    <cellStyle name="Comma 2 2 5 2 2 2 2" xfId="12774" xr:uid="{00000000-0005-0000-0000-00004D1F0000}"/>
    <cellStyle name="Comma 2 2 5 2 2 2 2 2" xfId="31356" xr:uid="{00000000-0005-0000-0000-00004E1F0000}"/>
    <cellStyle name="Comma 2 2 5 2 2 2 2 3" xfId="33210" xr:uid="{00000000-0005-0000-0000-00004F1F0000}"/>
    <cellStyle name="Comma 2 2 5 2 2 2 2 4" xfId="35033" xr:uid="{00000000-0005-0000-0000-0000501F0000}"/>
    <cellStyle name="Comma 2 2 5 2 2 2 2 5" xfId="37131" xr:uid="{00000000-0005-0000-0000-0000511F0000}"/>
    <cellStyle name="Comma 2 2 5 2 2 2 3" xfId="11991" xr:uid="{00000000-0005-0000-0000-0000521F0000}"/>
    <cellStyle name="Comma 2 2 5 2 2 2 4" xfId="15497" xr:uid="{00000000-0005-0000-0000-0000531F0000}"/>
    <cellStyle name="Comma 2 2 5 2 2 2 5" xfId="29995" xr:uid="{00000000-0005-0000-0000-0000541F0000}"/>
    <cellStyle name="Comma 2 2 5 2 2 2 6" xfId="30765" xr:uid="{00000000-0005-0000-0000-0000551F0000}"/>
    <cellStyle name="Comma 2 2 5 2 2 2 7" xfId="31818" xr:uid="{00000000-0005-0000-0000-0000561F0000}"/>
    <cellStyle name="Comma 2 2 5 2 2 2 8" xfId="32460" xr:uid="{00000000-0005-0000-0000-0000571F0000}"/>
    <cellStyle name="Comma 2 2 5 2 2 2 9" xfId="33672" xr:uid="{00000000-0005-0000-0000-0000581F0000}"/>
    <cellStyle name="Comma 2 2 5 2 2 3" xfId="12573" xr:uid="{00000000-0005-0000-0000-0000591F0000}"/>
    <cellStyle name="Comma 2 2 5 2 2 3 2" xfId="31215" xr:uid="{00000000-0005-0000-0000-00005A1F0000}"/>
    <cellStyle name="Comma 2 2 5 2 2 3 3" xfId="33071" xr:uid="{00000000-0005-0000-0000-00005B1F0000}"/>
    <cellStyle name="Comma 2 2 5 2 2 3 4" xfId="34892" xr:uid="{00000000-0005-0000-0000-00005C1F0000}"/>
    <cellStyle name="Comma 2 2 5 2 2 3 5" xfId="36992" xr:uid="{00000000-0005-0000-0000-00005D1F0000}"/>
    <cellStyle name="Comma 2 2 5 2 2 4" xfId="11850" xr:uid="{00000000-0005-0000-0000-00005E1F0000}"/>
    <cellStyle name="Comma 2 2 5 2 2 5" xfId="15496" xr:uid="{00000000-0005-0000-0000-00005F1F0000}"/>
    <cellStyle name="Comma 2 2 5 2 2 6" xfId="29994" xr:uid="{00000000-0005-0000-0000-0000601F0000}"/>
    <cellStyle name="Comma 2 2 5 2 2 7" xfId="30624" xr:uid="{00000000-0005-0000-0000-0000611F0000}"/>
    <cellStyle name="Comma 2 2 5 2 2 8" xfId="31817" xr:uid="{00000000-0005-0000-0000-0000621F0000}"/>
    <cellStyle name="Comma 2 2 5 2 2 9" xfId="32459" xr:uid="{00000000-0005-0000-0000-0000631F0000}"/>
    <cellStyle name="Comma 2 2 5 2 3" xfId="6368" xr:uid="{00000000-0005-0000-0000-0000641F0000}"/>
    <cellStyle name="Comma 2 2 5 2 3 10" xfId="34441" xr:uid="{00000000-0005-0000-0000-0000651F0000}"/>
    <cellStyle name="Comma 2 2 5 2 3 11" xfId="36609" xr:uid="{00000000-0005-0000-0000-0000661F0000}"/>
    <cellStyle name="Comma 2 2 5 2 3 12" xfId="39033" xr:uid="{00000000-0005-0000-0000-0000671F0000}"/>
    <cellStyle name="Comma 2 2 5 2 3 13" xfId="42059" xr:uid="{00000000-0005-0000-0000-0000681F0000}"/>
    <cellStyle name="Comma 2 2 5 2 3 14" xfId="44592" xr:uid="{00000000-0005-0000-0000-0000691F0000}"/>
    <cellStyle name="Comma 2 2 5 2 3 15" xfId="8774" xr:uid="{00000000-0005-0000-0000-00006A1F0000}"/>
    <cellStyle name="Comma 2 2 5 2 3 2" xfId="12773" xr:uid="{00000000-0005-0000-0000-00006B1F0000}"/>
    <cellStyle name="Comma 2 2 5 2 3 2 2" xfId="31355" xr:uid="{00000000-0005-0000-0000-00006C1F0000}"/>
    <cellStyle name="Comma 2 2 5 2 3 2 3" xfId="33209" xr:uid="{00000000-0005-0000-0000-00006D1F0000}"/>
    <cellStyle name="Comma 2 2 5 2 3 2 4" xfId="35032" xr:uid="{00000000-0005-0000-0000-00006E1F0000}"/>
    <cellStyle name="Comma 2 2 5 2 3 2 5" xfId="37130" xr:uid="{00000000-0005-0000-0000-00006F1F0000}"/>
    <cellStyle name="Comma 2 2 5 2 3 2 6" xfId="40601" xr:uid="{00000000-0005-0000-0000-0000701F0000}"/>
    <cellStyle name="Comma 2 2 5 2 3 2 7" xfId="43387" xr:uid="{00000000-0005-0000-0000-0000711F0000}"/>
    <cellStyle name="Comma 2 2 5 2 3 2 8" xfId="44593" xr:uid="{00000000-0005-0000-0000-0000721F0000}"/>
    <cellStyle name="Comma 2 2 5 2 3 3" xfId="11990" xr:uid="{00000000-0005-0000-0000-0000731F0000}"/>
    <cellStyle name="Comma 2 2 5 2 3 4" xfId="15498" xr:uid="{00000000-0005-0000-0000-0000741F0000}"/>
    <cellStyle name="Comma 2 2 5 2 3 5" xfId="29996" xr:uid="{00000000-0005-0000-0000-0000751F0000}"/>
    <cellStyle name="Comma 2 2 5 2 3 6" xfId="30764" xr:uid="{00000000-0005-0000-0000-0000761F0000}"/>
    <cellStyle name="Comma 2 2 5 2 3 7" xfId="31819" xr:uid="{00000000-0005-0000-0000-0000771F0000}"/>
    <cellStyle name="Comma 2 2 5 2 3 8" xfId="32461" xr:uid="{00000000-0005-0000-0000-0000781F0000}"/>
    <cellStyle name="Comma 2 2 5 2 3 9" xfId="33673" xr:uid="{00000000-0005-0000-0000-0000791F0000}"/>
    <cellStyle name="Comma 2 2 5 2 4" xfId="12290" xr:uid="{00000000-0005-0000-0000-00007A1F0000}"/>
    <cellStyle name="Comma 2 2 5 2 4 2" xfId="31063" xr:uid="{00000000-0005-0000-0000-00007B1F0000}"/>
    <cellStyle name="Comma 2 2 5 2 4 2 2" xfId="41218" xr:uid="{00000000-0005-0000-0000-00007C1F0000}"/>
    <cellStyle name="Comma 2 2 5 2 4 2 3" xfId="43898" xr:uid="{00000000-0005-0000-0000-00007D1F0000}"/>
    <cellStyle name="Comma 2 2 5 2 4 2 4" xfId="44594" xr:uid="{00000000-0005-0000-0000-00007E1F0000}"/>
    <cellStyle name="Comma 2 2 5 2 4 3" xfId="32931" xr:uid="{00000000-0005-0000-0000-00007F1F0000}"/>
    <cellStyle name="Comma 2 2 5 2 4 4" xfId="34740" xr:uid="{00000000-0005-0000-0000-0000801F0000}"/>
    <cellStyle name="Comma 2 2 5 2 4 5" xfId="36848" xr:uid="{00000000-0005-0000-0000-0000811F0000}"/>
    <cellStyle name="Comma 2 2 5 2 4 6" xfId="39635" xr:uid="{00000000-0005-0000-0000-0000821F0000}"/>
    <cellStyle name="Comma 2 2 5 2 4 7" xfId="42570" xr:uid="{00000000-0005-0000-0000-0000831F0000}"/>
    <cellStyle name="Comma 2 2 5 2 4 8" xfId="44595" xr:uid="{00000000-0005-0000-0000-0000841F0000}"/>
    <cellStyle name="Comma 2 2 5 2 5" xfId="11697" xr:uid="{00000000-0005-0000-0000-0000851F0000}"/>
    <cellStyle name="Comma 2 2 5 2 5 2" xfId="39880" xr:uid="{00000000-0005-0000-0000-0000861F0000}"/>
    <cellStyle name="Comma 2 2 5 2 5 3" xfId="42779" xr:uid="{00000000-0005-0000-0000-0000871F0000}"/>
    <cellStyle name="Comma 2 2 5 2 5 4" xfId="44596" xr:uid="{00000000-0005-0000-0000-0000881F0000}"/>
    <cellStyle name="Comma 2 2 5 2 6" xfId="15495" xr:uid="{00000000-0005-0000-0000-0000891F0000}"/>
    <cellStyle name="Comma 2 2 5 2 7" xfId="29993" xr:uid="{00000000-0005-0000-0000-00008A1F0000}"/>
    <cellStyle name="Comma 2 2 5 2 8" xfId="30472" xr:uid="{00000000-0005-0000-0000-00008B1F0000}"/>
    <cellStyle name="Comma 2 2 5 2 9" xfId="31816" xr:uid="{00000000-0005-0000-0000-00008C1F0000}"/>
    <cellStyle name="Comma 2 2 5 20" xfId="41378" xr:uid="{00000000-0005-0000-0000-00008D1F0000}"/>
    <cellStyle name="Comma 2 2 5 21" xfId="44597" xr:uid="{00000000-0005-0000-0000-00008E1F0000}"/>
    <cellStyle name="Comma 2 2 5 22" xfId="6550" xr:uid="{00000000-0005-0000-0000-00008F1F0000}"/>
    <cellStyle name="Comma 2 2 5 3" xfId="4420" xr:uid="{00000000-0005-0000-0000-0000901F0000}"/>
    <cellStyle name="Comma 2 2 5 3 10" xfId="32462" xr:uid="{00000000-0005-0000-0000-0000911F0000}"/>
    <cellStyle name="Comma 2 2 5 3 11" xfId="33674" xr:uid="{00000000-0005-0000-0000-0000921F0000}"/>
    <cellStyle name="Comma 2 2 5 3 12" xfId="34175" xr:uid="{00000000-0005-0000-0000-0000931F0000}"/>
    <cellStyle name="Comma 2 2 5 3 13" xfId="35603" xr:uid="{00000000-0005-0000-0000-0000941F0000}"/>
    <cellStyle name="Comma 2 2 5 3 14" xfId="36167" xr:uid="{00000000-0005-0000-0000-0000951F0000}"/>
    <cellStyle name="Comma 2 2 5 3 15" xfId="38672" xr:uid="{00000000-0005-0000-0000-0000961F0000}"/>
    <cellStyle name="Comma 2 2 5 3 16" xfId="41712" xr:uid="{00000000-0005-0000-0000-0000971F0000}"/>
    <cellStyle name="Comma 2 2 5 3 17" xfId="44598" xr:uid="{00000000-0005-0000-0000-0000981F0000}"/>
    <cellStyle name="Comma 2 2 5 3 18" xfId="7338" xr:uid="{00000000-0005-0000-0000-0000991F0000}"/>
    <cellStyle name="Comma 2 2 5 3 2" xfId="5871" xr:uid="{00000000-0005-0000-0000-00009A1F0000}"/>
    <cellStyle name="Comma 2 2 5 3 2 10" xfId="33675" xr:uid="{00000000-0005-0000-0000-00009B1F0000}"/>
    <cellStyle name="Comma 2 2 5 3 2 11" xfId="34327" xr:uid="{00000000-0005-0000-0000-00009C1F0000}"/>
    <cellStyle name="Comma 2 2 5 3 2 12" xfId="36499" xr:uid="{00000000-0005-0000-0000-00009D1F0000}"/>
    <cellStyle name="Comma 2 2 5 3 2 13" xfId="39162" xr:uid="{00000000-0005-0000-0000-00009E1F0000}"/>
    <cellStyle name="Comma 2 2 5 3 2 14" xfId="42170" xr:uid="{00000000-0005-0000-0000-00009F1F0000}"/>
    <cellStyle name="Comma 2 2 5 3 2 15" xfId="44599" xr:uid="{00000000-0005-0000-0000-0000A01F0000}"/>
    <cellStyle name="Comma 2 2 5 3 2 16" xfId="8597" xr:uid="{00000000-0005-0000-0000-0000A11F0000}"/>
    <cellStyle name="Comma 2 2 5 3 2 2" xfId="8777" xr:uid="{00000000-0005-0000-0000-0000A21F0000}"/>
    <cellStyle name="Comma 2 2 5 3 2 2 10" xfId="34444" xr:uid="{00000000-0005-0000-0000-0000A31F0000}"/>
    <cellStyle name="Comma 2 2 5 3 2 2 11" xfId="36612" xr:uid="{00000000-0005-0000-0000-0000A41F0000}"/>
    <cellStyle name="Comma 2 2 5 3 2 2 12" xfId="40735" xr:uid="{00000000-0005-0000-0000-0000A51F0000}"/>
    <cellStyle name="Comma 2 2 5 3 2 2 13" xfId="43498" xr:uid="{00000000-0005-0000-0000-0000A61F0000}"/>
    <cellStyle name="Comma 2 2 5 3 2 2 14" xfId="44600" xr:uid="{00000000-0005-0000-0000-0000A71F0000}"/>
    <cellStyle name="Comma 2 2 5 3 2 2 2" xfId="12776" xr:uid="{00000000-0005-0000-0000-0000A81F0000}"/>
    <cellStyle name="Comma 2 2 5 3 2 2 2 2" xfId="31358" xr:uid="{00000000-0005-0000-0000-0000A91F0000}"/>
    <cellStyle name="Comma 2 2 5 3 2 2 2 3" xfId="33212" xr:uid="{00000000-0005-0000-0000-0000AA1F0000}"/>
    <cellStyle name="Comma 2 2 5 3 2 2 2 4" xfId="35035" xr:uid="{00000000-0005-0000-0000-0000AB1F0000}"/>
    <cellStyle name="Comma 2 2 5 3 2 2 2 5" xfId="37133" xr:uid="{00000000-0005-0000-0000-0000AC1F0000}"/>
    <cellStyle name="Comma 2 2 5 3 2 2 3" xfId="11993" xr:uid="{00000000-0005-0000-0000-0000AD1F0000}"/>
    <cellStyle name="Comma 2 2 5 3 2 2 4" xfId="15501" xr:uid="{00000000-0005-0000-0000-0000AE1F0000}"/>
    <cellStyle name="Comma 2 2 5 3 2 2 5" xfId="29999" xr:uid="{00000000-0005-0000-0000-0000AF1F0000}"/>
    <cellStyle name="Comma 2 2 5 3 2 2 6" xfId="30767" xr:uid="{00000000-0005-0000-0000-0000B01F0000}"/>
    <cellStyle name="Comma 2 2 5 3 2 2 7" xfId="31822" xr:uid="{00000000-0005-0000-0000-0000B11F0000}"/>
    <cellStyle name="Comma 2 2 5 3 2 2 8" xfId="32464" xr:uid="{00000000-0005-0000-0000-0000B21F0000}"/>
    <cellStyle name="Comma 2 2 5 3 2 2 9" xfId="33676" xr:uid="{00000000-0005-0000-0000-0000B31F0000}"/>
    <cellStyle name="Comma 2 2 5 3 2 3" xfId="12603" xr:uid="{00000000-0005-0000-0000-0000B41F0000}"/>
    <cellStyle name="Comma 2 2 5 3 2 3 2" xfId="31241" xr:uid="{00000000-0005-0000-0000-0000B51F0000}"/>
    <cellStyle name="Comma 2 2 5 3 2 3 3" xfId="33095" xr:uid="{00000000-0005-0000-0000-0000B61F0000}"/>
    <cellStyle name="Comma 2 2 5 3 2 3 4" xfId="34918" xr:uid="{00000000-0005-0000-0000-0000B71F0000}"/>
    <cellStyle name="Comma 2 2 5 3 2 3 5" xfId="37016" xr:uid="{00000000-0005-0000-0000-0000B81F0000}"/>
    <cellStyle name="Comma 2 2 5 3 2 4" xfId="11876" xr:uid="{00000000-0005-0000-0000-0000B91F0000}"/>
    <cellStyle name="Comma 2 2 5 3 2 5" xfId="15500" xr:uid="{00000000-0005-0000-0000-0000BA1F0000}"/>
    <cellStyle name="Comma 2 2 5 3 2 6" xfId="29998" xr:uid="{00000000-0005-0000-0000-0000BB1F0000}"/>
    <cellStyle name="Comma 2 2 5 3 2 7" xfId="30650" xr:uid="{00000000-0005-0000-0000-0000BC1F0000}"/>
    <cellStyle name="Comma 2 2 5 3 2 8" xfId="31821" xr:uid="{00000000-0005-0000-0000-0000BD1F0000}"/>
    <cellStyle name="Comma 2 2 5 3 2 9" xfId="32463" xr:uid="{00000000-0005-0000-0000-0000BE1F0000}"/>
    <cellStyle name="Comma 2 2 5 3 3" xfId="8776" xr:uid="{00000000-0005-0000-0000-0000BF1F0000}"/>
    <cellStyle name="Comma 2 2 5 3 3 10" xfId="34443" xr:uid="{00000000-0005-0000-0000-0000C01F0000}"/>
    <cellStyle name="Comma 2 2 5 3 3 11" xfId="36611" xr:uid="{00000000-0005-0000-0000-0000C11F0000}"/>
    <cellStyle name="Comma 2 2 5 3 3 12" xfId="39470" xr:uid="{00000000-0005-0000-0000-0000C21F0000}"/>
    <cellStyle name="Comma 2 2 5 3 3 13" xfId="42430" xr:uid="{00000000-0005-0000-0000-0000C31F0000}"/>
    <cellStyle name="Comma 2 2 5 3 3 14" xfId="44601" xr:uid="{00000000-0005-0000-0000-0000C41F0000}"/>
    <cellStyle name="Comma 2 2 5 3 3 2" xfId="12775" xr:uid="{00000000-0005-0000-0000-0000C51F0000}"/>
    <cellStyle name="Comma 2 2 5 3 3 2 2" xfId="31357" xr:uid="{00000000-0005-0000-0000-0000C61F0000}"/>
    <cellStyle name="Comma 2 2 5 3 3 2 3" xfId="33211" xr:uid="{00000000-0005-0000-0000-0000C71F0000}"/>
    <cellStyle name="Comma 2 2 5 3 3 2 4" xfId="35034" xr:uid="{00000000-0005-0000-0000-0000C81F0000}"/>
    <cellStyle name="Comma 2 2 5 3 3 2 5" xfId="37132" xr:uid="{00000000-0005-0000-0000-0000C91F0000}"/>
    <cellStyle name="Comma 2 2 5 3 3 2 6" xfId="41046" xr:uid="{00000000-0005-0000-0000-0000CA1F0000}"/>
    <cellStyle name="Comma 2 2 5 3 3 2 7" xfId="43758" xr:uid="{00000000-0005-0000-0000-0000CB1F0000}"/>
    <cellStyle name="Comma 2 2 5 3 3 2 8" xfId="44602" xr:uid="{00000000-0005-0000-0000-0000CC1F0000}"/>
    <cellStyle name="Comma 2 2 5 3 3 3" xfId="11992" xr:uid="{00000000-0005-0000-0000-0000CD1F0000}"/>
    <cellStyle name="Comma 2 2 5 3 3 4" xfId="15502" xr:uid="{00000000-0005-0000-0000-0000CE1F0000}"/>
    <cellStyle name="Comma 2 2 5 3 3 5" xfId="30000" xr:uid="{00000000-0005-0000-0000-0000CF1F0000}"/>
    <cellStyle name="Comma 2 2 5 3 3 6" xfId="30766" xr:uid="{00000000-0005-0000-0000-0000D01F0000}"/>
    <cellStyle name="Comma 2 2 5 3 3 7" xfId="31823" xr:uid="{00000000-0005-0000-0000-0000D11F0000}"/>
    <cellStyle name="Comma 2 2 5 3 3 8" xfId="32465" xr:uid="{00000000-0005-0000-0000-0000D21F0000}"/>
    <cellStyle name="Comma 2 2 5 3 3 9" xfId="33677" xr:uid="{00000000-0005-0000-0000-0000D31F0000}"/>
    <cellStyle name="Comma 2 2 5 3 4" xfId="12317" xr:uid="{00000000-0005-0000-0000-0000D41F0000}"/>
    <cellStyle name="Comma 2 2 5 3 4 2" xfId="31089" xr:uid="{00000000-0005-0000-0000-0000D51F0000}"/>
    <cellStyle name="Comma 2 2 5 3 4 3" xfId="32951" xr:uid="{00000000-0005-0000-0000-0000D61F0000}"/>
    <cellStyle name="Comma 2 2 5 3 4 4" xfId="34766" xr:uid="{00000000-0005-0000-0000-0000D71F0000}"/>
    <cellStyle name="Comma 2 2 5 3 4 5" xfId="36872" xr:uid="{00000000-0005-0000-0000-0000D81F0000}"/>
    <cellStyle name="Comma 2 2 5 3 4 6" xfId="40191" xr:uid="{00000000-0005-0000-0000-0000D91F0000}"/>
    <cellStyle name="Comma 2 2 5 3 4 7" xfId="43040" xr:uid="{00000000-0005-0000-0000-0000DA1F0000}"/>
    <cellStyle name="Comma 2 2 5 3 4 8" xfId="44603" xr:uid="{00000000-0005-0000-0000-0000DB1F0000}"/>
    <cellStyle name="Comma 2 2 5 3 5" xfId="11724" xr:uid="{00000000-0005-0000-0000-0000DC1F0000}"/>
    <cellStyle name="Comma 2 2 5 3 6" xfId="15499" xr:uid="{00000000-0005-0000-0000-0000DD1F0000}"/>
    <cellStyle name="Comma 2 2 5 3 7" xfId="29997" xr:uid="{00000000-0005-0000-0000-0000DE1F0000}"/>
    <cellStyle name="Comma 2 2 5 3 8" xfId="30498" xr:uid="{00000000-0005-0000-0000-0000DF1F0000}"/>
    <cellStyle name="Comma 2 2 5 3 9" xfId="31820" xr:uid="{00000000-0005-0000-0000-0000E01F0000}"/>
    <cellStyle name="Comma 2 2 5 4" xfId="5733" xr:uid="{00000000-0005-0000-0000-0000E11F0000}"/>
    <cellStyle name="Comma 2 2 5 4 10" xfId="33678" xr:uid="{00000000-0005-0000-0000-0000E21F0000}"/>
    <cellStyle name="Comma 2 2 5 4 11" xfId="34262" xr:uid="{00000000-0005-0000-0000-0000E31F0000}"/>
    <cellStyle name="Comma 2 2 5 4 12" xfId="36463" xr:uid="{00000000-0005-0000-0000-0000E41F0000}"/>
    <cellStyle name="Comma 2 2 5 4 13" xfId="38100" xr:uid="{00000000-0005-0000-0000-0000E51F0000}"/>
    <cellStyle name="Comma 2 2 5 4 14" xfId="41597" xr:uid="{00000000-0005-0000-0000-0000E61F0000}"/>
    <cellStyle name="Comma 2 2 5 4 15" xfId="44604" xr:uid="{00000000-0005-0000-0000-0000E71F0000}"/>
    <cellStyle name="Comma 2 2 5 4 16" xfId="8425" xr:uid="{00000000-0005-0000-0000-0000E81F0000}"/>
    <cellStyle name="Comma 2 2 5 4 2" xfId="8778" xr:uid="{00000000-0005-0000-0000-0000E91F0000}"/>
    <cellStyle name="Comma 2 2 5 4 2 10" xfId="34445" xr:uid="{00000000-0005-0000-0000-0000EA1F0000}"/>
    <cellStyle name="Comma 2 2 5 4 2 11" xfId="36613" xr:uid="{00000000-0005-0000-0000-0000EB1F0000}"/>
    <cellStyle name="Comma 2 2 5 4 2 12" xfId="40056" xr:uid="{00000000-0005-0000-0000-0000EC1F0000}"/>
    <cellStyle name="Comma 2 2 5 4 2 13" xfId="42925" xr:uid="{00000000-0005-0000-0000-0000ED1F0000}"/>
    <cellStyle name="Comma 2 2 5 4 2 14" xfId="44605" xr:uid="{00000000-0005-0000-0000-0000EE1F0000}"/>
    <cellStyle name="Comma 2 2 5 4 2 2" xfId="12777" xr:uid="{00000000-0005-0000-0000-0000EF1F0000}"/>
    <cellStyle name="Comma 2 2 5 4 2 2 2" xfId="31359" xr:uid="{00000000-0005-0000-0000-0000F01F0000}"/>
    <cellStyle name="Comma 2 2 5 4 2 2 3" xfId="33213" xr:uid="{00000000-0005-0000-0000-0000F11F0000}"/>
    <cellStyle name="Comma 2 2 5 4 2 2 4" xfId="35036" xr:uid="{00000000-0005-0000-0000-0000F21F0000}"/>
    <cellStyle name="Comma 2 2 5 4 2 2 5" xfId="37134" xr:uid="{00000000-0005-0000-0000-0000F31F0000}"/>
    <cellStyle name="Comma 2 2 5 4 2 3" xfId="11994" xr:uid="{00000000-0005-0000-0000-0000F41F0000}"/>
    <cellStyle name="Comma 2 2 5 4 2 4" xfId="15504" xr:uid="{00000000-0005-0000-0000-0000F51F0000}"/>
    <cellStyle name="Comma 2 2 5 4 2 5" xfId="30002" xr:uid="{00000000-0005-0000-0000-0000F61F0000}"/>
    <cellStyle name="Comma 2 2 5 4 2 6" xfId="30768" xr:uid="{00000000-0005-0000-0000-0000F71F0000}"/>
    <cellStyle name="Comma 2 2 5 4 2 7" xfId="31825" xr:uid="{00000000-0005-0000-0000-0000F81F0000}"/>
    <cellStyle name="Comma 2 2 5 4 2 8" xfId="32467" xr:uid="{00000000-0005-0000-0000-0000F91F0000}"/>
    <cellStyle name="Comma 2 2 5 4 2 9" xfId="33679" xr:uid="{00000000-0005-0000-0000-0000FA1F0000}"/>
    <cellStyle name="Comma 2 2 5 4 3" xfId="12533" xr:uid="{00000000-0005-0000-0000-0000FB1F0000}"/>
    <cellStyle name="Comma 2 2 5 4 3 2" xfId="31176" xr:uid="{00000000-0005-0000-0000-0000FC1F0000}"/>
    <cellStyle name="Comma 2 2 5 4 3 3" xfId="33034" xr:uid="{00000000-0005-0000-0000-0000FD1F0000}"/>
    <cellStyle name="Comma 2 2 5 4 3 4" xfId="34853" xr:uid="{00000000-0005-0000-0000-0000FE1F0000}"/>
    <cellStyle name="Comma 2 2 5 4 3 5" xfId="36955" xr:uid="{00000000-0005-0000-0000-0000FF1F0000}"/>
    <cellStyle name="Comma 2 2 5 4 4" xfId="11811" xr:uid="{00000000-0005-0000-0000-000000200000}"/>
    <cellStyle name="Comma 2 2 5 4 5" xfId="15503" xr:uid="{00000000-0005-0000-0000-000001200000}"/>
    <cellStyle name="Comma 2 2 5 4 6" xfId="30001" xr:uid="{00000000-0005-0000-0000-000002200000}"/>
    <cellStyle name="Comma 2 2 5 4 7" xfId="30585" xr:uid="{00000000-0005-0000-0000-000003200000}"/>
    <cellStyle name="Comma 2 2 5 4 8" xfId="31824" xr:uid="{00000000-0005-0000-0000-000004200000}"/>
    <cellStyle name="Comma 2 2 5 4 9" xfId="32466" xr:uid="{00000000-0005-0000-0000-000005200000}"/>
    <cellStyle name="Comma 2 2 5 5" xfId="6192" xr:uid="{00000000-0005-0000-0000-000006200000}"/>
    <cellStyle name="Comma 2 2 5 5 10" xfId="33680" xr:uid="{00000000-0005-0000-0000-000007200000}"/>
    <cellStyle name="Comma 2 2 5 5 11" xfId="34201" xr:uid="{00000000-0005-0000-0000-000008200000}"/>
    <cellStyle name="Comma 2 2 5 5 12" xfId="36431" xr:uid="{00000000-0005-0000-0000-000009200000}"/>
    <cellStyle name="Comma 2 2 5 5 13" xfId="38933" xr:uid="{00000000-0005-0000-0000-00000A200000}"/>
    <cellStyle name="Comma 2 2 5 5 14" xfId="41964" xr:uid="{00000000-0005-0000-0000-00000B200000}"/>
    <cellStyle name="Comma 2 2 5 5 15" xfId="44606" xr:uid="{00000000-0005-0000-0000-00000C200000}"/>
    <cellStyle name="Comma 2 2 5 5 16" xfId="8092" xr:uid="{00000000-0005-0000-0000-00000D200000}"/>
    <cellStyle name="Comma 2 2 5 5 2" xfId="8779" xr:uid="{00000000-0005-0000-0000-00000E200000}"/>
    <cellStyle name="Comma 2 2 5 5 2 10" xfId="34446" xr:uid="{00000000-0005-0000-0000-00000F200000}"/>
    <cellStyle name="Comma 2 2 5 5 2 11" xfId="36614" xr:uid="{00000000-0005-0000-0000-000010200000}"/>
    <cellStyle name="Comma 2 2 5 5 2 12" xfId="40491" xr:uid="{00000000-0005-0000-0000-000011200000}"/>
    <cellStyle name="Comma 2 2 5 5 2 13" xfId="43292" xr:uid="{00000000-0005-0000-0000-000012200000}"/>
    <cellStyle name="Comma 2 2 5 5 2 14" xfId="44607" xr:uid="{00000000-0005-0000-0000-000013200000}"/>
    <cellStyle name="Comma 2 2 5 5 2 2" xfId="12778" xr:uid="{00000000-0005-0000-0000-000014200000}"/>
    <cellStyle name="Comma 2 2 5 5 2 2 2" xfId="31360" xr:uid="{00000000-0005-0000-0000-000015200000}"/>
    <cellStyle name="Comma 2 2 5 5 2 2 3" xfId="33214" xr:uid="{00000000-0005-0000-0000-000016200000}"/>
    <cellStyle name="Comma 2 2 5 5 2 2 4" xfId="35037" xr:uid="{00000000-0005-0000-0000-000017200000}"/>
    <cellStyle name="Comma 2 2 5 5 2 2 5" xfId="37135" xr:uid="{00000000-0005-0000-0000-000018200000}"/>
    <cellStyle name="Comma 2 2 5 5 2 3" xfId="11995" xr:uid="{00000000-0005-0000-0000-000019200000}"/>
    <cellStyle name="Comma 2 2 5 5 2 4" xfId="15506" xr:uid="{00000000-0005-0000-0000-00001A200000}"/>
    <cellStyle name="Comma 2 2 5 5 2 5" xfId="30004" xr:uid="{00000000-0005-0000-0000-00001B200000}"/>
    <cellStyle name="Comma 2 2 5 5 2 6" xfId="30769" xr:uid="{00000000-0005-0000-0000-00001C200000}"/>
    <cellStyle name="Comma 2 2 5 5 2 7" xfId="31827" xr:uid="{00000000-0005-0000-0000-00001D200000}"/>
    <cellStyle name="Comma 2 2 5 5 2 8" xfId="32469" xr:uid="{00000000-0005-0000-0000-00001E200000}"/>
    <cellStyle name="Comma 2 2 5 5 2 9" xfId="33681" xr:uid="{00000000-0005-0000-0000-00001F200000}"/>
    <cellStyle name="Comma 2 2 5 5 3" xfId="12404" xr:uid="{00000000-0005-0000-0000-000020200000}"/>
    <cellStyle name="Comma 2 2 5 5 3 2" xfId="31115" xr:uid="{00000000-0005-0000-0000-000021200000}"/>
    <cellStyle name="Comma 2 2 5 5 3 3" xfId="32977" xr:uid="{00000000-0005-0000-0000-000022200000}"/>
    <cellStyle name="Comma 2 2 5 5 3 4" xfId="34792" xr:uid="{00000000-0005-0000-0000-000023200000}"/>
    <cellStyle name="Comma 2 2 5 5 3 5" xfId="36898" xr:uid="{00000000-0005-0000-0000-000024200000}"/>
    <cellStyle name="Comma 2 2 5 5 4" xfId="11750" xr:uid="{00000000-0005-0000-0000-000025200000}"/>
    <cellStyle name="Comma 2 2 5 5 5" xfId="15505" xr:uid="{00000000-0005-0000-0000-000026200000}"/>
    <cellStyle name="Comma 2 2 5 5 6" xfId="30003" xr:uid="{00000000-0005-0000-0000-000027200000}"/>
    <cellStyle name="Comma 2 2 5 5 7" xfId="30524" xr:uid="{00000000-0005-0000-0000-000028200000}"/>
    <cellStyle name="Comma 2 2 5 5 8" xfId="31826" xr:uid="{00000000-0005-0000-0000-000029200000}"/>
    <cellStyle name="Comma 2 2 5 5 9" xfId="32468" xr:uid="{00000000-0005-0000-0000-00002A200000}"/>
    <cellStyle name="Comma 2 2 5 6" xfId="8773" xr:uid="{00000000-0005-0000-0000-00002B200000}"/>
    <cellStyle name="Comma 2 2 5 6 10" xfId="34440" xr:uid="{00000000-0005-0000-0000-00002C200000}"/>
    <cellStyle name="Comma 2 2 5 6 11" xfId="36608" xr:uid="{00000000-0005-0000-0000-00002D200000}"/>
    <cellStyle name="Comma 2 2 5 6 12" xfId="39337" xr:uid="{00000000-0005-0000-0000-00002E200000}"/>
    <cellStyle name="Comma 2 2 5 6 13" xfId="42315" xr:uid="{00000000-0005-0000-0000-00002F200000}"/>
    <cellStyle name="Comma 2 2 5 6 14" xfId="44608" xr:uid="{00000000-0005-0000-0000-000030200000}"/>
    <cellStyle name="Comma 2 2 5 6 2" xfId="12772" xr:uid="{00000000-0005-0000-0000-000031200000}"/>
    <cellStyle name="Comma 2 2 5 6 2 2" xfId="31354" xr:uid="{00000000-0005-0000-0000-000032200000}"/>
    <cellStyle name="Comma 2 2 5 6 2 3" xfId="33208" xr:uid="{00000000-0005-0000-0000-000033200000}"/>
    <cellStyle name="Comma 2 2 5 6 2 4" xfId="35031" xr:uid="{00000000-0005-0000-0000-000034200000}"/>
    <cellStyle name="Comma 2 2 5 6 2 5" xfId="37129" xr:uid="{00000000-0005-0000-0000-000035200000}"/>
    <cellStyle name="Comma 2 2 5 6 2 6" xfId="40908" xr:uid="{00000000-0005-0000-0000-000036200000}"/>
    <cellStyle name="Comma 2 2 5 6 2 7" xfId="43643" xr:uid="{00000000-0005-0000-0000-000037200000}"/>
    <cellStyle name="Comma 2 2 5 6 2 8" xfId="44609" xr:uid="{00000000-0005-0000-0000-000038200000}"/>
    <cellStyle name="Comma 2 2 5 6 3" xfId="11989" xr:uid="{00000000-0005-0000-0000-000039200000}"/>
    <cellStyle name="Comma 2 2 5 6 4" xfId="15507" xr:uid="{00000000-0005-0000-0000-00003A200000}"/>
    <cellStyle name="Comma 2 2 5 6 5" xfId="30005" xr:uid="{00000000-0005-0000-0000-00003B200000}"/>
    <cellStyle name="Comma 2 2 5 6 6" xfId="30763" xr:uid="{00000000-0005-0000-0000-00003C200000}"/>
    <cellStyle name="Comma 2 2 5 6 7" xfId="31828" xr:uid="{00000000-0005-0000-0000-00003D200000}"/>
    <cellStyle name="Comma 2 2 5 6 8" xfId="32470" xr:uid="{00000000-0005-0000-0000-00003E200000}"/>
    <cellStyle name="Comma 2 2 5 6 9" xfId="33682" xr:uid="{00000000-0005-0000-0000-00003F200000}"/>
    <cellStyle name="Comma 2 2 5 7" xfId="11513" xr:uid="{00000000-0005-0000-0000-000040200000}"/>
    <cellStyle name="Comma 2 2 5 7 10" xfId="34627" xr:uid="{00000000-0005-0000-0000-000041200000}"/>
    <cellStyle name="Comma 2 2 5 7 11" xfId="36755" xr:uid="{00000000-0005-0000-0000-000042200000}"/>
    <cellStyle name="Comma 2 2 5 7 12" xfId="39798" xr:uid="{00000000-0005-0000-0000-000043200000}"/>
    <cellStyle name="Comma 2 2 5 7 13" xfId="42706" xr:uid="{00000000-0005-0000-0000-000044200000}"/>
    <cellStyle name="Comma 2 2 5 7 14" xfId="44610" xr:uid="{00000000-0005-0000-0000-000045200000}"/>
    <cellStyle name="Comma 2 2 5 7 2" xfId="15134" xr:uid="{00000000-0005-0000-0000-000046200000}"/>
    <cellStyle name="Comma 2 2 5 7 2 2" xfId="31541" xr:uid="{00000000-0005-0000-0000-000047200000}"/>
    <cellStyle name="Comma 2 2 5 7 2 3" xfId="33394" xr:uid="{00000000-0005-0000-0000-000048200000}"/>
    <cellStyle name="Comma 2 2 5 7 2 4" xfId="35218" xr:uid="{00000000-0005-0000-0000-000049200000}"/>
    <cellStyle name="Comma 2 2 5 7 2 5" xfId="37298" xr:uid="{00000000-0005-0000-0000-00004A200000}"/>
    <cellStyle name="Comma 2 2 5 7 3" xfId="12176" xr:uid="{00000000-0005-0000-0000-00004B200000}"/>
    <cellStyle name="Comma 2 2 5 7 4" xfId="15508" xr:uid="{00000000-0005-0000-0000-00004C200000}"/>
    <cellStyle name="Comma 2 2 5 7 5" xfId="30006" xr:uid="{00000000-0005-0000-0000-00004D200000}"/>
    <cellStyle name="Comma 2 2 5 7 6" xfId="30950" xr:uid="{00000000-0005-0000-0000-00004E200000}"/>
    <cellStyle name="Comma 2 2 5 7 7" xfId="31829" xr:uid="{00000000-0005-0000-0000-00004F200000}"/>
    <cellStyle name="Comma 2 2 5 7 8" xfId="32471" xr:uid="{00000000-0005-0000-0000-000050200000}"/>
    <cellStyle name="Comma 2 2 5 7 9" xfId="33683" xr:uid="{00000000-0005-0000-0000-000051200000}"/>
    <cellStyle name="Comma 2 2 5 8" xfId="12252" xr:uid="{00000000-0005-0000-0000-000052200000}"/>
    <cellStyle name="Comma 2 2 5 8 2" xfId="31025" xr:uid="{00000000-0005-0000-0000-000053200000}"/>
    <cellStyle name="Comma 2 2 5 8 3" xfId="32897" xr:uid="{00000000-0005-0000-0000-000054200000}"/>
    <cellStyle name="Comma 2 2 5 8 4" xfId="34702" xr:uid="{00000000-0005-0000-0000-000055200000}"/>
    <cellStyle name="Comma 2 2 5 8 5" xfId="36810" xr:uid="{00000000-0005-0000-0000-000056200000}"/>
    <cellStyle name="Comma 2 2 5 9" xfId="11658" xr:uid="{00000000-0005-0000-0000-000057200000}"/>
    <cellStyle name="Comma 2 2 6" xfId="2769" xr:uid="{00000000-0005-0000-0000-000058200000}"/>
    <cellStyle name="Comma 2 2 6 10" xfId="15509" xr:uid="{00000000-0005-0000-0000-000059200000}"/>
    <cellStyle name="Comma 2 2 6 11" xfId="30007" xr:uid="{00000000-0005-0000-0000-00005A200000}"/>
    <cellStyle name="Comma 2 2 6 12" xfId="30435" xr:uid="{00000000-0005-0000-0000-00005B200000}"/>
    <cellStyle name="Comma 2 2 6 13" xfId="31830" xr:uid="{00000000-0005-0000-0000-00005C200000}"/>
    <cellStyle name="Comma 2 2 6 14" xfId="32472" xr:uid="{00000000-0005-0000-0000-00005D200000}"/>
    <cellStyle name="Comma 2 2 6 15" xfId="33684" xr:uid="{00000000-0005-0000-0000-00005E200000}"/>
    <cellStyle name="Comma 2 2 6 16" xfId="34112" xr:uid="{00000000-0005-0000-0000-00005F200000}"/>
    <cellStyle name="Comma 2 2 6 17" xfId="35331" xr:uid="{00000000-0005-0000-0000-000060200000}"/>
    <cellStyle name="Comma 2 2 6 18" xfId="36194" xr:uid="{00000000-0005-0000-0000-000061200000}"/>
    <cellStyle name="Comma 2 2 6 19" xfId="37432" xr:uid="{00000000-0005-0000-0000-000062200000}"/>
    <cellStyle name="Comma 2 2 6 2" xfId="5080" xr:uid="{00000000-0005-0000-0000-000063200000}"/>
    <cellStyle name="Comma 2 2 6 2 10" xfId="32473" xr:uid="{00000000-0005-0000-0000-000064200000}"/>
    <cellStyle name="Comma 2 2 6 2 11" xfId="33685" xr:uid="{00000000-0005-0000-0000-000065200000}"/>
    <cellStyle name="Comma 2 2 6 2 12" xfId="34150" xr:uid="{00000000-0005-0000-0000-000066200000}"/>
    <cellStyle name="Comma 2 2 6 2 13" xfId="36035" xr:uid="{00000000-0005-0000-0000-000067200000}"/>
    <cellStyle name="Comma 2 2 6 2 14" xfId="36335" xr:uid="{00000000-0005-0000-0000-000068200000}"/>
    <cellStyle name="Comma 2 2 6 2 15" xfId="37506" xr:uid="{00000000-0005-0000-0000-000069200000}"/>
    <cellStyle name="Comma 2 2 6 2 16" xfId="41452" xr:uid="{00000000-0005-0000-0000-00006A200000}"/>
    <cellStyle name="Comma 2 2 6 2 17" xfId="44611" xr:uid="{00000000-0005-0000-0000-00006B200000}"/>
    <cellStyle name="Comma 2 2 6 2 18" xfId="6663" xr:uid="{00000000-0005-0000-0000-00006C200000}"/>
    <cellStyle name="Comma 2 2 6 2 2" xfId="6049" xr:uid="{00000000-0005-0000-0000-00006D200000}"/>
    <cellStyle name="Comma 2 2 6 2 2 10" xfId="33686" xr:uid="{00000000-0005-0000-0000-00006E200000}"/>
    <cellStyle name="Comma 2 2 6 2 2 11" xfId="34302" xr:uid="{00000000-0005-0000-0000-00006F200000}"/>
    <cellStyle name="Comma 2 2 6 2 2 12" xfId="36487" xr:uid="{00000000-0005-0000-0000-000070200000}"/>
    <cellStyle name="Comma 2 2 6 2 2 13" xfId="38814" xr:uid="{00000000-0005-0000-0000-000071200000}"/>
    <cellStyle name="Comma 2 2 6 2 2 14" xfId="41853" xr:uid="{00000000-0005-0000-0000-000072200000}"/>
    <cellStyle name="Comma 2 2 6 2 2 15" xfId="44612" xr:uid="{00000000-0005-0000-0000-000073200000}"/>
    <cellStyle name="Comma 2 2 6 2 2 16" xfId="8539" xr:uid="{00000000-0005-0000-0000-000074200000}"/>
    <cellStyle name="Comma 2 2 6 2 2 2" xfId="8782" xr:uid="{00000000-0005-0000-0000-000075200000}"/>
    <cellStyle name="Comma 2 2 6 2 2 2 10" xfId="34449" xr:uid="{00000000-0005-0000-0000-000076200000}"/>
    <cellStyle name="Comma 2 2 6 2 2 2 11" xfId="36617" xr:uid="{00000000-0005-0000-0000-000077200000}"/>
    <cellStyle name="Comma 2 2 6 2 2 2 12" xfId="40363" xr:uid="{00000000-0005-0000-0000-000078200000}"/>
    <cellStyle name="Comma 2 2 6 2 2 2 13" xfId="43181" xr:uid="{00000000-0005-0000-0000-000079200000}"/>
    <cellStyle name="Comma 2 2 6 2 2 2 14" xfId="44613" xr:uid="{00000000-0005-0000-0000-00007A200000}"/>
    <cellStyle name="Comma 2 2 6 2 2 2 2" xfId="12781" xr:uid="{00000000-0005-0000-0000-00007B200000}"/>
    <cellStyle name="Comma 2 2 6 2 2 2 2 2" xfId="31363" xr:uid="{00000000-0005-0000-0000-00007C200000}"/>
    <cellStyle name="Comma 2 2 6 2 2 2 2 3" xfId="33217" xr:uid="{00000000-0005-0000-0000-00007D200000}"/>
    <cellStyle name="Comma 2 2 6 2 2 2 2 4" xfId="35040" xr:uid="{00000000-0005-0000-0000-00007E200000}"/>
    <cellStyle name="Comma 2 2 6 2 2 2 2 5" xfId="37138" xr:uid="{00000000-0005-0000-0000-00007F200000}"/>
    <cellStyle name="Comma 2 2 6 2 2 2 3" xfId="11998" xr:uid="{00000000-0005-0000-0000-000080200000}"/>
    <cellStyle name="Comma 2 2 6 2 2 2 4" xfId="15512" xr:uid="{00000000-0005-0000-0000-000081200000}"/>
    <cellStyle name="Comma 2 2 6 2 2 2 5" xfId="30010" xr:uid="{00000000-0005-0000-0000-000082200000}"/>
    <cellStyle name="Comma 2 2 6 2 2 2 6" xfId="30772" xr:uid="{00000000-0005-0000-0000-000083200000}"/>
    <cellStyle name="Comma 2 2 6 2 2 2 7" xfId="31833" xr:uid="{00000000-0005-0000-0000-000084200000}"/>
    <cellStyle name="Comma 2 2 6 2 2 2 8" xfId="32475" xr:uid="{00000000-0005-0000-0000-000085200000}"/>
    <cellStyle name="Comma 2 2 6 2 2 2 9" xfId="33687" xr:uid="{00000000-0005-0000-0000-000086200000}"/>
    <cellStyle name="Comma 2 2 6 2 2 3" xfId="12574" xr:uid="{00000000-0005-0000-0000-000087200000}"/>
    <cellStyle name="Comma 2 2 6 2 2 3 2" xfId="31216" xr:uid="{00000000-0005-0000-0000-000088200000}"/>
    <cellStyle name="Comma 2 2 6 2 2 3 3" xfId="33072" xr:uid="{00000000-0005-0000-0000-000089200000}"/>
    <cellStyle name="Comma 2 2 6 2 2 3 4" xfId="34893" xr:uid="{00000000-0005-0000-0000-00008A200000}"/>
    <cellStyle name="Comma 2 2 6 2 2 3 5" xfId="36993" xr:uid="{00000000-0005-0000-0000-00008B200000}"/>
    <cellStyle name="Comma 2 2 6 2 2 4" xfId="11851" xr:uid="{00000000-0005-0000-0000-00008C200000}"/>
    <cellStyle name="Comma 2 2 6 2 2 5" xfId="15511" xr:uid="{00000000-0005-0000-0000-00008D200000}"/>
    <cellStyle name="Comma 2 2 6 2 2 6" xfId="30009" xr:uid="{00000000-0005-0000-0000-00008E200000}"/>
    <cellStyle name="Comma 2 2 6 2 2 7" xfId="30625" xr:uid="{00000000-0005-0000-0000-00008F200000}"/>
    <cellStyle name="Comma 2 2 6 2 2 8" xfId="31832" xr:uid="{00000000-0005-0000-0000-000090200000}"/>
    <cellStyle name="Comma 2 2 6 2 2 9" xfId="32474" xr:uid="{00000000-0005-0000-0000-000091200000}"/>
    <cellStyle name="Comma 2 2 6 2 3" xfId="6369" xr:uid="{00000000-0005-0000-0000-000092200000}"/>
    <cellStyle name="Comma 2 2 6 2 3 10" xfId="34448" xr:uid="{00000000-0005-0000-0000-000093200000}"/>
    <cellStyle name="Comma 2 2 6 2 3 11" xfId="36616" xr:uid="{00000000-0005-0000-0000-000094200000}"/>
    <cellStyle name="Comma 2 2 6 2 3 12" xfId="39034" xr:uid="{00000000-0005-0000-0000-000095200000}"/>
    <cellStyle name="Comma 2 2 6 2 3 13" xfId="42060" xr:uid="{00000000-0005-0000-0000-000096200000}"/>
    <cellStyle name="Comma 2 2 6 2 3 14" xfId="44614" xr:uid="{00000000-0005-0000-0000-000097200000}"/>
    <cellStyle name="Comma 2 2 6 2 3 15" xfId="8781" xr:uid="{00000000-0005-0000-0000-000098200000}"/>
    <cellStyle name="Comma 2 2 6 2 3 2" xfId="12780" xr:uid="{00000000-0005-0000-0000-000099200000}"/>
    <cellStyle name="Comma 2 2 6 2 3 2 2" xfId="31362" xr:uid="{00000000-0005-0000-0000-00009A200000}"/>
    <cellStyle name="Comma 2 2 6 2 3 2 3" xfId="33216" xr:uid="{00000000-0005-0000-0000-00009B200000}"/>
    <cellStyle name="Comma 2 2 6 2 3 2 4" xfId="35039" xr:uid="{00000000-0005-0000-0000-00009C200000}"/>
    <cellStyle name="Comma 2 2 6 2 3 2 5" xfId="37137" xr:uid="{00000000-0005-0000-0000-00009D200000}"/>
    <cellStyle name="Comma 2 2 6 2 3 2 6" xfId="40602" xr:uid="{00000000-0005-0000-0000-00009E200000}"/>
    <cellStyle name="Comma 2 2 6 2 3 2 7" xfId="43388" xr:uid="{00000000-0005-0000-0000-00009F200000}"/>
    <cellStyle name="Comma 2 2 6 2 3 2 8" xfId="44615" xr:uid="{00000000-0005-0000-0000-0000A0200000}"/>
    <cellStyle name="Comma 2 2 6 2 3 3" xfId="11997" xr:uid="{00000000-0005-0000-0000-0000A1200000}"/>
    <cellStyle name="Comma 2 2 6 2 3 4" xfId="15513" xr:uid="{00000000-0005-0000-0000-0000A2200000}"/>
    <cellStyle name="Comma 2 2 6 2 3 5" xfId="30011" xr:uid="{00000000-0005-0000-0000-0000A3200000}"/>
    <cellStyle name="Comma 2 2 6 2 3 6" xfId="30771" xr:uid="{00000000-0005-0000-0000-0000A4200000}"/>
    <cellStyle name="Comma 2 2 6 2 3 7" xfId="31834" xr:uid="{00000000-0005-0000-0000-0000A5200000}"/>
    <cellStyle name="Comma 2 2 6 2 3 8" xfId="32476" xr:uid="{00000000-0005-0000-0000-0000A6200000}"/>
    <cellStyle name="Comma 2 2 6 2 3 9" xfId="33688" xr:uid="{00000000-0005-0000-0000-0000A7200000}"/>
    <cellStyle name="Comma 2 2 6 2 4" xfId="12291" xr:uid="{00000000-0005-0000-0000-0000A8200000}"/>
    <cellStyle name="Comma 2 2 6 2 4 2" xfId="31064" xr:uid="{00000000-0005-0000-0000-0000A9200000}"/>
    <cellStyle name="Comma 2 2 6 2 4 2 2" xfId="41219" xr:uid="{00000000-0005-0000-0000-0000AA200000}"/>
    <cellStyle name="Comma 2 2 6 2 4 2 3" xfId="43899" xr:uid="{00000000-0005-0000-0000-0000AB200000}"/>
    <cellStyle name="Comma 2 2 6 2 4 2 4" xfId="44616" xr:uid="{00000000-0005-0000-0000-0000AC200000}"/>
    <cellStyle name="Comma 2 2 6 2 4 3" xfId="32932" xr:uid="{00000000-0005-0000-0000-0000AD200000}"/>
    <cellStyle name="Comma 2 2 6 2 4 4" xfId="34741" xr:uid="{00000000-0005-0000-0000-0000AE200000}"/>
    <cellStyle name="Comma 2 2 6 2 4 5" xfId="36849" xr:uid="{00000000-0005-0000-0000-0000AF200000}"/>
    <cellStyle name="Comma 2 2 6 2 4 6" xfId="39636" xr:uid="{00000000-0005-0000-0000-0000B0200000}"/>
    <cellStyle name="Comma 2 2 6 2 4 7" xfId="42571" xr:uid="{00000000-0005-0000-0000-0000B1200000}"/>
    <cellStyle name="Comma 2 2 6 2 4 8" xfId="44617" xr:uid="{00000000-0005-0000-0000-0000B2200000}"/>
    <cellStyle name="Comma 2 2 6 2 5" xfId="11698" xr:uid="{00000000-0005-0000-0000-0000B3200000}"/>
    <cellStyle name="Comma 2 2 6 2 5 2" xfId="39881" xr:uid="{00000000-0005-0000-0000-0000B4200000}"/>
    <cellStyle name="Comma 2 2 6 2 5 3" xfId="42780" xr:uid="{00000000-0005-0000-0000-0000B5200000}"/>
    <cellStyle name="Comma 2 2 6 2 5 4" xfId="44618" xr:uid="{00000000-0005-0000-0000-0000B6200000}"/>
    <cellStyle name="Comma 2 2 6 2 6" xfId="15510" xr:uid="{00000000-0005-0000-0000-0000B7200000}"/>
    <cellStyle name="Comma 2 2 6 2 7" xfId="30008" xr:uid="{00000000-0005-0000-0000-0000B8200000}"/>
    <cellStyle name="Comma 2 2 6 2 8" xfId="30473" xr:uid="{00000000-0005-0000-0000-0000B9200000}"/>
    <cellStyle name="Comma 2 2 6 2 9" xfId="31831" xr:uid="{00000000-0005-0000-0000-0000BA200000}"/>
    <cellStyle name="Comma 2 2 6 20" xfId="41379" xr:uid="{00000000-0005-0000-0000-0000BB200000}"/>
    <cellStyle name="Comma 2 2 6 21" xfId="44619" xr:uid="{00000000-0005-0000-0000-0000BC200000}"/>
    <cellStyle name="Comma 2 2 6 22" xfId="6551" xr:uid="{00000000-0005-0000-0000-0000BD200000}"/>
    <cellStyle name="Comma 2 2 6 3" xfId="4421" xr:uid="{00000000-0005-0000-0000-0000BE200000}"/>
    <cellStyle name="Comma 2 2 6 3 10" xfId="32477" xr:uid="{00000000-0005-0000-0000-0000BF200000}"/>
    <cellStyle name="Comma 2 2 6 3 11" xfId="33689" xr:uid="{00000000-0005-0000-0000-0000C0200000}"/>
    <cellStyle name="Comma 2 2 6 3 12" xfId="34176" xr:uid="{00000000-0005-0000-0000-0000C1200000}"/>
    <cellStyle name="Comma 2 2 6 3 13" xfId="35604" xr:uid="{00000000-0005-0000-0000-0000C2200000}"/>
    <cellStyle name="Comma 2 2 6 3 14" xfId="36166" xr:uid="{00000000-0005-0000-0000-0000C3200000}"/>
    <cellStyle name="Comma 2 2 6 3 15" xfId="38673" xr:uid="{00000000-0005-0000-0000-0000C4200000}"/>
    <cellStyle name="Comma 2 2 6 3 16" xfId="41713" xr:uid="{00000000-0005-0000-0000-0000C5200000}"/>
    <cellStyle name="Comma 2 2 6 3 17" xfId="44620" xr:uid="{00000000-0005-0000-0000-0000C6200000}"/>
    <cellStyle name="Comma 2 2 6 3 18" xfId="7339" xr:uid="{00000000-0005-0000-0000-0000C7200000}"/>
    <cellStyle name="Comma 2 2 6 3 2" xfId="5872" xr:uid="{00000000-0005-0000-0000-0000C8200000}"/>
    <cellStyle name="Comma 2 2 6 3 2 10" xfId="33690" xr:uid="{00000000-0005-0000-0000-0000C9200000}"/>
    <cellStyle name="Comma 2 2 6 3 2 11" xfId="34328" xr:uid="{00000000-0005-0000-0000-0000CA200000}"/>
    <cellStyle name="Comma 2 2 6 3 2 12" xfId="36500" xr:uid="{00000000-0005-0000-0000-0000CB200000}"/>
    <cellStyle name="Comma 2 2 6 3 2 13" xfId="39163" xr:uid="{00000000-0005-0000-0000-0000CC200000}"/>
    <cellStyle name="Comma 2 2 6 3 2 14" xfId="42171" xr:uid="{00000000-0005-0000-0000-0000CD200000}"/>
    <cellStyle name="Comma 2 2 6 3 2 15" xfId="44621" xr:uid="{00000000-0005-0000-0000-0000CE200000}"/>
    <cellStyle name="Comma 2 2 6 3 2 16" xfId="8598" xr:uid="{00000000-0005-0000-0000-0000CF200000}"/>
    <cellStyle name="Comma 2 2 6 3 2 2" xfId="8784" xr:uid="{00000000-0005-0000-0000-0000D0200000}"/>
    <cellStyle name="Comma 2 2 6 3 2 2 10" xfId="34451" xr:uid="{00000000-0005-0000-0000-0000D1200000}"/>
    <cellStyle name="Comma 2 2 6 3 2 2 11" xfId="36619" xr:uid="{00000000-0005-0000-0000-0000D2200000}"/>
    <cellStyle name="Comma 2 2 6 3 2 2 12" xfId="40736" xr:uid="{00000000-0005-0000-0000-0000D3200000}"/>
    <cellStyle name="Comma 2 2 6 3 2 2 13" xfId="43499" xr:uid="{00000000-0005-0000-0000-0000D4200000}"/>
    <cellStyle name="Comma 2 2 6 3 2 2 14" xfId="44622" xr:uid="{00000000-0005-0000-0000-0000D5200000}"/>
    <cellStyle name="Comma 2 2 6 3 2 2 2" xfId="12783" xr:uid="{00000000-0005-0000-0000-0000D6200000}"/>
    <cellStyle name="Comma 2 2 6 3 2 2 2 2" xfId="31365" xr:uid="{00000000-0005-0000-0000-0000D7200000}"/>
    <cellStyle name="Comma 2 2 6 3 2 2 2 3" xfId="33219" xr:uid="{00000000-0005-0000-0000-0000D8200000}"/>
    <cellStyle name="Comma 2 2 6 3 2 2 2 4" xfId="35042" xr:uid="{00000000-0005-0000-0000-0000D9200000}"/>
    <cellStyle name="Comma 2 2 6 3 2 2 2 5" xfId="37140" xr:uid="{00000000-0005-0000-0000-0000DA200000}"/>
    <cellStyle name="Comma 2 2 6 3 2 2 3" xfId="12000" xr:uid="{00000000-0005-0000-0000-0000DB200000}"/>
    <cellStyle name="Comma 2 2 6 3 2 2 4" xfId="15516" xr:uid="{00000000-0005-0000-0000-0000DC200000}"/>
    <cellStyle name="Comma 2 2 6 3 2 2 5" xfId="30014" xr:uid="{00000000-0005-0000-0000-0000DD200000}"/>
    <cellStyle name="Comma 2 2 6 3 2 2 6" xfId="30774" xr:uid="{00000000-0005-0000-0000-0000DE200000}"/>
    <cellStyle name="Comma 2 2 6 3 2 2 7" xfId="31837" xr:uid="{00000000-0005-0000-0000-0000DF200000}"/>
    <cellStyle name="Comma 2 2 6 3 2 2 8" xfId="32479" xr:uid="{00000000-0005-0000-0000-0000E0200000}"/>
    <cellStyle name="Comma 2 2 6 3 2 2 9" xfId="33691" xr:uid="{00000000-0005-0000-0000-0000E1200000}"/>
    <cellStyle name="Comma 2 2 6 3 2 3" xfId="12604" xr:uid="{00000000-0005-0000-0000-0000E2200000}"/>
    <cellStyle name="Comma 2 2 6 3 2 3 2" xfId="31242" xr:uid="{00000000-0005-0000-0000-0000E3200000}"/>
    <cellStyle name="Comma 2 2 6 3 2 3 3" xfId="33096" xr:uid="{00000000-0005-0000-0000-0000E4200000}"/>
    <cellStyle name="Comma 2 2 6 3 2 3 4" xfId="34919" xr:uid="{00000000-0005-0000-0000-0000E5200000}"/>
    <cellStyle name="Comma 2 2 6 3 2 3 5" xfId="37017" xr:uid="{00000000-0005-0000-0000-0000E6200000}"/>
    <cellStyle name="Comma 2 2 6 3 2 4" xfId="11877" xr:uid="{00000000-0005-0000-0000-0000E7200000}"/>
    <cellStyle name="Comma 2 2 6 3 2 5" xfId="15515" xr:uid="{00000000-0005-0000-0000-0000E8200000}"/>
    <cellStyle name="Comma 2 2 6 3 2 6" xfId="30013" xr:uid="{00000000-0005-0000-0000-0000E9200000}"/>
    <cellStyle name="Comma 2 2 6 3 2 7" xfId="30651" xr:uid="{00000000-0005-0000-0000-0000EA200000}"/>
    <cellStyle name="Comma 2 2 6 3 2 8" xfId="31836" xr:uid="{00000000-0005-0000-0000-0000EB200000}"/>
    <cellStyle name="Comma 2 2 6 3 2 9" xfId="32478" xr:uid="{00000000-0005-0000-0000-0000EC200000}"/>
    <cellStyle name="Comma 2 2 6 3 3" xfId="8783" xr:uid="{00000000-0005-0000-0000-0000ED200000}"/>
    <cellStyle name="Comma 2 2 6 3 3 10" xfId="34450" xr:uid="{00000000-0005-0000-0000-0000EE200000}"/>
    <cellStyle name="Comma 2 2 6 3 3 11" xfId="36618" xr:uid="{00000000-0005-0000-0000-0000EF200000}"/>
    <cellStyle name="Comma 2 2 6 3 3 12" xfId="39471" xr:uid="{00000000-0005-0000-0000-0000F0200000}"/>
    <cellStyle name="Comma 2 2 6 3 3 13" xfId="42431" xr:uid="{00000000-0005-0000-0000-0000F1200000}"/>
    <cellStyle name="Comma 2 2 6 3 3 14" xfId="44623" xr:uid="{00000000-0005-0000-0000-0000F2200000}"/>
    <cellStyle name="Comma 2 2 6 3 3 2" xfId="12782" xr:uid="{00000000-0005-0000-0000-0000F3200000}"/>
    <cellStyle name="Comma 2 2 6 3 3 2 2" xfId="31364" xr:uid="{00000000-0005-0000-0000-0000F4200000}"/>
    <cellStyle name="Comma 2 2 6 3 3 2 3" xfId="33218" xr:uid="{00000000-0005-0000-0000-0000F5200000}"/>
    <cellStyle name="Comma 2 2 6 3 3 2 4" xfId="35041" xr:uid="{00000000-0005-0000-0000-0000F6200000}"/>
    <cellStyle name="Comma 2 2 6 3 3 2 5" xfId="37139" xr:uid="{00000000-0005-0000-0000-0000F7200000}"/>
    <cellStyle name="Comma 2 2 6 3 3 2 6" xfId="41047" xr:uid="{00000000-0005-0000-0000-0000F8200000}"/>
    <cellStyle name="Comma 2 2 6 3 3 2 7" xfId="43759" xr:uid="{00000000-0005-0000-0000-0000F9200000}"/>
    <cellStyle name="Comma 2 2 6 3 3 2 8" xfId="44624" xr:uid="{00000000-0005-0000-0000-0000FA200000}"/>
    <cellStyle name="Comma 2 2 6 3 3 3" xfId="11999" xr:uid="{00000000-0005-0000-0000-0000FB200000}"/>
    <cellStyle name="Comma 2 2 6 3 3 4" xfId="15517" xr:uid="{00000000-0005-0000-0000-0000FC200000}"/>
    <cellStyle name="Comma 2 2 6 3 3 5" xfId="30015" xr:uid="{00000000-0005-0000-0000-0000FD200000}"/>
    <cellStyle name="Comma 2 2 6 3 3 6" xfId="30773" xr:uid="{00000000-0005-0000-0000-0000FE200000}"/>
    <cellStyle name="Comma 2 2 6 3 3 7" xfId="31838" xr:uid="{00000000-0005-0000-0000-0000FF200000}"/>
    <cellStyle name="Comma 2 2 6 3 3 8" xfId="32480" xr:uid="{00000000-0005-0000-0000-000000210000}"/>
    <cellStyle name="Comma 2 2 6 3 3 9" xfId="33692" xr:uid="{00000000-0005-0000-0000-000001210000}"/>
    <cellStyle name="Comma 2 2 6 3 4" xfId="12318" xr:uid="{00000000-0005-0000-0000-000002210000}"/>
    <cellStyle name="Comma 2 2 6 3 4 2" xfId="31090" xr:uid="{00000000-0005-0000-0000-000003210000}"/>
    <cellStyle name="Comma 2 2 6 3 4 3" xfId="32952" xr:uid="{00000000-0005-0000-0000-000004210000}"/>
    <cellStyle name="Comma 2 2 6 3 4 4" xfId="34767" xr:uid="{00000000-0005-0000-0000-000005210000}"/>
    <cellStyle name="Comma 2 2 6 3 4 5" xfId="36873" xr:uid="{00000000-0005-0000-0000-000006210000}"/>
    <cellStyle name="Comma 2 2 6 3 4 6" xfId="40192" xr:uid="{00000000-0005-0000-0000-000007210000}"/>
    <cellStyle name="Comma 2 2 6 3 4 7" xfId="43041" xr:uid="{00000000-0005-0000-0000-000008210000}"/>
    <cellStyle name="Comma 2 2 6 3 4 8" xfId="44625" xr:uid="{00000000-0005-0000-0000-000009210000}"/>
    <cellStyle name="Comma 2 2 6 3 5" xfId="11725" xr:uid="{00000000-0005-0000-0000-00000A210000}"/>
    <cellStyle name="Comma 2 2 6 3 6" xfId="15514" xr:uid="{00000000-0005-0000-0000-00000B210000}"/>
    <cellStyle name="Comma 2 2 6 3 7" xfId="30012" xr:uid="{00000000-0005-0000-0000-00000C210000}"/>
    <cellStyle name="Comma 2 2 6 3 8" xfId="30499" xr:uid="{00000000-0005-0000-0000-00000D210000}"/>
    <cellStyle name="Comma 2 2 6 3 9" xfId="31835" xr:uid="{00000000-0005-0000-0000-00000E210000}"/>
    <cellStyle name="Comma 2 2 6 4" xfId="5734" xr:uid="{00000000-0005-0000-0000-00000F210000}"/>
    <cellStyle name="Comma 2 2 6 4 10" xfId="33693" xr:uid="{00000000-0005-0000-0000-000010210000}"/>
    <cellStyle name="Comma 2 2 6 4 11" xfId="34263" xr:uid="{00000000-0005-0000-0000-000011210000}"/>
    <cellStyle name="Comma 2 2 6 4 12" xfId="36464" xr:uid="{00000000-0005-0000-0000-000012210000}"/>
    <cellStyle name="Comma 2 2 6 4 13" xfId="38101" xr:uid="{00000000-0005-0000-0000-000013210000}"/>
    <cellStyle name="Comma 2 2 6 4 14" xfId="41598" xr:uid="{00000000-0005-0000-0000-000014210000}"/>
    <cellStyle name="Comma 2 2 6 4 15" xfId="44626" xr:uid="{00000000-0005-0000-0000-000015210000}"/>
    <cellStyle name="Comma 2 2 6 4 16" xfId="8426" xr:uid="{00000000-0005-0000-0000-000016210000}"/>
    <cellStyle name="Comma 2 2 6 4 2" xfId="8785" xr:uid="{00000000-0005-0000-0000-000017210000}"/>
    <cellStyle name="Comma 2 2 6 4 2 10" xfId="34452" xr:uid="{00000000-0005-0000-0000-000018210000}"/>
    <cellStyle name="Comma 2 2 6 4 2 11" xfId="36620" xr:uid="{00000000-0005-0000-0000-000019210000}"/>
    <cellStyle name="Comma 2 2 6 4 2 12" xfId="40057" xr:uid="{00000000-0005-0000-0000-00001A210000}"/>
    <cellStyle name="Comma 2 2 6 4 2 13" xfId="42926" xr:uid="{00000000-0005-0000-0000-00001B210000}"/>
    <cellStyle name="Comma 2 2 6 4 2 14" xfId="44627" xr:uid="{00000000-0005-0000-0000-00001C210000}"/>
    <cellStyle name="Comma 2 2 6 4 2 2" xfId="12784" xr:uid="{00000000-0005-0000-0000-00001D210000}"/>
    <cellStyle name="Comma 2 2 6 4 2 2 2" xfId="31366" xr:uid="{00000000-0005-0000-0000-00001E210000}"/>
    <cellStyle name="Comma 2 2 6 4 2 2 3" xfId="33220" xr:uid="{00000000-0005-0000-0000-00001F210000}"/>
    <cellStyle name="Comma 2 2 6 4 2 2 4" xfId="35043" xr:uid="{00000000-0005-0000-0000-000020210000}"/>
    <cellStyle name="Comma 2 2 6 4 2 2 5" xfId="37141" xr:uid="{00000000-0005-0000-0000-000021210000}"/>
    <cellStyle name="Comma 2 2 6 4 2 3" xfId="12001" xr:uid="{00000000-0005-0000-0000-000022210000}"/>
    <cellStyle name="Comma 2 2 6 4 2 4" xfId="15519" xr:uid="{00000000-0005-0000-0000-000023210000}"/>
    <cellStyle name="Comma 2 2 6 4 2 5" xfId="30017" xr:uid="{00000000-0005-0000-0000-000024210000}"/>
    <cellStyle name="Comma 2 2 6 4 2 6" xfId="30775" xr:uid="{00000000-0005-0000-0000-000025210000}"/>
    <cellStyle name="Comma 2 2 6 4 2 7" xfId="31840" xr:uid="{00000000-0005-0000-0000-000026210000}"/>
    <cellStyle name="Comma 2 2 6 4 2 8" xfId="32482" xr:uid="{00000000-0005-0000-0000-000027210000}"/>
    <cellStyle name="Comma 2 2 6 4 2 9" xfId="33694" xr:uid="{00000000-0005-0000-0000-000028210000}"/>
    <cellStyle name="Comma 2 2 6 4 3" xfId="12534" xr:uid="{00000000-0005-0000-0000-000029210000}"/>
    <cellStyle name="Comma 2 2 6 4 3 2" xfId="31177" xr:uid="{00000000-0005-0000-0000-00002A210000}"/>
    <cellStyle name="Comma 2 2 6 4 3 3" xfId="33035" xr:uid="{00000000-0005-0000-0000-00002B210000}"/>
    <cellStyle name="Comma 2 2 6 4 3 4" xfId="34854" xr:uid="{00000000-0005-0000-0000-00002C210000}"/>
    <cellStyle name="Comma 2 2 6 4 3 5" xfId="36956" xr:uid="{00000000-0005-0000-0000-00002D210000}"/>
    <cellStyle name="Comma 2 2 6 4 4" xfId="11812" xr:uid="{00000000-0005-0000-0000-00002E210000}"/>
    <cellStyle name="Comma 2 2 6 4 5" xfId="15518" xr:uid="{00000000-0005-0000-0000-00002F210000}"/>
    <cellStyle name="Comma 2 2 6 4 6" xfId="30016" xr:uid="{00000000-0005-0000-0000-000030210000}"/>
    <cellStyle name="Comma 2 2 6 4 7" xfId="30586" xr:uid="{00000000-0005-0000-0000-000031210000}"/>
    <cellStyle name="Comma 2 2 6 4 8" xfId="31839" xr:uid="{00000000-0005-0000-0000-000032210000}"/>
    <cellStyle name="Comma 2 2 6 4 9" xfId="32481" xr:uid="{00000000-0005-0000-0000-000033210000}"/>
    <cellStyle name="Comma 2 2 6 5" xfId="6193" xr:uid="{00000000-0005-0000-0000-000034210000}"/>
    <cellStyle name="Comma 2 2 6 5 10" xfId="33695" xr:uid="{00000000-0005-0000-0000-000035210000}"/>
    <cellStyle name="Comma 2 2 6 5 11" xfId="34202" xr:uid="{00000000-0005-0000-0000-000036210000}"/>
    <cellStyle name="Comma 2 2 6 5 12" xfId="36432" xr:uid="{00000000-0005-0000-0000-000037210000}"/>
    <cellStyle name="Comma 2 2 6 5 13" xfId="38934" xr:uid="{00000000-0005-0000-0000-000038210000}"/>
    <cellStyle name="Comma 2 2 6 5 14" xfId="41965" xr:uid="{00000000-0005-0000-0000-000039210000}"/>
    <cellStyle name="Comma 2 2 6 5 15" xfId="44628" xr:uid="{00000000-0005-0000-0000-00003A210000}"/>
    <cellStyle name="Comma 2 2 6 5 16" xfId="8093" xr:uid="{00000000-0005-0000-0000-00003B210000}"/>
    <cellStyle name="Comma 2 2 6 5 2" xfId="8786" xr:uid="{00000000-0005-0000-0000-00003C210000}"/>
    <cellStyle name="Comma 2 2 6 5 2 10" xfId="34453" xr:uid="{00000000-0005-0000-0000-00003D210000}"/>
    <cellStyle name="Comma 2 2 6 5 2 11" xfId="36621" xr:uid="{00000000-0005-0000-0000-00003E210000}"/>
    <cellStyle name="Comma 2 2 6 5 2 12" xfId="40492" xr:uid="{00000000-0005-0000-0000-00003F210000}"/>
    <cellStyle name="Comma 2 2 6 5 2 13" xfId="43293" xr:uid="{00000000-0005-0000-0000-000040210000}"/>
    <cellStyle name="Comma 2 2 6 5 2 14" xfId="44629" xr:uid="{00000000-0005-0000-0000-000041210000}"/>
    <cellStyle name="Comma 2 2 6 5 2 2" xfId="12785" xr:uid="{00000000-0005-0000-0000-000042210000}"/>
    <cellStyle name="Comma 2 2 6 5 2 2 2" xfId="31367" xr:uid="{00000000-0005-0000-0000-000043210000}"/>
    <cellStyle name="Comma 2 2 6 5 2 2 3" xfId="33221" xr:uid="{00000000-0005-0000-0000-000044210000}"/>
    <cellStyle name="Comma 2 2 6 5 2 2 4" xfId="35044" xr:uid="{00000000-0005-0000-0000-000045210000}"/>
    <cellStyle name="Comma 2 2 6 5 2 2 5" xfId="37142" xr:uid="{00000000-0005-0000-0000-000046210000}"/>
    <cellStyle name="Comma 2 2 6 5 2 3" xfId="12002" xr:uid="{00000000-0005-0000-0000-000047210000}"/>
    <cellStyle name="Comma 2 2 6 5 2 4" xfId="15521" xr:uid="{00000000-0005-0000-0000-000048210000}"/>
    <cellStyle name="Comma 2 2 6 5 2 5" xfId="30019" xr:uid="{00000000-0005-0000-0000-000049210000}"/>
    <cellStyle name="Comma 2 2 6 5 2 6" xfId="30776" xr:uid="{00000000-0005-0000-0000-00004A210000}"/>
    <cellStyle name="Comma 2 2 6 5 2 7" xfId="31842" xr:uid="{00000000-0005-0000-0000-00004B210000}"/>
    <cellStyle name="Comma 2 2 6 5 2 8" xfId="32484" xr:uid="{00000000-0005-0000-0000-00004C210000}"/>
    <cellStyle name="Comma 2 2 6 5 2 9" xfId="33696" xr:uid="{00000000-0005-0000-0000-00004D210000}"/>
    <cellStyle name="Comma 2 2 6 5 3" xfId="12405" xr:uid="{00000000-0005-0000-0000-00004E210000}"/>
    <cellStyle name="Comma 2 2 6 5 3 2" xfId="31116" xr:uid="{00000000-0005-0000-0000-00004F210000}"/>
    <cellStyle name="Comma 2 2 6 5 3 3" xfId="32978" xr:uid="{00000000-0005-0000-0000-000050210000}"/>
    <cellStyle name="Comma 2 2 6 5 3 4" xfId="34793" xr:uid="{00000000-0005-0000-0000-000051210000}"/>
    <cellStyle name="Comma 2 2 6 5 3 5" xfId="36899" xr:uid="{00000000-0005-0000-0000-000052210000}"/>
    <cellStyle name="Comma 2 2 6 5 4" xfId="11751" xr:uid="{00000000-0005-0000-0000-000053210000}"/>
    <cellStyle name="Comma 2 2 6 5 5" xfId="15520" xr:uid="{00000000-0005-0000-0000-000054210000}"/>
    <cellStyle name="Comma 2 2 6 5 6" xfId="30018" xr:uid="{00000000-0005-0000-0000-000055210000}"/>
    <cellStyle name="Comma 2 2 6 5 7" xfId="30525" xr:uid="{00000000-0005-0000-0000-000056210000}"/>
    <cellStyle name="Comma 2 2 6 5 8" xfId="31841" xr:uid="{00000000-0005-0000-0000-000057210000}"/>
    <cellStyle name="Comma 2 2 6 5 9" xfId="32483" xr:uid="{00000000-0005-0000-0000-000058210000}"/>
    <cellStyle name="Comma 2 2 6 6" xfId="8780" xr:uid="{00000000-0005-0000-0000-000059210000}"/>
    <cellStyle name="Comma 2 2 6 6 10" xfId="34447" xr:uid="{00000000-0005-0000-0000-00005A210000}"/>
    <cellStyle name="Comma 2 2 6 6 11" xfId="36615" xr:uid="{00000000-0005-0000-0000-00005B210000}"/>
    <cellStyle name="Comma 2 2 6 6 12" xfId="39338" xr:uid="{00000000-0005-0000-0000-00005C210000}"/>
    <cellStyle name="Comma 2 2 6 6 13" xfId="42316" xr:uid="{00000000-0005-0000-0000-00005D210000}"/>
    <cellStyle name="Comma 2 2 6 6 14" xfId="44630" xr:uid="{00000000-0005-0000-0000-00005E210000}"/>
    <cellStyle name="Comma 2 2 6 6 2" xfId="12779" xr:uid="{00000000-0005-0000-0000-00005F210000}"/>
    <cellStyle name="Comma 2 2 6 6 2 2" xfId="31361" xr:uid="{00000000-0005-0000-0000-000060210000}"/>
    <cellStyle name="Comma 2 2 6 6 2 3" xfId="33215" xr:uid="{00000000-0005-0000-0000-000061210000}"/>
    <cellStyle name="Comma 2 2 6 6 2 4" xfId="35038" xr:uid="{00000000-0005-0000-0000-000062210000}"/>
    <cellStyle name="Comma 2 2 6 6 2 5" xfId="37136" xr:uid="{00000000-0005-0000-0000-000063210000}"/>
    <cellStyle name="Comma 2 2 6 6 2 6" xfId="40909" xr:uid="{00000000-0005-0000-0000-000064210000}"/>
    <cellStyle name="Comma 2 2 6 6 2 7" xfId="43644" xr:uid="{00000000-0005-0000-0000-000065210000}"/>
    <cellStyle name="Comma 2 2 6 6 2 8" xfId="44631" xr:uid="{00000000-0005-0000-0000-000066210000}"/>
    <cellStyle name="Comma 2 2 6 6 3" xfId="11996" xr:uid="{00000000-0005-0000-0000-000067210000}"/>
    <cellStyle name="Comma 2 2 6 6 4" xfId="15522" xr:uid="{00000000-0005-0000-0000-000068210000}"/>
    <cellStyle name="Comma 2 2 6 6 5" xfId="30020" xr:uid="{00000000-0005-0000-0000-000069210000}"/>
    <cellStyle name="Comma 2 2 6 6 6" xfId="30770" xr:uid="{00000000-0005-0000-0000-00006A210000}"/>
    <cellStyle name="Comma 2 2 6 6 7" xfId="31843" xr:uid="{00000000-0005-0000-0000-00006B210000}"/>
    <cellStyle name="Comma 2 2 6 6 8" xfId="32485" xr:uid="{00000000-0005-0000-0000-00006C210000}"/>
    <cellStyle name="Comma 2 2 6 6 9" xfId="33697" xr:uid="{00000000-0005-0000-0000-00006D210000}"/>
    <cellStyle name="Comma 2 2 6 7" xfId="11514" xr:uid="{00000000-0005-0000-0000-00006E210000}"/>
    <cellStyle name="Comma 2 2 6 7 10" xfId="34628" xr:uid="{00000000-0005-0000-0000-00006F210000}"/>
    <cellStyle name="Comma 2 2 6 7 11" xfId="36756" xr:uid="{00000000-0005-0000-0000-000070210000}"/>
    <cellStyle name="Comma 2 2 6 7 12" xfId="39799" xr:uid="{00000000-0005-0000-0000-000071210000}"/>
    <cellStyle name="Comma 2 2 6 7 13" xfId="42707" xr:uid="{00000000-0005-0000-0000-000072210000}"/>
    <cellStyle name="Comma 2 2 6 7 14" xfId="44632" xr:uid="{00000000-0005-0000-0000-000073210000}"/>
    <cellStyle name="Comma 2 2 6 7 2" xfId="15135" xr:uid="{00000000-0005-0000-0000-000074210000}"/>
    <cellStyle name="Comma 2 2 6 7 2 2" xfId="31542" xr:uid="{00000000-0005-0000-0000-000075210000}"/>
    <cellStyle name="Comma 2 2 6 7 2 3" xfId="33395" xr:uid="{00000000-0005-0000-0000-000076210000}"/>
    <cellStyle name="Comma 2 2 6 7 2 4" xfId="35219" xr:uid="{00000000-0005-0000-0000-000077210000}"/>
    <cellStyle name="Comma 2 2 6 7 2 5" xfId="37299" xr:uid="{00000000-0005-0000-0000-000078210000}"/>
    <cellStyle name="Comma 2 2 6 7 3" xfId="12177" xr:uid="{00000000-0005-0000-0000-000079210000}"/>
    <cellStyle name="Comma 2 2 6 7 4" xfId="15523" xr:uid="{00000000-0005-0000-0000-00007A210000}"/>
    <cellStyle name="Comma 2 2 6 7 5" xfId="30021" xr:uid="{00000000-0005-0000-0000-00007B210000}"/>
    <cellStyle name="Comma 2 2 6 7 6" xfId="30951" xr:uid="{00000000-0005-0000-0000-00007C210000}"/>
    <cellStyle name="Comma 2 2 6 7 7" xfId="31844" xr:uid="{00000000-0005-0000-0000-00007D210000}"/>
    <cellStyle name="Comma 2 2 6 7 8" xfId="32486" xr:uid="{00000000-0005-0000-0000-00007E210000}"/>
    <cellStyle name="Comma 2 2 6 7 9" xfId="33698" xr:uid="{00000000-0005-0000-0000-00007F210000}"/>
    <cellStyle name="Comma 2 2 6 8" xfId="12253" xr:uid="{00000000-0005-0000-0000-000080210000}"/>
    <cellStyle name="Comma 2 2 6 8 2" xfId="31026" xr:uid="{00000000-0005-0000-0000-000081210000}"/>
    <cellStyle name="Comma 2 2 6 8 3" xfId="32898" xr:uid="{00000000-0005-0000-0000-000082210000}"/>
    <cellStyle name="Comma 2 2 6 8 4" xfId="34703" xr:uid="{00000000-0005-0000-0000-000083210000}"/>
    <cellStyle name="Comma 2 2 6 8 5" xfId="36811" xr:uid="{00000000-0005-0000-0000-000084210000}"/>
    <cellStyle name="Comma 2 2 6 9" xfId="11659" xr:uid="{00000000-0005-0000-0000-000085210000}"/>
    <cellStyle name="Comma 2 2 7" xfId="2770" xr:uid="{00000000-0005-0000-0000-000086210000}"/>
    <cellStyle name="Comma 2 2 7 10" xfId="30022" xr:uid="{00000000-0005-0000-0000-000087210000}"/>
    <cellStyle name="Comma 2 2 7 11" xfId="30436" xr:uid="{00000000-0005-0000-0000-000088210000}"/>
    <cellStyle name="Comma 2 2 7 12" xfId="31845" xr:uid="{00000000-0005-0000-0000-000089210000}"/>
    <cellStyle name="Comma 2 2 7 13" xfId="32487" xr:uid="{00000000-0005-0000-0000-00008A210000}"/>
    <cellStyle name="Comma 2 2 7 14" xfId="33699" xr:uid="{00000000-0005-0000-0000-00008B210000}"/>
    <cellStyle name="Comma 2 2 7 15" xfId="34113" xr:uid="{00000000-0005-0000-0000-00008C210000}"/>
    <cellStyle name="Comma 2 2 7 16" xfId="35332" xr:uid="{00000000-0005-0000-0000-00008D210000}"/>
    <cellStyle name="Comma 2 2 7 17" xfId="36195" xr:uid="{00000000-0005-0000-0000-00008E210000}"/>
    <cellStyle name="Comma 2 2 7 18" xfId="37433" xr:uid="{00000000-0005-0000-0000-00008F210000}"/>
    <cellStyle name="Comma 2 2 7 19" xfId="41380" xr:uid="{00000000-0005-0000-0000-000090210000}"/>
    <cellStyle name="Comma 2 2 7 2" xfId="5081" xr:uid="{00000000-0005-0000-0000-000091210000}"/>
    <cellStyle name="Comma 2 2 7 2 10" xfId="32488" xr:uid="{00000000-0005-0000-0000-000092210000}"/>
    <cellStyle name="Comma 2 2 7 2 11" xfId="33700" xr:uid="{00000000-0005-0000-0000-000093210000}"/>
    <cellStyle name="Comma 2 2 7 2 12" xfId="34151" xr:uid="{00000000-0005-0000-0000-000094210000}"/>
    <cellStyle name="Comma 2 2 7 2 13" xfId="36036" xr:uid="{00000000-0005-0000-0000-000095210000}"/>
    <cellStyle name="Comma 2 2 7 2 14" xfId="36336" xr:uid="{00000000-0005-0000-0000-000096210000}"/>
    <cellStyle name="Comma 2 2 7 2 15" xfId="37507" xr:uid="{00000000-0005-0000-0000-000097210000}"/>
    <cellStyle name="Comma 2 2 7 2 16" xfId="41453" xr:uid="{00000000-0005-0000-0000-000098210000}"/>
    <cellStyle name="Comma 2 2 7 2 17" xfId="44633" xr:uid="{00000000-0005-0000-0000-000099210000}"/>
    <cellStyle name="Comma 2 2 7 2 18" xfId="6664" xr:uid="{00000000-0005-0000-0000-00009A210000}"/>
    <cellStyle name="Comma 2 2 7 2 2" xfId="6050" xr:uid="{00000000-0005-0000-0000-00009B210000}"/>
    <cellStyle name="Comma 2 2 7 2 2 10" xfId="33701" xr:uid="{00000000-0005-0000-0000-00009C210000}"/>
    <cellStyle name="Comma 2 2 7 2 2 11" xfId="34303" xr:uid="{00000000-0005-0000-0000-00009D210000}"/>
    <cellStyle name="Comma 2 2 7 2 2 12" xfId="36488" xr:uid="{00000000-0005-0000-0000-00009E210000}"/>
    <cellStyle name="Comma 2 2 7 2 2 13" xfId="38815" xr:uid="{00000000-0005-0000-0000-00009F210000}"/>
    <cellStyle name="Comma 2 2 7 2 2 14" xfId="41854" xr:uid="{00000000-0005-0000-0000-0000A0210000}"/>
    <cellStyle name="Comma 2 2 7 2 2 15" xfId="44634" xr:uid="{00000000-0005-0000-0000-0000A1210000}"/>
    <cellStyle name="Comma 2 2 7 2 2 16" xfId="8540" xr:uid="{00000000-0005-0000-0000-0000A2210000}"/>
    <cellStyle name="Comma 2 2 7 2 2 2" xfId="8789" xr:uid="{00000000-0005-0000-0000-0000A3210000}"/>
    <cellStyle name="Comma 2 2 7 2 2 2 10" xfId="34456" xr:uid="{00000000-0005-0000-0000-0000A4210000}"/>
    <cellStyle name="Comma 2 2 7 2 2 2 11" xfId="36624" xr:uid="{00000000-0005-0000-0000-0000A5210000}"/>
    <cellStyle name="Comma 2 2 7 2 2 2 12" xfId="40364" xr:uid="{00000000-0005-0000-0000-0000A6210000}"/>
    <cellStyle name="Comma 2 2 7 2 2 2 13" xfId="43182" xr:uid="{00000000-0005-0000-0000-0000A7210000}"/>
    <cellStyle name="Comma 2 2 7 2 2 2 14" xfId="44635" xr:uid="{00000000-0005-0000-0000-0000A8210000}"/>
    <cellStyle name="Comma 2 2 7 2 2 2 2" xfId="12788" xr:uid="{00000000-0005-0000-0000-0000A9210000}"/>
    <cellStyle name="Comma 2 2 7 2 2 2 2 2" xfId="31370" xr:uid="{00000000-0005-0000-0000-0000AA210000}"/>
    <cellStyle name="Comma 2 2 7 2 2 2 2 3" xfId="33224" xr:uid="{00000000-0005-0000-0000-0000AB210000}"/>
    <cellStyle name="Comma 2 2 7 2 2 2 2 4" xfId="35047" xr:uid="{00000000-0005-0000-0000-0000AC210000}"/>
    <cellStyle name="Comma 2 2 7 2 2 2 2 5" xfId="37145" xr:uid="{00000000-0005-0000-0000-0000AD210000}"/>
    <cellStyle name="Comma 2 2 7 2 2 2 3" xfId="12005" xr:uid="{00000000-0005-0000-0000-0000AE210000}"/>
    <cellStyle name="Comma 2 2 7 2 2 2 4" xfId="15527" xr:uid="{00000000-0005-0000-0000-0000AF210000}"/>
    <cellStyle name="Comma 2 2 7 2 2 2 5" xfId="30025" xr:uid="{00000000-0005-0000-0000-0000B0210000}"/>
    <cellStyle name="Comma 2 2 7 2 2 2 6" xfId="30779" xr:uid="{00000000-0005-0000-0000-0000B1210000}"/>
    <cellStyle name="Comma 2 2 7 2 2 2 7" xfId="31848" xr:uid="{00000000-0005-0000-0000-0000B2210000}"/>
    <cellStyle name="Comma 2 2 7 2 2 2 8" xfId="32490" xr:uid="{00000000-0005-0000-0000-0000B3210000}"/>
    <cellStyle name="Comma 2 2 7 2 2 2 9" xfId="33702" xr:uid="{00000000-0005-0000-0000-0000B4210000}"/>
    <cellStyle name="Comma 2 2 7 2 2 3" xfId="12575" xr:uid="{00000000-0005-0000-0000-0000B5210000}"/>
    <cellStyle name="Comma 2 2 7 2 2 3 2" xfId="31217" xr:uid="{00000000-0005-0000-0000-0000B6210000}"/>
    <cellStyle name="Comma 2 2 7 2 2 3 3" xfId="33073" xr:uid="{00000000-0005-0000-0000-0000B7210000}"/>
    <cellStyle name="Comma 2 2 7 2 2 3 4" xfId="34894" xr:uid="{00000000-0005-0000-0000-0000B8210000}"/>
    <cellStyle name="Comma 2 2 7 2 2 3 5" xfId="36994" xr:uid="{00000000-0005-0000-0000-0000B9210000}"/>
    <cellStyle name="Comma 2 2 7 2 2 4" xfId="11852" xr:uid="{00000000-0005-0000-0000-0000BA210000}"/>
    <cellStyle name="Comma 2 2 7 2 2 5" xfId="15526" xr:uid="{00000000-0005-0000-0000-0000BB210000}"/>
    <cellStyle name="Comma 2 2 7 2 2 6" xfId="30024" xr:uid="{00000000-0005-0000-0000-0000BC210000}"/>
    <cellStyle name="Comma 2 2 7 2 2 7" xfId="30626" xr:uid="{00000000-0005-0000-0000-0000BD210000}"/>
    <cellStyle name="Comma 2 2 7 2 2 8" xfId="31847" xr:uid="{00000000-0005-0000-0000-0000BE210000}"/>
    <cellStyle name="Comma 2 2 7 2 2 9" xfId="32489" xr:uid="{00000000-0005-0000-0000-0000BF210000}"/>
    <cellStyle name="Comma 2 2 7 2 3" xfId="6370" xr:uid="{00000000-0005-0000-0000-0000C0210000}"/>
    <cellStyle name="Comma 2 2 7 2 3 10" xfId="34455" xr:uid="{00000000-0005-0000-0000-0000C1210000}"/>
    <cellStyle name="Comma 2 2 7 2 3 11" xfId="36623" xr:uid="{00000000-0005-0000-0000-0000C2210000}"/>
    <cellStyle name="Comma 2 2 7 2 3 12" xfId="39035" xr:uid="{00000000-0005-0000-0000-0000C3210000}"/>
    <cellStyle name="Comma 2 2 7 2 3 13" xfId="42061" xr:uid="{00000000-0005-0000-0000-0000C4210000}"/>
    <cellStyle name="Comma 2 2 7 2 3 14" xfId="44636" xr:uid="{00000000-0005-0000-0000-0000C5210000}"/>
    <cellStyle name="Comma 2 2 7 2 3 15" xfId="8788" xr:uid="{00000000-0005-0000-0000-0000C6210000}"/>
    <cellStyle name="Comma 2 2 7 2 3 2" xfId="12787" xr:uid="{00000000-0005-0000-0000-0000C7210000}"/>
    <cellStyle name="Comma 2 2 7 2 3 2 2" xfId="31369" xr:uid="{00000000-0005-0000-0000-0000C8210000}"/>
    <cellStyle name="Comma 2 2 7 2 3 2 3" xfId="33223" xr:uid="{00000000-0005-0000-0000-0000C9210000}"/>
    <cellStyle name="Comma 2 2 7 2 3 2 4" xfId="35046" xr:uid="{00000000-0005-0000-0000-0000CA210000}"/>
    <cellStyle name="Comma 2 2 7 2 3 2 5" xfId="37144" xr:uid="{00000000-0005-0000-0000-0000CB210000}"/>
    <cellStyle name="Comma 2 2 7 2 3 2 6" xfId="40603" xr:uid="{00000000-0005-0000-0000-0000CC210000}"/>
    <cellStyle name="Comma 2 2 7 2 3 2 7" xfId="43389" xr:uid="{00000000-0005-0000-0000-0000CD210000}"/>
    <cellStyle name="Comma 2 2 7 2 3 2 8" xfId="44637" xr:uid="{00000000-0005-0000-0000-0000CE210000}"/>
    <cellStyle name="Comma 2 2 7 2 3 3" xfId="12004" xr:uid="{00000000-0005-0000-0000-0000CF210000}"/>
    <cellStyle name="Comma 2 2 7 2 3 4" xfId="15528" xr:uid="{00000000-0005-0000-0000-0000D0210000}"/>
    <cellStyle name="Comma 2 2 7 2 3 5" xfId="30026" xr:uid="{00000000-0005-0000-0000-0000D1210000}"/>
    <cellStyle name="Comma 2 2 7 2 3 6" xfId="30778" xr:uid="{00000000-0005-0000-0000-0000D2210000}"/>
    <cellStyle name="Comma 2 2 7 2 3 7" xfId="31849" xr:uid="{00000000-0005-0000-0000-0000D3210000}"/>
    <cellStyle name="Comma 2 2 7 2 3 8" xfId="32491" xr:uid="{00000000-0005-0000-0000-0000D4210000}"/>
    <cellStyle name="Comma 2 2 7 2 3 9" xfId="33703" xr:uid="{00000000-0005-0000-0000-0000D5210000}"/>
    <cellStyle name="Comma 2 2 7 2 4" xfId="12292" xr:uid="{00000000-0005-0000-0000-0000D6210000}"/>
    <cellStyle name="Comma 2 2 7 2 4 2" xfId="31065" xr:uid="{00000000-0005-0000-0000-0000D7210000}"/>
    <cellStyle name="Comma 2 2 7 2 4 2 2" xfId="41220" xr:uid="{00000000-0005-0000-0000-0000D8210000}"/>
    <cellStyle name="Comma 2 2 7 2 4 2 3" xfId="43900" xr:uid="{00000000-0005-0000-0000-0000D9210000}"/>
    <cellStyle name="Comma 2 2 7 2 4 2 4" xfId="44638" xr:uid="{00000000-0005-0000-0000-0000DA210000}"/>
    <cellStyle name="Comma 2 2 7 2 4 3" xfId="32933" xr:uid="{00000000-0005-0000-0000-0000DB210000}"/>
    <cellStyle name="Comma 2 2 7 2 4 4" xfId="34742" xr:uid="{00000000-0005-0000-0000-0000DC210000}"/>
    <cellStyle name="Comma 2 2 7 2 4 5" xfId="36850" xr:uid="{00000000-0005-0000-0000-0000DD210000}"/>
    <cellStyle name="Comma 2 2 7 2 4 6" xfId="39637" xr:uid="{00000000-0005-0000-0000-0000DE210000}"/>
    <cellStyle name="Comma 2 2 7 2 4 7" xfId="42572" xr:uid="{00000000-0005-0000-0000-0000DF210000}"/>
    <cellStyle name="Comma 2 2 7 2 4 8" xfId="44639" xr:uid="{00000000-0005-0000-0000-0000E0210000}"/>
    <cellStyle name="Comma 2 2 7 2 5" xfId="11699" xr:uid="{00000000-0005-0000-0000-0000E1210000}"/>
    <cellStyle name="Comma 2 2 7 2 5 2" xfId="39882" xr:uid="{00000000-0005-0000-0000-0000E2210000}"/>
    <cellStyle name="Comma 2 2 7 2 5 3" xfId="42781" xr:uid="{00000000-0005-0000-0000-0000E3210000}"/>
    <cellStyle name="Comma 2 2 7 2 5 4" xfId="44640" xr:uid="{00000000-0005-0000-0000-0000E4210000}"/>
    <cellStyle name="Comma 2 2 7 2 6" xfId="15525" xr:uid="{00000000-0005-0000-0000-0000E5210000}"/>
    <cellStyle name="Comma 2 2 7 2 7" xfId="30023" xr:uid="{00000000-0005-0000-0000-0000E6210000}"/>
    <cellStyle name="Comma 2 2 7 2 8" xfId="30474" xr:uid="{00000000-0005-0000-0000-0000E7210000}"/>
    <cellStyle name="Comma 2 2 7 2 9" xfId="31846" xr:uid="{00000000-0005-0000-0000-0000E8210000}"/>
    <cellStyle name="Comma 2 2 7 20" xfId="44641" xr:uid="{00000000-0005-0000-0000-0000E9210000}"/>
    <cellStyle name="Comma 2 2 7 21" xfId="6552" xr:uid="{00000000-0005-0000-0000-0000EA210000}"/>
    <cellStyle name="Comma 2 2 7 3" xfId="4422" xr:uid="{00000000-0005-0000-0000-0000EB210000}"/>
    <cellStyle name="Comma 2 2 7 3 10" xfId="33704" xr:uid="{00000000-0005-0000-0000-0000EC210000}"/>
    <cellStyle name="Comma 2 2 7 3 11" xfId="34264" xr:uid="{00000000-0005-0000-0000-0000ED210000}"/>
    <cellStyle name="Comma 2 2 7 3 12" xfId="35605" xr:uid="{00000000-0005-0000-0000-0000EE210000}"/>
    <cellStyle name="Comma 2 2 7 3 13" xfId="36465" xr:uid="{00000000-0005-0000-0000-0000EF210000}"/>
    <cellStyle name="Comma 2 2 7 3 14" xfId="38674" xr:uid="{00000000-0005-0000-0000-0000F0210000}"/>
    <cellStyle name="Comma 2 2 7 3 15" xfId="41714" xr:uid="{00000000-0005-0000-0000-0000F1210000}"/>
    <cellStyle name="Comma 2 2 7 3 16" xfId="44642" xr:uid="{00000000-0005-0000-0000-0000F2210000}"/>
    <cellStyle name="Comma 2 2 7 3 17" xfId="8427" xr:uid="{00000000-0005-0000-0000-0000F3210000}"/>
    <cellStyle name="Comma 2 2 7 3 2" xfId="5873" xr:uid="{00000000-0005-0000-0000-0000F4210000}"/>
    <cellStyle name="Comma 2 2 7 3 2 10" xfId="34457" xr:uid="{00000000-0005-0000-0000-0000F5210000}"/>
    <cellStyle name="Comma 2 2 7 3 2 11" xfId="36625" xr:uid="{00000000-0005-0000-0000-0000F6210000}"/>
    <cellStyle name="Comma 2 2 7 3 2 12" xfId="39164" xr:uid="{00000000-0005-0000-0000-0000F7210000}"/>
    <cellStyle name="Comma 2 2 7 3 2 13" xfId="42172" xr:uid="{00000000-0005-0000-0000-0000F8210000}"/>
    <cellStyle name="Comma 2 2 7 3 2 14" xfId="44643" xr:uid="{00000000-0005-0000-0000-0000F9210000}"/>
    <cellStyle name="Comma 2 2 7 3 2 15" xfId="8790" xr:uid="{00000000-0005-0000-0000-0000FA210000}"/>
    <cellStyle name="Comma 2 2 7 3 2 2" xfId="12789" xr:uid="{00000000-0005-0000-0000-0000FB210000}"/>
    <cellStyle name="Comma 2 2 7 3 2 2 2" xfId="31371" xr:uid="{00000000-0005-0000-0000-0000FC210000}"/>
    <cellStyle name="Comma 2 2 7 3 2 2 3" xfId="33225" xr:uid="{00000000-0005-0000-0000-0000FD210000}"/>
    <cellStyle name="Comma 2 2 7 3 2 2 4" xfId="35048" xr:uid="{00000000-0005-0000-0000-0000FE210000}"/>
    <cellStyle name="Comma 2 2 7 3 2 2 5" xfId="37146" xr:uid="{00000000-0005-0000-0000-0000FF210000}"/>
    <cellStyle name="Comma 2 2 7 3 2 2 6" xfId="40737" xr:uid="{00000000-0005-0000-0000-000000220000}"/>
    <cellStyle name="Comma 2 2 7 3 2 2 7" xfId="43500" xr:uid="{00000000-0005-0000-0000-000001220000}"/>
    <cellStyle name="Comma 2 2 7 3 2 2 8" xfId="44644" xr:uid="{00000000-0005-0000-0000-000002220000}"/>
    <cellStyle name="Comma 2 2 7 3 2 3" xfId="12006" xr:uid="{00000000-0005-0000-0000-000003220000}"/>
    <cellStyle name="Comma 2 2 7 3 2 4" xfId="15530" xr:uid="{00000000-0005-0000-0000-000004220000}"/>
    <cellStyle name="Comma 2 2 7 3 2 5" xfId="30028" xr:uid="{00000000-0005-0000-0000-000005220000}"/>
    <cellStyle name="Comma 2 2 7 3 2 6" xfId="30780" xr:uid="{00000000-0005-0000-0000-000006220000}"/>
    <cellStyle name="Comma 2 2 7 3 2 7" xfId="31851" xr:uid="{00000000-0005-0000-0000-000007220000}"/>
    <cellStyle name="Comma 2 2 7 3 2 8" xfId="32493" xr:uid="{00000000-0005-0000-0000-000008220000}"/>
    <cellStyle name="Comma 2 2 7 3 2 9" xfId="33705" xr:uid="{00000000-0005-0000-0000-000009220000}"/>
    <cellStyle name="Comma 2 2 7 3 3" xfId="12535" xr:uid="{00000000-0005-0000-0000-00000A220000}"/>
    <cellStyle name="Comma 2 2 7 3 3 2" xfId="31178" xr:uid="{00000000-0005-0000-0000-00000B220000}"/>
    <cellStyle name="Comma 2 2 7 3 3 2 2" xfId="41048" xr:uid="{00000000-0005-0000-0000-00000C220000}"/>
    <cellStyle name="Comma 2 2 7 3 3 2 3" xfId="43760" xr:uid="{00000000-0005-0000-0000-00000D220000}"/>
    <cellStyle name="Comma 2 2 7 3 3 2 4" xfId="44645" xr:uid="{00000000-0005-0000-0000-00000E220000}"/>
    <cellStyle name="Comma 2 2 7 3 3 3" xfId="33036" xr:uid="{00000000-0005-0000-0000-00000F220000}"/>
    <cellStyle name="Comma 2 2 7 3 3 4" xfId="34855" xr:uid="{00000000-0005-0000-0000-000010220000}"/>
    <cellStyle name="Comma 2 2 7 3 3 5" xfId="36957" xr:uid="{00000000-0005-0000-0000-000011220000}"/>
    <cellStyle name="Comma 2 2 7 3 3 6" xfId="39472" xr:uid="{00000000-0005-0000-0000-000012220000}"/>
    <cellStyle name="Comma 2 2 7 3 3 7" xfId="42432" xr:uid="{00000000-0005-0000-0000-000013220000}"/>
    <cellStyle name="Comma 2 2 7 3 3 8" xfId="44646" xr:uid="{00000000-0005-0000-0000-000014220000}"/>
    <cellStyle name="Comma 2 2 7 3 4" xfId="11813" xr:uid="{00000000-0005-0000-0000-000015220000}"/>
    <cellStyle name="Comma 2 2 7 3 4 2" xfId="40193" xr:uid="{00000000-0005-0000-0000-000016220000}"/>
    <cellStyle name="Comma 2 2 7 3 4 3" xfId="43042" xr:uid="{00000000-0005-0000-0000-000017220000}"/>
    <cellStyle name="Comma 2 2 7 3 4 4" xfId="44647" xr:uid="{00000000-0005-0000-0000-000018220000}"/>
    <cellStyle name="Comma 2 2 7 3 5" xfId="15529" xr:uid="{00000000-0005-0000-0000-000019220000}"/>
    <cellStyle name="Comma 2 2 7 3 6" xfId="30027" xr:uid="{00000000-0005-0000-0000-00001A220000}"/>
    <cellStyle name="Comma 2 2 7 3 7" xfId="30587" xr:uid="{00000000-0005-0000-0000-00001B220000}"/>
    <cellStyle name="Comma 2 2 7 3 8" xfId="31850" xr:uid="{00000000-0005-0000-0000-00001C220000}"/>
    <cellStyle name="Comma 2 2 7 3 9" xfId="32492" xr:uid="{00000000-0005-0000-0000-00001D220000}"/>
    <cellStyle name="Comma 2 2 7 4" xfId="5735" xr:uid="{00000000-0005-0000-0000-00001E220000}"/>
    <cellStyle name="Comma 2 2 7 4 10" xfId="33706" xr:uid="{00000000-0005-0000-0000-00001F220000}"/>
    <cellStyle name="Comma 2 2 7 4 11" xfId="34203" xr:uid="{00000000-0005-0000-0000-000020220000}"/>
    <cellStyle name="Comma 2 2 7 4 12" xfId="36433" xr:uid="{00000000-0005-0000-0000-000021220000}"/>
    <cellStyle name="Comma 2 2 7 4 13" xfId="38102" xr:uid="{00000000-0005-0000-0000-000022220000}"/>
    <cellStyle name="Comma 2 2 7 4 14" xfId="41599" xr:uid="{00000000-0005-0000-0000-000023220000}"/>
    <cellStyle name="Comma 2 2 7 4 15" xfId="44648" xr:uid="{00000000-0005-0000-0000-000024220000}"/>
    <cellStyle name="Comma 2 2 7 4 16" xfId="8094" xr:uid="{00000000-0005-0000-0000-000025220000}"/>
    <cellStyle name="Comma 2 2 7 4 2" xfId="8791" xr:uid="{00000000-0005-0000-0000-000026220000}"/>
    <cellStyle name="Comma 2 2 7 4 2 10" xfId="34458" xr:uid="{00000000-0005-0000-0000-000027220000}"/>
    <cellStyle name="Comma 2 2 7 4 2 11" xfId="36626" xr:uid="{00000000-0005-0000-0000-000028220000}"/>
    <cellStyle name="Comma 2 2 7 4 2 12" xfId="40058" xr:uid="{00000000-0005-0000-0000-000029220000}"/>
    <cellStyle name="Comma 2 2 7 4 2 13" xfId="42927" xr:uid="{00000000-0005-0000-0000-00002A220000}"/>
    <cellStyle name="Comma 2 2 7 4 2 14" xfId="44649" xr:uid="{00000000-0005-0000-0000-00002B220000}"/>
    <cellStyle name="Comma 2 2 7 4 2 2" xfId="12790" xr:uid="{00000000-0005-0000-0000-00002C220000}"/>
    <cellStyle name="Comma 2 2 7 4 2 2 2" xfId="31372" xr:uid="{00000000-0005-0000-0000-00002D220000}"/>
    <cellStyle name="Comma 2 2 7 4 2 2 3" xfId="33226" xr:uid="{00000000-0005-0000-0000-00002E220000}"/>
    <cellStyle name="Comma 2 2 7 4 2 2 4" xfId="35049" xr:uid="{00000000-0005-0000-0000-00002F220000}"/>
    <cellStyle name="Comma 2 2 7 4 2 2 5" xfId="37147" xr:uid="{00000000-0005-0000-0000-000030220000}"/>
    <cellStyle name="Comma 2 2 7 4 2 3" xfId="12007" xr:uid="{00000000-0005-0000-0000-000031220000}"/>
    <cellStyle name="Comma 2 2 7 4 2 4" xfId="15532" xr:uid="{00000000-0005-0000-0000-000032220000}"/>
    <cellStyle name="Comma 2 2 7 4 2 5" xfId="30030" xr:uid="{00000000-0005-0000-0000-000033220000}"/>
    <cellStyle name="Comma 2 2 7 4 2 6" xfId="30781" xr:uid="{00000000-0005-0000-0000-000034220000}"/>
    <cellStyle name="Comma 2 2 7 4 2 7" xfId="31853" xr:uid="{00000000-0005-0000-0000-000035220000}"/>
    <cellStyle name="Comma 2 2 7 4 2 8" xfId="32495" xr:uid="{00000000-0005-0000-0000-000036220000}"/>
    <cellStyle name="Comma 2 2 7 4 2 9" xfId="33707" xr:uid="{00000000-0005-0000-0000-000037220000}"/>
    <cellStyle name="Comma 2 2 7 4 3" xfId="12406" xr:uid="{00000000-0005-0000-0000-000038220000}"/>
    <cellStyle name="Comma 2 2 7 4 3 2" xfId="31117" xr:uid="{00000000-0005-0000-0000-000039220000}"/>
    <cellStyle name="Comma 2 2 7 4 3 3" xfId="32979" xr:uid="{00000000-0005-0000-0000-00003A220000}"/>
    <cellStyle name="Comma 2 2 7 4 3 4" xfId="34794" xr:uid="{00000000-0005-0000-0000-00003B220000}"/>
    <cellStyle name="Comma 2 2 7 4 3 5" xfId="36900" xr:uid="{00000000-0005-0000-0000-00003C220000}"/>
    <cellStyle name="Comma 2 2 7 4 4" xfId="11752" xr:uid="{00000000-0005-0000-0000-00003D220000}"/>
    <cellStyle name="Comma 2 2 7 4 5" xfId="15531" xr:uid="{00000000-0005-0000-0000-00003E220000}"/>
    <cellStyle name="Comma 2 2 7 4 6" xfId="30029" xr:uid="{00000000-0005-0000-0000-00003F220000}"/>
    <cellStyle name="Comma 2 2 7 4 7" xfId="30526" xr:uid="{00000000-0005-0000-0000-000040220000}"/>
    <cellStyle name="Comma 2 2 7 4 8" xfId="31852" xr:uid="{00000000-0005-0000-0000-000041220000}"/>
    <cellStyle name="Comma 2 2 7 4 9" xfId="32494" xr:uid="{00000000-0005-0000-0000-000042220000}"/>
    <cellStyle name="Comma 2 2 7 5" xfId="6194" xr:uid="{00000000-0005-0000-0000-000043220000}"/>
    <cellStyle name="Comma 2 2 7 5 10" xfId="34454" xr:uid="{00000000-0005-0000-0000-000044220000}"/>
    <cellStyle name="Comma 2 2 7 5 11" xfId="36622" xr:uid="{00000000-0005-0000-0000-000045220000}"/>
    <cellStyle name="Comma 2 2 7 5 12" xfId="38935" xr:uid="{00000000-0005-0000-0000-000046220000}"/>
    <cellStyle name="Comma 2 2 7 5 13" xfId="41966" xr:uid="{00000000-0005-0000-0000-000047220000}"/>
    <cellStyle name="Comma 2 2 7 5 14" xfId="44650" xr:uid="{00000000-0005-0000-0000-000048220000}"/>
    <cellStyle name="Comma 2 2 7 5 15" xfId="8787" xr:uid="{00000000-0005-0000-0000-000049220000}"/>
    <cellStyle name="Comma 2 2 7 5 2" xfId="12786" xr:uid="{00000000-0005-0000-0000-00004A220000}"/>
    <cellStyle name="Comma 2 2 7 5 2 2" xfId="31368" xr:uid="{00000000-0005-0000-0000-00004B220000}"/>
    <cellStyle name="Comma 2 2 7 5 2 3" xfId="33222" xr:uid="{00000000-0005-0000-0000-00004C220000}"/>
    <cellStyle name="Comma 2 2 7 5 2 4" xfId="35045" xr:uid="{00000000-0005-0000-0000-00004D220000}"/>
    <cellStyle name="Comma 2 2 7 5 2 5" xfId="37143" xr:uid="{00000000-0005-0000-0000-00004E220000}"/>
    <cellStyle name="Comma 2 2 7 5 2 6" xfId="40493" xr:uid="{00000000-0005-0000-0000-00004F220000}"/>
    <cellStyle name="Comma 2 2 7 5 2 7" xfId="43294" xr:uid="{00000000-0005-0000-0000-000050220000}"/>
    <cellStyle name="Comma 2 2 7 5 2 8" xfId="44651" xr:uid="{00000000-0005-0000-0000-000051220000}"/>
    <cellStyle name="Comma 2 2 7 5 3" xfId="12003" xr:uid="{00000000-0005-0000-0000-000052220000}"/>
    <cellStyle name="Comma 2 2 7 5 4" xfId="15533" xr:uid="{00000000-0005-0000-0000-000053220000}"/>
    <cellStyle name="Comma 2 2 7 5 5" xfId="30031" xr:uid="{00000000-0005-0000-0000-000054220000}"/>
    <cellStyle name="Comma 2 2 7 5 6" xfId="30777" xr:uid="{00000000-0005-0000-0000-000055220000}"/>
    <cellStyle name="Comma 2 2 7 5 7" xfId="31854" xr:uid="{00000000-0005-0000-0000-000056220000}"/>
    <cellStyle name="Comma 2 2 7 5 8" xfId="32496" xr:uid="{00000000-0005-0000-0000-000057220000}"/>
    <cellStyle name="Comma 2 2 7 5 9" xfId="33708" xr:uid="{00000000-0005-0000-0000-000058220000}"/>
    <cellStyle name="Comma 2 2 7 6" xfId="11515" xr:uid="{00000000-0005-0000-0000-000059220000}"/>
    <cellStyle name="Comma 2 2 7 6 10" xfId="34629" xr:uid="{00000000-0005-0000-0000-00005A220000}"/>
    <cellStyle name="Comma 2 2 7 6 11" xfId="36757" xr:uid="{00000000-0005-0000-0000-00005B220000}"/>
    <cellStyle name="Comma 2 2 7 6 12" xfId="39339" xr:uid="{00000000-0005-0000-0000-00005C220000}"/>
    <cellStyle name="Comma 2 2 7 6 13" xfId="42317" xr:uid="{00000000-0005-0000-0000-00005D220000}"/>
    <cellStyle name="Comma 2 2 7 6 14" xfId="44652" xr:uid="{00000000-0005-0000-0000-00005E220000}"/>
    <cellStyle name="Comma 2 2 7 6 2" xfId="15136" xr:uid="{00000000-0005-0000-0000-00005F220000}"/>
    <cellStyle name="Comma 2 2 7 6 2 2" xfId="31543" xr:uid="{00000000-0005-0000-0000-000060220000}"/>
    <cellStyle name="Comma 2 2 7 6 2 3" xfId="33396" xr:uid="{00000000-0005-0000-0000-000061220000}"/>
    <cellStyle name="Comma 2 2 7 6 2 4" xfId="35220" xr:uid="{00000000-0005-0000-0000-000062220000}"/>
    <cellStyle name="Comma 2 2 7 6 2 5" xfId="37300" xr:uid="{00000000-0005-0000-0000-000063220000}"/>
    <cellStyle name="Comma 2 2 7 6 2 6" xfId="40910" xr:uid="{00000000-0005-0000-0000-000064220000}"/>
    <cellStyle name="Comma 2 2 7 6 2 7" xfId="43645" xr:uid="{00000000-0005-0000-0000-000065220000}"/>
    <cellStyle name="Comma 2 2 7 6 2 8" xfId="44653" xr:uid="{00000000-0005-0000-0000-000066220000}"/>
    <cellStyle name="Comma 2 2 7 6 3" xfId="12178" xr:uid="{00000000-0005-0000-0000-000067220000}"/>
    <cellStyle name="Comma 2 2 7 6 4" xfId="15534" xr:uid="{00000000-0005-0000-0000-000068220000}"/>
    <cellStyle name="Comma 2 2 7 6 5" xfId="30032" xr:uid="{00000000-0005-0000-0000-000069220000}"/>
    <cellStyle name="Comma 2 2 7 6 6" xfId="30952" xr:uid="{00000000-0005-0000-0000-00006A220000}"/>
    <cellStyle name="Comma 2 2 7 6 7" xfId="31855" xr:uid="{00000000-0005-0000-0000-00006B220000}"/>
    <cellStyle name="Comma 2 2 7 6 8" xfId="32497" xr:uid="{00000000-0005-0000-0000-00006C220000}"/>
    <cellStyle name="Comma 2 2 7 6 9" xfId="33709" xr:uid="{00000000-0005-0000-0000-00006D220000}"/>
    <cellStyle name="Comma 2 2 7 7" xfId="12254" xr:uid="{00000000-0005-0000-0000-00006E220000}"/>
    <cellStyle name="Comma 2 2 7 7 2" xfId="31027" xr:uid="{00000000-0005-0000-0000-00006F220000}"/>
    <cellStyle name="Comma 2 2 7 7 3" xfId="32899" xr:uid="{00000000-0005-0000-0000-000070220000}"/>
    <cellStyle name="Comma 2 2 7 7 4" xfId="34704" xr:uid="{00000000-0005-0000-0000-000071220000}"/>
    <cellStyle name="Comma 2 2 7 7 5" xfId="36812" xr:uid="{00000000-0005-0000-0000-000072220000}"/>
    <cellStyle name="Comma 2 2 7 7 6" xfId="39800" xr:uid="{00000000-0005-0000-0000-000073220000}"/>
    <cellStyle name="Comma 2 2 7 7 7" xfId="42708" xr:uid="{00000000-0005-0000-0000-000074220000}"/>
    <cellStyle name="Comma 2 2 7 7 8" xfId="44654" xr:uid="{00000000-0005-0000-0000-000075220000}"/>
    <cellStyle name="Comma 2 2 7 8" xfId="11660" xr:uid="{00000000-0005-0000-0000-000076220000}"/>
    <cellStyle name="Comma 2 2 7 9" xfId="15524" xr:uid="{00000000-0005-0000-0000-000077220000}"/>
    <cellStyle name="Comma 2 2 8" xfId="2771" xr:uid="{00000000-0005-0000-0000-000078220000}"/>
    <cellStyle name="Comma 2 2 8 10" xfId="30033" xr:uid="{00000000-0005-0000-0000-000079220000}"/>
    <cellStyle name="Comma 2 2 8 11" xfId="30437" xr:uid="{00000000-0005-0000-0000-00007A220000}"/>
    <cellStyle name="Comma 2 2 8 12" xfId="31856" xr:uid="{00000000-0005-0000-0000-00007B220000}"/>
    <cellStyle name="Comma 2 2 8 13" xfId="32498" xr:uid="{00000000-0005-0000-0000-00007C220000}"/>
    <cellStyle name="Comma 2 2 8 14" xfId="33710" xr:uid="{00000000-0005-0000-0000-00007D220000}"/>
    <cellStyle name="Comma 2 2 8 15" xfId="34114" xr:uid="{00000000-0005-0000-0000-00007E220000}"/>
    <cellStyle name="Comma 2 2 8 16" xfId="35333" xr:uid="{00000000-0005-0000-0000-00007F220000}"/>
    <cellStyle name="Comma 2 2 8 17" xfId="36196" xr:uid="{00000000-0005-0000-0000-000080220000}"/>
    <cellStyle name="Comma 2 2 8 18" xfId="37434" xr:uid="{00000000-0005-0000-0000-000081220000}"/>
    <cellStyle name="Comma 2 2 8 19" xfId="41381" xr:uid="{00000000-0005-0000-0000-000082220000}"/>
    <cellStyle name="Comma 2 2 8 2" xfId="5082" xr:uid="{00000000-0005-0000-0000-000083220000}"/>
    <cellStyle name="Comma 2 2 8 2 10" xfId="32499" xr:uid="{00000000-0005-0000-0000-000084220000}"/>
    <cellStyle name="Comma 2 2 8 2 11" xfId="33711" xr:uid="{00000000-0005-0000-0000-000085220000}"/>
    <cellStyle name="Comma 2 2 8 2 12" xfId="34152" xr:uid="{00000000-0005-0000-0000-000086220000}"/>
    <cellStyle name="Comma 2 2 8 2 13" xfId="36037" xr:uid="{00000000-0005-0000-0000-000087220000}"/>
    <cellStyle name="Comma 2 2 8 2 14" xfId="36337" xr:uid="{00000000-0005-0000-0000-000088220000}"/>
    <cellStyle name="Comma 2 2 8 2 15" xfId="37508" xr:uid="{00000000-0005-0000-0000-000089220000}"/>
    <cellStyle name="Comma 2 2 8 2 16" xfId="41454" xr:uid="{00000000-0005-0000-0000-00008A220000}"/>
    <cellStyle name="Comma 2 2 8 2 17" xfId="44655" xr:uid="{00000000-0005-0000-0000-00008B220000}"/>
    <cellStyle name="Comma 2 2 8 2 18" xfId="6665" xr:uid="{00000000-0005-0000-0000-00008C220000}"/>
    <cellStyle name="Comma 2 2 8 2 2" xfId="6051" xr:uid="{00000000-0005-0000-0000-00008D220000}"/>
    <cellStyle name="Comma 2 2 8 2 2 10" xfId="33712" xr:uid="{00000000-0005-0000-0000-00008E220000}"/>
    <cellStyle name="Comma 2 2 8 2 2 11" xfId="34304" xr:uid="{00000000-0005-0000-0000-00008F220000}"/>
    <cellStyle name="Comma 2 2 8 2 2 12" xfId="36489" xr:uid="{00000000-0005-0000-0000-000090220000}"/>
    <cellStyle name="Comma 2 2 8 2 2 13" xfId="38816" xr:uid="{00000000-0005-0000-0000-000091220000}"/>
    <cellStyle name="Comma 2 2 8 2 2 14" xfId="41855" xr:uid="{00000000-0005-0000-0000-000092220000}"/>
    <cellStyle name="Comma 2 2 8 2 2 15" xfId="44656" xr:uid="{00000000-0005-0000-0000-000093220000}"/>
    <cellStyle name="Comma 2 2 8 2 2 16" xfId="8541" xr:uid="{00000000-0005-0000-0000-000094220000}"/>
    <cellStyle name="Comma 2 2 8 2 2 2" xfId="8794" xr:uid="{00000000-0005-0000-0000-000095220000}"/>
    <cellStyle name="Comma 2 2 8 2 2 2 10" xfId="34461" xr:uid="{00000000-0005-0000-0000-000096220000}"/>
    <cellStyle name="Comma 2 2 8 2 2 2 11" xfId="36629" xr:uid="{00000000-0005-0000-0000-000097220000}"/>
    <cellStyle name="Comma 2 2 8 2 2 2 12" xfId="40365" xr:uid="{00000000-0005-0000-0000-000098220000}"/>
    <cellStyle name="Comma 2 2 8 2 2 2 13" xfId="43183" xr:uid="{00000000-0005-0000-0000-000099220000}"/>
    <cellStyle name="Comma 2 2 8 2 2 2 14" xfId="44657" xr:uid="{00000000-0005-0000-0000-00009A220000}"/>
    <cellStyle name="Comma 2 2 8 2 2 2 2" xfId="12793" xr:uid="{00000000-0005-0000-0000-00009B220000}"/>
    <cellStyle name="Comma 2 2 8 2 2 2 2 2" xfId="31375" xr:uid="{00000000-0005-0000-0000-00009C220000}"/>
    <cellStyle name="Comma 2 2 8 2 2 2 2 3" xfId="33229" xr:uid="{00000000-0005-0000-0000-00009D220000}"/>
    <cellStyle name="Comma 2 2 8 2 2 2 2 4" xfId="35052" xr:uid="{00000000-0005-0000-0000-00009E220000}"/>
    <cellStyle name="Comma 2 2 8 2 2 2 2 5" xfId="37150" xr:uid="{00000000-0005-0000-0000-00009F220000}"/>
    <cellStyle name="Comma 2 2 8 2 2 2 3" xfId="12010" xr:uid="{00000000-0005-0000-0000-0000A0220000}"/>
    <cellStyle name="Comma 2 2 8 2 2 2 4" xfId="15538" xr:uid="{00000000-0005-0000-0000-0000A1220000}"/>
    <cellStyle name="Comma 2 2 8 2 2 2 5" xfId="30036" xr:uid="{00000000-0005-0000-0000-0000A2220000}"/>
    <cellStyle name="Comma 2 2 8 2 2 2 6" xfId="30784" xr:uid="{00000000-0005-0000-0000-0000A3220000}"/>
    <cellStyle name="Comma 2 2 8 2 2 2 7" xfId="31859" xr:uid="{00000000-0005-0000-0000-0000A4220000}"/>
    <cellStyle name="Comma 2 2 8 2 2 2 8" xfId="32501" xr:uid="{00000000-0005-0000-0000-0000A5220000}"/>
    <cellStyle name="Comma 2 2 8 2 2 2 9" xfId="33713" xr:uid="{00000000-0005-0000-0000-0000A6220000}"/>
    <cellStyle name="Comma 2 2 8 2 2 3" xfId="12576" xr:uid="{00000000-0005-0000-0000-0000A7220000}"/>
    <cellStyle name="Comma 2 2 8 2 2 3 2" xfId="31218" xr:uid="{00000000-0005-0000-0000-0000A8220000}"/>
    <cellStyle name="Comma 2 2 8 2 2 3 3" xfId="33074" xr:uid="{00000000-0005-0000-0000-0000A9220000}"/>
    <cellStyle name="Comma 2 2 8 2 2 3 4" xfId="34895" xr:uid="{00000000-0005-0000-0000-0000AA220000}"/>
    <cellStyle name="Comma 2 2 8 2 2 3 5" xfId="36995" xr:uid="{00000000-0005-0000-0000-0000AB220000}"/>
    <cellStyle name="Comma 2 2 8 2 2 4" xfId="11853" xr:uid="{00000000-0005-0000-0000-0000AC220000}"/>
    <cellStyle name="Comma 2 2 8 2 2 5" xfId="15537" xr:uid="{00000000-0005-0000-0000-0000AD220000}"/>
    <cellStyle name="Comma 2 2 8 2 2 6" xfId="30035" xr:uid="{00000000-0005-0000-0000-0000AE220000}"/>
    <cellStyle name="Comma 2 2 8 2 2 7" xfId="30627" xr:uid="{00000000-0005-0000-0000-0000AF220000}"/>
    <cellStyle name="Comma 2 2 8 2 2 8" xfId="31858" xr:uid="{00000000-0005-0000-0000-0000B0220000}"/>
    <cellStyle name="Comma 2 2 8 2 2 9" xfId="32500" xr:uid="{00000000-0005-0000-0000-0000B1220000}"/>
    <cellStyle name="Comma 2 2 8 2 3" xfId="6371" xr:uid="{00000000-0005-0000-0000-0000B2220000}"/>
    <cellStyle name="Comma 2 2 8 2 3 10" xfId="34460" xr:uid="{00000000-0005-0000-0000-0000B3220000}"/>
    <cellStyle name="Comma 2 2 8 2 3 11" xfId="36628" xr:uid="{00000000-0005-0000-0000-0000B4220000}"/>
    <cellStyle name="Comma 2 2 8 2 3 12" xfId="39036" xr:uid="{00000000-0005-0000-0000-0000B5220000}"/>
    <cellStyle name="Comma 2 2 8 2 3 13" xfId="42062" xr:uid="{00000000-0005-0000-0000-0000B6220000}"/>
    <cellStyle name="Comma 2 2 8 2 3 14" xfId="44658" xr:uid="{00000000-0005-0000-0000-0000B7220000}"/>
    <cellStyle name="Comma 2 2 8 2 3 15" xfId="8793" xr:uid="{00000000-0005-0000-0000-0000B8220000}"/>
    <cellStyle name="Comma 2 2 8 2 3 2" xfId="12792" xr:uid="{00000000-0005-0000-0000-0000B9220000}"/>
    <cellStyle name="Comma 2 2 8 2 3 2 2" xfId="31374" xr:uid="{00000000-0005-0000-0000-0000BA220000}"/>
    <cellStyle name="Comma 2 2 8 2 3 2 3" xfId="33228" xr:uid="{00000000-0005-0000-0000-0000BB220000}"/>
    <cellStyle name="Comma 2 2 8 2 3 2 4" xfId="35051" xr:uid="{00000000-0005-0000-0000-0000BC220000}"/>
    <cellStyle name="Comma 2 2 8 2 3 2 5" xfId="37149" xr:uid="{00000000-0005-0000-0000-0000BD220000}"/>
    <cellStyle name="Comma 2 2 8 2 3 2 6" xfId="40604" xr:uid="{00000000-0005-0000-0000-0000BE220000}"/>
    <cellStyle name="Comma 2 2 8 2 3 2 7" xfId="43390" xr:uid="{00000000-0005-0000-0000-0000BF220000}"/>
    <cellStyle name="Comma 2 2 8 2 3 2 8" xfId="44659" xr:uid="{00000000-0005-0000-0000-0000C0220000}"/>
    <cellStyle name="Comma 2 2 8 2 3 3" xfId="12009" xr:uid="{00000000-0005-0000-0000-0000C1220000}"/>
    <cellStyle name="Comma 2 2 8 2 3 4" xfId="15539" xr:uid="{00000000-0005-0000-0000-0000C2220000}"/>
    <cellStyle name="Comma 2 2 8 2 3 5" xfId="30037" xr:uid="{00000000-0005-0000-0000-0000C3220000}"/>
    <cellStyle name="Comma 2 2 8 2 3 6" xfId="30783" xr:uid="{00000000-0005-0000-0000-0000C4220000}"/>
    <cellStyle name="Comma 2 2 8 2 3 7" xfId="31860" xr:uid="{00000000-0005-0000-0000-0000C5220000}"/>
    <cellStyle name="Comma 2 2 8 2 3 8" xfId="32502" xr:uid="{00000000-0005-0000-0000-0000C6220000}"/>
    <cellStyle name="Comma 2 2 8 2 3 9" xfId="33714" xr:uid="{00000000-0005-0000-0000-0000C7220000}"/>
    <cellStyle name="Comma 2 2 8 2 4" xfId="12293" xr:uid="{00000000-0005-0000-0000-0000C8220000}"/>
    <cellStyle name="Comma 2 2 8 2 4 2" xfId="31066" xr:uid="{00000000-0005-0000-0000-0000C9220000}"/>
    <cellStyle name="Comma 2 2 8 2 4 2 2" xfId="41221" xr:uid="{00000000-0005-0000-0000-0000CA220000}"/>
    <cellStyle name="Comma 2 2 8 2 4 2 3" xfId="43901" xr:uid="{00000000-0005-0000-0000-0000CB220000}"/>
    <cellStyle name="Comma 2 2 8 2 4 2 4" xfId="44660" xr:uid="{00000000-0005-0000-0000-0000CC220000}"/>
    <cellStyle name="Comma 2 2 8 2 4 3" xfId="32934" xr:uid="{00000000-0005-0000-0000-0000CD220000}"/>
    <cellStyle name="Comma 2 2 8 2 4 4" xfId="34743" xr:uid="{00000000-0005-0000-0000-0000CE220000}"/>
    <cellStyle name="Comma 2 2 8 2 4 5" xfId="36851" xr:uid="{00000000-0005-0000-0000-0000CF220000}"/>
    <cellStyle name="Comma 2 2 8 2 4 6" xfId="39638" xr:uid="{00000000-0005-0000-0000-0000D0220000}"/>
    <cellStyle name="Comma 2 2 8 2 4 7" xfId="42573" xr:uid="{00000000-0005-0000-0000-0000D1220000}"/>
    <cellStyle name="Comma 2 2 8 2 4 8" xfId="44661" xr:uid="{00000000-0005-0000-0000-0000D2220000}"/>
    <cellStyle name="Comma 2 2 8 2 5" xfId="11700" xr:uid="{00000000-0005-0000-0000-0000D3220000}"/>
    <cellStyle name="Comma 2 2 8 2 5 2" xfId="39883" xr:uid="{00000000-0005-0000-0000-0000D4220000}"/>
    <cellStyle name="Comma 2 2 8 2 5 3" xfId="42782" xr:uid="{00000000-0005-0000-0000-0000D5220000}"/>
    <cellStyle name="Comma 2 2 8 2 5 4" xfId="44662" xr:uid="{00000000-0005-0000-0000-0000D6220000}"/>
    <cellStyle name="Comma 2 2 8 2 6" xfId="15536" xr:uid="{00000000-0005-0000-0000-0000D7220000}"/>
    <cellStyle name="Comma 2 2 8 2 7" xfId="30034" xr:uid="{00000000-0005-0000-0000-0000D8220000}"/>
    <cellStyle name="Comma 2 2 8 2 8" xfId="30475" xr:uid="{00000000-0005-0000-0000-0000D9220000}"/>
    <cellStyle name="Comma 2 2 8 2 9" xfId="31857" xr:uid="{00000000-0005-0000-0000-0000DA220000}"/>
    <cellStyle name="Comma 2 2 8 20" xfId="44663" xr:uid="{00000000-0005-0000-0000-0000DB220000}"/>
    <cellStyle name="Comma 2 2 8 21" xfId="6553" xr:uid="{00000000-0005-0000-0000-0000DC220000}"/>
    <cellStyle name="Comma 2 2 8 3" xfId="4423" xr:uid="{00000000-0005-0000-0000-0000DD220000}"/>
    <cellStyle name="Comma 2 2 8 3 10" xfId="33715" xr:uid="{00000000-0005-0000-0000-0000DE220000}"/>
    <cellStyle name="Comma 2 2 8 3 11" xfId="34265" xr:uid="{00000000-0005-0000-0000-0000DF220000}"/>
    <cellStyle name="Comma 2 2 8 3 12" xfId="35606" xr:uid="{00000000-0005-0000-0000-0000E0220000}"/>
    <cellStyle name="Comma 2 2 8 3 13" xfId="36466" xr:uid="{00000000-0005-0000-0000-0000E1220000}"/>
    <cellStyle name="Comma 2 2 8 3 14" xfId="38675" xr:uid="{00000000-0005-0000-0000-0000E2220000}"/>
    <cellStyle name="Comma 2 2 8 3 15" xfId="41715" xr:uid="{00000000-0005-0000-0000-0000E3220000}"/>
    <cellStyle name="Comma 2 2 8 3 16" xfId="44664" xr:uid="{00000000-0005-0000-0000-0000E4220000}"/>
    <cellStyle name="Comma 2 2 8 3 17" xfId="8428" xr:uid="{00000000-0005-0000-0000-0000E5220000}"/>
    <cellStyle name="Comma 2 2 8 3 2" xfId="5874" xr:uid="{00000000-0005-0000-0000-0000E6220000}"/>
    <cellStyle name="Comma 2 2 8 3 2 10" xfId="34462" xr:uid="{00000000-0005-0000-0000-0000E7220000}"/>
    <cellStyle name="Comma 2 2 8 3 2 11" xfId="36630" xr:uid="{00000000-0005-0000-0000-0000E8220000}"/>
    <cellStyle name="Comma 2 2 8 3 2 12" xfId="39165" xr:uid="{00000000-0005-0000-0000-0000E9220000}"/>
    <cellStyle name="Comma 2 2 8 3 2 13" xfId="42173" xr:uid="{00000000-0005-0000-0000-0000EA220000}"/>
    <cellStyle name="Comma 2 2 8 3 2 14" xfId="44665" xr:uid="{00000000-0005-0000-0000-0000EB220000}"/>
    <cellStyle name="Comma 2 2 8 3 2 15" xfId="8795" xr:uid="{00000000-0005-0000-0000-0000EC220000}"/>
    <cellStyle name="Comma 2 2 8 3 2 2" xfId="12794" xr:uid="{00000000-0005-0000-0000-0000ED220000}"/>
    <cellStyle name="Comma 2 2 8 3 2 2 2" xfId="31376" xr:uid="{00000000-0005-0000-0000-0000EE220000}"/>
    <cellStyle name="Comma 2 2 8 3 2 2 3" xfId="33230" xr:uid="{00000000-0005-0000-0000-0000EF220000}"/>
    <cellStyle name="Comma 2 2 8 3 2 2 4" xfId="35053" xr:uid="{00000000-0005-0000-0000-0000F0220000}"/>
    <cellStyle name="Comma 2 2 8 3 2 2 5" xfId="37151" xr:uid="{00000000-0005-0000-0000-0000F1220000}"/>
    <cellStyle name="Comma 2 2 8 3 2 2 6" xfId="40738" xr:uid="{00000000-0005-0000-0000-0000F2220000}"/>
    <cellStyle name="Comma 2 2 8 3 2 2 7" xfId="43501" xr:uid="{00000000-0005-0000-0000-0000F3220000}"/>
    <cellStyle name="Comma 2 2 8 3 2 2 8" xfId="44666" xr:uid="{00000000-0005-0000-0000-0000F4220000}"/>
    <cellStyle name="Comma 2 2 8 3 2 3" xfId="12011" xr:uid="{00000000-0005-0000-0000-0000F5220000}"/>
    <cellStyle name="Comma 2 2 8 3 2 4" xfId="15541" xr:uid="{00000000-0005-0000-0000-0000F6220000}"/>
    <cellStyle name="Comma 2 2 8 3 2 5" xfId="30039" xr:uid="{00000000-0005-0000-0000-0000F7220000}"/>
    <cellStyle name="Comma 2 2 8 3 2 6" xfId="30785" xr:uid="{00000000-0005-0000-0000-0000F8220000}"/>
    <cellStyle name="Comma 2 2 8 3 2 7" xfId="31862" xr:uid="{00000000-0005-0000-0000-0000F9220000}"/>
    <cellStyle name="Comma 2 2 8 3 2 8" xfId="32504" xr:uid="{00000000-0005-0000-0000-0000FA220000}"/>
    <cellStyle name="Comma 2 2 8 3 2 9" xfId="33716" xr:uid="{00000000-0005-0000-0000-0000FB220000}"/>
    <cellStyle name="Comma 2 2 8 3 3" xfId="12536" xr:uid="{00000000-0005-0000-0000-0000FC220000}"/>
    <cellStyle name="Comma 2 2 8 3 3 2" xfId="31179" xr:uid="{00000000-0005-0000-0000-0000FD220000}"/>
    <cellStyle name="Comma 2 2 8 3 3 2 2" xfId="41049" xr:uid="{00000000-0005-0000-0000-0000FE220000}"/>
    <cellStyle name="Comma 2 2 8 3 3 2 3" xfId="43761" xr:uid="{00000000-0005-0000-0000-0000FF220000}"/>
    <cellStyle name="Comma 2 2 8 3 3 2 4" xfId="44667" xr:uid="{00000000-0005-0000-0000-000000230000}"/>
    <cellStyle name="Comma 2 2 8 3 3 3" xfId="33037" xr:uid="{00000000-0005-0000-0000-000001230000}"/>
    <cellStyle name="Comma 2 2 8 3 3 4" xfId="34856" xr:uid="{00000000-0005-0000-0000-000002230000}"/>
    <cellStyle name="Comma 2 2 8 3 3 5" xfId="36958" xr:uid="{00000000-0005-0000-0000-000003230000}"/>
    <cellStyle name="Comma 2 2 8 3 3 6" xfId="39473" xr:uid="{00000000-0005-0000-0000-000004230000}"/>
    <cellStyle name="Comma 2 2 8 3 3 7" xfId="42433" xr:uid="{00000000-0005-0000-0000-000005230000}"/>
    <cellStyle name="Comma 2 2 8 3 3 8" xfId="44668" xr:uid="{00000000-0005-0000-0000-000006230000}"/>
    <cellStyle name="Comma 2 2 8 3 4" xfId="11814" xr:uid="{00000000-0005-0000-0000-000007230000}"/>
    <cellStyle name="Comma 2 2 8 3 4 2" xfId="40194" xr:uid="{00000000-0005-0000-0000-000008230000}"/>
    <cellStyle name="Comma 2 2 8 3 4 3" xfId="43043" xr:uid="{00000000-0005-0000-0000-000009230000}"/>
    <cellStyle name="Comma 2 2 8 3 4 4" xfId="44669" xr:uid="{00000000-0005-0000-0000-00000A230000}"/>
    <cellStyle name="Comma 2 2 8 3 5" xfId="15540" xr:uid="{00000000-0005-0000-0000-00000B230000}"/>
    <cellStyle name="Comma 2 2 8 3 6" xfId="30038" xr:uid="{00000000-0005-0000-0000-00000C230000}"/>
    <cellStyle name="Comma 2 2 8 3 7" xfId="30588" xr:uid="{00000000-0005-0000-0000-00000D230000}"/>
    <cellStyle name="Comma 2 2 8 3 8" xfId="31861" xr:uid="{00000000-0005-0000-0000-00000E230000}"/>
    <cellStyle name="Comma 2 2 8 3 9" xfId="32503" xr:uid="{00000000-0005-0000-0000-00000F230000}"/>
    <cellStyle name="Comma 2 2 8 4" xfId="5736" xr:uid="{00000000-0005-0000-0000-000010230000}"/>
    <cellStyle name="Comma 2 2 8 4 10" xfId="33717" xr:uid="{00000000-0005-0000-0000-000011230000}"/>
    <cellStyle name="Comma 2 2 8 4 11" xfId="34204" xr:uid="{00000000-0005-0000-0000-000012230000}"/>
    <cellStyle name="Comma 2 2 8 4 12" xfId="36434" xr:uid="{00000000-0005-0000-0000-000013230000}"/>
    <cellStyle name="Comma 2 2 8 4 13" xfId="38103" xr:uid="{00000000-0005-0000-0000-000014230000}"/>
    <cellStyle name="Comma 2 2 8 4 14" xfId="41600" xr:uid="{00000000-0005-0000-0000-000015230000}"/>
    <cellStyle name="Comma 2 2 8 4 15" xfId="44670" xr:uid="{00000000-0005-0000-0000-000016230000}"/>
    <cellStyle name="Comma 2 2 8 4 16" xfId="8095" xr:uid="{00000000-0005-0000-0000-000017230000}"/>
    <cellStyle name="Comma 2 2 8 4 2" xfId="8796" xr:uid="{00000000-0005-0000-0000-000018230000}"/>
    <cellStyle name="Comma 2 2 8 4 2 10" xfId="34463" xr:uid="{00000000-0005-0000-0000-000019230000}"/>
    <cellStyle name="Comma 2 2 8 4 2 11" xfId="36631" xr:uid="{00000000-0005-0000-0000-00001A230000}"/>
    <cellStyle name="Comma 2 2 8 4 2 12" xfId="40059" xr:uid="{00000000-0005-0000-0000-00001B230000}"/>
    <cellStyle name="Comma 2 2 8 4 2 13" xfId="42928" xr:uid="{00000000-0005-0000-0000-00001C230000}"/>
    <cellStyle name="Comma 2 2 8 4 2 14" xfId="44671" xr:uid="{00000000-0005-0000-0000-00001D230000}"/>
    <cellStyle name="Comma 2 2 8 4 2 2" xfId="12795" xr:uid="{00000000-0005-0000-0000-00001E230000}"/>
    <cellStyle name="Comma 2 2 8 4 2 2 2" xfId="31377" xr:uid="{00000000-0005-0000-0000-00001F230000}"/>
    <cellStyle name="Comma 2 2 8 4 2 2 3" xfId="33231" xr:uid="{00000000-0005-0000-0000-000020230000}"/>
    <cellStyle name="Comma 2 2 8 4 2 2 4" xfId="35054" xr:uid="{00000000-0005-0000-0000-000021230000}"/>
    <cellStyle name="Comma 2 2 8 4 2 2 5" xfId="37152" xr:uid="{00000000-0005-0000-0000-000022230000}"/>
    <cellStyle name="Comma 2 2 8 4 2 3" xfId="12012" xr:uid="{00000000-0005-0000-0000-000023230000}"/>
    <cellStyle name="Comma 2 2 8 4 2 4" xfId="15543" xr:uid="{00000000-0005-0000-0000-000024230000}"/>
    <cellStyle name="Comma 2 2 8 4 2 5" xfId="30041" xr:uid="{00000000-0005-0000-0000-000025230000}"/>
    <cellStyle name="Comma 2 2 8 4 2 6" xfId="30786" xr:uid="{00000000-0005-0000-0000-000026230000}"/>
    <cellStyle name="Comma 2 2 8 4 2 7" xfId="31864" xr:uid="{00000000-0005-0000-0000-000027230000}"/>
    <cellStyle name="Comma 2 2 8 4 2 8" xfId="32506" xr:uid="{00000000-0005-0000-0000-000028230000}"/>
    <cellStyle name="Comma 2 2 8 4 2 9" xfId="33718" xr:uid="{00000000-0005-0000-0000-000029230000}"/>
    <cellStyle name="Comma 2 2 8 4 3" xfId="12407" xr:uid="{00000000-0005-0000-0000-00002A230000}"/>
    <cellStyle name="Comma 2 2 8 4 3 2" xfId="31118" xr:uid="{00000000-0005-0000-0000-00002B230000}"/>
    <cellStyle name="Comma 2 2 8 4 3 3" xfId="32980" xr:uid="{00000000-0005-0000-0000-00002C230000}"/>
    <cellStyle name="Comma 2 2 8 4 3 4" xfId="34795" xr:uid="{00000000-0005-0000-0000-00002D230000}"/>
    <cellStyle name="Comma 2 2 8 4 3 5" xfId="36901" xr:uid="{00000000-0005-0000-0000-00002E230000}"/>
    <cellStyle name="Comma 2 2 8 4 4" xfId="11753" xr:uid="{00000000-0005-0000-0000-00002F230000}"/>
    <cellStyle name="Comma 2 2 8 4 5" xfId="15542" xr:uid="{00000000-0005-0000-0000-000030230000}"/>
    <cellStyle name="Comma 2 2 8 4 6" xfId="30040" xr:uid="{00000000-0005-0000-0000-000031230000}"/>
    <cellStyle name="Comma 2 2 8 4 7" xfId="30527" xr:uid="{00000000-0005-0000-0000-000032230000}"/>
    <cellStyle name="Comma 2 2 8 4 8" xfId="31863" xr:uid="{00000000-0005-0000-0000-000033230000}"/>
    <cellStyle name="Comma 2 2 8 4 9" xfId="32505" xr:uid="{00000000-0005-0000-0000-000034230000}"/>
    <cellStyle name="Comma 2 2 8 5" xfId="6195" xr:uid="{00000000-0005-0000-0000-000035230000}"/>
    <cellStyle name="Comma 2 2 8 5 10" xfId="34459" xr:uid="{00000000-0005-0000-0000-000036230000}"/>
    <cellStyle name="Comma 2 2 8 5 11" xfId="36627" xr:uid="{00000000-0005-0000-0000-000037230000}"/>
    <cellStyle name="Comma 2 2 8 5 12" xfId="38936" xr:uid="{00000000-0005-0000-0000-000038230000}"/>
    <cellStyle name="Comma 2 2 8 5 13" xfId="41967" xr:uid="{00000000-0005-0000-0000-000039230000}"/>
    <cellStyle name="Comma 2 2 8 5 14" xfId="44672" xr:uid="{00000000-0005-0000-0000-00003A230000}"/>
    <cellStyle name="Comma 2 2 8 5 15" xfId="8792" xr:uid="{00000000-0005-0000-0000-00003B230000}"/>
    <cellStyle name="Comma 2 2 8 5 2" xfId="12791" xr:uid="{00000000-0005-0000-0000-00003C230000}"/>
    <cellStyle name="Comma 2 2 8 5 2 2" xfId="31373" xr:uid="{00000000-0005-0000-0000-00003D230000}"/>
    <cellStyle name="Comma 2 2 8 5 2 3" xfId="33227" xr:uid="{00000000-0005-0000-0000-00003E230000}"/>
    <cellStyle name="Comma 2 2 8 5 2 4" xfId="35050" xr:uid="{00000000-0005-0000-0000-00003F230000}"/>
    <cellStyle name="Comma 2 2 8 5 2 5" xfId="37148" xr:uid="{00000000-0005-0000-0000-000040230000}"/>
    <cellStyle name="Comma 2 2 8 5 2 6" xfId="40494" xr:uid="{00000000-0005-0000-0000-000041230000}"/>
    <cellStyle name="Comma 2 2 8 5 2 7" xfId="43295" xr:uid="{00000000-0005-0000-0000-000042230000}"/>
    <cellStyle name="Comma 2 2 8 5 2 8" xfId="44673" xr:uid="{00000000-0005-0000-0000-000043230000}"/>
    <cellStyle name="Comma 2 2 8 5 3" xfId="12008" xr:uid="{00000000-0005-0000-0000-000044230000}"/>
    <cellStyle name="Comma 2 2 8 5 4" xfId="15544" xr:uid="{00000000-0005-0000-0000-000045230000}"/>
    <cellStyle name="Comma 2 2 8 5 5" xfId="30042" xr:uid="{00000000-0005-0000-0000-000046230000}"/>
    <cellStyle name="Comma 2 2 8 5 6" xfId="30782" xr:uid="{00000000-0005-0000-0000-000047230000}"/>
    <cellStyle name="Comma 2 2 8 5 7" xfId="31865" xr:uid="{00000000-0005-0000-0000-000048230000}"/>
    <cellStyle name="Comma 2 2 8 5 8" xfId="32507" xr:uid="{00000000-0005-0000-0000-000049230000}"/>
    <cellStyle name="Comma 2 2 8 5 9" xfId="33719" xr:uid="{00000000-0005-0000-0000-00004A230000}"/>
    <cellStyle name="Comma 2 2 8 6" xfId="11516" xr:uid="{00000000-0005-0000-0000-00004B230000}"/>
    <cellStyle name="Comma 2 2 8 6 10" xfId="34630" xr:uid="{00000000-0005-0000-0000-00004C230000}"/>
    <cellStyle name="Comma 2 2 8 6 11" xfId="36758" xr:uid="{00000000-0005-0000-0000-00004D230000}"/>
    <cellStyle name="Comma 2 2 8 6 12" xfId="39340" xr:uid="{00000000-0005-0000-0000-00004E230000}"/>
    <cellStyle name="Comma 2 2 8 6 13" xfId="42318" xr:uid="{00000000-0005-0000-0000-00004F230000}"/>
    <cellStyle name="Comma 2 2 8 6 14" xfId="44674" xr:uid="{00000000-0005-0000-0000-000050230000}"/>
    <cellStyle name="Comma 2 2 8 6 2" xfId="15137" xr:uid="{00000000-0005-0000-0000-000051230000}"/>
    <cellStyle name="Comma 2 2 8 6 2 2" xfId="31544" xr:uid="{00000000-0005-0000-0000-000052230000}"/>
    <cellStyle name="Comma 2 2 8 6 2 3" xfId="33397" xr:uid="{00000000-0005-0000-0000-000053230000}"/>
    <cellStyle name="Comma 2 2 8 6 2 4" xfId="35221" xr:uid="{00000000-0005-0000-0000-000054230000}"/>
    <cellStyle name="Comma 2 2 8 6 2 5" xfId="37301" xr:uid="{00000000-0005-0000-0000-000055230000}"/>
    <cellStyle name="Comma 2 2 8 6 2 6" xfId="40911" xr:uid="{00000000-0005-0000-0000-000056230000}"/>
    <cellStyle name="Comma 2 2 8 6 2 7" xfId="43646" xr:uid="{00000000-0005-0000-0000-000057230000}"/>
    <cellStyle name="Comma 2 2 8 6 2 8" xfId="44675" xr:uid="{00000000-0005-0000-0000-000058230000}"/>
    <cellStyle name="Comma 2 2 8 6 3" xfId="12179" xr:uid="{00000000-0005-0000-0000-000059230000}"/>
    <cellStyle name="Comma 2 2 8 6 4" xfId="15545" xr:uid="{00000000-0005-0000-0000-00005A230000}"/>
    <cellStyle name="Comma 2 2 8 6 5" xfId="30043" xr:uid="{00000000-0005-0000-0000-00005B230000}"/>
    <cellStyle name="Comma 2 2 8 6 6" xfId="30953" xr:uid="{00000000-0005-0000-0000-00005C230000}"/>
    <cellStyle name="Comma 2 2 8 6 7" xfId="31866" xr:uid="{00000000-0005-0000-0000-00005D230000}"/>
    <cellStyle name="Comma 2 2 8 6 8" xfId="32508" xr:uid="{00000000-0005-0000-0000-00005E230000}"/>
    <cellStyle name="Comma 2 2 8 6 9" xfId="33720" xr:uid="{00000000-0005-0000-0000-00005F230000}"/>
    <cellStyle name="Comma 2 2 8 7" xfId="12255" xr:uid="{00000000-0005-0000-0000-000060230000}"/>
    <cellStyle name="Comma 2 2 8 7 2" xfId="31028" xr:uid="{00000000-0005-0000-0000-000061230000}"/>
    <cellStyle name="Comma 2 2 8 7 3" xfId="32900" xr:uid="{00000000-0005-0000-0000-000062230000}"/>
    <cellStyle name="Comma 2 2 8 7 4" xfId="34705" xr:uid="{00000000-0005-0000-0000-000063230000}"/>
    <cellStyle name="Comma 2 2 8 7 5" xfId="36813" xr:uid="{00000000-0005-0000-0000-000064230000}"/>
    <cellStyle name="Comma 2 2 8 7 6" xfId="39801" xr:uid="{00000000-0005-0000-0000-000065230000}"/>
    <cellStyle name="Comma 2 2 8 7 7" xfId="42709" xr:uid="{00000000-0005-0000-0000-000066230000}"/>
    <cellStyle name="Comma 2 2 8 7 8" xfId="44676" xr:uid="{00000000-0005-0000-0000-000067230000}"/>
    <cellStyle name="Comma 2 2 8 8" xfId="11661" xr:uid="{00000000-0005-0000-0000-000068230000}"/>
    <cellStyle name="Comma 2 2 8 9" xfId="15535" xr:uid="{00000000-0005-0000-0000-000069230000}"/>
    <cellStyle name="Comma 2 2 9" xfId="2772" xr:uid="{00000000-0005-0000-0000-00006A230000}"/>
    <cellStyle name="Comma 2 2 9 10" xfId="31867" xr:uid="{00000000-0005-0000-0000-00006B230000}"/>
    <cellStyle name="Comma 2 2 9 11" xfId="32509" xr:uid="{00000000-0005-0000-0000-00006C230000}"/>
    <cellStyle name="Comma 2 2 9 12" xfId="33721" xr:uid="{00000000-0005-0000-0000-00006D230000}"/>
    <cellStyle name="Comma 2 2 9 13" xfId="34139" xr:uid="{00000000-0005-0000-0000-00006E230000}"/>
    <cellStyle name="Comma 2 2 9 14" xfId="35334" xr:uid="{00000000-0005-0000-0000-00006F230000}"/>
    <cellStyle name="Comma 2 2 9 15" xfId="36197" xr:uid="{00000000-0005-0000-0000-000070230000}"/>
    <cellStyle name="Comma 2 2 9 16" xfId="37435" xr:uid="{00000000-0005-0000-0000-000071230000}"/>
    <cellStyle name="Comma 2 2 9 17" xfId="41382" xr:uid="{00000000-0005-0000-0000-000072230000}"/>
    <cellStyle name="Comma 2 2 9 18" xfId="44677" xr:uid="{00000000-0005-0000-0000-000073230000}"/>
    <cellStyle name="Comma 2 2 9 19" xfId="6652" xr:uid="{00000000-0005-0000-0000-000074230000}"/>
    <cellStyle name="Comma 2 2 9 2" xfId="5083" xr:uid="{00000000-0005-0000-0000-000075230000}"/>
    <cellStyle name="Comma 2 2 9 2 10" xfId="33722" xr:uid="{00000000-0005-0000-0000-000076230000}"/>
    <cellStyle name="Comma 2 2 9 2 11" xfId="34291" xr:uid="{00000000-0005-0000-0000-000077230000}"/>
    <cellStyle name="Comma 2 2 9 2 12" xfId="36038" xr:uid="{00000000-0005-0000-0000-000078230000}"/>
    <cellStyle name="Comma 2 2 9 2 13" xfId="36338" xr:uid="{00000000-0005-0000-0000-000079230000}"/>
    <cellStyle name="Comma 2 2 9 2 14" xfId="37509" xr:uid="{00000000-0005-0000-0000-00007A230000}"/>
    <cellStyle name="Comma 2 2 9 2 15" xfId="41455" xr:uid="{00000000-0005-0000-0000-00007B230000}"/>
    <cellStyle name="Comma 2 2 9 2 16" xfId="44678" xr:uid="{00000000-0005-0000-0000-00007C230000}"/>
    <cellStyle name="Comma 2 2 9 2 17" xfId="8528" xr:uid="{00000000-0005-0000-0000-00007D230000}"/>
    <cellStyle name="Comma 2 2 9 2 2" xfId="6052" xr:uid="{00000000-0005-0000-0000-00007E230000}"/>
    <cellStyle name="Comma 2 2 9 2 2 10" xfId="34465" xr:uid="{00000000-0005-0000-0000-00007F230000}"/>
    <cellStyle name="Comma 2 2 9 2 2 11" xfId="36633" xr:uid="{00000000-0005-0000-0000-000080230000}"/>
    <cellStyle name="Comma 2 2 9 2 2 12" xfId="38817" xr:uid="{00000000-0005-0000-0000-000081230000}"/>
    <cellStyle name="Comma 2 2 9 2 2 13" xfId="41856" xr:uid="{00000000-0005-0000-0000-000082230000}"/>
    <cellStyle name="Comma 2 2 9 2 2 14" xfId="44679" xr:uid="{00000000-0005-0000-0000-000083230000}"/>
    <cellStyle name="Comma 2 2 9 2 2 15" xfId="8798" xr:uid="{00000000-0005-0000-0000-000084230000}"/>
    <cellStyle name="Comma 2 2 9 2 2 2" xfId="12797" xr:uid="{00000000-0005-0000-0000-000085230000}"/>
    <cellStyle name="Comma 2 2 9 2 2 2 2" xfId="31379" xr:uid="{00000000-0005-0000-0000-000086230000}"/>
    <cellStyle name="Comma 2 2 9 2 2 2 3" xfId="33233" xr:uid="{00000000-0005-0000-0000-000087230000}"/>
    <cellStyle name="Comma 2 2 9 2 2 2 4" xfId="35056" xr:uid="{00000000-0005-0000-0000-000088230000}"/>
    <cellStyle name="Comma 2 2 9 2 2 2 5" xfId="37154" xr:uid="{00000000-0005-0000-0000-000089230000}"/>
    <cellStyle name="Comma 2 2 9 2 2 2 6" xfId="40366" xr:uid="{00000000-0005-0000-0000-00008A230000}"/>
    <cellStyle name="Comma 2 2 9 2 2 2 7" xfId="43184" xr:uid="{00000000-0005-0000-0000-00008B230000}"/>
    <cellStyle name="Comma 2 2 9 2 2 2 8" xfId="44680" xr:uid="{00000000-0005-0000-0000-00008C230000}"/>
    <cellStyle name="Comma 2 2 9 2 2 3" xfId="12014" xr:uid="{00000000-0005-0000-0000-00008D230000}"/>
    <cellStyle name="Comma 2 2 9 2 2 4" xfId="15548" xr:uid="{00000000-0005-0000-0000-00008E230000}"/>
    <cellStyle name="Comma 2 2 9 2 2 5" xfId="30046" xr:uid="{00000000-0005-0000-0000-00008F230000}"/>
    <cellStyle name="Comma 2 2 9 2 2 6" xfId="30788" xr:uid="{00000000-0005-0000-0000-000090230000}"/>
    <cellStyle name="Comma 2 2 9 2 2 7" xfId="31869" xr:uid="{00000000-0005-0000-0000-000091230000}"/>
    <cellStyle name="Comma 2 2 9 2 2 8" xfId="32511" xr:uid="{00000000-0005-0000-0000-000092230000}"/>
    <cellStyle name="Comma 2 2 9 2 2 9" xfId="33723" xr:uid="{00000000-0005-0000-0000-000093230000}"/>
    <cellStyle name="Comma 2 2 9 2 3" xfId="6372" xr:uid="{00000000-0005-0000-0000-000094230000}"/>
    <cellStyle name="Comma 2 2 9 2 3 2" xfId="31205" xr:uid="{00000000-0005-0000-0000-000095230000}"/>
    <cellStyle name="Comma 2 2 9 2 3 2 2" xfId="40605" xr:uid="{00000000-0005-0000-0000-000096230000}"/>
    <cellStyle name="Comma 2 2 9 2 3 2 3" xfId="43391" xr:uid="{00000000-0005-0000-0000-000097230000}"/>
    <cellStyle name="Comma 2 2 9 2 3 2 4" xfId="44681" xr:uid="{00000000-0005-0000-0000-000098230000}"/>
    <cellStyle name="Comma 2 2 9 2 3 3" xfId="33061" xr:uid="{00000000-0005-0000-0000-000099230000}"/>
    <cellStyle name="Comma 2 2 9 2 3 4" xfId="34882" xr:uid="{00000000-0005-0000-0000-00009A230000}"/>
    <cellStyle name="Comma 2 2 9 2 3 5" xfId="36982" xr:uid="{00000000-0005-0000-0000-00009B230000}"/>
    <cellStyle name="Comma 2 2 9 2 3 6" xfId="39037" xr:uid="{00000000-0005-0000-0000-00009C230000}"/>
    <cellStyle name="Comma 2 2 9 2 3 7" xfId="42063" xr:uid="{00000000-0005-0000-0000-00009D230000}"/>
    <cellStyle name="Comma 2 2 9 2 3 8" xfId="44682" xr:uid="{00000000-0005-0000-0000-00009E230000}"/>
    <cellStyle name="Comma 2 2 9 2 3 9" xfId="12563" xr:uid="{00000000-0005-0000-0000-00009F230000}"/>
    <cellStyle name="Comma 2 2 9 2 4" xfId="11840" xr:uid="{00000000-0005-0000-0000-0000A0230000}"/>
    <cellStyle name="Comma 2 2 9 2 4 2" xfId="41222" xr:uid="{00000000-0005-0000-0000-0000A1230000}"/>
    <cellStyle name="Comma 2 2 9 2 4 2 2" xfId="43902" xr:uid="{00000000-0005-0000-0000-0000A2230000}"/>
    <cellStyle name="Comma 2 2 9 2 4 2 3" xfId="44683" xr:uid="{00000000-0005-0000-0000-0000A3230000}"/>
    <cellStyle name="Comma 2 2 9 2 4 3" xfId="39639" xr:uid="{00000000-0005-0000-0000-0000A4230000}"/>
    <cellStyle name="Comma 2 2 9 2 4 4" xfId="42574" xr:uid="{00000000-0005-0000-0000-0000A5230000}"/>
    <cellStyle name="Comma 2 2 9 2 4 5" xfId="44684" xr:uid="{00000000-0005-0000-0000-0000A6230000}"/>
    <cellStyle name="Comma 2 2 9 2 5" xfId="15547" xr:uid="{00000000-0005-0000-0000-0000A7230000}"/>
    <cellStyle name="Comma 2 2 9 2 5 2" xfId="39884" xr:uid="{00000000-0005-0000-0000-0000A8230000}"/>
    <cellStyle name="Comma 2 2 9 2 5 3" xfId="42783" xr:uid="{00000000-0005-0000-0000-0000A9230000}"/>
    <cellStyle name="Comma 2 2 9 2 5 4" xfId="44685" xr:uid="{00000000-0005-0000-0000-0000AA230000}"/>
    <cellStyle name="Comma 2 2 9 2 6" xfId="30045" xr:uid="{00000000-0005-0000-0000-0000AB230000}"/>
    <cellStyle name="Comma 2 2 9 2 7" xfId="30614" xr:uid="{00000000-0005-0000-0000-0000AC230000}"/>
    <cellStyle name="Comma 2 2 9 2 8" xfId="31868" xr:uid="{00000000-0005-0000-0000-0000AD230000}"/>
    <cellStyle name="Comma 2 2 9 2 9" xfId="32510" xr:uid="{00000000-0005-0000-0000-0000AE230000}"/>
    <cellStyle name="Comma 2 2 9 3" xfId="4424" xr:uid="{00000000-0005-0000-0000-0000AF230000}"/>
    <cellStyle name="Comma 2 2 9 3 10" xfId="34464" xr:uid="{00000000-0005-0000-0000-0000B0230000}"/>
    <cellStyle name="Comma 2 2 9 3 11" xfId="35607" xr:uid="{00000000-0005-0000-0000-0000B1230000}"/>
    <cellStyle name="Comma 2 2 9 3 12" xfId="36632" xr:uid="{00000000-0005-0000-0000-0000B2230000}"/>
    <cellStyle name="Comma 2 2 9 3 13" xfId="38676" xr:uid="{00000000-0005-0000-0000-0000B3230000}"/>
    <cellStyle name="Comma 2 2 9 3 14" xfId="41716" xr:uid="{00000000-0005-0000-0000-0000B4230000}"/>
    <cellStyle name="Comma 2 2 9 3 15" xfId="44686" xr:uid="{00000000-0005-0000-0000-0000B5230000}"/>
    <cellStyle name="Comma 2 2 9 3 16" xfId="8797" xr:uid="{00000000-0005-0000-0000-0000B6230000}"/>
    <cellStyle name="Comma 2 2 9 3 2" xfId="5875" xr:uid="{00000000-0005-0000-0000-0000B7230000}"/>
    <cellStyle name="Comma 2 2 9 3 2 2" xfId="31378" xr:uid="{00000000-0005-0000-0000-0000B8230000}"/>
    <cellStyle name="Comma 2 2 9 3 2 2 2" xfId="40739" xr:uid="{00000000-0005-0000-0000-0000B9230000}"/>
    <cellStyle name="Comma 2 2 9 3 2 2 3" xfId="43502" xr:uid="{00000000-0005-0000-0000-0000BA230000}"/>
    <cellStyle name="Comma 2 2 9 3 2 2 4" xfId="44687" xr:uid="{00000000-0005-0000-0000-0000BB230000}"/>
    <cellStyle name="Comma 2 2 9 3 2 3" xfId="33232" xr:uid="{00000000-0005-0000-0000-0000BC230000}"/>
    <cellStyle name="Comma 2 2 9 3 2 4" xfId="35055" xr:uid="{00000000-0005-0000-0000-0000BD230000}"/>
    <cellStyle name="Comma 2 2 9 3 2 5" xfId="37153" xr:uid="{00000000-0005-0000-0000-0000BE230000}"/>
    <cellStyle name="Comma 2 2 9 3 2 6" xfId="39166" xr:uid="{00000000-0005-0000-0000-0000BF230000}"/>
    <cellStyle name="Comma 2 2 9 3 2 7" xfId="42174" xr:uid="{00000000-0005-0000-0000-0000C0230000}"/>
    <cellStyle name="Comma 2 2 9 3 2 8" xfId="44688" xr:uid="{00000000-0005-0000-0000-0000C1230000}"/>
    <cellStyle name="Comma 2 2 9 3 2 9" xfId="12796" xr:uid="{00000000-0005-0000-0000-0000C2230000}"/>
    <cellStyle name="Comma 2 2 9 3 3" xfId="12013" xr:uid="{00000000-0005-0000-0000-0000C3230000}"/>
    <cellStyle name="Comma 2 2 9 3 3 2" xfId="41050" xr:uid="{00000000-0005-0000-0000-0000C4230000}"/>
    <cellStyle name="Comma 2 2 9 3 3 2 2" xfId="43762" xr:uid="{00000000-0005-0000-0000-0000C5230000}"/>
    <cellStyle name="Comma 2 2 9 3 3 2 3" xfId="44689" xr:uid="{00000000-0005-0000-0000-0000C6230000}"/>
    <cellStyle name="Comma 2 2 9 3 3 3" xfId="39474" xr:uid="{00000000-0005-0000-0000-0000C7230000}"/>
    <cellStyle name="Comma 2 2 9 3 3 4" xfId="42434" xr:uid="{00000000-0005-0000-0000-0000C8230000}"/>
    <cellStyle name="Comma 2 2 9 3 3 5" xfId="44690" xr:uid="{00000000-0005-0000-0000-0000C9230000}"/>
    <cellStyle name="Comma 2 2 9 3 4" xfId="15549" xr:uid="{00000000-0005-0000-0000-0000CA230000}"/>
    <cellStyle name="Comma 2 2 9 3 4 2" xfId="40195" xr:uid="{00000000-0005-0000-0000-0000CB230000}"/>
    <cellStyle name="Comma 2 2 9 3 4 3" xfId="43044" xr:uid="{00000000-0005-0000-0000-0000CC230000}"/>
    <cellStyle name="Comma 2 2 9 3 4 4" xfId="44691" xr:uid="{00000000-0005-0000-0000-0000CD230000}"/>
    <cellStyle name="Comma 2 2 9 3 5" xfId="30047" xr:uid="{00000000-0005-0000-0000-0000CE230000}"/>
    <cellStyle name="Comma 2 2 9 3 6" xfId="30787" xr:uid="{00000000-0005-0000-0000-0000CF230000}"/>
    <cellStyle name="Comma 2 2 9 3 7" xfId="31870" xr:uid="{00000000-0005-0000-0000-0000D0230000}"/>
    <cellStyle name="Comma 2 2 9 3 8" xfId="32512" xr:uid="{00000000-0005-0000-0000-0000D1230000}"/>
    <cellStyle name="Comma 2 2 9 3 9" xfId="33724" xr:uid="{00000000-0005-0000-0000-0000D2230000}"/>
    <cellStyle name="Comma 2 2 9 4" xfId="5737" xr:uid="{00000000-0005-0000-0000-0000D3230000}"/>
    <cellStyle name="Comma 2 2 9 4 10" xfId="34631" xr:uid="{00000000-0005-0000-0000-0000D4230000}"/>
    <cellStyle name="Comma 2 2 9 4 11" xfId="36759" xr:uid="{00000000-0005-0000-0000-0000D5230000}"/>
    <cellStyle name="Comma 2 2 9 4 12" xfId="38104" xr:uid="{00000000-0005-0000-0000-0000D6230000}"/>
    <cellStyle name="Comma 2 2 9 4 13" xfId="41601" xr:uid="{00000000-0005-0000-0000-0000D7230000}"/>
    <cellStyle name="Comma 2 2 9 4 14" xfId="44692" xr:uid="{00000000-0005-0000-0000-0000D8230000}"/>
    <cellStyle name="Comma 2 2 9 4 15" xfId="11517" xr:uid="{00000000-0005-0000-0000-0000D9230000}"/>
    <cellStyle name="Comma 2 2 9 4 2" xfId="15138" xr:uid="{00000000-0005-0000-0000-0000DA230000}"/>
    <cellStyle name="Comma 2 2 9 4 2 2" xfId="31545" xr:uid="{00000000-0005-0000-0000-0000DB230000}"/>
    <cellStyle name="Comma 2 2 9 4 2 3" xfId="33398" xr:uid="{00000000-0005-0000-0000-0000DC230000}"/>
    <cellStyle name="Comma 2 2 9 4 2 4" xfId="35222" xr:uid="{00000000-0005-0000-0000-0000DD230000}"/>
    <cellStyle name="Comma 2 2 9 4 2 5" xfId="37302" xr:uid="{00000000-0005-0000-0000-0000DE230000}"/>
    <cellStyle name="Comma 2 2 9 4 2 6" xfId="40060" xr:uid="{00000000-0005-0000-0000-0000DF230000}"/>
    <cellStyle name="Comma 2 2 9 4 2 7" xfId="42929" xr:uid="{00000000-0005-0000-0000-0000E0230000}"/>
    <cellStyle name="Comma 2 2 9 4 2 8" xfId="44693" xr:uid="{00000000-0005-0000-0000-0000E1230000}"/>
    <cellStyle name="Comma 2 2 9 4 3" xfId="12180" xr:uid="{00000000-0005-0000-0000-0000E2230000}"/>
    <cellStyle name="Comma 2 2 9 4 4" xfId="15550" xr:uid="{00000000-0005-0000-0000-0000E3230000}"/>
    <cellStyle name="Comma 2 2 9 4 5" xfId="30048" xr:uid="{00000000-0005-0000-0000-0000E4230000}"/>
    <cellStyle name="Comma 2 2 9 4 6" xfId="30954" xr:uid="{00000000-0005-0000-0000-0000E5230000}"/>
    <cellStyle name="Comma 2 2 9 4 7" xfId="31871" xr:uid="{00000000-0005-0000-0000-0000E6230000}"/>
    <cellStyle name="Comma 2 2 9 4 8" xfId="32513" xr:uid="{00000000-0005-0000-0000-0000E7230000}"/>
    <cellStyle name="Comma 2 2 9 4 9" xfId="33725" xr:uid="{00000000-0005-0000-0000-0000E8230000}"/>
    <cellStyle name="Comma 2 2 9 5" xfId="6196" xr:uid="{00000000-0005-0000-0000-0000E9230000}"/>
    <cellStyle name="Comma 2 2 9 5 2" xfId="31053" xr:uid="{00000000-0005-0000-0000-0000EA230000}"/>
    <cellStyle name="Comma 2 2 9 5 2 2" xfId="40495" xr:uid="{00000000-0005-0000-0000-0000EB230000}"/>
    <cellStyle name="Comma 2 2 9 5 2 3" xfId="43296" xr:uid="{00000000-0005-0000-0000-0000EC230000}"/>
    <cellStyle name="Comma 2 2 9 5 2 4" xfId="44694" xr:uid="{00000000-0005-0000-0000-0000ED230000}"/>
    <cellStyle name="Comma 2 2 9 5 3" xfId="32922" xr:uid="{00000000-0005-0000-0000-0000EE230000}"/>
    <cellStyle name="Comma 2 2 9 5 4" xfId="34730" xr:uid="{00000000-0005-0000-0000-0000EF230000}"/>
    <cellStyle name="Comma 2 2 9 5 5" xfId="36838" xr:uid="{00000000-0005-0000-0000-0000F0230000}"/>
    <cellStyle name="Comma 2 2 9 5 6" xfId="38937" xr:uid="{00000000-0005-0000-0000-0000F1230000}"/>
    <cellStyle name="Comma 2 2 9 5 7" xfId="41968" xr:uid="{00000000-0005-0000-0000-0000F2230000}"/>
    <cellStyle name="Comma 2 2 9 5 8" xfId="44695" xr:uid="{00000000-0005-0000-0000-0000F3230000}"/>
    <cellStyle name="Comma 2 2 9 5 9" xfId="12280" xr:uid="{00000000-0005-0000-0000-0000F4230000}"/>
    <cellStyle name="Comma 2 2 9 6" xfId="11687" xr:uid="{00000000-0005-0000-0000-0000F5230000}"/>
    <cellStyle name="Comma 2 2 9 6 2" xfId="40912" xr:uid="{00000000-0005-0000-0000-0000F6230000}"/>
    <cellStyle name="Comma 2 2 9 6 2 2" xfId="43647" xr:uid="{00000000-0005-0000-0000-0000F7230000}"/>
    <cellStyle name="Comma 2 2 9 6 2 3" xfId="44696" xr:uid="{00000000-0005-0000-0000-0000F8230000}"/>
    <cellStyle name="Comma 2 2 9 6 3" xfId="39341" xr:uid="{00000000-0005-0000-0000-0000F9230000}"/>
    <cellStyle name="Comma 2 2 9 6 4" xfId="42319" xr:uid="{00000000-0005-0000-0000-0000FA230000}"/>
    <cellStyle name="Comma 2 2 9 6 5" xfId="44697" xr:uid="{00000000-0005-0000-0000-0000FB230000}"/>
    <cellStyle name="Comma 2 2 9 7" xfId="15546" xr:uid="{00000000-0005-0000-0000-0000FC230000}"/>
    <cellStyle name="Comma 2 2 9 7 2" xfId="39802" xr:uid="{00000000-0005-0000-0000-0000FD230000}"/>
    <cellStyle name="Comma 2 2 9 7 3" xfId="42710" xr:uid="{00000000-0005-0000-0000-0000FE230000}"/>
    <cellStyle name="Comma 2 2 9 7 4" xfId="44698" xr:uid="{00000000-0005-0000-0000-0000FF230000}"/>
    <cellStyle name="Comma 2 2 9 8" xfId="30044" xr:uid="{00000000-0005-0000-0000-000000240000}"/>
    <cellStyle name="Comma 2 2 9 9" xfId="30462" xr:uid="{00000000-0005-0000-0000-000001240000}"/>
    <cellStyle name="Comma 2 20" xfId="15333" xr:uid="{00000000-0005-0000-0000-000002240000}"/>
    <cellStyle name="Comma 2 21" xfId="29831" xr:uid="{00000000-0005-0000-0000-000003240000}"/>
    <cellStyle name="Comma 2 22" xfId="30423" xr:uid="{00000000-0005-0000-0000-000004240000}"/>
    <cellStyle name="Comma 2 23" xfId="31654" xr:uid="{00000000-0005-0000-0000-000005240000}"/>
    <cellStyle name="Comma 2 24" xfId="32296" xr:uid="{00000000-0005-0000-0000-000006240000}"/>
    <cellStyle name="Comma 2 25" xfId="33508" xr:uid="{00000000-0005-0000-0000-000007240000}"/>
    <cellStyle name="Comma 2 26" xfId="34100" xr:uid="{00000000-0005-0000-0000-000008240000}"/>
    <cellStyle name="Comma 2 27" xfId="35311" xr:uid="{00000000-0005-0000-0000-000009240000}"/>
    <cellStyle name="Comma 2 28" xfId="36174" xr:uid="{00000000-0005-0000-0000-00000A240000}"/>
    <cellStyle name="Comma 2 29" xfId="37416" xr:uid="{00000000-0005-0000-0000-00000B240000}"/>
    <cellStyle name="Comma 2 3" xfId="1028" xr:uid="{00000000-0005-0000-0000-00000C240000}"/>
    <cellStyle name="Comma 2 3 10" xfId="11603" xr:uid="{00000000-0005-0000-0000-00000D240000}"/>
    <cellStyle name="Comma 2 3 10 10" xfId="34683" xr:uid="{00000000-0005-0000-0000-00000E240000}"/>
    <cellStyle name="Comma 2 3 10 11" xfId="36791" xr:uid="{00000000-0005-0000-0000-00000F240000}"/>
    <cellStyle name="Comma 2 3 10 12" xfId="39289" xr:uid="{00000000-0005-0000-0000-000010240000}"/>
    <cellStyle name="Comma 2 3 10 13" xfId="42270" xr:uid="{00000000-0005-0000-0000-000011240000}"/>
    <cellStyle name="Comma 2 3 10 14" xfId="44699" xr:uid="{00000000-0005-0000-0000-000012240000}"/>
    <cellStyle name="Comma 2 3 10 2" xfId="15218" xr:uid="{00000000-0005-0000-0000-000013240000}"/>
    <cellStyle name="Comma 2 3 10 2 2" xfId="31597" xr:uid="{00000000-0005-0000-0000-000014240000}"/>
    <cellStyle name="Comma 2 3 10 2 3" xfId="33450" xr:uid="{00000000-0005-0000-0000-000015240000}"/>
    <cellStyle name="Comma 2 3 10 2 4" xfId="35274" xr:uid="{00000000-0005-0000-0000-000016240000}"/>
    <cellStyle name="Comma 2 3 10 2 5" xfId="37348" xr:uid="{00000000-0005-0000-0000-000017240000}"/>
    <cellStyle name="Comma 2 3 10 2 6" xfId="40854" xr:uid="{00000000-0005-0000-0000-000018240000}"/>
    <cellStyle name="Comma 2 3 10 2 7" xfId="43598" xr:uid="{00000000-0005-0000-0000-000019240000}"/>
    <cellStyle name="Comma 2 3 10 2 8" xfId="44700" xr:uid="{00000000-0005-0000-0000-00001A240000}"/>
    <cellStyle name="Comma 2 3 10 3" xfId="12233" xr:uid="{00000000-0005-0000-0000-00001B240000}"/>
    <cellStyle name="Comma 2 3 10 4" xfId="15552" xr:uid="{00000000-0005-0000-0000-00001C240000}"/>
    <cellStyle name="Comma 2 3 10 5" xfId="30050" xr:uid="{00000000-0005-0000-0000-00001D240000}"/>
    <cellStyle name="Comma 2 3 10 6" xfId="31006" xr:uid="{00000000-0005-0000-0000-00001E240000}"/>
    <cellStyle name="Comma 2 3 10 7" xfId="31873" xr:uid="{00000000-0005-0000-0000-00001F240000}"/>
    <cellStyle name="Comma 2 3 10 8" xfId="32515" xr:uid="{00000000-0005-0000-0000-000020240000}"/>
    <cellStyle name="Comma 2 3 10 9" xfId="33727" xr:uid="{00000000-0005-0000-0000-000021240000}"/>
    <cellStyle name="Comma 2 3 11" xfId="12256" xr:uid="{00000000-0005-0000-0000-000022240000}"/>
    <cellStyle name="Comma 2 3 11 2" xfId="31029" xr:uid="{00000000-0005-0000-0000-000023240000}"/>
    <cellStyle name="Comma 2 3 11 3" xfId="32901" xr:uid="{00000000-0005-0000-0000-000024240000}"/>
    <cellStyle name="Comma 2 3 11 4" xfId="34706" xr:uid="{00000000-0005-0000-0000-000025240000}"/>
    <cellStyle name="Comma 2 3 11 5" xfId="36814" xr:uid="{00000000-0005-0000-0000-000026240000}"/>
    <cellStyle name="Comma 2 3 11 6" xfId="39752" xr:uid="{00000000-0005-0000-0000-000027240000}"/>
    <cellStyle name="Comma 2 3 11 7" xfId="42665" xr:uid="{00000000-0005-0000-0000-000028240000}"/>
    <cellStyle name="Comma 2 3 11 8" xfId="44701" xr:uid="{00000000-0005-0000-0000-000029240000}"/>
    <cellStyle name="Comma 2 3 12" xfId="11662" xr:uid="{00000000-0005-0000-0000-00002A240000}"/>
    <cellStyle name="Comma 2 3 13" xfId="15551" xr:uid="{00000000-0005-0000-0000-00002B240000}"/>
    <cellStyle name="Comma 2 3 14" xfId="30049" xr:uid="{00000000-0005-0000-0000-00002C240000}"/>
    <cellStyle name="Comma 2 3 15" xfId="30438" xr:uid="{00000000-0005-0000-0000-00002D240000}"/>
    <cellStyle name="Comma 2 3 16" xfId="31872" xr:uid="{00000000-0005-0000-0000-00002E240000}"/>
    <cellStyle name="Comma 2 3 17" xfId="32514" xr:uid="{00000000-0005-0000-0000-00002F240000}"/>
    <cellStyle name="Comma 2 3 18" xfId="33726" xr:uid="{00000000-0005-0000-0000-000030240000}"/>
    <cellStyle name="Comma 2 3 19" xfId="34115" xr:uid="{00000000-0005-0000-0000-000031240000}"/>
    <cellStyle name="Comma 2 3 2" xfId="2774" xr:uid="{00000000-0005-0000-0000-000032240000}"/>
    <cellStyle name="Comma 2 3 2 10" xfId="11663" xr:uid="{00000000-0005-0000-0000-000033240000}"/>
    <cellStyle name="Comma 2 3 2 11" xfId="15553" xr:uid="{00000000-0005-0000-0000-000034240000}"/>
    <cellStyle name="Comma 2 3 2 12" xfId="30051" xr:uid="{00000000-0005-0000-0000-000035240000}"/>
    <cellStyle name="Comma 2 3 2 13" xfId="30439" xr:uid="{00000000-0005-0000-0000-000036240000}"/>
    <cellStyle name="Comma 2 3 2 14" xfId="31874" xr:uid="{00000000-0005-0000-0000-000037240000}"/>
    <cellStyle name="Comma 2 3 2 15" xfId="32516" xr:uid="{00000000-0005-0000-0000-000038240000}"/>
    <cellStyle name="Comma 2 3 2 16" xfId="33728" xr:uid="{00000000-0005-0000-0000-000039240000}"/>
    <cellStyle name="Comma 2 3 2 17" xfId="34116" xr:uid="{00000000-0005-0000-0000-00003A240000}"/>
    <cellStyle name="Comma 2 3 2 18" xfId="35336" xr:uid="{00000000-0005-0000-0000-00003B240000}"/>
    <cellStyle name="Comma 2 3 2 19" xfId="36199" xr:uid="{00000000-0005-0000-0000-00003C240000}"/>
    <cellStyle name="Comma 2 3 2 2" xfId="5085" xr:uid="{00000000-0005-0000-0000-00003D240000}"/>
    <cellStyle name="Comma 2 3 2 2 10" xfId="32517" xr:uid="{00000000-0005-0000-0000-00003E240000}"/>
    <cellStyle name="Comma 2 3 2 2 11" xfId="33729" xr:uid="{00000000-0005-0000-0000-00003F240000}"/>
    <cellStyle name="Comma 2 3 2 2 12" xfId="34154" xr:uid="{00000000-0005-0000-0000-000040240000}"/>
    <cellStyle name="Comma 2 3 2 2 13" xfId="36040" xr:uid="{00000000-0005-0000-0000-000041240000}"/>
    <cellStyle name="Comma 2 3 2 2 14" xfId="36340" xr:uid="{00000000-0005-0000-0000-000042240000}"/>
    <cellStyle name="Comma 2 3 2 2 15" xfId="37511" xr:uid="{00000000-0005-0000-0000-000043240000}"/>
    <cellStyle name="Comma 2 3 2 2 16" xfId="41457" xr:uid="{00000000-0005-0000-0000-000044240000}"/>
    <cellStyle name="Comma 2 3 2 2 17" xfId="44702" xr:uid="{00000000-0005-0000-0000-000045240000}"/>
    <cellStyle name="Comma 2 3 2 2 18" xfId="6667" xr:uid="{00000000-0005-0000-0000-000046240000}"/>
    <cellStyle name="Comma 2 3 2 2 2" xfId="6054" xr:uid="{00000000-0005-0000-0000-000047240000}"/>
    <cellStyle name="Comma 2 3 2 2 2 10" xfId="33730" xr:uid="{00000000-0005-0000-0000-000048240000}"/>
    <cellStyle name="Comma 2 3 2 2 2 11" xfId="34306" xr:uid="{00000000-0005-0000-0000-000049240000}"/>
    <cellStyle name="Comma 2 3 2 2 2 12" xfId="36490" xr:uid="{00000000-0005-0000-0000-00004A240000}"/>
    <cellStyle name="Comma 2 3 2 2 2 13" xfId="38819" xr:uid="{00000000-0005-0000-0000-00004B240000}"/>
    <cellStyle name="Comma 2 3 2 2 2 14" xfId="41858" xr:uid="{00000000-0005-0000-0000-00004C240000}"/>
    <cellStyle name="Comma 2 3 2 2 2 15" xfId="44703" xr:uid="{00000000-0005-0000-0000-00004D240000}"/>
    <cellStyle name="Comma 2 3 2 2 2 16" xfId="8543" xr:uid="{00000000-0005-0000-0000-00004E240000}"/>
    <cellStyle name="Comma 2 3 2 2 2 2" xfId="8802" xr:uid="{00000000-0005-0000-0000-00004F240000}"/>
    <cellStyle name="Comma 2 3 2 2 2 2 10" xfId="34469" xr:uid="{00000000-0005-0000-0000-000050240000}"/>
    <cellStyle name="Comma 2 3 2 2 2 2 11" xfId="36637" xr:uid="{00000000-0005-0000-0000-000051240000}"/>
    <cellStyle name="Comma 2 3 2 2 2 2 12" xfId="40368" xr:uid="{00000000-0005-0000-0000-000052240000}"/>
    <cellStyle name="Comma 2 3 2 2 2 2 13" xfId="43186" xr:uid="{00000000-0005-0000-0000-000053240000}"/>
    <cellStyle name="Comma 2 3 2 2 2 2 14" xfId="44704" xr:uid="{00000000-0005-0000-0000-000054240000}"/>
    <cellStyle name="Comma 2 3 2 2 2 2 2" xfId="12801" xr:uid="{00000000-0005-0000-0000-000055240000}"/>
    <cellStyle name="Comma 2 3 2 2 2 2 2 2" xfId="31383" xr:uid="{00000000-0005-0000-0000-000056240000}"/>
    <cellStyle name="Comma 2 3 2 2 2 2 2 3" xfId="33237" xr:uid="{00000000-0005-0000-0000-000057240000}"/>
    <cellStyle name="Comma 2 3 2 2 2 2 2 4" xfId="35060" xr:uid="{00000000-0005-0000-0000-000058240000}"/>
    <cellStyle name="Comma 2 3 2 2 2 2 2 5" xfId="37158" xr:uid="{00000000-0005-0000-0000-000059240000}"/>
    <cellStyle name="Comma 2 3 2 2 2 2 3" xfId="12018" xr:uid="{00000000-0005-0000-0000-00005A240000}"/>
    <cellStyle name="Comma 2 3 2 2 2 2 4" xfId="15556" xr:uid="{00000000-0005-0000-0000-00005B240000}"/>
    <cellStyle name="Comma 2 3 2 2 2 2 5" xfId="30054" xr:uid="{00000000-0005-0000-0000-00005C240000}"/>
    <cellStyle name="Comma 2 3 2 2 2 2 6" xfId="30792" xr:uid="{00000000-0005-0000-0000-00005D240000}"/>
    <cellStyle name="Comma 2 3 2 2 2 2 7" xfId="31877" xr:uid="{00000000-0005-0000-0000-00005E240000}"/>
    <cellStyle name="Comma 2 3 2 2 2 2 8" xfId="32519" xr:uid="{00000000-0005-0000-0000-00005F240000}"/>
    <cellStyle name="Comma 2 3 2 2 2 2 9" xfId="33731" xr:uid="{00000000-0005-0000-0000-000060240000}"/>
    <cellStyle name="Comma 2 3 2 2 2 3" xfId="12578" xr:uid="{00000000-0005-0000-0000-000061240000}"/>
    <cellStyle name="Comma 2 3 2 2 2 3 2" xfId="31220" xr:uid="{00000000-0005-0000-0000-000062240000}"/>
    <cellStyle name="Comma 2 3 2 2 2 3 3" xfId="33076" xr:uid="{00000000-0005-0000-0000-000063240000}"/>
    <cellStyle name="Comma 2 3 2 2 2 3 4" xfId="34897" xr:uid="{00000000-0005-0000-0000-000064240000}"/>
    <cellStyle name="Comma 2 3 2 2 2 3 5" xfId="36997" xr:uid="{00000000-0005-0000-0000-000065240000}"/>
    <cellStyle name="Comma 2 3 2 2 2 4" xfId="11855" xr:uid="{00000000-0005-0000-0000-000066240000}"/>
    <cellStyle name="Comma 2 3 2 2 2 5" xfId="15555" xr:uid="{00000000-0005-0000-0000-000067240000}"/>
    <cellStyle name="Comma 2 3 2 2 2 6" xfId="30053" xr:uid="{00000000-0005-0000-0000-000068240000}"/>
    <cellStyle name="Comma 2 3 2 2 2 7" xfId="30629" xr:uid="{00000000-0005-0000-0000-000069240000}"/>
    <cellStyle name="Comma 2 3 2 2 2 8" xfId="31876" xr:uid="{00000000-0005-0000-0000-00006A240000}"/>
    <cellStyle name="Comma 2 3 2 2 2 9" xfId="32518" xr:uid="{00000000-0005-0000-0000-00006B240000}"/>
    <cellStyle name="Comma 2 3 2 2 3" xfId="6374" xr:uid="{00000000-0005-0000-0000-00006C240000}"/>
    <cellStyle name="Comma 2 3 2 2 3 10" xfId="34468" xr:uid="{00000000-0005-0000-0000-00006D240000}"/>
    <cellStyle name="Comma 2 3 2 2 3 11" xfId="36636" xr:uid="{00000000-0005-0000-0000-00006E240000}"/>
    <cellStyle name="Comma 2 3 2 2 3 12" xfId="39039" xr:uid="{00000000-0005-0000-0000-00006F240000}"/>
    <cellStyle name="Comma 2 3 2 2 3 13" xfId="42065" xr:uid="{00000000-0005-0000-0000-000070240000}"/>
    <cellStyle name="Comma 2 3 2 2 3 14" xfId="44705" xr:uid="{00000000-0005-0000-0000-000071240000}"/>
    <cellStyle name="Comma 2 3 2 2 3 15" xfId="8801" xr:uid="{00000000-0005-0000-0000-000072240000}"/>
    <cellStyle name="Comma 2 3 2 2 3 2" xfId="12800" xr:uid="{00000000-0005-0000-0000-000073240000}"/>
    <cellStyle name="Comma 2 3 2 2 3 2 2" xfId="31382" xr:uid="{00000000-0005-0000-0000-000074240000}"/>
    <cellStyle name="Comma 2 3 2 2 3 2 3" xfId="33236" xr:uid="{00000000-0005-0000-0000-000075240000}"/>
    <cellStyle name="Comma 2 3 2 2 3 2 4" xfId="35059" xr:uid="{00000000-0005-0000-0000-000076240000}"/>
    <cellStyle name="Comma 2 3 2 2 3 2 5" xfId="37157" xr:uid="{00000000-0005-0000-0000-000077240000}"/>
    <cellStyle name="Comma 2 3 2 2 3 2 6" xfId="40607" xr:uid="{00000000-0005-0000-0000-000078240000}"/>
    <cellStyle name="Comma 2 3 2 2 3 2 7" xfId="43393" xr:uid="{00000000-0005-0000-0000-000079240000}"/>
    <cellStyle name="Comma 2 3 2 2 3 2 8" xfId="44706" xr:uid="{00000000-0005-0000-0000-00007A240000}"/>
    <cellStyle name="Comma 2 3 2 2 3 3" xfId="12017" xr:uid="{00000000-0005-0000-0000-00007B240000}"/>
    <cellStyle name="Comma 2 3 2 2 3 4" xfId="15557" xr:uid="{00000000-0005-0000-0000-00007C240000}"/>
    <cellStyle name="Comma 2 3 2 2 3 5" xfId="30055" xr:uid="{00000000-0005-0000-0000-00007D240000}"/>
    <cellStyle name="Comma 2 3 2 2 3 6" xfId="30791" xr:uid="{00000000-0005-0000-0000-00007E240000}"/>
    <cellStyle name="Comma 2 3 2 2 3 7" xfId="31878" xr:uid="{00000000-0005-0000-0000-00007F240000}"/>
    <cellStyle name="Comma 2 3 2 2 3 8" xfId="32520" xr:uid="{00000000-0005-0000-0000-000080240000}"/>
    <cellStyle name="Comma 2 3 2 2 3 9" xfId="33732" xr:uid="{00000000-0005-0000-0000-000081240000}"/>
    <cellStyle name="Comma 2 3 2 2 4" xfId="12295" xr:uid="{00000000-0005-0000-0000-000082240000}"/>
    <cellStyle name="Comma 2 3 2 2 4 2" xfId="31068" xr:uid="{00000000-0005-0000-0000-000083240000}"/>
    <cellStyle name="Comma 2 3 2 2 4 2 2" xfId="41224" xr:uid="{00000000-0005-0000-0000-000084240000}"/>
    <cellStyle name="Comma 2 3 2 2 4 2 3" xfId="43904" xr:uid="{00000000-0005-0000-0000-000085240000}"/>
    <cellStyle name="Comma 2 3 2 2 4 2 4" xfId="44707" xr:uid="{00000000-0005-0000-0000-000086240000}"/>
    <cellStyle name="Comma 2 3 2 2 4 3" xfId="32936" xr:uid="{00000000-0005-0000-0000-000087240000}"/>
    <cellStyle name="Comma 2 3 2 2 4 4" xfId="34745" xr:uid="{00000000-0005-0000-0000-000088240000}"/>
    <cellStyle name="Comma 2 3 2 2 4 5" xfId="36853" xr:uid="{00000000-0005-0000-0000-000089240000}"/>
    <cellStyle name="Comma 2 3 2 2 4 6" xfId="39641" xr:uid="{00000000-0005-0000-0000-00008A240000}"/>
    <cellStyle name="Comma 2 3 2 2 4 7" xfId="42576" xr:uid="{00000000-0005-0000-0000-00008B240000}"/>
    <cellStyle name="Comma 2 3 2 2 4 8" xfId="44708" xr:uid="{00000000-0005-0000-0000-00008C240000}"/>
    <cellStyle name="Comma 2 3 2 2 5" xfId="11702" xr:uid="{00000000-0005-0000-0000-00008D240000}"/>
    <cellStyle name="Comma 2 3 2 2 5 2" xfId="39886" xr:uid="{00000000-0005-0000-0000-00008E240000}"/>
    <cellStyle name="Comma 2 3 2 2 5 3" xfId="42785" xr:uid="{00000000-0005-0000-0000-00008F240000}"/>
    <cellStyle name="Comma 2 3 2 2 5 4" xfId="44709" xr:uid="{00000000-0005-0000-0000-000090240000}"/>
    <cellStyle name="Comma 2 3 2 2 6" xfId="15554" xr:uid="{00000000-0005-0000-0000-000091240000}"/>
    <cellStyle name="Comma 2 3 2 2 7" xfId="30052" xr:uid="{00000000-0005-0000-0000-000092240000}"/>
    <cellStyle name="Comma 2 3 2 2 8" xfId="30477" xr:uid="{00000000-0005-0000-0000-000093240000}"/>
    <cellStyle name="Comma 2 3 2 2 9" xfId="31875" xr:uid="{00000000-0005-0000-0000-000094240000}"/>
    <cellStyle name="Comma 2 3 2 20" xfId="37437" xr:uid="{00000000-0005-0000-0000-000095240000}"/>
    <cellStyle name="Comma 2 3 2 21" xfId="41384" xr:uid="{00000000-0005-0000-0000-000096240000}"/>
    <cellStyle name="Comma 2 3 2 22" xfId="44710" xr:uid="{00000000-0005-0000-0000-000097240000}"/>
    <cellStyle name="Comma 2 3 2 23" xfId="6555" xr:uid="{00000000-0005-0000-0000-000098240000}"/>
    <cellStyle name="Comma 2 3 2 3" xfId="4426" xr:uid="{00000000-0005-0000-0000-000099240000}"/>
    <cellStyle name="Comma 2 3 2 3 10" xfId="32521" xr:uid="{00000000-0005-0000-0000-00009A240000}"/>
    <cellStyle name="Comma 2 3 2 3 11" xfId="33733" xr:uid="{00000000-0005-0000-0000-00009B240000}"/>
    <cellStyle name="Comma 2 3 2 3 12" xfId="34178" xr:uid="{00000000-0005-0000-0000-00009C240000}"/>
    <cellStyle name="Comma 2 3 2 3 13" xfId="35609" xr:uid="{00000000-0005-0000-0000-00009D240000}"/>
    <cellStyle name="Comma 2 3 2 3 14" xfId="36165" xr:uid="{00000000-0005-0000-0000-00009E240000}"/>
    <cellStyle name="Comma 2 3 2 3 15" xfId="38678" xr:uid="{00000000-0005-0000-0000-00009F240000}"/>
    <cellStyle name="Comma 2 3 2 3 16" xfId="41718" xr:uid="{00000000-0005-0000-0000-0000A0240000}"/>
    <cellStyle name="Comma 2 3 2 3 17" xfId="44711" xr:uid="{00000000-0005-0000-0000-0000A1240000}"/>
    <cellStyle name="Comma 2 3 2 3 18" xfId="7341" xr:uid="{00000000-0005-0000-0000-0000A2240000}"/>
    <cellStyle name="Comma 2 3 2 3 2" xfId="5877" xr:uid="{00000000-0005-0000-0000-0000A3240000}"/>
    <cellStyle name="Comma 2 3 2 3 2 10" xfId="33734" xr:uid="{00000000-0005-0000-0000-0000A4240000}"/>
    <cellStyle name="Comma 2 3 2 3 2 11" xfId="34330" xr:uid="{00000000-0005-0000-0000-0000A5240000}"/>
    <cellStyle name="Comma 2 3 2 3 2 12" xfId="36501" xr:uid="{00000000-0005-0000-0000-0000A6240000}"/>
    <cellStyle name="Comma 2 3 2 3 2 13" xfId="39168" xr:uid="{00000000-0005-0000-0000-0000A7240000}"/>
    <cellStyle name="Comma 2 3 2 3 2 14" xfId="42176" xr:uid="{00000000-0005-0000-0000-0000A8240000}"/>
    <cellStyle name="Comma 2 3 2 3 2 15" xfId="44712" xr:uid="{00000000-0005-0000-0000-0000A9240000}"/>
    <cellStyle name="Comma 2 3 2 3 2 16" xfId="8600" xr:uid="{00000000-0005-0000-0000-0000AA240000}"/>
    <cellStyle name="Comma 2 3 2 3 2 2" xfId="8804" xr:uid="{00000000-0005-0000-0000-0000AB240000}"/>
    <cellStyle name="Comma 2 3 2 3 2 2 10" xfId="34471" xr:uid="{00000000-0005-0000-0000-0000AC240000}"/>
    <cellStyle name="Comma 2 3 2 3 2 2 11" xfId="36639" xr:uid="{00000000-0005-0000-0000-0000AD240000}"/>
    <cellStyle name="Comma 2 3 2 3 2 2 12" xfId="40741" xr:uid="{00000000-0005-0000-0000-0000AE240000}"/>
    <cellStyle name="Comma 2 3 2 3 2 2 13" xfId="43504" xr:uid="{00000000-0005-0000-0000-0000AF240000}"/>
    <cellStyle name="Comma 2 3 2 3 2 2 14" xfId="44713" xr:uid="{00000000-0005-0000-0000-0000B0240000}"/>
    <cellStyle name="Comma 2 3 2 3 2 2 2" xfId="12803" xr:uid="{00000000-0005-0000-0000-0000B1240000}"/>
    <cellStyle name="Comma 2 3 2 3 2 2 2 2" xfId="31385" xr:uid="{00000000-0005-0000-0000-0000B2240000}"/>
    <cellStyle name="Comma 2 3 2 3 2 2 2 3" xfId="33239" xr:uid="{00000000-0005-0000-0000-0000B3240000}"/>
    <cellStyle name="Comma 2 3 2 3 2 2 2 4" xfId="35062" xr:uid="{00000000-0005-0000-0000-0000B4240000}"/>
    <cellStyle name="Comma 2 3 2 3 2 2 2 5" xfId="37160" xr:uid="{00000000-0005-0000-0000-0000B5240000}"/>
    <cellStyle name="Comma 2 3 2 3 2 2 3" xfId="12020" xr:uid="{00000000-0005-0000-0000-0000B6240000}"/>
    <cellStyle name="Comma 2 3 2 3 2 2 4" xfId="15560" xr:uid="{00000000-0005-0000-0000-0000B7240000}"/>
    <cellStyle name="Comma 2 3 2 3 2 2 5" xfId="30058" xr:uid="{00000000-0005-0000-0000-0000B8240000}"/>
    <cellStyle name="Comma 2 3 2 3 2 2 6" xfId="30794" xr:uid="{00000000-0005-0000-0000-0000B9240000}"/>
    <cellStyle name="Comma 2 3 2 3 2 2 7" xfId="31881" xr:uid="{00000000-0005-0000-0000-0000BA240000}"/>
    <cellStyle name="Comma 2 3 2 3 2 2 8" xfId="32523" xr:uid="{00000000-0005-0000-0000-0000BB240000}"/>
    <cellStyle name="Comma 2 3 2 3 2 2 9" xfId="33735" xr:uid="{00000000-0005-0000-0000-0000BC240000}"/>
    <cellStyle name="Comma 2 3 2 3 2 3" xfId="12606" xr:uid="{00000000-0005-0000-0000-0000BD240000}"/>
    <cellStyle name="Comma 2 3 2 3 2 3 2" xfId="31244" xr:uid="{00000000-0005-0000-0000-0000BE240000}"/>
    <cellStyle name="Comma 2 3 2 3 2 3 3" xfId="33098" xr:uid="{00000000-0005-0000-0000-0000BF240000}"/>
    <cellStyle name="Comma 2 3 2 3 2 3 4" xfId="34921" xr:uid="{00000000-0005-0000-0000-0000C0240000}"/>
    <cellStyle name="Comma 2 3 2 3 2 3 5" xfId="37019" xr:uid="{00000000-0005-0000-0000-0000C1240000}"/>
    <cellStyle name="Comma 2 3 2 3 2 4" xfId="11879" xr:uid="{00000000-0005-0000-0000-0000C2240000}"/>
    <cellStyle name="Comma 2 3 2 3 2 5" xfId="15559" xr:uid="{00000000-0005-0000-0000-0000C3240000}"/>
    <cellStyle name="Comma 2 3 2 3 2 6" xfId="30057" xr:uid="{00000000-0005-0000-0000-0000C4240000}"/>
    <cellStyle name="Comma 2 3 2 3 2 7" xfId="30653" xr:uid="{00000000-0005-0000-0000-0000C5240000}"/>
    <cellStyle name="Comma 2 3 2 3 2 8" xfId="31880" xr:uid="{00000000-0005-0000-0000-0000C6240000}"/>
    <cellStyle name="Comma 2 3 2 3 2 9" xfId="32522" xr:uid="{00000000-0005-0000-0000-0000C7240000}"/>
    <cellStyle name="Comma 2 3 2 3 3" xfId="8803" xr:uid="{00000000-0005-0000-0000-0000C8240000}"/>
    <cellStyle name="Comma 2 3 2 3 3 10" xfId="34470" xr:uid="{00000000-0005-0000-0000-0000C9240000}"/>
    <cellStyle name="Comma 2 3 2 3 3 11" xfId="36638" xr:uid="{00000000-0005-0000-0000-0000CA240000}"/>
    <cellStyle name="Comma 2 3 2 3 3 12" xfId="39476" xr:uid="{00000000-0005-0000-0000-0000CB240000}"/>
    <cellStyle name="Comma 2 3 2 3 3 13" xfId="42436" xr:uid="{00000000-0005-0000-0000-0000CC240000}"/>
    <cellStyle name="Comma 2 3 2 3 3 14" xfId="44714" xr:uid="{00000000-0005-0000-0000-0000CD240000}"/>
    <cellStyle name="Comma 2 3 2 3 3 2" xfId="12802" xr:uid="{00000000-0005-0000-0000-0000CE240000}"/>
    <cellStyle name="Comma 2 3 2 3 3 2 2" xfId="31384" xr:uid="{00000000-0005-0000-0000-0000CF240000}"/>
    <cellStyle name="Comma 2 3 2 3 3 2 3" xfId="33238" xr:uid="{00000000-0005-0000-0000-0000D0240000}"/>
    <cellStyle name="Comma 2 3 2 3 3 2 4" xfId="35061" xr:uid="{00000000-0005-0000-0000-0000D1240000}"/>
    <cellStyle name="Comma 2 3 2 3 3 2 5" xfId="37159" xr:uid="{00000000-0005-0000-0000-0000D2240000}"/>
    <cellStyle name="Comma 2 3 2 3 3 2 6" xfId="41052" xr:uid="{00000000-0005-0000-0000-0000D3240000}"/>
    <cellStyle name="Comma 2 3 2 3 3 2 7" xfId="43764" xr:uid="{00000000-0005-0000-0000-0000D4240000}"/>
    <cellStyle name="Comma 2 3 2 3 3 2 8" xfId="44715" xr:uid="{00000000-0005-0000-0000-0000D5240000}"/>
    <cellStyle name="Comma 2 3 2 3 3 3" xfId="12019" xr:uid="{00000000-0005-0000-0000-0000D6240000}"/>
    <cellStyle name="Comma 2 3 2 3 3 4" xfId="15561" xr:uid="{00000000-0005-0000-0000-0000D7240000}"/>
    <cellStyle name="Comma 2 3 2 3 3 5" xfId="30059" xr:uid="{00000000-0005-0000-0000-0000D8240000}"/>
    <cellStyle name="Comma 2 3 2 3 3 6" xfId="30793" xr:uid="{00000000-0005-0000-0000-0000D9240000}"/>
    <cellStyle name="Comma 2 3 2 3 3 7" xfId="31882" xr:uid="{00000000-0005-0000-0000-0000DA240000}"/>
    <cellStyle name="Comma 2 3 2 3 3 8" xfId="32524" xr:uid="{00000000-0005-0000-0000-0000DB240000}"/>
    <cellStyle name="Comma 2 3 2 3 3 9" xfId="33736" xr:uid="{00000000-0005-0000-0000-0000DC240000}"/>
    <cellStyle name="Comma 2 3 2 3 4" xfId="12320" xr:uid="{00000000-0005-0000-0000-0000DD240000}"/>
    <cellStyle name="Comma 2 3 2 3 4 2" xfId="31092" xr:uid="{00000000-0005-0000-0000-0000DE240000}"/>
    <cellStyle name="Comma 2 3 2 3 4 3" xfId="32954" xr:uid="{00000000-0005-0000-0000-0000DF240000}"/>
    <cellStyle name="Comma 2 3 2 3 4 4" xfId="34769" xr:uid="{00000000-0005-0000-0000-0000E0240000}"/>
    <cellStyle name="Comma 2 3 2 3 4 5" xfId="36875" xr:uid="{00000000-0005-0000-0000-0000E1240000}"/>
    <cellStyle name="Comma 2 3 2 3 4 6" xfId="40197" xr:uid="{00000000-0005-0000-0000-0000E2240000}"/>
    <cellStyle name="Comma 2 3 2 3 4 7" xfId="43046" xr:uid="{00000000-0005-0000-0000-0000E3240000}"/>
    <cellStyle name="Comma 2 3 2 3 4 8" xfId="44716" xr:uid="{00000000-0005-0000-0000-0000E4240000}"/>
    <cellStyle name="Comma 2 3 2 3 5" xfId="11727" xr:uid="{00000000-0005-0000-0000-0000E5240000}"/>
    <cellStyle name="Comma 2 3 2 3 6" xfId="15558" xr:uid="{00000000-0005-0000-0000-0000E6240000}"/>
    <cellStyle name="Comma 2 3 2 3 7" xfId="30056" xr:uid="{00000000-0005-0000-0000-0000E7240000}"/>
    <cellStyle name="Comma 2 3 2 3 8" xfId="30501" xr:uid="{00000000-0005-0000-0000-0000E8240000}"/>
    <cellStyle name="Comma 2 3 2 3 9" xfId="31879" xr:uid="{00000000-0005-0000-0000-0000E9240000}"/>
    <cellStyle name="Comma 2 3 2 4" xfId="5739" xr:uid="{00000000-0005-0000-0000-0000EA240000}"/>
    <cellStyle name="Comma 2 3 2 4 10" xfId="33737" xr:uid="{00000000-0005-0000-0000-0000EB240000}"/>
    <cellStyle name="Comma 2 3 2 4 11" xfId="34267" xr:uid="{00000000-0005-0000-0000-0000EC240000}"/>
    <cellStyle name="Comma 2 3 2 4 12" xfId="36467" xr:uid="{00000000-0005-0000-0000-0000ED240000}"/>
    <cellStyle name="Comma 2 3 2 4 13" xfId="38106" xr:uid="{00000000-0005-0000-0000-0000EE240000}"/>
    <cellStyle name="Comma 2 3 2 4 14" xfId="41603" xr:uid="{00000000-0005-0000-0000-0000EF240000}"/>
    <cellStyle name="Comma 2 3 2 4 15" xfId="44717" xr:uid="{00000000-0005-0000-0000-0000F0240000}"/>
    <cellStyle name="Comma 2 3 2 4 16" xfId="8430" xr:uid="{00000000-0005-0000-0000-0000F1240000}"/>
    <cellStyle name="Comma 2 3 2 4 2" xfId="8805" xr:uid="{00000000-0005-0000-0000-0000F2240000}"/>
    <cellStyle name="Comma 2 3 2 4 2 10" xfId="34472" xr:uid="{00000000-0005-0000-0000-0000F3240000}"/>
    <cellStyle name="Comma 2 3 2 4 2 11" xfId="36640" xr:uid="{00000000-0005-0000-0000-0000F4240000}"/>
    <cellStyle name="Comma 2 3 2 4 2 12" xfId="40062" xr:uid="{00000000-0005-0000-0000-0000F5240000}"/>
    <cellStyle name="Comma 2 3 2 4 2 13" xfId="42931" xr:uid="{00000000-0005-0000-0000-0000F6240000}"/>
    <cellStyle name="Comma 2 3 2 4 2 14" xfId="44718" xr:uid="{00000000-0005-0000-0000-0000F7240000}"/>
    <cellStyle name="Comma 2 3 2 4 2 2" xfId="12804" xr:uid="{00000000-0005-0000-0000-0000F8240000}"/>
    <cellStyle name="Comma 2 3 2 4 2 2 2" xfId="31386" xr:uid="{00000000-0005-0000-0000-0000F9240000}"/>
    <cellStyle name="Comma 2 3 2 4 2 2 3" xfId="33240" xr:uid="{00000000-0005-0000-0000-0000FA240000}"/>
    <cellStyle name="Comma 2 3 2 4 2 2 4" xfId="35063" xr:uid="{00000000-0005-0000-0000-0000FB240000}"/>
    <cellStyle name="Comma 2 3 2 4 2 2 5" xfId="37161" xr:uid="{00000000-0005-0000-0000-0000FC240000}"/>
    <cellStyle name="Comma 2 3 2 4 2 3" xfId="12021" xr:uid="{00000000-0005-0000-0000-0000FD240000}"/>
    <cellStyle name="Comma 2 3 2 4 2 4" xfId="15563" xr:uid="{00000000-0005-0000-0000-0000FE240000}"/>
    <cellStyle name="Comma 2 3 2 4 2 5" xfId="30061" xr:uid="{00000000-0005-0000-0000-0000FF240000}"/>
    <cellStyle name="Comma 2 3 2 4 2 6" xfId="30795" xr:uid="{00000000-0005-0000-0000-000000250000}"/>
    <cellStyle name="Comma 2 3 2 4 2 7" xfId="31884" xr:uid="{00000000-0005-0000-0000-000001250000}"/>
    <cellStyle name="Comma 2 3 2 4 2 8" xfId="32526" xr:uid="{00000000-0005-0000-0000-000002250000}"/>
    <cellStyle name="Comma 2 3 2 4 2 9" xfId="33738" xr:uid="{00000000-0005-0000-0000-000003250000}"/>
    <cellStyle name="Comma 2 3 2 4 3" xfId="12538" xr:uid="{00000000-0005-0000-0000-000004250000}"/>
    <cellStyle name="Comma 2 3 2 4 3 2" xfId="31181" xr:uid="{00000000-0005-0000-0000-000005250000}"/>
    <cellStyle name="Comma 2 3 2 4 3 3" xfId="33039" xr:uid="{00000000-0005-0000-0000-000006250000}"/>
    <cellStyle name="Comma 2 3 2 4 3 4" xfId="34858" xr:uid="{00000000-0005-0000-0000-000007250000}"/>
    <cellStyle name="Comma 2 3 2 4 3 5" xfId="36960" xr:uid="{00000000-0005-0000-0000-000008250000}"/>
    <cellStyle name="Comma 2 3 2 4 4" xfId="11816" xr:uid="{00000000-0005-0000-0000-000009250000}"/>
    <cellStyle name="Comma 2 3 2 4 5" xfId="15562" xr:uid="{00000000-0005-0000-0000-00000A250000}"/>
    <cellStyle name="Comma 2 3 2 4 6" xfId="30060" xr:uid="{00000000-0005-0000-0000-00000B250000}"/>
    <cellStyle name="Comma 2 3 2 4 7" xfId="30590" xr:uid="{00000000-0005-0000-0000-00000C250000}"/>
    <cellStyle name="Comma 2 3 2 4 8" xfId="31883" xr:uid="{00000000-0005-0000-0000-00000D250000}"/>
    <cellStyle name="Comma 2 3 2 4 9" xfId="32525" xr:uid="{00000000-0005-0000-0000-00000E250000}"/>
    <cellStyle name="Comma 2 3 2 5" xfId="6198" xr:uid="{00000000-0005-0000-0000-00000F250000}"/>
    <cellStyle name="Comma 2 3 2 5 10" xfId="33739" xr:uid="{00000000-0005-0000-0000-000010250000}"/>
    <cellStyle name="Comma 2 3 2 5 11" xfId="34206" xr:uid="{00000000-0005-0000-0000-000011250000}"/>
    <cellStyle name="Comma 2 3 2 5 12" xfId="36435" xr:uid="{00000000-0005-0000-0000-000012250000}"/>
    <cellStyle name="Comma 2 3 2 5 13" xfId="38939" xr:uid="{00000000-0005-0000-0000-000013250000}"/>
    <cellStyle name="Comma 2 3 2 5 14" xfId="41970" xr:uid="{00000000-0005-0000-0000-000014250000}"/>
    <cellStyle name="Comma 2 3 2 5 15" xfId="44719" xr:uid="{00000000-0005-0000-0000-000015250000}"/>
    <cellStyle name="Comma 2 3 2 5 16" xfId="8097" xr:uid="{00000000-0005-0000-0000-000016250000}"/>
    <cellStyle name="Comma 2 3 2 5 2" xfId="8806" xr:uid="{00000000-0005-0000-0000-000017250000}"/>
    <cellStyle name="Comma 2 3 2 5 2 10" xfId="34473" xr:uid="{00000000-0005-0000-0000-000018250000}"/>
    <cellStyle name="Comma 2 3 2 5 2 11" xfId="36641" xr:uid="{00000000-0005-0000-0000-000019250000}"/>
    <cellStyle name="Comma 2 3 2 5 2 12" xfId="40497" xr:uid="{00000000-0005-0000-0000-00001A250000}"/>
    <cellStyle name="Comma 2 3 2 5 2 13" xfId="43298" xr:uid="{00000000-0005-0000-0000-00001B250000}"/>
    <cellStyle name="Comma 2 3 2 5 2 14" xfId="44720" xr:uid="{00000000-0005-0000-0000-00001C250000}"/>
    <cellStyle name="Comma 2 3 2 5 2 2" xfId="12805" xr:uid="{00000000-0005-0000-0000-00001D250000}"/>
    <cellStyle name="Comma 2 3 2 5 2 2 2" xfId="31387" xr:uid="{00000000-0005-0000-0000-00001E250000}"/>
    <cellStyle name="Comma 2 3 2 5 2 2 3" xfId="33241" xr:uid="{00000000-0005-0000-0000-00001F250000}"/>
    <cellStyle name="Comma 2 3 2 5 2 2 4" xfId="35064" xr:uid="{00000000-0005-0000-0000-000020250000}"/>
    <cellStyle name="Comma 2 3 2 5 2 2 5" xfId="37162" xr:uid="{00000000-0005-0000-0000-000021250000}"/>
    <cellStyle name="Comma 2 3 2 5 2 3" xfId="12022" xr:uid="{00000000-0005-0000-0000-000022250000}"/>
    <cellStyle name="Comma 2 3 2 5 2 4" xfId="15565" xr:uid="{00000000-0005-0000-0000-000023250000}"/>
    <cellStyle name="Comma 2 3 2 5 2 5" xfId="30063" xr:uid="{00000000-0005-0000-0000-000024250000}"/>
    <cellStyle name="Comma 2 3 2 5 2 6" xfId="30796" xr:uid="{00000000-0005-0000-0000-000025250000}"/>
    <cellStyle name="Comma 2 3 2 5 2 7" xfId="31886" xr:uid="{00000000-0005-0000-0000-000026250000}"/>
    <cellStyle name="Comma 2 3 2 5 2 8" xfId="32528" xr:uid="{00000000-0005-0000-0000-000027250000}"/>
    <cellStyle name="Comma 2 3 2 5 2 9" xfId="33740" xr:uid="{00000000-0005-0000-0000-000028250000}"/>
    <cellStyle name="Comma 2 3 2 5 3" xfId="12409" xr:uid="{00000000-0005-0000-0000-000029250000}"/>
    <cellStyle name="Comma 2 3 2 5 3 2" xfId="31120" xr:uid="{00000000-0005-0000-0000-00002A250000}"/>
    <cellStyle name="Comma 2 3 2 5 3 3" xfId="32982" xr:uid="{00000000-0005-0000-0000-00002B250000}"/>
    <cellStyle name="Comma 2 3 2 5 3 4" xfId="34797" xr:uid="{00000000-0005-0000-0000-00002C250000}"/>
    <cellStyle name="Comma 2 3 2 5 3 5" xfId="36903" xr:uid="{00000000-0005-0000-0000-00002D250000}"/>
    <cellStyle name="Comma 2 3 2 5 4" xfId="11755" xr:uid="{00000000-0005-0000-0000-00002E250000}"/>
    <cellStyle name="Comma 2 3 2 5 5" xfId="15564" xr:uid="{00000000-0005-0000-0000-00002F250000}"/>
    <cellStyle name="Comma 2 3 2 5 6" xfId="30062" xr:uid="{00000000-0005-0000-0000-000030250000}"/>
    <cellStyle name="Comma 2 3 2 5 7" xfId="30529" xr:uid="{00000000-0005-0000-0000-000031250000}"/>
    <cellStyle name="Comma 2 3 2 5 8" xfId="31885" xr:uid="{00000000-0005-0000-0000-000032250000}"/>
    <cellStyle name="Comma 2 3 2 5 9" xfId="32527" xr:uid="{00000000-0005-0000-0000-000033250000}"/>
    <cellStyle name="Comma 2 3 2 6" xfId="8800" xr:uid="{00000000-0005-0000-0000-000034250000}"/>
    <cellStyle name="Comma 2 3 2 6 10" xfId="34467" xr:uid="{00000000-0005-0000-0000-000035250000}"/>
    <cellStyle name="Comma 2 3 2 6 11" xfId="36635" xr:uid="{00000000-0005-0000-0000-000036250000}"/>
    <cellStyle name="Comma 2 3 2 6 12" xfId="39343" xr:uid="{00000000-0005-0000-0000-000037250000}"/>
    <cellStyle name="Comma 2 3 2 6 13" xfId="42321" xr:uid="{00000000-0005-0000-0000-000038250000}"/>
    <cellStyle name="Comma 2 3 2 6 14" xfId="44721" xr:uid="{00000000-0005-0000-0000-000039250000}"/>
    <cellStyle name="Comma 2 3 2 6 2" xfId="12799" xr:uid="{00000000-0005-0000-0000-00003A250000}"/>
    <cellStyle name="Comma 2 3 2 6 2 2" xfId="31381" xr:uid="{00000000-0005-0000-0000-00003B250000}"/>
    <cellStyle name="Comma 2 3 2 6 2 3" xfId="33235" xr:uid="{00000000-0005-0000-0000-00003C250000}"/>
    <cellStyle name="Comma 2 3 2 6 2 4" xfId="35058" xr:uid="{00000000-0005-0000-0000-00003D250000}"/>
    <cellStyle name="Comma 2 3 2 6 2 5" xfId="37156" xr:uid="{00000000-0005-0000-0000-00003E250000}"/>
    <cellStyle name="Comma 2 3 2 6 2 6" xfId="40914" xr:uid="{00000000-0005-0000-0000-00003F250000}"/>
    <cellStyle name="Comma 2 3 2 6 2 7" xfId="43649" xr:uid="{00000000-0005-0000-0000-000040250000}"/>
    <cellStyle name="Comma 2 3 2 6 2 8" xfId="44722" xr:uid="{00000000-0005-0000-0000-000041250000}"/>
    <cellStyle name="Comma 2 3 2 6 3" xfId="12016" xr:uid="{00000000-0005-0000-0000-000042250000}"/>
    <cellStyle name="Comma 2 3 2 6 4" xfId="15566" xr:uid="{00000000-0005-0000-0000-000043250000}"/>
    <cellStyle name="Comma 2 3 2 6 5" xfId="30064" xr:uid="{00000000-0005-0000-0000-000044250000}"/>
    <cellStyle name="Comma 2 3 2 6 6" xfId="30790" xr:uid="{00000000-0005-0000-0000-000045250000}"/>
    <cellStyle name="Comma 2 3 2 6 7" xfId="31887" xr:uid="{00000000-0005-0000-0000-000046250000}"/>
    <cellStyle name="Comma 2 3 2 6 8" xfId="32529" xr:uid="{00000000-0005-0000-0000-000047250000}"/>
    <cellStyle name="Comma 2 3 2 6 9" xfId="33741" xr:uid="{00000000-0005-0000-0000-000048250000}"/>
    <cellStyle name="Comma 2 3 2 7" xfId="11519" xr:uid="{00000000-0005-0000-0000-000049250000}"/>
    <cellStyle name="Comma 2 3 2 7 10" xfId="34633" xr:uid="{00000000-0005-0000-0000-00004A250000}"/>
    <cellStyle name="Comma 2 3 2 7 11" xfId="36761" xr:uid="{00000000-0005-0000-0000-00004B250000}"/>
    <cellStyle name="Comma 2 3 2 7 12" xfId="39804" xr:uid="{00000000-0005-0000-0000-00004C250000}"/>
    <cellStyle name="Comma 2 3 2 7 13" xfId="42712" xr:uid="{00000000-0005-0000-0000-00004D250000}"/>
    <cellStyle name="Comma 2 3 2 7 14" xfId="44723" xr:uid="{00000000-0005-0000-0000-00004E250000}"/>
    <cellStyle name="Comma 2 3 2 7 2" xfId="15140" xr:uid="{00000000-0005-0000-0000-00004F250000}"/>
    <cellStyle name="Comma 2 3 2 7 2 2" xfId="31547" xr:uid="{00000000-0005-0000-0000-000050250000}"/>
    <cellStyle name="Comma 2 3 2 7 2 3" xfId="33400" xr:uid="{00000000-0005-0000-0000-000051250000}"/>
    <cellStyle name="Comma 2 3 2 7 2 4" xfId="35224" xr:uid="{00000000-0005-0000-0000-000052250000}"/>
    <cellStyle name="Comma 2 3 2 7 2 5" xfId="37304" xr:uid="{00000000-0005-0000-0000-000053250000}"/>
    <cellStyle name="Comma 2 3 2 7 3" xfId="12182" xr:uid="{00000000-0005-0000-0000-000054250000}"/>
    <cellStyle name="Comma 2 3 2 7 4" xfId="15567" xr:uid="{00000000-0005-0000-0000-000055250000}"/>
    <cellStyle name="Comma 2 3 2 7 5" xfId="30065" xr:uid="{00000000-0005-0000-0000-000056250000}"/>
    <cellStyle name="Comma 2 3 2 7 6" xfId="30956" xr:uid="{00000000-0005-0000-0000-000057250000}"/>
    <cellStyle name="Comma 2 3 2 7 7" xfId="31888" xr:uid="{00000000-0005-0000-0000-000058250000}"/>
    <cellStyle name="Comma 2 3 2 7 8" xfId="32530" xr:uid="{00000000-0005-0000-0000-000059250000}"/>
    <cellStyle name="Comma 2 3 2 7 9" xfId="33742" xr:uid="{00000000-0005-0000-0000-00005A250000}"/>
    <cellStyle name="Comma 2 3 2 8" xfId="11604" xr:uid="{00000000-0005-0000-0000-00005B250000}"/>
    <cellStyle name="Comma 2 3 2 8 2" xfId="15219" xr:uid="{00000000-0005-0000-0000-00005C250000}"/>
    <cellStyle name="Comma 2 3 2 8 2 2" xfId="31598" xr:uid="{00000000-0005-0000-0000-00005D250000}"/>
    <cellStyle name="Comma 2 3 2 8 2 3" xfId="33451" xr:uid="{00000000-0005-0000-0000-00005E250000}"/>
    <cellStyle name="Comma 2 3 2 8 2 4" xfId="35275" xr:uid="{00000000-0005-0000-0000-00005F250000}"/>
    <cellStyle name="Comma 2 3 2 8 2 5" xfId="37349" xr:uid="{00000000-0005-0000-0000-000060250000}"/>
    <cellStyle name="Comma 2 3 2 8 3" xfId="12234" xr:uid="{00000000-0005-0000-0000-000061250000}"/>
    <cellStyle name="Comma 2 3 2 8 4" xfId="31007" xr:uid="{00000000-0005-0000-0000-000062250000}"/>
    <cellStyle name="Comma 2 3 2 8 5" xfId="32882" xr:uid="{00000000-0005-0000-0000-000063250000}"/>
    <cellStyle name="Comma 2 3 2 8 6" xfId="34684" xr:uid="{00000000-0005-0000-0000-000064250000}"/>
    <cellStyle name="Comma 2 3 2 8 7" xfId="36792" xr:uid="{00000000-0005-0000-0000-000065250000}"/>
    <cellStyle name="Comma 2 3 2 9" xfId="12257" xr:uid="{00000000-0005-0000-0000-000066250000}"/>
    <cellStyle name="Comma 2 3 2 9 2" xfId="31030" xr:uid="{00000000-0005-0000-0000-000067250000}"/>
    <cellStyle name="Comma 2 3 2 9 3" xfId="32902" xr:uid="{00000000-0005-0000-0000-000068250000}"/>
    <cellStyle name="Comma 2 3 2 9 4" xfId="34707" xr:uid="{00000000-0005-0000-0000-000069250000}"/>
    <cellStyle name="Comma 2 3 2 9 5" xfId="36815" xr:uid="{00000000-0005-0000-0000-00006A250000}"/>
    <cellStyle name="Comma 2 3 20" xfId="35282" xr:uid="{00000000-0005-0000-0000-00006B250000}"/>
    <cellStyle name="Comma 2 3 21" xfId="36198" xr:uid="{00000000-0005-0000-0000-00006C250000}"/>
    <cellStyle name="Comma 2 3 22" xfId="37389" xr:uid="{00000000-0005-0000-0000-00006D250000}"/>
    <cellStyle name="Comma 2 3 23" xfId="41337" xr:uid="{00000000-0005-0000-0000-00006E250000}"/>
    <cellStyle name="Comma 2 3 24" xfId="44724" xr:uid="{00000000-0005-0000-0000-00006F250000}"/>
    <cellStyle name="Comma 2 3 25" xfId="6554" xr:uid="{00000000-0005-0000-0000-000070250000}"/>
    <cellStyle name="Comma 2 3 3" xfId="2775" xr:uid="{00000000-0005-0000-0000-000071250000}"/>
    <cellStyle name="Comma 2 3 3 10" xfId="31889" xr:uid="{00000000-0005-0000-0000-000072250000}"/>
    <cellStyle name="Comma 2 3 3 11" xfId="32531" xr:uid="{00000000-0005-0000-0000-000073250000}"/>
    <cellStyle name="Comma 2 3 3 12" xfId="33743" xr:uid="{00000000-0005-0000-0000-000074250000}"/>
    <cellStyle name="Comma 2 3 3 13" xfId="34153" xr:uid="{00000000-0005-0000-0000-000075250000}"/>
    <cellStyle name="Comma 2 3 3 14" xfId="35337" xr:uid="{00000000-0005-0000-0000-000076250000}"/>
    <cellStyle name="Comma 2 3 3 15" xfId="36200" xr:uid="{00000000-0005-0000-0000-000077250000}"/>
    <cellStyle name="Comma 2 3 3 16" xfId="37438" xr:uid="{00000000-0005-0000-0000-000078250000}"/>
    <cellStyle name="Comma 2 3 3 17" xfId="41385" xr:uid="{00000000-0005-0000-0000-000079250000}"/>
    <cellStyle name="Comma 2 3 3 18" xfId="44725" xr:uid="{00000000-0005-0000-0000-00007A250000}"/>
    <cellStyle name="Comma 2 3 3 19" xfId="6666" xr:uid="{00000000-0005-0000-0000-00007B250000}"/>
    <cellStyle name="Comma 2 3 3 2" xfId="5086" xr:uid="{00000000-0005-0000-0000-00007C250000}"/>
    <cellStyle name="Comma 2 3 3 2 10" xfId="33744" xr:uid="{00000000-0005-0000-0000-00007D250000}"/>
    <cellStyle name="Comma 2 3 3 2 11" xfId="34305" xr:uid="{00000000-0005-0000-0000-00007E250000}"/>
    <cellStyle name="Comma 2 3 3 2 12" xfId="36041" xr:uid="{00000000-0005-0000-0000-00007F250000}"/>
    <cellStyle name="Comma 2 3 3 2 13" xfId="36341" xr:uid="{00000000-0005-0000-0000-000080250000}"/>
    <cellStyle name="Comma 2 3 3 2 14" xfId="37512" xr:uid="{00000000-0005-0000-0000-000081250000}"/>
    <cellStyle name="Comma 2 3 3 2 15" xfId="41458" xr:uid="{00000000-0005-0000-0000-000082250000}"/>
    <cellStyle name="Comma 2 3 3 2 16" xfId="44726" xr:uid="{00000000-0005-0000-0000-000083250000}"/>
    <cellStyle name="Comma 2 3 3 2 17" xfId="8542" xr:uid="{00000000-0005-0000-0000-000084250000}"/>
    <cellStyle name="Comma 2 3 3 2 2" xfId="6055" xr:uid="{00000000-0005-0000-0000-000085250000}"/>
    <cellStyle name="Comma 2 3 3 2 2 10" xfId="34475" xr:uid="{00000000-0005-0000-0000-000086250000}"/>
    <cellStyle name="Comma 2 3 3 2 2 11" xfId="36643" xr:uid="{00000000-0005-0000-0000-000087250000}"/>
    <cellStyle name="Comma 2 3 3 2 2 12" xfId="38820" xr:uid="{00000000-0005-0000-0000-000088250000}"/>
    <cellStyle name="Comma 2 3 3 2 2 13" xfId="41859" xr:uid="{00000000-0005-0000-0000-000089250000}"/>
    <cellStyle name="Comma 2 3 3 2 2 14" xfId="44727" xr:uid="{00000000-0005-0000-0000-00008A250000}"/>
    <cellStyle name="Comma 2 3 3 2 2 15" xfId="8808" xr:uid="{00000000-0005-0000-0000-00008B250000}"/>
    <cellStyle name="Comma 2 3 3 2 2 2" xfId="12807" xr:uid="{00000000-0005-0000-0000-00008C250000}"/>
    <cellStyle name="Comma 2 3 3 2 2 2 2" xfId="31389" xr:uid="{00000000-0005-0000-0000-00008D250000}"/>
    <cellStyle name="Comma 2 3 3 2 2 2 3" xfId="33243" xr:uid="{00000000-0005-0000-0000-00008E250000}"/>
    <cellStyle name="Comma 2 3 3 2 2 2 4" xfId="35066" xr:uid="{00000000-0005-0000-0000-00008F250000}"/>
    <cellStyle name="Comma 2 3 3 2 2 2 5" xfId="37164" xr:uid="{00000000-0005-0000-0000-000090250000}"/>
    <cellStyle name="Comma 2 3 3 2 2 2 6" xfId="40369" xr:uid="{00000000-0005-0000-0000-000091250000}"/>
    <cellStyle name="Comma 2 3 3 2 2 2 7" xfId="43187" xr:uid="{00000000-0005-0000-0000-000092250000}"/>
    <cellStyle name="Comma 2 3 3 2 2 2 8" xfId="44728" xr:uid="{00000000-0005-0000-0000-000093250000}"/>
    <cellStyle name="Comma 2 3 3 2 2 3" xfId="12024" xr:uid="{00000000-0005-0000-0000-000094250000}"/>
    <cellStyle name="Comma 2 3 3 2 2 4" xfId="15570" xr:uid="{00000000-0005-0000-0000-000095250000}"/>
    <cellStyle name="Comma 2 3 3 2 2 5" xfId="30068" xr:uid="{00000000-0005-0000-0000-000096250000}"/>
    <cellStyle name="Comma 2 3 3 2 2 6" xfId="30798" xr:uid="{00000000-0005-0000-0000-000097250000}"/>
    <cellStyle name="Comma 2 3 3 2 2 7" xfId="31891" xr:uid="{00000000-0005-0000-0000-000098250000}"/>
    <cellStyle name="Comma 2 3 3 2 2 8" xfId="32533" xr:uid="{00000000-0005-0000-0000-000099250000}"/>
    <cellStyle name="Comma 2 3 3 2 2 9" xfId="33745" xr:uid="{00000000-0005-0000-0000-00009A250000}"/>
    <cellStyle name="Comma 2 3 3 2 3" xfId="6375" xr:uid="{00000000-0005-0000-0000-00009B250000}"/>
    <cellStyle name="Comma 2 3 3 2 3 2" xfId="31219" xr:uid="{00000000-0005-0000-0000-00009C250000}"/>
    <cellStyle name="Comma 2 3 3 2 3 2 2" xfId="40608" xr:uid="{00000000-0005-0000-0000-00009D250000}"/>
    <cellStyle name="Comma 2 3 3 2 3 2 3" xfId="43394" xr:uid="{00000000-0005-0000-0000-00009E250000}"/>
    <cellStyle name="Comma 2 3 3 2 3 2 4" xfId="44729" xr:uid="{00000000-0005-0000-0000-00009F250000}"/>
    <cellStyle name="Comma 2 3 3 2 3 3" xfId="33075" xr:uid="{00000000-0005-0000-0000-0000A0250000}"/>
    <cellStyle name="Comma 2 3 3 2 3 4" xfId="34896" xr:uid="{00000000-0005-0000-0000-0000A1250000}"/>
    <cellStyle name="Comma 2 3 3 2 3 5" xfId="36996" xr:uid="{00000000-0005-0000-0000-0000A2250000}"/>
    <cellStyle name="Comma 2 3 3 2 3 6" xfId="39040" xr:uid="{00000000-0005-0000-0000-0000A3250000}"/>
    <cellStyle name="Comma 2 3 3 2 3 7" xfId="42066" xr:uid="{00000000-0005-0000-0000-0000A4250000}"/>
    <cellStyle name="Comma 2 3 3 2 3 8" xfId="44730" xr:uid="{00000000-0005-0000-0000-0000A5250000}"/>
    <cellStyle name="Comma 2 3 3 2 3 9" xfId="12577" xr:uid="{00000000-0005-0000-0000-0000A6250000}"/>
    <cellStyle name="Comma 2 3 3 2 4" xfId="11854" xr:uid="{00000000-0005-0000-0000-0000A7250000}"/>
    <cellStyle name="Comma 2 3 3 2 4 2" xfId="41225" xr:uid="{00000000-0005-0000-0000-0000A8250000}"/>
    <cellStyle name="Comma 2 3 3 2 4 2 2" xfId="43905" xr:uid="{00000000-0005-0000-0000-0000A9250000}"/>
    <cellStyle name="Comma 2 3 3 2 4 2 3" xfId="44731" xr:uid="{00000000-0005-0000-0000-0000AA250000}"/>
    <cellStyle name="Comma 2 3 3 2 4 3" xfId="39642" xr:uid="{00000000-0005-0000-0000-0000AB250000}"/>
    <cellStyle name="Comma 2 3 3 2 4 4" xfId="42577" xr:uid="{00000000-0005-0000-0000-0000AC250000}"/>
    <cellStyle name="Comma 2 3 3 2 4 5" xfId="44732" xr:uid="{00000000-0005-0000-0000-0000AD250000}"/>
    <cellStyle name="Comma 2 3 3 2 5" xfId="15569" xr:uid="{00000000-0005-0000-0000-0000AE250000}"/>
    <cellStyle name="Comma 2 3 3 2 5 2" xfId="39887" xr:uid="{00000000-0005-0000-0000-0000AF250000}"/>
    <cellStyle name="Comma 2 3 3 2 5 3" xfId="42786" xr:uid="{00000000-0005-0000-0000-0000B0250000}"/>
    <cellStyle name="Comma 2 3 3 2 5 4" xfId="44733" xr:uid="{00000000-0005-0000-0000-0000B1250000}"/>
    <cellStyle name="Comma 2 3 3 2 6" xfId="30067" xr:uid="{00000000-0005-0000-0000-0000B2250000}"/>
    <cellStyle name="Comma 2 3 3 2 7" xfId="30628" xr:uid="{00000000-0005-0000-0000-0000B3250000}"/>
    <cellStyle name="Comma 2 3 3 2 8" xfId="31890" xr:uid="{00000000-0005-0000-0000-0000B4250000}"/>
    <cellStyle name="Comma 2 3 3 2 9" xfId="32532" xr:uid="{00000000-0005-0000-0000-0000B5250000}"/>
    <cellStyle name="Comma 2 3 3 3" xfId="4427" xr:uid="{00000000-0005-0000-0000-0000B6250000}"/>
    <cellStyle name="Comma 2 3 3 3 10" xfId="34474" xr:uid="{00000000-0005-0000-0000-0000B7250000}"/>
    <cellStyle name="Comma 2 3 3 3 11" xfId="35610" xr:uid="{00000000-0005-0000-0000-0000B8250000}"/>
    <cellStyle name="Comma 2 3 3 3 12" xfId="36642" xr:uid="{00000000-0005-0000-0000-0000B9250000}"/>
    <cellStyle name="Comma 2 3 3 3 13" xfId="38679" xr:uid="{00000000-0005-0000-0000-0000BA250000}"/>
    <cellStyle name="Comma 2 3 3 3 14" xfId="41719" xr:uid="{00000000-0005-0000-0000-0000BB250000}"/>
    <cellStyle name="Comma 2 3 3 3 15" xfId="44734" xr:uid="{00000000-0005-0000-0000-0000BC250000}"/>
    <cellStyle name="Comma 2 3 3 3 16" xfId="8807" xr:uid="{00000000-0005-0000-0000-0000BD250000}"/>
    <cellStyle name="Comma 2 3 3 3 2" xfId="5878" xr:uid="{00000000-0005-0000-0000-0000BE250000}"/>
    <cellStyle name="Comma 2 3 3 3 2 2" xfId="31388" xr:uid="{00000000-0005-0000-0000-0000BF250000}"/>
    <cellStyle name="Comma 2 3 3 3 2 2 2" xfId="40742" xr:uid="{00000000-0005-0000-0000-0000C0250000}"/>
    <cellStyle name="Comma 2 3 3 3 2 2 3" xfId="43505" xr:uid="{00000000-0005-0000-0000-0000C1250000}"/>
    <cellStyle name="Comma 2 3 3 3 2 2 4" xfId="44735" xr:uid="{00000000-0005-0000-0000-0000C2250000}"/>
    <cellStyle name="Comma 2 3 3 3 2 3" xfId="33242" xr:uid="{00000000-0005-0000-0000-0000C3250000}"/>
    <cellStyle name="Comma 2 3 3 3 2 4" xfId="35065" xr:uid="{00000000-0005-0000-0000-0000C4250000}"/>
    <cellStyle name="Comma 2 3 3 3 2 5" xfId="37163" xr:uid="{00000000-0005-0000-0000-0000C5250000}"/>
    <cellStyle name="Comma 2 3 3 3 2 6" xfId="39169" xr:uid="{00000000-0005-0000-0000-0000C6250000}"/>
    <cellStyle name="Comma 2 3 3 3 2 7" xfId="42177" xr:uid="{00000000-0005-0000-0000-0000C7250000}"/>
    <cellStyle name="Comma 2 3 3 3 2 8" xfId="44736" xr:uid="{00000000-0005-0000-0000-0000C8250000}"/>
    <cellStyle name="Comma 2 3 3 3 2 9" xfId="12806" xr:uid="{00000000-0005-0000-0000-0000C9250000}"/>
    <cellStyle name="Comma 2 3 3 3 3" xfId="12023" xr:uid="{00000000-0005-0000-0000-0000CA250000}"/>
    <cellStyle name="Comma 2 3 3 3 3 2" xfId="41053" xr:uid="{00000000-0005-0000-0000-0000CB250000}"/>
    <cellStyle name="Comma 2 3 3 3 3 2 2" xfId="43765" xr:uid="{00000000-0005-0000-0000-0000CC250000}"/>
    <cellStyle name="Comma 2 3 3 3 3 2 3" xfId="44737" xr:uid="{00000000-0005-0000-0000-0000CD250000}"/>
    <cellStyle name="Comma 2 3 3 3 3 3" xfId="39477" xr:uid="{00000000-0005-0000-0000-0000CE250000}"/>
    <cellStyle name="Comma 2 3 3 3 3 4" xfId="42437" xr:uid="{00000000-0005-0000-0000-0000CF250000}"/>
    <cellStyle name="Comma 2 3 3 3 3 5" xfId="44738" xr:uid="{00000000-0005-0000-0000-0000D0250000}"/>
    <cellStyle name="Comma 2 3 3 3 4" xfId="15571" xr:uid="{00000000-0005-0000-0000-0000D1250000}"/>
    <cellStyle name="Comma 2 3 3 3 4 2" xfId="40198" xr:uid="{00000000-0005-0000-0000-0000D2250000}"/>
    <cellStyle name="Comma 2 3 3 3 4 3" xfId="43047" xr:uid="{00000000-0005-0000-0000-0000D3250000}"/>
    <cellStyle name="Comma 2 3 3 3 4 4" xfId="44739" xr:uid="{00000000-0005-0000-0000-0000D4250000}"/>
    <cellStyle name="Comma 2 3 3 3 5" xfId="30069" xr:uid="{00000000-0005-0000-0000-0000D5250000}"/>
    <cellStyle name="Comma 2 3 3 3 6" xfId="30797" xr:uid="{00000000-0005-0000-0000-0000D6250000}"/>
    <cellStyle name="Comma 2 3 3 3 7" xfId="31892" xr:uid="{00000000-0005-0000-0000-0000D7250000}"/>
    <cellStyle name="Comma 2 3 3 3 8" xfId="32534" xr:uid="{00000000-0005-0000-0000-0000D8250000}"/>
    <cellStyle name="Comma 2 3 3 3 9" xfId="33746" xr:uid="{00000000-0005-0000-0000-0000D9250000}"/>
    <cellStyle name="Comma 2 3 3 4" xfId="5740" xr:uid="{00000000-0005-0000-0000-0000DA250000}"/>
    <cellStyle name="Comma 2 3 3 4 10" xfId="34634" xr:uid="{00000000-0005-0000-0000-0000DB250000}"/>
    <cellStyle name="Comma 2 3 3 4 11" xfId="36762" xr:uid="{00000000-0005-0000-0000-0000DC250000}"/>
    <cellStyle name="Comma 2 3 3 4 12" xfId="38107" xr:uid="{00000000-0005-0000-0000-0000DD250000}"/>
    <cellStyle name="Comma 2 3 3 4 13" xfId="41604" xr:uid="{00000000-0005-0000-0000-0000DE250000}"/>
    <cellStyle name="Comma 2 3 3 4 14" xfId="44740" xr:uid="{00000000-0005-0000-0000-0000DF250000}"/>
    <cellStyle name="Comma 2 3 3 4 15" xfId="11520" xr:uid="{00000000-0005-0000-0000-0000E0250000}"/>
    <cellStyle name="Comma 2 3 3 4 2" xfId="15141" xr:uid="{00000000-0005-0000-0000-0000E1250000}"/>
    <cellStyle name="Comma 2 3 3 4 2 2" xfId="31548" xr:uid="{00000000-0005-0000-0000-0000E2250000}"/>
    <cellStyle name="Comma 2 3 3 4 2 3" xfId="33401" xr:uid="{00000000-0005-0000-0000-0000E3250000}"/>
    <cellStyle name="Comma 2 3 3 4 2 4" xfId="35225" xr:uid="{00000000-0005-0000-0000-0000E4250000}"/>
    <cellStyle name="Comma 2 3 3 4 2 5" xfId="37305" xr:uid="{00000000-0005-0000-0000-0000E5250000}"/>
    <cellStyle name="Comma 2 3 3 4 2 6" xfId="40063" xr:uid="{00000000-0005-0000-0000-0000E6250000}"/>
    <cellStyle name="Comma 2 3 3 4 2 7" xfId="42932" xr:uid="{00000000-0005-0000-0000-0000E7250000}"/>
    <cellStyle name="Comma 2 3 3 4 2 8" xfId="44741" xr:uid="{00000000-0005-0000-0000-0000E8250000}"/>
    <cellStyle name="Comma 2 3 3 4 3" xfId="12183" xr:uid="{00000000-0005-0000-0000-0000E9250000}"/>
    <cellStyle name="Comma 2 3 3 4 4" xfId="15572" xr:uid="{00000000-0005-0000-0000-0000EA250000}"/>
    <cellStyle name="Comma 2 3 3 4 5" xfId="30070" xr:uid="{00000000-0005-0000-0000-0000EB250000}"/>
    <cellStyle name="Comma 2 3 3 4 6" xfId="30957" xr:uid="{00000000-0005-0000-0000-0000EC250000}"/>
    <cellStyle name="Comma 2 3 3 4 7" xfId="31893" xr:uid="{00000000-0005-0000-0000-0000ED250000}"/>
    <cellStyle name="Comma 2 3 3 4 8" xfId="32535" xr:uid="{00000000-0005-0000-0000-0000EE250000}"/>
    <cellStyle name="Comma 2 3 3 4 9" xfId="33747" xr:uid="{00000000-0005-0000-0000-0000EF250000}"/>
    <cellStyle name="Comma 2 3 3 5" xfId="6199" xr:uid="{00000000-0005-0000-0000-0000F0250000}"/>
    <cellStyle name="Comma 2 3 3 5 2" xfId="31067" xr:uid="{00000000-0005-0000-0000-0000F1250000}"/>
    <cellStyle name="Comma 2 3 3 5 2 2" xfId="40498" xr:uid="{00000000-0005-0000-0000-0000F2250000}"/>
    <cellStyle name="Comma 2 3 3 5 2 3" xfId="43299" xr:uid="{00000000-0005-0000-0000-0000F3250000}"/>
    <cellStyle name="Comma 2 3 3 5 2 4" xfId="44742" xr:uid="{00000000-0005-0000-0000-0000F4250000}"/>
    <cellStyle name="Comma 2 3 3 5 3" xfId="32935" xr:uid="{00000000-0005-0000-0000-0000F5250000}"/>
    <cellStyle name="Comma 2 3 3 5 4" xfId="34744" xr:uid="{00000000-0005-0000-0000-0000F6250000}"/>
    <cellStyle name="Comma 2 3 3 5 5" xfId="36852" xr:uid="{00000000-0005-0000-0000-0000F7250000}"/>
    <cellStyle name="Comma 2 3 3 5 6" xfId="38940" xr:uid="{00000000-0005-0000-0000-0000F8250000}"/>
    <cellStyle name="Comma 2 3 3 5 7" xfId="41971" xr:uid="{00000000-0005-0000-0000-0000F9250000}"/>
    <cellStyle name="Comma 2 3 3 5 8" xfId="44743" xr:uid="{00000000-0005-0000-0000-0000FA250000}"/>
    <cellStyle name="Comma 2 3 3 5 9" xfId="12294" xr:uid="{00000000-0005-0000-0000-0000FB250000}"/>
    <cellStyle name="Comma 2 3 3 6" xfId="11701" xr:uid="{00000000-0005-0000-0000-0000FC250000}"/>
    <cellStyle name="Comma 2 3 3 6 2" xfId="40915" xr:uid="{00000000-0005-0000-0000-0000FD250000}"/>
    <cellStyle name="Comma 2 3 3 6 2 2" xfId="43650" xr:uid="{00000000-0005-0000-0000-0000FE250000}"/>
    <cellStyle name="Comma 2 3 3 6 2 3" xfId="44744" xr:uid="{00000000-0005-0000-0000-0000FF250000}"/>
    <cellStyle name="Comma 2 3 3 6 3" xfId="39344" xr:uid="{00000000-0005-0000-0000-000000260000}"/>
    <cellStyle name="Comma 2 3 3 6 4" xfId="42322" xr:uid="{00000000-0005-0000-0000-000001260000}"/>
    <cellStyle name="Comma 2 3 3 6 5" xfId="44745" xr:uid="{00000000-0005-0000-0000-000002260000}"/>
    <cellStyle name="Comma 2 3 3 7" xfId="15568" xr:uid="{00000000-0005-0000-0000-000003260000}"/>
    <cellStyle name="Comma 2 3 3 7 2" xfId="39805" xr:uid="{00000000-0005-0000-0000-000004260000}"/>
    <cellStyle name="Comma 2 3 3 7 3" xfId="42713" xr:uid="{00000000-0005-0000-0000-000005260000}"/>
    <cellStyle name="Comma 2 3 3 7 4" xfId="44746" xr:uid="{00000000-0005-0000-0000-000006260000}"/>
    <cellStyle name="Comma 2 3 3 8" xfId="30066" xr:uid="{00000000-0005-0000-0000-000007260000}"/>
    <cellStyle name="Comma 2 3 3 9" xfId="30476" xr:uid="{00000000-0005-0000-0000-000008260000}"/>
    <cellStyle name="Comma 2 3 4" xfId="2776" xr:uid="{00000000-0005-0000-0000-000009260000}"/>
    <cellStyle name="Comma 2 3 4 10" xfId="32536" xr:uid="{00000000-0005-0000-0000-00000A260000}"/>
    <cellStyle name="Comma 2 3 4 11" xfId="33748" xr:uid="{00000000-0005-0000-0000-00000B260000}"/>
    <cellStyle name="Comma 2 3 4 12" xfId="34177" xr:uid="{00000000-0005-0000-0000-00000C260000}"/>
    <cellStyle name="Comma 2 3 4 13" xfId="35338" xr:uid="{00000000-0005-0000-0000-00000D260000}"/>
    <cellStyle name="Comma 2 3 4 14" xfId="36201" xr:uid="{00000000-0005-0000-0000-00000E260000}"/>
    <cellStyle name="Comma 2 3 4 15" xfId="37436" xr:uid="{00000000-0005-0000-0000-00000F260000}"/>
    <cellStyle name="Comma 2 3 4 16" xfId="41383" xr:uid="{00000000-0005-0000-0000-000010260000}"/>
    <cellStyle name="Comma 2 3 4 17" xfId="44747" xr:uid="{00000000-0005-0000-0000-000011260000}"/>
    <cellStyle name="Comma 2 3 4 18" xfId="7340" xr:uid="{00000000-0005-0000-0000-000012260000}"/>
    <cellStyle name="Comma 2 3 4 2" xfId="5087" xr:uid="{00000000-0005-0000-0000-000013260000}"/>
    <cellStyle name="Comma 2 3 4 2 10" xfId="33749" xr:uid="{00000000-0005-0000-0000-000014260000}"/>
    <cellStyle name="Comma 2 3 4 2 11" xfId="34329" xr:uid="{00000000-0005-0000-0000-000015260000}"/>
    <cellStyle name="Comma 2 3 4 2 12" xfId="36042" xr:uid="{00000000-0005-0000-0000-000016260000}"/>
    <cellStyle name="Comma 2 3 4 2 13" xfId="36342" xr:uid="{00000000-0005-0000-0000-000017260000}"/>
    <cellStyle name="Comma 2 3 4 2 14" xfId="37570" xr:uid="{00000000-0005-0000-0000-000018260000}"/>
    <cellStyle name="Comma 2 3 4 2 15" xfId="41516" xr:uid="{00000000-0005-0000-0000-000019260000}"/>
    <cellStyle name="Comma 2 3 4 2 16" xfId="44748" xr:uid="{00000000-0005-0000-0000-00001A260000}"/>
    <cellStyle name="Comma 2 3 4 2 17" xfId="8599" xr:uid="{00000000-0005-0000-0000-00001B260000}"/>
    <cellStyle name="Comma 2 3 4 2 2" xfId="6056" xr:uid="{00000000-0005-0000-0000-00001C260000}"/>
    <cellStyle name="Comma 2 3 4 2 2 10" xfId="34477" xr:uid="{00000000-0005-0000-0000-00001D260000}"/>
    <cellStyle name="Comma 2 3 4 2 2 11" xfId="36645" xr:uid="{00000000-0005-0000-0000-00001E260000}"/>
    <cellStyle name="Comma 2 3 4 2 2 12" xfId="38821" xr:uid="{00000000-0005-0000-0000-00001F260000}"/>
    <cellStyle name="Comma 2 3 4 2 2 13" xfId="41860" xr:uid="{00000000-0005-0000-0000-000020260000}"/>
    <cellStyle name="Comma 2 3 4 2 2 14" xfId="44749" xr:uid="{00000000-0005-0000-0000-000021260000}"/>
    <cellStyle name="Comma 2 3 4 2 2 15" xfId="8810" xr:uid="{00000000-0005-0000-0000-000022260000}"/>
    <cellStyle name="Comma 2 3 4 2 2 2" xfId="12809" xr:uid="{00000000-0005-0000-0000-000023260000}"/>
    <cellStyle name="Comma 2 3 4 2 2 2 2" xfId="31391" xr:uid="{00000000-0005-0000-0000-000024260000}"/>
    <cellStyle name="Comma 2 3 4 2 2 2 3" xfId="33245" xr:uid="{00000000-0005-0000-0000-000025260000}"/>
    <cellStyle name="Comma 2 3 4 2 2 2 4" xfId="35068" xr:uid="{00000000-0005-0000-0000-000026260000}"/>
    <cellStyle name="Comma 2 3 4 2 2 2 5" xfId="37166" xr:uid="{00000000-0005-0000-0000-000027260000}"/>
    <cellStyle name="Comma 2 3 4 2 2 2 6" xfId="40370" xr:uid="{00000000-0005-0000-0000-000028260000}"/>
    <cellStyle name="Comma 2 3 4 2 2 2 7" xfId="43188" xr:uid="{00000000-0005-0000-0000-000029260000}"/>
    <cellStyle name="Comma 2 3 4 2 2 2 8" xfId="44750" xr:uid="{00000000-0005-0000-0000-00002A260000}"/>
    <cellStyle name="Comma 2 3 4 2 2 3" xfId="12026" xr:uid="{00000000-0005-0000-0000-00002B260000}"/>
    <cellStyle name="Comma 2 3 4 2 2 4" xfId="15575" xr:uid="{00000000-0005-0000-0000-00002C260000}"/>
    <cellStyle name="Comma 2 3 4 2 2 5" xfId="30073" xr:uid="{00000000-0005-0000-0000-00002D260000}"/>
    <cellStyle name="Comma 2 3 4 2 2 6" xfId="30800" xr:uid="{00000000-0005-0000-0000-00002E260000}"/>
    <cellStyle name="Comma 2 3 4 2 2 7" xfId="31896" xr:uid="{00000000-0005-0000-0000-00002F260000}"/>
    <cellStyle name="Comma 2 3 4 2 2 8" xfId="32538" xr:uid="{00000000-0005-0000-0000-000030260000}"/>
    <cellStyle name="Comma 2 3 4 2 2 9" xfId="33750" xr:uid="{00000000-0005-0000-0000-000031260000}"/>
    <cellStyle name="Comma 2 3 4 2 3" xfId="6376" xr:uid="{00000000-0005-0000-0000-000032260000}"/>
    <cellStyle name="Comma 2 3 4 2 3 2" xfId="31243" xr:uid="{00000000-0005-0000-0000-000033260000}"/>
    <cellStyle name="Comma 2 3 4 2 3 2 2" xfId="40792" xr:uid="{00000000-0005-0000-0000-000034260000}"/>
    <cellStyle name="Comma 2 3 4 2 3 2 3" xfId="43547" xr:uid="{00000000-0005-0000-0000-000035260000}"/>
    <cellStyle name="Comma 2 3 4 2 3 2 4" xfId="44751" xr:uid="{00000000-0005-0000-0000-000036260000}"/>
    <cellStyle name="Comma 2 3 4 2 3 3" xfId="33097" xr:uid="{00000000-0005-0000-0000-000037260000}"/>
    <cellStyle name="Comma 2 3 4 2 3 4" xfId="34920" xr:uid="{00000000-0005-0000-0000-000038260000}"/>
    <cellStyle name="Comma 2 3 4 2 3 5" xfId="37018" xr:uid="{00000000-0005-0000-0000-000039260000}"/>
    <cellStyle name="Comma 2 3 4 2 3 6" xfId="39229" xr:uid="{00000000-0005-0000-0000-00003A260000}"/>
    <cellStyle name="Comma 2 3 4 2 3 7" xfId="42219" xr:uid="{00000000-0005-0000-0000-00003B260000}"/>
    <cellStyle name="Comma 2 3 4 2 3 8" xfId="44752" xr:uid="{00000000-0005-0000-0000-00003C260000}"/>
    <cellStyle name="Comma 2 3 4 2 3 9" xfId="12605" xr:uid="{00000000-0005-0000-0000-00003D260000}"/>
    <cellStyle name="Comma 2 3 4 2 4" xfId="11878" xr:uid="{00000000-0005-0000-0000-00003E260000}"/>
    <cellStyle name="Comma 2 3 4 2 4 2" xfId="41226" xr:uid="{00000000-0005-0000-0000-00003F260000}"/>
    <cellStyle name="Comma 2 3 4 2 4 2 2" xfId="43906" xr:uid="{00000000-0005-0000-0000-000040260000}"/>
    <cellStyle name="Comma 2 3 4 2 4 2 3" xfId="44753" xr:uid="{00000000-0005-0000-0000-000041260000}"/>
    <cellStyle name="Comma 2 3 4 2 4 3" xfId="39643" xr:uid="{00000000-0005-0000-0000-000042260000}"/>
    <cellStyle name="Comma 2 3 4 2 4 4" xfId="42578" xr:uid="{00000000-0005-0000-0000-000043260000}"/>
    <cellStyle name="Comma 2 3 4 2 4 5" xfId="44754" xr:uid="{00000000-0005-0000-0000-000044260000}"/>
    <cellStyle name="Comma 2 3 4 2 5" xfId="15574" xr:uid="{00000000-0005-0000-0000-000045260000}"/>
    <cellStyle name="Comma 2 3 4 2 5 2" xfId="39956" xr:uid="{00000000-0005-0000-0000-000046260000}"/>
    <cellStyle name="Comma 2 3 4 2 5 3" xfId="42844" xr:uid="{00000000-0005-0000-0000-000047260000}"/>
    <cellStyle name="Comma 2 3 4 2 5 4" xfId="44755" xr:uid="{00000000-0005-0000-0000-000048260000}"/>
    <cellStyle name="Comma 2 3 4 2 6" xfId="30072" xr:uid="{00000000-0005-0000-0000-000049260000}"/>
    <cellStyle name="Comma 2 3 4 2 7" xfId="30652" xr:uid="{00000000-0005-0000-0000-00004A260000}"/>
    <cellStyle name="Comma 2 3 4 2 8" xfId="31895" xr:uid="{00000000-0005-0000-0000-00004B260000}"/>
    <cellStyle name="Comma 2 3 4 2 9" xfId="32537" xr:uid="{00000000-0005-0000-0000-00004C260000}"/>
    <cellStyle name="Comma 2 3 4 3" xfId="4428" xr:uid="{00000000-0005-0000-0000-00004D260000}"/>
    <cellStyle name="Comma 2 3 4 3 10" xfId="34476" xr:uid="{00000000-0005-0000-0000-00004E260000}"/>
    <cellStyle name="Comma 2 3 4 3 11" xfId="35611" xr:uid="{00000000-0005-0000-0000-00004F260000}"/>
    <cellStyle name="Comma 2 3 4 3 12" xfId="36644" xr:uid="{00000000-0005-0000-0000-000050260000}"/>
    <cellStyle name="Comma 2 3 4 3 13" xfId="38680" xr:uid="{00000000-0005-0000-0000-000051260000}"/>
    <cellStyle name="Comma 2 3 4 3 14" xfId="41720" xr:uid="{00000000-0005-0000-0000-000052260000}"/>
    <cellStyle name="Comma 2 3 4 3 15" xfId="44756" xr:uid="{00000000-0005-0000-0000-000053260000}"/>
    <cellStyle name="Comma 2 3 4 3 16" xfId="8809" xr:uid="{00000000-0005-0000-0000-000054260000}"/>
    <cellStyle name="Comma 2 3 4 3 2" xfId="5879" xr:uid="{00000000-0005-0000-0000-000055260000}"/>
    <cellStyle name="Comma 2 3 4 3 2 2" xfId="31390" xr:uid="{00000000-0005-0000-0000-000056260000}"/>
    <cellStyle name="Comma 2 3 4 3 2 2 2" xfId="41054" xr:uid="{00000000-0005-0000-0000-000057260000}"/>
    <cellStyle name="Comma 2 3 4 3 2 2 3" xfId="43766" xr:uid="{00000000-0005-0000-0000-000058260000}"/>
    <cellStyle name="Comma 2 3 4 3 2 2 4" xfId="44757" xr:uid="{00000000-0005-0000-0000-000059260000}"/>
    <cellStyle name="Comma 2 3 4 3 2 3" xfId="33244" xr:uid="{00000000-0005-0000-0000-00005A260000}"/>
    <cellStyle name="Comma 2 3 4 3 2 4" xfId="35067" xr:uid="{00000000-0005-0000-0000-00005B260000}"/>
    <cellStyle name="Comma 2 3 4 3 2 5" xfId="37165" xr:uid="{00000000-0005-0000-0000-00005C260000}"/>
    <cellStyle name="Comma 2 3 4 3 2 6" xfId="39478" xr:uid="{00000000-0005-0000-0000-00005D260000}"/>
    <cellStyle name="Comma 2 3 4 3 2 7" xfId="42438" xr:uid="{00000000-0005-0000-0000-00005E260000}"/>
    <cellStyle name="Comma 2 3 4 3 2 8" xfId="44758" xr:uid="{00000000-0005-0000-0000-00005F260000}"/>
    <cellStyle name="Comma 2 3 4 3 2 9" xfId="12808" xr:uid="{00000000-0005-0000-0000-000060260000}"/>
    <cellStyle name="Comma 2 3 4 3 3" xfId="12025" xr:uid="{00000000-0005-0000-0000-000061260000}"/>
    <cellStyle name="Comma 2 3 4 3 3 2" xfId="40199" xr:uid="{00000000-0005-0000-0000-000062260000}"/>
    <cellStyle name="Comma 2 3 4 3 3 3" xfId="43048" xr:uid="{00000000-0005-0000-0000-000063260000}"/>
    <cellStyle name="Comma 2 3 4 3 3 4" xfId="44759" xr:uid="{00000000-0005-0000-0000-000064260000}"/>
    <cellStyle name="Comma 2 3 4 3 4" xfId="15576" xr:uid="{00000000-0005-0000-0000-000065260000}"/>
    <cellStyle name="Comma 2 3 4 3 5" xfId="30074" xr:uid="{00000000-0005-0000-0000-000066260000}"/>
    <cellStyle name="Comma 2 3 4 3 6" xfId="30799" xr:uid="{00000000-0005-0000-0000-000067260000}"/>
    <cellStyle name="Comma 2 3 4 3 7" xfId="31897" xr:uid="{00000000-0005-0000-0000-000068260000}"/>
    <cellStyle name="Comma 2 3 4 3 8" xfId="32539" xr:uid="{00000000-0005-0000-0000-000069260000}"/>
    <cellStyle name="Comma 2 3 4 3 9" xfId="33751" xr:uid="{00000000-0005-0000-0000-00006A260000}"/>
    <cellStyle name="Comma 2 3 4 4" xfId="5741" xr:uid="{00000000-0005-0000-0000-00006B260000}"/>
    <cellStyle name="Comma 2 3 4 4 2" xfId="31091" xr:uid="{00000000-0005-0000-0000-00006C260000}"/>
    <cellStyle name="Comma 2 3 4 4 2 2" xfId="40064" xr:uid="{00000000-0005-0000-0000-00006D260000}"/>
    <cellStyle name="Comma 2 3 4 4 2 3" xfId="42933" xr:uid="{00000000-0005-0000-0000-00006E260000}"/>
    <cellStyle name="Comma 2 3 4 4 2 4" xfId="44760" xr:uid="{00000000-0005-0000-0000-00006F260000}"/>
    <cellStyle name="Comma 2 3 4 4 3" xfId="32953" xr:uid="{00000000-0005-0000-0000-000070260000}"/>
    <cellStyle name="Comma 2 3 4 4 4" xfId="34768" xr:uid="{00000000-0005-0000-0000-000071260000}"/>
    <cellStyle name="Comma 2 3 4 4 5" xfId="36874" xr:uid="{00000000-0005-0000-0000-000072260000}"/>
    <cellStyle name="Comma 2 3 4 4 6" xfId="38108" xr:uid="{00000000-0005-0000-0000-000073260000}"/>
    <cellStyle name="Comma 2 3 4 4 7" xfId="41605" xr:uid="{00000000-0005-0000-0000-000074260000}"/>
    <cellStyle name="Comma 2 3 4 4 8" xfId="44761" xr:uid="{00000000-0005-0000-0000-000075260000}"/>
    <cellStyle name="Comma 2 3 4 4 9" xfId="12319" xr:uid="{00000000-0005-0000-0000-000076260000}"/>
    <cellStyle name="Comma 2 3 4 5" xfId="6200" xr:uid="{00000000-0005-0000-0000-000077260000}"/>
    <cellStyle name="Comma 2 3 4 5 2" xfId="40609" xr:uid="{00000000-0005-0000-0000-000078260000}"/>
    <cellStyle name="Comma 2 3 4 5 2 2" xfId="43395" xr:uid="{00000000-0005-0000-0000-000079260000}"/>
    <cellStyle name="Comma 2 3 4 5 2 3" xfId="44762" xr:uid="{00000000-0005-0000-0000-00007A260000}"/>
    <cellStyle name="Comma 2 3 4 5 3" xfId="39041" xr:uid="{00000000-0005-0000-0000-00007B260000}"/>
    <cellStyle name="Comma 2 3 4 5 4" xfId="42067" xr:uid="{00000000-0005-0000-0000-00007C260000}"/>
    <cellStyle name="Comma 2 3 4 5 5" xfId="44763" xr:uid="{00000000-0005-0000-0000-00007D260000}"/>
    <cellStyle name="Comma 2 3 4 5 6" xfId="11726" xr:uid="{00000000-0005-0000-0000-00007E260000}"/>
    <cellStyle name="Comma 2 3 4 6" xfId="15573" xr:uid="{00000000-0005-0000-0000-00007F260000}"/>
    <cellStyle name="Comma 2 3 4 6 2" xfId="40916" xr:uid="{00000000-0005-0000-0000-000080260000}"/>
    <cellStyle name="Comma 2 3 4 6 2 2" xfId="43651" xr:uid="{00000000-0005-0000-0000-000081260000}"/>
    <cellStyle name="Comma 2 3 4 6 2 3" xfId="44764" xr:uid="{00000000-0005-0000-0000-000082260000}"/>
    <cellStyle name="Comma 2 3 4 6 3" xfId="39345" xr:uid="{00000000-0005-0000-0000-000083260000}"/>
    <cellStyle name="Comma 2 3 4 6 4" xfId="42323" xr:uid="{00000000-0005-0000-0000-000084260000}"/>
    <cellStyle name="Comma 2 3 4 6 5" xfId="44765" xr:uid="{00000000-0005-0000-0000-000085260000}"/>
    <cellStyle name="Comma 2 3 4 7" xfId="30071" xr:uid="{00000000-0005-0000-0000-000086260000}"/>
    <cellStyle name="Comma 2 3 4 7 2" xfId="39803" xr:uid="{00000000-0005-0000-0000-000087260000}"/>
    <cellStyle name="Comma 2 3 4 7 3" xfId="42711" xr:uid="{00000000-0005-0000-0000-000088260000}"/>
    <cellStyle name="Comma 2 3 4 7 4" xfId="44766" xr:uid="{00000000-0005-0000-0000-000089260000}"/>
    <cellStyle name="Comma 2 3 4 8" xfId="30500" xr:uid="{00000000-0005-0000-0000-00008A260000}"/>
    <cellStyle name="Comma 2 3 4 9" xfId="31894" xr:uid="{00000000-0005-0000-0000-00008B260000}"/>
    <cellStyle name="Comma 2 3 5" xfId="2773" xr:uid="{00000000-0005-0000-0000-00008C260000}"/>
    <cellStyle name="Comma 2 3 5 10" xfId="33752" xr:uid="{00000000-0005-0000-0000-00008D260000}"/>
    <cellStyle name="Comma 2 3 5 11" xfId="34266" xr:uid="{00000000-0005-0000-0000-00008E260000}"/>
    <cellStyle name="Comma 2 3 5 12" xfId="35335" xr:uid="{00000000-0005-0000-0000-00008F260000}"/>
    <cellStyle name="Comma 2 3 5 13" xfId="36339" xr:uid="{00000000-0005-0000-0000-000090260000}"/>
    <cellStyle name="Comma 2 3 5 14" xfId="37510" xr:uid="{00000000-0005-0000-0000-000091260000}"/>
    <cellStyle name="Comma 2 3 5 15" xfId="41456" xr:uid="{00000000-0005-0000-0000-000092260000}"/>
    <cellStyle name="Comma 2 3 5 16" xfId="44767" xr:uid="{00000000-0005-0000-0000-000093260000}"/>
    <cellStyle name="Comma 2 3 5 17" xfId="8429" xr:uid="{00000000-0005-0000-0000-000094260000}"/>
    <cellStyle name="Comma 2 3 5 2" xfId="5084" xr:uid="{00000000-0005-0000-0000-000095260000}"/>
    <cellStyle name="Comma 2 3 5 2 10" xfId="34478" xr:uid="{00000000-0005-0000-0000-000096260000}"/>
    <cellStyle name="Comma 2 3 5 2 11" xfId="36039" xr:uid="{00000000-0005-0000-0000-000097260000}"/>
    <cellStyle name="Comma 2 3 5 2 12" xfId="36646" xr:uid="{00000000-0005-0000-0000-000098260000}"/>
    <cellStyle name="Comma 2 3 5 2 13" xfId="38818" xr:uid="{00000000-0005-0000-0000-000099260000}"/>
    <cellStyle name="Comma 2 3 5 2 14" xfId="41857" xr:uid="{00000000-0005-0000-0000-00009A260000}"/>
    <cellStyle name="Comma 2 3 5 2 15" xfId="44768" xr:uid="{00000000-0005-0000-0000-00009B260000}"/>
    <cellStyle name="Comma 2 3 5 2 16" xfId="8811" xr:uid="{00000000-0005-0000-0000-00009C260000}"/>
    <cellStyle name="Comma 2 3 5 2 2" xfId="6053" xr:uid="{00000000-0005-0000-0000-00009D260000}"/>
    <cellStyle name="Comma 2 3 5 2 2 2" xfId="31392" xr:uid="{00000000-0005-0000-0000-00009E260000}"/>
    <cellStyle name="Comma 2 3 5 2 2 2 2" xfId="41223" xr:uid="{00000000-0005-0000-0000-00009F260000}"/>
    <cellStyle name="Comma 2 3 5 2 2 2 3" xfId="43903" xr:uid="{00000000-0005-0000-0000-0000A0260000}"/>
    <cellStyle name="Comma 2 3 5 2 2 2 4" xfId="44769" xr:uid="{00000000-0005-0000-0000-0000A1260000}"/>
    <cellStyle name="Comma 2 3 5 2 2 3" xfId="33246" xr:uid="{00000000-0005-0000-0000-0000A2260000}"/>
    <cellStyle name="Comma 2 3 5 2 2 4" xfId="35069" xr:uid="{00000000-0005-0000-0000-0000A3260000}"/>
    <cellStyle name="Comma 2 3 5 2 2 5" xfId="37167" xr:uid="{00000000-0005-0000-0000-0000A4260000}"/>
    <cellStyle name="Comma 2 3 5 2 2 6" xfId="39640" xr:uid="{00000000-0005-0000-0000-0000A5260000}"/>
    <cellStyle name="Comma 2 3 5 2 2 7" xfId="42575" xr:uid="{00000000-0005-0000-0000-0000A6260000}"/>
    <cellStyle name="Comma 2 3 5 2 2 8" xfId="44770" xr:uid="{00000000-0005-0000-0000-0000A7260000}"/>
    <cellStyle name="Comma 2 3 5 2 2 9" xfId="12810" xr:uid="{00000000-0005-0000-0000-0000A8260000}"/>
    <cellStyle name="Comma 2 3 5 2 3" xfId="12027" xr:uid="{00000000-0005-0000-0000-0000A9260000}"/>
    <cellStyle name="Comma 2 3 5 2 3 2" xfId="40367" xr:uid="{00000000-0005-0000-0000-0000AA260000}"/>
    <cellStyle name="Comma 2 3 5 2 3 3" xfId="43185" xr:uid="{00000000-0005-0000-0000-0000AB260000}"/>
    <cellStyle name="Comma 2 3 5 2 3 4" xfId="44771" xr:uid="{00000000-0005-0000-0000-0000AC260000}"/>
    <cellStyle name="Comma 2 3 5 2 4" xfId="15578" xr:uid="{00000000-0005-0000-0000-0000AD260000}"/>
    <cellStyle name="Comma 2 3 5 2 5" xfId="30076" xr:uid="{00000000-0005-0000-0000-0000AE260000}"/>
    <cellStyle name="Comma 2 3 5 2 6" xfId="30801" xr:uid="{00000000-0005-0000-0000-0000AF260000}"/>
    <cellStyle name="Comma 2 3 5 2 7" xfId="31899" xr:uid="{00000000-0005-0000-0000-0000B0260000}"/>
    <cellStyle name="Comma 2 3 5 2 8" xfId="32541" xr:uid="{00000000-0005-0000-0000-0000B1260000}"/>
    <cellStyle name="Comma 2 3 5 2 9" xfId="33753" xr:uid="{00000000-0005-0000-0000-0000B2260000}"/>
    <cellStyle name="Comma 2 3 5 3" xfId="5738" xr:uid="{00000000-0005-0000-0000-0000B3260000}"/>
    <cellStyle name="Comma 2 3 5 3 2" xfId="31180" xr:uid="{00000000-0005-0000-0000-0000B4260000}"/>
    <cellStyle name="Comma 2 3 5 3 2 2" xfId="40061" xr:uid="{00000000-0005-0000-0000-0000B5260000}"/>
    <cellStyle name="Comma 2 3 5 3 2 3" xfId="42930" xr:uid="{00000000-0005-0000-0000-0000B6260000}"/>
    <cellStyle name="Comma 2 3 5 3 2 4" xfId="44772" xr:uid="{00000000-0005-0000-0000-0000B7260000}"/>
    <cellStyle name="Comma 2 3 5 3 3" xfId="33038" xr:uid="{00000000-0005-0000-0000-0000B8260000}"/>
    <cellStyle name="Comma 2 3 5 3 4" xfId="34857" xr:uid="{00000000-0005-0000-0000-0000B9260000}"/>
    <cellStyle name="Comma 2 3 5 3 5" xfId="36959" xr:uid="{00000000-0005-0000-0000-0000BA260000}"/>
    <cellStyle name="Comma 2 3 5 3 6" xfId="38105" xr:uid="{00000000-0005-0000-0000-0000BB260000}"/>
    <cellStyle name="Comma 2 3 5 3 7" xfId="41602" xr:uid="{00000000-0005-0000-0000-0000BC260000}"/>
    <cellStyle name="Comma 2 3 5 3 8" xfId="44773" xr:uid="{00000000-0005-0000-0000-0000BD260000}"/>
    <cellStyle name="Comma 2 3 5 3 9" xfId="12537" xr:uid="{00000000-0005-0000-0000-0000BE260000}"/>
    <cellStyle name="Comma 2 3 5 4" xfId="6373" xr:uid="{00000000-0005-0000-0000-0000BF260000}"/>
    <cellStyle name="Comma 2 3 5 4 2" xfId="40606" xr:uid="{00000000-0005-0000-0000-0000C0260000}"/>
    <cellStyle name="Comma 2 3 5 4 2 2" xfId="43392" xr:uid="{00000000-0005-0000-0000-0000C1260000}"/>
    <cellStyle name="Comma 2 3 5 4 2 3" xfId="44774" xr:uid="{00000000-0005-0000-0000-0000C2260000}"/>
    <cellStyle name="Comma 2 3 5 4 3" xfId="39038" xr:uid="{00000000-0005-0000-0000-0000C3260000}"/>
    <cellStyle name="Comma 2 3 5 4 4" xfId="42064" xr:uid="{00000000-0005-0000-0000-0000C4260000}"/>
    <cellStyle name="Comma 2 3 5 4 5" xfId="44775" xr:uid="{00000000-0005-0000-0000-0000C5260000}"/>
    <cellStyle name="Comma 2 3 5 4 6" xfId="11815" xr:uid="{00000000-0005-0000-0000-0000C6260000}"/>
    <cellStyle name="Comma 2 3 5 5" xfId="15577" xr:uid="{00000000-0005-0000-0000-0000C7260000}"/>
    <cellStyle name="Comma 2 3 5 5 2" xfId="40913" xr:uid="{00000000-0005-0000-0000-0000C8260000}"/>
    <cellStyle name="Comma 2 3 5 5 2 2" xfId="43648" xr:uid="{00000000-0005-0000-0000-0000C9260000}"/>
    <cellStyle name="Comma 2 3 5 5 2 3" xfId="44776" xr:uid="{00000000-0005-0000-0000-0000CA260000}"/>
    <cellStyle name="Comma 2 3 5 5 3" xfId="39342" xr:uid="{00000000-0005-0000-0000-0000CB260000}"/>
    <cellStyle name="Comma 2 3 5 5 4" xfId="42320" xr:uid="{00000000-0005-0000-0000-0000CC260000}"/>
    <cellStyle name="Comma 2 3 5 5 5" xfId="44777" xr:uid="{00000000-0005-0000-0000-0000CD260000}"/>
    <cellStyle name="Comma 2 3 5 6" xfId="30075" xr:uid="{00000000-0005-0000-0000-0000CE260000}"/>
    <cellStyle name="Comma 2 3 5 6 2" xfId="39885" xr:uid="{00000000-0005-0000-0000-0000CF260000}"/>
    <cellStyle name="Comma 2 3 5 6 3" xfId="42784" xr:uid="{00000000-0005-0000-0000-0000D0260000}"/>
    <cellStyle name="Comma 2 3 5 6 4" xfId="44778" xr:uid="{00000000-0005-0000-0000-0000D1260000}"/>
    <cellStyle name="Comma 2 3 5 7" xfId="30589" xr:uid="{00000000-0005-0000-0000-0000D2260000}"/>
    <cellStyle name="Comma 2 3 5 8" xfId="31898" xr:uid="{00000000-0005-0000-0000-0000D3260000}"/>
    <cellStyle name="Comma 2 3 5 9" xfId="32540" xr:uid="{00000000-0005-0000-0000-0000D4260000}"/>
    <cellStyle name="Comma 2 3 6" xfId="4541" xr:uid="{00000000-0005-0000-0000-0000D5260000}"/>
    <cellStyle name="Comma 2 3 6 10" xfId="33754" xr:uid="{00000000-0005-0000-0000-0000D6260000}"/>
    <cellStyle name="Comma 2 3 6 11" xfId="34205" xr:uid="{00000000-0005-0000-0000-0000D7260000}"/>
    <cellStyle name="Comma 2 3 6 12" xfId="35702" xr:uid="{00000000-0005-0000-0000-0000D8260000}"/>
    <cellStyle name="Comma 2 3 6 13" xfId="36289" xr:uid="{00000000-0005-0000-0000-0000D9260000}"/>
    <cellStyle name="Comma 2 3 6 14" xfId="38767" xr:uid="{00000000-0005-0000-0000-0000DA260000}"/>
    <cellStyle name="Comma 2 3 6 15" xfId="41807" xr:uid="{00000000-0005-0000-0000-0000DB260000}"/>
    <cellStyle name="Comma 2 3 6 16" xfId="44779" xr:uid="{00000000-0005-0000-0000-0000DC260000}"/>
    <cellStyle name="Comma 2 3 6 17" xfId="8096" xr:uid="{00000000-0005-0000-0000-0000DD260000}"/>
    <cellStyle name="Comma 2 3 6 2" xfId="5990" xr:uid="{00000000-0005-0000-0000-0000DE260000}"/>
    <cellStyle name="Comma 2 3 6 2 10" xfId="34479" xr:uid="{00000000-0005-0000-0000-0000DF260000}"/>
    <cellStyle name="Comma 2 3 6 2 11" xfId="36647" xr:uid="{00000000-0005-0000-0000-0000E0260000}"/>
    <cellStyle name="Comma 2 3 6 2 12" xfId="38985" xr:uid="{00000000-0005-0000-0000-0000E1260000}"/>
    <cellStyle name="Comma 2 3 6 2 13" xfId="42014" xr:uid="{00000000-0005-0000-0000-0000E2260000}"/>
    <cellStyle name="Comma 2 3 6 2 14" xfId="44780" xr:uid="{00000000-0005-0000-0000-0000E3260000}"/>
    <cellStyle name="Comma 2 3 6 2 15" xfId="8812" xr:uid="{00000000-0005-0000-0000-0000E4260000}"/>
    <cellStyle name="Comma 2 3 6 2 2" xfId="12811" xr:uid="{00000000-0005-0000-0000-0000E5260000}"/>
    <cellStyle name="Comma 2 3 6 2 2 2" xfId="31393" xr:uid="{00000000-0005-0000-0000-0000E6260000}"/>
    <cellStyle name="Comma 2 3 6 2 2 3" xfId="33247" xr:uid="{00000000-0005-0000-0000-0000E7260000}"/>
    <cellStyle name="Comma 2 3 6 2 2 4" xfId="35070" xr:uid="{00000000-0005-0000-0000-0000E8260000}"/>
    <cellStyle name="Comma 2 3 6 2 2 5" xfId="37168" xr:uid="{00000000-0005-0000-0000-0000E9260000}"/>
    <cellStyle name="Comma 2 3 6 2 2 6" xfId="40548" xr:uid="{00000000-0005-0000-0000-0000EA260000}"/>
    <cellStyle name="Comma 2 3 6 2 2 7" xfId="43342" xr:uid="{00000000-0005-0000-0000-0000EB260000}"/>
    <cellStyle name="Comma 2 3 6 2 2 8" xfId="44781" xr:uid="{00000000-0005-0000-0000-0000EC260000}"/>
    <cellStyle name="Comma 2 3 6 2 3" xfId="12028" xr:uid="{00000000-0005-0000-0000-0000ED260000}"/>
    <cellStyle name="Comma 2 3 6 2 4" xfId="15580" xr:uid="{00000000-0005-0000-0000-0000EE260000}"/>
    <cellStyle name="Comma 2 3 6 2 5" xfId="30078" xr:uid="{00000000-0005-0000-0000-0000EF260000}"/>
    <cellStyle name="Comma 2 3 6 2 6" xfId="30802" xr:uid="{00000000-0005-0000-0000-0000F0260000}"/>
    <cellStyle name="Comma 2 3 6 2 7" xfId="31901" xr:uid="{00000000-0005-0000-0000-0000F1260000}"/>
    <cellStyle name="Comma 2 3 6 2 8" xfId="32543" xr:uid="{00000000-0005-0000-0000-0000F2260000}"/>
    <cellStyle name="Comma 2 3 6 2 9" xfId="33755" xr:uid="{00000000-0005-0000-0000-0000F3260000}"/>
    <cellStyle name="Comma 2 3 6 3" xfId="6311" xr:uid="{00000000-0005-0000-0000-0000F4260000}"/>
    <cellStyle name="Comma 2 3 6 3 2" xfId="31119" xr:uid="{00000000-0005-0000-0000-0000F5260000}"/>
    <cellStyle name="Comma 2 3 6 3 2 2" xfId="41163" xr:uid="{00000000-0005-0000-0000-0000F6260000}"/>
    <cellStyle name="Comma 2 3 6 3 2 3" xfId="43853" xr:uid="{00000000-0005-0000-0000-0000F7260000}"/>
    <cellStyle name="Comma 2 3 6 3 2 4" xfId="44782" xr:uid="{00000000-0005-0000-0000-0000F8260000}"/>
    <cellStyle name="Comma 2 3 6 3 3" xfId="32981" xr:uid="{00000000-0005-0000-0000-0000F9260000}"/>
    <cellStyle name="Comma 2 3 6 3 4" xfId="34796" xr:uid="{00000000-0005-0000-0000-0000FA260000}"/>
    <cellStyle name="Comma 2 3 6 3 5" xfId="36902" xr:uid="{00000000-0005-0000-0000-0000FB260000}"/>
    <cellStyle name="Comma 2 3 6 3 6" xfId="39582" xr:uid="{00000000-0005-0000-0000-0000FC260000}"/>
    <cellStyle name="Comma 2 3 6 3 7" xfId="42525" xr:uid="{00000000-0005-0000-0000-0000FD260000}"/>
    <cellStyle name="Comma 2 3 6 3 8" xfId="44783" xr:uid="{00000000-0005-0000-0000-0000FE260000}"/>
    <cellStyle name="Comma 2 3 6 3 9" xfId="12408" xr:uid="{00000000-0005-0000-0000-0000FF260000}"/>
    <cellStyle name="Comma 2 3 6 4" xfId="11754" xr:uid="{00000000-0005-0000-0000-000000270000}"/>
    <cellStyle name="Comma 2 3 6 4 2" xfId="40308" xr:uid="{00000000-0005-0000-0000-000001270000}"/>
    <cellStyle name="Comma 2 3 6 4 3" xfId="43135" xr:uid="{00000000-0005-0000-0000-000002270000}"/>
    <cellStyle name="Comma 2 3 6 4 4" xfId="44784" xr:uid="{00000000-0005-0000-0000-000003270000}"/>
    <cellStyle name="Comma 2 3 6 5" xfId="15579" xr:uid="{00000000-0005-0000-0000-000004270000}"/>
    <cellStyle name="Comma 2 3 6 6" xfId="30077" xr:uid="{00000000-0005-0000-0000-000005270000}"/>
    <cellStyle name="Comma 2 3 6 7" xfId="30528" xr:uid="{00000000-0005-0000-0000-000006270000}"/>
    <cellStyle name="Comma 2 3 6 8" xfId="31900" xr:uid="{00000000-0005-0000-0000-000007270000}"/>
    <cellStyle name="Comma 2 3 6 9" xfId="32542" xr:uid="{00000000-0005-0000-0000-000008270000}"/>
    <cellStyle name="Comma 2 3 7" xfId="4425" xr:uid="{00000000-0005-0000-0000-000009270000}"/>
    <cellStyle name="Comma 2 3 7 10" xfId="34480" xr:uid="{00000000-0005-0000-0000-00000A270000}"/>
    <cellStyle name="Comma 2 3 7 11" xfId="35608" xr:uid="{00000000-0005-0000-0000-00000B270000}"/>
    <cellStyle name="Comma 2 3 7 12" xfId="36648" xr:uid="{00000000-0005-0000-0000-00000C270000}"/>
    <cellStyle name="Comma 2 3 7 13" xfId="38677" xr:uid="{00000000-0005-0000-0000-00000D270000}"/>
    <cellStyle name="Comma 2 3 7 14" xfId="41717" xr:uid="{00000000-0005-0000-0000-00000E270000}"/>
    <cellStyle name="Comma 2 3 7 15" xfId="44785" xr:uid="{00000000-0005-0000-0000-00000F270000}"/>
    <cellStyle name="Comma 2 3 7 16" xfId="8813" xr:uid="{00000000-0005-0000-0000-000010270000}"/>
    <cellStyle name="Comma 2 3 7 2" xfId="5876" xr:uid="{00000000-0005-0000-0000-000011270000}"/>
    <cellStyle name="Comma 2 3 7 2 2" xfId="31394" xr:uid="{00000000-0005-0000-0000-000012270000}"/>
    <cellStyle name="Comma 2 3 7 2 2 2" xfId="40740" xr:uid="{00000000-0005-0000-0000-000013270000}"/>
    <cellStyle name="Comma 2 3 7 2 2 3" xfId="43503" xr:uid="{00000000-0005-0000-0000-000014270000}"/>
    <cellStyle name="Comma 2 3 7 2 2 4" xfId="44786" xr:uid="{00000000-0005-0000-0000-000015270000}"/>
    <cellStyle name="Comma 2 3 7 2 3" xfId="33248" xr:uid="{00000000-0005-0000-0000-000016270000}"/>
    <cellStyle name="Comma 2 3 7 2 4" xfId="35071" xr:uid="{00000000-0005-0000-0000-000017270000}"/>
    <cellStyle name="Comma 2 3 7 2 5" xfId="37169" xr:uid="{00000000-0005-0000-0000-000018270000}"/>
    <cellStyle name="Comma 2 3 7 2 6" xfId="39167" xr:uid="{00000000-0005-0000-0000-000019270000}"/>
    <cellStyle name="Comma 2 3 7 2 7" xfId="42175" xr:uid="{00000000-0005-0000-0000-00001A270000}"/>
    <cellStyle name="Comma 2 3 7 2 8" xfId="44787" xr:uid="{00000000-0005-0000-0000-00001B270000}"/>
    <cellStyle name="Comma 2 3 7 2 9" xfId="12812" xr:uid="{00000000-0005-0000-0000-00001C270000}"/>
    <cellStyle name="Comma 2 3 7 3" xfId="12029" xr:uid="{00000000-0005-0000-0000-00001D270000}"/>
    <cellStyle name="Comma 2 3 7 3 2" xfId="41051" xr:uid="{00000000-0005-0000-0000-00001E270000}"/>
    <cellStyle name="Comma 2 3 7 3 2 2" xfId="43763" xr:uid="{00000000-0005-0000-0000-00001F270000}"/>
    <cellStyle name="Comma 2 3 7 3 2 3" xfId="44788" xr:uid="{00000000-0005-0000-0000-000020270000}"/>
    <cellStyle name="Comma 2 3 7 3 3" xfId="39475" xr:uid="{00000000-0005-0000-0000-000021270000}"/>
    <cellStyle name="Comma 2 3 7 3 4" xfId="42435" xr:uid="{00000000-0005-0000-0000-000022270000}"/>
    <cellStyle name="Comma 2 3 7 3 5" xfId="44789" xr:uid="{00000000-0005-0000-0000-000023270000}"/>
    <cellStyle name="Comma 2 3 7 4" xfId="15581" xr:uid="{00000000-0005-0000-0000-000024270000}"/>
    <cellStyle name="Comma 2 3 7 4 2" xfId="40196" xr:uid="{00000000-0005-0000-0000-000025270000}"/>
    <cellStyle name="Comma 2 3 7 4 3" xfId="43045" xr:uid="{00000000-0005-0000-0000-000026270000}"/>
    <cellStyle name="Comma 2 3 7 4 4" xfId="44790" xr:uid="{00000000-0005-0000-0000-000027270000}"/>
    <cellStyle name="Comma 2 3 7 5" xfId="30079" xr:uid="{00000000-0005-0000-0000-000028270000}"/>
    <cellStyle name="Comma 2 3 7 6" xfId="30803" xr:uid="{00000000-0005-0000-0000-000029270000}"/>
    <cellStyle name="Comma 2 3 7 7" xfId="31902" xr:uid="{00000000-0005-0000-0000-00002A270000}"/>
    <cellStyle name="Comma 2 3 7 8" xfId="32544" xr:uid="{00000000-0005-0000-0000-00002B270000}"/>
    <cellStyle name="Comma 2 3 7 9" xfId="33756" xr:uid="{00000000-0005-0000-0000-00002C270000}"/>
    <cellStyle name="Comma 2 3 8" xfId="5669" xr:uid="{00000000-0005-0000-0000-00002D270000}"/>
    <cellStyle name="Comma 2 3 8 10" xfId="34466" xr:uid="{00000000-0005-0000-0000-00002E270000}"/>
    <cellStyle name="Comma 2 3 8 11" xfId="36634" xr:uid="{00000000-0005-0000-0000-00002F270000}"/>
    <cellStyle name="Comma 2 3 8 12" xfId="37612" xr:uid="{00000000-0005-0000-0000-000030270000}"/>
    <cellStyle name="Comma 2 3 8 13" xfId="41552" xr:uid="{00000000-0005-0000-0000-000031270000}"/>
    <cellStyle name="Comma 2 3 8 14" xfId="44791" xr:uid="{00000000-0005-0000-0000-000032270000}"/>
    <cellStyle name="Comma 2 3 8 15" xfId="8799" xr:uid="{00000000-0005-0000-0000-000033270000}"/>
    <cellStyle name="Comma 2 3 8 2" xfId="12798" xr:uid="{00000000-0005-0000-0000-000034270000}"/>
    <cellStyle name="Comma 2 3 8 2 2" xfId="31380" xr:uid="{00000000-0005-0000-0000-000035270000}"/>
    <cellStyle name="Comma 2 3 8 2 3" xfId="33234" xr:uid="{00000000-0005-0000-0000-000036270000}"/>
    <cellStyle name="Comma 2 3 8 2 4" xfId="35057" xr:uid="{00000000-0005-0000-0000-000037270000}"/>
    <cellStyle name="Comma 2 3 8 2 5" xfId="37155" xr:uid="{00000000-0005-0000-0000-000038270000}"/>
    <cellStyle name="Comma 2 3 8 2 6" xfId="40003" xr:uid="{00000000-0005-0000-0000-000039270000}"/>
    <cellStyle name="Comma 2 3 8 2 7" xfId="42880" xr:uid="{00000000-0005-0000-0000-00003A270000}"/>
    <cellStyle name="Comma 2 3 8 2 8" xfId="44792" xr:uid="{00000000-0005-0000-0000-00003B270000}"/>
    <cellStyle name="Comma 2 3 8 3" xfId="12015" xr:uid="{00000000-0005-0000-0000-00003C270000}"/>
    <cellStyle name="Comma 2 3 8 4" xfId="15582" xr:uid="{00000000-0005-0000-0000-00003D270000}"/>
    <cellStyle name="Comma 2 3 8 5" xfId="30080" xr:uid="{00000000-0005-0000-0000-00003E270000}"/>
    <cellStyle name="Comma 2 3 8 6" xfId="30789" xr:uid="{00000000-0005-0000-0000-00003F270000}"/>
    <cellStyle name="Comma 2 3 8 7" xfId="31903" xr:uid="{00000000-0005-0000-0000-000040270000}"/>
    <cellStyle name="Comma 2 3 8 8" xfId="32545" xr:uid="{00000000-0005-0000-0000-000041270000}"/>
    <cellStyle name="Comma 2 3 8 9" xfId="33757" xr:uid="{00000000-0005-0000-0000-000042270000}"/>
    <cellStyle name="Comma 2 3 9" xfId="6197" xr:uid="{00000000-0005-0000-0000-000043270000}"/>
    <cellStyle name="Comma 2 3 9 10" xfId="34632" xr:uid="{00000000-0005-0000-0000-000044270000}"/>
    <cellStyle name="Comma 2 3 9 11" xfId="36760" xr:uid="{00000000-0005-0000-0000-000045270000}"/>
    <cellStyle name="Comma 2 3 9 12" xfId="38938" xr:uid="{00000000-0005-0000-0000-000046270000}"/>
    <cellStyle name="Comma 2 3 9 13" xfId="41969" xr:uid="{00000000-0005-0000-0000-000047270000}"/>
    <cellStyle name="Comma 2 3 9 14" xfId="44793" xr:uid="{00000000-0005-0000-0000-000048270000}"/>
    <cellStyle name="Comma 2 3 9 15" xfId="11518" xr:uid="{00000000-0005-0000-0000-000049270000}"/>
    <cellStyle name="Comma 2 3 9 2" xfId="15139" xr:uid="{00000000-0005-0000-0000-00004A270000}"/>
    <cellStyle name="Comma 2 3 9 2 2" xfId="31546" xr:uid="{00000000-0005-0000-0000-00004B270000}"/>
    <cellStyle name="Comma 2 3 9 2 3" xfId="33399" xr:uid="{00000000-0005-0000-0000-00004C270000}"/>
    <cellStyle name="Comma 2 3 9 2 4" xfId="35223" xr:uid="{00000000-0005-0000-0000-00004D270000}"/>
    <cellStyle name="Comma 2 3 9 2 5" xfId="37303" xr:uid="{00000000-0005-0000-0000-00004E270000}"/>
    <cellStyle name="Comma 2 3 9 2 6" xfId="40496" xr:uid="{00000000-0005-0000-0000-00004F270000}"/>
    <cellStyle name="Comma 2 3 9 2 7" xfId="43297" xr:uid="{00000000-0005-0000-0000-000050270000}"/>
    <cellStyle name="Comma 2 3 9 2 8" xfId="44794" xr:uid="{00000000-0005-0000-0000-000051270000}"/>
    <cellStyle name="Comma 2 3 9 3" xfId="12181" xr:uid="{00000000-0005-0000-0000-000052270000}"/>
    <cellStyle name="Comma 2 3 9 4" xfId="15583" xr:uid="{00000000-0005-0000-0000-000053270000}"/>
    <cellStyle name="Comma 2 3 9 5" xfId="30081" xr:uid="{00000000-0005-0000-0000-000054270000}"/>
    <cellStyle name="Comma 2 3 9 6" xfId="30955" xr:uid="{00000000-0005-0000-0000-000055270000}"/>
    <cellStyle name="Comma 2 3 9 7" xfId="31904" xr:uid="{00000000-0005-0000-0000-000056270000}"/>
    <cellStyle name="Comma 2 3 9 8" xfId="32546" xr:uid="{00000000-0005-0000-0000-000057270000}"/>
    <cellStyle name="Comma 2 3 9 9" xfId="33758" xr:uid="{00000000-0005-0000-0000-000058270000}"/>
    <cellStyle name="Comma 2 30" xfId="41363" xr:uid="{00000000-0005-0000-0000-000059270000}"/>
    <cellStyle name="Comma 2 31" xfId="44795" xr:uid="{00000000-0005-0000-0000-00005A270000}"/>
    <cellStyle name="Comma 2 32" xfId="6539" xr:uid="{00000000-0005-0000-0000-00005B270000}"/>
    <cellStyle name="Comma 2 4" xfId="1029" xr:uid="{00000000-0005-0000-0000-00005C270000}"/>
    <cellStyle name="Comma 2 4 10" xfId="11664" xr:uid="{00000000-0005-0000-0000-00005D270000}"/>
    <cellStyle name="Comma 2 4 10 2" xfId="39753" xr:uid="{00000000-0005-0000-0000-00005E270000}"/>
    <cellStyle name="Comma 2 4 10 3" xfId="42666" xr:uid="{00000000-0005-0000-0000-00005F270000}"/>
    <cellStyle name="Comma 2 4 10 4" xfId="44796" xr:uid="{00000000-0005-0000-0000-000060270000}"/>
    <cellStyle name="Comma 2 4 11" xfId="15584" xr:uid="{00000000-0005-0000-0000-000061270000}"/>
    <cellStyle name="Comma 2 4 12" xfId="30082" xr:uid="{00000000-0005-0000-0000-000062270000}"/>
    <cellStyle name="Comma 2 4 13" xfId="30440" xr:uid="{00000000-0005-0000-0000-000063270000}"/>
    <cellStyle name="Comma 2 4 14" xfId="31905" xr:uid="{00000000-0005-0000-0000-000064270000}"/>
    <cellStyle name="Comma 2 4 15" xfId="32547" xr:uid="{00000000-0005-0000-0000-000065270000}"/>
    <cellStyle name="Comma 2 4 16" xfId="33759" xr:uid="{00000000-0005-0000-0000-000066270000}"/>
    <cellStyle name="Comma 2 4 17" xfId="34117" xr:uid="{00000000-0005-0000-0000-000067270000}"/>
    <cellStyle name="Comma 2 4 18" xfId="35283" xr:uid="{00000000-0005-0000-0000-000068270000}"/>
    <cellStyle name="Comma 2 4 19" xfId="36202" xr:uid="{00000000-0005-0000-0000-000069270000}"/>
    <cellStyle name="Comma 2 4 2" xfId="2778" xr:uid="{00000000-0005-0000-0000-00006A270000}"/>
    <cellStyle name="Comma 2 4 2 10" xfId="30478" xr:uid="{00000000-0005-0000-0000-00006B270000}"/>
    <cellStyle name="Comma 2 4 2 11" xfId="31906" xr:uid="{00000000-0005-0000-0000-00006C270000}"/>
    <cellStyle name="Comma 2 4 2 12" xfId="32548" xr:uid="{00000000-0005-0000-0000-00006D270000}"/>
    <cellStyle name="Comma 2 4 2 13" xfId="33760" xr:uid="{00000000-0005-0000-0000-00006E270000}"/>
    <cellStyle name="Comma 2 4 2 14" xfId="34155" xr:uid="{00000000-0005-0000-0000-00006F270000}"/>
    <cellStyle name="Comma 2 4 2 15" xfId="35340" xr:uid="{00000000-0005-0000-0000-000070270000}"/>
    <cellStyle name="Comma 2 4 2 16" xfId="36203" xr:uid="{00000000-0005-0000-0000-000071270000}"/>
    <cellStyle name="Comma 2 4 2 17" xfId="37440" xr:uid="{00000000-0005-0000-0000-000072270000}"/>
    <cellStyle name="Comma 2 4 2 18" xfId="41387" xr:uid="{00000000-0005-0000-0000-000073270000}"/>
    <cellStyle name="Comma 2 4 2 19" xfId="44797" xr:uid="{00000000-0005-0000-0000-000074270000}"/>
    <cellStyle name="Comma 2 4 2 2" xfId="5089" xr:uid="{00000000-0005-0000-0000-000075270000}"/>
    <cellStyle name="Comma 2 4 2 2 10" xfId="33761" xr:uid="{00000000-0005-0000-0000-000076270000}"/>
    <cellStyle name="Comma 2 4 2 2 11" xfId="34307" xr:uid="{00000000-0005-0000-0000-000077270000}"/>
    <cellStyle name="Comma 2 4 2 2 12" xfId="36044" xr:uid="{00000000-0005-0000-0000-000078270000}"/>
    <cellStyle name="Comma 2 4 2 2 13" xfId="36344" xr:uid="{00000000-0005-0000-0000-000079270000}"/>
    <cellStyle name="Comma 2 4 2 2 14" xfId="37514" xr:uid="{00000000-0005-0000-0000-00007A270000}"/>
    <cellStyle name="Comma 2 4 2 2 15" xfId="41460" xr:uid="{00000000-0005-0000-0000-00007B270000}"/>
    <cellStyle name="Comma 2 4 2 2 16" xfId="44798" xr:uid="{00000000-0005-0000-0000-00007C270000}"/>
    <cellStyle name="Comma 2 4 2 2 17" xfId="8544" xr:uid="{00000000-0005-0000-0000-00007D270000}"/>
    <cellStyle name="Comma 2 4 2 2 2" xfId="6058" xr:uid="{00000000-0005-0000-0000-00007E270000}"/>
    <cellStyle name="Comma 2 4 2 2 2 10" xfId="34483" xr:uid="{00000000-0005-0000-0000-00007F270000}"/>
    <cellStyle name="Comma 2 4 2 2 2 11" xfId="36651" xr:uid="{00000000-0005-0000-0000-000080270000}"/>
    <cellStyle name="Comma 2 4 2 2 2 12" xfId="38823" xr:uid="{00000000-0005-0000-0000-000081270000}"/>
    <cellStyle name="Comma 2 4 2 2 2 13" xfId="41862" xr:uid="{00000000-0005-0000-0000-000082270000}"/>
    <cellStyle name="Comma 2 4 2 2 2 14" xfId="44799" xr:uid="{00000000-0005-0000-0000-000083270000}"/>
    <cellStyle name="Comma 2 4 2 2 2 15" xfId="8816" xr:uid="{00000000-0005-0000-0000-000084270000}"/>
    <cellStyle name="Comma 2 4 2 2 2 2" xfId="12815" xr:uid="{00000000-0005-0000-0000-000085270000}"/>
    <cellStyle name="Comma 2 4 2 2 2 2 2" xfId="31397" xr:uid="{00000000-0005-0000-0000-000086270000}"/>
    <cellStyle name="Comma 2 4 2 2 2 2 3" xfId="33251" xr:uid="{00000000-0005-0000-0000-000087270000}"/>
    <cellStyle name="Comma 2 4 2 2 2 2 4" xfId="35074" xr:uid="{00000000-0005-0000-0000-000088270000}"/>
    <cellStyle name="Comma 2 4 2 2 2 2 5" xfId="37172" xr:uid="{00000000-0005-0000-0000-000089270000}"/>
    <cellStyle name="Comma 2 4 2 2 2 2 6" xfId="40372" xr:uid="{00000000-0005-0000-0000-00008A270000}"/>
    <cellStyle name="Comma 2 4 2 2 2 2 7" xfId="43190" xr:uid="{00000000-0005-0000-0000-00008B270000}"/>
    <cellStyle name="Comma 2 4 2 2 2 2 8" xfId="44800" xr:uid="{00000000-0005-0000-0000-00008C270000}"/>
    <cellStyle name="Comma 2 4 2 2 2 3" xfId="12032" xr:uid="{00000000-0005-0000-0000-00008D270000}"/>
    <cellStyle name="Comma 2 4 2 2 2 4" xfId="15587" xr:uid="{00000000-0005-0000-0000-00008E270000}"/>
    <cellStyle name="Comma 2 4 2 2 2 5" xfId="30085" xr:uid="{00000000-0005-0000-0000-00008F270000}"/>
    <cellStyle name="Comma 2 4 2 2 2 6" xfId="30806" xr:uid="{00000000-0005-0000-0000-000090270000}"/>
    <cellStyle name="Comma 2 4 2 2 2 7" xfId="31908" xr:uid="{00000000-0005-0000-0000-000091270000}"/>
    <cellStyle name="Comma 2 4 2 2 2 8" xfId="32550" xr:uid="{00000000-0005-0000-0000-000092270000}"/>
    <cellStyle name="Comma 2 4 2 2 2 9" xfId="33762" xr:uid="{00000000-0005-0000-0000-000093270000}"/>
    <cellStyle name="Comma 2 4 2 2 3" xfId="6378" xr:uid="{00000000-0005-0000-0000-000094270000}"/>
    <cellStyle name="Comma 2 4 2 2 3 2" xfId="31221" xr:uid="{00000000-0005-0000-0000-000095270000}"/>
    <cellStyle name="Comma 2 4 2 2 3 2 2" xfId="40611" xr:uid="{00000000-0005-0000-0000-000096270000}"/>
    <cellStyle name="Comma 2 4 2 2 3 2 3" xfId="43397" xr:uid="{00000000-0005-0000-0000-000097270000}"/>
    <cellStyle name="Comma 2 4 2 2 3 2 4" xfId="44801" xr:uid="{00000000-0005-0000-0000-000098270000}"/>
    <cellStyle name="Comma 2 4 2 2 3 3" xfId="33077" xr:uid="{00000000-0005-0000-0000-000099270000}"/>
    <cellStyle name="Comma 2 4 2 2 3 4" xfId="34898" xr:uid="{00000000-0005-0000-0000-00009A270000}"/>
    <cellStyle name="Comma 2 4 2 2 3 5" xfId="36998" xr:uid="{00000000-0005-0000-0000-00009B270000}"/>
    <cellStyle name="Comma 2 4 2 2 3 6" xfId="39043" xr:uid="{00000000-0005-0000-0000-00009C270000}"/>
    <cellStyle name="Comma 2 4 2 2 3 7" xfId="42069" xr:uid="{00000000-0005-0000-0000-00009D270000}"/>
    <cellStyle name="Comma 2 4 2 2 3 8" xfId="44802" xr:uid="{00000000-0005-0000-0000-00009E270000}"/>
    <cellStyle name="Comma 2 4 2 2 3 9" xfId="12579" xr:uid="{00000000-0005-0000-0000-00009F270000}"/>
    <cellStyle name="Comma 2 4 2 2 4" xfId="11856" xr:uid="{00000000-0005-0000-0000-0000A0270000}"/>
    <cellStyle name="Comma 2 4 2 2 4 2" xfId="41228" xr:uid="{00000000-0005-0000-0000-0000A1270000}"/>
    <cellStyle name="Comma 2 4 2 2 4 2 2" xfId="43908" xr:uid="{00000000-0005-0000-0000-0000A2270000}"/>
    <cellStyle name="Comma 2 4 2 2 4 2 3" xfId="44803" xr:uid="{00000000-0005-0000-0000-0000A3270000}"/>
    <cellStyle name="Comma 2 4 2 2 4 3" xfId="39645" xr:uid="{00000000-0005-0000-0000-0000A4270000}"/>
    <cellStyle name="Comma 2 4 2 2 4 4" xfId="42580" xr:uid="{00000000-0005-0000-0000-0000A5270000}"/>
    <cellStyle name="Comma 2 4 2 2 4 5" xfId="44804" xr:uid="{00000000-0005-0000-0000-0000A6270000}"/>
    <cellStyle name="Comma 2 4 2 2 5" xfId="15586" xr:uid="{00000000-0005-0000-0000-0000A7270000}"/>
    <cellStyle name="Comma 2 4 2 2 5 2" xfId="39889" xr:uid="{00000000-0005-0000-0000-0000A8270000}"/>
    <cellStyle name="Comma 2 4 2 2 5 3" xfId="42788" xr:uid="{00000000-0005-0000-0000-0000A9270000}"/>
    <cellStyle name="Comma 2 4 2 2 5 4" xfId="44805" xr:uid="{00000000-0005-0000-0000-0000AA270000}"/>
    <cellStyle name="Comma 2 4 2 2 6" xfId="30084" xr:uid="{00000000-0005-0000-0000-0000AB270000}"/>
    <cellStyle name="Comma 2 4 2 2 7" xfId="30630" xr:uid="{00000000-0005-0000-0000-0000AC270000}"/>
    <cellStyle name="Comma 2 4 2 2 8" xfId="31907" xr:uid="{00000000-0005-0000-0000-0000AD270000}"/>
    <cellStyle name="Comma 2 4 2 2 9" xfId="32549" xr:uid="{00000000-0005-0000-0000-0000AE270000}"/>
    <cellStyle name="Comma 2 4 2 20" xfId="6668" xr:uid="{00000000-0005-0000-0000-0000AF270000}"/>
    <cellStyle name="Comma 2 4 2 3" xfId="4430" xr:uid="{00000000-0005-0000-0000-0000B0270000}"/>
    <cellStyle name="Comma 2 4 2 3 10" xfId="33763" xr:uid="{00000000-0005-0000-0000-0000B1270000}"/>
    <cellStyle name="Comma 2 4 2 3 11" xfId="34208" xr:uid="{00000000-0005-0000-0000-0000B2270000}"/>
    <cellStyle name="Comma 2 4 2 3 12" xfId="35613" xr:uid="{00000000-0005-0000-0000-0000B3270000}"/>
    <cellStyle name="Comma 2 4 2 3 13" xfId="36436" xr:uid="{00000000-0005-0000-0000-0000B4270000}"/>
    <cellStyle name="Comma 2 4 2 3 14" xfId="38682" xr:uid="{00000000-0005-0000-0000-0000B5270000}"/>
    <cellStyle name="Comma 2 4 2 3 15" xfId="41722" xr:uid="{00000000-0005-0000-0000-0000B6270000}"/>
    <cellStyle name="Comma 2 4 2 3 16" xfId="44806" xr:uid="{00000000-0005-0000-0000-0000B7270000}"/>
    <cellStyle name="Comma 2 4 2 3 17" xfId="8099" xr:uid="{00000000-0005-0000-0000-0000B8270000}"/>
    <cellStyle name="Comma 2 4 2 3 2" xfId="5881" xr:uid="{00000000-0005-0000-0000-0000B9270000}"/>
    <cellStyle name="Comma 2 4 2 3 2 10" xfId="34484" xr:uid="{00000000-0005-0000-0000-0000BA270000}"/>
    <cellStyle name="Comma 2 4 2 3 2 11" xfId="36652" xr:uid="{00000000-0005-0000-0000-0000BB270000}"/>
    <cellStyle name="Comma 2 4 2 3 2 12" xfId="39171" xr:uid="{00000000-0005-0000-0000-0000BC270000}"/>
    <cellStyle name="Comma 2 4 2 3 2 13" xfId="42179" xr:uid="{00000000-0005-0000-0000-0000BD270000}"/>
    <cellStyle name="Comma 2 4 2 3 2 14" xfId="44807" xr:uid="{00000000-0005-0000-0000-0000BE270000}"/>
    <cellStyle name="Comma 2 4 2 3 2 15" xfId="8817" xr:uid="{00000000-0005-0000-0000-0000BF270000}"/>
    <cellStyle name="Comma 2 4 2 3 2 2" xfId="12816" xr:uid="{00000000-0005-0000-0000-0000C0270000}"/>
    <cellStyle name="Comma 2 4 2 3 2 2 2" xfId="31398" xr:uid="{00000000-0005-0000-0000-0000C1270000}"/>
    <cellStyle name="Comma 2 4 2 3 2 2 3" xfId="33252" xr:uid="{00000000-0005-0000-0000-0000C2270000}"/>
    <cellStyle name="Comma 2 4 2 3 2 2 4" xfId="35075" xr:uid="{00000000-0005-0000-0000-0000C3270000}"/>
    <cellStyle name="Comma 2 4 2 3 2 2 5" xfId="37173" xr:uid="{00000000-0005-0000-0000-0000C4270000}"/>
    <cellStyle name="Comma 2 4 2 3 2 2 6" xfId="40744" xr:uid="{00000000-0005-0000-0000-0000C5270000}"/>
    <cellStyle name="Comma 2 4 2 3 2 2 7" xfId="43507" xr:uid="{00000000-0005-0000-0000-0000C6270000}"/>
    <cellStyle name="Comma 2 4 2 3 2 2 8" xfId="44808" xr:uid="{00000000-0005-0000-0000-0000C7270000}"/>
    <cellStyle name="Comma 2 4 2 3 2 3" xfId="12033" xr:uid="{00000000-0005-0000-0000-0000C8270000}"/>
    <cellStyle name="Comma 2 4 2 3 2 4" xfId="15589" xr:uid="{00000000-0005-0000-0000-0000C9270000}"/>
    <cellStyle name="Comma 2 4 2 3 2 5" xfId="30087" xr:uid="{00000000-0005-0000-0000-0000CA270000}"/>
    <cellStyle name="Comma 2 4 2 3 2 6" xfId="30807" xr:uid="{00000000-0005-0000-0000-0000CB270000}"/>
    <cellStyle name="Comma 2 4 2 3 2 7" xfId="31910" xr:uid="{00000000-0005-0000-0000-0000CC270000}"/>
    <cellStyle name="Comma 2 4 2 3 2 8" xfId="32552" xr:uid="{00000000-0005-0000-0000-0000CD270000}"/>
    <cellStyle name="Comma 2 4 2 3 2 9" xfId="33764" xr:uid="{00000000-0005-0000-0000-0000CE270000}"/>
    <cellStyle name="Comma 2 4 2 3 3" xfId="12411" xr:uid="{00000000-0005-0000-0000-0000CF270000}"/>
    <cellStyle name="Comma 2 4 2 3 3 2" xfId="31122" xr:uid="{00000000-0005-0000-0000-0000D0270000}"/>
    <cellStyle name="Comma 2 4 2 3 3 2 2" xfId="41056" xr:uid="{00000000-0005-0000-0000-0000D1270000}"/>
    <cellStyle name="Comma 2 4 2 3 3 2 3" xfId="43768" xr:uid="{00000000-0005-0000-0000-0000D2270000}"/>
    <cellStyle name="Comma 2 4 2 3 3 2 4" xfId="44809" xr:uid="{00000000-0005-0000-0000-0000D3270000}"/>
    <cellStyle name="Comma 2 4 2 3 3 3" xfId="32984" xr:uid="{00000000-0005-0000-0000-0000D4270000}"/>
    <cellStyle name="Comma 2 4 2 3 3 4" xfId="34799" xr:uid="{00000000-0005-0000-0000-0000D5270000}"/>
    <cellStyle name="Comma 2 4 2 3 3 5" xfId="36905" xr:uid="{00000000-0005-0000-0000-0000D6270000}"/>
    <cellStyle name="Comma 2 4 2 3 3 6" xfId="39480" xr:uid="{00000000-0005-0000-0000-0000D7270000}"/>
    <cellStyle name="Comma 2 4 2 3 3 7" xfId="42440" xr:uid="{00000000-0005-0000-0000-0000D8270000}"/>
    <cellStyle name="Comma 2 4 2 3 3 8" xfId="44810" xr:uid="{00000000-0005-0000-0000-0000D9270000}"/>
    <cellStyle name="Comma 2 4 2 3 4" xfId="11757" xr:uid="{00000000-0005-0000-0000-0000DA270000}"/>
    <cellStyle name="Comma 2 4 2 3 4 2" xfId="40201" xr:uid="{00000000-0005-0000-0000-0000DB270000}"/>
    <cellStyle name="Comma 2 4 2 3 4 3" xfId="43050" xr:uid="{00000000-0005-0000-0000-0000DC270000}"/>
    <cellStyle name="Comma 2 4 2 3 4 4" xfId="44811" xr:uid="{00000000-0005-0000-0000-0000DD270000}"/>
    <cellStyle name="Comma 2 4 2 3 5" xfId="15588" xr:uid="{00000000-0005-0000-0000-0000DE270000}"/>
    <cellStyle name="Comma 2 4 2 3 6" xfId="30086" xr:uid="{00000000-0005-0000-0000-0000DF270000}"/>
    <cellStyle name="Comma 2 4 2 3 7" xfId="30531" xr:uid="{00000000-0005-0000-0000-0000E0270000}"/>
    <cellStyle name="Comma 2 4 2 3 8" xfId="31909" xr:uid="{00000000-0005-0000-0000-0000E1270000}"/>
    <cellStyle name="Comma 2 4 2 3 9" xfId="32551" xr:uid="{00000000-0005-0000-0000-0000E2270000}"/>
    <cellStyle name="Comma 2 4 2 4" xfId="5743" xr:uid="{00000000-0005-0000-0000-0000E3270000}"/>
    <cellStyle name="Comma 2 4 2 4 10" xfId="34482" xr:uid="{00000000-0005-0000-0000-0000E4270000}"/>
    <cellStyle name="Comma 2 4 2 4 11" xfId="36650" xr:uid="{00000000-0005-0000-0000-0000E5270000}"/>
    <cellStyle name="Comma 2 4 2 4 12" xfId="38110" xr:uid="{00000000-0005-0000-0000-0000E6270000}"/>
    <cellStyle name="Comma 2 4 2 4 13" xfId="41607" xr:uid="{00000000-0005-0000-0000-0000E7270000}"/>
    <cellStyle name="Comma 2 4 2 4 14" xfId="44812" xr:uid="{00000000-0005-0000-0000-0000E8270000}"/>
    <cellStyle name="Comma 2 4 2 4 15" xfId="8815" xr:uid="{00000000-0005-0000-0000-0000E9270000}"/>
    <cellStyle name="Comma 2 4 2 4 2" xfId="12814" xr:uid="{00000000-0005-0000-0000-0000EA270000}"/>
    <cellStyle name="Comma 2 4 2 4 2 2" xfId="31396" xr:uid="{00000000-0005-0000-0000-0000EB270000}"/>
    <cellStyle name="Comma 2 4 2 4 2 3" xfId="33250" xr:uid="{00000000-0005-0000-0000-0000EC270000}"/>
    <cellStyle name="Comma 2 4 2 4 2 4" xfId="35073" xr:uid="{00000000-0005-0000-0000-0000ED270000}"/>
    <cellStyle name="Comma 2 4 2 4 2 5" xfId="37171" xr:uid="{00000000-0005-0000-0000-0000EE270000}"/>
    <cellStyle name="Comma 2 4 2 4 2 6" xfId="40066" xr:uid="{00000000-0005-0000-0000-0000EF270000}"/>
    <cellStyle name="Comma 2 4 2 4 2 7" xfId="42935" xr:uid="{00000000-0005-0000-0000-0000F0270000}"/>
    <cellStyle name="Comma 2 4 2 4 2 8" xfId="44813" xr:uid="{00000000-0005-0000-0000-0000F1270000}"/>
    <cellStyle name="Comma 2 4 2 4 3" xfId="12031" xr:uid="{00000000-0005-0000-0000-0000F2270000}"/>
    <cellStyle name="Comma 2 4 2 4 4" xfId="15590" xr:uid="{00000000-0005-0000-0000-0000F3270000}"/>
    <cellStyle name="Comma 2 4 2 4 5" xfId="30088" xr:uid="{00000000-0005-0000-0000-0000F4270000}"/>
    <cellStyle name="Comma 2 4 2 4 6" xfId="30805" xr:uid="{00000000-0005-0000-0000-0000F5270000}"/>
    <cellStyle name="Comma 2 4 2 4 7" xfId="31911" xr:uid="{00000000-0005-0000-0000-0000F6270000}"/>
    <cellStyle name="Comma 2 4 2 4 8" xfId="32553" xr:uid="{00000000-0005-0000-0000-0000F7270000}"/>
    <cellStyle name="Comma 2 4 2 4 9" xfId="33765" xr:uid="{00000000-0005-0000-0000-0000F8270000}"/>
    <cellStyle name="Comma 2 4 2 5" xfId="6202" xr:uid="{00000000-0005-0000-0000-0000F9270000}"/>
    <cellStyle name="Comma 2 4 2 5 10" xfId="34636" xr:uid="{00000000-0005-0000-0000-0000FA270000}"/>
    <cellStyle name="Comma 2 4 2 5 11" xfId="36764" xr:uid="{00000000-0005-0000-0000-0000FB270000}"/>
    <cellStyle name="Comma 2 4 2 5 12" xfId="38942" xr:uid="{00000000-0005-0000-0000-0000FC270000}"/>
    <cellStyle name="Comma 2 4 2 5 13" xfId="41973" xr:uid="{00000000-0005-0000-0000-0000FD270000}"/>
    <cellStyle name="Comma 2 4 2 5 14" xfId="44814" xr:uid="{00000000-0005-0000-0000-0000FE270000}"/>
    <cellStyle name="Comma 2 4 2 5 15" xfId="11522" xr:uid="{00000000-0005-0000-0000-0000FF270000}"/>
    <cellStyle name="Comma 2 4 2 5 2" xfId="15143" xr:uid="{00000000-0005-0000-0000-000000280000}"/>
    <cellStyle name="Comma 2 4 2 5 2 2" xfId="31550" xr:uid="{00000000-0005-0000-0000-000001280000}"/>
    <cellStyle name="Comma 2 4 2 5 2 3" xfId="33403" xr:uid="{00000000-0005-0000-0000-000002280000}"/>
    <cellStyle name="Comma 2 4 2 5 2 4" xfId="35227" xr:uid="{00000000-0005-0000-0000-000003280000}"/>
    <cellStyle name="Comma 2 4 2 5 2 5" xfId="37307" xr:uid="{00000000-0005-0000-0000-000004280000}"/>
    <cellStyle name="Comma 2 4 2 5 2 6" xfId="40500" xr:uid="{00000000-0005-0000-0000-000005280000}"/>
    <cellStyle name="Comma 2 4 2 5 2 7" xfId="43301" xr:uid="{00000000-0005-0000-0000-000006280000}"/>
    <cellStyle name="Comma 2 4 2 5 2 8" xfId="44815" xr:uid="{00000000-0005-0000-0000-000007280000}"/>
    <cellStyle name="Comma 2 4 2 5 3" xfId="12185" xr:uid="{00000000-0005-0000-0000-000008280000}"/>
    <cellStyle name="Comma 2 4 2 5 4" xfId="15591" xr:uid="{00000000-0005-0000-0000-000009280000}"/>
    <cellStyle name="Comma 2 4 2 5 5" xfId="30089" xr:uid="{00000000-0005-0000-0000-00000A280000}"/>
    <cellStyle name="Comma 2 4 2 5 6" xfId="30959" xr:uid="{00000000-0005-0000-0000-00000B280000}"/>
    <cellStyle name="Comma 2 4 2 5 7" xfId="31912" xr:uid="{00000000-0005-0000-0000-00000C280000}"/>
    <cellStyle name="Comma 2 4 2 5 8" xfId="32554" xr:uid="{00000000-0005-0000-0000-00000D280000}"/>
    <cellStyle name="Comma 2 4 2 5 9" xfId="33766" xr:uid="{00000000-0005-0000-0000-00000E280000}"/>
    <cellStyle name="Comma 2 4 2 6" xfId="12296" xr:uid="{00000000-0005-0000-0000-00000F280000}"/>
    <cellStyle name="Comma 2 4 2 6 2" xfId="31069" xr:uid="{00000000-0005-0000-0000-000010280000}"/>
    <cellStyle name="Comma 2 4 2 6 2 2" xfId="40918" xr:uid="{00000000-0005-0000-0000-000011280000}"/>
    <cellStyle name="Comma 2 4 2 6 2 3" xfId="43653" xr:uid="{00000000-0005-0000-0000-000012280000}"/>
    <cellStyle name="Comma 2 4 2 6 2 4" xfId="44816" xr:uid="{00000000-0005-0000-0000-000013280000}"/>
    <cellStyle name="Comma 2 4 2 6 3" xfId="32937" xr:uid="{00000000-0005-0000-0000-000014280000}"/>
    <cellStyle name="Comma 2 4 2 6 4" xfId="34746" xr:uid="{00000000-0005-0000-0000-000015280000}"/>
    <cellStyle name="Comma 2 4 2 6 5" xfId="36854" xr:uid="{00000000-0005-0000-0000-000016280000}"/>
    <cellStyle name="Comma 2 4 2 6 6" xfId="39347" xr:uid="{00000000-0005-0000-0000-000017280000}"/>
    <cellStyle name="Comma 2 4 2 6 7" xfId="42325" xr:uid="{00000000-0005-0000-0000-000018280000}"/>
    <cellStyle name="Comma 2 4 2 6 8" xfId="44817" xr:uid="{00000000-0005-0000-0000-000019280000}"/>
    <cellStyle name="Comma 2 4 2 7" xfId="11703" xr:uid="{00000000-0005-0000-0000-00001A280000}"/>
    <cellStyle name="Comma 2 4 2 7 2" xfId="39807" xr:uid="{00000000-0005-0000-0000-00001B280000}"/>
    <cellStyle name="Comma 2 4 2 7 3" xfId="42715" xr:uid="{00000000-0005-0000-0000-00001C280000}"/>
    <cellStyle name="Comma 2 4 2 7 4" xfId="44818" xr:uid="{00000000-0005-0000-0000-00001D280000}"/>
    <cellStyle name="Comma 2 4 2 8" xfId="15585" xr:uid="{00000000-0005-0000-0000-00001E280000}"/>
    <cellStyle name="Comma 2 4 2 9" xfId="30083" xr:uid="{00000000-0005-0000-0000-00001F280000}"/>
    <cellStyle name="Comma 2 4 20" xfId="37390" xr:uid="{00000000-0005-0000-0000-000020280000}"/>
    <cellStyle name="Comma 2 4 21" xfId="41338" xr:uid="{00000000-0005-0000-0000-000021280000}"/>
    <cellStyle name="Comma 2 4 22" xfId="44819" xr:uid="{00000000-0005-0000-0000-000022280000}"/>
    <cellStyle name="Comma 2 4 23" xfId="6556" xr:uid="{00000000-0005-0000-0000-000023280000}"/>
    <cellStyle name="Comma 2 4 3" xfId="2779" xr:uid="{00000000-0005-0000-0000-000024280000}"/>
    <cellStyle name="Comma 2 4 3 10" xfId="32555" xr:uid="{00000000-0005-0000-0000-000025280000}"/>
    <cellStyle name="Comma 2 4 3 11" xfId="33767" xr:uid="{00000000-0005-0000-0000-000026280000}"/>
    <cellStyle name="Comma 2 4 3 12" xfId="34179" xr:uid="{00000000-0005-0000-0000-000027280000}"/>
    <cellStyle name="Comma 2 4 3 13" xfId="35341" xr:uid="{00000000-0005-0000-0000-000028280000}"/>
    <cellStyle name="Comma 2 4 3 14" xfId="36204" xr:uid="{00000000-0005-0000-0000-000029280000}"/>
    <cellStyle name="Comma 2 4 3 15" xfId="37439" xr:uid="{00000000-0005-0000-0000-00002A280000}"/>
    <cellStyle name="Comma 2 4 3 16" xfId="41386" xr:uid="{00000000-0005-0000-0000-00002B280000}"/>
    <cellStyle name="Comma 2 4 3 17" xfId="44820" xr:uid="{00000000-0005-0000-0000-00002C280000}"/>
    <cellStyle name="Comma 2 4 3 18" xfId="7342" xr:uid="{00000000-0005-0000-0000-00002D280000}"/>
    <cellStyle name="Comma 2 4 3 2" xfId="5090" xr:uid="{00000000-0005-0000-0000-00002E280000}"/>
    <cellStyle name="Comma 2 4 3 2 10" xfId="33768" xr:uid="{00000000-0005-0000-0000-00002F280000}"/>
    <cellStyle name="Comma 2 4 3 2 11" xfId="34331" xr:uid="{00000000-0005-0000-0000-000030280000}"/>
    <cellStyle name="Comma 2 4 3 2 12" xfId="36045" xr:uid="{00000000-0005-0000-0000-000031280000}"/>
    <cellStyle name="Comma 2 4 3 2 13" xfId="36345" xr:uid="{00000000-0005-0000-0000-000032280000}"/>
    <cellStyle name="Comma 2 4 3 2 14" xfId="37571" xr:uid="{00000000-0005-0000-0000-000033280000}"/>
    <cellStyle name="Comma 2 4 3 2 15" xfId="41517" xr:uid="{00000000-0005-0000-0000-000034280000}"/>
    <cellStyle name="Comma 2 4 3 2 16" xfId="44821" xr:uid="{00000000-0005-0000-0000-000035280000}"/>
    <cellStyle name="Comma 2 4 3 2 17" xfId="8601" xr:uid="{00000000-0005-0000-0000-000036280000}"/>
    <cellStyle name="Comma 2 4 3 2 2" xfId="6059" xr:uid="{00000000-0005-0000-0000-000037280000}"/>
    <cellStyle name="Comma 2 4 3 2 2 10" xfId="34486" xr:uid="{00000000-0005-0000-0000-000038280000}"/>
    <cellStyle name="Comma 2 4 3 2 2 11" xfId="36654" xr:uid="{00000000-0005-0000-0000-000039280000}"/>
    <cellStyle name="Comma 2 4 3 2 2 12" xfId="38824" xr:uid="{00000000-0005-0000-0000-00003A280000}"/>
    <cellStyle name="Comma 2 4 3 2 2 13" xfId="41863" xr:uid="{00000000-0005-0000-0000-00003B280000}"/>
    <cellStyle name="Comma 2 4 3 2 2 14" xfId="44822" xr:uid="{00000000-0005-0000-0000-00003C280000}"/>
    <cellStyle name="Comma 2 4 3 2 2 15" xfId="8819" xr:uid="{00000000-0005-0000-0000-00003D280000}"/>
    <cellStyle name="Comma 2 4 3 2 2 2" xfId="12818" xr:uid="{00000000-0005-0000-0000-00003E280000}"/>
    <cellStyle name="Comma 2 4 3 2 2 2 2" xfId="31400" xr:uid="{00000000-0005-0000-0000-00003F280000}"/>
    <cellStyle name="Comma 2 4 3 2 2 2 3" xfId="33254" xr:uid="{00000000-0005-0000-0000-000040280000}"/>
    <cellStyle name="Comma 2 4 3 2 2 2 4" xfId="35077" xr:uid="{00000000-0005-0000-0000-000041280000}"/>
    <cellStyle name="Comma 2 4 3 2 2 2 5" xfId="37175" xr:uid="{00000000-0005-0000-0000-000042280000}"/>
    <cellStyle name="Comma 2 4 3 2 2 2 6" xfId="40373" xr:uid="{00000000-0005-0000-0000-000043280000}"/>
    <cellStyle name="Comma 2 4 3 2 2 2 7" xfId="43191" xr:uid="{00000000-0005-0000-0000-000044280000}"/>
    <cellStyle name="Comma 2 4 3 2 2 2 8" xfId="44823" xr:uid="{00000000-0005-0000-0000-000045280000}"/>
    <cellStyle name="Comma 2 4 3 2 2 3" xfId="12035" xr:uid="{00000000-0005-0000-0000-000046280000}"/>
    <cellStyle name="Comma 2 4 3 2 2 4" xfId="15594" xr:uid="{00000000-0005-0000-0000-000047280000}"/>
    <cellStyle name="Comma 2 4 3 2 2 5" xfId="30092" xr:uid="{00000000-0005-0000-0000-000048280000}"/>
    <cellStyle name="Comma 2 4 3 2 2 6" xfId="30809" xr:uid="{00000000-0005-0000-0000-000049280000}"/>
    <cellStyle name="Comma 2 4 3 2 2 7" xfId="31915" xr:uid="{00000000-0005-0000-0000-00004A280000}"/>
    <cellStyle name="Comma 2 4 3 2 2 8" xfId="32557" xr:uid="{00000000-0005-0000-0000-00004B280000}"/>
    <cellStyle name="Comma 2 4 3 2 2 9" xfId="33769" xr:uid="{00000000-0005-0000-0000-00004C280000}"/>
    <cellStyle name="Comma 2 4 3 2 3" xfId="6379" xr:uid="{00000000-0005-0000-0000-00004D280000}"/>
    <cellStyle name="Comma 2 4 3 2 3 2" xfId="31245" xr:uid="{00000000-0005-0000-0000-00004E280000}"/>
    <cellStyle name="Comma 2 4 3 2 3 2 2" xfId="40793" xr:uid="{00000000-0005-0000-0000-00004F280000}"/>
    <cellStyle name="Comma 2 4 3 2 3 2 3" xfId="43548" xr:uid="{00000000-0005-0000-0000-000050280000}"/>
    <cellStyle name="Comma 2 4 3 2 3 2 4" xfId="44824" xr:uid="{00000000-0005-0000-0000-000051280000}"/>
    <cellStyle name="Comma 2 4 3 2 3 3" xfId="33099" xr:uid="{00000000-0005-0000-0000-000052280000}"/>
    <cellStyle name="Comma 2 4 3 2 3 4" xfId="34922" xr:uid="{00000000-0005-0000-0000-000053280000}"/>
    <cellStyle name="Comma 2 4 3 2 3 5" xfId="37020" xr:uid="{00000000-0005-0000-0000-000054280000}"/>
    <cellStyle name="Comma 2 4 3 2 3 6" xfId="39230" xr:uid="{00000000-0005-0000-0000-000055280000}"/>
    <cellStyle name="Comma 2 4 3 2 3 7" xfId="42220" xr:uid="{00000000-0005-0000-0000-000056280000}"/>
    <cellStyle name="Comma 2 4 3 2 3 8" xfId="44825" xr:uid="{00000000-0005-0000-0000-000057280000}"/>
    <cellStyle name="Comma 2 4 3 2 3 9" xfId="12607" xr:uid="{00000000-0005-0000-0000-000058280000}"/>
    <cellStyle name="Comma 2 4 3 2 4" xfId="11880" xr:uid="{00000000-0005-0000-0000-000059280000}"/>
    <cellStyle name="Comma 2 4 3 2 4 2" xfId="41229" xr:uid="{00000000-0005-0000-0000-00005A280000}"/>
    <cellStyle name="Comma 2 4 3 2 4 2 2" xfId="43909" xr:uid="{00000000-0005-0000-0000-00005B280000}"/>
    <cellStyle name="Comma 2 4 3 2 4 2 3" xfId="44826" xr:uid="{00000000-0005-0000-0000-00005C280000}"/>
    <cellStyle name="Comma 2 4 3 2 4 3" xfId="39646" xr:uid="{00000000-0005-0000-0000-00005D280000}"/>
    <cellStyle name="Comma 2 4 3 2 4 4" xfId="42581" xr:uid="{00000000-0005-0000-0000-00005E280000}"/>
    <cellStyle name="Comma 2 4 3 2 4 5" xfId="44827" xr:uid="{00000000-0005-0000-0000-00005F280000}"/>
    <cellStyle name="Comma 2 4 3 2 5" xfId="15593" xr:uid="{00000000-0005-0000-0000-000060280000}"/>
    <cellStyle name="Comma 2 4 3 2 5 2" xfId="39957" xr:uid="{00000000-0005-0000-0000-000061280000}"/>
    <cellStyle name="Comma 2 4 3 2 5 3" xfId="42845" xr:uid="{00000000-0005-0000-0000-000062280000}"/>
    <cellStyle name="Comma 2 4 3 2 5 4" xfId="44828" xr:uid="{00000000-0005-0000-0000-000063280000}"/>
    <cellStyle name="Comma 2 4 3 2 6" xfId="30091" xr:uid="{00000000-0005-0000-0000-000064280000}"/>
    <cellStyle name="Comma 2 4 3 2 7" xfId="30654" xr:uid="{00000000-0005-0000-0000-000065280000}"/>
    <cellStyle name="Comma 2 4 3 2 8" xfId="31914" xr:uid="{00000000-0005-0000-0000-000066280000}"/>
    <cellStyle name="Comma 2 4 3 2 9" xfId="32556" xr:uid="{00000000-0005-0000-0000-000067280000}"/>
    <cellStyle name="Comma 2 4 3 3" xfId="4431" xr:uid="{00000000-0005-0000-0000-000068280000}"/>
    <cellStyle name="Comma 2 4 3 3 10" xfId="34485" xr:uid="{00000000-0005-0000-0000-000069280000}"/>
    <cellStyle name="Comma 2 4 3 3 11" xfId="35614" xr:uid="{00000000-0005-0000-0000-00006A280000}"/>
    <cellStyle name="Comma 2 4 3 3 12" xfId="36653" xr:uid="{00000000-0005-0000-0000-00006B280000}"/>
    <cellStyle name="Comma 2 4 3 3 13" xfId="38683" xr:uid="{00000000-0005-0000-0000-00006C280000}"/>
    <cellStyle name="Comma 2 4 3 3 14" xfId="41723" xr:uid="{00000000-0005-0000-0000-00006D280000}"/>
    <cellStyle name="Comma 2 4 3 3 15" xfId="44829" xr:uid="{00000000-0005-0000-0000-00006E280000}"/>
    <cellStyle name="Comma 2 4 3 3 16" xfId="8818" xr:uid="{00000000-0005-0000-0000-00006F280000}"/>
    <cellStyle name="Comma 2 4 3 3 2" xfId="5882" xr:uid="{00000000-0005-0000-0000-000070280000}"/>
    <cellStyle name="Comma 2 4 3 3 2 2" xfId="31399" xr:uid="{00000000-0005-0000-0000-000071280000}"/>
    <cellStyle name="Comma 2 4 3 3 2 2 2" xfId="41057" xr:uid="{00000000-0005-0000-0000-000072280000}"/>
    <cellStyle name="Comma 2 4 3 3 2 2 3" xfId="43769" xr:uid="{00000000-0005-0000-0000-000073280000}"/>
    <cellStyle name="Comma 2 4 3 3 2 2 4" xfId="44830" xr:uid="{00000000-0005-0000-0000-000074280000}"/>
    <cellStyle name="Comma 2 4 3 3 2 3" xfId="33253" xr:uid="{00000000-0005-0000-0000-000075280000}"/>
    <cellStyle name="Comma 2 4 3 3 2 4" xfId="35076" xr:uid="{00000000-0005-0000-0000-000076280000}"/>
    <cellStyle name="Comma 2 4 3 3 2 5" xfId="37174" xr:uid="{00000000-0005-0000-0000-000077280000}"/>
    <cellStyle name="Comma 2 4 3 3 2 6" xfId="39481" xr:uid="{00000000-0005-0000-0000-000078280000}"/>
    <cellStyle name="Comma 2 4 3 3 2 7" xfId="42441" xr:uid="{00000000-0005-0000-0000-000079280000}"/>
    <cellStyle name="Comma 2 4 3 3 2 8" xfId="44831" xr:uid="{00000000-0005-0000-0000-00007A280000}"/>
    <cellStyle name="Comma 2 4 3 3 2 9" xfId="12817" xr:uid="{00000000-0005-0000-0000-00007B280000}"/>
    <cellStyle name="Comma 2 4 3 3 3" xfId="12034" xr:uid="{00000000-0005-0000-0000-00007C280000}"/>
    <cellStyle name="Comma 2 4 3 3 3 2" xfId="40202" xr:uid="{00000000-0005-0000-0000-00007D280000}"/>
    <cellStyle name="Comma 2 4 3 3 3 3" xfId="43051" xr:uid="{00000000-0005-0000-0000-00007E280000}"/>
    <cellStyle name="Comma 2 4 3 3 3 4" xfId="44832" xr:uid="{00000000-0005-0000-0000-00007F280000}"/>
    <cellStyle name="Comma 2 4 3 3 4" xfId="15595" xr:uid="{00000000-0005-0000-0000-000080280000}"/>
    <cellStyle name="Comma 2 4 3 3 5" xfId="30093" xr:uid="{00000000-0005-0000-0000-000081280000}"/>
    <cellStyle name="Comma 2 4 3 3 6" xfId="30808" xr:uid="{00000000-0005-0000-0000-000082280000}"/>
    <cellStyle name="Comma 2 4 3 3 7" xfId="31916" xr:uid="{00000000-0005-0000-0000-000083280000}"/>
    <cellStyle name="Comma 2 4 3 3 8" xfId="32558" xr:uid="{00000000-0005-0000-0000-000084280000}"/>
    <cellStyle name="Comma 2 4 3 3 9" xfId="33770" xr:uid="{00000000-0005-0000-0000-000085280000}"/>
    <cellStyle name="Comma 2 4 3 4" xfId="5744" xr:uid="{00000000-0005-0000-0000-000086280000}"/>
    <cellStyle name="Comma 2 4 3 4 2" xfId="31093" xr:uid="{00000000-0005-0000-0000-000087280000}"/>
    <cellStyle name="Comma 2 4 3 4 2 2" xfId="40067" xr:uid="{00000000-0005-0000-0000-000088280000}"/>
    <cellStyle name="Comma 2 4 3 4 2 3" xfId="42936" xr:uid="{00000000-0005-0000-0000-000089280000}"/>
    <cellStyle name="Comma 2 4 3 4 2 4" xfId="44833" xr:uid="{00000000-0005-0000-0000-00008A280000}"/>
    <cellStyle name="Comma 2 4 3 4 3" xfId="32955" xr:uid="{00000000-0005-0000-0000-00008B280000}"/>
    <cellStyle name="Comma 2 4 3 4 4" xfId="34770" xr:uid="{00000000-0005-0000-0000-00008C280000}"/>
    <cellStyle name="Comma 2 4 3 4 5" xfId="36876" xr:uid="{00000000-0005-0000-0000-00008D280000}"/>
    <cellStyle name="Comma 2 4 3 4 6" xfId="38111" xr:uid="{00000000-0005-0000-0000-00008E280000}"/>
    <cellStyle name="Comma 2 4 3 4 7" xfId="41608" xr:uid="{00000000-0005-0000-0000-00008F280000}"/>
    <cellStyle name="Comma 2 4 3 4 8" xfId="44834" xr:uid="{00000000-0005-0000-0000-000090280000}"/>
    <cellStyle name="Comma 2 4 3 4 9" xfId="12321" xr:uid="{00000000-0005-0000-0000-000091280000}"/>
    <cellStyle name="Comma 2 4 3 5" xfId="6203" xr:uid="{00000000-0005-0000-0000-000092280000}"/>
    <cellStyle name="Comma 2 4 3 5 2" xfId="40612" xr:uid="{00000000-0005-0000-0000-000093280000}"/>
    <cellStyle name="Comma 2 4 3 5 2 2" xfId="43398" xr:uid="{00000000-0005-0000-0000-000094280000}"/>
    <cellStyle name="Comma 2 4 3 5 2 3" xfId="44835" xr:uid="{00000000-0005-0000-0000-000095280000}"/>
    <cellStyle name="Comma 2 4 3 5 3" xfId="39044" xr:uid="{00000000-0005-0000-0000-000096280000}"/>
    <cellStyle name="Comma 2 4 3 5 4" xfId="42070" xr:uid="{00000000-0005-0000-0000-000097280000}"/>
    <cellStyle name="Comma 2 4 3 5 5" xfId="44836" xr:uid="{00000000-0005-0000-0000-000098280000}"/>
    <cellStyle name="Comma 2 4 3 5 6" xfId="11728" xr:uid="{00000000-0005-0000-0000-000099280000}"/>
    <cellStyle name="Comma 2 4 3 6" xfId="15592" xr:uid="{00000000-0005-0000-0000-00009A280000}"/>
    <cellStyle name="Comma 2 4 3 6 2" xfId="40919" xr:uid="{00000000-0005-0000-0000-00009B280000}"/>
    <cellStyle name="Comma 2 4 3 6 2 2" xfId="43654" xr:uid="{00000000-0005-0000-0000-00009C280000}"/>
    <cellStyle name="Comma 2 4 3 6 2 3" xfId="44837" xr:uid="{00000000-0005-0000-0000-00009D280000}"/>
    <cellStyle name="Comma 2 4 3 6 3" xfId="39348" xr:uid="{00000000-0005-0000-0000-00009E280000}"/>
    <cellStyle name="Comma 2 4 3 6 4" xfId="42326" xr:uid="{00000000-0005-0000-0000-00009F280000}"/>
    <cellStyle name="Comma 2 4 3 6 5" xfId="44838" xr:uid="{00000000-0005-0000-0000-0000A0280000}"/>
    <cellStyle name="Comma 2 4 3 7" xfId="30090" xr:uid="{00000000-0005-0000-0000-0000A1280000}"/>
    <cellStyle name="Comma 2 4 3 7 2" xfId="39806" xr:uid="{00000000-0005-0000-0000-0000A2280000}"/>
    <cellStyle name="Comma 2 4 3 7 3" xfId="42714" xr:uid="{00000000-0005-0000-0000-0000A3280000}"/>
    <cellStyle name="Comma 2 4 3 7 4" xfId="44839" xr:uid="{00000000-0005-0000-0000-0000A4280000}"/>
    <cellStyle name="Comma 2 4 3 8" xfId="30502" xr:uid="{00000000-0005-0000-0000-0000A5280000}"/>
    <cellStyle name="Comma 2 4 3 9" xfId="31913" xr:uid="{00000000-0005-0000-0000-0000A6280000}"/>
    <cellStyle name="Comma 2 4 4" xfId="2777" xr:uid="{00000000-0005-0000-0000-0000A7280000}"/>
    <cellStyle name="Comma 2 4 4 10" xfId="33771" xr:uid="{00000000-0005-0000-0000-0000A8280000}"/>
    <cellStyle name="Comma 2 4 4 11" xfId="34268" xr:uid="{00000000-0005-0000-0000-0000A9280000}"/>
    <cellStyle name="Comma 2 4 4 12" xfId="35339" xr:uid="{00000000-0005-0000-0000-0000AA280000}"/>
    <cellStyle name="Comma 2 4 4 13" xfId="36343" xr:uid="{00000000-0005-0000-0000-0000AB280000}"/>
    <cellStyle name="Comma 2 4 4 14" xfId="37513" xr:uid="{00000000-0005-0000-0000-0000AC280000}"/>
    <cellStyle name="Comma 2 4 4 15" xfId="41459" xr:uid="{00000000-0005-0000-0000-0000AD280000}"/>
    <cellStyle name="Comma 2 4 4 16" xfId="44840" xr:uid="{00000000-0005-0000-0000-0000AE280000}"/>
    <cellStyle name="Comma 2 4 4 17" xfId="8431" xr:uid="{00000000-0005-0000-0000-0000AF280000}"/>
    <cellStyle name="Comma 2 4 4 2" xfId="5088" xr:uid="{00000000-0005-0000-0000-0000B0280000}"/>
    <cellStyle name="Comma 2 4 4 2 10" xfId="34487" xr:uid="{00000000-0005-0000-0000-0000B1280000}"/>
    <cellStyle name="Comma 2 4 4 2 11" xfId="36043" xr:uid="{00000000-0005-0000-0000-0000B2280000}"/>
    <cellStyle name="Comma 2 4 4 2 12" xfId="36655" xr:uid="{00000000-0005-0000-0000-0000B3280000}"/>
    <cellStyle name="Comma 2 4 4 2 13" xfId="38822" xr:uid="{00000000-0005-0000-0000-0000B4280000}"/>
    <cellStyle name="Comma 2 4 4 2 14" xfId="41861" xr:uid="{00000000-0005-0000-0000-0000B5280000}"/>
    <cellStyle name="Comma 2 4 4 2 15" xfId="44841" xr:uid="{00000000-0005-0000-0000-0000B6280000}"/>
    <cellStyle name="Comma 2 4 4 2 16" xfId="8820" xr:uid="{00000000-0005-0000-0000-0000B7280000}"/>
    <cellStyle name="Comma 2 4 4 2 2" xfId="6057" xr:uid="{00000000-0005-0000-0000-0000B8280000}"/>
    <cellStyle name="Comma 2 4 4 2 2 2" xfId="31401" xr:uid="{00000000-0005-0000-0000-0000B9280000}"/>
    <cellStyle name="Comma 2 4 4 2 2 2 2" xfId="41227" xr:uid="{00000000-0005-0000-0000-0000BA280000}"/>
    <cellStyle name="Comma 2 4 4 2 2 2 3" xfId="43907" xr:uid="{00000000-0005-0000-0000-0000BB280000}"/>
    <cellStyle name="Comma 2 4 4 2 2 2 4" xfId="44842" xr:uid="{00000000-0005-0000-0000-0000BC280000}"/>
    <cellStyle name="Comma 2 4 4 2 2 3" xfId="33255" xr:uid="{00000000-0005-0000-0000-0000BD280000}"/>
    <cellStyle name="Comma 2 4 4 2 2 4" xfId="35078" xr:uid="{00000000-0005-0000-0000-0000BE280000}"/>
    <cellStyle name="Comma 2 4 4 2 2 5" xfId="37176" xr:uid="{00000000-0005-0000-0000-0000BF280000}"/>
    <cellStyle name="Comma 2 4 4 2 2 6" xfId="39644" xr:uid="{00000000-0005-0000-0000-0000C0280000}"/>
    <cellStyle name="Comma 2 4 4 2 2 7" xfId="42579" xr:uid="{00000000-0005-0000-0000-0000C1280000}"/>
    <cellStyle name="Comma 2 4 4 2 2 8" xfId="44843" xr:uid="{00000000-0005-0000-0000-0000C2280000}"/>
    <cellStyle name="Comma 2 4 4 2 2 9" xfId="12819" xr:uid="{00000000-0005-0000-0000-0000C3280000}"/>
    <cellStyle name="Comma 2 4 4 2 3" xfId="12036" xr:uid="{00000000-0005-0000-0000-0000C4280000}"/>
    <cellStyle name="Comma 2 4 4 2 3 2" xfId="40371" xr:uid="{00000000-0005-0000-0000-0000C5280000}"/>
    <cellStyle name="Comma 2 4 4 2 3 3" xfId="43189" xr:uid="{00000000-0005-0000-0000-0000C6280000}"/>
    <cellStyle name="Comma 2 4 4 2 3 4" xfId="44844" xr:uid="{00000000-0005-0000-0000-0000C7280000}"/>
    <cellStyle name="Comma 2 4 4 2 4" xfId="15597" xr:uid="{00000000-0005-0000-0000-0000C8280000}"/>
    <cellStyle name="Comma 2 4 4 2 5" xfId="30095" xr:uid="{00000000-0005-0000-0000-0000C9280000}"/>
    <cellStyle name="Comma 2 4 4 2 6" xfId="30810" xr:uid="{00000000-0005-0000-0000-0000CA280000}"/>
    <cellStyle name="Comma 2 4 4 2 7" xfId="31918" xr:uid="{00000000-0005-0000-0000-0000CB280000}"/>
    <cellStyle name="Comma 2 4 4 2 8" xfId="32560" xr:uid="{00000000-0005-0000-0000-0000CC280000}"/>
    <cellStyle name="Comma 2 4 4 2 9" xfId="33772" xr:uid="{00000000-0005-0000-0000-0000CD280000}"/>
    <cellStyle name="Comma 2 4 4 3" xfId="5742" xr:uid="{00000000-0005-0000-0000-0000CE280000}"/>
    <cellStyle name="Comma 2 4 4 3 2" xfId="31182" xr:uid="{00000000-0005-0000-0000-0000CF280000}"/>
    <cellStyle name="Comma 2 4 4 3 2 2" xfId="40065" xr:uid="{00000000-0005-0000-0000-0000D0280000}"/>
    <cellStyle name="Comma 2 4 4 3 2 3" xfId="42934" xr:uid="{00000000-0005-0000-0000-0000D1280000}"/>
    <cellStyle name="Comma 2 4 4 3 2 4" xfId="44845" xr:uid="{00000000-0005-0000-0000-0000D2280000}"/>
    <cellStyle name="Comma 2 4 4 3 3" xfId="33040" xr:uid="{00000000-0005-0000-0000-0000D3280000}"/>
    <cellStyle name="Comma 2 4 4 3 4" xfId="34859" xr:uid="{00000000-0005-0000-0000-0000D4280000}"/>
    <cellStyle name="Comma 2 4 4 3 5" xfId="36961" xr:uid="{00000000-0005-0000-0000-0000D5280000}"/>
    <cellStyle name="Comma 2 4 4 3 6" xfId="38109" xr:uid="{00000000-0005-0000-0000-0000D6280000}"/>
    <cellStyle name="Comma 2 4 4 3 7" xfId="41606" xr:uid="{00000000-0005-0000-0000-0000D7280000}"/>
    <cellStyle name="Comma 2 4 4 3 8" xfId="44846" xr:uid="{00000000-0005-0000-0000-0000D8280000}"/>
    <cellStyle name="Comma 2 4 4 3 9" xfId="12539" xr:uid="{00000000-0005-0000-0000-0000D9280000}"/>
    <cellStyle name="Comma 2 4 4 4" xfId="6377" xr:uid="{00000000-0005-0000-0000-0000DA280000}"/>
    <cellStyle name="Comma 2 4 4 4 2" xfId="40610" xr:uid="{00000000-0005-0000-0000-0000DB280000}"/>
    <cellStyle name="Comma 2 4 4 4 2 2" xfId="43396" xr:uid="{00000000-0005-0000-0000-0000DC280000}"/>
    <cellStyle name="Comma 2 4 4 4 2 3" xfId="44847" xr:uid="{00000000-0005-0000-0000-0000DD280000}"/>
    <cellStyle name="Comma 2 4 4 4 3" xfId="39042" xr:uid="{00000000-0005-0000-0000-0000DE280000}"/>
    <cellStyle name="Comma 2 4 4 4 4" xfId="42068" xr:uid="{00000000-0005-0000-0000-0000DF280000}"/>
    <cellStyle name="Comma 2 4 4 4 5" xfId="44848" xr:uid="{00000000-0005-0000-0000-0000E0280000}"/>
    <cellStyle name="Comma 2 4 4 4 6" xfId="11817" xr:uid="{00000000-0005-0000-0000-0000E1280000}"/>
    <cellStyle name="Comma 2 4 4 5" xfId="15596" xr:uid="{00000000-0005-0000-0000-0000E2280000}"/>
    <cellStyle name="Comma 2 4 4 5 2" xfId="40917" xr:uid="{00000000-0005-0000-0000-0000E3280000}"/>
    <cellStyle name="Comma 2 4 4 5 2 2" xfId="43652" xr:uid="{00000000-0005-0000-0000-0000E4280000}"/>
    <cellStyle name="Comma 2 4 4 5 2 3" xfId="44849" xr:uid="{00000000-0005-0000-0000-0000E5280000}"/>
    <cellStyle name="Comma 2 4 4 5 3" xfId="39346" xr:uid="{00000000-0005-0000-0000-0000E6280000}"/>
    <cellStyle name="Comma 2 4 4 5 4" xfId="42324" xr:uid="{00000000-0005-0000-0000-0000E7280000}"/>
    <cellStyle name="Comma 2 4 4 5 5" xfId="44850" xr:uid="{00000000-0005-0000-0000-0000E8280000}"/>
    <cellStyle name="Comma 2 4 4 6" xfId="30094" xr:uid="{00000000-0005-0000-0000-0000E9280000}"/>
    <cellStyle name="Comma 2 4 4 6 2" xfId="39888" xr:uid="{00000000-0005-0000-0000-0000EA280000}"/>
    <cellStyle name="Comma 2 4 4 6 3" xfId="42787" xr:uid="{00000000-0005-0000-0000-0000EB280000}"/>
    <cellStyle name="Comma 2 4 4 6 4" xfId="44851" xr:uid="{00000000-0005-0000-0000-0000EC280000}"/>
    <cellStyle name="Comma 2 4 4 7" xfId="30591" xr:uid="{00000000-0005-0000-0000-0000ED280000}"/>
    <cellStyle name="Comma 2 4 4 8" xfId="31917" xr:uid="{00000000-0005-0000-0000-0000EE280000}"/>
    <cellStyle name="Comma 2 4 4 9" xfId="32559" xr:uid="{00000000-0005-0000-0000-0000EF280000}"/>
    <cellStyle name="Comma 2 4 5" xfId="4542" xr:uid="{00000000-0005-0000-0000-0000F0280000}"/>
    <cellStyle name="Comma 2 4 5 10" xfId="33773" xr:uid="{00000000-0005-0000-0000-0000F1280000}"/>
    <cellStyle name="Comma 2 4 5 11" xfId="34207" xr:uid="{00000000-0005-0000-0000-0000F2280000}"/>
    <cellStyle name="Comma 2 4 5 12" xfId="35703" xr:uid="{00000000-0005-0000-0000-0000F3280000}"/>
    <cellStyle name="Comma 2 4 5 13" xfId="36290" xr:uid="{00000000-0005-0000-0000-0000F4280000}"/>
    <cellStyle name="Comma 2 4 5 14" xfId="38768" xr:uid="{00000000-0005-0000-0000-0000F5280000}"/>
    <cellStyle name="Comma 2 4 5 15" xfId="41808" xr:uid="{00000000-0005-0000-0000-0000F6280000}"/>
    <cellStyle name="Comma 2 4 5 16" xfId="44852" xr:uid="{00000000-0005-0000-0000-0000F7280000}"/>
    <cellStyle name="Comma 2 4 5 17" xfId="8098" xr:uid="{00000000-0005-0000-0000-0000F8280000}"/>
    <cellStyle name="Comma 2 4 5 2" xfId="5991" xr:uid="{00000000-0005-0000-0000-0000F9280000}"/>
    <cellStyle name="Comma 2 4 5 2 10" xfId="34488" xr:uid="{00000000-0005-0000-0000-0000FA280000}"/>
    <cellStyle name="Comma 2 4 5 2 11" xfId="36656" xr:uid="{00000000-0005-0000-0000-0000FB280000}"/>
    <cellStyle name="Comma 2 4 5 2 12" xfId="38986" xr:uid="{00000000-0005-0000-0000-0000FC280000}"/>
    <cellStyle name="Comma 2 4 5 2 13" xfId="42015" xr:uid="{00000000-0005-0000-0000-0000FD280000}"/>
    <cellStyle name="Comma 2 4 5 2 14" xfId="44853" xr:uid="{00000000-0005-0000-0000-0000FE280000}"/>
    <cellStyle name="Comma 2 4 5 2 15" xfId="8821" xr:uid="{00000000-0005-0000-0000-0000FF280000}"/>
    <cellStyle name="Comma 2 4 5 2 2" xfId="12820" xr:uid="{00000000-0005-0000-0000-000000290000}"/>
    <cellStyle name="Comma 2 4 5 2 2 2" xfId="31402" xr:uid="{00000000-0005-0000-0000-000001290000}"/>
    <cellStyle name="Comma 2 4 5 2 2 3" xfId="33256" xr:uid="{00000000-0005-0000-0000-000002290000}"/>
    <cellStyle name="Comma 2 4 5 2 2 4" xfId="35079" xr:uid="{00000000-0005-0000-0000-000003290000}"/>
    <cellStyle name="Comma 2 4 5 2 2 5" xfId="37177" xr:uid="{00000000-0005-0000-0000-000004290000}"/>
    <cellStyle name="Comma 2 4 5 2 2 6" xfId="40549" xr:uid="{00000000-0005-0000-0000-000005290000}"/>
    <cellStyle name="Comma 2 4 5 2 2 7" xfId="43343" xr:uid="{00000000-0005-0000-0000-000006290000}"/>
    <cellStyle name="Comma 2 4 5 2 2 8" xfId="44854" xr:uid="{00000000-0005-0000-0000-000007290000}"/>
    <cellStyle name="Comma 2 4 5 2 3" xfId="12037" xr:uid="{00000000-0005-0000-0000-000008290000}"/>
    <cellStyle name="Comma 2 4 5 2 4" xfId="15599" xr:uid="{00000000-0005-0000-0000-000009290000}"/>
    <cellStyle name="Comma 2 4 5 2 5" xfId="30097" xr:uid="{00000000-0005-0000-0000-00000A290000}"/>
    <cellStyle name="Comma 2 4 5 2 6" xfId="30811" xr:uid="{00000000-0005-0000-0000-00000B290000}"/>
    <cellStyle name="Comma 2 4 5 2 7" xfId="31920" xr:uid="{00000000-0005-0000-0000-00000C290000}"/>
    <cellStyle name="Comma 2 4 5 2 8" xfId="32562" xr:uid="{00000000-0005-0000-0000-00000D290000}"/>
    <cellStyle name="Comma 2 4 5 2 9" xfId="33774" xr:uid="{00000000-0005-0000-0000-00000E290000}"/>
    <cellStyle name="Comma 2 4 5 3" xfId="6312" xr:uid="{00000000-0005-0000-0000-00000F290000}"/>
    <cellStyle name="Comma 2 4 5 3 2" xfId="31121" xr:uid="{00000000-0005-0000-0000-000010290000}"/>
    <cellStyle name="Comma 2 4 5 3 2 2" xfId="41164" xr:uid="{00000000-0005-0000-0000-000011290000}"/>
    <cellStyle name="Comma 2 4 5 3 2 3" xfId="43854" xr:uid="{00000000-0005-0000-0000-000012290000}"/>
    <cellStyle name="Comma 2 4 5 3 2 4" xfId="44855" xr:uid="{00000000-0005-0000-0000-000013290000}"/>
    <cellStyle name="Comma 2 4 5 3 3" xfId="32983" xr:uid="{00000000-0005-0000-0000-000014290000}"/>
    <cellStyle name="Comma 2 4 5 3 4" xfId="34798" xr:uid="{00000000-0005-0000-0000-000015290000}"/>
    <cellStyle name="Comma 2 4 5 3 5" xfId="36904" xr:uid="{00000000-0005-0000-0000-000016290000}"/>
    <cellStyle name="Comma 2 4 5 3 6" xfId="39583" xr:uid="{00000000-0005-0000-0000-000017290000}"/>
    <cellStyle name="Comma 2 4 5 3 7" xfId="42526" xr:uid="{00000000-0005-0000-0000-000018290000}"/>
    <cellStyle name="Comma 2 4 5 3 8" xfId="44856" xr:uid="{00000000-0005-0000-0000-000019290000}"/>
    <cellStyle name="Comma 2 4 5 3 9" xfId="12410" xr:uid="{00000000-0005-0000-0000-00001A290000}"/>
    <cellStyle name="Comma 2 4 5 4" xfId="11756" xr:uid="{00000000-0005-0000-0000-00001B290000}"/>
    <cellStyle name="Comma 2 4 5 4 2" xfId="40309" xr:uid="{00000000-0005-0000-0000-00001C290000}"/>
    <cellStyle name="Comma 2 4 5 4 3" xfId="43136" xr:uid="{00000000-0005-0000-0000-00001D290000}"/>
    <cellStyle name="Comma 2 4 5 4 4" xfId="44857" xr:uid="{00000000-0005-0000-0000-00001E290000}"/>
    <cellStyle name="Comma 2 4 5 5" xfId="15598" xr:uid="{00000000-0005-0000-0000-00001F290000}"/>
    <cellStyle name="Comma 2 4 5 6" xfId="30096" xr:uid="{00000000-0005-0000-0000-000020290000}"/>
    <cellStyle name="Comma 2 4 5 7" xfId="30530" xr:uid="{00000000-0005-0000-0000-000021290000}"/>
    <cellStyle name="Comma 2 4 5 8" xfId="31919" xr:uid="{00000000-0005-0000-0000-000022290000}"/>
    <cellStyle name="Comma 2 4 5 9" xfId="32561" xr:uid="{00000000-0005-0000-0000-000023290000}"/>
    <cellStyle name="Comma 2 4 6" xfId="4429" xr:uid="{00000000-0005-0000-0000-000024290000}"/>
    <cellStyle name="Comma 2 4 6 10" xfId="34489" xr:uid="{00000000-0005-0000-0000-000025290000}"/>
    <cellStyle name="Comma 2 4 6 11" xfId="35612" xr:uid="{00000000-0005-0000-0000-000026290000}"/>
    <cellStyle name="Comma 2 4 6 12" xfId="36657" xr:uid="{00000000-0005-0000-0000-000027290000}"/>
    <cellStyle name="Comma 2 4 6 13" xfId="38681" xr:uid="{00000000-0005-0000-0000-000028290000}"/>
    <cellStyle name="Comma 2 4 6 14" xfId="41721" xr:uid="{00000000-0005-0000-0000-000029290000}"/>
    <cellStyle name="Comma 2 4 6 15" xfId="44858" xr:uid="{00000000-0005-0000-0000-00002A290000}"/>
    <cellStyle name="Comma 2 4 6 16" xfId="8822" xr:uid="{00000000-0005-0000-0000-00002B290000}"/>
    <cellStyle name="Comma 2 4 6 2" xfId="5880" xr:uid="{00000000-0005-0000-0000-00002C290000}"/>
    <cellStyle name="Comma 2 4 6 2 2" xfId="31403" xr:uid="{00000000-0005-0000-0000-00002D290000}"/>
    <cellStyle name="Comma 2 4 6 2 2 2" xfId="40743" xr:uid="{00000000-0005-0000-0000-00002E290000}"/>
    <cellStyle name="Comma 2 4 6 2 2 3" xfId="43506" xr:uid="{00000000-0005-0000-0000-00002F290000}"/>
    <cellStyle name="Comma 2 4 6 2 2 4" xfId="44859" xr:uid="{00000000-0005-0000-0000-000030290000}"/>
    <cellStyle name="Comma 2 4 6 2 3" xfId="33257" xr:uid="{00000000-0005-0000-0000-000031290000}"/>
    <cellStyle name="Comma 2 4 6 2 4" xfId="35080" xr:uid="{00000000-0005-0000-0000-000032290000}"/>
    <cellStyle name="Comma 2 4 6 2 5" xfId="37178" xr:uid="{00000000-0005-0000-0000-000033290000}"/>
    <cellStyle name="Comma 2 4 6 2 6" xfId="39170" xr:uid="{00000000-0005-0000-0000-000034290000}"/>
    <cellStyle name="Comma 2 4 6 2 7" xfId="42178" xr:uid="{00000000-0005-0000-0000-000035290000}"/>
    <cellStyle name="Comma 2 4 6 2 8" xfId="44860" xr:uid="{00000000-0005-0000-0000-000036290000}"/>
    <cellStyle name="Comma 2 4 6 2 9" xfId="12821" xr:uid="{00000000-0005-0000-0000-000037290000}"/>
    <cellStyle name="Comma 2 4 6 3" xfId="12038" xr:uid="{00000000-0005-0000-0000-000038290000}"/>
    <cellStyle name="Comma 2 4 6 3 2" xfId="41055" xr:uid="{00000000-0005-0000-0000-000039290000}"/>
    <cellStyle name="Comma 2 4 6 3 2 2" xfId="43767" xr:uid="{00000000-0005-0000-0000-00003A290000}"/>
    <cellStyle name="Comma 2 4 6 3 2 3" xfId="44861" xr:uid="{00000000-0005-0000-0000-00003B290000}"/>
    <cellStyle name="Comma 2 4 6 3 3" xfId="39479" xr:uid="{00000000-0005-0000-0000-00003C290000}"/>
    <cellStyle name="Comma 2 4 6 3 4" xfId="42439" xr:uid="{00000000-0005-0000-0000-00003D290000}"/>
    <cellStyle name="Comma 2 4 6 3 5" xfId="44862" xr:uid="{00000000-0005-0000-0000-00003E290000}"/>
    <cellStyle name="Comma 2 4 6 4" xfId="15600" xr:uid="{00000000-0005-0000-0000-00003F290000}"/>
    <cellStyle name="Comma 2 4 6 4 2" xfId="40200" xr:uid="{00000000-0005-0000-0000-000040290000}"/>
    <cellStyle name="Comma 2 4 6 4 3" xfId="43049" xr:uid="{00000000-0005-0000-0000-000041290000}"/>
    <cellStyle name="Comma 2 4 6 4 4" xfId="44863" xr:uid="{00000000-0005-0000-0000-000042290000}"/>
    <cellStyle name="Comma 2 4 6 5" xfId="30098" xr:uid="{00000000-0005-0000-0000-000043290000}"/>
    <cellStyle name="Comma 2 4 6 6" xfId="30812" xr:uid="{00000000-0005-0000-0000-000044290000}"/>
    <cellStyle name="Comma 2 4 6 7" xfId="31921" xr:uid="{00000000-0005-0000-0000-000045290000}"/>
    <cellStyle name="Comma 2 4 6 8" xfId="32563" xr:uid="{00000000-0005-0000-0000-000046290000}"/>
    <cellStyle name="Comma 2 4 6 9" xfId="33775" xr:uid="{00000000-0005-0000-0000-000047290000}"/>
    <cellStyle name="Comma 2 4 7" xfId="5670" xr:uid="{00000000-0005-0000-0000-000048290000}"/>
    <cellStyle name="Comma 2 4 7 10" xfId="34481" xr:uid="{00000000-0005-0000-0000-000049290000}"/>
    <cellStyle name="Comma 2 4 7 11" xfId="36649" xr:uid="{00000000-0005-0000-0000-00004A290000}"/>
    <cellStyle name="Comma 2 4 7 12" xfId="37613" xr:uid="{00000000-0005-0000-0000-00004B290000}"/>
    <cellStyle name="Comma 2 4 7 13" xfId="41553" xr:uid="{00000000-0005-0000-0000-00004C290000}"/>
    <cellStyle name="Comma 2 4 7 14" xfId="44864" xr:uid="{00000000-0005-0000-0000-00004D290000}"/>
    <cellStyle name="Comma 2 4 7 15" xfId="8814" xr:uid="{00000000-0005-0000-0000-00004E290000}"/>
    <cellStyle name="Comma 2 4 7 2" xfId="12813" xr:uid="{00000000-0005-0000-0000-00004F290000}"/>
    <cellStyle name="Comma 2 4 7 2 2" xfId="31395" xr:uid="{00000000-0005-0000-0000-000050290000}"/>
    <cellStyle name="Comma 2 4 7 2 3" xfId="33249" xr:uid="{00000000-0005-0000-0000-000051290000}"/>
    <cellStyle name="Comma 2 4 7 2 4" xfId="35072" xr:uid="{00000000-0005-0000-0000-000052290000}"/>
    <cellStyle name="Comma 2 4 7 2 5" xfId="37170" xr:uid="{00000000-0005-0000-0000-000053290000}"/>
    <cellStyle name="Comma 2 4 7 2 6" xfId="40004" xr:uid="{00000000-0005-0000-0000-000054290000}"/>
    <cellStyle name="Comma 2 4 7 2 7" xfId="42881" xr:uid="{00000000-0005-0000-0000-000055290000}"/>
    <cellStyle name="Comma 2 4 7 2 8" xfId="44865" xr:uid="{00000000-0005-0000-0000-000056290000}"/>
    <cellStyle name="Comma 2 4 7 3" xfId="12030" xr:uid="{00000000-0005-0000-0000-000057290000}"/>
    <cellStyle name="Comma 2 4 7 4" xfId="15601" xr:uid="{00000000-0005-0000-0000-000058290000}"/>
    <cellStyle name="Comma 2 4 7 5" xfId="30099" xr:uid="{00000000-0005-0000-0000-000059290000}"/>
    <cellStyle name="Comma 2 4 7 6" xfId="30804" xr:uid="{00000000-0005-0000-0000-00005A290000}"/>
    <cellStyle name="Comma 2 4 7 7" xfId="31922" xr:uid="{00000000-0005-0000-0000-00005B290000}"/>
    <cellStyle name="Comma 2 4 7 8" xfId="32564" xr:uid="{00000000-0005-0000-0000-00005C290000}"/>
    <cellStyle name="Comma 2 4 7 9" xfId="33776" xr:uid="{00000000-0005-0000-0000-00005D290000}"/>
    <cellStyle name="Comma 2 4 8" xfId="6201" xr:uid="{00000000-0005-0000-0000-00005E290000}"/>
    <cellStyle name="Comma 2 4 8 10" xfId="34635" xr:uid="{00000000-0005-0000-0000-00005F290000}"/>
    <cellStyle name="Comma 2 4 8 11" xfId="36763" xr:uid="{00000000-0005-0000-0000-000060290000}"/>
    <cellStyle name="Comma 2 4 8 12" xfId="38941" xr:uid="{00000000-0005-0000-0000-000061290000}"/>
    <cellStyle name="Comma 2 4 8 13" xfId="41972" xr:uid="{00000000-0005-0000-0000-000062290000}"/>
    <cellStyle name="Comma 2 4 8 14" xfId="44866" xr:uid="{00000000-0005-0000-0000-000063290000}"/>
    <cellStyle name="Comma 2 4 8 15" xfId="11521" xr:uid="{00000000-0005-0000-0000-000064290000}"/>
    <cellStyle name="Comma 2 4 8 2" xfId="15142" xr:uid="{00000000-0005-0000-0000-000065290000}"/>
    <cellStyle name="Comma 2 4 8 2 2" xfId="31549" xr:uid="{00000000-0005-0000-0000-000066290000}"/>
    <cellStyle name="Comma 2 4 8 2 3" xfId="33402" xr:uid="{00000000-0005-0000-0000-000067290000}"/>
    <cellStyle name="Comma 2 4 8 2 4" xfId="35226" xr:uid="{00000000-0005-0000-0000-000068290000}"/>
    <cellStyle name="Comma 2 4 8 2 5" xfId="37306" xr:uid="{00000000-0005-0000-0000-000069290000}"/>
    <cellStyle name="Comma 2 4 8 2 6" xfId="40499" xr:uid="{00000000-0005-0000-0000-00006A290000}"/>
    <cellStyle name="Comma 2 4 8 2 7" xfId="43300" xr:uid="{00000000-0005-0000-0000-00006B290000}"/>
    <cellStyle name="Comma 2 4 8 2 8" xfId="44867" xr:uid="{00000000-0005-0000-0000-00006C290000}"/>
    <cellStyle name="Comma 2 4 8 3" xfId="12184" xr:uid="{00000000-0005-0000-0000-00006D290000}"/>
    <cellStyle name="Comma 2 4 8 4" xfId="15602" xr:uid="{00000000-0005-0000-0000-00006E290000}"/>
    <cellStyle name="Comma 2 4 8 5" xfId="30100" xr:uid="{00000000-0005-0000-0000-00006F290000}"/>
    <cellStyle name="Comma 2 4 8 6" xfId="30958" xr:uid="{00000000-0005-0000-0000-000070290000}"/>
    <cellStyle name="Comma 2 4 8 7" xfId="31923" xr:uid="{00000000-0005-0000-0000-000071290000}"/>
    <cellStyle name="Comma 2 4 8 8" xfId="32565" xr:uid="{00000000-0005-0000-0000-000072290000}"/>
    <cellStyle name="Comma 2 4 8 9" xfId="33777" xr:uid="{00000000-0005-0000-0000-000073290000}"/>
    <cellStyle name="Comma 2 4 9" xfId="12258" xr:uid="{00000000-0005-0000-0000-000074290000}"/>
    <cellStyle name="Comma 2 4 9 10" xfId="39290" xr:uid="{00000000-0005-0000-0000-000075290000}"/>
    <cellStyle name="Comma 2 4 9 11" xfId="42271" xr:uid="{00000000-0005-0000-0000-000076290000}"/>
    <cellStyle name="Comma 2 4 9 12" xfId="44868" xr:uid="{00000000-0005-0000-0000-000077290000}"/>
    <cellStyle name="Comma 2 4 9 2" xfId="15603" xr:uid="{00000000-0005-0000-0000-000078290000}"/>
    <cellStyle name="Comma 2 4 9 2 2" xfId="40855" xr:uid="{00000000-0005-0000-0000-000079290000}"/>
    <cellStyle name="Comma 2 4 9 2 3" xfId="43599" xr:uid="{00000000-0005-0000-0000-00007A290000}"/>
    <cellStyle name="Comma 2 4 9 2 4" xfId="44869" xr:uid="{00000000-0005-0000-0000-00007B290000}"/>
    <cellStyle name="Comma 2 4 9 3" xfId="30101" xr:uid="{00000000-0005-0000-0000-00007C290000}"/>
    <cellStyle name="Comma 2 4 9 4" xfId="31031" xr:uid="{00000000-0005-0000-0000-00007D290000}"/>
    <cellStyle name="Comma 2 4 9 5" xfId="31924" xr:uid="{00000000-0005-0000-0000-00007E290000}"/>
    <cellStyle name="Comma 2 4 9 6" xfId="32566" xr:uid="{00000000-0005-0000-0000-00007F290000}"/>
    <cellStyle name="Comma 2 4 9 7" xfId="33778" xr:uid="{00000000-0005-0000-0000-000080290000}"/>
    <cellStyle name="Comma 2 4 9 8" xfId="34708" xr:uid="{00000000-0005-0000-0000-000081290000}"/>
    <cellStyle name="Comma 2 4 9 9" xfId="36816" xr:uid="{00000000-0005-0000-0000-000082290000}"/>
    <cellStyle name="Comma 2 5" xfId="1030" xr:uid="{00000000-0005-0000-0000-000083290000}"/>
    <cellStyle name="Comma 2 5 10" xfId="6204" xr:uid="{00000000-0005-0000-0000-000084290000}"/>
    <cellStyle name="Comma 2 5 10 10" xfId="34637" xr:uid="{00000000-0005-0000-0000-000085290000}"/>
    <cellStyle name="Comma 2 5 10 11" xfId="36765" xr:uid="{00000000-0005-0000-0000-000086290000}"/>
    <cellStyle name="Comma 2 5 10 12" xfId="38943" xr:uid="{00000000-0005-0000-0000-000087290000}"/>
    <cellStyle name="Comma 2 5 10 13" xfId="41974" xr:uid="{00000000-0005-0000-0000-000088290000}"/>
    <cellStyle name="Comma 2 5 10 14" xfId="44870" xr:uid="{00000000-0005-0000-0000-000089290000}"/>
    <cellStyle name="Comma 2 5 10 15" xfId="11523" xr:uid="{00000000-0005-0000-0000-00008A290000}"/>
    <cellStyle name="Comma 2 5 10 2" xfId="15144" xr:uid="{00000000-0005-0000-0000-00008B290000}"/>
    <cellStyle name="Comma 2 5 10 2 2" xfId="31551" xr:uid="{00000000-0005-0000-0000-00008C290000}"/>
    <cellStyle name="Comma 2 5 10 2 3" xfId="33404" xr:uid="{00000000-0005-0000-0000-00008D290000}"/>
    <cellStyle name="Comma 2 5 10 2 4" xfId="35228" xr:uid="{00000000-0005-0000-0000-00008E290000}"/>
    <cellStyle name="Comma 2 5 10 2 5" xfId="37308" xr:uid="{00000000-0005-0000-0000-00008F290000}"/>
    <cellStyle name="Comma 2 5 10 2 6" xfId="40501" xr:uid="{00000000-0005-0000-0000-000090290000}"/>
    <cellStyle name="Comma 2 5 10 2 7" xfId="43302" xr:uid="{00000000-0005-0000-0000-000091290000}"/>
    <cellStyle name="Comma 2 5 10 2 8" xfId="44871" xr:uid="{00000000-0005-0000-0000-000092290000}"/>
    <cellStyle name="Comma 2 5 10 3" xfId="12186" xr:uid="{00000000-0005-0000-0000-000093290000}"/>
    <cellStyle name="Comma 2 5 10 4" xfId="15605" xr:uid="{00000000-0005-0000-0000-000094290000}"/>
    <cellStyle name="Comma 2 5 10 5" xfId="30103" xr:uid="{00000000-0005-0000-0000-000095290000}"/>
    <cellStyle name="Comma 2 5 10 6" xfId="30960" xr:uid="{00000000-0005-0000-0000-000096290000}"/>
    <cellStyle name="Comma 2 5 10 7" xfId="31926" xr:uid="{00000000-0005-0000-0000-000097290000}"/>
    <cellStyle name="Comma 2 5 10 8" xfId="32568" xr:uid="{00000000-0005-0000-0000-000098290000}"/>
    <cellStyle name="Comma 2 5 10 9" xfId="33780" xr:uid="{00000000-0005-0000-0000-000099290000}"/>
    <cellStyle name="Comma 2 5 11" xfId="12259" xr:uid="{00000000-0005-0000-0000-00009A290000}"/>
    <cellStyle name="Comma 2 5 11 10" xfId="39291" xr:uid="{00000000-0005-0000-0000-00009B290000}"/>
    <cellStyle name="Comma 2 5 11 11" xfId="42272" xr:uid="{00000000-0005-0000-0000-00009C290000}"/>
    <cellStyle name="Comma 2 5 11 12" xfId="44872" xr:uid="{00000000-0005-0000-0000-00009D290000}"/>
    <cellStyle name="Comma 2 5 11 2" xfId="15606" xr:uid="{00000000-0005-0000-0000-00009E290000}"/>
    <cellStyle name="Comma 2 5 11 2 2" xfId="40856" xr:uid="{00000000-0005-0000-0000-00009F290000}"/>
    <cellStyle name="Comma 2 5 11 2 3" xfId="43600" xr:uid="{00000000-0005-0000-0000-0000A0290000}"/>
    <cellStyle name="Comma 2 5 11 2 4" xfId="44873" xr:uid="{00000000-0005-0000-0000-0000A1290000}"/>
    <cellStyle name="Comma 2 5 11 3" xfId="30104" xr:uid="{00000000-0005-0000-0000-0000A2290000}"/>
    <cellStyle name="Comma 2 5 11 4" xfId="31032" xr:uid="{00000000-0005-0000-0000-0000A3290000}"/>
    <cellStyle name="Comma 2 5 11 5" xfId="31927" xr:uid="{00000000-0005-0000-0000-0000A4290000}"/>
    <cellStyle name="Comma 2 5 11 6" xfId="32569" xr:uid="{00000000-0005-0000-0000-0000A5290000}"/>
    <cellStyle name="Comma 2 5 11 7" xfId="33781" xr:uid="{00000000-0005-0000-0000-0000A6290000}"/>
    <cellStyle name="Comma 2 5 11 8" xfId="34709" xr:uid="{00000000-0005-0000-0000-0000A7290000}"/>
    <cellStyle name="Comma 2 5 11 9" xfId="36817" xr:uid="{00000000-0005-0000-0000-0000A8290000}"/>
    <cellStyle name="Comma 2 5 12" xfId="11665" xr:uid="{00000000-0005-0000-0000-0000A9290000}"/>
    <cellStyle name="Comma 2 5 12 2" xfId="15607" xr:uid="{00000000-0005-0000-0000-0000AA290000}"/>
    <cellStyle name="Comma 2 5 12 3" xfId="30105" xr:uid="{00000000-0005-0000-0000-0000AB290000}"/>
    <cellStyle name="Comma 2 5 12 4" xfId="31928" xr:uid="{00000000-0005-0000-0000-0000AC290000}"/>
    <cellStyle name="Comma 2 5 12 5" xfId="32570" xr:uid="{00000000-0005-0000-0000-0000AD290000}"/>
    <cellStyle name="Comma 2 5 12 6" xfId="33782" xr:uid="{00000000-0005-0000-0000-0000AE290000}"/>
    <cellStyle name="Comma 2 5 12 7" xfId="39754" xr:uid="{00000000-0005-0000-0000-0000AF290000}"/>
    <cellStyle name="Comma 2 5 12 8" xfId="42667" xr:uid="{00000000-0005-0000-0000-0000B0290000}"/>
    <cellStyle name="Comma 2 5 12 9" xfId="44874" xr:uid="{00000000-0005-0000-0000-0000B1290000}"/>
    <cellStyle name="Comma 2 5 13" xfId="15604" xr:uid="{00000000-0005-0000-0000-0000B2290000}"/>
    <cellStyle name="Comma 2 5 14" xfId="30102" xr:uid="{00000000-0005-0000-0000-0000B3290000}"/>
    <cellStyle name="Comma 2 5 15" xfId="30441" xr:uid="{00000000-0005-0000-0000-0000B4290000}"/>
    <cellStyle name="Comma 2 5 16" xfId="31925" xr:uid="{00000000-0005-0000-0000-0000B5290000}"/>
    <cellStyle name="Comma 2 5 17" xfId="32567" xr:uid="{00000000-0005-0000-0000-0000B6290000}"/>
    <cellStyle name="Comma 2 5 18" xfId="33779" xr:uid="{00000000-0005-0000-0000-0000B7290000}"/>
    <cellStyle name="Comma 2 5 19" xfId="34118" xr:uid="{00000000-0005-0000-0000-0000B8290000}"/>
    <cellStyle name="Comma 2 5 2" xfId="2781" xr:uid="{00000000-0005-0000-0000-0000B9290000}"/>
    <cellStyle name="Comma 2 5 2 10" xfId="15608" xr:uid="{00000000-0005-0000-0000-0000BA290000}"/>
    <cellStyle name="Comma 2 5 2 11" xfId="30106" xr:uid="{00000000-0005-0000-0000-0000BB290000}"/>
    <cellStyle name="Comma 2 5 2 12" xfId="30442" xr:uid="{00000000-0005-0000-0000-0000BC290000}"/>
    <cellStyle name="Comma 2 5 2 13" xfId="31929" xr:uid="{00000000-0005-0000-0000-0000BD290000}"/>
    <cellStyle name="Comma 2 5 2 14" xfId="32571" xr:uid="{00000000-0005-0000-0000-0000BE290000}"/>
    <cellStyle name="Comma 2 5 2 15" xfId="33783" xr:uid="{00000000-0005-0000-0000-0000BF290000}"/>
    <cellStyle name="Comma 2 5 2 16" xfId="34119" xr:uid="{00000000-0005-0000-0000-0000C0290000}"/>
    <cellStyle name="Comma 2 5 2 17" xfId="35343" xr:uid="{00000000-0005-0000-0000-0000C1290000}"/>
    <cellStyle name="Comma 2 5 2 18" xfId="36206" xr:uid="{00000000-0005-0000-0000-0000C2290000}"/>
    <cellStyle name="Comma 2 5 2 19" xfId="37442" xr:uid="{00000000-0005-0000-0000-0000C3290000}"/>
    <cellStyle name="Comma 2 5 2 2" xfId="5092" xr:uid="{00000000-0005-0000-0000-0000C4290000}"/>
    <cellStyle name="Comma 2 5 2 2 10" xfId="32572" xr:uid="{00000000-0005-0000-0000-0000C5290000}"/>
    <cellStyle name="Comma 2 5 2 2 11" xfId="33784" xr:uid="{00000000-0005-0000-0000-0000C6290000}"/>
    <cellStyle name="Comma 2 5 2 2 12" xfId="34157" xr:uid="{00000000-0005-0000-0000-0000C7290000}"/>
    <cellStyle name="Comma 2 5 2 2 13" xfId="36047" xr:uid="{00000000-0005-0000-0000-0000C8290000}"/>
    <cellStyle name="Comma 2 5 2 2 14" xfId="36347" xr:uid="{00000000-0005-0000-0000-0000C9290000}"/>
    <cellStyle name="Comma 2 5 2 2 15" xfId="37516" xr:uid="{00000000-0005-0000-0000-0000CA290000}"/>
    <cellStyle name="Comma 2 5 2 2 16" xfId="41462" xr:uid="{00000000-0005-0000-0000-0000CB290000}"/>
    <cellStyle name="Comma 2 5 2 2 17" xfId="44875" xr:uid="{00000000-0005-0000-0000-0000CC290000}"/>
    <cellStyle name="Comma 2 5 2 2 18" xfId="6670" xr:uid="{00000000-0005-0000-0000-0000CD290000}"/>
    <cellStyle name="Comma 2 5 2 2 2" xfId="6061" xr:uid="{00000000-0005-0000-0000-0000CE290000}"/>
    <cellStyle name="Comma 2 5 2 2 2 10" xfId="33785" xr:uid="{00000000-0005-0000-0000-0000CF290000}"/>
    <cellStyle name="Comma 2 5 2 2 2 11" xfId="34309" xr:uid="{00000000-0005-0000-0000-0000D0290000}"/>
    <cellStyle name="Comma 2 5 2 2 2 12" xfId="36492" xr:uid="{00000000-0005-0000-0000-0000D1290000}"/>
    <cellStyle name="Comma 2 5 2 2 2 13" xfId="38826" xr:uid="{00000000-0005-0000-0000-0000D2290000}"/>
    <cellStyle name="Comma 2 5 2 2 2 14" xfId="41865" xr:uid="{00000000-0005-0000-0000-0000D3290000}"/>
    <cellStyle name="Comma 2 5 2 2 2 15" xfId="44876" xr:uid="{00000000-0005-0000-0000-0000D4290000}"/>
    <cellStyle name="Comma 2 5 2 2 2 16" xfId="8546" xr:uid="{00000000-0005-0000-0000-0000D5290000}"/>
    <cellStyle name="Comma 2 5 2 2 2 2" xfId="8826" xr:uid="{00000000-0005-0000-0000-0000D6290000}"/>
    <cellStyle name="Comma 2 5 2 2 2 2 10" xfId="34493" xr:uid="{00000000-0005-0000-0000-0000D7290000}"/>
    <cellStyle name="Comma 2 5 2 2 2 2 11" xfId="36661" xr:uid="{00000000-0005-0000-0000-0000D8290000}"/>
    <cellStyle name="Comma 2 5 2 2 2 2 12" xfId="40375" xr:uid="{00000000-0005-0000-0000-0000D9290000}"/>
    <cellStyle name="Comma 2 5 2 2 2 2 13" xfId="43193" xr:uid="{00000000-0005-0000-0000-0000DA290000}"/>
    <cellStyle name="Comma 2 5 2 2 2 2 14" xfId="44877" xr:uid="{00000000-0005-0000-0000-0000DB290000}"/>
    <cellStyle name="Comma 2 5 2 2 2 2 2" xfId="12825" xr:uid="{00000000-0005-0000-0000-0000DC290000}"/>
    <cellStyle name="Comma 2 5 2 2 2 2 2 2" xfId="31407" xr:uid="{00000000-0005-0000-0000-0000DD290000}"/>
    <cellStyle name="Comma 2 5 2 2 2 2 2 3" xfId="33261" xr:uid="{00000000-0005-0000-0000-0000DE290000}"/>
    <cellStyle name="Comma 2 5 2 2 2 2 2 4" xfId="35084" xr:uid="{00000000-0005-0000-0000-0000DF290000}"/>
    <cellStyle name="Comma 2 5 2 2 2 2 2 5" xfId="37182" xr:uid="{00000000-0005-0000-0000-0000E0290000}"/>
    <cellStyle name="Comma 2 5 2 2 2 2 3" xfId="12042" xr:uid="{00000000-0005-0000-0000-0000E1290000}"/>
    <cellStyle name="Comma 2 5 2 2 2 2 4" xfId="15611" xr:uid="{00000000-0005-0000-0000-0000E2290000}"/>
    <cellStyle name="Comma 2 5 2 2 2 2 5" xfId="30109" xr:uid="{00000000-0005-0000-0000-0000E3290000}"/>
    <cellStyle name="Comma 2 5 2 2 2 2 6" xfId="30816" xr:uid="{00000000-0005-0000-0000-0000E4290000}"/>
    <cellStyle name="Comma 2 5 2 2 2 2 7" xfId="31932" xr:uid="{00000000-0005-0000-0000-0000E5290000}"/>
    <cellStyle name="Comma 2 5 2 2 2 2 8" xfId="32574" xr:uid="{00000000-0005-0000-0000-0000E6290000}"/>
    <cellStyle name="Comma 2 5 2 2 2 2 9" xfId="33786" xr:uid="{00000000-0005-0000-0000-0000E7290000}"/>
    <cellStyle name="Comma 2 5 2 2 2 3" xfId="12581" xr:uid="{00000000-0005-0000-0000-0000E8290000}"/>
    <cellStyle name="Comma 2 5 2 2 2 3 2" xfId="31223" xr:uid="{00000000-0005-0000-0000-0000E9290000}"/>
    <cellStyle name="Comma 2 5 2 2 2 3 3" xfId="33079" xr:uid="{00000000-0005-0000-0000-0000EA290000}"/>
    <cellStyle name="Comma 2 5 2 2 2 3 4" xfId="34900" xr:uid="{00000000-0005-0000-0000-0000EB290000}"/>
    <cellStyle name="Comma 2 5 2 2 2 3 5" xfId="37000" xr:uid="{00000000-0005-0000-0000-0000EC290000}"/>
    <cellStyle name="Comma 2 5 2 2 2 4" xfId="11858" xr:uid="{00000000-0005-0000-0000-0000ED290000}"/>
    <cellStyle name="Comma 2 5 2 2 2 5" xfId="15610" xr:uid="{00000000-0005-0000-0000-0000EE290000}"/>
    <cellStyle name="Comma 2 5 2 2 2 6" xfId="30108" xr:uid="{00000000-0005-0000-0000-0000EF290000}"/>
    <cellStyle name="Comma 2 5 2 2 2 7" xfId="30632" xr:uid="{00000000-0005-0000-0000-0000F0290000}"/>
    <cellStyle name="Comma 2 5 2 2 2 8" xfId="31931" xr:uid="{00000000-0005-0000-0000-0000F1290000}"/>
    <cellStyle name="Comma 2 5 2 2 2 9" xfId="32573" xr:uid="{00000000-0005-0000-0000-0000F2290000}"/>
    <cellStyle name="Comma 2 5 2 2 3" xfId="6381" xr:uid="{00000000-0005-0000-0000-0000F3290000}"/>
    <cellStyle name="Comma 2 5 2 2 3 10" xfId="34492" xr:uid="{00000000-0005-0000-0000-0000F4290000}"/>
    <cellStyle name="Comma 2 5 2 2 3 11" xfId="36660" xr:uid="{00000000-0005-0000-0000-0000F5290000}"/>
    <cellStyle name="Comma 2 5 2 2 3 12" xfId="39046" xr:uid="{00000000-0005-0000-0000-0000F6290000}"/>
    <cellStyle name="Comma 2 5 2 2 3 13" xfId="42072" xr:uid="{00000000-0005-0000-0000-0000F7290000}"/>
    <cellStyle name="Comma 2 5 2 2 3 14" xfId="44878" xr:uid="{00000000-0005-0000-0000-0000F8290000}"/>
    <cellStyle name="Comma 2 5 2 2 3 15" xfId="8825" xr:uid="{00000000-0005-0000-0000-0000F9290000}"/>
    <cellStyle name="Comma 2 5 2 2 3 2" xfId="12824" xr:uid="{00000000-0005-0000-0000-0000FA290000}"/>
    <cellStyle name="Comma 2 5 2 2 3 2 2" xfId="31406" xr:uid="{00000000-0005-0000-0000-0000FB290000}"/>
    <cellStyle name="Comma 2 5 2 2 3 2 3" xfId="33260" xr:uid="{00000000-0005-0000-0000-0000FC290000}"/>
    <cellStyle name="Comma 2 5 2 2 3 2 4" xfId="35083" xr:uid="{00000000-0005-0000-0000-0000FD290000}"/>
    <cellStyle name="Comma 2 5 2 2 3 2 5" xfId="37181" xr:uid="{00000000-0005-0000-0000-0000FE290000}"/>
    <cellStyle name="Comma 2 5 2 2 3 2 6" xfId="40614" xr:uid="{00000000-0005-0000-0000-0000FF290000}"/>
    <cellStyle name="Comma 2 5 2 2 3 2 7" xfId="43400" xr:uid="{00000000-0005-0000-0000-0000002A0000}"/>
    <cellStyle name="Comma 2 5 2 2 3 2 8" xfId="44879" xr:uid="{00000000-0005-0000-0000-0000012A0000}"/>
    <cellStyle name="Comma 2 5 2 2 3 3" xfId="12041" xr:uid="{00000000-0005-0000-0000-0000022A0000}"/>
    <cellStyle name="Comma 2 5 2 2 3 4" xfId="15612" xr:uid="{00000000-0005-0000-0000-0000032A0000}"/>
    <cellStyle name="Comma 2 5 2 2 3 5" xfId="30110" xr:uid="{00000000-0005-0000-0000-0000042A0000}"/>
    <cellStyle name="Comma 2 5 2 2 3 6" xfId="30815" xr:uid="{00000000-0005-0000-0000-0000052A0000}"/>
    <cellStyle name="Comma 2 5 2 2 3 7" xfId="31933" xr:uid="{00000000-0005-0000-0000-0000062A0000}"/>
    <cellStyle name="Comma 2 5 2 2 3 8" xfId="32575" xr:uid="{00000000-0005-0000-0000-0000072A0000}"/>
    <cellStyle name="Comma 2 5 2 2 3 9" xfId="33787" xr:uid="{00000000-0005-0000-0000-0000082A0000}"/>
    <cellStyle name="Comma 2 5 2 2 4" xfId="12298" xr:uid="{00000000-0005-0000-0000-0000092A0000}"/>
    <cellStyle name="Comma 2 5 2 2 4 2" xfId="31071" xr:uid="{00000000-0005-0000-0000-00000A2A0000}"/>
    <cellStyle name="Comma 2 5 2 2 4 2 2" xfId="41231" xr:uid="{00000000-0005-0000-0000-00000B2A0000}"/>
    <cellStyle name="Comma 2 5 2 2 4 2 3" xfId="43911" xr:uid="{00000000-0005-0000-0000-00000C2A0000}"/>
    <cellStyle name="Comma 2 5 2 2 4 2 4" xfId="44880" xr:uid="{00000000-0005-0000-0000-00000D2A0000}"/>
    <cellStyle name="Comma 2 5 2 2 4 3" xfId="32939" xr:uid="{00000000-0005-0000-0000-00000E2A0000}"/>
    <cellStyle name="Comma 2 5 2 2 4 4" xfId="34748" xr:uid="{00000000-0005-0000-0000-00000F2A0000}"/>
    <cellStyle name="Comma 2 5 2 2 4 5" xfId="36856" xr:uid="{00000000-0005-0000-0000-0000102A0000}"/>
    <cellStyle name="Comma 2 5 2 2 4 6" xfId="39648" xr:uid="{00000000-0005-0000-0000-0000112A0000}"/>
    <cellStyle name="Comma 2 5 2 2 4 7" xfId="42583" xr:uid="{00000000-0005-0000-0000-0000122A0000}"/>
    <cellStyle name="Comma 2 5 2 2 4 8" xfId="44881" xr:uid="{00000000-0005-0000-0000-0000132A0000}"/>
    <cellStyle name="Comma 2 5 2 2 5" xfId="11705" xr:uid="{00000000-0005-0000-0000-0000142A0000}"/>
    <cellStyle name="Comma 2 5 2 2 5 2" xfId="39891" xr:uid="{00000000-0005-0000-0000-0000152A0000}"/>
    <cellStyle name="Comma 2 5 2 2 5 3" xfId="42790" xr:uid="{00000000-0005-0000-0000-0000162A0000}"/>
    <cellStyle name="Comma 2 5 2 2 5 4" xfId="44882" xr:uid="{00000000-0005-0000-0000-0000172A0000}"/>
    <cellStyle name="Comma 2 5 2 2 6" xfId="15609" xr:uid="{00000000-0005-0000-0000-0000182A0000}"/>
    <cellStyle name="Comma 2 5 2 2 7" xfId="30107" xr:uid="{00000000-0005-0000-0000-0000192A0000}"/>
    <cellStyle name="Comma 2 5 2 2 8" xfId="30480" xr:uid="{00000000-0005-0000-0000-00001A2A0000}"/>
    <cellStyle name="Comma 2 5 2 2 9" xfId="31930" xr:uid="{00000000-0005-0000-0000-00001B2A0000}"/>
    <cellStyle name="Comma 2 5 2 20" xfId="41389" xr:uid="{00000000-0005-0000-0000-00001C2A0000}"/>
    <cellStyle name="Comma 2 5 2 21" xfId="44883" xr:uid="{00000000-0005-0000-0000-00001D2A0000}"/>
    <cellStyle name="Comma 2 5 2 22" xfId="6558" xr:uid="{00000000-0005-0000-0000-00001E2A0000}"/>
    <cellStyle name="Comma 2 5 2 3" xfId="4433" xr:uid="{00000000-0005-0000-0000-00001F2A0000}"/>
    <cellStyle name="Comma 2 5 2 3 10" xfId="32576" xr:uid="{00000000-0005-0000-0000-0000202A0000}"/>
    <cellStyle name="Comma 2 5 2 3 11" xfId="33788" xr:uid="{00000000-0005-0000-0000-0000212A0000}"/>
    <cellStyle name="Comma 2 5 2 3 12" xfId="34181" xr:uid="{00000000-0005-0000-0000-0000222A0000}"/>
    <cellStyle name="Comma 2 5 2 3 13" xfId="35616" xr:uid="{00000000-0005-0000-0000-0000232A0000}"/>
    <cellStyle name="Comma 2 5 2 3 14" xfId="36164" xr:uid="{00000000-0005-0000-0000-0000242A0000}"/>
    <cellStyle name="Comma 2 5 2 3 15" xfId="38685" xr:uid="{00000000-0005-0000-0000-0000252A0000}"/>
    <cellStyle name="Comma 2 5 2 3 16" xfId="41725" xr:uid="{00000000-0005-0000-0000-0000262A0000}"/>
    <cellStyle name="Comma 2 5 2 3 17" xfId="44884" xr:uid="{00000000-0005-0000-0000-0000272A0000}"/>
    <cellStyle name="Comma 2 5 2 3 18" xfId="7344" xr:uid="{00000000-0005-0000-0000-0000282A0000}"/>
    <cellStyle name="Comma 2 5 2 3 2" xfId="5884" xr:uid="{00000000-0005-0000-0000-0000292A0000}"/>
    <cellStyle name="Comma 2 5 2 3 2 10" xfId="33789" xr:uid="{00000000-0005-0000-0000-00002A2A0000}"/>
    <cellStyle name="Comma 2 5 2 3 2 11" xfId="34333" xr:uid="{00000000-0005-0000-0000-00002B2A0000}"/>
    <cellStyle name="Comma 2 5 2 3 2 12" xfId="36502" xr:uid="{00000000-0005-0000-0000-00002C2A0000}"/>
    <cellStyle name="Comma 2 5 2 3 2 13" xfId="39173" xr:uid="{00000000-0005-0000-0000-00002D2A0000}"/>
    <cellStyle name="Comma 2 5 2 3 2 14" xfId="42181" xr:uid="{00000000-0005-0000-0000-00002E2A0000}"/>
    <cellStyle name="Comma 2 5 2 3 2 15" xfId="44885" xr:uid="{00000000-0005-0000-0000-00002F2A0000}"/>
    <cellStyle name="Comma 2 5 2 3 2 16" xfId="8603" xr:uid="{00000000-0005-0000-0000-0000302A0000}"/>
    <cellStyle name="Comma 2 5 2 3 2 2" xfId="8828" xr:uid="{00000000-0005-0000-0000-0000312A0000}"/>
    <cellStyle name="Comma 2 5 2 3 2 2 10" xfId="34495" xr:uid="{00000000-0005-0000-0000-0000322A0000}"/>
    <cellStyle name="Comma 2 5 2 3 2 2 11" xfId="36663" xr:uid="{00000000-0005-0000-0000-0000332A0000}"/>
    <cellStyle name="Comma 2 5 2 3 2 2 12" xfId="40746" xr:uid="{00000000-0005-0000-0000-0000342A0000}"/>
    <cellStyle name="Comma 2 5 2 3 2 2 13" xfId="43509" xr:uid="{00000000-0005-0000-0000-0000352A0000}"/>
    <cellStyle name="Comma 2 5 2 3 2 2 14" xfId="44886" xr:uid="{00000000-0005-0000-0000-0000362A0000}"/>
    <cellStyle name="Comma 2 5 2 3 2 2 2" xfId="12827" xr:uid="{00000000-0005-0000-0000-0000372A0000}"/>
    <cellStyle name="Comma 2 5 2 3 2 2 2 2" xfId="31409" xr:uid="{00000000-0005-0000-0000-0000382A0000}"/>
    <cellStyle name="Comma 2 5 2 3 2 2 2 3" xfId="33263" xr:uid="{00000000-0005-0000-0000-0000392A0000}"/>
    <cellStyle name="Comma 2 5 2 3 2 2 2 4" xfId="35086" xr:uid="{00000000-0005-0000-0000-00003A2A0000}"/>
    <cellStyle name="Comma 2 5 2 3 2 2 2 5" xfId="37184" xr:uid="{00000000-0005-0000-0000-00003B2A0000}"/>
    <cellStyle name="Comma 2 5 2 3 2 2 3" xfId="12044" xr:uid="{00000000-0005-0000-0000-00003C2A0000}"/>
    <cellStyle name="Comma 2 5 2 3 2 2 4" xfId="15615" xr:uid="{00000000-0005-0000-0000-00003D2A0000}"/>
    <cellStyle name="Comma 2 5 2 3 2 2 5" xfId="30113" xr:uid="{00000000-0005-0000-0000-00003E2A0000}"/>
    <cellStyle name="Comma 2 5 2 3 2 2 6" xfId="30818" xr:uid="{00000000-0005-0000-0000-00003F2A0000}"/>
    <cellStyle name="Comma 2 5 2 3 2 2 7" xfId="31936" xr:uid="{00000000-0005-0000-0000-0000402A0000}"/>
    <cellStyle name="Comma 2 5 2 3 2 2 8" xfId="32578" xr:uid="{00000000-0005-0000-0000-0000412A0000}"/>
    <cellStyle name="Comma 2 5 2 3 2 2 9" xfId="33790" xr:uid="{00000000-0005-0000-0000-0000422A0000}"/>
    <cellStyle name="Comma 2 5 2 3 2 3" xfId="12609" xr:uid="{00000000-0005-0000-0000-0000432A0000}"/>
    <cellStyle name="Comma 2 5 2 3 2 3 2" xfId="31247" xr:uid="{00000000-0005-0000-0000-0000442A0000}"/>
    <cellStyle name="Comma 2 5 2 3 2 3 3" xfId="33101" xr:uid="{00000000-0005-0000-0000-0000452A0000}"/>
    <cellStyle name="Comma 2 5 2 3 2 3 4" xfId="34924" xr:uid="{00000000-0005-0000-0000-0000462A0000}"/>
    <cellStyle name="Comma 2 5 2 3 2 3 5" xfId="37022" xr:uid="{00000000-0005-0000-0000-0000472A0000}"/>
    <cellStyle name="Comma 2 5 2 3 2 4" xfId="11882" xr:uid="{00000000-0005-0000-0000-0000482A0000}"/>
    <cellStyle name="Comma 2 5 2 3 2 5" xfId="15614" xr:uid="{00000000-0005-0000-0000-0000492A0000}"/>
    <cellStyle name="Comma 2 5 2 3 2 6" xfId="30112" xr:uid="{00000000-0005-0000-0000-00004A2A0000}"/>
    <cellStyle name="Comma 2 5 2 3 2 7" xfId="30656" xr:uid="{00000000-0005-0000-0000-00004B2A0000}"/>
    <cellStyle name="Comma 2 5 2 3 2 8" xfId="31935" xr:uid="{00000000-0005-0000-0000-00004C2A0000}"/>
    <cellStyle name="Comma 2 5 2 3 2 9" xfId="32577" xr:uid="{00000000-0005-0000-0000-00004D2A0000}"/>
    <cellStyle name="Comma 2 5 2 3 3" xfId="8827" xr:uid="{00000000-0005-0000-0000-00004E2A0000}"/>
    <cellStyle name="Comma 2 5 2 3 3 10" xfId="34494" xr:uid="{00000000-0005-0000-0000-00004F2A0000}"/>
    <cellStyle name="Comma 2 5 2 3 3 11" xfId="36662" xr:uid="{00000000-0005-0000-0000-0000502A0000}"/>
    <cellStyle name="Comma 2 5 2 3 3 12" xfId="39483" xr:uid="{00000000-0005-0000-0000-0000512A0000}"/>
    <cellStyle name="Comma 2 5 2 3 3 13" xfId="42443" xr:uid="{00000000-0005-0000-0000-0000522A0000}"/>
    <cellStyle name="Comma 2 5 2 3 3 14" xfId="44887" xr:uid="{00000000-0005-0000-0000-0000532A0000}"/>
    <cellStyle name="Comma 2 5 2 3 3 2" xfId="12826" xr:uid="{00000000-0005-0000-0000-0000542A0000}"/>
    <cellStyle name="Comma 2 5 2 3 3 2 2" xfId="31408" xr:uid="{00000000-0005-0000-0000-0000552A0000}"/>
    <cellStyle name="Comma 2 5 2 3 3 2 3" xfId="33262" xr:uid="{00000000-0005-0000-0000-0000562A0000}"/>
    <cellStyle name="Comma 2 5 2 3 3 2 4" xfId="35085" xr:uid="{00000000-0005-0000-0000-0000572A0000}"/>
    <cellStyle name="Comma 2 5 2 3 3 2 5" xfId="37183" xr:uid="{00000000-0005-0000-0000-0000582A0000}"/>
    <cellStyle name="Comma 2 5 2 3 3 2 6" xfId="41059" xr:uid="{00000000-0005-0000-0000-0000592A0000}"/>
    <cellStyle name="Comma 2 5 2 3 3 2 7" xfId="43771" xr:uid="{00000000-0005-0000-0000-00005A2A0000}"/>
    <cellStyle name="Comma 2 5 2 3 3 2 8" xfId="44888" xr:uid="{00000000-0005-0000-0000-00005B2A0000}"/>
    <cellStyle name="Comma 2 5 2 3 3 3" xfId="12043" xr:uid="{00000000-0005-0000-0000-00005C2A0000}"/>
    <cellStyle name="Comma 2 5 2 3 3 4" xfId="15616" xr:uid="{00000000-0005-0000-0000-00005D2A0000}"/>
    <cellStyle name="Comma 2 5 2 3 3 5" xfId="30114" xr:uid="{00000000-0005-0000-0000-00005E2A0000}"/>
    <cellStyle name="Comma 2 5 2 3 3 6" xfId="30817" xr:uid="{00000000-0005-0000-0000-00005F2A0000}"/>
    <cellStyle name="Comma 2 5 2 3 3 7" xfId="31937" xr:uid="{00000000-0005-0000-0000-0000602A0000}"/>
    <cellStyle name="Comma 2 5 2 3 3 8" xfId="32579" xr:uid="{00000000-0005-0000-0000-0000612A0000}"/>
    <cellStyle name="Comma 2 5 2 3 3 9" xfId="33791" xr:uid="{00000000-0005-0000-0000-0000622A0000}"/>
    <cellStyle name="Comma 2 5 2 3 4" xfId="12323" xr:uid="{00000000-0005-0000-0000-0000632A0000}"/>
    <cellStyle name="Comma 2 5 2 3 4 2" xfId="31095" xr:uid="{00000000-0005-0000-0000-0000642A0000}"/>
    <cellStyle name="Comma 2 5 2 3 4 3" xfId="32957" xr:uid="{00000000-0005-0000-0000-0000652A0000}"/>
    <cellStyle name="Comma 2 5 2 3 4 4" xfId="34772" xr:uid="{00000000-0005-0000-0000-0000662A0000}"/>
    <cellStyle name="Comma 2 5 2 3 4 5" xfId="36878" xr:uid="{00000000-0005-0000-0000-0000672A0000}"/>
    <cellStyle name="Comma 2 5 2 3 4 6" xfId="40204" xr:uid="{00000000-0005-0000-0000-0000682A0000}"/>
    <cellStyle name="Comma 2 5 2 3 4 7" xfId="43053" xr:uid="{00000000-0005-0000-0000-0000692A0000}"/>
    <cellStyle name="Comma 2 5 2 3 4 8" xfId="44889" xr:uid="{00000000-0005-0000-0000-00006A2A0000}"/>
    <cellStyle name="Comma 2 5 2 3 5" xfId="11730" xr:uid="{00000000-0005-0000-0000-00006B2A0000}"/>
    <cellStyle name="Comma 2 5 2 3 6" xfId="15613" xr:uid="{00000000-0005-0000-0000-00006C2A0000}"/>
    <cellStyle name="Comma 2 5 2 3 7" xfId="30111" xr:uid="{00000000-0005-0000-0000-00006D2A0000}"/>
    <cellStyle name="Comma 2 5 2 3 8" xfId="30504" xr:uid="{00000000-0005-0000-0000-00006E2A0000}"/>
    <cellStyle name="Comma 2 5 2 3 9" xfId="31934" xr:uid="{00000000-0005-0000-0000-00006F2A0000}"/>
    <cellStyle name="Comma 2 5 2 4" xfId="5746" xr:uid="{00000000-0005-0000-0000-0000702A0000}"/>
    <cellStyle name="Comma 2 5 2 4 10" xfId="33792" xr:uid="{00000000-0005-0000-0000-0000712A0000}"/>
    <cellStyle name="Comma 2 5 2 4 11" xfId="34270" xr:uid="{00000000-0005-0000-0000-0000722A0000}"/>
    <cellStyle name="Comma 2 5 2 4 12" xfId="36468" xr:uid="{00000000-0005-0000-0000-0000732A0000}"/>
    <cellStyle name="Comma 2 5 2 4 13" xfId="38113" xr:uid="{00000000-0005-0000-0000-0000742A0000}"/>
    <cellStyle name="Comma 2 5 2 4 14" xfId="41610" xr:uid="{00000000-0005-0000-0000-0000752A0000}"/>
    <cellStyle name="Comma 2 5 2 4 15" xfId="44890" xr:uid="{00000000-0005-0000-0000-0000762A0000}"/>
    <cellStyle name="Comma 2 5 2 4 16" xfId="8433" xr:uid="{00000000-0005-0000-0000-0000772A0000}"/>
    <cellStyle name="Comma 2 5 2 4 2" xfId="8829" xr:uid="{00000000-0005-0000-0000-0000782A0000}"/>
    <cellStyle name="Comma 2 5 2 4 2 10" xfId="34496" xr:uid="{00000000-0005-0000-0000-0000792A0000}"/>
    <cellStyle name="Comma 2 5 2 4 2 11" xfId="36664" xr:uid="{00000000-0005-0000-0000-00007A2A0000}"/>
    <cellStyle name="Comma 2 5 2 4 2 12" xfId="40069" xr:uid="{00000000-0005-0000-0000-00007B2A0000}"/>
    <cellStyle name="Comma 2 5 2 4 2 13" xfId="42938" xr:uid="{00000000-0005-0000-0000-00007C2A0000}"/>
    <cellStyle name="Comma 2 5 2 4 2 14" xfId="44891" xr:uid="{00000000-0005-0000-0000-00007D2A0000}"/>
    <cellStyle name="Comma 2 5 2 4 2 2" xfId="12828" xr:uid="{00000000-0005-0000-0000-00007E2A0000}"/>
    <cellStyle name="Comma 2 5 2 4 2 2 2" xfId="31410" xr:uid="{00000000-0005-0000-0000-00007F2A0000}"/>
    <cellStyle name="Comma 2 5 2 4 2 2 3" xfId="33264" xr:uid="{00000000-0005-0000-0000-0000802A0000}"/>
    <cellStyle name="Comma 2 5 2 4 2 2 4" xfId="35087" xr:uid="{00000000-0005-0000-0000-0000812A0000}"/>
    <cellStyle name="Comma 2 5 2 4 2 2 5" xfId="37185" xr:uid="{00000000-0005-0000-0000-0000822A0000}"/>
    <cellStyle name="Comma 2 5 2 4 2 3" xfId="12045" xr:uid="{00000000-0005-0000-0000-0000832A0000}"/>
    <cellStyle name="Comma 2 5 2 4 2 4" xfId="15618" xr:uid="{00000000-0005-0000-0000-0000842A0000}"/>
    <cellStyle name="Comma 2 5 2 4 2 5" xfId="30116" xr:uid="{00000000-0005-0000-0000-0000852A0000}"/>
    <cellStyle name="Comma 2 5 2 4 2 6" xfId="30819" xr:uid="{00000000-0005-0000-0000-0000862A0000}"/>
    <cellStyle name="Comma 2 5 2 4 2 7" xfId="31939" xr:uid="{00000000-0005-0000-0000-0000872A0000}"/>
    <cellStyle name="Comma 2 5 2 4 2 8" xfId="32581" xr:uid="{00000000-0005-0000-0000-0000882A0000}"/>
    <cellStyle name="Comma 2 5 2 4 2 9" xfId="33793" xr:uid="{00000000-0005-0000-0000-0000892A0000}"/>
    <cellStyle name="Comma 2 5 2 4 3" xfId="12541" xr:uid="{00000000-0005-0000-0000-00008A2A0000}"/>
    <cellStyle name="Comma 2 5 2 4 3 2" xfId="31184" xr:uid="{00000000-0005-0000-0000-00008B2A0000}"/>
    <cellStyle name="Comma 2 5 2 4 3 3" xfId="33042" xr:uid="{00000000-0005-0000-0000-00008C2A0000}"/>
    <cellStyle name="Comma 2 5 2 4 3 4" xfId="34861" xr:uid="{00000000-0005-0000-0000-00008D2A0000}"/>
    <cellStyle name="Comma 2 5 2 4 3 5" xfId="36963" xr:uid="{00000000-0005-0000-0000-00008E2A0000}"/>
    <cellStyle name="Comma 2 5 2 4 4" xfId="11819" xr:uid="{00000000-0005-0000-0000-00008F2A0000}"/>
    <cellStyle name="Comma 2 5 2 4 5" xfId="15617" xr:uid="{00000000-0005-0000-0000-0000902A0000}"/>
    <cellStyle name="Comma 2 5 2 4 6" xfId="30115" xr:uid="{00000000-0005-0000-0000-0000912A0000}"/>
    <cellStyle name="Comma 2 5 2 4 7" xfId="30593" xr:uid="{00000000-0005-0000-0000-0000922A0000}"/>
    <cellStyle name="Comma 2 5 2 4 8" xfId="31938" xr:uid="{00000000-0005-0000-0000-0000932A0000}"/>
    <cellStyle name="Comma 2 5 2 4 9" xfId="32580" xr:uid="{00000000-0005-0000-0000-0000942A0000}"/>
    <cellStyle name="Comma 2 5 2 5" xfId="6205" xr:uid="{00000000-0005-0000-0000-0000952A0000}"/>
    <cellStyle name="Comma 2 5 2 5 10" xfId="33794" xr:uid="{00000000-0005-0000-0000-0000962A0000}"/>
    <cellStyle name="Comma 2 5 2 5 11" xfId="34210" xr:uid="{00000000-0005-0000-0000-0000972A0000}"/>
    <cellStyle name="Comma 2 5 2 5 12" xfId="36437" xr:uid="{00000000-0005-0000-0000-0000982A0000}"/>
    <cellStyle name="Comma 2 5 2 5 13" xfId="38944" xr:uid="{00000000-0005-0000-0000-0000992A0000}"/>
    <cellStyle name="Comma 2 5 2 5 14" xfId="41975" xr:uid="{00000000-0005-0000-0000-00009A2A0000}"/>
    <cellStyle name="Comma 2 5 2 5 15" xfId="44892" xr:uid="{00000000-0005-0000-0000-00009B2A0000}"/>
    <cellStyle name="Comma 2 5 2 5 16" xfId="8101" xr:uid="{00000000-0005-0000-0000-00009C2A0000}"/>
    <cellStyle name="Comma 2 5 2 5 2" xfId="8830" xr:uid="{00000000-0005-0000-0000-00009D2A0000}"/>
    <cellStyle name="Comma 2 5 2 5 2 10" xfId="34497" xr:uid="{00000000-0005-0000-0000-00009E2A0000}"/>
    <cellStyle name="Comma 2 5 2 5 2 11" xfId="36665" xr:uid="{00000000-0005-0000-0000-00009F2A0000}"/>
    <cellStyle name="Comma 2 5 2 5 2 12" xfId="40502" xr:uid="{00000000-0005-0000-0000-0000A02A0000}"/>
    <cellStyle name="Comma 2 5 2 5 2 13" xfId="43303" xr:uid="{00000000-0005-0000-0000-0000A12A0000}"/>
    <cellStyle name="Comma 2 5 2 5 2 14" xfId="44893" xr:uid="{00000000-0005-0000-0000-0000A22A0000}"/>
    <cellStyle name="Comma 2 5 2 5 2 2" xfId="12829" xr:uid="{00000000-0005-0000-0000-0000A32A0000}"/>
    <cellStyle name="Comma 2 5 2 5 2 2 2" xfId="31411" xr:uid="{00000000-0005-0000-0000-0000A42A0000}"/>
    <cellStyle name="Comma 2 5 2 5 2 2 3" xfId="33265" xr:uid="{00000000-0005-0000-0000-0000A52A0000}"/>
    <cellStyle name="Comma 2 5 2 5 2 2 4" xfId="35088" xr:uid="{00000000-0005-0000-0000-0000A62A0000}"/>
    <cellStyle name="Comma 2 5 2 5 2 2 5" xfId="37186" xr:uid="{00000000-0005-0000-0000-0000A72A0000}"/>
    <cellStyle name="Comma 2 5 2 5 2 3" xfId="12046" xr:uid="{00000000-0005-0000-0000-0000A82A0000}"/>
    <cellStyle name="Comma 2 5 2 5 2 4" xfId="15620" xr:uid="{00000000-0005-0000-0000-0000A92A0000}"/>
    <cellStyle name="Comma 2 5 2 5 2 5" xfId="30118" xr:uid="{00000000-0005-0000-0000-0000AA2A0000}"/>
    <cellStyle name="Comma 2 5 2 5 2 6" xfId="30820" xr:uid="{00000000-0005-0000-0000-0000AB2A0000}"/>
    <cellStyle name="Comma 2 5 2 5 2 7" xfId="31941" xr:uid="{00000000-0005-0000-0000-0000AC2A0000}"/>
    <cellStyle name="Comma 2 5 2 5 2 8" xfId="32583" xr:uid="{00000000-0005-0000-0000-0000AD2A0000}"/>
    <cellStyle name="Comma 2 5 2 5 2 9" xfId="33795" xr:uid="{00000000-0005-0000-0000-0000AE2A0000}"/>
    <cellStyle name="Comma 2 5 2 5 3" xfId="12413" xr:uid="{00000000-0005-0000-0000-0000AF2A0000}"/>
    <cellStyle name="Comma 2 5 2 5 3 2" xfId="31124" xr:uid="{00000000-0005-0000-0000-0000B02A0000}"/>
    <cellStyle name="Comma 2 5 2 5 3 3" xfId="32986" xr:uid="{00000000-0005-0000-0000-0000B12A0000}"/>
    <cellStyle name="Comma 2 5 2 5 3 4" xfId="34801" xr:uid="{00000000-0005-0000-0000-0000B22A0000}"/>
    <cellStyle name="Comma 2 5 2 5 3 5" xfId="36907" xr:uid="{00000000-0005-0000-0000-0000B32A0000}"/>
    <cellStyle name="Comma 2 5 2 5 4" xfId="11759" xr:uid="{00000000-0005-0000-0000-0000B42A0000}"/>
    <cellStyle name="Comma 2 5 2 5 5" xfId="15619" xr:uid="{00000000-0005-0000-0000-0000B52A0000}"/>
    <cellStyle name="Comma 2 5 2 5 6" xfId="30117" xr:uid="{00000000-0005-0000-0000-0000B62A0000}"/>
    <cellStyle name="Comma 2 5 2 5 7" xfId="30533" xr:uid="{00000000-0005-0000-0000-0000B72A0000}"/>
    <cellStyle name="Comma 2 5 2 5 8" xfId="31940" xr:uid="{00000000-0005-0000-0000-0000B82A0000}"/>
    <cellStyle name="Comma 2 5 2 5 9" xfId="32582" xr:uid="{00000000-0005-0000-0000-0000B92A0000}"/>
    <cellStyle name="Comma 2 5 2 6" xfId="8824" xr:uid="{00000000-0005-0000-0000-0000BA2A0000}"/>
    <cellStyle name="Comma 2 5 2 6 10" xfId="34491" xr:uid="{00000000-0005-0000-0000-0000BB2A0000}"/>
    <cellStyle name="Comma 2 5 2 6 11" xfId="36659" xr:uid="{00000000-0005-0000-0000-0000BC2A0000}"/>
    <cellStyle name="Comma 2 5 2 6 12" xfId="39350" xr:uid="{00000000-0005-0000-0000-0000BD2A0000}"/>
    <cellStyle name="Comma 2 5 2 6 13" xfId="42328" xr:uid="{00000000-0005-0000-0000-0000BE2A0000}"/>
    <cellStyle name="Comma 2 5 2 6 14" xfId="44894" xr:uid="{00000000-0005-0000-0000-0000BF2A0000}"/>
    <cellStyle name="Comma 2 5 2 6 2" xfId="12823" xr:uid="{00000000-0005-0000-0000-0000C02A0000}"/>
    <cellStyle name="Comma 2 5 2 6 2 2" xfId="31405" xr:uid="{00000000-0005-0000-0000-0000C12A0000}"/>
    <cellStyle name="Comma 2 5 2 6 2 3" xfId="33259" xr:uid="{00000000-0005-0000-0000-0000C22A0000}"/>
    <cellStyle name="Comma 2 5 2 6 2 4" xfId="35082" xr:uid="{00000000-0005-0000-0000-0000C32A0000}"/>
    <cellStyle name="Comma 2 5 2 6 2 5" xfId="37180" xr:uid="{00000000-0005-0000-0000-0000C42A0000}"/>
    <cellStyle name="Comma 2 5 2 6 2 6" xfId="40921" xr:uid="{00000000-0005-0000-0000-0000C52A0000}"/>
    <cellStyle name="Comma 2 5 2 6 2 7" xfId="43656" xr:uid="{00000000-0005-0000-0000-0000C62A0000}"/>
    <cellStyle name="Comma 2 5 2 6 2 8" xfId="44895" xr:uid="{00000000-0005-0000-0000-0000C72A0000}"/>
    <cellStyle name="Comma 2 5 2 6 3" xfId="12040" xr:uid="{00000000-0005-0000-0000-0000C82A0000}"/>
    <cellStyle name="Comma 2 5 2 6 4" xfId="15621" xr:uid="{00000000-0005-0000-0000-0000C92A0000}"/>
    <cellStyle name="Comma 2 5 2 6 5" xfId="30119" xr:uid="{00000000-0005-0000-0000-0000CA2A0000}"/>
    <cellStyle name="Comma 2 5 2 6 6" xfId="30814" xr:uid="{00000000-0005-0000-0000-0000CB2A0000}"/>
    <cellStyle name="Comma 2 5 2 6 7" xfId="31942" xr:uid="{00000000-0005-0000-0000-0000CC2A0000}"/>
    <cellStyle name="Comma 2 5 2 6 8" xfId="32584" xr:uid="{00000000-0005-0000-0000-0000CD2A0000}"/>
    <cellStyle name="Comma 2 5 2 6 9" xfId="33796" xr:uid="{00000000-0005-0000-0000-0000CE2A0000}"/>
    <cellStyle name="Comma 2 5 2 7" xfId="11524" xr:uid="{00000000-0005-0000-0000-0000CF2A0000}"/>
    <cellStyle name="Comma 2 5 2 7 10" xfId="34638" xr:uid="{00000000-0005-0000-0000-0000D02A0000}"/>
    <cellStyle name="Comma 2 5 2 7 11" xfId="36766" xr:uid="{00000000-0005-0000-0000-0000D12A0000}"/>
    <cellStyle name="Comma 2 5 2 7 12" xfId="39809" xr:uid="{00000000-0005-0000-0000-0000D22A0000}"/>
    <cellStyle name="Comma 2 5 2 7 13" xfId="42717" xr:uid="{00000000-0005-0000-0000-0000D32A0000}"/>
    <cellStyle name="Comma 2 5 2 7 14" xfId="44896" xr:uid="{00000000-0005-0000-0000-0000D42A0000}"/>
    <cellStyle name="Comma 2 5 2 7 2" xfId="15145" xr:uid="{00000000-0005-0000-0000-0000D52A0000}"/>
    <cellStyle name="Comma 2 5 2 7 2 2" xfId="31552" xr:uid="{00000000-0005-0000-0000-0000D62A0000}"/>
    <cellStyle name="Comma 2 5 2 7 2 3" xfId="33405" xr:uid="{00000000-0005-0000-0000-0000D72A0000}"/>
    <cellStyle name="Comma 2 5 2 7 2 4" xfId="35229" xr:uid="{00000000-0005-0000-0000-0000D82A0000}"/>
    <cellStyle name="Comma 2 5 2 7 2 5" xfId="37309" xr:uid="{00000000-0005-0000-0000-0000D92A0000}"/>
    <cellStyle name="Comma 2 5 2 7 3" xfId="12187" xr:uid="{00000000-0005-0000-0000-0000DA2A0000}"/>
    <cellStyle name="Comma 2 5 2 7 4" xfId="15622" xr:uid="{00000000-0005-0000-0000-0000DB2A0000}"/>
    <cellStyle name="Comma 2 5 2 7 5" xfId="30120" xr:uid="{00000000-0005-0000-0000-0000DC2A0000}"/>
    <cellStyle name="Comma 2 5 2 7 6" xfId="30961" xr:uid="{00000000-0005-0000-0000-0000DD2A0000}"/>
    <cellStyle name="Comma 2 5 2 7 7" xfId="31943" xr:uid="{00000000-0005-0000-0000-0000DE2A0000}"/>
    <cellStyle name="Comma 2 5 2 7 8" xfId="32585" xr:uid="{00000000-0005-0000-0000-0000DF2A0000}"/>
    <cellStyle name="Comma 2 5 2 7 9" xfId="33797" xr:uid="{00000000-0005-0000-0000-0000E02A0000}"/>
    <cellStyle name="Comma 2 5 2 8" xfId="12260" xr:uid="{00000000-0005-0000-0000-0000E12A0000}"/>
    <cellStyle name="Comma 2 5 2 8 2" xfId="31033" xr:uid="{00000000-0005-0000-0000-0000E22A0000}"/>
    <cellStyle name="Comma 2 5 2 8 3" xfId="32903" xr:uid="{00000000-0005-0000-0000-0000E32A0000}"/>
    <cellStyle name="Comma 2 5 2 8 4" xfId="34710" xr:uid="{00000000-0005-0000-0000-0000E42A0000}"/>
    <cellStyle name="Comma 2 5 2 8 5" xfId="36818" xr:uid="{00000000-0005-0000-0000-0000E52A0000}"/>
    <cellStyle name="Comma 2 5 2 9" xfId="11666" xr:uid="{00000000-0005-0000-0000-0000E62A0000}"/>
    <cellStyle name="Comma 2 5 20" xfId="35284" xr:uid="{00000000-0005-0000-0000-0000E72A0000}"/>
    <cellStyle name="Comma 2 5 21" xfId="36205" xr:uid="{00000000-0005-0000-0000-0000E82A0000}"/>
    <cellStyle name="Comma 2 5 22" xfId="37391" xr:uid="{00000000-0005-0000-0000-0000E92A0000}"/>
    <cellStyle name="Comma 2 5 23" xfId="41339" xr:uid="{00000000-0005-0000-0000-0000EA2A0000}"/>
    <cellStyle name="Comma 2 5 24" xfId="44897" xr:uid="{00000000-0005-0000-0000-0000EB2A0000}"/>
    <cellStyle name="Comma 2 5 25" xfId="6557" xr:uid="{00000000-0005-0000-0000-0000EC2A0000}"/>
    <cellStyle name="Comma 2 5 3" xfId="2782" xr:uid="{00000000-0005-0000-0000-0000ED2A0000}"/>
    <cellStyle name="Comma 2 5 3 10" xfId="15623" xr:uid="{00000000-0005-0000-0000-0000EE2A0000}"/>
    <cellStyle name="Comma 2 5 3 11" xfId="30121" xr:uid="{00000000-0005-0000-0000-0000EF2A0000}"/>
    <cellStyle name="Comma 2 5 3 12" xfId="30443" xr:uid="{00000000-0005-0000-0000-0000F02A0000}"/>
    <cellStyle name="Comma 2 5 3 13" xfId="31944" xr:uid="{00000000-0005-0000-0000-0000F12A0000}"/>
    <cellStyle name="Comma 2 5 3 14" xfId="32586" xr:uid="{00000000-0005-0000-0000-0000F22A0000}"/>
    <cellStyle name="Comma 2 5 3 15" xfId="33798" xr:uid="{00000000-0005-0000-0000-0000F32A0000}"/>
    <cellStyle name="Comma 2 5 3 16" xfId="34120" xr:uid="{00000000-0005-0000-0000-0000F42A0000}"/>
    <cellStyle name="Comma 2 5 3 17" xfId="35344" xr:uid="{00000000-0005-0000-0000-0000F52A0000}"/>
    <cellStyle name="Comma 2 5 3 18" xfId="36207" xr:uid="{00000000-0005-0000-0000-0000F62A0000}"/>
    <cellStyle name="Comma 2 5 3 19" xfId="37443" xr:uid="{00000000-0005-0000-0000-0000F72A0000}"/>
    <cellStyle name="Comma 2 5 3 2" xfId="5093" xr:uid="{00000000-0005-0000-0000-0000F82A0000}"/>
    <cellStyle name="Comma 2 5 3 2 10" xfId="32587" xr:uid="{00000000-0005-0000-0000-0000F92A0000}"/>
    <cellStyle name="Comma 2 5 3 2 11" xfId="33799" xr:uid="{00000000-0005-0000-0000-0000FA2A0000}"/>
    <cellStyle name="Comma 2 5 3 2 12" xfId="34158" xr:uid="{00000000-0005-0000-0000-0000FB2A0000}"/>
    <cellStyle name="Comma 2 5 3 2 13" xfId="36048" xr:uid="{00000000-0005-0000-0000-0000FC2A0000}"/>
    <cellStyle name="Comma 2 5 3 2 14" xfId="36348" xr:uid="{00000000-0005-0000-0000-0000FD2A0000}"/>
    <cellStyle name="Comma 2 5 3 2 15" xfId="37517" xr:uid="{00000000-0005-0000-0000-0000FE2A0000}"/>
    <cellStyle name="Comma 2 5 3 2 16" xfId="41463" xr:uid="{00000000-0005-0000-0000-0000FF2A0000}"/>
    <cellStyle name="Comma 2 5 3 2 17" xfId="44898" xr:uid="{00000000-0005-0000-0000-0000002B0000}"/>
    <cellStyle name="Comma 2 5 3 2 18" xfId="6671" xr:uid="{00000000-0005-0000-0000-0000012B0000}"/>
    <cellStyle name="Comma 2 5 3 2 2" xfId="6062" xr:uid="{00000000-0005-0000-0000-0000022B0000}"/>
    <cellStyle name="Comma 2 5 3 2 2 10" xfId="33800" xr:uid="{00000000-0005-0000-0000-0000032B0000}"/>
    <cellStyle name="Comma 2 5 3 2 2 11" xfId="34310" xr:uid="{00000000-0005-0000-0000-0000042B0000}"/>
    <cellStyle name="Comma 2 5 3 2 2 12" xfId="36493" xr:uid="{00000000-0005-0000-0000-0000052B0000}"/>
    <cellStyle name="Comma 2 5 3 2 2 13" xfId="38827" xr:uid="{00000000-0005-0000-0000-0000062B0000}"/>
    <cellStyle name="Comma 2 5 3 2 2 14" xfId="41866" xr:uid="{00000000-0005-0000-0000-0000072B0000}"/>
    <cellStyle name="Comma 2 5 3 2 2 15" xfId="44899" xr:uid="{00000000-0005-0000-0000-0000082B0000}"/>
    <cellStyle name="Comma 2 5 3 2 2 16" xfId="8547" xr:uid="{00000000-0005-0000-0000-0000092B0000}"/>
    <cellStyle name="Comma 2 5 3 2 2 2" xfId="8833" xr:uid="{00000000-0005-0000-0000-00000A2B0000}"/>
    <cellStyle name="Comma 2 5 3 2 2 2 10" xfId="34500" xr:uid="{00000000-0005-0000-0000-00000B2B0000}"/>
    <cellStyle name="Comma 2 5 3 2 2 2 11" xfId="36668" xr:uid="{00000000-0005-0000-0000-00000C2B0000}"/>
    <cellStyle name="Comma 2 5 3 2 2 2 12" xfId="40376" xr:uid="{00000000-0005-0000-0000-00000D2B0000}"/>
    <cellStyle name="Comma 2 5 3 2 2 2 13" xfId="43194" xr:uid="{00000000-0005-0000-0000-00000E2B0000}"/>
    <cellStyle name="Comma 2 5 3 2 2 2 14" xfId="44900" xr:uid="{00000000-0005-0000-0000-00000F2B0000}"/>
    <cellStyle name="Comma 2 5 3 2 2 2 2" xfId="12832" xr:uid="{00000000-0005-0000-0000-0000102B0000}"/>
    <cellStyle name="Comma 2 5 3 2 2 2 2 2" xfId="31414" xr:uid="{00000000-0005-0000-0000-0000112B0000}"/>
    <cellStyle name="Comma 2 5 3 2 2 2 2 3" xfId="33268" xr:uid="{00000000-0005-0000-0000-0000122B0000}"/>
    <cellStyle name="Comma 2 5 3 2 2 2 2 4" xfId="35091" xr:uid="{00000000-0005-0000-0000-0000132B0000}"/>
    <cellStyle name="Comma 2 5 3 2 2 2 2 5" xfId="37189" xr:uid="{00000000-0005-0000-0000-0000142B0000}"/>
    <cellStyle name="Comma 2 5 3 2 2 2 3" xfId="12049" xr:uid="{00000000-0005-0000-0000-0000152B0000}"/>
    <cellStyle name="Comma 2 5 3 2 2 2 4" xfId="15626" xr:uid="{00000000-0005-0000-0000-0000162B0000}"/>
    <cellStyle name="Comma 2 5 3 2 2 2 5" xfId="30124" xr:uid="{00000000-0005-0000-0000-0000172B0000}"/>
    <cellStyle name="Comma 2 5 3 2 2 2 6" xfId="30823" xr:uid="{00000000-0005-0000-0000-0000182B0000}"/>
    <cellStyle name="Comma 2 5 3 2 2 2 7" xfId="31947" xr:uid="{00000000-0005-0000-0000-0000192B0000}"/>
    <cellStyle name="Comma 2 5 3 2 2 2 8" xfId="32589" xr:uid="{00000000-0005-0000-0000-00001A2B0000}"/>
    <cellStyle name="Comma 2 5 3 2 2 2 9" xfId="33801" xr:uid="{00000000-0005-0000-0000-00001B2B0000}"/>
    <cellStyle name="Comma 2 5 3 2 2 3" xfId="12582" xr:uid="{00000000-0005-0000-0000-00001C2B0000}"/>
    <cellStyle name="Comma 2 5 3 2 2 3 2" xfId="31224" xr:uid="{00000000-0005-0000-0000-00001D2B0000}"/>
    <cellStyle name="Comma 2 5 3 2 2 3 3" xfId="33080" xr:uid="{00000000-0005-0000-0000-00001E2B0000}"/>
    <cellStyle name="Comma 2 5 3 2 2 3 4" xfId="34901" xr:uid="{00000000-0005-0000-0000-00001F2B0000}"/>
    <cellStyle name="Comma 2 5 3 2 2 3 5" xfId="37001" xr:uid="{00000000-0005-0000-0000-0000202B0000}"/>
    <cellStyle name="Comma 2 5 3 2 2 4" xfId="11859" xr:uid="{00000000-0005-0000-0000-0000212B0000}"/>
    <cellStyle name="Comma 2 5 3 2 2 5" xfId="15625" xr:uid="{00000000-0005-0000-0000-0000222B0000}"/>
    <cellStyle name="Comma 2 5 3 2 2 6" xfId="30123" xr:uid="{00000000-0005-0000-0000-0000232B0000}"/>
    <cellStyle name="Comma 2 5 3 2 2 7" xfId="30633" xr:uid="{00000000-0005-0000-0000-0000242B0000}"/>
    <cellStyle name="Comma 2 5 3 2 2 8" xfId="31946" xr:uid="{00000000-0005-0000-0000-0000252B0000}"/>
    <cellStyle name="Comma 2 5 3 2 2 9" xfId="32588" xr:uid="{00000000-0005-0000-0000-0000262B0000}"/>
    <cellStyle name="Comma 2 5 3 2 3" xfId="6382" xr:uid="{00000000-0005-0000-0000-0000272B0000}"/>
    <cellStyle name="Comma 2 5 3 2 3 10" xfId="34499" xr:uid="{00000000-0005-0000-0000-0000282B0000}"/>
    <cellStyle name="Comma 2 5 3 2 3 11" xfId="36667" xr:uid="{00000000-0005-0000-0000-0000292B0000}"/>
    <cellStyle name="Comma 2 5 3 2 3 12" xfId="39047" xr:uid="{00000000-0005-0000-0000-00002A2B0000}"/>
    <cellStyle name="Comma 2 5 3 2 3 13" xfId="42073" xr:uid="{00000000-0005-0000-0000-00002B2B0000}"/>
    <cellStyle name="Comma 2 5 3 2 3 14" xfId="44901" xr:uid="{00000000-0005-0000-0000-00002C2B0000}"/>
    <cellStyle name="Comma 2 5 3 2 3 15" xfId="8832" xr:uid="{00000000-0005-0000-0000-00002D2B0000}"/>
    <cellStyle name="Comma 2 5 3 2 3 2" xfId="12831" xr:uid="{00000000-0005-0000-0000-00002E2B0000}"/>
    <cellStyle name="Comma 2 5 3 2 3 2 2" xfId="31413" xr:uid="{00000000-0005-0000-0000-00002F2B0000}"/>
    <cellStyle name="Comma 2 5 3 2 3 2 3" xfId="33267" xr:uid="{00000000-0005-0000-0000-0000302B0000}"/>
    <cellStyle name="Comma 2 5 3 2 3 2 4" xfId="35090" xr:uid="{00000000-0005-0000-0000-0000312B0000}"/>
    <cellStyle name="Comma 2 5 3 2 3 2 5" xfId="37188" xr:uid="{00000000-0005-0000-0000-0000322B0000}"/>
    <cellStyle name="Comma 2 5 3 2 3 2 6" xfId="40615" xr:uid="{00000000-0005-0000-0000-0000332B0000}"/>
    <cellStyle name="Comma 2 5 3 2 3 2 7" xfId="43401" xr:uid="{00000000-0005-0000-0000-0000342B0000}"/>
    <cellStyle name="Comma 2 5 3 2 3 2 8" xfId="44902" xr:uid="{00000000-0005-0000-0000-0000352B0000}"/>
    <cellStyle name="Comma 2 5 3 2 3 3" xfId="12048" xr:uid="{00000000-0005-0000-0000-0000362B0000}"/>
    <cellStyle name="Comma 2 5 3 2 3 4" xfId="15627" xr:uid="{00000000-0005-0000-0000-0000372B0000}"/>
    <cellStyle name="Comma 2 5 3 2 3 5" xfId="30125" xr:uid="{00000000-0005-0000-0000-0000382B0000}"/>
    <cellStyle name="Comma 2 5 3 2 3 6" xfId="30822" xr:uid="{00000000-0005-0000-0000-0000392B0000}"/>
    <cellStyle name="Comma 2 5 3 2 3 7" xfId="31948" xr:uid="{00000000-0005-0000-0000-00003A2B0000}"/>
    <cellStyle name="Comma 2 5 3 2 3 8" xfId="32590" xr:uid="{00000000-0005-0000-0000-00003B2B0000}"/>
    <cellStyle name="Comma 2 5 3 2 3 9" xfId="33802" xr:uid="{00000000-0005-0000-0000-00003C2B0000}"/>
    <cellStyle name="Comma 2 5 3 2 4" xfId="12299" xr:uid="{00000000-0005-0000-0000-00003D2B0000}"/>
    <cellStyle name="Comma 2 5 3 2 4 2" xfId="31072" xr:uid="{00000000-0005-0000-0000-00003E2B0000}"/>
    <cellStyle name="Comma 2 5 3 2 4 2 2" xfId="41232" xr:uid="{00000000-0005-0000-0000-00003F2B0000}"/>
    <cellStyle name="Comma 2 5 3 2 4 2 3" xfId="43912" xr:uid="{00000000-0005-0000-0000-0000402B0000}"/>
    <cellStyle name="Comma 2 5 3 2 4 2 4" xfId="44903" xr:uid="{00000000-0005-0000-0000-0000412B0000}"/>
    <cellStyle name="Comma 2 5 3 2 4 3" xfId="32940" xr:uid="{00000000-0005-0000-0000-0000422B0000}"/>
    <cellStyle name="Comma 2 5 3 2 4 4" xfId="34749" xr:uid="{00000000-0005-0000-0000-0000432B0000}"/>
    <cellStyle name="Comma 2 5 3 2 4 5" xfId="36857" xr:uid="{00000000-0005-0000-0000-0000442B0000}"/>
    <cellStyle name="Comma 2 5 3 2 4 6" xfId="39649" xr:uid="{00000000-0005-0000-0000-0000452B0000}"/>
    <cellStyle name="Comma 2 5 3 2 4 7" xfId="42584" xr:uid="{00000000-0005-0000-0000-0000462B0000}"/>
    <cellStyle name="Comma 2 5 3 2 4 8" xfId="44904" xr:uid="{00000000-0005-0000-0000-0000472B0000}"/>
    <cellStyle name="Comma 2 5 3 2 5" xfId="11706" xr:uid="{00000000-0005-0000-0000-0000482B0000}"/>
    <cellStyle name="Comma 2 5 3 2 5 2" xfId="39892" xr:uid="{00000000-0005-0000-0000-0000492B0000}"/>
    <cellStyle name="Comma 2 5 3 2 5 3" xfId="42791" xr:uid="{00000000-0005-0000-0000-00004A2B0000}"/>
    <cellStyle name="Comma 2 5 3 2 5 4" xfId="44905" xr:uid="{00000000-0005-0000-0000-00004B2B0000}"/>
    <cellStyle name="Comma 2 5 3 2 6" xfId="15624" xr:uid="{00000000-0005-0000-0000-00004C2B0000}"/>
    <cellStyle name="Comma 2 5 3 2 7" xfId="30122" xr:uid="{00000000-0005-0000-0000-00004D2B0000}"/>
    <cellStyle name="Comma 2 5 3 2 8" xfId="30481" xr:uid="{00000000-0005-0000-0000-00004E2B0000}"/>
    <cellStyle name="Comma 2 5 3 2 9" xfId="31945" xr:uid="{00000000-0005-0000-0000-00004F2B0000}"/>
    <cellStyle name="Comma 2 5 3 20" xfId="41390" xr:uid="{00000000-0005-0000-0000-0000502B0000}"/>
    <cellStyle name="Comma 2 5 3 21" xfId="44906" xr:uid="{00000000-0005-0000-0000-0000512B0000}"/>
    <cellStyle name="Comma 2 5 3 22" xfId="6559" xr:uid="{00000000-0005-0000-0000-0000522B0000}"/>
    <cellStyle name="Comma 2 5 3 3" xfId="4434" xr:uid="{00000000-0005-0000-0000-0000532B0000}"/>
    <cellStyle name="Comma 2 5 3 3 10" xfId="32591" xr:uid="{00000000-0005-0000-0000-0000542B0000}"/>
    <cellStyle name="Comma 2 5 3 3 11" xfId="33803" xr:uid="{00000000-0005-0000-0000-0000552B0000}"/>
    <cellStyle name="Comma 2 5 3 3 12" xfId="34182" xr:uid="{00000000-0005-0000-0000-0000562B0000}"/>
    <cellStyle name="Comma 2 5 3 3 13" xfId="35617" xr:uid="{00000000-0005-0000-0000-0000572B0000}"/>
    <cellStyle name="Comma 2 5 3 3 14" xfId="36163" xr:uid="{00000000-0005-0000-0000-0000582B0000}"/>
    <cellStyle name="Comma 2 5 3 3 15" xfId="38686" xr:uid="{00000000-0005-0000-0000-0000592B0000}"/>
    <cellStyle name="Comma 2 5 3 3 16" xfId="41726" xr:uid="{00000000-0005-0000-0000-00005A2B0000}"/>
    <cellStyle name="Comma 2 5 3 3 17" xfId="44907" xr:uid="{00000000-0005-0000-0000-00005B2B0000}"/>
    <cellStyle name="Comma 2 5 3 3 18" xfId="7345" xr:uid="{00000000-0005-0000-0000-00005C2B0000}"/>
    <cellStyle name="Comma 2 5 3 3 2" xfId="5885" xr:uid="{00000000-0005-0000-0000-00005D2B0000}"/>
    <cellStyle name="Comma 2 5 3 3 2 10" xfId="33804" xr:uid="{00000000-0005-0000-0000-00005E2B0000}"/>
    <cellStyle name="Comma 2 5 3 3 2 11" xfId="34334" xr:uid="{00000000-0005-0000-0000-00005F2B0000}"/>
    <cellStyle name="Comma 2 5 3 3 2 12" xfId="36503" xr:uid="{00000000-0005-0000-0000-0000602B0000}"/>
    <cellStyle name="Comma 2 5 3 3 2 13" xfId="39174" xr:uid="{00000000-0005-0000-0000-0000612B0000}"/>
    <cellStyle name="Comma 2 5 3 3 2 14" xfId="42182" xr:uid="{00000000-0005-0000-0000-0000622B0000}"/>
    <cellStyle name="Comma 2 5 3 3 2 15" xfId="44908" xr:uid="{00000000-0005-0000-0000-0000632B0000}"/>
    <cellStyle name="Comma 2 5 3 3 2 16" xfId="8604" xr:uid="{00000000-0005-0000-0000-0000642B0000}"/>
    <cellStyle name="Comma 2 5 3 3 2 2" xfId="8835" xr:uid="{00000000-0005-0000-0000-0000652B0000}"/>
    <cellStyle name="Comma 2 5 3 3 2 2 10" xfId="34502" xr:uid="{00000000-0005-0000-0000-0000662B0000}"/>
    <cellStyle name="Comma 2 5 3 3 2 2 11" xfId="36670" xr:uid="{00000000-0005-0000-0000-0000672B0000}"/>
    <cellStyle name="Comma 2 5 3 3 2 2 12" xfId="40747" xr:uid="{00000000-0005-0000-0000-0000682B0000}"/>
    <cellStyle name="Comma 2 5 3 3 2 2 13" xfId="43510" xr:uid="{00000000-0005-0000-0000-0000692B0000}"/>
    <cellStyle name="Comma 2 5 3 3 2 2 14" xfId="44909" xr:uid="{00000000-0005-0000-0000-00006A2B0000}"/>
    <cellStyle name="Comma 2 5 3 3 2 2 2" xfId="12834" xr:uid="{00000000-0005-0000-0000-00006B2B0000}"/>
    <cellStyle name="Comma 2 5 3 3 2 2 2 2" xfId="31416" xr:uid="{00000000-0005-0000-0000-00006C2B0000}"/>
    <cellStyle name="Comma 2 5 3 3 2 2 2 3" xfId="33270" xr:uid="{00000000-0005-0000-0000-00006D2B0000}"/>
    <cellStyle name="Comma 2 5 3 3 2 2 2 4" xfId="35093" xr:uid="{00000000-0005-0000-0000-00006E2B0000}"/>
    <cellStyle name="Comma 2 5 3 3 2 2 2 5" xfId="37191" xr:uid="{00000000-0005-0000-0000-00006F2B0000}"/>
    <cellStyle name="Comma 2 5 3 3 2 2 3" xfId="12051" xr:uid="{00000000-0005-0000-0000-0000702B0000}"/>
    <cellStyle name="Comma 2 5 3 3 2 2 4" xfId="15630" xr:uid="{00000000-0005-0000-0000-0000712B0000}"/>
    <cellStyle name="Comma 2 5 3 3 2 2 5" xfId="30128" xr:uid="{00000000-0005-0000-0000-0000722B0000}"/>
    <cellStyle name="Comma 2 5 3 3 2 2 6" xfId="30825" xr:uid="{00000000-0005-0000-0000-0000732B0000}"/>
    <cellStyle name="Comma 2 5 3 3 2 2 7" xfId="31951" xr:uid="{00000000-0005-0000-0000-0000742B0000}"/>
    <cellStyle name="Comma 2 5 3 3 2 2 8" xfId="32593" xr:uid="{00000000-0005-0000-0000-0000752B0000}"/>
    <cellStyle name="Comma 2 5 3 3 2 2 9" xfId="33805" xr:uid="{00000000-0005-0000-0000-0000762B0000}"/>
    <cellStyle name="Comma 2 5 3 3 2 3" xfId="12610" xr:uid="{00000000-0005-0000-0000-0000772B0000}"/>
    <cellStyle name="Comma 2 5 3 3 2 3 2" xfId="31248" xr:uid="{00000000-0005-0000-0000-0000782B0000}"/>
    <cellStyle name="Comma 2 5 3 3 2 3 3" xfId="33102" xr:uid="{00000000-0005-0000-0000-0000792B0000}"/>
    <cellStyle name="Comma 2 5 3 3 2 3 4" xfId="34925" xr:uid="{00000000-0005-0000-0000-00007A2B0000}"/>
    <cellStyle name="Comma 2 5 3 3 2 3 5" xfId="37023" xr:uid="{00000000-0005-0000-0000-00007B2B0000}"/>
    <cellStyle name="Comma 2 5 3 3 2 4" xfId="11883" xr:uid="{00000000-0005-0000-0000-00007C2B0000}"/>
    <cellStyle name="Comma 2 5 3 3 2 5" xfId="15629" xr:uid="{00000000-0005-0000-0000-00007D2B0000}"/>
    <cellStyle name="Comma 2 5 3 3 2 6" xfId="30127" xr:uid="{00000000-0005-0000-0000-00007E2B0000}"/>
    <cellStyle name="Comma 2 5 3 3 2 7" xfId="30657" xr:uid="{00000000-0005-0000-0000-00007F2B0000}"/>
    <cellStyle name="Comma 2 5 3 3 2 8" xfId="31950" xr:uid="{00000000-0005-0000-0000-0000802B0000}"/>
    <cellStyle name="Comma 2 5 3 3 2 9" xfId="32592" xr:uid="{00000000-0005-0000-0000-0000812B0000}"/>
    <cellStyle name="Comma 2 5 3 3 3" xfId="8834" xr:uid="{00000000-0005-0000-0000-0000822B0000}"/>
    <cellStyle name="Comma 2 5 3 3 3 10" xfId="34501" xr:uid="{00000000-0005-0000-0000-0000832B0000}"/>
    <cellStyle name="Comma 2 5 3 3 3 11" xfId="36669" xr:uid="{00000000-0005-0000-0000-0000842B0000}"/>
    <cellStyle name="Comma 2 5 3 3 3 12" xfId="39484" xr:uid="{00000000-0005-0000-0000-0000852B0000}"/>
    <cellStyle name="Comma 2 5 3 3 3 13" xfId="42444" xr:uid="{00000000-0005-0000-0000-0000862B0000}"/>
    <cellStyle name="Comma 2 5 3 3 3 14" xfId="44910" xr:uid="{00000000-0005-0000-0000-0000872B0000}"/>
    <cellStyle name="Comma 2 5 3 3 3 2" xfId="12833" xr:uid="{00000000-0005-0000-0000-0000882B0000}"/>
    <cellStyle name="Comma 2 5 3 3 3 2 2" xfId="31415" xr:uid="{00000000-0005-0000-0000-0000892B0000}"/>
    <cellStyle name="Comma 2 5 3 3 3 2 3" xfId="33269" xr:uid="{00000000-0005-0000-0000-00008A2B0000}"/>
    <cellStyle name="Comma 2 5 3 3 3 2 4" xfId="35092" xr:uid="{00000000-0005-0000-0000-00008B2B0000}"/>
    <cellStyle name="Comma 2 5 3 3 3 2 5" xfId="37190" xr:uid="{00000000-0005-0000-0000-00008C2B0000}"/>
    <cellStyle name="Comma 2 5 3 3 3 2 6" xfId="41060" xr:uid="{00000000-0005-0000-0000-00008D2B0000}"/>
    <cellStyle name="Comma 2 5 3 3 3 2 7" xfId="43772" xr:uid="{00000000-0005-0000-0000-00008E2B0000}"/>
    <cellStyle name="Comma 2 5 3 3 3 2 8" xfId="44911" xr:uid="{00000000-0005-0000-0000-00008F2B0000}"/>
    <cellStyle name="Comma 2 5 3 3 3 3" xfId="12050" xr:uid="{00000000-0005-0000-0000-0000902B0000}"/>
    <cellStyle name="Comma 2 5 3 3 3 4" xfId="15631" xr:uid="{00000000-0005-0000-0000-0000912B0000}"/>
    <cellStyle name="Comma 2 5 3 3 3 5" xfId="30129" xr:uid="{00000000-0005-0000-0000-0000922B0000}"/>
    <cellStyle name="Comma 2 5 3 3 3 6" xfId="30824" xr:uid="{00000000-0005-0000-0000-0000932B0000}"/>
    <cellStyle name="Comma 2 5 3 3 3 7" xfId="31952" xr:uid="{00000000-0005-0000-0000-0000942B0000}"/>
    <cellStyle name="Comma 2 5 3 3 3 8" xfId="32594" xr:uid="{00000000-0005-0000-0000-0000952B0000}"/>
    <cellStyle name="Comma 2 5 3 3 3 9" xfId="33806" xr:uid="{00000000-0005-0000-0000-0000962B0000}"/>
    <cellStyle name="Comma 2 5 3 3 4" xfId="12324" xr:uid="{00000000-0005-0000-0000-0000972B0000}"/>
    <cellStyle name="Comma 2 5 3 3 4 2" xfId="31096" xr:uid="{00000000-0005-0000-0000-0000982B0000}"/>
    <cellStyle name="Comma 2 5 3 3 4 3" xfId="32958" xr:uid="{00000000-0005-0000-0000-0000992B0000}"/>
    <cellStyle name="Comma 2 5 3 3 4 4" xfId="34773" xr:uid="{00000000-0005-0000-0000-00009A2B0000}"/>
    <cellStyle name="Comma 2 5 3 3 4 5" xfId="36879" xr:uid="{00000000-0005-0000-0000-00009B2B0000}"/>
    <cellStyle name="Comma 2 5 3 3 4 6" xfId="40205" xr:uid="{00000000-0005-0000-0000-00009C2B0000}"/>
    <cellStyle name="Comma 2 5 3 3 4 7" xfId="43054" xr:uid="{00000000-0005-0000-0000-00009D2B0000}"/>
    <cellStyle name="Comma 2 5 3 3 4 8" xfId="44912" xr:uid="{00000000-0005-0000-0000-00009E2B0000}"/>
    <cellStyle name="Comma 2 5 3 3 5" xfId="11731" xr:uid="{00000000-0005-0000-0000-00009F2B0000}"/>
    <cellStyle name="Comma 2 5 3 3 6" xfId="15628" xr:uid="{00000000-0005-0000-0000-0000A02B0000}"/>
    <cellStyle name="Comma 2 5 3 3 7" xfId="30126" xr:uid="{00000000-0005-0000-0000-0000A12B0000}"/>
    <cellStyle name="Comma 2 5 3 3 8" xfId="30505" xr:uid="{00000000-0005-0000-0000-0000A22B0000}"/>
    <cellStyle name="Comma 2 5 3 3 9" xfId="31949" xr:uid="{00000000-0005-0000-0000-0000A32B0000}"/>
    <cellStyle name="Comma 2 5 3 4" xfId="5747" xr:uid="{00000000-0005-0000-0000-0000A42B0000}"/>
    <cellStyle name="Comma 2 5 3 4 10" xfId="33807" xr:uid="{00000000-0005-0000-0000-0000A52B0000}"/>
    <cellStyle name="Comma 2 5 3 4 11" xfId="34271" xr:uid="{00000000-0005-0000-0000-0000A62B0000}"/>
    <cellStyle name="Comma 2 5 3 4 12" xfId="36469" xr:uid="{00000000-0005-0000-0000-0000A72B0000}"/>
    <cellStyle name="Comma 2 5 3 4 13" xfId="38114" xr:uid="{00000000-0005-0000-0000-0000A82B0000}"/>
    <cellStyle name="Comma 2 5 3 4 14" xfId="41611" xr:uid="{00000000-0005-0000-0000-0000A92B0000}"/>
    <cellStyle name="Comma 2 5 3 4 15" xfId="44913" xr:uid="{00000000-0005-0000-0000-0000AA2B0000}"/>
    <cellStyle name="Comma 2 5 3 4 16" xfId="8434" xr:uid="{00000000-0005-0000-0000-0000AB2B0000}"/>
    <cellStyle name="Comma 2 5 3 4 2" xfId="8836" xr:uid="{00000000-0005-0000-0000-0000AC2B0000}"/>
    <cellStyle name="Comma 2 5 3 4 2 10" xfId="34503" xr:uid="{00000000-0005-0000-0000-0000AD2B0000}"/>
    <cellStyle name="Comma 2 5 3 4 2 11" xfId="36671" xr:uid="{00000000-0005-0000-0000-0000AE2B0000}"/>
    <cellStyle name="Comma 2 5 3 4 2 12" xfId="40070" xr:uid="{00000000-0005-0000-0000-0000AF2B0000}"/>
    <cellStyle name="Comma 2 5 3 4 2 13" xfId="42939" xr:uid="{00000000-0005-0000-0000-0000B02B0000}"/>
    <cellStyle name="Comma 2 5 3 4 2 14" xfId="44914" xr:uid="{00000000-0005-0000-0000-0000B12B0000}"/>
    <cellStyle name="Comma 2 5 3 4 2 2" xfId="12835" xr:uid="{00000000-0005-0000-0000-0000B22B0000}"/>
    <cellStyle name="Comma 2 5 3 4 2 2 2" xfId="31417" xr:uid="{00000000-0005-0000-0000-0000B32B0000}"/>
    <cellStyle name="Comma 2 5 3 4 2 2 3" xfId="32239" xr:uid="{00000000-0005-0000-0000-0000B42B0000}"/>
    <cellStyle name="Comma 2 5 3 4 2 2 4" xfId="35094" xr:uid="{00000000-0005-0000-0000-0000B52B0000}"/>
    <cellStyle name="Comma 2 5 3 4 2 2 5" xfId="37192" xr:uid="{00000000-0005-0000-0000-0000B62B0000}"/>
    <cellStyle name="Comma 2 5 3 4 2 3" xfId="12052" xr:uid="{00000000-0005-0000-0000-0000B72B0000}"/>
    <cellStyle name="Comma 2 5 3 4 2 4" xfId="15633" xr:uid="{00000000-0005-0000-0000-0000B82B0000}"/>
    <cellStyle name="Comma 2 5 3 4 2 5" xfId="30131" xr:uid="{00000000-0005-0000-0000-0000B92B0000}"/>
    <cellStyle name="Comma 2 5 3 4 2 6" xfId="30826" xr:uid="{00000000-0005-0000-0000-0000BA2B0000}"/>
    <cellStyle name="Comma 2 5 3 4 2 7" xfId="31954" xr:uid="{00000000-0005-0000-0000-0000BB2B0000}"/>
    <cellStyle name="Comma 2 5 3 4 2 8" xfId="32596" xr:uid="{00000000-0005-0000-0000-0000BC2B0000}"/>
    <cellStyle name="Comma 2 5 3 4 2 9" xfId="33808" xr:uid="{00000000-0005-0000-0000-0000BD2B0000}"/>
    <cellStyle name="Comma 2 5 3 4 3" xfId="12542" xr:uid="{00000000-0005-0000-0000-0000BE2B0000}"/>
    <cellStyle name="Comma 2 5 3 4 3 2" xfId="31185" xr:uid="{00000000-0005-0000-0000-0000BF2B0000}"/>
    <cellStyle name="Comma 2 5 3 4 3 3" xfId="33043" xr:uid="{00000000-0005-0000-0000-0000C02B0000}"/>
    <cellStyle name="Comma 2 5 3 4 3 4" xfId="34862" xr:uid="{00000000-0005-0000-0000-0000C12B0000}"/>
    <cellStyle name="Comma 2 5 3 4 3 5" xfId="36964" xr:uid="{00000000-0005-0000-0000-0000C22B0000}"/>
    <cellStyle name="Comma 2 5 3 4 4" xfId="11820" xr:uid="{00000000-0005-0000-0000-0000C32B0000}"/>
    <cellStyle name="Comma 2 5 3 4 5" xfId="15632" xr:uid="{00000000-0005-0000-0000-0000C42B0000}"/>
    <cellStyle name="Comma 2 5 3 4 6" xfId="30130" xr:uid="{00000000-0005-0000-0000-0000C52B0000}"/>
    <cellStyle name="Comma 2 5 3 4 7" xfId="30594" xr:uid="{00000000-0005-0000-0000-0000C62B0000}"/>
    <cellStyle name="Comma 2 5 3 4 8" xfId="31953" xr:uid="{00000000-0005-0000-0000-0000C72B0000}"/>
    <cellStyle name="Comma 2 5 3 4 9" xfId="32595" xr:uid="{00000000-0005-0000-0000-0000C82B0000}"/>
    <cellStyle name="Comma 2 5 3 5" xfId="6206" xr:uid="{00000000-0005-0000-0000-0000C92B0000}"/>
    <cellStyle name="Comma 2 5 3 5 10" xfId="33809" xr:uid="{00000000-0005-0000-0000-0000CA2B0000}"/>
    <cellStyle name="Comma 2 5 3 5 11" xfId="34211" xr:uid="{00000000-0005-0000-0000-0000CB2B0000}"/>
    <cellStyle name="Comma 2 5 3 5 12" xfId="36438" xr:uid="{00000000-0005-0000-0000-0000CC2B0000}"/>
    <cellStyle name="Comma 2 5 3 5 13" xfId="38945" xr:uid="{00000000-0005-0000-0000-0000CD2B0000}"/>
    <cellStyle name="Comma 2 5 3 5 14" xfId="41976" xr:uid="{00000000-0005-0000-0000-0000CE2B0000}"/>
    <cellStyle name="Comma 2 5 3 5 15" xfId="44915" xr:uid="{00000000-0005-0000-0000-0000CF2B0000}"/>
    <cellStyle name="Comma 2 5 3 5 16" xfId="8102" xr:uid="{00000000-0005-0000-0000-0000D02B0000}"/>
    <cellStyle name="Comma 2 5 3 5 2" xfId="8837" xr:uid="{00000000-0005-0000-0000-0000D12B0000}"/>
    <cellStyle name="Comma 2 5 3 5 2 10" xfId="34504" xr:uid="{00000000-0005-0000-0000-0000D22B0000}"/>
    <cellStyle name="Comma 2 5 3 5 2 11" xfId="36672" xr:uid="{00000000-0005-0000-0000-0000D32B0000}"/>
    <cellStyle name="Comma 2 5 3 5 2 12" xfId="40503" xr:uid="{00000000-0005-0000-0000-0000D42B0000}"/>
    <cellStyle name="Comma 2 5 3 5 2 13" xfId="43304" xr:uid="{00000000-0005-0000-0000-0000D52B0000}"/>
    <cellStyle name="Comma 2 5 3 5 2 14" xfId="44916" xr:uid="{00000000-0005-0000-0000-0000D62B0000}"/>
    <cellStyle name="Comma 2 5 3 5 2 2" xfId="12836" xr:uid="{00000000-0005-0000-0000-0000D72B0000}"/>
    <cellStyle name="Comma 2 5 3 5 2 2 2" xfId="31418" xr:uid="{00000000-0005-0000-0000-0000D82B0000}"/>
    <cellStyle name="Comma 2 5 3 5 2 2 3" xfId="33271" xr:uid="{00000000-0005-0000-0000-0000D92B0000}"/>
    <cellStyle name="Comma 2 5 3 5 2 2 4" xfId="35095" xr:uid="{00000000-0005-0000-0000-0000DA2B0000}"/>
    <cellStyle name="Comma 2 5 3 5 2 2 5" xfId="37193" xr:uid="{00000000-0005-0000-0000-0000DB2B0000}"/>
    <cellStyle name="Comma 2 5 3 5 2 3" xfId="12053" xr:uid="{00000000-0005-0000-0000-0000DC2B0000}"/>
    <cellStyle name="Comma 2 5 3 5 2 4" xfId="15635" xr:uid="{00000000-0005-0000-0000-0000DD2B0000}"/>
    <cellStyle name="Comma 2 5 3 5 2 5" xfId="30133" xr:uid="{00000000-0005-0000-0000-0000DE2B0000}"/>
    <cellStyle name="Comma 2 5 3 5 2 6" xfId="30827" xr:uid="{00000000-0005-0000-0000-0000DF2B0000}"/>
    <cellStyle name="Comma 2 5 3 5 2 7" xfId="31956" xr:uid="{00000000-0005-0000-0000-0000E02B0000}"/>
    <cellStyle name="Comma 2 5 3 5 2 8" xfId="32598" xr:uid="{00000000-0005-0000-0000-0000E12B0000}"/>
    <cellStyle name="Comma 2 5 3 5 2 9" xfId="33810" xr:uid="{00000000-0005-0000-0000-0000E22B0000}"/>
    <cellStyle name="Comma 2 5 3 5 3" xfId="12414" xr:uid="{00000000-0005-0000-0000-0000E32B0000}"/>
    <cellStyle name="Comma 2 5 3 5 3 2" xfId="31125" xr:uid="{00000000-0005-0000-0000-0000E42B0000}"/>
    <cellStyle name="Comma 2 5 3 5 3 3" xfId="32987" xr:uid="{00000000-0005-0000-0000-0000E52B0000}"/>
    <cellStyle name="Comma 2 5 3 5 3 4" xfId="34802" xr:uid="{00000000-0005-0000-0000-0000E62B0000}"/>
    <cellStyle name="Comma 2 5 3 5 3 5" xfId="36908" xr:uid="{00000000-0005-0000-0000-0000E72B0000}"/>
    <cellStyle name="Comma 2 5 3 5 4" xfId="11760" xr:uid="{00000000-0005-0000-0000-0000E82B0000}"/>
    <cellStyle name="Comma 2 5 3 5 5" xfId="15634" xr:uid="{00000000-0005-0000-0000-0000E92B0000}"/>
    <cellStyle name="Comma 2 5 3 5 6" xfId="30132" xr:uid="{00000000-0005-0000-0000-0000EA2B0000}"/>
    <cellStyle name="Comma 2 5 3 5 7" xfId="30534" xr:uid="{00000000-0005-0000-0000-0000EB2B0000}"/>
    <cellStyle name="Comma 2 5 3 5 8" xfId="31955" xr:uid="{00000000-0005-0000-0000-0000EC2B0000}"/>
    <cellStyle name="Comma 2 5 3 5 9" xfId="32597" xr:uid="{00000000-0005-0000-0000-0000ED2B0000}"/>
    <cellStyle name="Comma 2 5 3 6" xfId="8831" xr:uid="{00000000-0005-0000-0000-0000EE2B0000}"/>
    <cellStyle name="Comma 2 5 3 6 10" xfId="34498" xr:uid="{00000000-0005-0000-0000-0000EF2B0000}"/>
    <cellStyle name="Comma 2 5 3 6 11" xfId="36666" xr:uid="{00000000-0005-0000-0000-0000F02B0000}"/>
    <cellStyle name="Comma 2 5 3 6 12" xfId="39351" xr:uid="{00000000-0005-0000-0000-0000F12B0000}"/>
    <cellStyle name="Comma 2 5 3 6 13" xfId="42329" xr:uid="{00000000-0005-0000-0000-0000F22B0000}"/>
    <cellStyle name="Comma 2 5 3 6 14" xfId="44917" xr:uid="{00000000-0005-0000-0000-0000F32B0000}"/>
    <cellStyle name="Comma 2 5 3 6 2" xfId="12830" xr:uid="{00000000-0005-0000-0000-0000F42B0000}"/>
    <cellStyle name="Comma 2 5 3 6 2 2" xfId="31412" xr:uid="{00000000-0005-0000-0000-0000F52B0000}"/>
    <cellStyle name="Comma 2 5 3 6 2 3" xfId="33266" xr:uid="{00000000-0005-0000-0000-0000F62B0000}"/>
    <cellStyle name="Comma 2 5 3 6 2 4" xfId="35089" xr:uid="{00000000-0005-0000-0000-0000F72B0000}"/>
    <cellStyle name="Comma 2 5 3 6 2 5" xfId="37187" xr:uid="{00000000-0005-0000-0000-0000F82B0000}"/>
    <cellStyle name="Comma 2 5 3 6 2 6" xfId="40922" xr:uid="{00000000-0005-0000-0000-0000F92B0000}"/>
    <cellStyle name="Comma 2 5 3 6 2 7" xfId="43657" xr:uid="{00000000-0005-0000-0000-0000FA2B0000}"/>
    <cellStyle name="Comma 2 5 3 6 2 8" xfId="44918" xr:uid="{00000000-0005-0000-0000-0000FB2B0000}"/>
    <cellStyle name="Comma 2 5 3 6 3" xfId="12047" xr:uid="{00000000-0005-0000-0000-0000FC2B0000}"/>
    <cellStyle name="Comma 2 5 3 6 4" xfId="15636" xr:uid="{00000000-0005-0000-0000-0000FD2B0000}"/>
    <cellStyle name="Comma 2 5 3 6 5" xfId="30134" xr:uid="{00000000-0005-0000-0000-0000FE2B0000}"/>
    <cellStyle name="Comma 2 5 3 6 6" xfId="30821" xr:uid="{00000000-0005-0000-0000-0000FF2B0000}"/>
    <cellStyle name="Comma 2 5 3 6 7" xfId="31957" xr:uid="{00000000-0005-0000-0000-0000002C0000}"/>
    <cellStyle name="Comma 2 5 3 6 8" xfId="32599" xr:uid="{00000000-0005-0000-0000-0000012C0000}"/>
    <cellStyle name="Comma 2 5 3 6 9" xfId="33811" xr:uid="{00000000-0005-0000-0000-0000022C0000}"/>
    <cellStyle name="Comma 2 5 3 7" xfId="11525" xr:uid="{00000000-0005-0000-0000-0000032C0000}"/>
    <cellStyle name="Comma 2 5 3 7 10" xfId="34639" xr:uid="{00000000-0005-0000-0000-0000042C0000}"/>
    <cellStyle name="Comma 2 5 3 7 11" xfId="36767" xr:uid="{00000000-0005-0000-0000-0000052C0000}"/>
    <cellStyle name="Comma 2 5 3 7 12" xfId="39810" xr:uid="{00000000-0005-0000-0000-0000062C0000}"/>
    <cellStyle name="Comma 2 5 3 7 13" xfId="42718" xr:uid="{00000000-0005-0000-0000-0000072C0000}"/>
    <cellStyle name="Comma 2 5 3 7 14" xfId="44919" xr:uid="{00000000-0005-0000-0000-0000082C0000}"/>
    <cellStyle name="Comma 2 5 3 7 2" xfId="15146" xr:uid="{00000000-0005-0000-0000-0000092C0000}"/>
    <cellStyle name="Comma 2 5 3 7 2 2" xfId="31553" xr:uid="{00000000-0005-0000-0000-00000A2C0000}"/>
    <cellStyle name="Comma 2 5 3 7 2 3" xfId="33406" xr:uid="{00000000-0005-0000-0000-00000B2C0000}"/>
    <cellStyle name="Comma 2 5 3 7 2 4" xfId="35230" xr:uid="{00000000-0005-0000-0000-00000C2C0000}"/>
    <cellStyle name="Comma 2 5 3 7 2 5" xfId="37310" xr:uid="{00000000-0005-0000-0000-00000D2C0000}"/>
    <cellStyle name="Comma 2 5 3 7 3" xfId="12188" xr:uid="{00000000-0005-0000-0000-00000E2C0000}"/>
    <cellStyle name="Comma 2 5 3 7 4" xfId="15637" xr:uid="{00000000-0005-0000-0000-00000F2C0000}"/>
    <cellStyle name="Comma 2 5 3 7 5" xfId="30135" xr:uid="{00000000-0005-0000-0000-0000102C0000}"/>
    <cellStyle name="Comma 2 5 3 7 6" xfId="30962" xr:uid="{00000000-0005-0000-0000-0000112C0000}"/>
    <cellStyle name="Comma 2 5 3 7 7" xfId="31958" xr:uid="{00000000-0005-0000-0000-0000122C0000}"/>
    <cellStyle name="Comma 2 5 3 7 8" xfId="32600" xr:uid="{00000000-0005-0000-0000-0000132C0000}"/>
    <cellStyle name="Comma 2 5 3 7 9" xfId="33812" xr:uid="{00000000-0005-0000-0000-0000142C0000}"/>
    <cellStyle name="Comma 2 5 3 8" xfId="12261" xr:uid="{00000000-0005-0000-0000-0000152C0000}"/>
    <cellStyle name="Comma 2 5 3 8 2" xfId="31034" xr:uid="{00000000-0005-0000-0000-0000162C0000}"/>
    <cellStyle name="Comma 2 5 3 8 3" xfId="32904" xr:uid="{00000000-0005-0000-0000-0000172C0000}"/>
    <cellStyle name="Comma 2 5 3 8 4" xfId="34711" xr:uid="{00000000-0005-0000-0000-0000182C0000}"/>
    <cellStyle name="Comma 2 5 3 8 5" xfId="36819" xr:uid="{00000000-0005-0000-0000-0000192C0000}"/>
    <cellStyle name="Comma 2 5 3 9" xfId="11667" xr:uid="{00000000-0005-0000-0000-00001A2C0000}"/>
    <cellStyle name="Comma 2 5 4" xfId="2783" xr:uid="{00000000-0005-0000-0000-00001B2C0000}"/>
    <cellStyle name="Comma 2 5 4 10" xfId="30136" xr:uid="{00000000-0005-0000-0000-00001C2C0000}"/>
    <cellStyle name="Comma 2 5 4 11" xfId="30479" xr:uid="{00000000-0005-0000-0000-00001D2C0000}"/>
    <cellStyle name="Comma 2 5 4 12" xfId="31959" xr:uid="{00000000-0005-0000-0000-00001E2C0000}"/>
    <cellStyle name="Comma 2 5 4 13" xfId="32601" xr:uid="{00000000-0005-0000-0000-00001F2C0000}"/>
    <cellStyle name="Comma 2 5 4 14" xfId="33813" xr:uid="{00000000-0005-0000-0000-0000202C0000}"/>
    <cellStyle name="Comma 2 5 4 15" xfId="34156" xr:uid="{00000000-0005-0000-0000-0000212C0000}"/>
    <cellStyle name="Comma 2 5 4 16" xfId="35345" xr:uid="{00000000-0005-0000-0000-0000222C0000}"/>
    <cellStyle name="Comma 2 5 4 17" xfId="36208" xr:uid="{00000000-0005-0000-0000-0000232C0000}"/>
    <cellStyle name="Comma 2 5 4 18" xfId="37444" xr:uid="{00000000-0005-0000-0000-0000242C0000}"/>
    <cellStyle name="Comma 2 5 4 19" xfId="41391" xr:uid="{00000000-0005-0000-0000-0000252C0000}"/>
    <cellStyle name="Comma 2 5 4 2" xfId="5094" xr:uid="{00000000-0005-0000-0000-0000262C0000}"/>
    <cellStyle name="Comma 2 5 4 2 10" xfId="32602" xr:uid="{00000000-0005-0000-0000-0000272C0000}"/>
    <cellStyle name="Comma 2 5 4 2 11" xfId="33814" xr:uid="{00000000-0005-0000-0000-0000282C0000}"/>
    <cellStyle name="Comma 2 5 4 2 12" xfId="34183" xr:uid="{00000000-0005-0000-0000-0000292C0000}"/>
    <cellStyle name="Comma 2 5 4 2 13" xfId="36049" xr:uid="{00000000-0005-0000-0000-00002A2C0000}"/>
    <cellStyle name="Comma 2 5 4 2 14" xfId="36349" xr:uid="{00000000-0005-0000-0000-00002B2C0000}"/>
    <cellStyle name="Comma 2 5 4 2 15" xfId="37518" xr:uid="{00000000-0005-0000-0000-00002C2C0000}"/>
    <cellStyle name="Comma 2 5 4 2 16" xfId="41464" xr:uid="{00000000-0005-0000-0000-00002D2C0000}"/>
    <cellStyle name="Comma 2 5 4 2 17" xfId="44920" xr:uid="{00000000-0005-0000-0000-00002E2C0000}"/>
    <cellStyle name="Comma 2 5 4 2 18" xfId="7346" xr:uid="{00000000-0005-0000-0000-00002F2C0000}"/>
    <cellStyle name="Comma 2 5 4 2 2" xfId="6063" xr:uid="{00000000-0005-0000-0000-0000302C0000}"/>
    <cellStyle name="Comma 2 5 4 2 2 10" xfId="33815" xr:uid="{00000000-0005-0000-0000-0000312C0000}"/>
    <cellStyle name="Comma 2 5 4 2 2 11" xfId="34335" xr:uid="{00000000-0005-0000-0000-0000322C0000}"/>
    <cellStyle name="Comma 2 5 4 2 2 12" xfId="36504" xr:uid="{00000000-0005-0000-0000-0000332C0000}"/>
    <cellStyle name="Comma 2 5 4 2 2 13" xfId="38828" xr:uid="{00000000-0005-0000-0000-0000342C0000}"/>
    <cellStyle name="Comma 2 5 4 2 2 14" xfId="41867" xr:uid="{00000000-0005-0000-0000-0000352C0000}"/>
    <cellStyle name="Comma 2 5 4 2 2 15" xfId="44921" xr:uid="{00000000-0005-0000-0000-0000362C0000}"/>
    <cellStyle name="Comma 2 5 4 2 2 16" xfId="8605" xr:uid="{00000000-0005-0000-0000-0000372C0000}"/>
    <cellStyle name="Comma 2 5 4 2 2 2" xfId="8840" xr:uid="{00000000-0005-0000-0000-0000382C0000}"/>
    <cellStyle name="Comma 2 5 4 2 2 2 10" xfId="34507" xr:uid="{00000000-0005-0000-0000-0000392C0000}"/>
    <cellStyle name="Comma 2 5 4 2 2 2 11" xfId="36675" xr:uid="{00000000-0005-0000-0000-00003A2C0000}"/>
    <cellStyle name="Comma 2 5 4 2 2 2 12" xfId="40377" xr:uid="{00000000-0005-0000-0000-00003B2C0000}"/>
    <cellStyle name="Comma 2 5 4 2 2 2 13" xfId="43195" xr:uid="{00000000-0005-0000-0000-00003C2C0000}"/>
    <cellStyle name="Comma 2 5 4 2 2 2 14" xfId="44922" xr:uid="{00000000-0005-0000-0000-00003D2C0000}"/>
    <cellStyle name="Comma 2 5 4 2 2 2 2" xfId="12839" xr:uid="{00000000-0005-0000-0000-00003E2C0000}"/>
    <cellStyle name="Comma 2 5 4 2 2 2 2 2" xfId="31421" xr:uid="{00000000-0005-0000-0000-00003F2C0000}"/>
    <cellStyle name="Comma 2 5 4 2 2 2 2 3" xfId="33274" xr:uid="{00000000-0005-0000-0000-0000402C0000}"/>
    <cellStyle name="Comma 2 5 4 2 2 2 2 4" xfId="35098" xr:uid="{00000000-0005-0000-0000-0000412C0000}"/>
    <cellStyle name="Comma 2 5 4 2 2 2 2 5" xfId="37196" xr:uid="{00000000-0005-0000-0000-0000422C0000}"/>
    <cellStyle name="Comma 2 5 4 2 2 2 3" xfId="12056" xr:uid="{00000000-0005-0000-0000-0000432C0000}"/>
    <cellStyle name="Comma 2 5 4 2 2 2 4" xfId="15641" xr:uid="{00000000-0005-0000-0000-0000442C0000}"/>
    <cellStyle name="Comma 2 5 4 2 2 2 5" xfId="30139" xr:uid="{00000000-0005-0000-0000-0000452C0000}"/>
    <cellStyle name="Comma 2 5 4 2 2 2 6" xfId="30830" xr:uid="{00000000-0005-0000-0000-0000462C0000}"/>
    <cellStyle name="Comma 2 5 4 2 2 2 7" xfId="31962" xr:uid="{00000000-0005-0000-0000-0000472C0000}"/>
    <cellStyle name="Comma 2 5 4 2 2 2 8" xfId="32604" xr:uid="{00000000-0005-0000-0000-0000482C0000}"/>
    <cellStyle name="Comma 2 5 4 2 2 2 9" xfId="33816" xr:uid="{00000000-0005-0000-0000-0000492C0000}"/>
    <cellStyle name="Comma 2 5 4 2 2 3" xfId="12611" xr:uid="{00000000-0005-0000-0000-00004A2C0000}"/>
    <cellStyle name="Comma 2 5 4 2 2 3 2" xfId="31249" xr:uid="{00000000-0005-0000-0000-00004B2C0000}"/>
    <cellStyle name="Comma 2 5 4 2 2 3 3" xfId="33103" xr:uid="{00000000-0005-0000-0000-00004C2C0000}"/>
    <cellStyle name="Comma 2 5 4 2 2 3 4" xfId="34926" xr:uid="{00000000-0005-0000-0000-00004D2C0000}"/>
    <cellStyle name="Comma 2 5 4 2 2 3 5" xfId="37024" xr:uid="{00000000-0005-0000-0000-00004E2C0000}"/>
    <cellStyle name="Comma 2 5 4 2 2 4" xfId="11884" xr:uid="{00000000-0005-0000-0000-00004F2C0000}"/>
    <cellStyle name="Comma 2 5 4 2 2 5" xfId="15640" xr:uid="{00000000-0005-0000-0000-0000502C0000}"/>
    <cellStyle name="Comma 2 5 4 2 2 6" xfId="30138" xr:uid="{00000000-0005-0000-0000-0000512C0000}"/>
    <cellStyle name="Comma 2 5 4 2 2 7" xfId="30658" xr:uid="{00000000-0005-0000-0000-0000522C0000}"/>
    <cellStyle name="Comma 2 5 4 2 2 8" xfId="31961" xr:uid="{00000000-0005-0000-0000-0000532C0000}"/>
    <cellStyle name="Comma 2 5 4 2 2 9" xfId="32603" xr:uid="{00000000-0005-0000-0000-0000542C0000}"/>
    <cellStyle name="Comma 2 5 4 2 3" xfId="6383" xr:uid="{00000000-0005-0000-0000-0000552C0000}"/>
    <cellStyle name="Comma 2 5 4 2 3 10" xfId="34506" xr:uid="{00000000-0005-0000-0000-0000562C0000}"/>
    <cellStyle name="Comma 2 5 4 2 3 11" xfId="36674" xr:uid="{00000000-0005-0000-0000-0000572C0000}"/>
    <cellStyle name="Comma 2 5 4 2 3 12" xfId="39048" xr:uid="{00000000-0005-0000-0000-0000582C0000}"/>
    <cellStyle name="Comma 2 5 4 2 3 13" xfId="42074" xr:uid="{00000000-0005-0000-0000-0000592C0000}"/>
    <cellStyle name="Comma 2 5 4 2 3 14" xfId="44923" xr:uid="{00000000-0005-0000-0000-00005A2C0000}"/>
    <cellStyle name="Comma 2 5 4 2 3 15" xfId="8839" xr:uid="{00000000-0005-0000-0000-00005B2C0000}"/>
    <cellStyle name="Comma 2 5 4 2 3 2" xfId="12838" xr:uid="{00000000-0005-0000-0000-00005C2C0000}"/>
    <cellStyle name="Comma 2 5 4 2 3 2 2" xfId="31420" xr:uid="{00000000-0005-0000-0000-00005D2C0000}"/>
    <cellStyle name="Comma 2 5 4 2 3 2 3" xfId="33273" xr:uid="{00000000-0005-0000-0000-00005E2C0000}"/>
    <cellStyle name="Comma 2 5 4 2 3 2 4" xfId="35097" xr:uid="{00000000-0005-0000-0000-00005F2C0000}"/>
    <cellStyle name="Comma 2 5 4 2 3 2 5" xfId="37195" xr:uid="{00000000-0005-0000-0000-0000602C0000}"/>
    <cellStyle name="Comma 2 5 4 2 3 2 6" xfId="40616" xr:uid="{00000000-0005-0000-0000-0000612C0000}"/>
    <cellStyle name="Comma 2 5 4 2 3 2 7" xfId="43402" xr:uid="{00000000-0005-0000-0000-0000622C0000}"/>
    <cellStyle name="Comma 2 5 4 2 3 2 8" xfId="44924" xr:uid="{00000000-0005-0000-0000-0000632C0000}"/>
    <cellStyle name="Comma 2 5 4 2 3 3" xfId="12055" xr:uid="{00000000-0005-0000-0000-0000642C0000}"/>
    <cellStyle name="Comma 2 5 4 2 3 4" xfId="15642" xr:uid="{00000000-0005-0000-0000-0000652C0000}"/>
    <cellStyle name="Comma 2 5 4 2 3 5" xfId="30140" xr:uid="{00000000-0005-0000-0000-0000662C0000}"/>
    <cellStyle name="Comma 2 5 4 2 3 6" xfId="30829" xr:uid="{00000000-0005-0000-0000-0000672C0000}"/>
    <cellStyle name="Comma 2 5 4 2 3 7" xfId="31963" xr:uid="{00000000-0005-0000-0000-0000682C0000}"/>
    <cellStyle name="Comma 2 5 4 2 3 8" xfId="32605" xr:uid="{00000000-0005-0000-0000-0000692C0000}"/>
    <cellStyle name="Comma 2 5 4 2 3 9" xfId="33817" xr:uid="{00000000-0005-0000-0000-00006A2C0000}"/>
    <cellStyle name="Comma 2 5 4 2 4" xfId="12325" xr:uid="{00000000-0005-0000-0000-00006B2C0000}"/>
    <cellStyle name="Comma 2 5 4 2 4 2" xfId="31097" xr:uid="{00000000-0005-0000-0000-00006C2C0000}"/>
    <cellStyle name="Comma 2 5 4 2 4 2 2" xfId="41233" xr:uid="{00000000-0005-0000-0000-00006D2C0000}"/>
    <cellStyle name="Comma 2 5 4 2 4 2 3" xfId="43913" xr:uid="{00000000-0005-0000-0000-00006E2C0000}"/>
    <cellStyle name="Comma 2 5 4 2 4 2 4" xfId="44925" xr:uid="{00000000-0005-0000-0000-00006F2C0000}"/>
    <cellStyle name="Comma 2 5 4 2 4 3" xfId="32959" xr:uid="{00000000-0005-0000-0000-0000702C0000}"/>
    <cellStyle name="Comma 2 5 4 2 4 4" xfId="34774" xr:uid="{00000000-0005-0000-0000-0000712C0000}"/>
    <cellStyle name="Comma 2 5 4 2 4 5" xfId="36880" xr:uid="{00000000-0005-0000-0000-0000722C0000}"/>
    <cellStyle name="Comma 2 5 4 2 4 6" xfId="39650" xr:uid="{00000000-0005-0000-0000-0000732C0000}"/>
    <cellStyle name="Comma 2 5 4 2 4 7" xfId="42585" xr:uid="{00000000-0005-0000-0000-0000742C0000}"/>
    <cellStyle name="Comma 2 5 4 2 4 8" xfId="44926" xr:uid="{00000000-0005-0000-0000-0000752C0000}"/>
    <cellStyle name="Comma 2 5 4 2 5" xfId="11732" xr:uid="{00000000-0005-0000-0000-0000762C0000}"/>
    <cellStyle name="Comma 2 5 4 2 5 2" xfId="39893" xr:uid="{00000000-0005-0000-0000-0000772C0000}"/>
    <cellStyle name="Comma 2 5 4 2 5 3" xfId="42792" xr:uid="{00000000-0005-0000-0000-0000782C0000}"/>
    <cellStyle name="Comma 2 5 4 2 5 4" xfId="44927" xr:uid="{00000000-0005-0000-0000-0000792C0000}"/>
    <cellStyle name="Comma 2 5 4 2 6" xfId="15639" xr:uid="{00000000-0005-0000-0000-00007A2C0000}"/>
    <cellStyle name="Comma 2 5 4 2 7" xfId="30137" xr:uid="{00000000-0005-0000-0000-00007B2C0000}"/>
    <cellStyle name="Comma 2 5 4 2 8" xfId="30506" xr:uid="{00000000-0005-0000-0000-00007C2C0000}"/>
    <cellStyle name="Comma 2 5 4 2 9" xfId="31960" xr:uid="{00000000-0005-0000-0000-00007D2C0000}"/>
    <cellStyle name="Comma 2 5 4 20" xfId="44928" xr:uid="{00000000-0005-0000-0000-00007E2C0000}"/>
    <cellStyle name="Comma 2 5 4 21" xfId="6669" xr:uid="{00000000-0005-0000-0000-00007F2C0000}"/>
    <cellStyle name="Comma 2 5 4 3" xfId="4435" xr:uid="{00000000-0005-0000-0000-0000802C0000}"/>
    <cellStyle name="Comma 2 5 4 3 10" xfId="33818" xr:uid="{00000000-0005-0000-0000-0000812C0000}"/>
    <cellStyle name="Comma 2 5 4 3 11" xfId="34308" xr:uid="{00000000-0005-0000-0000-0000822C0000}"/>
    <cellStyle name="Comma 2 5 4 3 12" xfId="35618" xr:uid="{00000000-0005-0000-0000-0000832C0000}"/>
    <cellStyle name="Comma 2 5 4 3 13" xfId="36491" xr:uid="{00000000-0005-0000-0000-0000842C0000}"/>
    <cellStyle name="Comma 2 5 4 3 14" xfId="38687" xr:uid="{00000000-0005-0000-0000-0000852C0000}"/>
    <cellStyle name="Comma 2 5 4 3 15" xfId="41727" xr:uid="{00000000-0005-0000-0000-0000862C0000}"/>
    <cellStyle name="Comma 2 5 4 3 16" xfId="44929" xr:uid="{00000000-0005-0000-0000-0000872C0000}"/>
    <cellStyle name="Comma 2 5 4 3 17" xfId="8545" xr:uid="{00000000-0005-0000-0000-0000882C0000}"/>
    <cellStyle name="Comma 2 5 4 3 2" xfId="5886" xr:uid="{00000000-0005-0000-0000-0000892C0000}"/>
    <cellStyle name="Comma 2 5 4 3 2 10" xfId="34508" xr:uid="{00000000-0005-0000-0000-00008A2C0000}"/>
    <cellStyle name="Comma 2 5 4 3 2 11" xfId="36676" xr:uid="{00000000-0005-0000-0000-00008B2C0000}"/>
    <cellStyle name="Comma 2 5 4 3 2 12" xfId="39175" xr:uid="{00000000-0005-0000-0000-00008C2C0000}"/>
    <cellStyle name="Comma 2 5 4 3 2 13" xfId="42183" xr:uid="{00000000-0005-0000-0000-00008D2C0000}"/>
    <cellStyle name="Comma 2 5 4 3 2 14" xfId="44930" xr:uid="{00000000-0005-0000-0000-00008E2C0000}"/>
    <cellStyle name="Comma 2 5 4 3 2 15" xfId="8841" xr:uid="{00000000-0005-0000-0000-00008F2C0000}"/>
    <cellStyle name="Comma 2 5 4 3 2 2" xfId="12840" xr:uid="{00000000-0005-0000-0000-0000902C0000}"/>
    <cellStyle name="Comma 2 5 4 3 2 2 2" xfId="31422" xr:uid="{00000000-0005-0000-0000-0000912C0000}"/>
    <cellStyle name="Comma 2 5 4 3 2 2 3" xfId="33275" xr:uid="{00000000-0005-0000-0000-0000922C0000}"/>
    <cellStyle name="Comma 2 5 4 3 2 2 4" xfId="35099" xr:uid="{00000000-0005-0000-0000-0000932C0000}"/>
    <cellStyle name="Comma 2 5 4 3 2 2 5" xfId="37197" xr:uid="{00000000-0005-0000-0000-0000942C0000}"/>
    <cellStyle name="Comma 2 5 4 3 2 2 6" xfId="40748" xr:uid="{00000000-0005-0000-0000-0000952C0000}"/>
    <cellStyle name="Comma 2 5 4 3 2 2 7" xfId="43511" xr:uid="{00000000-0005-0000-0000-0000962C0000}"/>
    <cellStyle name="Comma 2 5 4 3 2 2 8" xfId="44931" xr:uid="{00000000-0005-0000-0000-0000972C0000}"/>
    <cellStyle name="Comma 2 5 4 3 2 3" xfId="12057" xr:uid="{00000000-0005-0000-0000-0000982C0000}"/>
    <cellStyle name="Comma 2 5 4 3 2 4" xfId="15644" xr:uid="{00000000-0005-0000-0000-0000992C0000}"/>
    <cellStyle name="Comma 2 5 4 3 2 5" xfId="30142" xr:uid="{00000000-0005-0000-0000-00009A2C0000}"/>
    <cellStyle name="Comma 2 5 4 3 2 6" xfId="30831" xr:uid="{00000000-0005-0000-0000-00009B2C0000}"/>
    <cellStyle name="Comma 2 5 4 3 2 7" xfId="31965" xr:uid="{00000000-0005-0000-0000-00009C2C0000}"/>
    <cellStyle name="Comma 2 5 4 3 2 8" xfId="32607" xr:uid="{00000000-0005-0000-0000-00009D2C0000}"/>
    <cellStyle name="Comma 2 5 4 3 2 9" xfId="33819" xr:uid="{00000000-0005-0000-0000-00009E2C0000}"/>
    <cellStyle name="Comma 2 5 4 3 3" xfId="12580" xr:uid="{00000000-0005-0000-0000-00009F2C0000}"/>
    <cellStyle name="Comma 2 5 4 3 3 2" xfId="31222" xr:uid="{00000000-0005-0000-0000-0000A02C0000}"/>
    <cellStyle name="Comma 2 5 4 3 3 2 2" xfId="41061" xr:uid="{00000000-0005-0000-0000-0000A12C0000}"/>
    <cellStyle name="Comma 2 5 4 3 3 2 3" xfId="43773" xr:uid="{00000000-0005-0000-0000-0000A22C0000}"/>
    <cellStyle name="Comma 2 5 4 3 3 2 4" xfId="44932" xr:uid="{00000000-0005-0000-0000-0000A32C0000}"/>
    <cellStyle name="Comma 2 5 4 3 3 3" xfId="33078" xr:uid="{00000000-0005-0000-0000-0000A42C0000}"/>
    <cellStyle name="Comma 2 5 4 3 3 4" xfId="34899" xr:uid="{00000000-0005-0000-0000-0000A52C0000}"/>
    <cellStyle name="Comma 2 5 4 3 3 5" xfId="36999" xr:uid="{00000000-0005-0000-0000-0000A62C0000}"/>
    <cellStyle name="Comma 2 5 4 3 3 6" xfId="39485" xr:uid="{00000000-0005-0000-0000-0000A72C0000}"/>
    <cellStyle name="Comma 2 5 4 3 3 7" xfId="42445" xr:uid="{00000000-0005-0000-0000-0000A82C0000}"/>
    <cellStyle name="Comma 2 5 4 3 3 8" xfId="44933" xr:uid="{00000000-0005-0000-0000-0000A92C0000}"/>
    <cellStyle name="Comma 2 5 4 3 4" xfId="11857" xr:uid="{00000000-0005-0000-0000-0000AA2C0000}"/>
    <cellStyle name="Comma 2 5 4 3 4 2" xfId="40206" xr:uid="{00000000-0005-0000-0000-0000AB2C0000}"/>
    <cellStyle name="Comma 2 5 4 3 4 3" xfId="43055" xr:uid="{00000000-0005-0000-0000-0000AC2C0000}"/>
    <cellStyle name="Comma 2 5 4 3 4 4" xfId="44934" xr:uid="{00000000-0005-0000-0000-0000AD2C0000}"/>
    <cellStyle name="Comma 2 5 4 3 5" xfId="15643" xr:uid="{00000000-0005-0000-0000-0000AE2C0000}"/>
    <cellStyle name="Comma 2 5 4 3 6" xfId="30141" xr:uid="{00000000-0005-0000-0000-0000AF2C0000}"/>
    <cellStyle name="Comma 2 5 4 3 7" xfId="30631" xr:uid="{00000000-0005-0000-0000-0000B02C0000}"/>
    <cellStyle name="Comma 2 5 4 3 8" xfId="31964" xr:uid="{00000000-0005-0000-0000-0000B12C0000}"/>
    <cellStyle name="Comma 2 5 4 3 9" xfId="32606" xr:uid="{00000000-0005-0000-0000-0000B22C0000}"/>
    <cellStyle name="Comma 2 5 4 4" xfId="5748" xr:uid="{00000000-0005-0000-0000-0000B32C0000}"/>
    <cellStyle name="Comma 2 5 4 4 10" xfId="33820" xr:uid="{00000000-0005-0000-0000-0000B42C0000}"/>
    <cellStyle name="Comma 2 5 4 4 11" xfId="34243" xr:uid="{00000000-0005-0000-0000-0000B52C0000}"/>
    <cellStyle name="Comma 2 5 4 4 12" xfId="36449" xr:uid="{00000000-0005-0000-0000-0000B62C0000}"/>
    <cellStyle name="Comma 2 5 4 4 13" xfId="38115" xr:uid="{00000000-0005-0000-0000-0000B72C0000}"/>
    <cellStyle name="Comma 2 5 4 4 14" xfId="41612" xr:uid="{00000000-0005-0000-0000-0000B82C0000}"/>
    <cellStyle name="Comma 2 5 4 4 15" xfId="44935" xr:uid="{00000000-0005-0000-0000-0000B92C0000}"/>
    <cellStyle name="Comma 2 5 4 4 16" xfId="8378" xr:uid="{00000000-0005-0000-0000-0000BA2C0000}"/>
    <cellStyle name="Comma 2 5 4 4 2" xfId="8842" xr:uid="{00000000-0005-0000-0000-0000BB2C0000}"/>
    <cellStyle name="Comma 2 5 4 4 2 10" xfId="34509" xr:uid="{00000000-0005-0000-0000-0000BC2C0000}"/>
    <cellStyle name="Comma 2 5 4 4 2 11" xfId="36677" xr:uid="{00000000-0005-0000-0000-0000BD2C0000}"/>
    <cellStyle name="Comma 2 5 4 4 2 12" xfId="40071" xr:uid="{00000000-0005-0000-0000-0000BE2C0000}"/>
    <cellStyle name="Comma 2 5 4 4 2 13" xfId="42940" xr:uid="{00000000-0005-0000-0000-0000BF2C0000}"/>
    <cellStyle name="Comma 2 5 4 4 2 14" xfId="44936" xr:uid="{00000000-0005-0000-0000-0000C02C0000}"/>
    <cellStyle name="Comma 2 5 4 4 2 2" xfId="12841" xr:uid="{00000000-0005-0000-0000-0000C12C0000}"/>
    <cellStyle name="Comma 2 5 4 4 2 2 10" xfId="37198" xr:uid="{00000000-0005-0000-0000-0000C22C0000}"/>
    <cellStyle name="Comma 2 5 4 4 2 2 2" xfId="15647" xr:uid="{00000000-0005-0000-0000-0000C32C0000}"/>
    <cellStyle name="Comma 2 5 4 4 2 2 3" xfId="30145" xr:uid="{00000000-0005-0000-0000-0000C42C0000}"/>
    <cellStyle name="Comma 2 5 4 4 2 2 4" xfId="31423" xr:uid="{00000000-0005-0000-0000-0000C52C0000}"/>
    <cellStyle name="Comma 2 5 4 4 2 2 5" xfId="31968" xr:uid="{00000000-0005-0000-0000-0000C62C0000}"/>
    <cellStyle name="Comma 2 5 4 4 2 2 6" xfId="32610" xr:uid="{00000000-0005-0000-0000-0000C72C0000}"/>
    <cellStyle name="Comma 2 5 4 4 2 2 7" xfId="33276" xr:uid="{00000000-0005-0000-0000-0000C82C0000}"/>
    <cellStyle name="Comma 2 5 4 4 2 2 8" xfId="33822" xr:uid="{00000000-0005-0000-0000-0000C92C0000}"/>
    <cellStyle name="Comma 2 5 4 4 2 2 9" xfId="35100" xr:uid="{00000000-0005-0000-0000-0000CA2C0000}"/>
    <cellStyle name="Comma 2 5 4 4 2 3" xfId="12058" xr:uid="{00000000-0005-0000-0000-0000CB2C0000}"/>
    <cellStyle name="Comma 2 5 4 4 2 4" xfId="15646" xr:uid="{00000000-0005-0000-0000-0000CC2C0000}"/>
    <cellStyle name="Comma 2 5 4 4 2 5" xfId="30144" xr:uid="{00000000-0005-0000-0000-0000CD2C0000}"/>
    <cellStyle name="Comma 2 5 4 4 2 6" xfId="30832" xr:uid="{00000000-0005-0000-0000-0000CE2C0000}"/>
    <cellStyle name="Comma 2 5 4 4 2 7" xfId="31967" xr:uid="{00000000-0005-0000-0000-0000CF2C0000}"/>
    <cellStyle name="Comma 2 5 4 4 2 8" xfId="32609" xr:uid="{00000000-0005-0000-0000-0000D02C0000}"/>
    <cellStyle name="Comma 2 5 4 4 2 9" xfId="33821" xr:uid="{00000000-0005-0000-0000-0000D12C0000}"/>
    <cellStyle name="Comma 2 5 4 4 3" xfId="12503" xr:uid="{00000000-0005-0000-0000-0000D22C0000}"/>
    <cellStyle name="Comma 2 5 4 4 3 10" xfId="36936" xr:uid="{00000000-0005-0000-0000-0000D32C0000}"/>
    <cellStyle name="Comma 2 5 4 4 3 2" xfId="15648" xr:uid="{00000000-0005-0000-0000-0000D42C0000}"/>
    <cellStyle name="Comma 2 5 4 4 3 3" xfId="30146" xr:uid="{00000000-0005-0000-0000-0000D52C0000}"/>
    <cellStyle name="Comma 2 5 4 4 3 4" xfId="31157" xr:uid="{00000000-0005-0000-0000-0000D62C0000}"/>
    <cellStyle name="Comma 2 5 4 4 3 5" xfId="31969" xr:uid="{00000000-0005-0000-0000-0000D72C0000}"/>
    <cellStyle name="Comma 2 5 4 4 3 6" xfId="32611" xr:uid="{00000000-0005-0000-0000-0000D82C0000}"/>
    <cellStyle name="Comma 2 5 4 4 3 7" xfId="33015" xr:uid="{00000000-0005-0000-0000-0000D92C0000}"/>
    <cellStyle name="Comma 2 5 4 4 3 8" xfId="33823" xr:uid="{00000000-0005-0000-0000-0000DA2C0000}"/>
    <cellStyle name="Comma 2 5 4 4 3 9" xfId="34834" xr:uid="{00000000-0005-0000-0000-0000DB2C0000}"/>
    <cellStyle name="Comma 2 5 4 4 4" xfId="11792" xr:uid="{00000000-0005-0000-0000-0000DC2C0000}"/>
    <cellStyle name="Comma 2 5 4 4 5" xfId="15645" xr:uid="{00000000-0005-0000-0000-0000DD2C0000}"/>
    <cellStyle name="Comma 2 5 4 4 6" xfId="30143" xr:uid="{00000000-0005-0000-0000-0000DE2C0000}"/>
    <cellStyle name="Comma 2 5 4 4 7" xfId="30566" xr:uid="{00000000-0005-0000-0000-0000DF2C0000}"/>
    <cellStyle name="Comma 2 5 4 4 8" xfId="31966" xr:uid="{00000000-0005-0000-0000-0000E02C0000}"/>
    <cellStyle name="Comma 2 5 4 4 9" xfId="32608" xr:uid="{00000000-0005-0000-0000-0000E12C0000}"/>
    <cellStyle name="Comma 2 5 4 5" xfId="6207" xr:uid="{00000000-0005-0000-0000-0000E22C0000}"/>
    <cellStyle name="Comma 2 5 4 5 10" xfId="34505" xr:uid="{00000000-0005-0000-0000-0000E32C0000}"/>
    <cellStyle name="Comma 2 5 4 5 11" xfId="36673" xr:uid="{00000000-0005-0000-0000-0000E42C0000}"/>
    <cellStyle name="Comma 2 5 4 5 12" xfId="38946" xr:uid="{00000000-0005-0000-0000-0000E52C0000}"/>
    <cellStyle name="Comma 2 5 4 5 13" xfId="41977" xr:uid="{00000000-0005-0000-0000-0000E62C0000}"/>
    <cellStyle name="Comma 2 5 4 5 14" xfId="44937" xr:uid="{00000000-0005-0000-0000-0000E72C0000}"/>
    <cellStyle name="Comma 2 5 4 5 15" xfId="8838" xr:uid="{00000000-0005-0000-0000-0000E82C0000}"/>
    <cellStyle name="Comma 2 5 4 5 2" xfId="12837" xr:uid="{00000000-0005-0000-0000-0000E92C0000}"/>
    <cellStyle name="Comma 2 5 4 5 2 2" xfId="31419" xr:uid="{00000000-0005-0000-0000-0000EA2C0000}"/>
    <cellStyle name="Comma 2 5 4 5 2 3" xfId="33272" xr:uid="{00000000-0005-0000-0000-0000EB2C0000}"/>
    <cellStyle name="Comma 2 5 4 5 2 4" xfId="35096" xr:uid="{00000000-0005-0000-0000-0000EC2C0000}"/>
    <cellStyle name="Comma 2 5 4 5 2 5" xfId="37194" xr:uid="{00000000-0005-0000-0000-0000ED2C0000}"/>
    <cellStyle name="Comma 2 5 4 5 2 6" xfId="40504" xr:uid="{00000000-0005-0000-0000-0000EE2C0000}"/>
    <cellStyle name="Comma 2 5 4 5 2 7" xfId="43305" xr:uid="{00000000-0005-0000-0000-0000EF2C0000}"/>
    <cellStyle name="Comma 2 5 4 5 2 8" xfId="44938" xr:uid="{00000000-0005-0000-0000-0000F02C0000}"/>
    <cellStyle name="Comma 2 5 4 5 3" xfId="12054" xr:uid="{00000000-0005-0000-0000-0000F12C0000}"/>
    <cellStyle name="Comma 2 5 4 5 4" xfId="15649" xr:uid="{00000000-0005-0000-0000-0000F22C0000}"/>
    <cellStyle name="Comma 2 5 4 5 5" xfId="30147" xr:uid="{00000000-0005-0000-0000-0000F32C0000}"/>
    <cellStyle name="Comma 2 5 4 5 6" xfId="30828" xr:uid="{00000000-0005-0000-0000-0000F42C0000}"/>
    <cellStyle name="Comma 2 5 4 5 7" xfId="31970" xr:uid="{00000000-0005-0000-0000-0000F52C0000}"/>
    <cellStyle name="Comma 2 5 4 5 8" xfId="32612" xr:uid="{00000000-0005-0000-0000-0000F62C0000}"/>
    <cellStyle name="Comma 2 5 4 5 9" xfId="33824" xr:uid="{00000000-0005-0000-0000-0000F72C0000}"/>
    <cellStyle name="Comma 2 5 4 6" xfId="11526" xr:uid="{00000000-0005-0000-0000-0000F82C0000}"/>
    <cellStyle name="Comma 2 5 4 6 10" xfId="34640" xr:uid="{00000000-0005-0000-0000-0000F92C0000}"/>
    <cellStyle name="Comma 2 5 4 6 11" xfId="36768" xr:uid="{00000000-0005-0000-0000-0000FA2C0000}"/>
    <cellStyle name="Comma 2 5 4 6 12" xfId="39352" xr:uid="{00000000-0005-0000-0000-0000FB2C0000}"/>
    <cellStyle name="Comma 2 5 4 6 13" xfId="42330" xr:uid="{00000000-0005-0000-0000-0000FC2C0000}"/>
    <cellStyle name="Comma 2 5 4 6 14" xfId="44939" xr:uid="{00000000-0005-0000-0000-0000FD2C0000}"/>
    <cellStyle name="Comma 2 5 4 6 2" xfId="15147" xr:uid="{00000000-0005-0000-0000-0000FE2C0000}"/>
    <cellStyle name="Comma 2 5 4 6 2 2" xfId="31554" xr:uid="{00000000-0005-0000-0000-0000FF2C0000}"/>
    <cellStyle name="Comma 2 5 4 6 2 3" xfId="33407" xr:uid="{00000000-0005-0000-0000-0000002D0000}"/>
    <cellStyle name="Comma 2 5 4 6 2 4" xfId="35231" xr:uid="{00000000-0005-0000-0000-0000012D0000}"/>
    <cellStyle name="Comma 2 5 4 6 2 5" xfId="37311" xr:uid="{00000000-0005-0000-0000-0000022D0000}"/>
    <cellStyle name="Comma 2 5 4 6 2 6" xfId="40923" xr:uid="{00000000-0005-0000-0000-0000032D0000}"/>
    <cellStyle name="Comma 2 5 4 6 2 7" xfId="43658" xr:uid="{00000000-0005-0000-0000-0000042D0000}"/>
    <cellStyle name="Comma 2 5 4 6 2 8" xfId="44940" xr:uid="{00000000-0005-0000-0000-0000052D0000}"/>
    <cellStyle name="Comma 2 5 4 6 3" xfId="12189" xr:uid="{00000000-0005-0000-0000-0000062D0000}"/>
    <cellStyle name="Comma 2 5 4 6 4" xfId="15650" xr:uid="{00000000-0005-0000-0000-0000072D0000}"/>
    <cellStyle name="Comma 2 5 4 6 5" xfId="30148" xr:uid="{00000000-0005-0000-0000-0000082D0000}"/>
    <cellStyle name="Comma 2 5 4 6 6" xfId="30963" xr:uid="{00000000-0005-0000-0000-0000092D0000}"/>
    <cellStyle name="Comma 2 5 4 6 7" xfId="31971" xr:uid="{00000000-0005-0000-0000-00000A2D0000}"/>
    <cellStyle name="Comma 2 5 4 6 8" xfId="32613" xr:uid="{00000000-0005-0000-0000-00000B2D0000}"/>
    <cellStyle name="Comma 2 5 4 6 9" xfId="33825" xr:uid="{00000000-0005-0000-0000-00000C2D0000}"/>
    <cellStyle name="Comma 2 5 4 7" xfId="12297" xr:uid="{00000000-0005-0000-0000-00000D2D0000}"/>
    <cellStyle name="Comma 2 5 4 7 2" xfId="31070" xr:uid="{00000000-0005-0000-0000-00000E2D0000}"/>
    <cellStyle name="Comma 2 5 4 7 3" xfId="32938" xr:uid="{00000000-0005-0000-0000-00000F2D0000}"/>
    <cellStyle name="Comma 2 5 4 7 4" xfId="34747" xr:uid="{00000000-0005-0000-0000-0000102D0000}"/>
    <cellStyle name="Comma 2 5 4 7 5" xfId="36855" xr:uid="{00000000-0005-0000-0000-0000112D0000}"/>
    <cellStyle name="Comma 2 5 4 7 6" xfId="39811" xr:uid="{00000000-0005-0000-0000-0000122D0000}"/>
    <cellStyle name="Comma 2 5 4 7 7" xfId="42719" xr:uid="{00000000-0005-0000-0000-0000132D0000}"/>
    <cellStyle name="Comma 2 5 4 7 8" xfId="44941" xr:uid="{00000000-0005-0000-0000-0000142D0000}"/>
    <cellStyle name="Comma 2 5 4 8" xfId="11704" xr:uid="{00000000-0005-0000-0000-0000152D0000}"/>
    <cellStyle name="Comma 2 5 4 9" xfId="15638" xr:uid="{00000000-0005-0000-0000-0000162D0000}"/>
    <cellStyle name="Comma 2 5 5" xfId="2784" xr:uid="{00000000-0005-0000-0000-0000172D0000}"/>
    <cellStyle name="Comma 2 5 5 10" xfId="32614" xr:uid="{00000000-0005-0000-0000-0000182D0000}"/>
    <cellStyle name="Comma 2 5 5 11" xfId="33826" xr:uid="{00000000-0005-0000-0000-0000192D0000}"/>
    <cellStyle name="Comma 2 5 5 12" xfId="34180" xr:uid="{00000000-0005-0000-0000-00001A2D0000}"/>
    <cellStyle name="Comma 2 5 5 13" xfId="35346" xr:uid="{00000000-0005-0000-0000-00001B2D0000}"/>
    <cellStyle name="Comma 2 5 5 14" xfId="36209" xr:uid="{00000000-0005-0000-0000-00001C2D0000}"/>
    <cellStyle name="Comma 2 5 5 15" xfId="37441" xr:uid="{00000000-0005-0000-0000-00001D2D0000}"/>
    <cellStyle name="Comma 2 5 5 16" xfId="41388" xr:uid="{00000000-0005-0000-0000-00001E2D0000}"/>
    <cellStyle name="Comma 2 5 5 17" xfId="44942" xr:uid="{00000000-0005-0000-0000-00001F2D0000}"/>
    <cellStyle name="Comma 2 5 5 18" xfId="7343" xr:uid="{00000000-0005-0000-0000-0000202D0000}"/>
    <cellStyle name="Comma 2 5 5 2" xfId="5095" xr:uid="{00000000-0005-0000-0000-0000212D0000}"/>
    <cellStyle name="Comma 2 5 5 2 10" xfId="33827" xr:uid="{00000000-0005-0000-0000-0000222D0000}"/>
    <cellStyle name="Comma 2 5 5 2 11" xfId="34332" xr:uid="{00000000-0005-0000-0000-0000232D0000}"/>
    <cellStyle name="Comma 2 5 5 2 12" xfId="36050" xr:uid="{00000000-0005-0000-0000-0000242D0000}"/>
    <cellStyle name="Comma 2 5 5 2 13" xfId="36350" xr:uid="{00000000-0005-0000-0000-0000252D0000}"/>
    <cellStyle name="Comma 2 5 5 2 14" xfId="37572" xr:uid="{00000000-0005-0000-0000-0000262D0000}"/>
    <cellStyle name="Comma 2 5 5 2 15" xfId="41518" xr:uid="{00000000-0005-0000-0000-0000272D0000}"/>
    <cellStyle name="Comma 2 5 5 2 16" xfId="44943" xr:uid="{00000000-0005-0000-0000-0000282D0000}"/>
    <cellStyle name="Comma 2 5 5 2 17" xfId="8602" xr:uid="{00000000-0005-0000-0000-0000292D0000}"/>
    <cellStyle name="Comma 2 5 5 2 2" xfId="6064" xr:uid="{00000000-0005-0000-0000-00002A2D0000}"/>
    <cellStyle name="Comma 2 5 5 2 2 10" xfId="34511" xr:uid="{00000000-0005-0000-0000-00002B2D0000}"/>
    <cellStyle name="Comma 2 5 5 2 2 11" xfId="36679" xr:uid="{00000000-0005-0000-0000-00002C2D0000}"/>
    <cellStyle name="Comma 2 5 5 2 2 12" xfId="38829" xr:uid="{00000000-0005-0000-0000-00002D2D0000}"/>
    <cellStyle name="Comma 2 5 5 2 2 13" xfId="41868" xr:uid="{00000000-0005-0000-0000-00002E2D0000}"/>
    <cellStyle name="Comma 2 5 5 2 2 14" xfId="44944" xr:uid="{00000000-0005-0000-0000-00002F2D0000}"/>
    <cellStyle name="Comma 2 5 5 2 2 15" xfId="8844" xr:uid="{00000000-0005-0000-0000-0000302D0000}"/>
    <cellStyle name="Comma 2 5 5 2 2 2" xfId="12843" xr:uid="{00000000-0005-0000-0000-0000312D0000}"/>
    <cellStyle name="Comma 2 5 5 2 2 2 2" xfId="31425" xr:uid="{00000000-0005-0000-0000-0000322D0000}"/>
    <cellStyle name="Comma 2 5 5 2 2 2 3" xfId="33278" xr:uid="{00000000-0005-0000-0000-0000332D0000}"/>
    <cellStyle name="Comma 2 5 5 2 2 2 4" xfId="35102" xr:uid="{00000000-0005-0000-0000-0000342D0000}"/>
    <cellStyle name="Comma 2 5 5 2 2 2 5" xfId="37200" xr:uid="{00000000-0005-0000-0000-0000352D0000}"/>
    <cellStyle name="Comma 2 5 5 2 2 2 6" xfId="40378" xr:uid="{00000000-0005-0000-0000-0000362D0000}"/>
    <cellStyle name="Comma 2 5 5 2 2 2 7" xfId="43196" xr:uid="{00000000-0005-0000-0000-0000372D0000}"/>
    <cellStyle name="Comma 2 5 5 2 2 2 8" xfId="44945" xr:uid="{00000000-0005-0000-0000-0000382D0000}"/>
    <cellStyle name="Comma 2 5 5 2 2 3" xfId="12060" xr:uid="{00000000-0005-0000-0000-0000392D0000}"/>
    <cellStyle name="Comma 2 5 5 2 2 4" xfId="15653" xr:uid="{00000000-0005-0000-0000-00003A2D0000}"/>
    <cellStyle name="Comma 2 5 5 2 2 5" xfId="30151" xr:uid="{00000000-0005-0000-0000-00003B2D0000}"/>
    <cellStyle name="Comma 2 5 5 2 2 6" xfId="30834" xr:uid="{00000000-0005-0000-0000-00003C2D0000}"/>
    <cellStyle name="Comma 2 5 5 2 2 7" xfId="31974" xr:uid="{00000000-0005-0000-0000-00003D2D0000}"/>
    <cellStyle name="Comma 2 5 5 2 2 8" xfId="32616" xr:uid="{00000000-0005-0000-0000-00003E2D0000}"/>
    <cellStyle name="Comma 2 5 5 2 2 9" xfId="33828" xr:uid="{00000000-0005-0000-0000-00003F2D0000}"/>
    <cellStyle name="Comma 2 5 5 2 3" xfId="6384" xr:uid="{00000000-0005-0000-0000-0000402D0000}"/>
    <cellStyle name="Comma 2 5 5 2 3 2" xfId="31246" xr:uid="{00000000-0005-0000-0000-0000412D0000}"/>
    <cellStyle name="Comma 2 5 5 2 3 2 2" xfId="40794" xr:uid="{00000000-0005-0000-0000-0000422D0000}"/>
    <cellStyle name="Comma 2 5 5 2 3 2 3" xfId="43549" xr:uid="{00000000-0005-0000-0000-0000432D0000}"/>
    <cellStyle name="Comma 2 5 5 2 3 2 4" xfId="44946" xr:uid="{00000000-0005-0000-0000-0000442D0000}"/>
    <cellStyle name="Comma 2 5 5 2 3 3" xfId="33100" xr:uid="{00000000-0005-0000-0000-0000452D0000}"/>
    <cellStyle name="Comma 2 5 5 2 3 4" xfId="34923" xr:uid="{00000000-0005-0000-0000-0000462D0000}"/>
    <cellStyle name="Comma 2 5 5 2 3 5" xfId="37021" xr:uid="{00000000-0005-0000-0000-0000472D0000}"/>
    <cellStyle name="Comma 2 5 5 2 3 6" xfId="39231" xr:uid="{00000000-0005-0000-0000-0000482D0000}"/>
    <cellStyle name="Comma 2 5 5 2 3 7" xfId="42221" xr:uid="{00000000-0005-0000-0000-0000492D0000}"/>
    <cellStyle name="Comma 2 5 5 2 3 8" xfId="44947" xr:uid="{00000000-0005-0000-0000-00004A2D0000}"/>
    <cellStyle name="Comma 2 5 5 2 3 9" xfId="12608" xr:uid="{00000000-0005-0000-0000-00004B2D0000}"/>
    <cellStyle name="Comma 2 5 5 2 4" xfId="11881" xr:uid="{00000000-0005-0000-0000-00004C2D0000}"/>
    <cellStyle name="Comma 2 5 5 2 4 2" xfId="41234" xr:uid="{00000000-0005-0000-0000-00004D2D0000}"/>
    <cellStyle name="Comma 2 5 5 2 4 2 2" xfId="43914" xr:uid="{00000000-0005-0000-0000-00004E2D0000}"/>
    <cellStyle name="Comma 2 5 5 2 4 2 3" xfId="44948" xr:uid="{00000000-0005-0000-0000-00004F2D0000}"/>
    <cellStyle name="Comma 2 5 5 2 4 3" xfId="39651" xr:uid="{00000000-0005-0000-0000-0000502D0000}"/>
    <cellStyle name="Comma 2 5 5 2 4 4" xfId="42586" xr:uid="{00000000-0005-0000-0000-0000512D0000}"/>
    <cellStyle name="Comma 2 5 5 2 4 5" xfId="44949" xr:uid="{00000000-0005-0000-0000-0000522D0000}"/>
    <cellStyle name="Comma 2 5 5 2 5" xfId="15652" xr:uid="{00000000-0005-0000-0000-0000532D0000}"/>
    <cellStyle name="Comma 2 5 5 2 5 2" xfId="39958" xr:uid="{00000000-0005-0000-0000-0000542D0000}"/>
    <cellStyle name="Comma 2 5 5 2 5 3" xfId="42846" xr:uid="{00000000-0005-0000-0000-0000552D0000}"/>
    <cellStyle name="Comma 2 5 5 2 5 4" xfId="44950" xr:uid="{00000000-0005-0000-0000-0000562D0000}"/>
    <cellStyle name="Comma 2 5 5 2 6" xfId="30150" xr:uid="{00000000-0005-0000-0000-0000572D0000}"/>
    <cellStyle name="Comma 2 5 5 2 7" xfId="30655" xr:uid="{00000000-0005-0000-0000-0000582D0000}"/>
    <cellStyle name="Comma 2 5 5 2 8" xfId="31973" xr:uid="{00000000-0005-0000-0000-0000592D0000}"/>
    <cellStyle name="Comma 2 5 5 2 9" xfId="32615" xr:uid="{00000000-0005-0000-0000-00005A2D0000}"/>
    <cellStyle name="Comma 2 5 5 3" xfId="4436" xr:uid="{00000000-0005-0000-0000-00005B2D0000}"/>
    <cellStyle name="Comma 2 5 5 3 10" xfId="34510" xr:uid="{00000000-0005-0000-0000-00005C2D0000}"/>
    <cellStyle name="Comma 2 5 5 3 11" xfId="35619" xr:uid="{00000000-0005-0000-0000-00005D2D0000}"/>
    <cellStyle name="Comma 2 5 5 3 12" xfId="36678" xr:uid="{00000000-0005-0000-0000-00005E2D0000}"/>
    <cellStyle name="Comma 2 5 5 3 13" xfId="38688" xr:uid="{00000000-0005-0000-0000-00005F2D0000}"/>
    <cellStyle name="Comma 2 5 5 3 14" xfId="41728" xr:uid="{00000000-0005-0000-0000-0000602D0000}"/>
    <cellStyle name="Comma 2 5 5 3 15" xfId="44951" xr:uid="{00000000-0005-0000-0000-0000612D0000}"/>
    <cellStyle name="Comma 2 5 5 3 16" xfId="8843" xr:uid="{00000000-0005-0000-0000-0000622D0000}"/>
    <cellStyle name="Comma 2 5 5 3 2" xfId="5887" xr:uid="{00000000-0005-0000-0000-0000632D0000}"/>
    <cellStyle name="Comma 2 5 5 3 2 2" xfId="31424" xr:uid="{00000000-0005-0000-0000-0000642D0000}"/>
    <cellStyle name="Comma 2 5 5 3 2 2 2" xfId="41062" xr:uid="{00000000-0005-0000-0000-0000652D0000}"/>
    <cellStyle name="Comma 2 5 5 3 2 2 3" xfId="43774" xr:uid="{00000000-0005-0000-0000-0000662D0000}"/>
    <cellStyle name="Comma 2 5 5 3 2 2 4" xfId="44952" xr:uid="{00000000-0005-0000-0000-0000672D0000}"/>
    <cellStyle name="Comma 2 5 5 3 2 3" xfId="33277" xr:uid="{00000000-0005-0000-0000-0000682D0000}"/>
    <cellStyle name="Comma 2 5 5 3 2 4" xfId="35101" xr:uid="{00000000-0005-0000-0000-0000692D0000}"/>
    <cellStyle name="Comma 2 5 5 3 2 5" xfId="37199" xr:uid="{00000000-0005-0000-0000-00006A2D0000}"/>
    <cellStyle name="Comma 2 5 5 3 2 6" xfId="39486" xr:uid="{00000000-0005-0000-0000-00006B2D0000}"/>
    <cellStyle name="Comma 2 5 5 3 2 7" xfId="42446" xr:uid="{00000000-0005-0000-0000-00006C2D0000}"/>
    <cellStyle name="Comma 2 5 5 3 2 8" xfId="44953" xr:uid="{00000000-0005-0000-0000-00006D2D0000}"/>
    <cellStyle name="Comma 2 5 5 3 2 9" xfId="12842" xr:uid="{00000000-0005-0000-0000-00006E2D0000}"/>
    <cellStyle name="Comma 2 5 5 3 3" xfId="12059" xr:uid="{00000000-0005-0000-0000-00006F2D0000}"/>
    <cellStyle name="Comma 2 5 5 3 3 2" xfId="40207" xr:uid="{00000000-0005-0000-0000-0000702D0000}"/>
    <cellStyle name="Comma 2 5 5 3 3 3" xfId="43056" xr:uid="{00000000-0005-0000-0000-0000712D0000}"/>
    <cellStyle name="Comma 2 5 5 3 3 4" xfId="44954" xr:uid="{00000000-0005-0000-0000-0000722D0000}"/>
    <cellStyle name="Comma 2 5 5 3 4" xfId="15654" xr:uid="{00000000-0005-0000-0000-0000732D0000}"/>
    <cellStyle name="Comma 2 5 5 3 5" xfId="30152" xr:uid="{00000000-0005-0000-0000-0000742D0000}"/>
    <cellStyle name="Comma 2 5 5 3 6" xfId="30833" xr:uid="{00000000-0005-0000-0000-0000752D0000}"/>
    <cellStyle name="Comma 2 5 5 3 7" xfId="31975" xr:uid="{00000000-0005-0000-0000-0000762D0000}"/>
    <cellStyle name="Comma 2 5 5 3 8" xfId="32617" xr:uid="{00000000-0005-0000-0000-0000772D0000}"/>
    <cellStyle name="Comma 2 5 5 3 9" xfId="33829" xr:uid="{00000000-0005-0000-0000-0000782D0000}"/>
    <cellStyle name="Comma 2 5 5 4" xfId="5749" xr:uid="{00000000-0005-0000-0000-0000792D0000}"/>
    <cellStyle name="Comma 2 5 5 4 2" xfId="31094" xr:uid="{00000000-0005-0000-0000-00007A2D0000}"/>
    <cellStyle name="Comma 2 5 5 4 2 2" xfId="40072" xr:uid="{00000000-0005-0000-0000-00007B2D0000}"/>
    <cellStyle name="Comma 2 5 5 4 2 3" xfId="42941" xr:uid="{00000000-0005-0000-0000-00007C2D0000}"/>
    <cellStyle name="Comma 2 5 5 4 2 4" xfId="44955" xr:uid="{00000000-0005-0000-0000-00007D2D0000}"/>
    <cellStyle name="Comma 2 5 5 4 3" xfId="32956" xr:uid="{00000000-0005-0000-0000-00007E2D0000}"/>
    <cellStyle name="Comma 2 5 5 4 4" xfId="34771" xr:uid="{00000000-0005-0000-0000-00007F2D0000}"/>
    <cellStyle name="Comma 2 5 5 4 5" xfId="36877" xr:uid="{00000000-0005-0000-0000-0000802D0000}"/>
    <cellStyle name="Comma 2 5 5 4 6" xfId="38116" xr:uid="{00000000-0005-0000-0000-0000812D0000}"/>
    <cellStyle name="Comma 2 5 5 4 7" xfId="41613" xr:uid="{00000000-0005-0000-0000-0000822D0000}"/>
    <cellStyle name="Comma 2 5 5 4 8" xfId="44956" xr:uid="{00000000-0005-0000-0000-0000832D0000}"/>
    <cellStyle name="Comma 2 5 5 4 9" xfId="12322" xr:uid="{00000000-0005-0000-0000-0000842D0000}"/>
    <cellStyle name="Comma 2 5 5 5" xfId="6208" xr:uid="{00000000-0005-0000-0000-0000852D0000}"/>
    <cellStyle name="Comma 2 5 5 5 2" xfId="40617" xr:uid="{00000000-0005-0000-0000-0000862D0000}"/>
    <cellStyle name="Comma 2 5 5 5 2 2" xfId="43403" xr:uid="{00000000-0005-0000-0000-0000872D0000}"/>
    <cellStyle name="Comma 2 5 5 5 2 3" xfId="44957" xr:uid="{00000000-0005-0000-0000-0000882D0000}"/>
    <cellStyle name="Comma 2 5 5 5 3" xfId="39049" xr:uid="{00000000-0005-0000-0000-0000892D0000}"/>
    <cellStyle name="Comma 2 5 5 5 4" xfId="42075" xr:uid="{00000000-0005-0000-0000-00008A2D0000}"/>
    <cellStyle name="Comma 2 5 5 5 5" xfId="44958" xr:uid="{00000000-0005-0000-0000-00008B2D0000}"/>
    <cellStyle name="Comma 2 5 5 5 6" xfId="11729" xr:uid="{00000000-0005-0000-0000-00008C2D0000}"/>
    <cellStyle name="Comma 2 5 5 6" xfId="15651" xr:uid="{00000000-0005-0000-0000-00008D2D0000}"/>
    <cellStyle name="Comma 2 5 5 6 2" xfId="40924" xr:uid="{00000000-0005-0000-0000-00008E2D0000}"/>
    <cellStyle name="Comma 2 5 5 6 2 2" xfId="43659" xr:uid="{00000000-0005-0000-0000-00008F2D0000}"/>
    <cellStyle name="Comma 2 5 5 6 2 3" xfId="44959" xr:uid="{00000000-0005-0000-0000-0000902D0000}"/>
    <cellStyle name="Comma 2 5 5 6 3" xfId="39353" xr:uid="{00000000-0005-0000-0000-0000912D0000}"/>
    <cellStyle name="Comma 2 5 5 6 4" xfId="42331" xr:uid="{00000000-0005-0000-0000-0000922D0000}"/>
    <cellStyle name="Comma 2 5 5 6 5" xfId="44960" xr:uid="{00000000-0005-0000-0000-0000932D0000}"/>
    <cellStyle name="Comma 2 5 5 7" xfId="30149" xr:uid="{00000000-0005-0000-0000-0000942D0000}"/>
    <cellStyle name="Comma 2 5 5 7 2" xfId="39808" xr:uid="{00000000-0005-0000-0000-0000952D0000}"/>
    <cellStyle name="Comma 2 5 5 7 3" xfId="42716" xr:uid="{00000000-0005-0000-0000-0000962D0000}"/>
    <cellStyle name="Comma 2 5 5 7 4" xfId="44961" xr:uid="{00000000-0005-0000-0000-0000972D0000}"/>
    <cellStyle name="Comma 2 5 5 8" xfId="30503" xr:uid="{00000000-0005-0000-0000-0000982D0000}"/>
    <cellStyle name="Comma 2 5 5 9" xfId="31972" xr:uid="{00000000-0005-0000-0000-0000992D0000}"/>
    <cellStyle name="Comma 2 5 6" xfId="2780" xr:uid="{00000000-0005-0000-0000-00009A2D0000}"/>
    <cellStyle name="Comma 2 5 6 10" xfId="33830" xr:uid="{00000000-0005-0000-0000-00009B2D0000}"/>
    <cellStyle name="Comma 2 5 6 11" xfId="34269" xr:uid="{00000000-0005-0000-0000-00009C2D0000}"/>
    <cellStyle name="Comma 2 5 6 12" xfId="35342" xr:uid="{00000000-0005-0000-0000-00009D2D0000}"/>
    <cellStyle name="Comma 2 5 6 13" xfId="36346" xr:uid="{00000000-0005-0000-0000-00009E2D0000}"/>
    <cellStyle name="Comma 2 5 6 14" xfId="37515" xr:uid="{00000000-0005-0000-0000-00009F2D0000}"/>
    <cellStyle name="Comma 2 5 6 15" xfId="41461" xr:uid="{00000000-0005-0000-0000-0000A02D0000}"/>
    <cellStyle name="Comma 2 5 6 16" xfId="44962" xr:uid="{00000000-0005-0000-0000-0000A12D0000}"/>
    <cellStyle name="Comma 2 5 6 17" xfId="8432" xr:uid="{00000000-0005-0000-0000-0000A22D0000}"/>
    <cellStyle name="Comma 2 5 6 2" xfId="5091" xr:uid="{00000000-0005-0000-0000-0000A32D0000}"/>
    <cellStyle name="Comma 2 5 6 2 10" xfId="34512" xr:uid="{00000000-0005-0000-0000-0000A42D0000}"/>
    <cellStyle name="Comma 2 5 6 2 11" xfId="36046" xr:uid="{00000000-0005-0000-0000-0000A52D0000}"/>
    <cellStyle name="Comma 2 5 6 2 12" xfId="36680" xr:uid="{00000000-0005-0000-0000-0000A62D0000}"/>
    <cellStyle name="Comma 2 5 6 2 13" xfId="38825" xr:uid="{00000000-0005-0000-0000-0000A72D0000}"/>
    <cellStyle name="Comma 2 5 6 2 14" xfId="41864" xr:uid="{00000000-0005-0000-0000-0000A82D0000}"/>
    <cellStyle name="Comma 2 5 6 2 15" xfId="44963" xr:uid="{00000000-0005-0000-0000-0000A92D0000}"/>
    <cellStyle name="Comma 2 5 6 2 16" xfId="8845" xr:uid="{00000000-0005-0000-0000-0000AA2D0000}"/>
    <cellStyle name="Comma 2 5 6 2 2" xfId="6060" xr:uid="{00000000-0005-0000-0000-0000AB2D0000}"/>
    <cellStyle name="Comma 2 5 6 2 2 2" xfId="31426" xr:uid="{00000000-0005-0000-0000-0000AC2D0000}"/>
    <cellStyle name="Comma 2 5 6 2 2 2 2" xfId="41230" xr:uid="{00000000-0005-0000-0000-0000AD2D0000}"/>
    <cellStyle name="Comma 2 5 6 2 2 2 3" xfId="43910" xr:uid="{00000000-0005-0000-0000-0000AE2D0000}"/>
    <cellStyle name="Comma 2 5 6 2 2 2 4" xfId="44964" xr:uid="{00000000-0005-0000-0000-0000AF2D0000}"/>
    <cellStyle name="Comma 2 5 6 2 2 3" xfId="33279" xr:uid="{00000000-0005-0000-0000-0000B02D0000}"/>
    <cellStyle name="Comma 2 5 6 2 2 4" xfId="35103" xr:uid="{00000000-0005-0000-0000-0000B12D0000}"/>
    <cellStyle name="Comma 2 5 6 2 2 5" xfId="37201" xr:uid="{00000000-0005-0000-0000-0000B22D0000}"/>
    <cellStyle name="Comma 2 5 6 2 2 6" xfId="39647" xr:uid="{00000000-0005-0000-0000-0000B32D0000}"/>
    <cellStyle name="Comma 2 5 6 2 2 7" xfId="42582" xr:uid="{00000000-0005-0000-0000-0000B42D0000}"/>
    <cellStyle name="Comma 2 5 6 2 2 8" xfId="44965" xr:uid="{00000000-0005-0000-0000-0000B52D0000}"/>
    <cellStyle name="Comma 2 5 6 2 2 9" xfId="12844" xr:uid="{00000000-0005-0000-0000-0000B62D0000}"/>
    <cellStyle name="Comma 2 5 6 2 3" xfId="12061" xr:uid="{00000000-0005-0000-0000-0000B72D0000}"/>
    <cellStyle name="Comma 2 5 6 2 3 2" xfId="40374" xr:uid="{00000000-0005-0000-0000-0000B82D0000}"/>
    <cellStyle name="Comma 2 5 6 2 3 3" xfId="43192" xr:uid="{00000000-0005-0000-0000-0000B92D0000}"/>
    <cellStyle name="Comma 2 5 6 2 3 4" xfId="44966" xr:uid="{00000000-0005-0000-0000-0000BA2D0000}"/>
    <cellStyle name="Comma 2 5 6 2 4" xfId="15656" xr:uid="{00000000-0005-0000-0000-0000BB2D0000}"/>
    <cellStyle name="Comma 2 5 6 2 5" xfId="30154" xr:uid="{00000000-0005-0000-0000-0000BC2D0000}"/>
    <cellStyle name="Comma 2 5 6 2 6" xfId="30835" xr:uid="{00000000-0005-0000-0000-0000BD2D0000}"/>
    <cellStyle name="Comma 2 5 6 2 7" xfId="31977" xr:uid="{00000000-0005-0000-0000-0000BE2D0000}"/>
    <cellStyle name="Comma 2 5 6 2 8" xfId="32619" xr:uid="{00000000-0005-0000-0000-0000BF2D0000}"/>
    <cellStyle name="Comma 2 5 6 2 9" xfId="33831" xr:uid="{00000000-0005-0000-0000-0000C02D0000}"/>
    <cellStyle name="Comma 2 5 6 3" xfId="5745" xr:uid="{00000000-0005-0000-0000-0000C12D0000}"/>
    <cellStyle name="Comma 2 5 6 3 2" xfId="31183" xr:uid="{00000000-0005-0000-0000-0000C22D0000}"/>
    <cellStyle name="Comma 2 5 6 3 2 2" xfId="40068" xr:uid="{00000000-0005-0000-0000-0000C32D0000}"/>
    <cellStyle name="Comma 2 5 6 3 2 3" xfId="42937" xr:uid="{00000000-0005-0000-0000-0000C42D0000}"/>
    <cellStyle name="Comma 2 5 6 3 2 4" xfId="44967" xr:uid="{00000000-0005-0000-0000-0000C52D0000}"/>
    <cellStyle name="Comma 2 5 6 3 3" xfId="33041" xr:uid="{00000000-0005-0000-0000-0000C62D0000}"/>
    <cellStyle name="Comma 2 5 6 3 4" xfId="34860" xr:uid="{00000000-0005-0000-0000-0000C72D0000}"/>
    <cellStyle name="Comma 2 5 6 3 5" xfId="36962" xr:uid="{00000000-0005-0000-0000-0000C82D0000}"/>
    <cellStyle name="Comma 2 5 6 3 6" xfId="38112" xr:uid="{00000000-0005-0000-0000-0000C92D0000}"/>
    <cellStyle name="Comma 2 5 6 3 7" xfId="41609" xr:uid="{00000000-0005-0000-0000-0000CA2D0000}"/>
    <cellStyle name="Comma 2 5 6 3 8" xfId="44968" xr:uid="{00000000-0005-0000-0000-0000CB2D0000}"/>
    <cellStyle name="Comma 2 5 6 3 9" xfId="12540" xr:uid="{00000000-0005-0000-0000-0000CC2D0000}"/>
    <cellStyle name="Comma 2 5 6 4" xfId="6380" xr:uid="{00000000-0005-0000-0000-0000CD2D0000}"/>
    <cellStyle name="Comma 2 5 6 4 2" xfId="40613" xr:uid="{00000000-0005-0000-0000-0000CE2D0000}"/>
    <cellStyle name="Comma 2 5 6 4 2 2" xfId="43399" xr:uid="{00000000-0005-0000-0000-0000CF2D0000}"/>
    <cellStyle name="Comma 2 5 6 4 2 3" xfId="44969" xr:uid="{00000000-0005-0000-0000-0000D02D0000}"/>
    <cellStyle name="Comma 2 5 6 4 3" xfId="39045" xr:uid="{00000000-0005-0000-0000-0000D12D0000}"/>
    <cellStyle name="Comma 2 5 6 4 4" xfId="42071" xr:uid="{00000000-0005-0000-0000-0000D22D0000}"/>
    <cellStyle name="Comma 2 5 6 4 5" xfId="44970" xr:uid="{00000000-0005-0000-0000-0000D32D0000}"/>
    <cellStyle name="Comma 2 5 6 4 6" xfId="11818" xr:uid="{00000000-0005-0000-0000-0000D42D0000}"/>
    <cellStyle name="Comma 2 5 6 5" xfId="15655" xr:uid="{00000000-0005-0000-0000-0000D52D0000}"/>
    <cellStyle name="Comma 2 5 6 5 2" xfId="40920" xr:uid="{00000000-0005-0000-0000-0000D62D0000}"/>
    <cellStyle name="Comma 2 5 6 5 2 2" xfId="43655" xr:uid="{00000000-0005-0000-0000-0000D72D0000}"/>
    <cellStyle name="Comma 2 5 6 5 2 3" xfId="44971" xr:uid="{00000000-0005-0000-0000-0000D82D0000}"/>
    <cellStyle name="Comma 2 5 6 5 3" xfId="39349" xr:uid="{00000000-0005-0000-0000-0000D92D0000}"/>
    <cellStyle name="Comma 2 5 6 5 4" xfId="42327" xr:uid="{00000000-0005-0000-0000-0000DA2D0000}"/>
    <cellStyle name="Comma 2 5 6 5 5" xfId="44972" xr:uid="{00000000-0005-0000-0000-0000DB2D0000}"/>
    <cellStyle name="Comma 2 5 6 6" xfId="30153" xr:uid="{00000000-0005-0000-0000-0000DC2D0000}"/>
    <cellStyle name="Comma 2 5 6 6 2" xfId="39890" xr:uid="{00000000-0005-0000-0000-0000DD2D0000}"/>
    <cellStyle name="Comma 2 5 6 6 3" xfId="42789" xr:uid="{00000000-0005-0000-0000-0000DE2D0000}"/>
    <cellStyle name="Comma 2 5 6 6 4" xfId="44973" xr:uid="{00000000-0005-0000-0000-0000DF2D0000}"/>
    <cellStyle name="Comma 2 5 6 7" xfId="30592" xr:uid="{00000000-0005-0000-0000-0000E02D0000}"/>
    <cellStyle name="Comma 2 5 6 8" xfId="31976" xr:uid="{00000000-0005-0000-0000-0000E12D0000}"/>
    <cellStyle name="Comma 2 5 6 9" xfId="32618" xr:uid="{00000000-0005-0000-0000-0000E22D0000}"/>
    <cellStyle name="Comma 2 5 7" xfId="4543" xr:uid="{00000000-0005-0000-0000-0000E32D0000}"/>
    <cellStyle name="Comma 2 5 7 10" xfId="33832" xr:uid="{00000000-0005-0000-0000-0000E42D0000}"/>
    <cellStyle name="Comma 2 5 7 11" xfId="34209" xr:uid="{00000000-0005-0000-0000-0000E52D0000}"/>
    <cellStyle name="Comma 2 5 7 12" xfId="35704" xr:uid="{00000000-0005-0000-0000-0000E62D0000}"/>
    <cellStyle name="Comma 2 5 7 13" xfId="36291" xr:uid="{00000000-0005-0000-0000-0000E72D0000}"/>
    <cellStyle name="Comma 2 5 7 14" xfId="38769" xr:uid="{00000000-0005-0000-0000-0000E82D0000}"/>
    <cellStyle name="Comma 2 5 7 15" xfId="41809" xr:uid="{00000000-0005-0000-0000-0000E92D0000}"/>
    <cellStyle name="Comma 2 5 7 16" xfId="44974" xr:uid="{00000000-0005-0000-0000-0000EA2D0000}"/>
    <cellStyle name="Comma 2 5 7 17" xfId="8100" xr:uid="{00000000-0005-0000-0000-0000EB2D0000}"/>
    <cellStyle name="Comma 2 5 7 2" xfId="5992" xr:uid="{00000000-0005-0000-0000-0000EC2D0000}"/>
    <cellStyle name="Comma 2 5 7 2 10" xfId="34513" xr:uid="{00000000-0005-0000-0000-0000ED2D0000}"/>
    <cellStyle name="Comma 2 5 7 2 11" xfId="36681" xr:uid="{00000000-0005-0000-0000-0000EE2D0000}"/>
    <cellStyle name="Comma 2 5 7 2 12" xfId="38987" xr:uid="{00000000-0005-0000-0000-0000EF2D0000}"/>
    <cellStyle name="Comma 2 5 7 2 13" xfId="42016" xr:uid="{00000000-0005-0000-0000-0000F02D0000}"/>
    <cellStyle name="Comma 2 5 7 2 14" xfId="44975" xr:uid="{00000000-0005-0000-0000-0000F12D0000}"/>
    <cellStyle name="Comma 2 5 7 2 15" xfId="8846" xr:uid="{00000000-0005-0000-0000-0000F22D0000}"/>
    <cellStyle name="Comma 2 5 7 2 2" xfId="12845" xr:uid="{00000000-0005-0000-0000-0000F32D0000}"/>
    <cellStyle name="Comma 2 5 7 2 2 2" xfId="31427" xr:uid="{00000000-0005-0000-0000-0000F42D0000}"/>
    <cellStyle name="Comma 2 5 7 2 2 3" xfId="33280" xr:uid="{00000000-0005-0000-0000-0000F52D0000}"/>
    <cellStyle name="Comma 2 5 7 2 2 4" xfId="35104" xr:uid="{00000000-0005-0000-0000-0000F62D0000}"/>
    <cellStyle name="Comma 2 5 7 2 2 5" xfId="37202" xr:uid="{00000000-0005-0000-0000-0000F72D0000}"/>
    <cellStyle name="Comma 2 5 7 2 2 6" xfId="40550" xr:uid="{00000000-0005-0000-0000-0000F82D0000}"/>
    <cellStyle name="Comma 2 5 7 2 2 7" xfId="43344" xr:uid="{00000000-0005-0000-0000-0000F92D0000}"/>
    <cellStyle name="Comma 2 5 7 2 2 8" xfId="44976" xr:uid="{00000000-0005-0000-0000-0000FA2D0000}"/>
    <cellStyle name="Comma 2 5 7 2 3" xfId="12062" xr:uid="{00000000-0005-0000-0000-0000FB2D0000}"/>
    <cellStyle name="Comma 2 5 7 2 4" xfId="15658" xr:uid="{00000000-0005-0000-0000-0000FC2D0000}"/>
    <cellStyle name="Comma 2 5 7 2 5" xfId="30156" xr:uid="{00000000-0005-0000-0000-0000FD2D0000}"/>
    <cellStyle name="Comma 2 5 7 2 6" xfId="30836" xr:uid="{00000000-0005-0000-0000-0000FE2D0000}"/>
    <cellStyle name="Comma 2 5 7 2 7" xfId="31979" xr:uid="{00000000-0005-0000-0000-0000FF2D0000}"/>
    <cellStyle name="Comma 2 5 7 2 8" xfId="32621" xr:uid="{00000000-0005-0000-0000-0000002E0000}"/>
    <cellStyle name="Comma 2 5 7 2 9" xfId="33833" xr:uid="{00000000-0005-0000-0000-0000012E0000}"/>
    <cellStyle name="Comma 2 5 7 3" xfId="6313" xr:uid="{00000000-0005-0000-0000-0000022E0000}"/>
    <cellStyle name="Comma 2 5 7 3 2" xfId="31123" xr:uid="{00000000-0005-0000-0000-0000032E0000}"/>
    <cellStyle name="Comma 2 5 7 3 2 2" xfId="41165" xr:uid="{00000000-0005-0000-0000-0000042E0000}"/>
    <cellStyle name="Comma 2 5 7 3 2 3" xfId="43855" xr:uid="{00000000-0005-0000-0000-0000052E0000}"/>
    <cellStyle name="Comma 2 5 7 3 2 4" xfId="44977" xr:uid="{00000000-0005-0000-0000-0000062E0000}"/>
    <cellStyle name="Comma 2 5 7 3 3" xfId="32985" xr:uid="{00000000-0005-0000-0000-0000072E0000}"/>
    <cellStyle name="Comma 2 5 7 3 4" xfId="34800" xr:uid="{00000000-0005-0000-0000-0000082E0000}"/>
    <cellStyle name="Comma 2 5 7 3 5" xfId="36906" xr:uid="{00000000-0005-0000-0000-0000092E0000}"/>
    <cellStyle name="Comma 2 5 7 3 6" xfId="39584" xr:uid="{00000000-0005-0000-0000-00000A2E0000}"/>
    <cellStyle name="Comma 2 5 7 3 7" xfId="42527" xr:uid="{00000000-0005-0000-0000-00000B2E0000}"/>
    <cellStyle name="Comma 2 5 7 3 8" xfId="44978" xr:uid="{00000000-0005-0000-0000-00000C2E0000}"/>
    <cellStyle name="Comma 2 5 7 3 9" xfId="12412" xr:uid="{00000000-0005-0000-0000-00000D2E0000}"/>
    <cellStyle name="Comma 2 5 7 4" xfId="11758" xr:uid="{00000000-0005-0000-0000-00000E2E0000}"/>
    <cellStyle name="Comma 2 5 7 4 2" xfId="40310" xr:uid="{00000000-0005-0000-0000-00000F2E0000}"/>
    <cellStyle name="Comma 2 5 7 4 3" xfId="43137" xr:uid="{00000000-0005-0000-0000-0000102E0000}"/>
    <cellStyle name="Comma 2 5 7 4 4" xfId="44979" xr:uid="{00000000-0005-0000-0000-0000112E0000}"/>
    <cellStyle name="Comma 2 5 7 5" xfId="15657" xr:uid="{00000000-0005-0000-0000-0000122E0000}"/>
    <cellStyle name="Comma 2 5 7 6" xfId="30155" xr:uid="{00000000-0005-0000-0000-0000132E0000}"/>
    <cellStyle name="Comma 2 5 7 7" xfId="30532" xr:uid="{00000000-0005-0000-0000-0000142E0000}"/>
    <cellStyle name="Comma 2 5 7 8" xfId="31978" xr:uid="{00000000-0005-0000-0000-0000152E0000}"/>
    <cellStyle name="Comma 2 5 7 9" xfId="32620" xr:uid="{00000000-0005-0000-0000-0000162E0000}"/>
    <cellStyle name="Comma 2 5 8" xfId="4432" xr:uid="{00000000-0005-0000-0000-0000172E0000}"/>
    <cellStyle name="Comma 2 5 8 10" xfId="34514" xr:uid="{00000000-0005-0000-0000-0000182E0000}"/>
    <cellStyle name="Comma 2 5 8 11" xfId="35615" xr:uid="{00000000-0005-0000-0000-0000192E0000}"/>
    <cellStyle name="Comma 2 5 8 12" xfId="36682" xr:uid="{00000000-0005-0000-0000-00001A2E0000}"/>
    <cellStyle name="Comma 2 5 8 13" xfId="38684" xr:uid="{00000000-0005-0000-0000-00001B2E0000}"/>
    <cellStyle name="Comma 2 5 8 14" xfId="41724" xr:uid="{00000000-0005-0000-0000-00001C2E0000}"/>
    <cellStyle name="Comma 2 5 8 15" xfId="44980" xr:uid="{00000000-0005-0000-0000-00001D2E0000}"/>
    <cellStyle name="Comma 2 5 8 16" xfId="8847" xr:uid="{00000000-0005-0000-0000-00001E2E0000}"/>
    <cellStyle name="Comma 2 5 8 2" xfId="5883" xr:uid="{00000000-0005-0000-0000-00001F2E0000}"/>
    <cellStyle name="Comma 2 5 8 2 2" xfId="31428" xr:uid="{00000000-0005-0000-0000-0000202E0000}"/>
    <cellStyle name="Comma 2 5 8 2 2 2" xfId="40745" xr:uid="{00000000-0005-0000-0000-0000212E0000}"/>
    <cellStyle name="Comma 2 5 8 2 2 3" xfId="43508" xr:uid="{00000000-0005-0000-0000-0000222E0000}"/>
    <cellStyle name="Comma 2 5 8 2 2 4" xfId="44981" xr:uid="{00000000-0005-0000-0000-0000232E0000}"/>
    <cellStyle name="Comma 2 5 8 2 3" xfId="33281" xr:uid="{00000000-0005-0000-0000-0000242E0000}"/>
    <cellStyle name="Comma 2 5 8 2 4" xfId="35105" xr:uid="{00000000-0005-0000-0000-0000252E0000}"/>
    <cellStyle name="Comma 2 5 8 2 5" xfId="37203" xr:uid="{00000000-0005-0000-0000-0000262E0000}"/>
    <cellStyle name="Comma 2 5 8 2 6" xfId="39172" xr:uid="{00000000-0005-0000-0000-0000272E0000}"/>
    <cellStyle name="Comma 2 5 8 2 7" xfId="42180" xr:uid="{00000000-0005-0000-0000-0000282E0000}"/>
    <cellStyle name="Comma 2 5 8 2 8" xfId="44982" xr:uid="{00000000-0005-0000-0000-0000292E0000}"/>
    <cellStyle name="Comma 2 5 8 2 9" xfId="12846" xr:uid="{00000000-0005-0000-0000-00002A2E0000}"/>
    <cellStyle name="Comma 2 5 8 3" xfId="12063" xr:uid="{00000000-0005-0000-0000-00002B2E0000}"/>
    <cellStyle name="Comma 2 5 8 3 2" xfId="41058" xr:uid="{00000000-0005-0000-0000-00002C2E0000}"/>
    <cellStyle name="Comma 2 5 8 3 2 2" xfId="43770" xr:uid="{00000000-0005-0000-0000-00002D2E0000}"/>
    <cellStyle name="Comma 2 5 8 3 2 3" xfId="44983" xr:uid="{00000000-0005-0000-0000-00002E2E0000}"/>
    <cellStyle name="Comma 2 5 8 3 3" xfId="39482" xr:uid="{00000000-0005-0000-0000-00002F2E0000}"/>
    <cellStyle name="Comma 2 5 8 3 4" xfId="42442" xr:uid="{00000000-0005-0000-0000-0000302E0000}"/>
    <cellStyle name="Comma 2 5 8 3 5" xfId="44984" xr:uid="{00000000-0005-0000-0000-0000312E0000}"/>
    <cellStyle name="Comma 2 5 8 4" xfId="15659" xr:uid="{00000000-0005-0000-0000-0000322E0000}"/>
    <cellStyle name="Comma 2 5 8 4 2" xfId="40203" xr:uid="{00000000-0005-0000-0000-0000332E0000}"/>
    <cellStyle name="Comma 2 5 8 4 3" xfId="43052" xr:uid="{00000000-0005-0000-0000-0000342E0000}"/>
    <cellStyle name="Comma 2 5 8 4 4" xfId="44985" xr:uid="{00000000-0005-0000-0000-0000352E0000}"/>
    <cellStyle name="Comma 2 5 8 5" xfId="30157" xr:uid="{00000000-0005-0000-0000-0000362E0000}"/>
    <cellStyle name="Comma 2 5 8 6" xfId="30837" xr:uid="{00000000-0005-0000-0000-0000372E0000}"/>
    <cellStyle name="Comma 2 5 8 7" xfId="31980" xr:uid="{00000000-0005-0000-0000-0000382E0000}"/>
    <cellStyle name="Comma 2 5 8 8" xfId="32622" xr:uid="{00000000-0005-0000-0000-0000392E0000}"/>
    <cellStyle name="Comma 2 5 8 9" xfId="33834" xr:uid="{00000000-0005-0000-0000-00003A2E0000}"/>
    <cellStyle name="Comma 2 5 9" xfId="5671" xr:uid="{00000000-0005-0000-0000-00003B2E0000}"/>
    <cellStyle name="Comma 2 5 9 10" xfId="34490" xr:uid="{00000000-0005-0000-0000-00003C2E0000}"/>
    <cellStyle name="Comma 2 5 9 11" xfId="36658" xr:uid="{00000000-0005-0000-0000-00003D2E0000}"/>
    <cellStyle name="Comma 2 5 9 12" xfId="37614" xr:uid="{00000000-0005-0000-0000-00003E2E0000}"/>
    <cellStyle name="Comma 2 5 9 13" xfId="41554" xr:uid="{00000000-0005-0000-0000-00003F2E0000}"/>
    <cellStyle name="Comma 2 5 9 14" xfId="44986" xr:uid="{00000000-0005-0000-0000-0000402E0000}"/>
    <cellStyle name="Comma 2 5 9 15" xfId="8823" xr:uid="{00000000-0005-0000-0000-0000412E0000}"/>
    <cellStyle name="Comma 2 5 9 2" xfId="12822" xr:uid="{00000000-0005-0000-0000-0000422E0000}"/>
    <cellStyle name="Comma 2 5 9 2 10" xfId="37179" xr:uid="{00000000-0005-0000-0000-0000432E0000}"/>
    <cellStyle name="Comma 2 5 9 2 11" xfId="40005" xr:uid="{00000000-0005-0000-0000-0000442E0000}"/>
    <cellStyle name="Comma 2 5 9 2 12" xfId="42882" xr:uid="{00000000-0005-0000-0000-0000452E0000}"/>
    <cellStyle name="Comma 2 5 9 2 13" xfId="44987" xr:uid="{00000000-0005-0000-0000-0000462E0000}"/>
    <cellStyle name="Comma 2 5 9 2 2" xfId="15661" xr:uid="{00000000-0005-0000-0000-0000472E0000}"/>
    <cellStyle name="Comma 2 5 9 2 3" xfId="30159" xr:uid="{00000000-0005-0000-0000-0000482E0000}"/>
    <cellStyle name="Comma 2 5 9 2 4" xfId="31404" xr:uid="{00000000-0005-0000-0000-0000492E0000}"/>
    <cellStyle name="Comma 2 5 9 2 5" xfId="31982" xr:uid="{00000000-0005-0000-0000-00004A2E0000}"/>
    <cellStyle name="Comma 2 5 9 2 6" xfId="32624" xr:uid="{00000000-0005-0000-0000-00004B2E0000}"/>
    <cellStyle name="Comma 2 5 9 2 7" xfId="33258" xr:uid="{00000000-0005-0000-0000-00004C2E0000}"/>
    <cellStyle name="Comma 2 5 9 2 8" xfId="33836" xr:uid="{00000000-0005-0000-0000-00004D2E0000}"/>
    <cellStyle name="Comma 2 5 9 2 9" xfId="35081" xr:uid="{00000000-0005-0000-0000-00004E2E0000}"/>
    <cellStyle name="Comma 2 5 9 3" xfId="12039" xr:uid="{00000000-0005-0000-0000-00004F2E0000}"/>
    <cellStyle name="Comma 2 5 9 4" xfId="15660" xr:uid="{00000000-0005-0000-0000-0000502E0000}"/>
    <cellStyle name="Comma 2 5 9 5" xfId="30158" xr:uid="{00000000-0005-0000-0000-0000512E0000}"/>
    <cellStyle name="Comma 2 5 9 6" xfId="30813" xr:uid="{00000000-0005-0000-0000-0000522E0000}"/>
    <cellStyle name="Comma 2 5 9 7" xfId="31981" xr:uid="{00000000-0005-0000-0000-0000532E0000}"/>
    <cellStyle name="Comma 2 5 9 8" xfId="32623" xr:uid="{00000000-0005-0000-0000-0000542E0000}"/>
    <cellStyle name="Comma 2 5 9 9" xfId="33835" xr:uid="{00000000-0005-0000-0000-0000552E0000}"/>
    <cellStyle name="Comma 2 6" xfId="1031" xr:uid="{00000000-0005-0000-0000-0000562E0000}"/>
    <cellStyle name="Comma 2 6 10" xfId="12262" xr:uid="{00000000-0005-0000-0000-0000572E0000}"/>
    <cellStyle name="Comma 2 6 10 10" xfId="39755" xr:uid="{00000000-0005-0000-0000-0000582E0000}"/>
    <cellStyle name="Comma 2 6 10 11" xfId="42668" xr:uid="{00000000-0005-0000-0000-0000592E0000}"/>
    <cellStyle name="Comma 2 6 10 12" xfId="44988" xr:uid="{00000000-0005-0000-0000-00005A2E0000}"/>
    <cellStyle name="Comma 2 6 10 2" xfId="15663" xr:uid="{00000000-0005-0000-0000-00005B2E0000}"/>
    <cellStyle name="Comma 2 6 10 3" xfId="30161" xr:uid="{00000000-0005-0000-0000-00005C2E0000}"/>
    <cellStyle name="Comma 2 6 10 4" xfId="31035" xr:uid="{00000000-0005-0000-0000-00005D2E0000}"/>
    <cellStyle name="Comma 2 6 10 5" xfId="31984" xr:uid="{00000000-0005-0000-0000-00005E2E0000}"/>
    <cellStyle name="Comma 2 6 10 6" xfId="32626" xr:uid="{00000000-0005-0000-0000-00005F2E0000}"/>
    <cellStyle name="Comma 2 6 10 7" xfId="33838" xr:uid="{00000000-0005-0000-0000-0000602E0000}"/>
    <cellStyle name="Comma 2 6 10 8" xfId="34712" xr:uid="{00000000-0005-0000-0000-0000612E0000}"/>
    <cellStyle name="Comma 2 6 10 9" xfId="36820" xr:uid="{00000000-0005-0000-0000-0000622E0000}"/>
    <cellStyle name="Comma 2 6 11" xfId="11668" xr:uid="{00000000-0005-0000-0000-0000632E0000}"/>
    <cellStyle name="Comma 2 6 12" xfId="15662" xr:uid="{00000000-0005-0000-0000-0000642E0000}"/>
    <cellStyle name="Comma 2 6 13" xfId="30160" xr:uid="{00000000-0005-0000-0000-0000652E0000}"/>
    <cellStyle name="Comma 2 6 14" xfId="30444" xr:uid="{00000000-0005-0000-0000-0000662E0000}"/>
    <cellStyle name="Comma 2 6 15" xfId="31983" xr:uid="{00000000-0005-0000-0000-0000672E0000}"/>
    <cellStyle name="Comma 2 6 16" xfId="32625" xr:uid="{00000000-0005-0000-0000-0000682E0000}"/>
    <cellStyle name="Comma 2 6 17" xfId="33837" xr:uid="{00000000-0005-0000-0000-0000692E0000}"/>
    <cellStyle name="Comma 2 6 18" xfId="34121" xr:uid="{00000000-0005-0000-0000-00006A2E0000}"/>
    <cellStyle name="Comma 2 6 19" xfId="35285" xr:uid="{00000000-0005-0000-0000-00006B2E0000}"/>
    <cellStyle name="Comma 2 6 2" xfId="2786" xr:uid="{00000000-0005-0000-0000-00006C2E0000}"/>
    <cellStyle name="Comma 2 6 2 10" xfId="30162" xr:uid="{00000000-0005-0000-0000-00006D2E0000}"/>
    <cellStyle name="Comma 2 6 2 11" xfId="30482" xr:uid="{00000000-0005-0000-0000-00006E2E0000}"/>
    <cellStyle name="Comma 2 6 2 12" xfId="31985" xr:uid="{00000000-0005-0000-0000-00006F2E0000}"/>
    <cellStyle name="Comma 2 6 2 13" xfId="32627" xr:uid="{00000000-0005-0000-0000-0000702E0000}"/>
    <cellStyle name="Comma 2 6 2 14" xfId="33839" xr:uid="{00000000-0005-0000-0000-0000712E0000}"/>
    <cellStyle name="Comma 2 6 2 15" xfId="34159" xr:uid="{00000000-0005-0000-0000-0000722E0000}"/>
    <cellStyle name="Comma 2 6 2 16" xfId="35348" xr:uid="{00000000-0005-0000-0000-0000732E0000}"/>
    <cellStyle name="Comma 2 6 2 17" xfId="36211" xr:uid="{00000000-0005-0000-0000-0000742E0000}"/>
    <cellStyle name="Comma 2 6 2 18" xfId="37446" xr:uid="{00000000-0005-0000-0000-0000752E0000}"/>
    <cellStyle name="Comma 2 6 2 19" xfId="41393" xr:uid="{00000000-0005-0000-0000-0000762E0000}"/>
    <cellStyle name="Comma 2 6 2 2" xfId="5097" xr:uid="{00000000-0005-0000-0000-0000772E0000}"/>
    <cellStyle name="Comma 2 6 2 2 10" xfId="32628" xr:uid="{00000000-0005-0000-0000-0000782E0000}"/>
    <cellStyle name="Comma 2 6 2 2 11" xfId="33840" xr:uid="{00000000-0005-0000-0000-0000792E0000}"/>
    <cellStyle name="Comma 2 6 2 2 12" xfId="34185" xr:uid="{00000000-0005-0000-0000-00007A2E0000}"/>
    <cellStyle name="Comma 2 6 2 2 13" xfId="36052" xr:uid="{00000000-0005-0000-0000-00007B2E0000}"/>
    <cellStyle name="Comma 2 6 2 2 14" xfId="36352" xr:uid="{00000000-0005-0000-0000-00007C2E0000}"/>
    <cellStyle name="Comma 2 6 2 2 15" xfId="37520" xr:uid="{00000000-0005-0000-0000-00007D2E0000}"/>
    <cellStyle name="Comma 2 6 2 2 16" xfId="41466" xr:uid="{00000000-0005-0000-0000-00007E2E0000}"/>
    <cellStyle name="Comma 2 6 2 2 17" xfId="44989" xr:uid="{00000000-0005-0000-0000-00007F2E0000}"/>
    <cellStyle name="Comma 2 6 2 2 18" xfId="7348" xr:uid="{00000000-0005-0000-0000-0000802E0000}"/>
    <cellStyle name="Comma 2 6 2 2 2" xfId="6066" xr:uid="{00000000-0005-0000-0000-0000812E0000}"/>
    <cellStyle name="Comma 2 6 2 2 2 10" xfId="33841" xr:uid="{00000000-0005-0000-0000-0000822E0000}"/>
    <cellStyle name="Comma 2 6 2 2 2 11" xfId="34337" xr:uid="{00000000-0005-0000-0000-0000832E0000}"/>
    <cellStyle name="Comma 2 6 2 2 2 12" xfId="36506" xr:uid="{00000000-0005-0000-0000-0000842E0000}"/>
    <cellStyle name="Comma 2 6 2 2 2 13" xfId="38831" xr:uid="{00000000-0005-0000-0000-0000852E0000}"/>
    <cellStyle name="Comma 2 6 2 2 2 14" xfId="41870" xr:uid="{00000000-0005-0000-0000-0000862E0000}"/>
    <cellStyle name="Comma 2 6 2 2 2 15" xfId="44990" xr:uid="{00000000-0005-0000-0000-0000872E0000}"/>
    <cellStyle name="Comma 2 6 2 2 2 16" xfId="8607" xr:uid="{00000000-0005-0000-0000-0000882E0000}"/>
    <cellStyle name="Comma 2 6 2 2 2 2" xfId="8851" xr:uid="{00000000-0005-0000-0000-0000892E0000}"/>
    <cellStyle name="Comma 2 6 2 2 2 2 10" xfId="34518" xr:uid="{00000000-0005-0000-0000-00008A2E0000}"/>
    <cellStyle name="Comma 2 6 2 2 2 2 11" xfId="36686" xr:uid="{00000000-0005-0000-0000-00008B2E0000}"/>
    <cellStyle name="Comma 2 6 2 2 2 2 12" xfId="40380" xr:uid="{00000000-0005-0000-0000-00008C2E0000}"/>
    <cellStyle name="Comma 2 6 2 2 2 2 13" xfId="43198" xr:uid="{00000000-0005-0000-0000-00008D2E0000}"/>
    <cellStyle name="Comma 2 6 2 2 2 2 14" xfId="44991" xr:uid="{00000000-0005-0000-0000-00008E2E0000}"/>
    <cellStyle name="Comma 2 6 2 2 2 2 2" xfId="12850" xr:uid="{00000000-0005-0000-0000-00008F2E0000}"/>
    <cellStyle name="Comma 2 6 2 2 2 2 2 2" xfId="31432" xr:uid="{00000000-0005-0000-0000-0000902E0000}"/>
    <cellStyle name="Comma 2 6 2 2 2 2 2 3" xfId="33285" xr:uid="{00000000-0005-0000-0000-0000912E0000}"/>
    <cellStyle name="Comma 2 6 2 2 2 2 2 4" xfId="35109" xr:uid="{00000000-0005-0000-0000-0000922E0000}"/>
    <cellStyle name="Comma 2 6 2 2 2 2 2 5" xfId="37207" xr:uid="{00000000-0005-0000-0000-0000932E0000}"/>
    <cellStyle name="Comma 2 6 2 2 2 2 3" xfId="12067" xr:uid="{00000000-0005-0000-0000-0000942E0000}"/>
    <cellStyle name="Comma 2 6 2 2 2 2 4" xfId="15667" xr:uid="{00000000-0005-0000-0000-0000952E0000}"/>
    <cellStyle name="Comma 2 6 2 2 2 2 5" xfId="30165" xr:uid="{00000000-0005-0000-0000-0000962E0000}"/>
    <cellStyle name="Comma 2 6 2 2 2 2 6" xfId="30841" xr:uid="{00000000-0005-0000-0000-0000972E0000}"/>
    <cellStyle name="Comma 2 6 2 2 2 2 7" xfId="31988" xr:uid="{00000000-0005-0000-0000-0000982E0000}"/>
    <cellStyle name="Comma 2 6 2 2 2 2 8" xfId="32630" xr:uid="{00000000-0005-0000-0000-0000992E0000}"/>
    <cellStyle name="Comma 2 6 2 2 2 2 9" xfId="33842" xr:uid="{00000000-0005-0000-0000-00009A2E0000}"/>
    <cellStyle name="Comma 2 6 2 2 2 3" xfId="12613" xr:uid="{00000000-0005-0000-0000-00009B2E0000}"/>
    <cellStyle name="Comma 2 6 2 2 2 3 2" xfId="31251" xr:uid="{00000000-0005-0000-0000-00009C2E0000}"/>
    <cellStyle name="Comma 2 6 2 2 2 3 3" xfId="33105" xr:uid="{00000000-0005-0000-0000-00009D2E0000}"/>
    <cellStyle name="Comma 2 6 2 2 2 3 4" xfId="34928" xr:uid="{00000000-0005-0000-0000-00009E2E0000}"/>
    <cellStyle name="Comma 2 6 2 2 2 3 5" xfId="37026" xr:uid="{00000000-0005-0000-0000-00009F2E0000}"/>
    <cellStyle name="Comma 2 6 2 2 2 4" xfId="11886" xr:uid="{00000000-0005-0000-0000-0000A02E0000}"/>
    <cellStyle name="Comma 2 6 2 2 2 5" xfId="15666" xr:uid="{00000000-0005-0000-0000-0000A12E0000}"/>
    <cellStyle name="Comma 2 6 2 2 2 6" xfId="30164" xr:uid="{00000000-0005-0000-0000-0000A22E0000}"/>
    <cellStyle name="Comma 2 6 2 2 2 7" xfId="30660" xr:uid="{00000000-0005-0000-0000-0000A32E0000}"/>
    <cellStyle name="Comma 2 6 2 2 2 8" xfId="31987" xr:uid="{00000000-0005-0000-0000-0000A42E0000}"/>
    <cellStyle name="Comma 2 6 2 2 2 9" xfId="32629" xr:uid="{00000000-0005-0000-0000-0000A52E0000}"/>
    <cellStyle name="Comma 2 6 2 2 3" xfId="6386" xr:uid="{00000000-0005-0000-0000-0000A62E0000}"/>
    <cellStyle name="Comma 2 6 2 2 3 10" xfId="34517" xr:uid="{00000000-0005-0000-0000-0000A72E0000}"/>
    <cellStyle name="Comma 2 6 2 2 3 11" xfId="36685" xr:uid="{00000000-0005-0000-0000-0000A82E0000}"/>
    <cellStyle name="Comma 2 6 2 2 3 12" xfId="39051" xr:uid="{00000000-0005-0000-0000-0000A92E0000}"/>
    <cellStyle name="Comma 2 6 2 2 3 13" xfId="42077" xr:uid="{00000000-0005-0000-0000-0000AA2E0000}"/>
    <cellStyle name="Comma 2 6 2 2 3 14" xfId="44992" xr:uid="{00000000-0005-0000-0000-0000AB2E0000}"/>
    <cellStyle name="Comma 2 6 2 2 3 15" xfId="8850" xr:uid="{00000000-0005-0000-0000-0000AC2E0000}"/>
    <cellStyle name="Comma 2 6 2 2 3 2" xfId="12849" xr:uid="{00000000-0005-0000-0000-0000AD2E0000}"/>
    <cellStyle name="Comma 2 6 2 2 3 2 2" xfId="31431" xr:uid="{00000000-0005-0000-0000-0000AE2E0000}"/>
    <cellStyle name="Comma 2 6 2 2 3 2 3" xfId="33284" xr:uid="{00000000-0005-0000-0000-0000AF2E0000}"/>
    <cellStyle name="Comma 2 6 2 2 3 2 4" xfId="35108" xr:uid="{00000000-0005-0000-0000-0000B02E0000}"/>
    <cellStyle name="Comma 2 6 2 2 3 2 5" xfId="37206" xr:uid="{00000000-0005-0000-0000-0000B12E0000}"/>
    <cellStyle name="Comma 2 6 2 2 3 2 6" xfId="40619" xr:uid="{00000000-0005-0000-0000-0000B22E0000}"/>
    <cellStyle name="Comma 2 6 2 2 3 2 7" xfId="43405" xr:uid="{00000000-0005-0000-0000-0000B32E0000}"/>
    <cellStyle name="Comma 2 6 2 2 3 2 8" xfId="44993" xr:uid="{00000000-0005-0000-0000-0000B42E0000}"/>
    <cellStyle name="Comma 2 6 2 2 3 3" xfId="12066" xr:uid="{00000000-0005-0000-0000-0000B52E0000}"/>
    <cellStyle name="Comma 2 6 2 2 3 4" xfId="15668" xr:uid="{00000000-0005-0000-0000-0000B62E0000}"/>
    <cellStyle name="Comma 2 6 2 2 3 5" xfId="30166" xr:uid="{00000000-0005-0000-0000-0000B72E0000}"/>
    <cellStyle name="Comma 2 6 2 2 3 6" xfId="30840" xr:uid="{00000000-0005-0000-0000-0000B82E0000}"/>
    <cellStyle name="Comma 2 6 2 2 3 7" xfId="31989" xr:uid="{00000000-0005-0000-0000-0000B92E0000}"/>
    <cellStyle name="Comma 2 6 2 2 3 8" xfId="32631" xr:uid="{00000000-0005-0000-0000-0000BA2E0000}"/>
    <cellStyle name="Comma 2 6 2 2 3 9" xfId="33843" xr:uid="{00000000-0005-0000-0000-0000BB2E0000}"/>
    <cellStyle name="Comma 2 6 2 2 4" xfId="12327" xr:uid="{00000000-0005-0000-0000-0000BC2E0000}"/>
    <cellStyle name="Comma 2 6 2 2 4 2" xfId="31099" xr:uid="{00000000-0005-0000-0000-0000BD2E0000}"/>
    <cellStyle name="Comma 2 6 2 2 4 2 2" xfId="41236" xr:uid="{00000000-0005-0000-0000-0000BE2E0000}"/>
    <cellStyle name="Comma 2 6 2 2 4 2 3" xfId="43916" xr:uid="{00000000-0005-0000-0000-0000BF2E0000}"/>
    <cellStyle name="Comma 2 6 2 2 4 2 4" xfId="44994" xr:uid="{00000000-0005-0000-0000-0000C02E0000}"/>
    <cellStyle name="Comma 2 6 2 2 4 3" xfId="32961" xr:uid="{00000000-0005-0000-0000-0000C12E0000}"/>
    <cellStyle name="Comma 2 6 2 2 4 4" xfId="34776" xr:uid="{00000000-0005-0000-0000-0000C22E0000}"/>
    <cellStyle name="Comma 2 6 2 2 4 5" xfId="36882" xr:uid="{00000000-0005-0000-0000-0000C32E0000}"/>
    <cellStyle name="Comma 2 6 2 2 4 6" xfId="39653" xr:uid="{00000000-0005-0000-0000-0000C42E0000}"/>
    <cellStyle name="Comma 2 6 2 2 4 7" xfId="42588" xr:uid="{00000000-0005-0000-0000-0000C52E0000}"/>
    <cellStyle name="Comma 2 6 2 2 4 8" xfId="44995" xr:uid="{00000000-0005-0000-0000-0000C62E0000}"/>
    <cellStyle name="Comma 2 6 2 2 5" xfId="11734" xr:uid="{00000000-0005-0000-0000-0000C72E0000}"/>
    <cellStyle name="Comma 2 6 2 2 5 2" xfId="39895" xr:uid="{00000000-0005-0000-0000-0000C82E0000}"/>
    <cellStyle name="Comma 2 6 2 2 5 3" xfId="42794" xr:uid="{00000000-0005-0000-0000-0000C92E0000}"/>
    <cellStyle name="Comma 2 6 2 2 5 4" xfId="44996" xr:uid="{00000000-0005-0000-0000-0000CA2E0000}"/>
    <cellStyle name="Comma 2 6 2 2 6" xfId="15665" xr:uid="{00000000-0005-0000-0000-0000CB2E0000}"/>
    <cellStyle name="Comma 2 6 2 2 7" xfId="30163" xr:uid="{00000000-0005-0000-0000-0000CC2E0000}"/>
    <cellStyle name="Comma 2 6 2 2 8" xfId="30508" xr:uid="{00000000-0005-0000-0000-0000CD2E0000}"/>
    <cellStyle name="Comma 2 6 2 2 9" xfId="31986" xr:uid="{00000000-0005-0000-0000-0000CE2E0000}"/>
    <cellStyle name="Comma 2 6 2 20" xfId="44997" xr:uid="{00000000-0005-0000-0000-0000CF2E0000}"/>
    <cellStyle name="Comma 2 6 2 21" xfId="6672" xr:uid="{00000000-0005-0000-0000-0000D02E0000}"/>
    <cellStyle name="Comma 2 6 2 3" xfId="4438" xr:uid="{00000000-0005-0000-0000-0000D12E0000}"/>
    <cellStyle name="Comma 2 6 2 3 10" xfId="33844" xr:uid="{00000000-0005-0000-0000-0000D22E0000}"/>
    <cellStyle name="Comma 2 6 2 3 11" xfId="34311" xr:uid="{00000000-0005-0000-0000-0000D32E0000}"/>
    <cellStyle name="Comma 2 6 2 3 12" xfId="35621" xr:uid="{00000000-0005-0000-0000-0000D42E0000}"/>
    <cellStyle name="Comma 2 6 2 3 13" xfId="36494" xr:uid="{00000000-0005-0000-0000-0000D52E0000}"/>
    <cellStyle name="Comma 2 6 2 3 14" xfId="38690" xr:uid="{00000000-0005-0000-0000-0000D62E0000}"/>
    <cellStyle name="Comma 2 6 2 3 15" xfId="41730" xr:uid="{00000000-0005-0000-0000-0000D72E0000}"/>
    <cellStyle name="Comma 2 6 2 3 16" xfId="44998" xr:uid="{00000000-0005-0000-0000-0000D82E0000}"/>
    <cellStyle name="Comma 2 6 2 3 17" xfId="8548" xr:uid="{00000000-0005-0000-0000-0000D92E0000}"/>
    <cellStyle name="Comma 2 6 2 3 2" xfId="5889" xr:uid="{00000000-0005-0000-0000-0000DA2E0000}"/>
    <cellStyle name="Comma 2 6 2 3 2 10" xfId="34519" xr:uid="{00000000-0005-0000-0000-0000DB2E0000}"/>
    <cellStyle name="Comma 2 6 2 3 2 11" xfId="36687" xr:uid="{00000000-0005-0000-0000-0000DC2E0000}"/>
    <cellStyle name="Comma 2 6 2 3 2 12" xfId="39177" xr:uid="{00000000-0005-0000-0000-0000DD2E0000}"/>
    <cellStyle name="Comma 2 6 2 3 2 13" xfId="42185" xr:uid="{00000000-0005-0000-0000-0000DE2E0000}"/>
    <cellStyle name="Comma 2 6 2 3 2 14" xfId="44999" xr:uid="{00000000-0005-0000-0000-0000DF2E0000}"/>
    <cellStyle name="Comma 2 6 2 3 2 15" xfId="8852" xr:uid="{00000000-0005-0000-0000-0000E02E0000}"/>
    <cellStyle name="Comma 2 6 2 3 2 2" xfId="12851" xr:uid="{00000000-0005-0000-0000-0000E12E0000}"/>
    <cellStyle name="Comma 2 6 2 3 2 2 2" xfId="31433" xr:uid="{00000000-0005-0000-0000-0000E22E0000}"/>
    <cellStyle name="Comma 2 6 2 3 2 2 3" xfId="33286" xr:uid="{00000000-0005-0000-0000-0000E32E0000}"/>
    <cellStyle name="Comma 2 6 2 3 2 2 4" xfId="35110" xr:uid="{00000000-0005-0000-0000-0000E42E0000}"/>
    <cellStyle name="Comma 2 6 2 3 2 2 5" xfId="37208" xr:uid="{00000000-0005-0000-0000-0000E52E0000}"/>
    <cellStyle name="Comma 2 6 2 3 2 2 6" xfId="40750" xr:uid="{00000000-0005-0000-0000-0000E62E0000}"/>
    <cellStyle name="Comma 2 6 2 3 2 2 7" xfId="43513" xr:uid="{00000000-0005-0000-0000-0000E72E0000}"/>
    <cellStyle name="Comma 2 6 2 3 2 2 8" xfId="45000" xr:uid="{00000000-0005-0000-0000-0000E82E0000}"/>
    <cellStyle name="Comma 2 6 2 3 2 3" xfId="12068" xr:uid="{00000000-0005-0000-0000-0000E92E0000}"/>
    <cellStyle name="Comma 2 6 2 3 2 4" xfId="15670" xr:uid="{00000000-0005-0000-0000-0000EA2E0000}"/>
    <cellStyle name="Comma 2 6 2 3 2 5" xfId="30168" xr:uid="{00000000-0005-0000-0000-0000EB2E0000}"/>
    <cellStyle name="Comma 2 6 2 3 2 6" xfId="30842" xr:uid="{00000000-0005-0000-0000-0000EC2E0000}"/>
    <cellStyle name="Comma 2 6 2 3 2 7" xfId="31991" xr:uid="{00000000-0005-0000-0000-0000ED2E0000}"/>
    <cellStyle name="Comma 2 6 2 3 2 8" xfId="32633" xr:uid="{00000000-0005-0000-0000-0000EE2E0000}"/>
    <cellStyle name="Comma 2 6 2 3 2 9" xfId="33845" xr:uid="{00000000-0005-0000-0000-0000EF2E0000}"/>
    <cellStyle name="Comma 2 6 2 3 3" xfId="12583" xr:uid="{00000000-0005-0000-0000-0000F02E0000}"/>
    <cellStyle name="Comma 2 6 2 3 3 2" xfId="31225" xr:uid="{00000000-0005-0000-0000-0000F12E0000}"/>
    <cellStyle name="Comma 2 6 2 3 3 2 2" xfId="41064" xr:uid="{00000000-0005-0000-0000-0000F22E0000}"/>
    <cellStyle name="Comma 2 6 2 3 3 2 3" xfId="43776" xr:uid="{00000000-0005-0000-0000-0000F32E0000}"/>
    <cellStyle name="Comma 2 6 2 3 3 2 4" xfId="45001" xr:uid="{00000000-0005-0000-0000-0000F42E0000}"/>
    <cellStyle name="Comma 2 6 2 3 3 3" xfId="33081" xr:uid="{00000000-0005-0000-0000-0000F52E0000}"/>
    <cellStyle name="Comma 2 6 2 3 3 4" xfId="34902" xr:uid="{00000000-0005-0000-0000-0000F62E0000}"/>
    <cellStyle name="Comma 2 6 2 3 3 5" xfId="37002" xr:uid="{00000000-0005-0000-0000-0000F72E0000}"/>
    <cellStyle name="Comma 2 6 2 3 3 6" xfId="39488" xr:uid="{00000000-0005-0000-0000-0000F82E0000}"/>
    <cellStyle name="Comma 2 6 2 3 3 7" xfId="42448" xr:uid="{00000000-0005-0000-0000-0000F92E0000}"/>
    <cellStyle name="Comma 2 6 2 3 3 8" xfId="45002" xr:uid="{00000000-0005-0000-0000-0000FA2E0000}"/>
    <cellStyle name="Comma 2 6 2 3 4" xfId="11860" xr:uid="{00000000-0005-0000-0000-0000FB2E0000}"/>
    <cellStyle name="Comma 2 6 2 3 4 2" xfId="40209" xr:uid="{00000000-0005-0000-0000-0000FC2E0000}"/>
    <cellStyle name="Comma 2 6 2 3 4 3" xfId="43058" xr:uid="{00000000-0005-0000-0000-0000FD2E0000}"/>
    <cellStyle name="Comma 2 6 2 3 4 4" xfId="45003" xr:uid="{00000000-0005-0000-0000-0000FE2E0000}"/>
    <cellStyle name="Comma 2 6 2 3 5" xfId="15669" xr:uid="{00000000-0005-0000-0000-0000FF2E0000}"/>
    <cellStyle name="Comma 2 6 2 3 6" xfId="30167" xr:uid="{00000000-0005-0000-0000-0000002F0000}"/>
    <cellStyle name="Comma 2 6 2 3 7" xfId="30634" xr:uid="{00000000-0005-0000-0000-0000012F0000}"/>
    <cellStyle name="Comma 2 6 2 3 8" xfId="31990" xr:uid="{00000000-0005-0000-0000-0000022F0000}"/>
    <cellStyle name="Comma 2 6 2 3 9" xfId="32632" xr:uid="{00000000-0005-0000-0000-0000032F0000}"/>
    <cellStyle name="Comma 2 6 2 4" xfId="5751" xr:uid="{00000000-0005-0000-0000-0000042F0000}"/>
    <cellStyle name="Comma 2 6 2 4 10" xfId="33846" xr:uid="{00000000-0005-0000-0000-0000052F0000}"/>
    <cellStyle name="Comma 2 6 2 4 11" xfId="34213" xr:uid="{00000000-0005-0000-0000-0000062F0000}"/>
    <cellStyle name="Comma 2 6 2 4 12" xfId="36440" xr:uid="{00000000-0005-0000-0000-0000072F0000}"/>
    <cellStyle name="Comma 2 6 2 4 13" xfId="38118" xr:uid="{00000000-0005-0000-0000-0000082F0000}"/>
    <cellStyle name="Comma 2 6 2 4 14" xfId="41615" xr:uid="{00000000-0005-0000-0000-0000092F0000}"/>
    <cellStyle name="Comma 2 6 2 4 15" xfId="45004" xr:uid="{00000000-0005-0000-0000-00000A2F0000}"/>
    <cellStyle name="Comma 2 6 2 4 16" xfId="8104" xr:uid="{00000000-0005-0000-0000-00000B2F0000}"/>
    <cellStyle name="Comma 2 6 2 4 2" xfId="8853" xr:uid="{00000000-0005-0000-0000-00000C2F0000}"/>
    <cellStyle name="Comma 2 6 2 4 2 10" xfId="34520" xr:uid="{00000000-0005-0000-0000-00000D2F0000}"/>
    <cellStyle name="Comma 2 6 2 4 2 11" xfId="36688" xr:uid="{00000000-0005-0000-0000-00000E2F0000}"/>
    <cellStyle name="Comma 2 6 2 4 2 12" xfId="40074" xr:uid="{00000000-0005-0000-0000-00000F2F0000}"/>
    <cellStyle name="Comma 2 6 2 4 2 13" xfId="42943" xr:uid="{00000000-0005-0000-0000-0000102F0000}"/>
    <cellStyle name="Comma 2 6 2 4 2 14" xfId="45005" xr:uid="{00000000-0005-0000-0000-0000112F0000}"/>
    <cellStyle name="Comma 2 6 2 4 2 2" xfId="12852" xr:uid="{00000000-0005-0000-0000-0000122F0000}"/>
    <cellStyle name="Comma 2 6 2 4 2 2 2" xfId="31434" xr:uid="{00000000-0005-0000-0000-0000132F0000}"/>
    <cellStyle name="Comma 2 6 2 4 2 2 3" xfId="33287" xr:uid="{00000000-0005-0000-0000-0000142F0000}"/>
    <cellStyle name="Comma 2 6 2 4 2 2 4" xfId="35111" xr:uid="{00000000-0005-0000-0000-0000152F0000}"/>
    <cellStyle name="Comma 2 6 2 4 2 2 5" xfId="37209" xr:uid="{00000000-0005-0000-0000-0000162F0000}"/>
    <cellStyle name="Comma 2 6 2 4 2 3" xfId="12069" xr:uid="{00000000-0005-0000-0000-0000172F0000}"/>
    <cellStyle name="Comma 2 6 2 4 2 4" xfId="15672" xr:uid="{00000000-0005-0000-0000-0000182F0000}"/>
    <cellStyle name="Comma 2 6 2 4 2 5" xfId="30170" xr:uid="{00000000-0005-0000-0000-0000192F0000}"/>
    <cellStyle name="Comma 2 6 2 4 2 6" xfId="30843" xr:uid="{00000000-0005-0000-0000-00001A2F0000}"/>
    <cellStyle name="Comma 2 6 2 4 2 7" xfId="31993" xr:uid="{00000000-0005-0000-0000-00001B2F0000}"/>
    <cellStyle name="Comma 2 6 2 4 2 8" xfId="32635" xr:uid="{00000000-0005-0000-0000-00001C2F0000}"/>
    <cellStyle name="Comma 2 6 2 4 2 9" xfId="33847" xr:uid="{00000000-0005-0000-0000-00001D2F0000}"/>
    <cellStyle name="Comma 2 6 2 4 3" xfId="12416" xr:uid="{00000000-0005-0000-0000-00001E2F0000}"/>
    <cellStyle name="Comma 2 6 2 4 3 2" xfId="31127" xr:uid="{00000000-0005-0000-0000-00001F2F0000}"/>
    <cellStyle name="Comma 2 6 2 4 3 3" xfId="32989" xr:uid="{00000000-0005-0000-0000-0000202F0000}"/>
    <cellStyle name="Comma 2 6 2 4 3 4" xfId="34804" xr:uid="{00000000-0005-0000-0000-0000212F0000}"/>
    <cellStyle name="Comma 2 6 2 4 3 5" xfId="36910" xr:uid="{00000000-0005-0000-0000-0000222F0000}"/>
    <cellStyle name="Comma 2 6 2 4 4" xfId="11762" xr:uid="{00000000-0005-0000-0000-0000232F0000}"/>
    <cellStyle name="Comma 2 6 2 4 5" xfId="15671" xr:uid="{00000000-0005-0000-0000-0000242F0000}"/>
    <cellStyle name="Comma 2 6 2 4 6" xfId="30169" xr:uid="{00000000-0005-0000-0000-0000252F0000}"/>
    <cellStyle name="Comma 2 6 2 4 7" xfId="30536" xr:uid="{00000000-0005-0000-0000-0000262F0000}"/>
    <cellStyle name="Comma 2 6 2 4 8" xfId="31992" xr:uid="{00000000-0005-0000-0000-0000272F0000}"/>
    <cellStyle name="Comma 2 6 2 4 9" xfId="32634" xr:uid="{00000000-0005-0000-0000-0000282F0000}"/>
    <cellStyle name="Comma 2 6 2 5" xfId="6210" xr:uid="{00000000-0005-0000-0000-0000292F0000}"/>
    <cellStyle name="Comma 2 6 2 5 10" xfId="34516" xr:uid="{00000000-0005-0000-0000-00002A2F0000}"/>
    <cellStyle name="Comma 2 6 2 5 11" xfId="36684" xr:uid="{00000000-0005-0000-0000-00002B2F0000}"/>
    <cellStyle name="Comma 2 6 2 5 12" xfId="38948" xr:uid="{00000000-0005-0000-0000-00002C2F0000}"/>
    <cellStyle name="Comma 2 6 2 5 13" xfId="41979" xr:uid="{00000000-0005-0000-0000-00002D2F0000}"/>
    <cellStyle name="Comma 2 6 2 5 14" xfId="45006" xr:uid="{00000000-0005-0000-0000-00002E2F0000}"/>
    <cellStyle name="Comma 2 6 2 5 15" xfId="8849" xr:uid="{00000000-0005-0000-0000-00002F2F0000}"/>
    <cellStyle name="Comma 2 6 2 5 2" xfId="12848" xr:uid="{00000000-0005-0000-0000-0000302F0000}"/>
    <cellStyle name="Comma 2 6 2 5 2 2" xfId="31430" xr:uid="{00000000-0005-0000-0000-0000312F0000}"/>
    <cellStyle name="Comma 2 6 2 5 2 3" xfId="33283" xr:uid="{00000000-0005-0000-0000-0000322F0000}"/>
    <cellStyle name="Comma 2 6 2 5 2 4" xfId="35107" xr:uid="{00000000-0005-0000-0000-0000332F0000}"/>
    <cellStyle name="Comma 2 6 2 5 2 5" xfId="37205" xr:uid="{00000000-0005-0000-0000-0000342F0000}"/>
    <cellStyle name="Comma 2 6 2 5 2 6" xfId="40506" xr:uid="{00000000-0005-0000-0000-0000352F0000}"/>
    <cellStyle name="Comma 2 6 2 5 2 7" xfId="43307" xr:uid="{00000000-0005-0000-0000-0000362F0000}"/>
    <cellStyle name="Comma 2 6 2 5 2 8" xfId="45007" xr:uid="{00000000-0005-0000-0000-0000372F0000}"/>
    <cellStyle name="Comma 2 6 2 5 3" xfId="12065" xr:uid="{00000000-0005-0000-0000-0000382F0000}"/>
    <cellStyle name="Comma 2 6 2 5 4" xfId="15673" xr:uid="{00000000-0005-0000-0000-0000392F0000}"/>
    <cellStyle name="Comma 2 6 2 5 5" xfId="30171" xr:uid="{00000000-0005-0000-0000-00003A2F0000}"/>
    <cellStyle name="Comma 2 6 2 5 6" xfId="30839" xr:uid="{00000000-0005-0000-0000-00003B2F0000}"/>
    <cellStyle name="Comma 2 6 2 5 7" xfId="31994" xr:uid="{00000000-0005-0000-0000-00003C2F0000}"/>
    <cellStyle name="Comma 2 6 2 5 8" xfId="32636" xr:uid="{00000000-0005-0000-0000-00003D2F0000}"/>
    <cellStyle name="Comma 2 6 2 5 9" xfId="33848" xr:uid="{00000000-0005-0000-0000-00003E2F0000}"/>
    <cellStyle name="Comma 2 6 2 6" xfId="11528" xr:uid="{00000000-0005-0000-0000-00003F2F0000}"/>
    <cellStyle name="Comma 2 6 2 6 10" xfId="34642" xr:uid="{00000000-0005-0000-0000-0000402F0000}"/>
    <cellStyle name="Comma 2 6 2 6 11" xfId="36770" xr:uid="{00000000-0005-0000-0000-0000412F0000}"/>
    <cellStyle name="Comma 2 6 2 6 12" xfId="39355" xr:uid="{00000000-0005-0000-0000-0000422F0000}"/>
    <cellStyle name="Comma 2 6 2 6 13" xfId="42333" xr:uid="{00000000-0005-0000-0000-0000432F0000}"/>
    <cellStyle name="Comma 2 6 2 6 14" xfId="45008" xr:uid="{00000000-0005-0000-0000-0000442F0000}"/>
    <cellStyle name="Comma 2 6 2 6 2" xfId="15149" xr:uid="{00000000-0005-0000-0000-0000452F0000}"/>
    <cellStyle name="Comma 2 6 2 6 2 2" xfId="31556" xr:uid="{00000000-0005-0000-0000-0000462F0000}"/>
    <cellStyle name="Comma 2 6 2 6 2 3" xfId="33409" xr:uid="{00000000-0005-0000-0000-0000472F0000}"/>
    <cellStyle name="Comma 2 6 2 6 2 4" xfId="35233" xr:uid="{00000000-0005-0000-0000-0000482F0000}"/>
    <cellStyle name="Comma 2 6 2 6 2 5" xfId="37313" xr:uid="{00000000-0005-0000-0000-0000492F0000}"/>
    <cellStyle name="Comma 2 6 2 6 2 6" xfId="40926" xr:uid="{00000000-0005-0000-0000-00004A2F0000}"/>
    <cellStyle name="Comma 2 6 2 6 2 7" xfId="43661" xr:uid="{00000000-0005-0000-0000-00004B2F0000}"/>
    <cellStyle name="Comma 2 6 2 6 2 8" xfId="45009" xr:uid="{00000000-0005-0000-0000-00004C2F0000}"/>
    <cellStyle name="Comma 2 6 2 6 3" xfId="12191" xr:uid="{00000000-0005-0000-0000-00004D2F0000}"/>
    <cellStyle name="Comma 2 6 2 6 4" xfId="15674" xr:uid="{00000000-0005-0000-0000-00004E2F0000}"/>
    <cellStyle name="Comma 2 6 2 6 5" xfId="30172" xr:uid="{00000000-0005-0000-0000-00004F2F0000}"/>
    <cellStyle name="Comma 2 6 2 6 6" xfId="30965" xr:uid="{00000000-0005-0000-0000-0000502F0000}"/>
    <cellStyle name="Comma 2 6 2 6 7" xfId="31995" xr:uid="{00000000-0005-0000-0000-0000512F0000}"/>
    <cellStyle name="Comma 2 6 2 6 8" xfId="32637" xr:uid="{00000000-0005-0000-0000-0000522F0000}"/>
    <cellStyle name="Comma 2 6 2 6 9" xfId="33849" xr:uid="{00000000-0005-0000-0000-0000532F0000}"/>
    <cellStyle name="Comma 2 6 2 7" xfId="12300" xr:uid="{00000000-0005-0000-0000-0000542F0000}"/>
    <cellStyle name="Comma 2 6 2 7 2" xfId="31073" xr:uid="{00000000-0005-0000-0000-0000552F0000}"/>
    <cellStyle name="Comma 2 6 2 7 3" xfId="32941" xr:uid="{00000000-0005-0000-0000-0000562F0000}"/>
    <cellStyle name="Comma 2 6 2 7 4" xfId="34750" xr:uid="{00000000-0005-0000-0000-0000572F0000}"/>
    <cellStyle name="Comma 2 6 2 7 5" xfId="36858" xr:uid="{00000000-0005-0000-0000-0000582F0000}"/>
    <cellStyle name="Comma 2 6 2 7 6" xfId="39813" xr:uid="{00000000-0005-0000-0000-0000592F0000}"/>
    <cellStyle name="Comma 2 6 2 7 7" xfId="42721" xr:uid="{00000000-0005-0000-0000-00005A2F0000}"/>
    <cellStyle name="Comma 2 6 2 7 8" xfId="45010" xr:uid="{00000000-0005-0000-0000-00005B2F0000}"/>
    <cellStyle name="Comma 2 6 2 8" xfId="11707" xr:uid="{00000000-0005-0000-0000-00005C2F0000}"/>
    <cellStyle name="Comma 2 6 2 9" xfId="15664" xr:uid="{00000000-0005-0000-0000-00005D2F0000}"/>
    <cellStyle name="Comma 2 6 20" xfId="36210" xr:uid="{00000000-0005-0000-0000-00005E2F0000}"/>
    <cellStyle name="Comma 2 6 21" xfId="37392" xr:uid="{00000000-0005-0000-0000-00005F2F0000}"/>
    <cellStyle name="Comma 2 6 22" xfId="41340" xr:uid="{00000000-0005-0000-0000-0000602F0000}"/>
    <cellStyle name="Comma 2 6 23" xfId="45011" xr:uid="{00000000-0005-0000-0000-0000612F0000}"/>
    <cellStyle name="Comma 2 6 24" xfId="6560" xr:uid="{00000000-0005-0000-0000-0000622F0000}"/>
    <cellStyle name="Comma 2 6 3" xfId="2787" xr:uid="{00000000-0005-0000-0000-0000632F0000}"/>
    <cellStyle name="Comma 2 6 3 10" xfId="32638" xr:uid="{00000000-0005-0000-0000-0000642F0000}"/>
    <cellStyle name="Comma 2 6 3 11" xfId="33850" xr:uid="{00000000-0005-0000-0000-0000652F0000}"/>
    <cellStyle name="Comma 2 6 3 12" xfId="34186" xr:uid="{00000000-0005-0000-0000-0000662F0000}"/>
    <cellStyle name="Comma 2 6 3 13" xfId="35349" xr:uid="{00000000-0005-0000-0000-0000672F0000}"/>
    <cellStyle name="Comma 2 6 3 14" xfId="36212" xr:uid="{00000000-0005-0000-0000-0000682F0000}"/>
    <cellStyle name="Comma 2 6 3 15" xfId="37445" xr:uid="{00000000-0005-0000-0000-0000692F0000}"/>
    <cellStyle name="Comma 2 6 3 16" xfId="41392" xr:uid="{00000000-0005-0000-0000-00006A2F0000}"/>
    <cellStyle name="Comma 2 6 3 17" xfId="45012" xr:uid="{00000000-0005-0000-0000-00006B2F0000}"/>
    <cellStyle name="Comma 2 6 3 18" xfId="7349" xr:uid="{00000000-0005-0000-0000-00006C2F0000}"/>
    <cellStyle name="Comma 2 6 3 2" xfId="5098" xr:uid="{00000000-0005-0000-0000-00006D2F0000}"/>
    <cellStyle name="Comma 2 6 3 2 10" xfId="33851" xr:uid="{00000000-0005-0000-0000-00006E2F0000}"/>
    <cellStyle name="Comma 2 6 3 2 11" xfId="34338" xr:uid="{00000000-0005-0000-0000-00006F2F0000}"/>
    <cellStyle name="Comma 2 6 3 2 12" xfId="36053" xr:uid="{00000000-0005-0000-0000-0000702F0000}"/>
    <cellStyle name="Comma 2 6 3 2 13" xfId="36353" xr:uid="{00000000-0005-0000-0000-0000712F0000}"/>
    <cellStyle name="Comma 2 6 3 2 14" xfId="37573" xr:uid="{00000000-0005-0000-0000-0000722F0000}"/>
    <cellStyle name="Comma 2 6 3 2 15" xfId="41519" xr:uid="{00000000-0005-0000-0000-0000732F0000}"/>
    <cellStyle name="Comma 2 6 3 2 16" xfId="45013" xr:uid="{00000000-0005-0000-0000-0000742F0000}"/>
    <cellStyle name="Comma 2 6 3 2 17" xfId="8608" xr:uid="{00000000-0005-0000-0000-0000752F0000}"/>
    <cellStyle name="Comma 2 6 3 2 2" xfId="6067" xr:uid="{00000000-0005-0000-0000-0000762F0000}"/>
    <cellStyle name="Comma 2 6 3 2 2 10" xfId="34522" xr:uid="{00000000-0005-0000-0000-0000772F0000}"/>
    <cellStyle name="Comma 2 6 3 2 2 11" xfId="36690" xr:uid="{00000000-0005-0000-0000-0000782F0000}"/>
    <cellStyle name="Comma 2 6 3 2 2 12" xfId="38832" xr:uid="{00000000-0005-0000-0000-0000792F0000}"/>
    <cellStyle name="Comma 2 6 3 2 2 13" xfId="41871" xr:uid="{00000000-0005-0000-0000-00007A2F0000}"/>
    <cellStyle name="Comma 2 6 3 2 2 14" xfId="45014" xr:uid="{00000000-0005-0000-0000-00007B2F0000}"/>
    <cellStyle name="Comma 2 6 3 2 2 15" xfId="8855" xr:uid="{00000000-0005-0000-0000-00007C2F0000}"/>
    <cellStyle name="Comma 2 6 3 2 2 2" xfId="12854" xr:uid="{00000000-0005-0000-0000-00007D2F0000}"/>
    <cellStyle name="Comma 2 6 3 2 2 2 2" xfId="31436" xr:uid="{00000000-0005-0000-0000-00007E2F0000}"/>
    <cellStyle name="Comma 2 6 3 2 2 2 3" xfId="33289" xr:uid="{00000000-0005-0000-0000-00007F2F0000}"/>
    <cellStyle name="Comma 2 6 3 2 2 2 4" xfId="35113" xr:uid="{00000000-0005-0000-0000-0000802F0000}"/>
    <cellStyle name="Comma 2 6 3 2 2 2 5" xfId="37211" xr:uid="{00000000-0005-0000-0000-0000812F0000}"/>
    <cellStyle name="Comma 2 6 3 2 2 2 6" xfId="40381" xr:uid="{00000000-0005-0000-0000-0000822F0000}"/>
    <cellStyle name="Comma 2 6 3 2 2 2 7" xfId="43199" xr:uid="{00000000-0005-0000-0000-0000832F0000}"/>
    <cellStyle name="Comma 2 6 3 2 2 2 8" xfId="45015" xr:uid="{00000000-0005-0000-0000-0000842F0000}"/>
    <cellStyle name="Comma 2 6 3 2 2 3" xfId="12071" xr:uid="{00000000-0005-0000-0000-0000852F0000}"/>
    <cellStyle name="Comma 2 6 3 2 2 4" xfId="15677" xr:uid="{00000000-0005-0000-0000-0000862F0000}"/>
    <cellStyle name="Comma 2 6 3 2 2 5" xfId="30175" xr:uid="{00000000-0005-0000-0000-0000872F0000}"/>
    <cellStyle name="Comma 2 6 3 2 2 6" xfId="30845" xr:uid="{00000000-0005-0000-0000-0000882F0000}"/>
    <cellStyle name="Comma 2 6 3 2 2 7" xfId="31998" xr:uid="{00000000-0005-0000-0000-0000892F0000}"/>
    <cellStyle name="Comma 2 6 3 2 2 8" xfId="32640" xr:uid="{00000000-0005-0000-0000-00008A2F0000}"/>
    <cellStyle name="Comma 2 6 3 2 2 9" xfId="33852" xr:uid="{00000000-0005-0000-0000-00008B2F0000}"/>
    <cellStyle name="Comma 2 6 3 2 3" xfId="6387" xr:uid="{00000000-0005-0000-0000-00008C2F0000}"/>
    <cellStyle name="Comma 2 6 3 2 3 2" xfId="31252" xr:uid="{00000000-0005-0000-0000-00008D2F0000}"/>
    <cellStyle name="Comma 2 6 3 2 3 2 2" xfId="40795" xr:uid="{00000000-0005-0000-0000-00008E2F0000}"/>
    <cellStyle name="Comma 2 6 3 2 3 2 3" xfId="43550" xr:uid="{00000000-0005-0000-0000-00008F2F0000}"/>
    <cellStyle name="Comma 2 6 3 2 3 2 4" xfId="45016" xr:uid="{00000000-0005-0000-0000-0000902F0000}"/>
    <cellStyle name="Comma 2 6 3 2 3 3" xfId="33106" xr:uid="{00000000-0005-0000-0000-0000912F0000}"/>
    <cellStyle name="Comma 2 6 3 2 3 4" xfId="34929" xr:uid="{00000000-0005-0000-0000-0000922F0000}"/>
    <cellStyle name="Comma 2 6 3 2 3 5" xfId="37027" xr:uid="{00000000-0005-0000-0000-0000932F0000}"/>
    <cellStyle name="Comma 2 6 3 2 3 6" xfId="39232" xr:uid="{00000000-0005-0000-0000-0000942F0000}"/>
    <cellStyle name="Comma 2 6 3 2 3 7" xfId="42222" xr:uid="{00000000-0005-0000-0000-0000952F0000}"/>
    <cellStyle name="Comma 2 6 3 2 3 8" xfId="45017" xr:uid="{00000000-0005-0000-0000-0000962F0000}"/>
    <cellStyle name="Comma 2 6 3 2 3 9" xfId="12614" xr:uid="{00000000-0005-0000-0000-0000972F0000}"/>
    <cellStyle name="Comma 2 6 3 2 4" xfId="11887" xr:uid="{00000000-0005-0000-0000-0000982F0000}"/>
    <cellStyle name="Comma 2 6 3 2 4 2" xfId="41237" xr:uid="{00000000-0005-0000-0000-0000992F0000}"/>
    <cellStyle name="Comma 2 6 3 2 4 2 2" xfId="43917" xr:uid="{00000000-0005-0000-0000-00009A2F0000}"/>
    <cellStyle name="Comma 2 6 3 2 4 2 3" xfId="45018" xr:uid="{00000000-0005-0000-0000-00009B2F0000}"/>
    <cellStyle name="Comma 2 6 3 2 4 3" xfId="39654" xr:uid="{00000000-0005-0000-0000-00009C2F0000}"/>
    <cellStyle name="Comma 2 6 3 2 4 4" xfId="42589" xr:uid="{00000000-0005-0000-0000-00009D2F0000}"/>
    <cellStyle name="Comma 2 6 3 2 4 5" xfId="45019" xr:uid="{00000000-0005-0000-0000-00009E2F0000}"/>
    <cellStyle name="Comma 2 6 3 2 5" xfId="15676" xr:uid="{00000000-0005-0000-0000-00009F2F0000}"/>
    <cellStyle name="Comma 2 6 3 2 5 2" xfId="39959" xr:uid="{00000000-0005-0000-0000-0000A02F0000}"/>
    <cellStyle name="Comma 2 6 3 2 5 3" xfId="42847" xr:uid="{00000000-0005-0000-0000-0000A12F0000}"/>
    <cellStyle name="Comma 2 6 3 2 5 4" xfId="45020" xr:uid="{00000000-0005-0000-0000-0000A22F0000}"/>
    <cellStyle name="Comma 2 6 3 2 6" xfId="30174" xr:uid="{00000000-0005-0000-0000-0000A32F0000}"/>
    <cellStyle name="Comma 2 6 3 2 7" xfId="30661" xr:uid="{00000000-0005-0000-0000-0000A42F0000}"/>
    <cellStyle name="Comma 2 6 3 2 8" xfId="31997" xr:uid="{00000000-0005-0000-0000-0000A52F0000}"/>
    <cellStyle name="Comma 2 6 3 2 9" xfId="32639" xr:uid="{00000000-0005-0000-0000-0000A62F0000}"/>
    <cellStyle name="Comma 2 6 3 3" xfId="4439" xr:uid="{00000000-0005-0000-0000-0000A72F0000}"/>
    <cellStyle name="Comma 2 6 3 3 10" xfId="34521" xr:uid="{00000000-0005-0000-0000-0000A82F0000}"/>
    <cellStyle name="Comma 2 6 3 3 11" xfId="35622" xr:uid="{00000000-0005-0000-0000-0000A92F0000}"/>
    <cellStyle name="Comma 2 6 3 3 12" xfId="36689" xr:uid="{00000000-0005-0000-0000-0000AA2F0000}"/>
    <cellStyle name="Comma 2 6 3 3 13" xfId="38691" xr:uid="{00000000-0005-0000-0000-0000AB2F0000}"/>
    <cellStyle name="Comma 2 6 3 3 14" xfId="41731" xr:uid="{00000000-0005-0000-0000-0000AC2F0000}"/>
    <cellStyle name="Comma 2 6 3 3 15" xfId="45021" xr:uid="{00000000-0005-0000-0000-0000AD2F0000}"/>
    <cellStyle name="Comma 2 6 3 3 16" xfId="8854" xr:uid="{00000000-0005-0000-0000-0000AE2F0000}"/>
    <cellStyle name="Comma 2 6 3 3 2" xfId="5890" xr:uid="{00000000-0005-0000-0000-0000AF2F0000}"/>
    <cellStyle name="Comma 2 6 3 3 2 2" xfId="31435" xr:uid="{00000000-0005-0000-0000-0000B02F0000}"/>
    <cellStyle name="Comma 2 6 3 3 2 2 2" xfId="41065" xr:uid="{00000000-0005-0000-0000-0000B12F0000}"/>
    <cellStyle name="Comma 2 6 3 3 2 2 3" xfId="43777" xr:uid="{00000000-0005-0000-0000-0000B22F0000}"/>
    <cellStyle name="Comma 2 6 3 3 2 2 4" xfId="45022" xr:uid="{00000000-0005-0000-0000-0000B32F0000}"/>
    <cellStyle name="Comma 2 6 3 3 2 3" xfId="33288" xr:uid="{00000000-0005-0000-0000-0000B42F0000}"/>
    <cellStyle name="Comma 2 6 3 3 2 4" xfId="35112" xr:uid="{00000000-0005-0000-0000-0000B52F0000}"/>
    <cellStyle name="Comma 2 6 3 3 2 5" xfId="37210" xr:uid="{00000000-0005-0000-0000-0000B62F0000}"/>
    <cellStyle name="Comma 2 6 3 3 2 6" xfId="39489" xr:uid="{00000000-0005-0000-0000-0000B72F0000}"/>
    <cellStyle name="Comma 2 6 3 3 2 7" xfId="42449" xr:uid="{00000000-0005-0000-0000-0000B82F0000}"/>
    <cellStyle name="Comma 2 6 3 3 2 8" xfId="45023" xr:uid="{00000000-0005-0000-0000-0000B92F0000}"/>
    <cellStyle name="Comma 2 6 3 3 2 9" xfId="12853" xr:uid="{00000000-0005-0000-0000-0000BA2F0000}"/>
    <cellStyle name="Comma 2 6 3 3 3" xfId="12070" xr:uid="{00000000-0005-0000-0000-0000BB2F0000}"/>
    <cellStyle name="Comma 2 6 3 3 3 2" xfId="40210" xr:uid="{00000000-0005-0000-0000-0000BC2F0000}"/>
    <cellStyle name="Comma 2 6 3 3 3 3" xfId="43059" xr:uid="{00000000-0005-0000-0000-0000BD2F0000}"/>
    <cellStyle name="Comma 2 6 3 3 3 4" xfId="45024" xr:uid="{00000000-0005-0000-0000-0000BE2F0000}"/>
    <cellStyle name="Comma 2 6 3 3 4" xfId="15678" xr:uid="{00000000-0005-0000-0000-0000BF2F0000}"/>
    <cellStyle name="Comma 2 6 3 3 5" xfId="30176" xr:uid="{00000000-0005-0000-0000-0000C02F0000}"/>
    <cellStyle name="Comma 2 6 3 3 6" xfId="30844" xr:uid="{00000000-0005-0000-0000-0000C12F0000}"/>
    <cellStyle name="Comma 2 6 3 3 7" xfId="31999" xr:uid="{00000000-0005-0000-0000-0000C22F0000}"/>
    <cellStyle name="Comma 2 6 3 3 8" xfId="32641" xr:uid="{00000000-0005-0000-0000-0000C32F0000}"/>
    <cellStyle name="Comma 2 6 3 3 9" xfId="33853" xr:uid="{00000000-0005-0000-0000-0000C42F0000}"/>
    <cellStyle name="Comma 2 6 3 4" xfId="5752" xr:uid="{00000000-0005-0000-0000-0000C52F0000}"/>
    <cellStyle name="Comma 2 6 3 4 2" xfId="31100" xr:uid="{00000000-0005-0000-0000-0000C62F0000}"/>
    <cellStyle name="Comma 2 6 3 4 2 2" xfId="40075" xr:uid="{00000000-0005-0000-0000-0000C72F0000}"/>
    <cellStyle name="Comma 2 6 3 4 2 3" xfId="42944" xr:uid="{00000000-0005-0000-0000-0000C82F0000}"/>
    <cellStyle name="Comma 2 6 3 4 2 4" xfId="45025" xr:uid="{00000000-0005-0000-0000-0000C92F0000}"/>
    <cellStyle name="Comma 2 6 3 4 3" xfId="32962" xr:uid="{00000000-0005-0000-0000-0000CA2F0000}"/>
    <cellStyle name="Comma 2 6 3 4 4" xfId="34777" xr:uid="{00000000-0005-0000-0000-0000CB2F0000}"/>
    <cellStyle name="Comma 2 6 3 4 5" xfId="36883" xr:uid="{00000000-0005-0000-0000-0000CC2F0000}"/>
    <cellStyle name="Comma 2 6 3 4 6" xfId="38119" xr:uid="{00000000-0005-0000-0000-0000CD2F0000}"/>
    <cellStyle name="Comma 2 6 3 4 7" xfId="41616" xr:uid="{00000000-0005-0000-0000-0000CE2F0000}"/>
    <cellStyle name="Comma 2 6 3 4 8" xfId="45026" xr:uid="{00000000-0005-0000-0000-0000CF2F0000}"/>
    <cellStyle name="Comma 2 6 3 4 9" xfId="12328" xr:uid="{00000000-0005-0000-0000-0000D02F0000}"/>
    <cellStyle name="Comma 2 6 3 5" xfId="6211" xr:uid="{00000000-0005-0000-0000-0000D12F0000}"/>
    <cellStyle name="Comma 2 6 3 5 2" xfId="40620" xr:uid="{00000000-0005-0000-0000-0000D22F0000}"/>
    <cellStyle name="Comma 2 6 3 5 2 2" xfId="43406" xr:uid="{00000000-0005-0000-0000-0000D32F0000}"/>
    <cellStyle name="Comma 2 6 3 5 2 3" xfId="45027" xr:uid="{00000000-0005-0000-0000-0000D42F0000}"/>
    <cellStyle name="Comma 2 6 3 5 3" xfId="39052" xr:uid="{00000000-0005-0000-0000-0000D52F0000}"/>
    <cellStyle name="Comma 2 6 3 5 4" xfId="42078" xr:uid="{00000000-0005-0000-0000-0000D62F0000}"/>
    <cellStyle name="Comma 2 6 3 5 5" xfId="45028" xr:uid="{00000000-0005-0000-0000-0000D72F0000}"/>
    <cellStyle name="Comma 2 6 3 5 6" xfId="11735" xr:uid="{00000000-0005-0000-0000-0000D82F0000}"/>
    <cellStyle name="Comma 2 6 3 6" xfId="15675" xr:uid="{00000000-0005-0000-0000-0000D92F0000}"/>
    <cellStyle name="Comma 2 6 3 6 2" xfId="40927" xr:uid="{00000000-0005-0000-0000-0000DA2F0000}"/>
    <cellStyle name="Comma 2 6 3 6 2 2" xfId="43662" xr:uid="{00000000-0005-0000-0000-0000DB2F0000}"/>
    <cellStyle name="Comma 2 6 3 6 2 3" xfId="45029" xr:uid="{00000000-0005-0000-0000-0000DC2F0000}"/>
    <cellStyle name="Comma 2 6 3 6 3" xfId="39356" xr:uid="{00000000-0005-0000-0000-0000DD2F0000}"/>
    <cellStyle name="Comma 2 6 3 6 4" xfId="42334" xr:uid="{00000000-0005-0000-0000-0000DE2F0000}"/>
    <cellStyle name="Comma 2 6 3 6 5" xfId="45030" xr:uid="{00000000-0005-0000-0000-0000DF2F0000}"/>
    <cellStyle name="Comma 2 6 3 7" xfId="30173" xr:uid="{00000000-0005-0000-0000-0000E02F0000}"/>
    <cellStyle name="Comma 2 6 3 7 2" xfId="39812" xr:uid="{00000000-0005-0000-0000-0000E12F0000}"/>
    <cellStyle name="Comma 2 6 3 7 3" xfId="42720" xr:uid="{00000000-0005-0000-0000-0000E22F0000}"/>
    <cellStyle name="Comma 2 6 3 7 4" xfId="45031" xr:uid="{00000000-0005-0000-0000-0000E32F0000}"/>
    <cellStyle name="Comma 2 6 3 8" xfId="30509" xr:uid="{00000000-0005-0000-0000-0000E42F0000}"/>
    <cellStyle name="Comma 2 6 3 9" xfId="31996" xr:uid="{00000000-0005-0000-0000-0000E52F0000}"/>
    <cellStyle name="Comma 2 6 4" xfId="2785" xr:uid="{00000000-0005-0000-0000-0000E62F0000}"/>
    <cellStyle name="Comma 2 6 4 10" xfId="32642" xr:uid="{00000000-0005-0000-0000-0000E72F0000}"/>
    <cellStyle name="Comma 2 6 4 11" xfId="33854" xr:uid="{00000000-0005-0000-0000-0000E82F0000}"/>
    <cellStyle name="Comma 2 6 4 12" xfId="34187" xr:uid="{00000000-0005-0000-0000-0000E92F0000}"/>
    <cellStyle name="Comma 2 6 4 13" xfId="35347" xr:uid="{00000000-0005-0000-0000-0000EA2F0000}"/>
    <cellStyle name="Comma 2 6 4 14" xfId="36351" xr:uid="{00000000-0005-0000-0000-0000EB2F0000}"/>
    <cellStyle name="Comma 2 6 4 15" xfId="37519" xr:uid="{00000000-0005-0000-0000-0000EC2F0000}"/>
    <cellStyle name="Comma 2 6 4 16" xfId="41465" xr:uid="{00000000-0005-0000-0000-0000ED2F0000}"/>
    <cellStyle name="Comma 2 6 4 17" xfId="45032" xr:uid="{00000000-0005-0000-0000-0000EE2F0000}"/>
    <cellStyle name="Comma 2 6 4 18" xfId="7350" xr:uid="{00000000-0005-0000-0000-0000EF2F0000}"/>
    <cellStyle name="Comma 2 6 4 2" xfId="5096" xr:uid="{00000000-0005-0000-0000-0000F02F0000}"/>
    <cellStyle name="Comma 2 6 4 2 10" xfId="33855" xr:uid="{00000000-0005-0000-0000-0000F12F0000}"/>
    <cellStyle name="Comma 2 6 4 2 11" xfId="34339" xr:uid="{00000000-0005-0000-0000-0000F22F0000}"/>
    <cellStyle name="Comma 2 6 4 2 12" xfId="36051" xr:uid="{00000000-0005-0000-0000-0000F32F0000}"/>
    <cellStyle name="Comma 2 6 4 2 13" xfId="36507" xr:uid="{00000000-0005-0000-0000-0000F42F0000}"/>
    <cellStyle name="Comma 2 6 4 2 14" xfId="38830" xr:uid="{00000000-0005-0000-0000-0000F52F0000}"/>
    <cellStyle name="Comma 2 6 4 2 15" xfId="41869" xr:uid="{00000000-0005-0000-0000-0000F62F0000}"/>
    <cellStyle name="Comma 2 6 4 2 16" xfId="45033" xr:uid="{00000000-0005-0000-0000-0000F72F0000}"/>
    <cellStyle name="Comma 2 6 4 2 17" xfId="8609" xr:uid="{00000000-0005-0000-0000-0000F82F0000}"/>
    <cellStyle name="Comma 2 6 4 2 2" xfId="6065" xr:uid="{00000000-0005-0000-0000-0000F92F0000}"/>
    <cellStyle name="Comma 2 6 4 2 2 10" xfId="34524" xr:uid="{00000000-0005-0000-0000-0000FA2F0000}"/>
    <cellStyle name="Comma 2 6 4 2 2 11" xfId="36692" xr:uid="{00000000-0005-0000-0000-0000FB2F0000}"/>
    <cellStyle name="Comma 2 6 4 2 2 12" xfId="39652" xr:uid="{00000000-0005-0000-0000-0000FC2F0000}"/>
    <cellStyle name="Comma 2 6 4 2 2 13" xfId="42587" xr:uid="{00000000-0005-0000-0000-0000FD2F0000}"/>
    <cellStyle name="Comma 2 6 4 2 2 14" xfId="45034" xr:uid="{00000000-0005-0000-0000-0000FE2F0000}"/>
    <cellStyle name="Comma 2 6 4 2 2 15" xfId="8857" xr:uid="{00000000-0005-0000-0000-0000FF2F0000}"/>
    <cellStyle name="Comma 2 6 4 2 2 2" xfId="12856" xr:uid="{00000000-0005-0000-0000-000000300000}"/>
    <cellStyle name="Comma 2 6 4 2 2 2 2" xfId="31438" xr:uid="{00000000-0005-0000-0000-000001300000}"/>
    <cellStyle name="Comma 2 6 4 2 2 2 3" xfId="33291" xr:uid="{00000000-0005-0000-0000-000002300000}"/>
    <cellStyle name="Comma 2 6 4 2 2 2 4" xfId="35115" xr:uid="{00000000-0005-0000-0000-000003300000}"/>
    <cellStyle name="Comma 2 6 4 2 2 2 5" xfId="37213" xr:uid="{00000000-0005-0000-0000-000004300000}"/>
    <cellStyle name="Comma 2 6 4 2 2 2 6" xfId="41235" xr:uid="{00000000-0005-0000-0000-000005300000}"/>
    <cellStyle name="Comma 2 6 4 2 2 2 7" xfId="43915" xr:uid="{00000000-0005-0000-0000-000006300000}"/>
    <cellStyle name="Comma 2 6 4 2 2 2 8" xfId="45035" xr:uid="{00000000-0005-0000-0000-000007300000}"/>
    <cellStyle name="Comma 2 6 4 2 2 3" xfId="12073" xr:uid="{00000000-0005-0000-0000-000008300000}"/>
    <cellStyle name="Comma 2 6 4 2 2 4" xfId="15681" xr:uid="{00000000-0005-0000-0000-000009300000}"/>
    <cellStyle name="Comma 2 6 4 2 2 5" xfId="30179" xr:uid="{00000000-0005-0000-0000-00000A300000}"/>
    <cellStyle name="Comma 2 6 4 2 2 6" xfId="30847" xr:uid="{00000000-0005-0000-0000-00000B300000}"/>
    <cellStyle name="Comma 2 6 4 2 2 7" xfId="32002" xr:uid="{00000000-0005-0000-0000-00000C300000}"/>
    <cellStyle name="Comma 2 6 4 2 2 8" xfId="32644" xr:uid="{00000000-0005-0000-0000-00000D300000}"/>
    <cellStyle name="Comma 2 6 4 2 2 9" xfId="33856" xr:uid="{00000000-0005-0000-0000-00000E300000}"/>
    <cellStyle name="Comma 2 6 4 2 3" xfId="12615" xr:uid="{00000000-0005-0000-0000-00000F300000}"/>
    <cellStyle name="Comma 2 6 4 2 3 2" xfId="31253" xr:uid="{00000000-0005-0000-0000-000010300000}"/>
    <cellStyle name="Comma 2 6 4 2 3 3" xfId="33107" xr:uid="{00000000-0005-0000-0000-000011300000}"/>
    <cellStyle name="Comma 2 6 4 2 3 4" xfId="34930" xr:uid="{00000000-0005-0000-0000-000012300000}"/>
    <cellStyle name="Comma 2 6 4 2 3 5" xfId="37028" xr:uid="{00000000-0005-0000-0000-000013300000}"/>
    <cellStyle name="Comma 2 6 4 2 3 6" xfId="40379" xr:uid="{00000000-0005-0000-0000-000014300000}"/>
    <cellStyle name="Comma 2 6 4 2 3 7" xfId="43197" xr:uid="{00000000-0005-0000-0000-000015300000}"/>
    <cellStyle name="Comma 2 6 4 2 3 8" xfId="45036" xr:uid="{00000000-0005-0000-0000-000016300000}"/>
    <cellStyle name="Comma 2 6 4 2 4" xfId="11888" xr:uid="{00000000-0005-0000-0000-000017300000}"/>
    <cellStyle name="Comma 2 6 4 2 5" xfId="15680" xr:uid="{00000000-0005-0000-0000-000018300000}"/>
    <cellStyle name="Comma 2 6 4 2 6" xfId="30178" xr:uid="{00000000-0005-0000-0000-000019300000}"/>
    <cellStyle name="Comma 2 6 4 2 7" xfId="30662" xr:uid="{00000000-0005-0000-0000-00001A300000}"/>
    <cellStyle name="Comma 2 6 4 2 8" xfId="32001" xr:uid="{00000000-0005-0000-0000-00001B300000}"/>
    <cellStyle name="Comma 2 6 4 2 9" xfId="32643" xr:uid="{00000000-0005-0000-0000-00001C300000}"/>
    <cellStyle name="Comma 2 6 4 3" xfId="5750" xr:uid="{00000000-0005-0000-0000-00001D300000}"/>
    <cellStyle name="Comma 2 6 4 3 10" xfId="34523" xr:uid="{00000000-0005-0000-0000-00001E300000}"/>
    <cellStyle name="Comma 2 6 4 3 11" xfId="36691" xr:uid="{00000000-0005-0000-0000-00001F300000}"/>
    <cellStyle name="Comma 2 6 4 3 12" xfId="38117" xr:uid="{00000000-0005-0000-0000-000020300000}"/>
    <cellStyle name="Comma 2 6 4 3 13" xfId="41614" xr:uid="{00000000-0005-0000-0000-000021300000}"/>
    <cellStyle name="Comma 2 6 4 3 14" xfId="45037" xr:uid="{00000000-0005-0000-0000-000022300000}"/>
    <cellStyle name="Comma 2 6 4 3 15" xfId="8856" xr:uid="{00000000-0005-0000-0000-000023300000}"/>
    <cellStyle name="Comma 2 6 4 3 2" xfId="12855" xr:uid="{00000000-0005-0000-0000-000024300000}"/>
    <cellStyle name="Comma 2 6 4 3 2 2" xfId="31437" xr:uid="{00000000-0005-0000-0000-000025300000}"/>
    <cellStyle name="Comma 2 6 4 3 2 3" xfId="33290" xr:uid="{00000000-0005-0000-0000-000026300000}"/>
    <cellStyle name="Comma 2 6 4 3 2 4" xfId="35114" xr:uid="{00000000-0005-0000-0000-000027300000}"/>
    <cellStyle name="Comma 2 6 4 3 2 5" xfId="37212" xr:uid="{00000000-0005-0000-0000-000028300000}"/>
    <cellStyle name="Comma 2 6 4 3 2 6" xfId="40073" xr:uid="{00000000-0005-0000-0000-000029300000}"/>
    <cellStyle name="Comma 2 6 4 3 2 7" xfId="42942" xr:uid="{00000000-0005-0000-0000-00002A300000}"/>
    <cellStyle name="Comma 2 6 4 3 2 8" xfId="45038" xr:uid="{00000000-0005-0000-0000-00002B300000}"/>
    <cellStyle name="Comma 2 6 4 3 3" xfId="12072" xr:uid="{00000000-0005-0000-0000-00002C300000}"/>
    <cellStyle name="Comma 2 6 4 3 4" xfId="15682" xr:uid="{00000000-0005-0000-0000-00002D300000}"/>
    <cellStyle name="Comma 2 6 4 3 5" xfId="30180" xr:uid="{00000000-0005-0000-0000-00002E300000}"/>
    <cellStyle name="Comma 2 6 4 3 6" xfId="30846" xr:uid="{00000000-0005-0000-0000-00002F300000}"/>
    <cellStyle name="Comma 2 6 4 3 7" xfId="32003" xr:uid="{00000000-0005-0000-0000-000030300000}"/>
    <cellStyle name="Comma 2 6 4 3 8" xfId="32645" xr:uid="{00000000-0005-0000-0000-000031300000}"/>
    <cellStyle name="Comma 2 6 4 3 9" xfId="33857" xr:uid="{00000000-0005-0000-0000-000032300000}"/>
    <cellStyle name="Comma 2 6 4 4" xfId="6385" xr:uid="{00000000-0005-0000-0000-000033300000}"/>
    <cellStyle name="Comma 2 6 4 4 2" xfId="31101" xr:uid="{00000000-0005-0000-0000-000034300000}"/>
    <cellStyle name="Comma 2 6 4 4 2 2" xfId="40618" xr:uid="{00000000-0005-0000-0000-000035300000}"/>
    <cellStyle name="Comma 2 6 4 4 2 3" xfId="43404" xr:uid="{00000000-0005-0000-0000-000036300000}"/>
    <cellStyle name="Comma 2 6 4 4 2 4" xfId="45039" xr:uid="{00000000-0005-0000-0000-000037300000}"/>
    <cellStyle name="Comma 2 6 4 4 3" xfId="32963" xr:uid="{00000000-0005-0000-0000-000038300000}"/>
    <cellStyle name="Comma 2 6 4 4 4" xfId="34778" xr:uid="{00000000-0005-0000-0000-000039300000}"/>
    <cellStyle name="Comma 2 6 4 4 5" xfId="36884" xr:uid="{00000000-0005-0000-0000-00003A300000}"/>
    <cellStyle name="Comma 2 6 4 4 6" xfId="39050" xr:uid="{00000000-0005-0000-0000-00003B300000}"/>
    <cellStyle name="Comma 2 6 4 4 7" xfId="42076" xr:uid="{00000000-0005-0000-0000-00003C300000}"/>
    <cellStyle name="Comma 2 6 4 4 8" xfId="45040" xr:uid="{00000000-0005-0000-0000-00003D300000}"/>
    <cellStyle name="Comma 2 6 4 4 9" xfId="12329" xr:uid="{00000000-0005-0000-0000-00003E300000}"/>
    <cellStyle name="Comma 2 6 4 5" xfId="11736" xr:uid="{00000000-0005-0000-0000-00003F300000}"/>
    <cellStyle name="Comma 2 6 4 5 2" xfId="40925" xr:uid="{00000000-0005-0000-0000-000040300000}"/>
    <cellStyle name="Comma 2 6 4 5 2 2" xfId="43660" xr:uid="{00000000-0005-0000-0000-000041300000}"/>
    <cellStyle name="Comma 2 6 4 5 2 3" xfId="45041" xr:uid="{00000000-0005-0000-0000-000042300000}"/>
    <cellStyle name="Comma 2 6 4 5 3" xfId="39354" xr:uid="{00000000-0005-0000-0000-000043300000}"/>
    <cellStyle name="Comma 2 6 4 5 4" xfId="42332" xr:uid="{00000000-0005-0000-0000-000044300000}"/>
    <cellStyle name="Comma 2 6 4 5 5" xfId="45042" xr:uid="{00000000-0005-0000-0000-000045300000}"/>
    <cellStyle name="Comma 2 6 4 6" xfId="15679" xr:uid="{00000000-0005-0000-0000-000046300000}"/>
    <cellStyle name="Comma 2 6 4 6 2" xfId="39894" xr:uid="{00000000-0005-0000-0000-000047300000}"/>
    <cellStyle name="Comma 2 6 4 6 3" xfId="42793" xr:uid="{00000000-0005-0000-0000-000048300000}"/>
    <cellStyle name="Comma 2 6 4 6 4" xfId="45043" xr:uid="{00000000-0005-0000-0000-000049300000}"/>
    <cellStyle name="Comma 2 6 4 7" xfId="30177" xr:uid="{00000000-0005-0000-0000-00004A300000}"/>
    <cellStyle name="Comma 2 6 4 8" xfId="30510" xr:uid="{00000000-0005-0000-0000-00004B300000}"/>
    <cellStyle name="Comma 2 6 4 9" xfId="32000" xr:uid="{00000000-0005-0000-0000-00004C300000}"/>
    <cellStyle name="Comma 2 6 5" xfId="4544" xr:uid="{00000000-0005-0000-0000-00004D300000}"/>
    <cellStyle name="Comma 2 6 5 10" xfId="32646" xr:uid="{00000000-0005-0000-0000-00004E300000}"/>
    <cellStyle name="Comma 2 6 5 11" xfId="33858" xr:uid="{00000000-0005-0000-0000-00004F300000}"/>
    <cellStyle name="Comma 2 6 5 12" xfId="34184" xr:uid="{00000000-0005-0000-0000-000050300000}"/>
    <cellStyle name="Comma 2 6 5 13" xfId="35705" xr:uid="{00000000-0005-0000-0000-000051300000}"/>
    <cellStyle name="Comma 2 6 5 14" xfId="36292" xr:uid="{00000000-0005-0000-0000-000052300000}"/>
    <cellStyle name="Comma 2 6 5 15" xfId="38770" xr:uid="{00000000-0005-0000-0000-000053300000}"/>
    <cellStyle name="Comma 2 6 5 16" xfId="41810" xr:uid="{00000000-0005-0000-0000-000054300000}"/>
    <cellStyle name="Comma 2 6 5 17" xfId="45044" xr:uid="{00000000-0005-0000-0000-000055300000}"/>
    <cellStyle name="Comma 2 6 5 18" xfId="7347" xr:uid="{00000000-0005-0000-0000-000056300000}"/>
    <cellStyle name="Comma 2 6 5 2" xfId="5993" xr:uid="{00000000-0005-0000-0000-000057300000}"/>
    <cellStyle name="Comma 2 6 5 2 10" xfId="33859" xr:uid="{00000000-0005-0000-0000-000058300000}"/>
    <cellStyle name="Comma 2 6 5 2 11" xfId="34336" xr:uid="{00000000-0005-0000-0000-000059300000}"/>
    <cellStyle name="Comma 2 6 5 2 12" xfId="36505" xr:uid="{00000000-0005-0000-0000-00005A300000}"/>
    <cellStyle name="Comma 2 6 5 2 13" xfId="38988" xr:uid="{00000000-0005-0000-0000-00005B300000}"/>
    <cellStyle name="Comma 2 6 5 2 14" xfId="42017" xr:uid="{00000000-0005-0000-0000-00005C300000}"/>
    <cellStyle name="Comma 2 6 5 2 15" xfId="45045" xr:uid="{00000000-0005-0000-0000-00005D300000}"/>
    <cellStyle name="Comma 2 6 5 2 16" xfId="8606" xr:uid="{00000000-0005-0000-0000-00005E300000}"/>
    <cellStyle name="Comma 2 6 5 2 2" xfId="8859" xr:uid="{00000000-0005-0000-0000-00005F300000}"/>
    <cellStyle name="Comma 2 6 5 2 2 10" xfId="34526" xr:uid="{00000000-0005-0000-0000-000060300000}"/>
    <cellStyle name="Comma 2 6 5 2 2 11" xfId="36694" xr:uid="{00000000-0005-0000-0000-000061300000}"/>
    <cellStyle name="Comma 2 6 5 2 2 12" xfId="40551" xr:uid="{00000000-0005-0000-0000-000062300000}"/>
    <cellStyle name="Comma 2 6 5 2 2 13" xfId="43345" xr:uid="{00000000-0005-0000-0000-000063300000}"/>
    <cellStyle name="Comma 2 6 5 2 2 14" xfId="45046" xr:uid="{00000000-0005-0000-0000-000064300000}"/>
    <cellStyle name="Comma 2 6 5 2 2 2" xfId="12858" xr:uid="{00000000-0005-0000-0000-000065300000}"/>
    <cellStyle name="Comma 2 6 5 2 2 2 2" xfId="31440" xr:uid="{00000000-0005-0000-0000-000066300000}"/>
    <cellStyle name="Comma 2 6 5 2 2 2 3" xfId="33293" xr:uid="{00000000-0005-0000-0000-000067300000}"/>
    <cellStyle name="Comma 2 6 5 2 2 2 4" xfId="35117" xr:uid="{00000000-0005-0000-0000-000068300000}"/>
    <cellStyle name="Comma 2 6 5 2 2 2 5" xfId="37215" xr:uid="{00000000-0005-0000-0000-000069300000}"/>
    <cellStyle name="Comma 2 6 5 2 2 3" xfId="12075" xr:uid="{00000000-0005-0000-0000-00006A300000}"/>
    <cellStyle name="Comma 2 6 5 2 2 4" xfId="15685" xr:uid="{00000000-0005-0000-0000-00006B300000}"/>
    <cellStyle name="Comma 2 6 5 2 2 5" xfId="30183" xr:uid="{00000000-0005-0000-0000-00006C300000}"/>
    <cellStyle name="Comma 2 6 5 2 2 6" xfId="30849" xr:uid="{00000000-0005-0000-0000-00006D300000}"/>
    <cellStyle name="Comma 2 6 5 2 2 7" xfId="32006" xr:uid="{00000000-0005-0000-0000-00006E300000}"/>
    <cellStyle name="Comma 2 6 5 2 2 8" xfId="32648" xr:uid="{00000000-0005-0000-0000-00006F300000}"/>
    <cellStyle name="Comma 2 6 5 2 2 9" xfId="33860" xr:uid="{00000000-0005-0000-0000-000070300000}"/>
    <cellStyle name="Comma 2 6 5 2 3" xfId="12612" xr:uid="{00000000-0005-0000-0000-000071300000}"/>
    <cellStyle name="Comma 2 6 5 2 3 2" xfId="31250" xr:uid="{00000000-0005-0000-0000-000072300000}"/>
    <cellStyle name="Comma 2 6 5 2 3 3" xfId="33104" xr:uid="{00000000-0005-0000-0000-000073300000}"/>
    <cellStyle name="Comma 2 6 5 2 3 4" xfId="34927" xr:uid="{00000000-0005-0000-0000-000074300000}"/>
    <cellStyle name="Comma 2 6 5 2 3 5" xfId="37025" xr:uid="{00000000-0005-0000-0000-000075300000}"/>
    <cellStyle name="Comma 2 6 5 2 4" xfId="11885" xr:uid="{00000000-0005-0000-0000-000076300000}"/>
    <cellStyle name="Comma 2 6 5 2 5" xfId="15684" xr:uid="{00000000-0005-0000-0000-000077300000}"/>
    <cellStyle name="Comma 2 6 5 2 6" xfId="30182" xr:uid="{00000000-0005-0000-0000-000078300000}"/>
    <cellStyle name="Comma 2 6 5 2 7" xfId="30659" xr:uid="{00000000-0005-0000-0000-000079300000}"/>
    <cellStyle name="Comma 2 6 5 2 8" xfId="32005" xr:uid="{00000000-0005-0000-0000-00007A300000}"/>
    <cellStyle name="Comma 2 6 5 2 9" xfId="32647" xr:uid="{00000000-0005-0000-0000-00007B300000}"/>
    <cellStyle name="Comma 2 6 5 3" xfId="6314" xr:uid="{00000000-0005-0000-0000-00007C300000}"/>
    <cellStyle name="Comma 2 6 5 3 10" xfId="34525" xr:uid="{00000000-0005-0000-0000-00007D300000}"/>
    <cellStyle name="Comma 2 6 5 3 11" xfId="36693" xr:uid="{00000000-0005-0000-0000-00007E300000}"/>
    <cellStyle name="Comma 2 6 5 3 12" xfId="39585" xr:uid="{00000000-0005-0000-0000-00007F300000}"/>
    <cellStyle name="Comma 2 6 5 3 13" xfId="42528" xr:uid="{00000000-0005-0000-0000-000080300000}"/>
    <cellStyle name="Comma 2 6 5 3 14" xfId="45047" xr:uid="{00000000-0005-0000-0000-000081300000}"/>
    <cellStyle name="Comma 2 6 5 3 15" xfId="8858" xr:uid="{00000000-0005-0000-0000-000082300000}"/>
    <cellStyle name="Comma 2 6 5 3 2" xfId="12857" xr:uid="{00000000-0005-0000-0000-000083300000}"/>
    <cellStyle name="Comma 2 6 5 3 2 2" xfId="31439" xr:uid="{00000000-0005-0000-0000-000084300000}"/>
    <cellStyle name="Comma 2 6 5 3 2 3" xfId="33292" xr:uid="{00000000-0005-0000-0000-000085300000}"/>
    <cellStyle name="Comma 2 6 5 3 2 4" xfId="35116" xr:uid="{00000000-0005-0000-0000-000086300000}"/>
    <cellStyle name="Comma 2 6 5 3 2 5" xfId="37214" xr:uid="{00000000-0005-0000-0000-000087300000}"/>
    <cellStyle name="Comma 2 6 5 3 2 6" xfId="41166" xr:uid="{00000000-0005-0000-0000-000088300000}"/>
    <cellStyle name="Comma 2 6 5 3 2 7" xfId="43856" xr:uid="{00000000-0005-0000-0000-000089300000}"/>
    <cellStyle name="Comma 2 6 5 3 2 8" xfId="45048" xr:uid="{00000000-0005-0000-0000-00008A300000}"/>
    <cellStyle name="Comma 2 6 5 3 3" xfId="12074" xr:uid="{00000000-0005-0000-0000-00008B300000}"/>
    <cellStyle name="Comma 2 6 5 3 4" xfId="15686" xr:uid="{00000000-0005-0000-0000-00008C300000}"/>
    <cellStyle name="Comma 2 6 5 3 5" xfId="30184" xr:uid="{00000000-0005-0000-0000-00008D300000}"/>
    <cellStyle name="Comma 2 6 5 3 6" xfId="30848" xr:uid="{00000000-0005-0000-0000-00008E300000}"/>
    <cellStyle name="Comma 2 6 5 3 7" xfId="32007" xr:uid="{00000000-0005-0000-0000-00008F300000}"/>
    <cellStyle name="Comma 2 6 5 3 8" xfId="32649" xr:uid="{00000000-0005-0000-0000-000090300000}"/>
    <cellStyle name="Comma 2 6 5 3 9" xfId="33861" xr:uid="{00000000-0005-0000-0000-000091300000}"/>
    <cellStyle name="Comma 2 6 5 4" xfId="12326" xr:uid="{00000000-0005-0000-0000-000092300000}"/>
    <cellStyle name="Comma 2 6 5 4 2" xfId="31098" xr:uid="{00000000-0005-0000-0000-000093300000}"/>
    <cellStyle name="Comma 2 6 5 4 3" xfId="32960" xr:uid="{00000000-0005-0000-0000-000094300000}"/>
    <cellStyle name="Comma 2 6 5 4 4" xfId="34775" xr:uid="{00000000-0005-0000-0000-000095300000}"/>
    <cellStyle name="Comma 2 6 5 4 5" xfId="36881" xr:uid="{00000000-0005-0000-0000-000096300000}"/>
    <cellStyle name="Comma 2 6 5 4 6" xfId="40311" xr:uid="{00000000-0005-0000-0000-000097300000}"/>
    <cellStyle name="Comma 2 6 5 4 7" xfId="43138" xr:uid="{00000000-0005-0000-0000-000098300000}"/>
    <cellStyle name="Comma 2 6 5 4 8" xfId="45049" xr:uid="{00000000-0005-0000-0000-000099300000}"/>
    <cellStyle name="Comma 2 6 5 5" xfId="11733" xr:uid="{00000000-0005-0000-0000-00009A300000}"/>
    <cellStyle name="Comma 2 6 5 6" xfId="15683" xr:uid="{00000000-0005-0000-0000-00009B300000}"/>
    <cellStyle name="Comma 2 6 5 7" xfId="30181" xr:uid="{00000000-0005-0000-0000-00009C300000}"/>
    <cellStyle name="Comma 2 6 5 8" xfId="30507" xr:uid="{00000000-0005-0000-0000-00009D300000}"/>
    <cellStyle name="Comma 2 6 5 9" xfId="32004" xr:uid="{00000000-0005-0000-0000-00009E300000}"/>
    <cellStyle name="Comma 2 6 6" xfId="4437" xr:uid="{00000000-0005-0000-0000-00009F300000}"/>
    <cellStyle name="Comma 2 6 6 10" xfId="33862" xr:uid="{00000000-0005-0000-0000-0000A0300000}"/>
    <cellStyle name="Comma 2 6 6 11" xfId="34272" xr:uid="{00000000-0005-0000-0000-0000A1300000}"/>
    <cellStyle name="Comma 2 6 6 12" xfId="35620" xr:uid="{00000000-0005-0000-0000-0000A2300000}"/>
    <cellStyle name="Comma 2 6 6 13" xfId="36470" xr:uid="{00000000-0005-0000-0000-0000A3300000}"/>
    <cellStyle name="Comma 2 6 6 14" xfId="38689" xr:uid="{00000000-0005-0000-0000-0000A4300000}"/>
    <cellStyle name="Comma 2 6 6 15" xfId="41729" xr:uid="{00000000-0005-0000-0000-0000A5300000}"/>
    <cellStyle name="Comma 2 6 6 16" xfId="45050" xr:uid="{00000000-0005-0000-0000-0000A6300000}"/>
    <cellStyle name="Comma 2 6 6 17" xfId="8435" xr:uid="{00000000-0005-0000-0000-0000A7300000}"/>
    <cellStyle name="Comma 2 6 6 2" xfId="5888" xr:uid="{00000000-0005-0000-0000-0000A8300000}"/>
    <cellStyle name="Comma 2 6 6 2 10" xfId="34527" xr:uid="{00000000-0005-0000-0000-0000A9300000}"/>
    <cellStyle name="Comma 2 6 6 2 11" xfId="36695" xr:uid="{00000000-0005-0000-0000-0000AA300000}"/>
    <cellStyle name="Comma 2 6 6 2 12" xfId="39176" xr:uid="{00000000-0005-0000-0000-0000AB300000}"/>
    <cellStyle name="Comma 2 6 6 2 13" xfId="42184" xr:uid="{00000000-0005-0000-0000-0000AC300000}"/>
    <cellStyle name="Comma 2 6 6 2 14" xfId="45051" xr:uid="{00000000-0005-0000-0000-0000AD300000}"/>
    <cellStyle name="Comma 2 6 6 2 15" xfId="8860" xr:uid="{00000000-0005-0000-0000-0000AE300000}"/>
    <cellStyle name="Comma 2 6 6 2 2" xfId="12859" xr:uid="{00000000-0005-0000-0000-0000AF300000}"/>
    <cellStyle name="Comma 2 6 6 2 2 2" xfId="31441" xr:uid="{00000000-0005-0000-0000-0000B0300000}"/>
    <cellStyle name="Comma 2 6 6 2 2 3" xfId="33294" xr:uid="{00000000-0005-0000-0000-0000B1300000}"/>
    <cellStyle name="Comma 2 6 6 2 2 4" xfId="35118" xr:uid="{00000000-0005-0000-0000-0000B2300000}"/>
    <cellStyle name="Comma 2 6 6 2 2 5" xfId="37216" xr:uid="{00000000-0005-0000-0000-0000B3300000}"/>
    <cellStyle name="Comma 2 6 6 2 2 6" xfId="40749" xr:uid="{00000000-0005-0000-0000-0000B4300000}"/>
    <cellStyle name="Comma 2 6 6 2 2 7" xfId="43512" xr:uid="{00000000-0005-0000-0000-0000B5300000}"/>
    <cellStyle name="Comma 2 6 6 2 2 8" xfId="45052" xr:uid="{00000000-0005-0000-0000-0000B6300000}"/>
    <cellStyle name="Comma 2 6 6 2 3" xfId="12076" xr:uid="{00000000-0005-0000-0000-0000B7300000}"/>
    <cellStyle name="Comma 2 6 6 2 4" xfId="15688" xr:uid="{00000000-0005-0000-0000-0000B8300000}"/>
    <cellStyle name="Comma 2 6 6 2 5" xfId="30186" xr:uid="{00000000-0005-0000-0000-0000B9300000}"/>
    <cellStyle name="Comma 2 6 6 2 6" xfId="30850" xr:uid="{00000000-0005-0000-0000-0000BA300000}"/>
    <cellStyle name="Comma 2 6 6 2 7" xfId="32009" xr:uid="{00000000-0005-0000-0000-0000BB300000}"/>
    <cellStyle name="Comma 2 6 6 2 8" xfId="32651" xr:uid="{00000000-0005-0000-0000-0000BC300000}"/>
    <cellStyle name="Comma 2 6 6 2 9" xfId="33863" xr:uid="{00000000-0005-0000-0000-0000BD300000}"/>
    <cellStyle name="Comma 2 6 6 3" xfId="12543" xr:uid="{00000000-0005-0000-0000-0000BE300000}"/>
    <cellStyle name="Comma 2 6 6 3 2" xfId="31186" xr:uid="{00000000-0005-0000-0000-0000BF300000}"/>
    <cellStyle name="Comma 2 6 6 3 2 2" xfId="41063" xr:uid="{00000000-0005-0000-0000-0000C0300000}"/>
    <cellStyle name="Comma 2 6 6 3 2 3" xfId="43775" xr:uid="{00000000-0005-0000-0000-0000C1300000}"/>
    <cellStyle name="Comma 2 6 6 3 2 4" xfId="45053" xr:uid="{00000000-0005-0000-0000-0000C2300000}"/>
    <cellStyle name="Comma 2 6 6 3 3" xfId="33044" xr:uid="{00000000-0005-0000-0000-0000C3300000}"/>
    <cellStyle name="Comma 2 6 6 3 4" xfId="34863" xr:uid="{00000000-0005-0000-0000-0000C4300000}"/>
    <cellStyle name="Comma 2 6 6 3 5" xfId="36965" xr:uid="{00000000-0005-0000-0000-0000C5300000}"/>
    <cellStyle name="Comma 2 6 6 3 6" xfId="39487" xr:uid="{00000000-0005-0000-0000-0000C6300000}"/>
    <cellStyle name="Comma 2 6 6 3 7" xfId="42447" xr:uid="{00000000-0005-0000-0000-0000C7300000}"/>
    <cellStyle name="Comma 2 6 6 3 8" xfId="45054" xr:uid="{00000000-0005-0000-0000-0000C8300000}"/>
    <cellStyle name="Comma 2 6 6 4" xfId="11821" xr:uid="{00000000-0005-0000-0000-0000C9300000}"/>
    <cellStyle name="Comma 2 6 6 4 2" xfId="40208" xr:uid="{00000000-0005-0000-0000-0000CA300000}"/>
    <cellStyle name="Comma 2 6 6 4 3" xfId="43057" xr:uid="{00000000-0005-0000-0000-0000CB300000}"/>
    <cellStyle name="Comma 2 6 6 4 4" xfId="45055" xr:uid="{00000000-0005-0000-0000-0000CC300000}"/>
    <cellStyle name="Comma 2 6 6 5" xfId="15687" xr:uid="{00000000-0005-0000-0000-0000CD300000}"/>
    <cellStyle name="Comma 2 6 6 6" xfId="30185" xr:uid="{00000000-0005-0000-0000-0000CE300000}"/>
    <cellStyle name="Comma 2 6 6 7" xfId="30595" xr:uid="{00000000-0005-0000-0000-0000CF300000}"/>
    <cellStyle name="Comma 2 6 6 8" xfId="32008" xr:uid="{00000000-0005-0000-0000-0000D0300000}"/>
    <cellStyle name="Comma 2 6 6 9" xfId="32650" xr:uid="{00000000-0005-0000-0000-0000D1300000}"/>
    <cellStyle name="Comma 2 6 7" xfId="5672" xr:uid="{00000000-0005-0000-0000-0000D2300000}"/>
    <cellStyle name="Comma 2 6 7 10" xfId="33864" xr:uid="{00000000-0005-0000-0000-0000D3300000}"/>
    <cellStyle name="Comma 2 6 7 11" xfId="34212" xr:uid="{00000000-0005-0000-0000-0000D4300000}"/>
    <cellStyle name="Comma 2 6 7 12" xfId="36439" xr:uid="{00000000-0005-0000-0000-0000D5300000}"/>
    <cellStyle name="Comma 2 6 7 13" xfId="37615" xr:uid="{00000000-0005-0000-0000-0000D6300000}"/>
    <cellStyle name="Comma 2 6 7 14" xfId="41555" xr:uid="{00000000-0005-0000-0000-0000D7300000}"/>
    <cellStyle name="Comma 2 6 7 15" xfId="45056" xr:uid="{00000000-0005-0000-0000-0000D8300000}"/>
    <cellStyle name="Comma 2 6 7 16" xfId="8103" xr:uid="{00000000-0005-0000-0000-0000D9300000}"/>
    <cellStyle name="Comma 2 6 7 2" xfId="8861" xr:uid="{00000000-0005-0000-0000-0000DA300000}"/>
    <cellStyle name="Comma 2 6 7 2 10" xfId="34528" xr:uid="{00000000-0005-0000-0000-0000DB300000}"/>
    <cellStyle name="Comma 2 6 7 2 11" xfId="36696" xr:uid="{00000000-0005-0000-0000-0000DC300000}"/>
    <cellStyle name="Comma 2 6 7 2 12" xfId="40006" xr:uid="{00000000-0005-0000-0000-0000DD300000}"/>
    <cellStyle name="Comma 2 6 7 2 13" xfId="42883" xr:uid="{00000000-0005-0000-0000-0000DE300000}"/>
    <cellStyle name="Comma 2 6 7 2 14" xfId="45057" xr:uid="{00000000-0005-0000-0000-0000DF300000}"/>
    <cellStyle name="Comma 2 6 7 2 2" xfId="12860" xr:uid="{00000000-0005-0000-0000-0000E0300000}"/>
    <cellStyle name="Comma 2 6 7 2 2 2" xfId="31442" xr:uid="{00000000-0005-0000-0000-0000E1300000}"/>
    <cellStyle name="Comma 2 6 7 2 2 3" xfId="33295" xr:uid="{00000000-0005-0000-0000-0000E2300000}"/>
    <cellStyle name="Comma 2 6 7 2 2 4" xfId="35119" xr:uid="{00000000-0005-0000-0000-0000E3300000}"/>
    <cellStyle name="Comma 2 6 7 2 2 5" xfId="37217" xr:uid="{00000000-0005-0000-0000-0000E4300000}"/>
    <cellStyle name="Comma 2 6 7 2 3" xfId="12077" xr:uid="{00000000-0005-0000-0000-0000E5300000}"/>
    <cellStyle name="Comma 2 6 7 2 4" xfId="15690" xr:uid="{00000000-0005-0000-0000-0000E6300000}"/>
    <cellStyle name="Comma 2 6 7 2 5" xfId="30188" xr:uid="{00000000-0005-0000-0000-0000E7300000}"/>
    <cellStyle name="Comma 2 6 7 2 6" xfId="30851" xr:uid="{00000000-0005-0000-0000-0000E8300000}"/>
    <cellStyle name="Comma 2 6 7 2 7" xfId="32011" xr:uid="{00000000-0005-0000-0000-0000E9300000}"/>
    <cellStyle name="Comma 2 6 7 2 8" xfId="32653" xr:uid="{00000000-0005-0000-0000-0000EA300000}"/>
    <cellStyle name="Comma 2 6 7 2 9" xfId="33865" xr:uid="{00000000-0005-0000-0000-0000EB300000}"/>
    <cellStyle name="Comma 2 6 7 3" xfId="12415" xr:uid="{00000000-0005-0000-0000-0000EC300000}"/>
    <cellStyle name="Comma 2 6 7 3 2" xfId="31126" xr:uid="{00000000-0005-0000-0000-0000ED300000}"/>
    <cellStyle name="Comma 2 6 7 3 3" xfId="32988" xr:uid="{00000000-0005-0000-0000-0000EE300000}"/>
    <cellStyle name="Comma 2 6 7 3 4" xfId="34803" xr:uid="{00000000-0005-0000-0000-0000EF300000}"/>
    <cellStyle name="Comma 2 6 7 3 5" xfId="36909" xr:uid="{00000000-0005-0000-0000-0000F0300000}"/>
    <cellStyle name="Comma 2 6 7 4" xfId="11761" xr:uid="{00000000-0005-0000-0000-0000F1300000}"/>
    <cellStyle name="Comma 2 6 7 5" xfId="15689" xr:uid="{00000000-0005-0000-0000-0000F2300000}"/>
    <cellStyle name="Comma 2 6 7 6" xfId="30187" xr:uid="{00000000-0005-0000-0000-0000F3300000}"/>
    <cellStyle name="Comma 2 6 7 7" xfId="30535" xr:uid="{00000000-0005-0000-0000-0000F4300000}"/>
    <cellStyle name="Comma 2 6 7 8" xfId="32010" xr:uid="{00000000-0005-0000-0000-0000F5300000}"/>
    <cellStyle name="Comma 2 6 7 9" xfId="32652" xr:uid="{00000000-0005-0000-0000-0000F6300000}"/>
    <cellStyle name="Comma 2 6 8" xfId="6209" xr:uid="{00000000-0005-0000-0000-0000F7300000}"/>
    <cellStyle name="Comma 2 6 8 10" xfId="34515" xr:uid="{00000000-0005-0000-0000-0000F8300000}"/>
    <cellStyle name="Comma 2 6 8 11" xfId="36683" xr:uid="{00000000-0005-0000-0000-0000F9300000}"/>
    <cellStyle name="Comma 2 6 8 12" xfId="38947" xr:uid="{00000000-0005-0000-0000-0000FA300000}"/>
    <cellStyle name="Comma 2 6 8 13" xfId="41978" xr:uid="{00000000-0005-0000-0000-0000FB300000}"/>
    <cellStyle name="Comma 2 6 8 14" xfId="45058" xr:uid="{00000000-0005-0000-0000-0000FC300000}"/>
    <cellStyle name="Comma 2 6 8 15" xfId="8848" xr:uid="{00000000-0005-0000-0000-0000FD300000}"/>
    <cellStyle name="Comma 2 6 8 2" xfId="12847" xr:uid="{00000000-0005-0000-0000-0000FE300000}"/>
    <cellStyle name="Comma 2 6 8 2 2" xfId="31429" xr:uid="{00000000-0005-0000-0000-0000FF300000}"/>
    <cellStyle name="Comma 2 6 8 2 3" xfId="33282" xr:uid="{00000000-0005-0000-0000-000000310000}"/>
    <cellStyle name="Comma 2 6 8 2 4" xfId="35106" xr:uid="{00000000-0005-0000-0000-000001310000}"/>
    <cellStyle name="Comma 2 6 8 2 5" xfId="37204" xr:uid="{00000000-0005-0000-0000-000002310000}"/>
    <cellStyle name="Comma 2 6 8 2 6" xfId="40505" xr:uid="{00000000-0005-0000-0000-000003310000}"/>
    <cellStyle name="Comma 2 6 8 2 7" xfId="43306" xr:uid="{00000000-0005-0000-0000-000004310000}"/>
    <cellStyle name="Comma 2 6 8 2 8" xfId="45059" xr:uid="{00000000-0005-0000-0000-000005310000}"/>
    <cellStyle name="Comma 2 6 8 3" xfId="12064" xr:uid="{00000000-0005-0000-0000-000006310000}"/>
    <cellStyle name="Comma 2 6 8 4" xfId="15691" xr:uid="{00000000-0005-0000-0000-000007310000}"/>
    <cellStyle name="Comma 2 6 8 5" xfId="30189" xr:uid="{00000000-0005-0000-0000-000008310000}"/>
    <cellStyle name="Comma 2 6 8 6" xfId="30838" xr:uid="{00000000-0005-0000-0000-000009310000}"/>
    <cellStyle name="Comma 2 6 8 7" xfId="32012" xr:uid="{00000000-0005-0000-0000-00000A310000}"/>
    <cellStyle name="Comma 2 6 8 8" xfId="32654" xr:uid="{00000000-0005-0000-0000-00000B310000}"/>
    <cellStyle name="Comma 2 6 8 9" xfId="33866" xr:uid="{00000000-0005-0000-0000-00000C310000}"/>
    <cellStyle name="Comma 2 6 9" xfId="11527" xr:uid="{00000000-0005-0000-0000-00000D310000}"/>
    <cellStyle name="Comma 2 6 9 10" xfId="34641" xr:uid="{00000000-0005-0000-0000-00000E310000}"/>
    <cellStyle name="Comma 2 6 9 11" xfId="36769" xr:uid="{00000000-0005-0000-0000-00000F310000}"/>
    <cellStyle name="Comma 2 6 9 12" xfId="39292" xr:uid="{00000000-0005-0000-0000-000010310000}"/>
    <cellStyle name="Comma 2 6 9 13" xfId="42273" xr:uid="{00000000-0005-0000-0000-000011310000}"/>
    <cellStyle name="Comma 2 6 9 14" xfId="45060" xr:uid="{00000000-0005-0000-0000-000012310000}"/>
    <cellStyle name="Comma 2 6 9 2" xfId="15148" xr:uid="{00000000-0005-0000-0000-000013310000}"/>
    <cellStyle name="Comma 2 6 9 2 2" xfId="31555" xr:uid="{00000000-0005-0000-0000-000014310000}"/>
    <cellStyle name="Comma 2 6 9 2 3" xfId="33408" xr:uid="{00000000-0005-0000-0000-000015310000}"/>
    <cellStyle name="Comma 2 6 9 2 4" xfId="35232" xr:uid="{00000000-0005-0000-0000-000016310000}"/>
    <cellStyle name="Comma 2 6 9 2 5" xfId="37312" xr:uid="{00000000-0005-0000-0000-000017310000}"/>
    <cellStyle name="Comma 2 6 9 2 6" xfId="40857" xr:uid="{00000000-0005-0000-0000-000018310000}"/>
    <cellStyle name="Comma 2 6 9 2 7" xfId="43601" xr:uid="{00000000-0005-0000-0000-000019310000}"/>
    <cellStyle name="Comma 2 6 9 2 8" xfId="45061" xr:uid="{00000000-0005-0000-0000-00001A310000}"/>
    <cellStyle name="Comma 2 6 9 3" xfId="12190" xr:uid="{00000000-0005-0000-0000-00001B310000}"/>
    <cellStyle name="Comma 2 6 9 4" xfId="15692" xr:uid="{00000000-0005-0000-0000-00001C310000}"/>
    <cellStyle name="Comma 2 6 9 5" xfId="30190" xr:uid="{00000000-0005-0000-0000-00001D310000}"/>
    <cellStyle name="Comma 2 6 9 6" xfId="30964" xr:uid="{00000000-0005-0000-0000-00001E310000}"/>
    <cellStyle name="Comma 2 6 9 7" xfId="32013" xr:uid="{00000000-0005-0000-0000-00001F310000}"/>
    <cellStyle name="Comma 2 6 9 8" xfId="32655" xr:uid="{00000000-0005-0000-0000-000020310000}"/>
    <cellStyle name="Comma 2 6 9 9" xfId="33867" xr:uid="{00000000-0005-0000-0000-000021310000}"/>
    <cellStyle name="Comma 2 7" xfId="2788" xr:uid="{00000000-0005-0000-0000-000022310000}"/>
    <cellStyle name="Comma 2 7 10" xfId="15693" xr:uid="{00000000-0005-0000-0000-000023310000}"/>
    <cellStyle name="Comma 2 7 11" xfId="30191" xr:uid="{00000000-0005-0000-0000-000024310000}"/>
    <cellStyle name="Comma 2 7 12" xfId="30445" xr:uid="{00000000-0005-0000-0000-000025310000}"/>
    <cellStyle name="Comma 2 7 13" xfId="32014" xr:uid="{00000000-0005-0000-0000-000026310000}"/>
    <cellStyle name="Comma 2 7 14" xfId="32656" xr:uid="{00000000-0005-0000-0000-000027310000}"/>
    <cellStyle name="Comma 2 7 15" xfId="33868" xr:uid="{00000000-0005-0000-0000-000028310000}"/>
    <cellStyle name="Comma 2 7 16" xfId="34122" xr:uid="{00000000-0005-0000-0000-000029310000}"/>
    <cellStyle name="Comma 2 7 17" xfId="35350" xr:uid="{00000000-0005-0000-0000-00002A310000}"/>
    <cellStyle name="Comma 2 7 18" xfId="36213" xr:uid="{00000000-0005-0000-0000-00002B310000}"/>
    <cellStyle name="Comma 2 7 19" xfId="37447" xr:uid="{00000000-0005-0000-0000-00002C310000}"/>
    <cellStyle name="Comma 2 7 2" xfId="5099" xr:uid="{00000000-0005-0000-0000-00002D310000}"/>
    <cellStyle name="Comma 2 7 2 10" xfId="32015" xr:uid="{00000000-0005-0000-0000-00002E310000}"/>
    <cellStyle name="Comma 2 7 2 11" xfId="32657" xr:uid="{00000000-0005-0000-0000-00002F310000}"/>
    <cellStyle name="Comma 2 7 2 12" xfId="33869" xr:uid="{00000000-0005-0000-0000-000030310000}"/>
    <cellStyle name="Comma 2 7 2 13" xfId="34160" xr:uid="{00000000-0005-0000-0000-000031310000}"/>
    <cellStyle name="Comma 2 7 2 14" xfId="36054" xr:uid="{00000000-0005-0000-0000-000032310000}"/>
    <cellStyle name="Comma 2 7 2 15" xfId="36354" xr:uid="{00000000-0005-0000-0000-000033310000}"/>
    <cellStyle name="Comma 2 7 2 16" xfId="37521" xr:uid="{00000000-0005-0000-0000-000034310000}"/>
    <cellStyle name="Comma 2 7 2 17" xfId="41467" xr:uid="{00000000-0005-0000-0000-000035310000}"/>
    <cellStyle name="Comma 2 7 2 18" xfId="45062" xr:uid="{00000000-0005-0000-0000-000036310000}"/>
    <cellStyle name="Comma 2 7 2 19" xfId="6673" xr:uid="{00000000-0005-0000-0000-000037310000}"/>
    <cellStyle name="Comma 2 7 2 2" xfId="6068" xr:uid="{00000000-0005-0000-0000-000038310000}"/>
    <cellStyle name="Comma 2 7 2 2 10" xfId="33870" xr:uid="{00000000-0005-0000-0000-000039310000}"/>
    <cellStyle name="Comma 2 7 2 2 11" xfId="34312" xr:uid="{00000000-0005-0000-0000-00003A310000}"/>
    <cellStyle name="Comma 2 7 2 2 12" xfId="36495" xr:uid="{00000000-0005-0000-0000-00003B310000}"/>
    <cellStyle name="Comma 2 7 2 2 13" xfId="38833" xr:uid="{00000000-0005-0000-0000-00003C310000}"/>
    <cellStyle name="Comma 2 7 2 2 14" xfId="41872" xr:uid="{00000000-0005-0000-0000-00003D310000}"/>
    <cellStyle name="Comma 2 7 2 2 15" xfId="45063" xr:uid="{00000000-0005-0000-0000-00003E310000}"/>
    <cellStyle name="Comma 2 7 2 2 16" xfId="8549" xr:uid="{00000000-0005-0000-0000-00003F310000}"/>
    <cellStyle name="Comma 2 7 2 2 2" xfId="8864" xr:uid="{00000000-0005-0000-0000-000040310000}"/>
    <cellStyle name="Comma 2 7 2 2 2 10" xfId="34531" xr:uid="{00000000-0005-0000-0000-000041310000}"/>
    <cellStyle name="Comma 2 7 2 2 2 11" xfId="36699" xr:uid="{00000000-0005-0000-0000-000042310000}"/>
    <cellStyle name="Comma 2 7 2 2 2 12" xfId="40382" xr:uid="{00000000-0005-0000-0000-000043310000}"/>
    <cellStyle name="Comma 2 7 2 2 2 13" xfId="43200" xr:uid="{00000000-0005-0000-0000-000044310000}"/>
    <cellStyle name="Comma 2 7 2 2 2 14" xfId="45064" xr:uid="{00000000-0005-0000-0000-000045310000}"/>
    <cellStyle name="Comma 2 7 2 2 2 2" xfId="12863" xr:uid="{00000000-0005-0000-0000-000046310000}"/>
    <cellStyle name="Comma 2 7 2 2 2 2 2" xfId="31445" xr:uid="{00000000-0005-0000-0000-000047310000}"/>
    <cellStyle name="Comma 2 7 2 2 2 2 3" xfId="33298" xr:uid="{00000000-0005-0000-0000-000048310000}"/>
    <cellStyle name="Comma 2 7 2 2 2 2 4" xfId="35122" xr:uid="{00000000-0005-0000-0000-000049310000}"/>
    <cellStyle name="Comma 2 7 2 2 2 2 5" xfId="37220" xr:uid="{00000000-0005-0000-0000-00004A310000}"/>
    <cellStyle name="Comma 2 7 2 2 2 3" xfId="12080" xr:uid="{00000000-0005-0000-0000-00004B310000}"/>
    <cellStyle name="Comma 2 7 2 2 2 4" xfId="15696" xr:uid="{00000000-0005-0000-0000-00004C310000}"/>
    <cellStyle name="Comma 2 7 2 2 2 5" xfId="30194" xr:uid="{00000000-0005-0000-0000-00004D310000}"/>
    <cellStyle name="Comma 2 7 2 2 2 6" xfId="30854" xr:uid="{00000000-0005-0000-0000-00004E310000}"/>
    <cellStyle name="Comma 2 7 2 2 2 7" xfId="32017" xr:uid="{00000000-0005-0000-0000-00004F310000}"/>
    <cellStyle name="Comma 2 7 2 2 2 8" xfId="32659" xr:uid="{00000000-0005-0000-0000-000050310000}"/>
    <cellStyle name="Comma 2 7 2 2 2 9" xfId="33871" xr:uid="{00000000-0005-0000-0000-000051310000}"/>
    <cellStyle name="Comma 2 7 2 2 3" xfId="12584" xr:uid="{00000000-0005-0000-0000-000052310000}"/>
    <cellStyle name="Comma 2 7 2 2 3 2" xfId="31226" xr:uid="{00000000-0005-0000-0000-000053310000}"/>
    <cellStyle name="Comma 2 7 2 2 3 3" xfId="33082" xr:uid="{00000000-0005-0000-0000-000054310000}"/>
    <cellStyle name="Comma 2 7 2 2 3 4" xfId="34903" xr:uid="{00000000-0005-0000-0000-000055310000}"/>
    <cellStyle name="Comma 2 7 2 2 3 5" xfId="37003" xr:uid="{00000000-0005-0000-0000-000056310000}"/>
    <cellStyle name="Comma 2 7 2 2 4" xfId="11861" xr:uid="{00000000-0005-0000-0000-000057310000}"/>
    <cellStyle name="Comma 2 7 2 2 5" xfId="15695" xr:uid="{00000000-0005-0000-0000-000058310000}"/>
    <cellStyle name="Comma 2 7 2 2 6" xfId="30193" xr:uid="{00000000-0005-0000-0000-000059310000}"/>
    <cellStyle name="Comma 2 7 2 2 7" xfId="30635" xr:uid="{00000000-0005-0000-0000-00005A310000}"/>
    <cellStyle name="Comma 2 7 2 2 8" xfId="32016" xr:uid="{00000000-0005-0000-0000-00005B310000}"/>
    <cellStyle name="Comma 2 7 2 2 9" xfId="32658" xr:uid="{00000000-0005-0000-0000-00005C310000}"/>
    <cellStyle name="Comma 2 7 2 3" xfId="6388" xr:uid="{00000000-0005-0000-0000-00005D310000}"/>
    <cellStyle name="Comma 2 7 2 3 10" xfId="33872" xr:uid="{00000000-0005-0000-0000-00005E310000}"/>
    <cellStyle name="Comma 2 7 2 3 11" xfId="34215" xr:uid="{00000000-0005-0000-0000-00005F310000}"/>
    <cellStyle name="Comma 2 7 2 3 12" xfId="36442" xr:uid="{00000000-0005-0000-0000-000060310000}"/>
    <cellStyle name="Comma 2 7 2 3 13" xfId="39053" xr:uid="{00000000-0005-0000-0000-000061310000}"/>
    <cellStyle name="Comma 2 7 2 3 14" xfId="42079" xr:uid="{00000000-0005-0000-0000-000062310000}"/>
    <cellStyle name="Comma 2 7 2 3 15" xfId="45065" xr:uid="{00000000-0005-0000-0000-000063310000}"/>
    <cellStyle name="Comma 2 7 2 3 16" xfId="8106" xr:uid="{00000000-0005-0000-0000-000064310000}"/>
    <cellStyle name="Comma 2 7 2 3 2" xfId="8865" xr:uid="{00000000-0005-0000-0000-000065310000}"/>
    <cellStyle name="Comma 2 7 2 3 2 10" xfId="34532" xr:uid="{00000000-0005-0000-0000-000066310000}"/>
    <cellStyle name="Comma 2 7 2 3 2 11" xfId="36700" xr:uid="{00000000-0005-0000-0000-000067310000}"/>
    <cellStyle name="Comma 2 7 2 3 2 12" xfId="40621" xr:uid="{00000000-0005-0000-0000-000068310000}"/>
    <cellStyle name="Comma 2 7 2 3 2 13" xfId="43407" xr:uid="{00000000-0005-0000-0000-000069310000}"/>
    <cellStyle name="Comma 2 7 2 3 2 14" xfId="45066" xr:uid="{00000000-0005-0000-0000-00006A310000}"/>
    <cellStyle name="Comma 2 7 2 3 2 2" xfId="12864" xr:uid="{00000000-0005-0000-0000-00006B310000}"/>
    <cellStyle name="Comma 2 7 2 3 2 2 2" xfId="31446" xr:uid="{00000000-0005-0000-0000-00006C310000}"/>
    <cellStyle name="Comma 2 7 2 3 2 2 3" xfId="33299" xr:uid="{00000000-0005-0000-0000-00006D310000}"/>
    <cellStyle name="Comma 2 7 2 3 2 2 4" xfId="35123" xr:uid="{00000000-0005-0000-0000-00006E310000}"/>
    <cellStyle name="Comma 2 7 2 3 2 2 5" xfId="37221" xr:uid="{00000000-0005-0000-0000-00006F310000}"/>
    <cellStyle name="Comma 2 7 2 3 2 3" xfId="12081" xr:uid="{00000000-0005-0000-0000-000070310000}"/>
    <cellStyle name="Comma 2 7 2 3 2 4" xfId="15698" xr:uid="{00000000-0005-0000-0000-000071310000}"/>
    <cellStyle name="Comma 2 7 2 3 2 5" xfId="30196" xr:uid="{00000000-0005-0000-0000-000072310000}"/>
    <cellStyle name="Comma 2 7 2 3 2 6" xfId="30855" xr:uid="{00000000-0005-0000-0000-000073310000}"/>
    <cellStyle name="Comma 2 7 2 3 2 7" xfId="32019" xr:uid="{00000000-0005-0000-0000-000074310000}"/>
    <cellStyle name="Comma 2 7 2 3 2 8" xfId="32661" xr:uid="{00000000-0005-0000-0000-000075310000}"/>
    <cellStyle name="Comma 2 7 2 3 2 9" xfId="33873" xr:uid="{00000000-0005-0000-0000-000076310000}"/>
    <cellStyle name="Comma 2 7 2 3 3" xfId="12418" xr:uid="{00000000-0005-0000-0000-000077310000}"/>
    <cellStyle name="Comma 2 7 2 3 3 2" xfId="31129" xr:uid="{00000000-0005-0000-0000-000078310000}"/>
    <cellStyle name="Comma 2 7 2 3 3 3" xfId="32991" xr:uid="{00000000-0005-0000-0000-000079310000}"/>
    <cellStyle name="Comma 2 7 2 3 3 4" xfId="34806" xr:uid="{00000000-0005-0000-0000-00007A310000}"/>
    <cellStyle name="Comma 2 7 2 3 3 5" xfId="36912" xr:uid="{00000000-0005-0000-0000-00007B310000}"/>
    <cellStyle name="Comma 2 7 2 3 4" xfId="11764" xr:uid="{00000000-0005-0000-0000-00007C310000}"/>
    <cellStyle name="Comma 2 7 2 3 5" xfId="15697" xr:uid="{00000000-0005-0000-0000-00007D310000}"/>
    <cellStyle name="Comma 2 7 2 3 6" xfId="30195" xr:uid="{00000000-0005-0000-0000-00007E310000}"/>
    <cellStyle name="Comma 2 7 2 3 7" xfId="30538" xr:uid="{00000000-0005-0000-0000-00007F310000}"/>
    <cellStyle name="Comma 2 7 2 3 8" xfId="32018" xr:uid="{00000000-0005-0000-0000-000080310000}"/>
    <cellStyle name="Comma 2 7 2 3 9" xfId="32660" xr:uid="{00000000-0005-0000-0000-000081310000}"/>
    <cellStyle name="Comma 2 7 2 4" xfId="8863" xr:uid="{00000000-0005-0000-0000-000082310000}"/>
    <cellStyle name="Comma 2 7 2 4 10" xfId="34530" xr:uid="{00000000-0005-0000-0000-000083310000}"/>
    <cellStyle name="Comma 2 7 2 4 11" xfId="36698" xr:uid="{00000000-0005-0000-0000-000084310000}"/>
    <cellStyle name="Comma 2 7 2 4 12" xfId="39655" xr:uid="{00000000-0005-0000-0000-000085310000}"/>
    <cellStyle name="Comma 2 7 2 4 13" xfId="42590" xr:uid="{00000000-0005-0000-0000-000086310000}"/>
    <cellStyle name="Comma 2 7 2 4 14" xfId="45067" xr:uid="{00000000-0005-0000-0000-000087310000}"/>
    <cellStyle name="Comma 2 7 2 4 2" xfId="12862" xr:uid="{00000000-0005-0000-0000-000088310000}"/>
    <cellStyle name="Comma 2 7 2 4 2 2" xfId="31444" xr:uid="{00000000-0005-0000-0000-000089310000}"/>
    <cellStyle name="Comma 2 7 2 4 2 3" xfId="33297" xr:uid="{00000000-0005-0000-0000-00008A310000}"/>
    <cellStyle name="Comma 2 7 2 4 2 4" xfId="35121" xr:uid="{00000000-0005-0000-0000-00008B310000}"/>
    <cellStyle name="Comma 2 7 2 4 2 5" xfId="37219" xr:uid="{00000000-0005-0000-0000-00008C310000}"/>
    <cellStyle name="Comma 2 7 2 4 2 6" xfId="41238" xr:uid="{00000000-0005-0000-0000-00008D310000}"/>
    <cellStyle name="Comma 2 7 2 4 2 7" xfId="43918" xr:uid="{00000000-0005-0000-0000-00008E310000}"/>
    <cellStyle name="Comma 2 7 2 4 2 8" xfId="45068" xr:uid="{00000000-0005-0000-0000-00008F310000}"/>
    <cellStyle name="Comma 2 7 2 4 3" xfId="12079" xr:uid="{00000000-0005-0000-0000-000090310000}"/>
    <cellStyle name="Comma 2 7 2 4 4" xfId="15699" xr:uid="{00000000-0005-0000-0000-000091310000}"/>
    <cellStyle name="Comma 2 7 2 4 5" xfId="30197" xr:uid="{00000000-0005-0000-0000-000092310000}"/>
    <cellStyle name="Comma 2 7 2 4 6" xfId="30853" xr:uid="{00000000-0005-0000-0000-000093310000}"/>
    <cellStyle name="Comma 2 7 2 4 7" xfId="32020" xr:uid="{00000000-0005-0000-0000-000094310000}"/>
    <cellStyle name="Comma 2 7 2 4 8" xfId="32662" xr:uid="{00000000-0005-0000-0000-000095310000}"/>
    <cellStyle name="Comma 2 7 2 4 9" xfId="33874" xr:uid="{00000000-0005-0000-0000-000096310000}"/>
    <cellStyle name="Comma 2 7 2 5" xfId="12301" xr:uid="{00000000-0005-0000-0000-000097310000}"/>
    <cellStyle name="Comma 2 7 2 5 2" xfId="31074" xr:uid="{00000000-0005-0000-0000-000098310000}"/>
    <cellStyle name="Comma 2 7 2 5 3" xfId="32942" xr:uid="{00000000-0005-0000-0000-000099310000}"/>
    <cellStyle name="Comma 2 7 2 5 4" xfId="34751" xr:uid="{00000000-0005-0000-0000-00009A310000}"/>
    <cellStyle name="Comma 2 7 2 5 5" xfId="36859" xr:uid="{00000000-0005-0000-0000-00009B310000}"/>
    <cellStyle name="Comma 2 7 2 5 6" xfId="39896" xr:uid="{00000000-0005-0000-0000-00009C310000}"/>
    <cellStyle name="Comma 2 7 2 5 7" xfId="42795" xr:uid="{00000000-0005-0000-0000-00009D310000}"/>
    <cellStyle name="Comma 2 7 2 5 8" xfId="45069" xr:uid="{00000000-0005-0000-0000-00009E310000}"/>
    <cellStyle name="Comma 2 7 2 6" xfId="11708" xr:uid="{00000000-0005-0000-0000-00009F310000}"/>
    <cellStyle name="Comma 2 7 2 7" xfId="15694" xr:uid="{00000000-0005-0000-0000-0000A0310000}"/>
    <cellStyle name="Comma 2 7 2 8" xfId="30192" xr:uid="{00000000-0005-0000-0000-0000A1310000}"/>
    <cellStyle name="Comma 2 7 2 9" xfId="30483" xr:uid="{00000000-0005-0000-0000-0000A2310000}"/>
    <cellStyle name="Comma 2 7 20" xfId="41394" xr:uid="{00000000-0005-0000-0000-0000A3310000}"/>
    <cellStyle name="Comma 2 7 21" xfId="45070" xr:uid="{00000000-0005-0000-0000-0000A4310000}"/>
    <cellStyle name="Comma 2 7 22" xfId="6561" xr:uid="{00000000-0005-0000-0000-0000A5310000}"/>
    <cellStyle name="Comma 2 7 3" xfId="4440" xr:uid="{00000000-0005-0000-0000-0000A6310000}"/>
    <cellStyle name="Comma 2 7 3 10" xfId="32663" xr:uid="{00000000-0005-0000-0000-0000A7310000}"/>
    <cellStyle name="Comma 2 7 3 11" xfId="33875" xr:uid="{00000000-0005-0000-0000-0000A8310000}"/>
    <cellStyle name="Comma 2 7 3 12" xfId="34188" xr:uid="{00000000-0005-0000-0000-0000A9310000}"/>
    <cellStyle name="Comma 2 7 3 13" xfId="35623" xr:uid="{00000000-0005-0000-0000-0000AA310000}"/>
    <cellStyle name="Comma 2 7 3 14" xfId="36162" xr:uid="{00000000-0005-0000-0000-0000AB310000}"/>
    <cellStyle name="Comma 2 7 3 15" xfId="38692" xr:uid="{00000000-0005-0000-0000-0000AC310000}"/>
    <cellStyle name="Comma 2 7 3 16" xfId="41732" xr:uid="{00000000-0005-0000-0000-0000AD310000}"/>
    <cellStyle name="Comma 2 7 3 17" xfId="45071" xr:uid="{00000000-0005-0000-0000-0000AE310000}"/>
    <cellStyle name="Comma 2 7 3 18" xfId="7351" xr:uid="{00000000-0005-0000-0000-0000AF310000}"/>
    <cellStyle name="Comma 2 7 3 2" xfId="5891" xr:uid="{00000000-0005-0000-0000-0000B0310000}"/>
    <cellStyle name="Comma 2 7 3 2 10" xfId="33876" xr:uid="{00000000-0005-0000-0000-0000B1310000}"/>
    <cellStyle name="Comma 2 7 3 2 11" xfId="34340" xr:uid="{00000000-0005-0000-0000-0000B2310000}"/>
    <cellStyle name="Comma 2 7 3 2 12" xfId="36508" xr:uid="{00000000-0005-0000-0000-0000B3310000}"/>
    <cellStyle name="Comma 2 7 3 2 13" xfId="39178" xr:uid="{00000000-0005-0000-0000-0000B4310000}"/>
    <cellStyle name="Comma 2 7 3 2 14" xfId="42186" xr:uid="{00000000-0005-0000-0000-0000B5310000}"/>
    <cellStyle name="Comma 2 7 3 2 15" xfId="45072" xr:uid="{00000000-0005-0000-0000-0000B6310000}"/>
    <cellStyle name="Comma 2 7 3 2 16" xfId="8610" xr:uid="{00000000-0005-0000-0000-0000B7310000}"/>
    <cellStyle name="Comma 2 7 3 2 2" xfId="8867" xr:uid="{00000000-0005-0000-0000-0000B8310000}"/>
    <cellStyle name="Comma 2 7 3 2 2 10" xfId="34534" xr:uid="{00000000-0005-0000-0000-0000B9310000}"/>
    <cellStyle name="Comma 2 7 3 2 2 11" xfId="36702" xr:uid="{00000000-0005-0000-0000-0000BA310000}"/>
    <cellStyle name="Comma 2 7 3 2 2 12" xfId="40751" xr:uid="{00000000-0005-0000-0000-0000BB310000}"/>
    <cellStyle name="Comma 2 7 3 2 2 13" xfId="43514" xr:uid="{00000000-0005-0000-0000-0000BC310000}"/>
    <cellStyle name="Comma 2 7 3 2 2 14" xfId="45073" xr:uid="{00000000-0005-0000-0000-0000BD310000}"/>
    <cellStyle name="Comma 2 7 3 2 2 2" xfId="12866" xr:uid="{00000000-0005-0000-0000-0000BE310000}"/>
    <cellStyle name="Comma 2 7 3 2 2 2 2" xfId="31448" xr:uid="{00000000-0005-0000-0000-0000BF310000}"/>
    <cellStyle name="Comma 2 7 3 2 2 2 3" xfId="33301" xr:uid="{00000000-0005-0000-0000-0000C0310000}"/>
    <cellStyle name="Comma 2 7 3 2 2 2 4" xfId="35125" xr:uid="{00000000-0005-0000-0000-0000C1310000}"/>
    <cellStyle name="Comma 2 7 3 2 2 2 5" xfId="37223" xr:uid="{00000000-0005-0000-0000-0000C2310000}"/>
    <cellStyle name="Comma 2 7 3 2 2 3" xfId="12083" xr:uid="{00000000-0005-0000-0000-0000C3310000}"/>
    <cellStyle name="Comma 2 7 3 2 2 4" xfId="15702" xr:uid="{00000000-0005-0000-0000-0000C4310000}"/>
    <cellStyle name="Comma 2 7 3 2 2 5" xfId="30200" xr:uid="{00000000-0005-0000-0000-0000C5310000}"/>
    <cellStyle name="Comma 2 7 3 2 2 6" xfId="30857" xr:uid="{00000000-0005-0000-0000-0000C6310000}"/>
    <cellStyle name="Comma 2 7 3 2 2 7" xfId="32023" xr:uid="{00000000-0005-0000-0000-0000C7310000}"/>
    <cellStyle name="Comma 2 7 3 2 2 8" xfId="32665" xr:uid="{00000000-0005-0000-0000-0000C8310000}"/>
    <cellStyle name="Comma 2 7 3 2 2 9" xfId="33877" xr:uid="{00000000-0005-0000-0000-0000C9310000}"/>
    <cellStyle name="Comma 2 7 3 2 3" xfId="12616" xr:uid="{00000000-0005-0000-0000-0000CA310000}"/>
    <cellStyle name="Comma 2 7 3 2 3 2" xfId="31254" xr:uid="{00000000-0005-0000-0000-0000CB310000}"/>
    <cellStyle name="Comma 2 7 3 2 3 3" xfId="33108" xr:uid="{00000000-0005-0000-0000-0000CC310000}"/>
    <cellStyle name="Comma 2 7 3 2 3 4" xfId="34931" xr:uid="{00000000-0005-0000-0000-0000CD310000}"/>
    <cellStyle name="Comma 2 7 3 2 3 5" xfId="37029" xr:uid="{00000000-0005-0000-0000-0000CE310000}"/>
    <cellStyle name="Comma 2 7 3 2 4" xfId="11889" xr:uid="{00000000-0005-0000-0000-0000CF310000}"/>
    <cellStyle name="Comma 2 7 3 2 5" xfId="15701" xr:uid="{00000000-0005-0000-0000-0000D0310000}"/>
    <cellStyle name="Comma 2 7 3 2 6" xfId="30199" xr:uid="{00000000-0005-0000-0000-0000D1310000}"/>
    <cellStyle name="Comma 2 7 3 2 7" xfId="30663" xr:uid="{00000000-0005-0000-0000-0000D2310000}"/>
    <cellStyle name="Comma 2 7 3 2 8" xfId="32022" xr:uid="{00000000-0005-0000-0000-0000D3310000}"/>
    <cellStyle name="Comma 2 7 3 2 9" xfId="32664" xr:uid="{00000000-0005-0000-0000-0000D4310000}"/>
    <cellStyle name="Comma 2 7 3 3" xfId="8866" xr:uid="{00000000-0005-0000-0000-0000D5310000}"/>
    <cellStyle name="Comma 2 7 3 3 10" xfId="34533" xr:uid="{00000000-0005-0000-0000-0000D6310000}"/>
    <cellStyle name="Comma 2 7 3 3 11" xfId="36701" xr:uid="{00000000-0005-0000-0000-0000D7310000}"/>
    <cellStyle name="Comma 2 7 3 3 12" xfId="39490" xr:uid="{00000000-0005-0000-0000-0000D8310000}"/>
    <cellStyle name="Comma 2 7 3 3 13" xfId="42450" xr:uid="{00000000-0005-0000-0000-0000D9310000}"/>
    <cellStyle name="Comma 2 7 3 3 14" xfId="45074" xr:uid="{00000000-0005-0000-0000-0000DA310000}"/>
    <cellStyle name="Comma 2 7 3 3 2" xfId="12865" xr:uid="{00000000-0005-0000-0000-0000DB310000}"/>
    <cellStyle name="Comma 2 7 3 3 2 2" xfId="31447" xr:uid="{00000000-0005-0000-0000-0000DC310000}"/>
    <cellStyle name="Comma 2 7 3 3 2 3" xfId="33300" xr:uid="{00000000-0005-0000-0000-0000DD310000}"/>
    <cellStyle name="Comma 2 7 3 3 2 4" xfId="35124" xr:uid="{00000000-0005-0000-0000-0000DE310000}"/>
    <cellStyle name="Comma 2 7 3 3 2 5" xfId="37222" xr:uid="{00000000-0005-0000-0000-0000DF310000}"/>
    <cellStyle name="Comma 2 7 3 3 2 6" xfId="41066" xr:uid="{00000000-0005-0000-0000-0000E0310000}"/>
    <cellStyle name="Comma 2 7 3 3 2 7" xfId="43778" xr:uid="{00000000-0005-0000-0000-0000E1310000}"/>
    <cellStyle name="Comma 2 7 3 3 2 8" xfId="45075" xr:uid="{00000000-0005-0000-0000-0000E2310000}"/>
    <cellStyle name="Comma 2 7 3 3 3" xfId="12082" xr:uid="{00000000-0005-0000-0000-0000E3310000}"/>
    <cellStyle name="Comma 2 7 3 3 4" xfId="15703" xr:uid="{00000000-0005-0000-0000-0000E4310000}"/>
    <cellStyle name="Comma 2 7 3 3 5" xfId="30201" xr:uid="{00000000-0005-0000-0000-0000E5310000}"/>
    <cellStyle name="Comma 2 7 3 3 6" xfId="30856" xr:uid="{00000000-0005-0000-0000-0000E6310000}"/>
    <cellStyle name="Comma 2 7 3 3 7" xfId="32024" xr:uid="{00000000-0005-0000-0000-0000E7310000}"/>
    <cellStyle name="Comma 2 7 3 3 8" xfId="32666" xr:uid="{00000000-0005-0000-0000-0000E8310000}"/>
    <cellStyle name="Comma 2 7 3 3 9" xfId="33878" xr:uid="{00000000-0005-0000-0000-0000E9310000}"/>
    <cellStyle name="Comma 2 7 3 4" xfId="12330" xr:uid="{00000000-0005-0000-0000-0000EA310000}"/>
    <cellStyle name="Comma 2 7 3 4 2" xfId="31102" xr:uid="{00000000-0005-0000-0000-0000EB310000}"/>
    <cellStyle name="Comma 2 7 3 4 3" xfId="32964" xr:uid="{00000000-0005-0000-0000-0000EC310000}"/>
    <cellStyle name="Comma 2 7 3 4 4" xfId="34779" xr:uid="{00000000-0005-0000-0000-0000ED310000}"/>
    <cellStyle name="Comma 2 7 3 4 5" xfId="36885" xr:uid="{00000000-0005-0000-0000-0000EE310000}"/>
    <cellStyle name="Comma 2 7 3 4 6" xfId="40211" xr:uid="{00000000-0005-0000-0000-0000EF310000}"/>
    <cellStyle name="Comma 2 7 3 4 7" xfId="43060" xr:uid="{00000000-0005-0000-0000-0000F0310000}"/>
    <cellStyle name="Comma 2 7 3 4 8" xfId="45076" xr:uid="{00000000-0005-0000-0000-0000F1310000}"/>
    <cellStyle name="Comma 2 7 3 5" xfId="11737" xr:uid="{00000000-0005-0000-0000-0000F2310000}"/>
    <cellStyle name="Comma 2 7 3 6" xfId="15700" xr:uid="{00000000-0005-0000-0000-0000F3310000}"/>
    <cellStyle name="Comma 2 7 3 7" xfId="30198" xr:uid="{00000000-0005-0000-0000-0000F4310000}"/>
    <cellStyle name="Comma 2 7 3 8" xfId="30511" xr:uid="{00000000-0005-0000-0000-0000F5310000}"/>
    <cellStyle name="Comma 2 7 3 9" xfId="32021" xr:uid="{00000000-0005-0000-0000-0000F6310000}"/>
    <cellStyle name="Comma 2 7 4" xfId="5753" xr:uid="{00000000-0005-0000-0000-0000F7310000}"/>
    <cellStyle name="Comma 2 7 4 10" xfId="33879" xr:uid="{00000000-0005-0000-0000-0000F8310000}"/>
    <cellStyle name="Comma 2 7 4 11" xfId="34273" xr:uid="{00000000-0005-0000-0000-0000F9310000}"/>
    <cellStyle name="Comma 2 7 4 12" xfId="36471" xr:uid="{00000000-0005-0000-0000-0000FA310000}"/>
    <cellStyle name="Comma 2 7 4 13" xfId="38120" xr:uid="{00000000-0005-0000-0000-0000FB310000}"/>
    <cellStyle name="Comma 2 7 4 14" xfId="41617" xr:uid="{00000000-0005-0000-0000-0000FC310000}"/>
    <cellStyle name="Comma 2 7 4 15" xfId="45077" xr:uid="{00000000-0005-0000-0000-0000FD310000}"/>
    <cellStyle name="Comma 2 7 4 16" xfId="8436" xr:uid="{00000000-0005-0000-0000-0000FE310000}"/>
    <cellStyle name="Comma 2 7 4 2" xfId="8868" xr:uid="{00000000-0005-0000-0000-0000FF310000}"/>
    <cellStyle name="Comma 2 7 4 2 10" xfId="34535" xr:uid="{00000000-0005-0000-0000-000000320000}"/>
    <cellStyle name="Comma 2 7 4 2 11" xfId="36703" xr:uid="{00000000-0005-0000-0000-000001320000}"/>
    <cellStyle name="Comma 2 7 4 2 12" xfId="40076" xr:uid="{00000000-0005-0000-0000-000002320000}"/>
    <cellStyle name="Comma 2 7 4 2 13" xfId="42945" xr:uid="{00000000-0005-0000-0000-000003320000}"/>
    <cellStyle name="Comma 2 7 4 2 14" xfId="45078" xr:uid="{00000000-0005-0000-0000-000004320000}"/>
    <cellStyle name="Comma 2 7 4 2 2" xfId="12867" xr:uid="{00000000-0005-0000-0000-000005320000}"/>
    <cellStyle name="Comma 2 7 4 2 2 2" xfId="31449" xr:uid="{00000000-0005-0000-0000-000006320000}"/>
    <cellStyle name="Comma 2 7 4 2 2 3" xfId="33302" xr:uid="{00000000-0005-0000-0000-000007320000}"/>
    <cellStyle name="Comma 2 7 4 2 2 4" xfId="35126" xr:uid="{00000000-0005-0000-0000-000008320000}"/>
    <cellStyle name="Comma 2 7 4 2 2 5" xfId="37224" xr:uid="{00000000-0005-0000-0000-000009320000}"/>
    <cellStyle name="Comma 2 7 4 2 3" xfId="12084" xr:uid="{00000000-0005-0000-0000-00000A320000}"/>
    <cellStyle name="Comma 2 7 4 2 4" xfId="15705" xr:uid="{00000000-0005-0000-0000-00000B320000}"/>
    <cellStyle name="Comma 2 7 4 2 5" xfId="30203" xr:uid="{00000000-0005-0000-0000-00000C320000}"/>
    <cellStyle name="Comma 2 7 4 2 6" xfId="30858" xr:uid="{00000000-0005-0000-0000-00000D320000}"/>
    <cellStyle name="Comma 2 7 4 2 7" xfId="32026" xr:uid="{00000000-0005-0000-0000-00000E320000}"/>
    <cellStyle name="Comma 2 7 4 2 8" xfId="32668" xr:uid="{00000000-0005-0000-0000-00000F320000}"/>
    <cellStyle name="Comma 2 7 4 2 9" xfId="33880" xr:uid="{00000000-0005-0000-0000-000010320000}"/>
    <cellStyle name="Comma 2 7 4 3" xfId="12544" xr:uid="{00000000-0005-0000-0000-000011320000}"/>
    <cellStyle name="Comma 2 7 4 3 2" xfId="31187" xr:uid="{00000000-0005-0000-0000-000012320000}"/>
    <cellStyle name="Comma 2 7 4 3 3" xfId="33045" xr:uid="{00000000-0005-0000-0000-000013320000}"/>
    <cellStyle name="Comma 2 7 4 3 4" xfId="34864" xr:uid="{00000000-0005-0000-0000-000014320000}"/>
    <cellStyle name="Comma 2 7 4 3 5" xfId="36966" xr:uid="{00000000-0005-0000-0000-000015320000}"/>
    <cellStyle name="Comma 2 7 4 4" xfId="11822" xr:uid="{00000000-0005-0000-0000-000016320000}"/>
    <cellStyle name="Comma 2 7 4 5" xfId="15704" xr:uid="{00000000-0005-0000-0000-000017320000}"/>
    <cellStyle name="Comma 2 7 4 6" xfId="30202" xr:uid="{00000000-0005-0000-0000-000018320000}"/>
    <cellStyle name="Comma 2 7 4 7" xfId="30596" xr:uid="{00000000-0005-0000-0000-000019320000}"/>
    <cellStyle name="Comma 2 7 4 8" xfId="32025" xr:uid="{00000000-0005-0000-0000-00001A320000}"/>
    <cellStyle name="Comma 2 7 4 9" xfId="32667" xr:uid="{00000000-0005-0000-0000-00001B320000}"/>
    <cellStyle name="Comma 2 7 5" xfId="6212" xr:uid="{00000000-0005-0000-0000-00001C320000}"/>
    <cellStyle name="Comma 2 7 5 10" xfId="33881" xr:uid="{00000000-0005-0000-0000-00001D320000}"/>
    <cellStyle name="Comma 2 7 5 11" xfId="34214" xr:uid="{00000000-0005-0000-0000-00001E320000}"/>
    <cellStyle name="Comma 2 7 5 12" xfId="36441" xr:uid="{00000000-0005-0000-0000-00001F320000}"/>
    <cellStyle name="Comma 2 7 5 13" xfId="38949" xr:uid="{00000000-0005-0000-0000-000020320000}"/>
    <cellStyle name="Comma 2 7 5 14" xfId="41980" xr:uid="{00000000-0005-0000-0000-000021320000}"/>
    <cellStyle name="Comma 2 7 5 15" xfId="45079" xr:uid="{00000000-0005-0000-0000-000022320000}"/>
    <cellStyle name="Comma 2 7 5 16" xfId="8105" xr:uid="{00000000-0005-0000-0000-000023320000}"/>
    <cellStyle name="Comma 2 7 5 2" xfId="8869" xr:uid="{00000000-0005-0000-0000-000024320000}"/>
    <cellStyle name="Comma 2 7 5 2 10" xfId="34536" xr:uid="{00000000-0005-0000-0000-000025320000}"/>
    <cellStyle name="Comma 2 7 5 2 11" xfId="36704" xr:uid="{00000000-0005-0000-0000-000026320000}"/>
    <cellStyle name="Comma 2 7 5 2 12" xfId="40507" xr:uid="{00000000-0005-0000-0000-000027320000}"/>
    <cellStyle name="Comma 2 7 5 2 13" xfId="43308" xr:uid="{00000000-0005-0000-0000-000028320000}"/>
    <cellStyle name="Comma 2 7 5 2 14" xfId="45080" xr:uid="{00000000-0005-0000-0000-000029320000}"/>
    <cellStyle name="Comma 2 7 5 2 2" xfId="12868" xr:uid="{00000000-0005-0000-0000-00002A320000}"/>
    <cellStyle name="Comma 2 7 5 2 2 2" xfId="31450" xr:uid="{00000000-0005-0000-0000-00002B320000}"/>
    <cellStyle name="Comma 2 7 5 2 2 3" xfId="33303" xr:uid="{00000000-0005-0000-0000-00002C320000}"/>
    <cellStyle name="Comma 2 7 5 2 2 4" xfId="35127" xr:uid="{00000000-0005-0000-0000-00002D320000}"/>
    <cellStyle name="Comma 2 7 5 2 2 5" xfId="37225" xr:uid="{00000000-0005-0000-0000-00002E320000}"/>
    <cellStyle name="Comma 2 7 5 2 3" xfId="12085" xr:uid="{00000000-0005-0000-0000-00002F320000}"/>
    <cellStyle name="Comma 2 7 5 2 4" xfId="15707" xr:uid="{00000000-0005-0000-0000-000030320000}"/>
    <cellStyle name="Comma 2 7 5 2 5" xfId="30205" xr:uid="{00000000-0005-0000-0000-000031320000}"/>
    <cellStyle name="Comma 2 7 5 2 6" xfId="30859" xr:uid="{00000000-0005-0000-0000-000032320000}"/>
    <cellStyle name="Comma 2 7 5 2 7" xfId="32028" xr:uid="{00000000-0005-0000-0000-000033320000}"/>
    <cellStyle name="Comma 2 7 5 2 8" xfId="32670" xr:uid="{00000000-0005-0000-0000-000034320000}"/>
    <cellStyle name="Comma 2 7 5 2 9" xfId="33882" xr:uid="{00000000-0005-0000-0000-000035320000}"/>
    <cellStyle name="Comma 2 7 5 3" xfId="12417" xr:uid="{00000000-0005-0000-0000-000036320000}"/>
    <cellStyle name="Comma 2 7 5 3 2" xfId="31128" xr:uid="{00000000-0005-0000-0000-000037320000}"/>
    <cellStyle name="Comma 2 7 5 3 3" xfId="32990" xr:uid="{00000000-0005-0000-0000-000038320000}"/>
    <cellStyle name="Comma 2 7 5 3 4" xfId="34805" xr:uid="{00000000-0005-0000-0000-000039320000}"/>
    <cellStyle name="Comma 2 7 5 3 5" xfId="36911" xr:uid="{00000000-0005-0000-0000-00003A320000}"/>
    <cellStyle name="Comma 2 7 5 4" xfId="11763" xr:uid="{00000000-0005-0000-0000-00003B320000}"/>
    <cellStyle name="Comma 2 7 5 5" xfId="15706" xr:uid="{00000000-0005-0000-0000-00003C320000}"/>
    <cellStyle name="Comma 2 7 5 6" xfId="30204" xr:uid="{00000000-0005-0000-0000-00003D320000}"/>
    <cellStyle name="Comma 2 7 5 7" xfId="30537" xr:uid="{00000000-0005-0000-0000-00003E320000}"/>
    <cellStyle name="Comma 2 7 5 8" xfId="32027" xr:uid="{00000000-0005-0000-0000-00003F320000}"/>
    <cellStyle name="Comma 2 7 5 9" xfId="32669" xr:uid="{00000000-0005-0000-0000-000040320000}"/>
    <cellStyle name="Comma 2 7 6" xfId="8862" xr:uid="{00000000-0005-0000-0000-000041320000}"/>
    <cellStyle name="Comma 2 7 6 10" xfId="34529" xr:uid="{00000000-0005-0000-0000-000042320000}"/>
    <cellStyle name="Comma 2 7 6 11" xfId="36697" xr:uid="{00000000-0005-0000-0000-000043320000}"/>
    <cellStyle name="Comma 2 7 6 12" xfId="39357" xr:uid="{00000000-0005-0000-0000-000044320000}"/>
    <cellStyle name="Comma 2 7 6 13" xfId="42335" xr:uid="{00000000-0005-0000-0000-000045320000}"/>
    <cellStyle name="Comma 2 7 6 14" xfId="45081" xr:uid="{00000000-0005-0000-0000-000046320000}"/>
    <cellStyle name="Comma 2 7 6 2" xfId="12861" xr:uid="{00000000-0005-0000-0000-000047320000}"/>
    <cellStyle name="Comma 2 7 6 2 2" xfId="31443" xr:uid="{00000000-0005-0000-0000-000048320000}"/>
    <cellStyle name="Comma 2 7 6 2 3" xfId="33296" xr:uid="{00000000-0005-0000-0000-000049320000}"/>
    <cellStyle name="Comma 2 7 6 2 4" xfId="35120" xr:uid="{00000000-0005-0000-0000-00004A320000}"/>
    <cellStyle name="Comma 2 7 6 2 5" xfId="37218" xr:uid="{00000000-0005-0000-0000-00004B320000}"/>
    <cellStyle name="Comma 2 7 6 2 6" xfId="40928" xr:uid="{00000000-0005-0000-0000-00004C320000}"/>
    <cellStyle name="Comma 2 7 6 2 7" xfId="43663" xr:uid="{00000000-0005-0000-0000-00004D320000}"/>
    <cellStyle name="Comma 2 7 6 2 8" xfId="45082" xr:uid="{00000000-0005-0000-0000-00004E320000}"/>
    <cellStyle name="Comma 2 7 6 3" xfId="12078" xr:uid="{00000000-0005-0000-0000-00004F320000}"/>
    <cellStyle name="Comma 2 7 6 4" xfId="15708" xr:uid="{00000000-0005-0000-0000-000050320000}"/>
    <cellStyle name="Comma 2 7 6 5" xfId="30206" xr:uid="{00000000-0005-0000-0000-000051320000}"/>
    <cellStyle name="Comma 2 7 6 6" xfId="30852" xr:uid="{00000000-0005-0000-0000-000052320000}"/>
    <cellStyle name="Comma 2 7 6 7" xfId="32029" xr:uid="{00000000-0005-0000-0000-000053320000}"/>
    <cellStyle name="Comma 2 7 6 8" xfId="32671" xr:uid="{00000000-0005-0000-0000-000054320000}"/>
    <cellStyle name="Comma 2 7 6 9" xfId="33883" xr:uid="{00000000-0005-0000-0000-000055320000}"/>
    <cellStyle name="Comma 2 7 7" xfId="11529" xr:uid="{00000000-0005-0000-0000-000056320000}"/>
    <cellStyle name="Comma 2 7 7 10" xfId="34643" xr:uid="{00000000-0005-0000-0000-000057320000}"/>
    <cellStyle name="Comma 2 7 7 11" xfId="36771" xr:uid="{00000000-0005-0000-0000-000058320000}"/>
    <cellStyle name="Comma 2 7 7 12" xfId="39814" xr:uid="{00000000-0005-0000-0000-000059320000}"/>
    <cellStyle name="Comma 2 7 7 13" xfId="42722" xr:uid="{00000000-0005-0000-0000-00005A320000}"/>
    <cellStyle name="Comma 2 7 7 14" xfId="45083" xr:uid="{00000000-0005-0000-0000-00005B320000}"/>
    <cellStyle name="Comma 2 7 7 2" xfId="15150" xr:uid="{00000000-0005-0000-0000-00005C320000}"/>
    <cellStyle name="Comma 2 7 7 2 2" xfId="31557" xr:uid="{00000000-0005-0000-0000-00005D320000}"/>
    <cellStyle name="Comma 2 7 7 2 3" xfId="33410" xr:uid="{00000000-0005-0000-0000-00005E320000}"/>
    <cellStyle name="Comma 2 7 7 2 4" xfId="35234" xr:uid="{00000000-0005-0000-0000-00005F320000}"/>
    <cellStyle name="Comma 2 7 7 2 5" xfId="37314" xr:uid="{00000000-0005-0000-0000-000060320000}"/>
    <cellStyle name="Comma 2 7 7 3" xfId="12192" xr:uid="{00000000-0005-0000-0000-000061320000}"/>
    <cellStyle name="Comma 2 7 7 4" xfId="15709" xr:uid="{00000000-0005-0000-0000-000062320000}"/>
    <cellStyle name="Comma 2 7 7 5" xfId="30207" xr:uid="{00000000-0005-0000-0000-000063320000}"/>
    <cellStyle name="Comma 2 7 7 6" xfId="30966" xr:uid="{00000000-0005-0000-0000-000064320000}"/>
    <cellStyle name="Comma 2 7 7 7" xfId="32030" xr:uid="{00000000-0005-0000-0000-000065320000}"/>
    <cellStyle name="Comma 2 7 7 8" xfId="32672" xr:uid="{00000000-0005-0000-0000-000066320000}"/>
    <cellStyle name="Comma 2 7 7 9" xfId="33884" xr:uid="{00000000-0005-0000-0000-000067320000}"/>
    <cellStyle name="Comma 2 7 8" xfId="12263" xr:uid="{00000000-0005-0000-0000-000068320000}"/>
    <cellStyle name="Comma 2 7 8 2" xfId="31036" xr:uid="{00000000-0005-0000-0000-000069320000}"/>
    <cellStyle name="Comma 2 7 8 3" xfId="32905" xr:uid="{00000000-0005-0000-0000-00006A320000}"/>
    <cellStyle name="Comma 2 7 8 4" xfId="34713" xr:uid="{00000000-0005-0000-0000-00006B320000}"/>
    <cellStyle name="Comma 2 7 8 5" xfId="36821" xr:uid="{00000000-0005-0000-0000-00006C320000}"/>
    <cellStyle name="Comma 2 7 9" xfId="11669" xr:uid="{00000000-0005-0000-0000-00006D320000}"/>
    <cellStyle name="Comma 2 8" xfId="2789" xr:uid="{00000000-0005-0000-0000-00006E320000}"/>
    <cellStyle name="Comma 2 8 10" xfId="15710" xr:uid="{00000000-0005-0000-0000-00006F320000}"/>
    <cellStyle name="Comma 2 8 11" xfId="30208" xr:uid="{00000000-0005-0000-0000-000070320000}"/>
    <cellStyle name="Comma 2 8 12" xfId="30446" xr:uid="{00000000-0005-0000-0000-000071320000}"/>
    <cellStyle name="Comma 2 8 13" xfId="32031" xr:uid="{00000000-0005-0000-0000-000072320000}"/>
    <cellStyle name="Comma 2 8 14" xfId="32673" xr:uid="{00000000-0005-0000-0000-000073320000}"/>
    <cellStyle name="Comma 2 8 15" xfId="33885" xr:uid="{00000000-0005-0000-0000-000074320000}"/>
    <cellStyle name="Comma 2 8 16" xfId="34123" xr:uid="{00000000-0005-0000-0000-000075320000}"/>
    <cellStyle name="Comma 2 8 17" xfId="35351" xr:uid="{00000000-0005-0000-0000-000076320000}"/>
    <cellStyle name="Comma 2 8 18" xfId="36214" xr:uid="{00000000-0005-0000-0000-000077320000}"/>
    <cellStyle name="Comma 2 8 19" xfId="37448" xr:uid="{00000000-0005-0000-0000-000078320000}"/>
    <cellStyle name="Comma 2 8 2" xfId="5100" xr:uid="{00000000-0005-0000-0000-000079320000}"/>
    <cellStyle name="Comma 2 8 2 10" xfId="32674" xr:uid="{00000000-0005-0000-0000-00007A320000}"/>
    <cellStyle name="Comma 2 8 2 11" xfId="33886" xr:uid="{00000000-0005-0000-0000-00007B320000}"/>
    <cellStyle name="Comma 2 8 2 12" xfId="34161" xr:uid="{00000000-0005-0000-0000-00007C320000}"/>
    <cellStyle name="Comma 2 8 2 13" xfId="36055" xr:uid="{00000000-0005-0000-0000-00007D320000}"/>
    <cellStyle name="Comma 2 8 2 14" xfId="36355" xr:uid="{00000000-0005-0000-0000-00007E320000}"/>
    <cellStyle name="Comma 2 8 2 15" xfId="37522" xr:uid="{00000000-0005-0000-0000-00007F320000}"/>
    <cellStyle name="Comma 2 8 2 16" xfId="41468" xr:uid="{00000000-0005-0000-0000-000080320000}"/>
    <cellStyle name="Comma 2 8 2 17" xfId="45084" xr:uid="{00000000-0005-0000-0000-000081320000}"/>
    <cellStyle name="Comma 2 8 2 18" xfId="6674" xr:uid="{00000000-0005-0000-0000-000082320000}"/>
    <cellStyle name="Comma 2 8 2 2" xfId="6069" xr:uid="{00000000-0005-0000-0000-000083320000}"/>
    <cellStyle name="Comma 2 8 2 2 10" xfId="33887" xr:uid="{00000000-0005-0000-0000-000084320000}"/>
    <cellStyle name="Comma 2 8 2 2 11" xfId="34313" xr:uid="{00000000-0005-0000-0000-000085320000}"/>
    <cellStyle name="Comma 2 8 2 2 12" xfId="36496" xr:uid="{00000000-0005-0000-0000-000086320000}"/>
    <cellStyle name="Comma 2 8 2 2 13" xfId="38834" xr:uid="{00000000-0005-0000-0000-000087320000}"/>
    <cellStyle name="Comma 2 8 2 2 14" xfId="41873" xr:uid="{00000000-0005-0000-0000-000088320000}"/>
    <cellStyle name="Comma 2 8 2 2 15" xfId="45085" xr:uid="{00000000-0005-0000-0000-000089320000}"/>
    <cellStyle name="Comma 2 8 2 2 16" xfId="8550" xr:uid="{00000000-0005-0000-0000-00008A320000}"/>
    <cellStyle name="Comma 2 8 2 2 2" xfId="8872" xr:uid="{00000000-0005-0000-0000-00008B320000}"/>
    <cellStyle name="Comma 2 8 2 2 2 10" xfId="34539" xr:uid="{00000000-0005-0000-0000-00008C320000}"/>
    <cellStyle name="Comma 2 8 2 2 2 11" xfId="36707" xr:uid="{00000000-0005-0000-0000-00008D320000}"/>
    <cellStyle name="Comma 2 8 2 2 2 12" xfId="40383" xr:uid="{00000000-0005-0000-0000-00008E320000}"/>
    <cellStyle name="Comma 2 8 2 2 2 13" xfId="43201" xr:uid="{00000000-0005-0000-0000-00008F320000}"/>
    <cellStyle name="Comma 2 8 2 2 2 14" xfId="45086" xr:uid="{00000000-0005-0000-0000-000090320000}"/>
    <cellStyle name="Comma 2 8 2 2 2 2" xfId="12871" xr:uid="{00000000-0005-0000-0000-000091320000}"/>
    <cellStyle name="Comma 2 8 2 2 2 2 2" xfId="31453" xr:uid="{00000000-0005-0000-0000-000092320000}"/>
    <cellStyle name="Comma 2 8 2 2 2 2 3" xfId="33306" xr:uid="{00000000-0005-0000-0000-000093320000}"/>
    <cellStyle name="Comma 2 8 2 2 2 2 4" xfId="35130" xr:uid="{00000000-0005-0000-0000-000094320000}"/>
    <cellStyle name="Comma 2 8 2 2 2 2 5" xfId="37228" xr:uid="{00000000-0005-0000-0000-000095320000}"/>
    <cellStyle name="Comma 2 8 2 2 2 3" xfId="12088" xr:uid="{00000000-0005-0000-0000-000096320000}"/>
    <cellStyle name="Comma 2 8 2 2 2 4" xfId="15713" xr:uid="{00000000-0005-0000-0000-000097320000}"/>
    <cellStyle name="Comma 2 8 2 2 2 5" xfId="30211" xr:uid="{00000000-0005-0000-0000-000098320000}"/>
    <cellStyle name="Comma 2 8 2 2 2 6" xfId="30862" xr:uid="{00000000-0005-0000-0000-000099320000}"/>
    <cellStyle name="Comma 2 8 2 2 2 7" xfId="32034" xr:uid="{00000000-0005-0000-0000-00009A320000}"/>
    <cellStyle name="Comma 2 8 2 2 2 8" xfId="32676" xr:uid="{00000000-0005-0000-0000-00009B320000}"/>
    <cellStyle name="Comma 2 8 2 2 2 9" xfId="33888" xr:uid="{00000000-0005-0000-0000-00009C320000}"/>
    <cellStyle name="Comma 2 8 2 2 3" xfId="12585" xr:uid="{00000000-0005-0000-0000-00009D320000}"/>
    <cellStyle name="Comma 2 8 2 2 3 2" xfId="31227" xr:uid="{00000000-0005-0000-0000-00009E320000}"/>
    <cellStyle name="Comma 2 8 2 2 3 3" xfId="33083" xr:uid="{00000000-0005-0000-0000-00009F320000}"/>
    <cellStyle name="Comma 2 8 2 2 3 4" xfId="34904" xr:uid="{00000000-0005-0000-0000-0000A0320000}"/>
    <cellStyle name="Comma 2 8 2 2 3 5" xfId="37004" xr:uid="{00000000-0005-0000-0000-0000A1320000}"/>
    <cellStyle name="Comma 2 8 2 2 4" xfId="11862" xr:uid="{00000000-0005-0000-0000-0000A2320000}"/>
    <cellStyle name="Comma 2 8 2 2 5" xfId="15712" xr:uid="{00000000-0005-0000-0000-0000A3320000}"/>
    <cellStyle name="Comma 2 8 2 2 6" xfId="30210" xr:uid="{00000000-0005-0000-0000-0000A4320000}"/>
    <cellStyle name="Comma 2 8 2 2 7" xfId="30636" xr:uid="{00000000-0005-0000-0000-0000A5320000}"/>
    <cellStyle name="Comma 2 8 2 2 8" xfId="32033" xr:uid="{00000000-0005-0000-0000-0000A6320000}"/>
    <cellStyle name="Comma 2 8 2 2 9" xfId="32675" xr:uid="{00000000-0005-0000-0000-0000A7320000}"/>
    <cellStyle name="Comma 2 8 2 3" xfId="6389" xr:uid="{00000000-0005-0000-0000-0000A8320000}"/>
    <cellStyle name="Comma 2 8 2 3 10" xfId="34538" xr:uid="{00000000-0005-0000-0000-0000A9320000}"/>
    <cellStyle name="Comma 2 8 2 3 11" xfId="36706" xr:uid="{00000000-0005-0000-0000-0000AA320000}"/>
    <cellStyle name="Comma 2 8 2 3 12" xfId="39054" xr:uid="{00000000-0005-0000-0000-0000AB320000}"/>
    <cellStyle name="Comma 2 8 2 3 13" xfId="42080" xr:uid="{00000000-0005-0000-0000-0000AC320000}"/>
    <cellStyle name="Comma 2 8 2 3 14" xfId="45087" xr:uid="{00000000-0005-0000-0000-0000AD320000}"/>
    <cellStyle name="Comma 2 8 2 3 15" xfId="8871" xr:uid="{00000000-0005-0000-0000-0000AE320000}"/>
    <cellStyle name="Comma 2 8 2 3 2" xfId="12870" xr:uid="{00000000-0005-0000-0000-0000AF320000}"/>
    <cellStyle name="Comma 2 8 2 3 2 2" xfId="31452" xr:uid="{00000000-0005-0000-0000-0000B0320000}"/>
    <cellStyle name="Comma 2 8 2 3 2 3" xfId="33305" xr:uid="{00000000-0005-0000-0000-0000B1320000}"/>
    <cellStyle name="Comma 2 8 2 3 2 4" xfId="35129" xr:uid="{00000000-0005-0000-0000-0000B2320000}"/>
    <cellStyle name="Comma 2 8 2 3 2 5" xfId="37227" xr:uid="{00000000-0005-0000-0000-0000B3320000}"/>
    <cellStyle name="Comma 2 8 2 3 2 6" xfId="40622" xr:uid="{00000000-0005-0000-0000-0000B4320000}"/>
    <cellStyle name="Comma 2 8 2 3 2 7" xfId="43408" xr:uid="{00000000-0005-0000-0000-0000B5320000}"/>
    <cellStyle name="Comma 2 8 2 3 2 8" xfId="45088" xr:uid="{00000000-0005-0000-0000-0000B6320000}"/>
    <cellStyle name="Comma 2 8 2 3 3" xfId="12087" xr:uid="{00000000-0005-0000-0000-0000B7320000}"/>
    <cellStyle name="Comma 2 8 2 3 4" xfId="15714" xr:uid="{00000000-0005-0000-0000-0000B8320000}"/>
    <cellStyle name="Comma 2 8 2 3 5" xfId="30212" xr:uid="{00000000-0005-0000-0000-0000B9320000}"/>
    <cellStyle name="Comma 2 8 2 3 6" xfId="30861" xr:uid="{00000000-0005-0000-0000-0000BA320000}"/>
    <cellStyle name="Comma 2 8 2 3 7" xfId="32035" xr:uid="{00000000-0005-0000-0000-0000BB320000}"/>
    <cellStyle name="Comma 2 8 2 3 8" xfId="32677" xr:uid="{00000000-0005-0000-0000-0000BC320000}"/>
    <cellStyle name="Comma 2 8 2 3 9" xfId="33889" xr:uid="{00000000-0005-0000-0000-0000BD320000}"/>
    <cellStyle name="Comma 2 8 2 4" xfId="12302" xr:uid="{00000000-0005-0000-0000-0000BE320000}"/>
    <cellStyle name="Comma 2 8 2 4 2" xfId="31075" xr:uid="{00000000-0005-0000-0000-0000BF320000}"/>
    <cellStyle name="Comma 2 8 2 4 2 2" xfId="41239" xr:uid="{00000000-0005-0000-0000-0000C0320000}"/>
    <cellStyle name="Comma 2 8 2 4 2 3" xfId="43919" xr:uid="{00000000-0005-0000-0000-0000C1320000}"/>
    <cellStyle name="Comma 2 8 2 4 2 4" xfId="45089" xr:uid="{00000000-0005-0000-0000-0000C2320000}"/>
    <cellStyle name="Comma 2 8 2 4 3" xfId="32943" xr:uid="{00000000-0005-0000-0000-0000C3320000}"/>
    <cellStyle name="Comma 2 8 2 4 4" xfId="34752" xr:uid="{00000000-0005-0000-0000-0000C4320000}"/>
    <cellStyle name="Comma 2 8 2 4 5" xfId="36860" xr:uid="{00000000-0005-0000-0000-0000C5320000}"/>
    <cellStyle name="Comma 2 8 2 4 6" xfId="39656" xr:uid="{00000000-0005-0000-0000-0000C6320000}"/>
    <cellStyle name="Comma 2 8 2 4 7" xfId="42591" xr:uid="{00000000-0005-0000-0000-0000C7320000}"/>
    <cellStyle name="Comma 2 8 2 4 8" xfId="45090" xr:uid="{00000000-0005-0000-0000-0000C8320000}"/>
    <cellStyle name="Comma 2 8 2 5" xfId="11709" xr:uid="{00000000-0005-0000-0000-0000C9320000}"/>
    <cellStyle name="Comma 2 8 2 5 2" xfId="39897" xr:uid="{00000000-0005-0000-0000-0000CA320000}"/>
    <cellStyle name="Comma 2 8 2 5 3" xfId="42796" xr:uid="{00000000-0005-0000-0000-0000CB320000}"/>
    <cellStyle name="Comma 2 8 2 5 4" xfId="45091" xr:uid="{00000000-0005-0000-0000-0000CC320000}"/>
    <cellStyle name="Comma 2 8 2 6" xfId="15711" xr:uid="{00000000-0005-0000-0000-0000CD320000}"/>
    <cellStyle name="Comma 2 8 2 7" xfId="30209" xr:uid="{00000000-0005-0000-0000-0000CE320000}"/>
    <cellStyle name="Comma 2 8 2 8" xfId="30484" xr:uid="{00000000-0005-0000-0000-0000CF320000}"/>
    <cellStyle name="Comma 2 8 2 9" xfId="32032" xr:uid="{00000000-0005-0000-0000-0000D0320000}"/>
    <cellStyle name="Comma 2 8 20" xfId="41395" xr:uid="{00000000-0005-0000-0000-0000D1320000}"/>
    <cellStyle name="Comma 2 8 21" xfId="45092" xr:uid="{00000000-0005-0000-0000-0000D2320000}"/>
    <cellStyle name="Comma 2 8 22" xfId="6562" xr:uid="{00000000-0005-0000-0000-0000D3320000}"/>
    <cellStyle name="Comma 2 8 3" xfId="4441" xr:uid="{00000000-0005-0000-0000-0000D4320000}"/>
    <cellStyle name="Comma 2 8 3 10" xfId="32678" xr:uid="{00000000-0005-0000-0000-0000D5320000}"/>
    <cellStyle name="Comma 2 8 3 11" xfId="33890" xr:uid="{00000000-0005-0000-0000-0000D6320000}"/>
    <cellStyle name="Comma 2 8 3 12" xfId="34189" xr:uid="{00000000-0005-0000-0000-0000D7320000}"/>
    <cellStyle name="Comma 2 8 3 13" xfId="35624" xr:uid="{00000000-0005-0000-0000-0000D8320000}"/>
    <cellStyle name="Comma 2 8 3 14" xfId="36161" xr:uid="{00000000-0005-0000-0000-0000D9320000}"/>
    <cellStyle name="Comma 2 8 3 15" xfId="38693" xr:uid="{00000000-0005-0000-0000-0000DA320000}"/>
    <cellStyle name="Comma 2 8 3 16" xfId="41733" xr:uid="{00000000-0005-0000-0000-0000DB320000}"/>
    <cellStyle name="Comma 2 8 3 17" xfId="45093" xr:uid="{00000000-0005-0000-0000-0000DC320000}"/>
    <cellStyle name="Comma 2 8 3 18" xfId="7352" xr:uid="{00000000-0005-0000-0000-0000DD320000}"/>
    <cellStyle name="Comma 2 8 3 2" xfId="5892" xr:uid="{00000000-0005-0000-0000-0000DE320000}"/>
    <cellStyle name="Comma 2 8 3 2 10" xfId="33891" xr:uid="{00000000-0005-0000-0000-0000DF320000}"/>
    <cellStyle name="Comma 2 8 3 2 11" xfId="34341" xr:uid="{00000000-0005-0000-0000-0000E0320000}"/>
    <cellStyle name="Comma 2 8 3 2 12" xfId="36509" xr:uid="{00000000-0005-0000-0000-0000E1320000}"/>
    <cellStyle name="Comma 2 8 3 2 13" xfId="39179" xr:uid="{00000000-0005-0000-0000-0000E2320000}"/>
    <cellStyle name="Comma 2 8 3 2 14" xfId="42187" xr:uid="{00000000-0005-0000-0000-0000E3320000}"/>
    <cellStyle name="Comma 2 8 3 2 15" xfId="45094" xr:uid="{00000000-0005-0000-0000-0000E4320000}"/>
    <cellStyle name="Comma 2 8 3 2 16" xfId="8611" xr:uid="{00000000-0005-0000-0000-0000E5320000}"/>
    <cellStyle name="Comma 2 8 3 2 2" xfId="8874" xr:uid="{00000000-0005-0000-0000-0000E6320000}"/>
    <cellStyle name="Comma 2 8 3 2 2 10" xfId="34541" xr:uid="{00000000-0005-0000-0000-0000E7320000}"/>
    <cellStyle name="Comma 2 8 3 2 2 11" xfId="36709" xr:uid="{00000000-0005-0000-0000-0000E8320000}"/>
    <cellStyle name="Comma 2 8 3 2 2 12" xfId="40752" xr:uid="{00000000-0005-0000-0000-0000E9320000}"/>
    <cellStyle name="Comma 2 8 3 2 2 13" xfId="43515" xr:uid="{00000000-0005-0000-0000-0000EA320000}"/>
    <cellStyle name="Comma 2 8 3 2 2 14" xfId="45095" xr:uid="{00000000-0005-0000-0000-0000EB320000}"/>
    <cellStyle name="Comma 2 8 3 2 2 2" xfId="12873" xr:uid="{00000000-0005-0000-0000-0000EC320000}"/>
    <cellStyle name="Comma 2 8 3 2 2 2 2" xfId="31455" xr:uid="{00000000-0005-0000-0000-0000ED320000}"/>
    <cellStyle name="Comma 2 8 3 2 2 2 3" xfId="33308" xr:uid="{00000000-0005-0000-0000-0000EE320000}"/>
    <cellStyle name="Comma 2 8 3 2 2 2 4" xfId="35132" xr:uid="{00000000-0005-0000-0000-0000EF320000}"/>
    <cellStyle name="Comma 2 8 3 2 2 2 5" xfId="37230" xr:uid="{00000000-0005-0000-0000-0000F0320000}"/>
    <cellStyle name="Comma 2 8 3 2 2 3" xfId="12090" xr:uid="{00000000-0005-0000-0000-0000F1320000}"/>
    <cellStyle name="Comma 2 8 3 2 2 4" xfId="15717" xr:uid="{00000000-0005-0000-0000-0000F2320000}"/>
    <cellStyle name="Comma 2 8 3 2 2 5" xfId="30215" xr:uid="{00000000-0005-0000-0000-0000F3320000}"/>
    <cellStyle name="Comma 2 8 3 2 2 6" xfId="30864" xr:uid="{00000000-0005-0000-0000-0000F4320000}"/>
    <cellStyle name="Comma 2 8 3 2 2 7" xfId="32038" xr:uid="{00000000-0005-0000-0000-0000F5320000}"/>
    <cellStyle name="Comma 2 8 3 2 2 8" xfId="32680" xr:uid="{00000000-0005-0000-0000-0000F6320000}"/>
    <cellStyle name="Comma 2 8 3 2 2 9" xfId="33892" xr:uid="{00000000-0005-0000-0000-0000F7320000}"/>
    <cellStyle name="Comma 2 8 3 2 3" xfId="12617" xr:uid="{00000000-0005-0000-0000-0000F8320000}"/>
    <cellStyle name="Comma 2 8 3 2 3 2" xfId="31255" xr:uid="{00000000-0005-0000-0000-0000F9320000}"/>
    <cellStyle name="Comma 2 8 3 2 3 3" xfId="33109" xr:uid="{00000000-0005-0000-0000-0000FA320000}"/>
    <cellStyle name="Comma 2 8 3 2 3 4" xfId="34932" xr:uid="{00000000-0005-0000-0000-0000FB320000}"/>
    <cellStyle name="Comma 2 8 3 2 3 5" xfId="37030" xr:uid="{00000000-0005-0000-0000-0000FC320000}"/>
    <cellStyle name="Comma 2 8 3 2 4" xfId="11890" xr:uid="{00000000-0005-0000-0000-0000FD320000}"/>
    <cellStyle name="Comma 2 8 3 2 5" xfId="15716" xr:uid="{00000000-0005-0000-0000-0000FE320000}"/>
    <cellStyle name="Comma 2 8 3 2 6" xfId="30214" xr:uid="{00000000-0005-0000-0000-0000FF320000}"/>
    <cellStyle name="Comma 2 8 3 2 7" xfId="30664" xr:uid="{00000000-0005-0000-0000-000000330000}"/>
    <cellStyle name="Comma 2 8 3 2 8" xfId="32037" xr:uid="{00000000-0005-0000-0000-000001330000}"/>
    <cellStyle name="Comma 2 8 3 2 9" xfId="32679" xr:uid="{00000000-0005-0000-0000-000002330000}"/>
    <cellStyle name="Comma 2 8 3 3" xfId="8873" xr:uid="{00000000-0005-0000-0000-000003330000}"/>
    <cellStyle name="Comma 2 8 3 3 10" xfId="34540" xr:uid="{00000000-0005-0000-0000-000004330000}"/>
    <cellStyle name="Comma 2 8 3 3 11" xfId="36708" xr:uid="{00000000-0005-0000-0000-000005330000}"/>
    <cellStyle name="Comma 2 8 3 3 12" xfId="39491" xr:uid="{00000000-0005-0000-0000-000006330000}"/>
    <cellStyle name="Comma 2 8 3 3 13" xfId="42451" xr:uid="{00000000-0005-0000-0000-000007330000}"/>
    <cellStyle name="Comma 2 8 3 3 14" xfId="45096" xr:uid="{00000000-0005-0000-0000-000008330000}"/>
    <cellStyle name="Comma 2 8 3 3 2" xfId="12872" xr:uid="{00000000-0005-0000-0000-000009330000}"/>
    <cellStyle name="Comma 2 8 3 3 2 2" xfId="31454" xr:uid="{00000000-0005-0000-0000-00000A330000}"/>
    <cellStyle name="Comma 2 8 3 3 2 3" xfId="33307" xr:uid="{00000000-0005-0000-0000-00000B330000}"/>
    <cellStyle name="Comma 2 8 3 3 2 4" xfId="35131" xr:uid="{00000000-0005-0000-0000-00000C330000}"/>
    <cellStyle name="Comma 2 8 3 3 2 5" xfId="37229" xr:uid="{00000000-0005-0000-0000-00000D330000}"/>
    <cellStyle name="Comma 2 8 3 3 2 6" xfId="41067" xr:uid="{00000000-0005-0000-0000-00000E330000}"/>
    <cellStyle name="Comma 2 8 3 3 2 7" xfId="43779" xr:uid="{00000000-0005-0000-0000-00000F330000}"/>
    <cellStyle name="Comma 2 8 3 3 2 8" xfId="45097" xr:uid="{00000000-0005-0000-0000-000010330000}"/>
    <cellStyle name="Comma 2 8 3 3 3" xfId="12089" xr:uid="{00000000-0005-0000-0000-000011330000}"/>
    <cellStyle name="Comma 2 8 3 3 4" xfId="15718" xr:uid="{00000000-0005-0000-0000-000012330000}"/>
    <cellStyle name="Comma 2 8 3 3 5" xfId="30216" xr:uid="{00000000-0005-0000-0000-000013330000}"/>
    <cellStyle name="Comma 2 8 3 3 6" xfId="30863" xr:uid="{00000000-0005-0000-0000-000014330000}"/>
    <cellStyle name="Comma 2 8 3 3 7" xfId="32039" xr:uid="{00000000-0005-0000-0000-000015330000}"/>
    <cellStyle name="Comma 2 8 3 3 8" xfId="32681" xr:uid="{00000000-0005-0000-0000-000016330000}"/>
    <cellStyle name="Comma 2 8 3 3 9" xfId="33893" xr:uid="{00000000-0005-0000-0000-000017330000}"/>
    <cellStyle name="Comma 2 8 3 4" xfId="12331" xr:uid="{00000000-0005-0000-0000-000018330000}"/>
    <cellStyle name="Comma 2 8 3 4 2" xfId="31103" xr:uid="{00000000-0005-0000-0000-000019330000}"/>
    <cellStyle name="Comma 2 8 3 4 3" xfId="32965" xr:uid="{00000000-0005-0000-0000-00001A330000}"/>
    <cellStyle name="Comma 2 8 3 4 4" xfId="34780" xr:uid="{00000000-0005-0000-0000-00001B330000}"/>
    <cellStyle name="Comma 2 8 3 4 5" xfId="36886" xr:uid="{00000000-0005-0000-0000-00001C330000}"/>
    <cellStyle name="Comma 2 8 3 4 6" xfId="40212" xr:uid="{00000000-0005-0000-0000-00001D330000}"/>
    <cellStyle name="Comma 2 8 3 4 7" xfId="43061" xr:uid="{00000000-0005-0000-0000-00001E330000}"/>
    <cellStyle name="Comma 2 8 3 4 8" xfId="45098" xr:uid="{00000000-0005-0000-0000-00001F330000}"/>
    <cellStyle name="Comma 2 8 3 5" xfId="11738" xr:uid="{00000000-0005-0000-0000-000020330000}"/>
    <cellStyle name="Comma 2 8 3 6" xfId="15715" xr:uid="{00000000-0005-0000-0000-000021330000}"/>
    <cellStyle name="Comma 2 8 3 7" xfId="30213" xr:uid="{00000000-0005-0000-0000-000022330000}"/>
    <cellStyle name="Comma 2 8 3 8" xfId="30512" xr:uid="{00000000-0005-0000-0000-000023330000}"/>
    <cellStyle name="Comma 2 8 3 9" xfId="32036" xr:uid="{00000000-0005-0000-0000-000024330000}"/>
    <cellStyle name="Comma 2 8 4" xfId="5754" xr:uid="{00000000-0005-0000-0000-000025330000}"/>
    <cellStyle name="Comma 2 8 4 10" xfId="33894" xr:uid="{00000000-0005-0000-0000-000026330000}"/>
    <cellStyle name="Comma 2 8 4 11" xfId="34274" xr:uid="{00000000-0005-0000-0000-000027330000}"/>
    <cellStyle name="Comma 2 8 4 12" xfId="36472" xr:uid="{00000000-0005-0000-0000-000028330000}"/>
    <cellStyle name="Comma 2 8 4 13" xfId="38121" xr:uid="{00000000-0005-0000-0000-000029330000}"/>
    <cellStyle name="Comma 2 8 4 14" xfId="41618" xr:uid="{00000000-0005-0000-0000-00002A330000}"/>
    <cellStyle name="Comma 2 8 4 15" xfId="45099" xr:uid="{00000000-0005-0000-0000-00002B330000}"/>
    <cellStyle name="Comma 2 8 4 16" xfId="8437" xr:uid="{00000000-0005-0000-0000-00002C330000}"/>
    <cellStyle name="Comma 2 8 4 2" xfId="8875" xr:uid="{00000000-0005-0000-0000-00002D330000}"/>
    <cellStyle name="Comma 2 8 4 2 10" xfId="34542" xr:uid="{00000000-0005-0000-0000-00002E330000}"/>
    <cellStyle name="Comma 2 8 4 2 11" xfId="36710" xr:uid="{00000000-0005-0000-0000-00002F330000}"/>
    <cellStyle name="Comma 2 8 4 2 12" xfId="40077" xr:uid="{00000000-0005-0000-0000-000030330000}"/>
    <cellStyle name="Comma 2 8 4 2 13" xfId="42946" xr:uid="{00000000-0005-0000-0000-000031330000}"/>
    <cellStyle name="Comma 2 8 4 2 14" xfId="45100" xr:uid="{00000000-0005-0000-0000-000032330000}"/>
    <cellStyle name="Comma 2 8 4 2 2" xfId="12874" xr:uid="{00000000-0005-0000-0000-000033330000}"/>
    <cellStyle name="Comma 2 8 4 2 2 2" xfId="31456" xr:uid="{00000000-0005-0000-0000-000034330000}"/>
    <cellStyle name="Comma 2 8 4 2 2 3" xfId="33309" xr:uid="{00000000-0005-0000-0000-000035330000}"/>
    <cellStyle name="Comma 2 8 4 2 2 4" xfId="35133" xr:uid="{00000000-0005-0000-0000-000036330000}"/>
    <cellStyle name="Comma 2 8 4 2 2 5" xfId="37231" xr:uid="{00000000-0005-0000-0000-000037330000}"/>
    <cellStyle name="Comma 2 8 4 2 3" xfId="12091" xr:uid="{00000000-0005-0000-0000-000038330000}"/>
    <cellStyle name="Comma 2 8 4 2 4" xfId="15720" xr:uid="{00000000-0005-0000-0000-000039330000}"/>
    <cellStyle name="Comma 2 8 4 2 5" xfId="30218" xr:uid="{00000000-0005-0000-0000-00003A330000}"/>
    <cellStyle name="Comma 2 8 4 2 6" xfId="30865" xr:uid="{00000000-0005-0000-0000-00003B330000}"/>
    <cellStyle name="Comma 2 8 4 2 7" xfId="32041" xr:uid="{00000000-0005-0000-0000-00003C330000}"/>
    <cellStyle name="Comma 2 8 4 2 8" xfId="32683" xr:uid="{00000000-0005-0000-0000-00003D330000}"/>
    <cellStyle name="Comma 2 8 4 2 9" xfId="33895" xr:uid="{00000000-0005-0000-0000-00003E330000}"/>
    <cellStyle name="Comma 2 8 4 3" xfId="12545" xr:uid="{00000000-0005-0000-0000-00003F330000}"/>
    <cellStyle name="Comma 2 8 4 3 2" xfId="31188" xr:uid="{00000000-0005-0000-0000-000040330000}"/>
    <cellStyle name="Comma 2 8 4 3 3" xfId="33046" xr:uid="{00000000-0005-0000-0000-000041330000}"/>
    <cellStyle name="Comma 2 8 4 3 4" xfId="34865" xr:uid="{00000000-0005-0000-0000-000042330000}"/>
    <cellStyle name="Comma 2 8 4 3 5" xfId="36967" xr:uid="{00000000-0005-0000-0000-000043330000}"/>
    <cellStyle name="Comma 2 8 4 4" xfId="11823" xr:uid="{00000000-0005-0000-0000-000044330000}"/>
    <cellStyle name="Comma 2 8 4 5" xfId="15719" xr:uid="{00000000-0005-0000-0000-000045330000}"/>
    <cellStyle name="Comma 2 8 4 6" xfId="30217" xr:uid="{00000000-0005-0000-0000-000046330000}"/>
    <cellStyle name="Comma 2 8 4 7" xfId="30597" xr:uid="{00000000-0005-0000-0000-000047330000}"/>
    <cellStyle name="Comma 2 8 4 8" xfId="32040" xr:uid="{00000000-0005-0000-0000-000048330000}"/>
    <cellStyle name="Comma 2 8 4 9" xfId="32682" xr:uid="{00000000-0005-0000-0000-000049330000}"/>
    <cellStyle name="Comma 2 8 5" xfId="6213" xr:uid="{00000000-0005-0000-0000-00004A330000}"/>
    <cellStyle name="Comma 2 8 5 10" xfId="33896" xr:uid="{00000000-0005-0000-0000-00004B330000}"/>
    <cellStyle name="Comma 2 8 5 11" xfId="34216" xr:uid="{00000000-0005-0000-0000-00004C330000}"/>
    <cellStyle name="Comma 2 8 5 12" xfId="36443" xr:uid="{00000000-0005-0000-0000-00004D330000}"/>
    <cellStyle name="Comma 2 8 5 13" xfId="38950" xr:uid="{00000000-0005-0000-0000-00004E330000}"/>
    <cellStyle name="Comma 2 8 5 14" xfId="41981" xr:uid="{00000000-0005-0000-0000-00004F330000}"/>
    <cellStyle name="Comma 2 8 5 15" xfId="45101" xr:uid="{00000000-0005-0000-0000-000050330000}"/>
    <cellStyle name="Comma 2 8 5 16" xfId="8107" xr:uid="{00000000-0005-0000-0000-000051330000}"/>
    <cellStyle name="Comma 2 8 5 2" xfId="8876" xr:uid="{00000000-0005-0000-0000-000052330000}"/>
    <cellStyle name="Comma 2 8 5 2 10" xfId="34543" xr:uid="{00000000-0005-0000-0000-000053330000}"/>
    <cellStyle name="Comma 2 8 5 2 11" xfId="36711" xr:uid="{00000000-0005-0000-0000-000054330000}"/>
    <cellStyle name="Comma 2 8 5 2 12" xfId="40508" xr:uid="{00000000-0005-0000-0000-000055330000}"/>
    <cellStyle name="Comma 2 8 5 2 13" xfId="43309" xr:uid="{00000000-0005-0000-0000-000056330000}"/>
    <cellStyle name="Comma 2 8 5 2 14" xfId="45102" xr:uid="{00000000-0005-0000-0000-000057330000}"/>
    <cellStyle name="Comma 2 8 5 2 2" xfId="12875" xr:uid="{00000000-0005-0000-0000-000058330000}"/>
    <cellStyle name="Comma 2 8 5 2 2 2" xfId="31457" xr:uid="{00000000-0005-0000-0000-000059330000}"/>
    <cellStyle name="Comma 2 8 5 2 2 3" xfId="33310" xr:uid="{00000000-0005-0000-0000-00005A330000}"/>
    <cellStyle name="Comma 2 8 5 2 2 4" xfId="35134" xr:uid="{00000000-0005-0000-0000-00005B330000}"/>
    <cellStyle name="Comma 2 8 5 2 2 5" xfId="37232" xr:uid="{00000000-0005-0000-0000-00005C330000}"/>
    <cellStyle name="Comma 2 8 5 2 3" xfId="12092" xr:uid="{00000000-0005-0000-0000-00005D330000}"/>
    <cellStyle name="Comma 2 8 5 2 4" xfId="15722" xr:uid="{00000000-0005-0000-0000-00005E330000}"/>
    <cellStyle name="Comma 2 8 5 2 5" xfId="30220" xr:uid="{00000000-0005-0000-0000-00005F330000}"/>
    <cellStyle name="Comma 2 8 5 2 6" xfId="30866" xr:uid="{00000000-0005-0000-0000-000060330000}"/>
    <cellStyle name="Comma 2 8 5 2 7" xfId="32043" xr:uid="{00000000-0005-0000-0000-000061330000}"/>
    <cellStyle name="Comma 2 8 5 2 8" xfId="32685" xr:uid="{00000000-0005-0000-0000-000062330000}"/>
    <cellStyle name="Comma 2 8 5 2 9" xfId="33897" xr:uid="{00000000-0005-0000-0000-000063330000}"/>
    <cellStyle name="Comma 2 8 5 3" xfId="12419" xr:uid="{00000000-0005-0000-0000-000064330000}"/>
    <cellStyle name="Comma 2 8 5 3 2" xfId="31130" xr:uid="{00000000-0005-0000-0000-000065330000}"/>
    <cellStyle name="Comma 2 8 5 3 3" xfId="32992" xr:uid="{00000000-0005-0000-0000-000066330000}"/>
    <cellStyle name="Comma 2 8 5 3 4" xfId="34807" xr:uid="{00000000-0005-0000-0000-000067330000}"/>
    <cellStyle name="Comma 2 8 5 3 5" xfId="36913" xr:uid="{00000000-0005-0000-0000-000068330000}"/>
    <cellStyle name="Comma 2 8 5 4" xfId="11765" xr:uid="{00000000-0005-0000-0000-000069330000}"/>
    <cellStyle name="Comma 2 8 5 5" xfId="15721" xr:uid="{00000000-0005-0000-0000-00006A330000}"/>
    <cellStyle name="Comma 2 8 5 6" xfId="30219" xr:uid="{00000000-0005-0000-0000-00006B330000}"/>
    <cellStyle name="Comma 2 8 5 7" xfId="30539" xr:uid="{00000000-0005-0000-0000-00006C330000}"/>
    <cellStyle name="Comma 2 8 5 8" xfId="32042" xr:uid="{00000000-0005-0000-0000-00006D330000}"/>
    <cellStyle name="Comma 2 8 5 9" xfId="32684" xr:uid="{00000000-0005-0000-0000-00006E330000}"/>
    <cellStyle name="Comma 2 8 6" xfId="8870" xr:uid="{00000000-0005-0000-0000-00006F330000}"/>
    <cellStyle name="Comma 2 8 6 10" xfId="34537" xr:uid="{00000000-0005-0000-0000-000070330000}"/>
    <cellStyle name="Comma 2 8 6 11" xfId="36705" xr:uid="{00000000-0005-0000-0000-000071330000}"/>
    <cellStyle name="Comma 2 8 6 12" xfId="39358" xr:uid="{00000000-0005-0000-0000-000072330000}"/>
    <cellStyle name="Comma 2 8 6 13" xfId="42336" xr:uid="{00000000-0005-0000-0000-000073330000}"/>
    <cellStyle name="Comma 2 8 6 14" xfId="45103" xr:uid="{00000000-0005-0000-0000-000074330000}"/>
    <cellStyle name="Comma 2 8 6 2" xfId="12869" xr:uid="{00000000-0005-0000-0000-000075330000}"/>
    <cellStyle name="Comma 2 8 6 2 2" xfId="31451" xr:uid="{00000000-0005-0000-0000-000076330000}"/>
    <cellStyle name="Comma 2 8 6 2 3" xfId="33304" xr:uid="{00000000-0005-0000-0000-000077330000}"/>
    <cellStyle name="Comma 2 8 6 2 4" xfId="35128" xr:uid="{00000000-0005-0000-0000-000078330000}"/>
    <cellStyle name="Comma 2 8 6 2 5" xfId="37226" xr:uid="{00000000-0005-0000-0000-000079330000}"/>
    <cellStyle name="Comma 2 8 6 2 6" xfId="40929" xr:uid="{00000000-0005-0000-0000-00007A330000}"/>
    <cellStyle name="Comma 2 8 6 2 7" xfId="43664" xr:uid="{00000000-0005-0000-0000-00007B330000}"/>
    <cellStyle name="Comma 2 8 6 2 8" xfId="45104" xr:uid="{00000000-0005-0000-0000-00007C330000}"/>
    <cellStyle name="Comma 2 8 6 3" xfId="12086" xr:uid="{00000000-0005-0000-0000-00007D330000}"/>
    <cellStyle name="Comma 2 8 6 4" xfId="15723" xr:uid="{00000000-0005-0000-0000-00007E330000}"/>
    <cellStyle name="Comma 2 8 6 5" xfId="30221" xr:uid="{00000000-0005-0000-0000-00007F330000}"/>
    <cellStyle name="Comma 2 8 6 6" xfId="30860" xr:uid="{00000000-0005-0000-0000-000080330000}"/>
    <cellStyle name="Comma 2 8 6 7" xfId="32044" xr:uid="{00000000-0005-0000-0000-000081330000}"/>
    <cellStyle name="Comma 2 8 6 8" xfId="32686" xr:uid="{00000000-0005-0000-0000-000082330000}"/>
    <cellStyle name="Comma 2 8 6 9" xfId="33898" xr:uid="{00000000-0005-0000-0000-000083330000}"/>
    <cellStyle name="Comma 2 8 7" xfId="11530" xr:uid="{00000000-0005-0000-0000-000084330000}"/>
    <cellStyle name="Comma 2 8 7 10" xfId="34644" xr:uid="{00000000-0005-0000-0000-000085330000}"/>
    <cellStyle name="Comma 2 8 7 11" xfId="36772" xr:uid="{00000000-0005-0000-0000-000086330000}"/>
    <cellStyle name="Comma 2 8 7 12" xfId="39815" xr:uid="{00000000-0005-0000-0000-000087330000}"/>
    <cellStyle name="Comma 2 8 7 13" xfId="42723" xr:uid="{00000000-0005-0000-0000-000088330000}"/>
    <cellStyle name="Comma 2 8 7 14" xfId="45105" xr:uid="{00000000-0005-0000-0000-000089330000}"/>
    <cellStyle name="Comma 2 8 7 2" xfId="15151" xr:uid="{00000000-0005-0000-0000-00008A330000}"/>
    <cellStyle name="Comma 2 8 7 2 2" xfId="31558" xr:uid="{00000000-0005-0000-0000-00008B330000}"/>
    <cellStyle name="Comma 2 8 7 2 3" xfId="33411" xr:uid="{00000000-0005-0000-0000-00008C330000}"/>
    <cellStyle name="Comma 2 8 7 2 4" xfId="35235" xr:uid="{00000000-0005-0000-0000-00008D330000}"/>
    <cellStyle name="Comma 2 8 7 2 5" xfId="37315" xr:uid="{00000000-0005-0000-0000-00008E330000}"/>
    <cellStyle name="Comma 2 8 7 3" xfId="12193" xr:uid="{00000000-0005-0000-0000-00008F330000}"/>
    <cellStyle name="Comma 2 8 7 4" xfId="15724" xr:uid="{00000000-0005-0000-0000-000090330000}"/>
    <cellStyle name="Comma 2 8 7 5" xfId="30222" xr:uid="{00000000-0005-0000-0000-000091330000}"/>
    <cellStyle name="Comma 2 8 7 6" xfId="30967" xr:uid="{00000000-0005-0000-0000-000092330000}"/>
    <cellStyle name="Comma 2 8 7 7" xfId="32045" xr:uid="{00000000-0005-0000-0000-000093330000}"/>
    <cellStyle name="Comma 2 8 7 8" xfId="32687" xr:uid="{00000000-0005-0000-0000-000094330000}"/>
    <cellStyle name="Comma 2 8 7 9" xfId="33899" xr:uid="{00000000-0005-0000-0000-000095330000}"/>
    <cellStyle name="Comma 2 8 8" xfId="12264" xr:uid="{00000000-0005-0000-0000-000096330000}"/>
    <cellStyle name="Comma 2 8 8 2" xfId="31037" xr:uid="{00000000-0005-0000-0000-000097330000}"/>
    <cellStyle name="Comma 2 8 8 3" xfId="32906" xr:uid="{00000000-0005-0000-0000-000098330000}"/>
    <cellStyle name="Comma 2 8 8 4" xfId="34714" xr:uid="{00000000-0005-0000-0000-000099330000}"/>
    <cellStyle name="Comma 2 8 8 5" xfId="36822" xr:uid="{00000000-0005-0000-0000-00009A330000}"/>
    <cellStyle name="Comma 2 8 9" xfId="11670" xr:uid="{00000000-0005-0000-0000-00009B330000}"/>
    <cellStyle name="Comma 2 9" xfId="2790" xr:uid="{00000000-0005-0000-0000-00009C330000}"/>
    <cellStyle name="Comma 2 9 10" xfId="15725" xr:uid="{00000000-0005-0000-0000-00009D330000}"/>
    <cellStyle name="Comma 2 9 11" xfId="30223" xr:uid="{00000000-0005-0000-0000-00009E330000}"/>
    <cellStyle name="Comma 2 9 12" xfId="30447" xr:uid="{00000000-0005-0000-0000-00009F330000}"/>
    <cellStyle name="Comma 2 9 13" xfId="32046" xr:uid="{00000000-0005-0000-0000-0000A0330000}"/>
    <cellStyle name="Comma 2 9 14" xfId="32688" xr:uid="{00000000-0005-0000-0000-0000A1330000}"/>
    <cellStyle name="Comma 2 9 15" xfId="33900" xr:uid="{00000000-0005-0000-0000-0000A2330000}"/>
    <cellStyle name="Comma 2 9 16" xfId="34124" xr:uid="{00000000-0005-0000-0000-0000A3330000}"/>
    <cellStyle name="Comma 2 9 17" xfId="35352" xr:uid="{00000000-0005-0000-0000-0000A4330000}"/>
    <cellStyle name="Comma 2 9 18" xfId="36215" xr:uid="{00000000-0005-0000-0000-0000A5330000}"/>
    <cellStyle name="Comma 2 9 19" xfId="37449" xr:uid="{00000000-0005-0000-0000-0000A6330000}"/>
    <cellStyle name="Comma 2 9 2" xfId="5101" xr:uid="{00000000-0005-0000-0000-0000A7330000}"/>
    <cellStyle name="Comma 2 9 2 10" xfId="32689" xr:uid="{00000000-0005-0000-0000-0000A8330000}"/>
    <cellStyle name="Comma 2 9 2 11" xfId="33901" xr:uid="{00000000-0005-0000-0000-0000A9330000}"/>
    <cellStyle name="Comma 2 9 2 12" xfId="34162" xr:uid="{00000000-0005-0000-0000-0000AA330000}"/>
    <cellStyle name="Comma 2 9 2 13" xfId="36056" xr:uid="{00000000-0005-0000-0000-0000AB330000}"/>
    <cellStyle name="Comma 2 9 2 14" xfId="36356" xr:uid="{00000000-0005-0000-0000-0000AC330000}"/>
    <cellStyle name="Comma 2 9 2 15" xfId="37523" xr:uid="{00000000-0005-0000-0000-0000AD330000}"/>
    <cellStyle name="Comma 2 9 2 16" xfId="41469" xr:uid="{00000000-0005-0000-0000-0000AE330000}"/>
    <cellStyle name="Comma 2 9 2 17" xfId="45106" xr:uid="{00000000-0005-0000-0000-0000AF330000}"/>
    <cellStyle name="Comma 2 9 2 18" xfId="6675" xr:uid="{00000000-0005-0000-0000-0000B0330000}"/>
    <cellStyle name="Comma 2 9 2 2" xfId="6070" xr:uid="{00000000-0005-0000-0000-0000B1330000}"/>
    <cellStyle name="Comma 2 9 2 2 10" xfId="33902" xr:uid="{00000000-0005-0000-0000-0000B2330000}"/>
    <cellStyle name="Comma 2 9 2 2 11" xfId="34314" xr:uid="{00000000-0005-0000-0000-0000B3330000}"/>
    <cellStyle name="Comma 2 9 2 2 12" xfId="36497" xr:uid="{00000000-0005-0000-0000-0000B4330000}"/>
    <cellStyle name="Comma 2 9 2 2 13" xfId="38835" xr:uid="{00000000-0005-0000-0000-0000B5330000}"/>
    <cellStyle name="Comma 2 9 2 2 14" xfId="41874" xr:uid="{00000000-0005-0000-0000-0000B6330000}"/>
    <cellStyle name="Comma 2 9 2 2 15" xfId="45107" xr:uid="{00000000-0005-0000-0000-0000B7330000}"/>
    <cellStyle name="Comma 2 9 2 2 16" xfId="8551" xr:uid="{00000000-0005-0000-0000-0000B8330000}"/>
    <cellStyle name="Comma 2 9 2 2 2" xfId="8879" xr:uid="{00000000-0005-0000-0000-0000B9330000}"/>
    <cellStyle name="Comma 2 9 2 2 2 10" xfId="34546" xr:uid="{00000000-0005-0000-0000-0000BA330000}"/>
    <cellStyle name="Comma 2 9 2 2 2 11" xfId="36714" xr:uid="{00000000-0005-0000-0000-0000BB330000}"/>
    <cellStyle name="Comma 2 9 2 2 2 12" xfId="40384" xr:uid="{00000000-0005-0000-0000-0000BC330000}"/>
    <cellStyle name="Comma 2 9 2 2 2 13" xfId="43202" xr:uid="{00000000-0005-0000-0000-0000BD330000}"/>
    <cellStyle name="Comma 2 9 2 2 2 14" xfId="45108" xr:uid="{00000000-0005-0000-0000-0000BE330000}"/>
    <cellStyle name="Comma 2 9 2 2 2 2" xfId="12878" xr:uid="{00000000-0005-0000-0000-0000BF330000}"/>
    <cellStyle name="Comma 2 9 2 2 2 2 2" xfId="31460" xr:uid="{00000000-0005-0000-0000-0000C0330000}"/>
    <cellStyle name="Comma 2 9 2 2 2 2 3" xfId="33313" xr:uid="{00000000-0005-0000-0000-0000C1330000}"/>
    <cellStyle name="Comma 2 9 2 2 2 2 4" xfId="35137" xr:uid="{00000000-0005-0000-0000-0000C2330000}"/>
    <cellStyle name="Comma 2 9 2 2 2 2 5" xfId="37235" xr:uid="{00000000-0005-0000-0000-0000C3330000}"/>
    <cellStyle name="Comma 2 9 2 2 2 3" xfId="12095" xr:uid="{00000000-0005-0000-0000-0000C4330000}"/>
    <cellStyle name="Comma 2 9 2 2 2 4" xfId="15728" xr:uid="{00000000-0005-0000-0000-0000C5330000}"/>
    <cellStyle name="Comma 2 9 2 2 2 5" xfId="30226" xr:uid="{00000000-0005-0000-0000-0000C6330000}"/>
    <cellStyle name="Comma 2 9 2 2 2 6" xfId="30869" xr:uid="{00000000-0005-0000-0000-0000C7330000}"/>
    <cellStyle name="Comma 2 9 2 2 2 7" xfId="32049" xr:uid="{00000000-0005-0000-0000-0000C8330000}"/>
    <cellStyle name="Comma 2 9 2 2 2 8" xfId="32691" xr:uid="{00000000-0005-0000-0000-0000C9330000}"/>
    <cellStyle name="Comma 2 9 2 2 2 9" xfId="33903" xr:uid="{00000000-0005-0000-0000-0000CA330000}"/>
    <cellStyle name="Comma 2 9 2 2 3" xfId="12586" xr:uid="{00000000-0005-0000-0000-0000CB330000}"/>
    <cellStyle name="Comma 2 9 2 2 3 2" xfId="31228" xr:uid="{00000000-0005-0000-0000-0000CC330000}"/>
    <cellStyle name="Comma 2 9 2 2 3 3" xfId="33084" xr:uid="{00000000-0005-0000-0000-0000CD330000}"/>
    <cellStyle name="Comma 2 9 2 2 3 4" xfId="34905" xr:uid="{00000000-0005-0000-0000-0000CE330000}"/>
    <cellStyle name="Comma 2 9 2 2 3 5" xfId="37005" xr:uid="{00000000-0005-0000-0000-0000CF330000}"/>
    <cellStyle name="Comma 2 9 2 2 4" xfId="11863" xr:uid="{00000000-0005-0000-0000-0000D0330000}"/>
    <cellStyle name="Comma 2 9 2 2 5" xfId="15727" xr:uid="{00000000-0005-0000-0000-0000D1330000}"/>
    <cellStyle name="Comma 2 9 2 2 6" xfId="30225" xr:uid="{00000000-0005-0000-0000-0000D2330000}"/>
    <cellStyle name="Comma 2 9 2 2 7" xfId="30637" xr:uid="{00000000-0005-0000-0000-0000D3330000}"/>
    <cellStyle name="Comma 2 9 2 2 8" xfId="32048" xr:uid="{00000000-0005-0000-0000-0000D4330000}"/>
    <cellStyle name="Comma 2 9 2 2 9" xfId="32690" xr:uid="{00000000-0005-0000-0000-0000D5330000}"/>
    <cellStyle name="Comma 2 9 2 3" xfId="6390" xr:uid="{00000000-0005-0000-0000-0000D6330000}"/>
    <cellStyle name="Comma 2 9 2 3 10" xfId="34545" xr:uid="{00000000-0005-0000-0000-0000D7330000}"/>
    <cellStyle name="Comma 2 9 2 3 11" xfId="36713" xr:uid="{00000000-0005-0000-0000-0000D8330000}"/>
    <cellStyle name="Comma 2 9 2 3 12" xfId="39055" xr:uid="{00000000-0005-0000-0000-0000D9330000}"/>
    <cellStyle name="Comma 2 9 2 3 13" xfId="42081" xr:uid="{00000000-0005-0000-0000-0000DA330000}"/>
    <cellStyle name="Comma 2 9 2 3 14" xfId="45109" xr:uid="{00000000-0005-0000-0000-0000DB330000}"/>
    <cellStyle name="Comma 2 9 2 3 15" xfId="8878" xr:uid="{00000000-0005-0000-0000-0000DC330000}"/>
    <cellStyle name="Comma 2 9 2 3 2" xfId="12877" xr:uid="{00000000-0005-0000-0000-0000DD330000}"/>
    <cellStyle name="Comma 2 9 2 3 2 2" xfId="31459" xr:uid="{00000000-0005-0000-0000-0000DE330000}"/>
    <cellStyle name="Comma 2 9 2 3 2 3" xfId="33312" xr:uid="{00000000-0005-0000-0000-0000DF330000}"/>
    <cellStyle name="Comma 2 9 2 3 2 4" xfId="35136" xr:uid="{00000000-0005-0000-0000-0000E0330000}"/>
    <cellStyle name="Comma 2 9 2 3 2 5" xfId="37234" xr:uid="{00000000-0005-0000-0000-0000E1330000}"/>
    <cellStyle name="Comma 2 9 2 3 2 6" xfId="40623" xr:uid="{00000000-0005-0000-0000-0000E2330000}"/>
    <cellStyle name="Comma 2 9 2 3 2 7" xfId="43409" xr:uid="{00000000-0005-0000-0000-0000E3330000}"/>
    <cellStyle name="Comma 2 9 2 3 2 8" xfId="45110" xr:uid="{00000000-0005-0000-0000-0000E4330000}"/>
    <cellStyle name="Comma 2 9 2 3 3" xfId="12094" xr:uid="{00000000-0005-0000-0000-0000E5330000}"/>
    <cellStyle name="Comma 2 9 2 3 4" xfId="15729" xr:uid="{00000000-0005-0000-0000-0000E6330000}"/>
    <cellStyle name="Comma 2 9 2 3 5" xfId="30227" xr:uid="{00000000-0005-0000-0000-0000E7330000}"/>
    <cellStyle name="Comma 2 9 2 3 6" xfId="30868" xr:uid="{00000000-0005-0000-0000-0000E8330000}"/>
    <cellStyle name="Comma 2 9 2 3 7" xfId="32050" xr:uid="{00000000-0005-0000-0000-0000E9330000}"/>
    <cellStyle name="Comma 2 9 2 3 8" xfId="32692" xr:uid="{00000000-0005-0000-0000-0000EA330000}"/>
    <cellStyle name="Comma 2 9 2 3 9" xfId="33904" xr:uid="{00000000-0005-0000-0000-0000EB330000}"/>
    <cellStyle name="Comma 2 9 2 4" xfId="12303" xr:uid="{00000000-0005-0000-0000-0000EC330000}"/>
    <cellStyle name="Comma 2 9 2 4 2" xfId="31076" xr:uid="{00000000-0005-0000-0000-0000ED330000}"/>
    <cellStyle name="Comma 2 9 2 4 2 2" xfId="41240" xr:uid="{00000000-0005-0000-0000-0000EE330000}"/>
    <cellStyle name="Comma 2 9 2 4 2 3" xfId="43920" xr:uid="{00000000-0005-0000-0000-0000EF330000}"/>
    <cellStyle name="Comma 2 9 2 4 2 4" xfId="45111" xr:uid="{00000000-0005-0000-0000-0000F0330000}"/>
    <cellStyle name="Comma 2 9 2 4 3" xfId="32944" xr:uid="{00000000-0005-0000-0000-0000F1330000}"/>
    <cellStyle name="Comma 2 9 2 4 4" xfId="34753" xr:uid="{00000000-0005-0000-0000-0000F2330000}"/>
    <cellStyle name="Comma 2 9 2 4 5" xfId="36861" xr:uid="{00000000-0005-0000-0000-0000F3330000}"/>
    <cellStyle name="Comma 2 9 2 4 6" xfId="39657" xr:uid="{00000000-0005-0000-0000-0000F4330000}"/>
    <cellStyle name="Comma 2 9 2 4 7" xfId="42592" xr:uid="{00000000-0005-0000-0000-0000F5330000}"/>
    <cellStyle name="Comma 2 9 2 4 8" xfId="45112" xr:uid="{00000000-0005-0000-0000-0000F6330000}"/>
    <cellStyle name="Comma 2 9 2 5" xfId="11710" xr:uid="{00000000-0005-0000-0000-0000F7330000}"/>
    <cellStyle name="Comma 2 9 2 5 2" xfId="39898" xr:uid="{00000000-0005-0000-0000-0000F8330000}"/>
    <cellStyle name="Comma 2 9 2 5 3" xfId="42797" xr:uid="{00000000-0005-0000-0000-0000F9330000}"/>
    <cellStyle name="Comma 2 9 2 5 4" xfId="45113" xr:uid="{00000000-0005-0000-0000-0000FA330000}"/>
    <cellStyle name="Comma 2 9 2 6" xfId="15726" xr:uid="{00000000-0005-0000-0000-0000FB330000}"/>
    <cellStyle name="Comma 2 9 2 7" xfId="30224" xr:uid="{00000000-0005-0000-0000-0000FC330000}"/>
    <cellStyle name="Comma 2 9 2 8" xfId="30485" xr:uid="{00000000-0005-0000-0000-0000FD330000}"/>
    <cellStyle name="Comma 2 9 2 9" xfId="32047" xr:uid="{00000000-0005-0000-0000-0000FE330000}"/>
    <cellStyle name="Comma 2 9 20" xfId="41396" xr:uid="{00000000-0005-0000-0000-0000FF330000}"/>
    <cellStyle name="Comma 2 9 21" xfId="45114" xr:uid="{00000000-0005-0000-0000-000000340000}"/>
    <cellStyle name="Comma 2 9 22" xfId="6563" xr:uid="{00000000-0005-0000-0000-000001340000}"/>
    <cellStyle name="Comma 2 9 3" xfId="4442" xr:uid="{00000000-0005-0000-0000-000002340000}"/>
    <cellStyle name="Comma 2 9 3 10" xfId="32693" xr:uid="{00000000-0005-0000-0000-000003340000}"/>
    <cellStyle name="Comma 2 9 3 11" xfId="33905" xr:uid="{00000000-0005-0000-0000-000004340000}"/>
    <cellStyle name="Comma 2 9 3 12" xfId="34190" xr:uid="{00000000-0005-0000-0000-000005340000}"/>
    <cellStyle name="Comma 2 9 3 13" xfId="35625" xr:uid="{00000000-0005-0000-0000-000006340000}"/>
    <cellStyle name="Comma 2 9 3 14" xfId="36160" xr:uid="{00000000-0005-0000-0000-000007340000}"/>
    <cellStyle name="Comma 2 9 3 15" xfId="38694" xr:uid="{00000000-0005-0000-0000-000008340000}"/>
    <cellStyle name="Comma 2 9 3 16" xfId="41734" xr:uid="{00000000-0005-0000-0000-000009340000}"/>
    <cellStyle name="Comma 2 9 3 17" xfId="45115" xr:uid="{00000000-0005-0000-0000-00000A340000}"/>
    <cellStyle name="Comma 2 9 3 18" xfId="7353" xr:uid="{00000000-0005-0000-0000-00000B340000}"/>
    <cellStyle name="Comma 2 9 3 2" xfId="5893" xr:uid="{00000000-0005-0000-0000-00000C340000}"/>
    <cellStyle name="Comma 2 9 3 2 10" xfId="33906" xr:uid="{00000000-0005-0000-0000-00000D340000}"/>
    <cellStyle name="Comma 2 9 3 2 11" xfId="34342" xr:uid="{00000000-0005-0000-0000-00000E340000}"/>
    <cellStyle name="Comma 2 9 3 2 12" xfId="36510" xr:uid="{00000000-0005-0000-0000-00000F340000}"/>
    <cellStyle name="Comma 2 9 3 2 13" xfId="39180" xr:uid="{00000000-0005-0000-0000-000010340000}"/>
    <cellStyle name="Comma 2 9 3 2 14" xfId="42188" xr:uid="{00000000-0005-0000-0000-000011340000}"/>
    <cellStyle name="Comma 2 9 3 2 15" xfId="45116" xr:uid="{00000000-0005-0000-0000-000012340000}"/>
    <cellStyle name="Comma 2 9 3 2 16" xfId="8612" xr:uid="{00000000-0005-0000-0000-000013340000}"/>
    <cellStyle name="Comma 2 9 3 2 2" xfId="8881" xr:uid="{00000000-0005-0000-0000-000014340000}"/>
    <cellStyle name="Comma 2 9 3 2 2 10" xfId="34548" xr:uid="{00000000-0005-0000-0000-000015340000}"/>
    <cellStyle name="Comma 2 9 3 2 2 11" xfId="36716" xr:uid="{00000000-0005-0000-0000-000016340000}"/>
    <cellStyle name="Comma 2 9 3 2 2 12" xfId="40753" xr:uid="{00000000-0005-0000-0000-000017340000}"/>
    <cellStyle name="Comma 2 9 3 2 2 13" xfId="43516" xr:uid="{00000000-0005-0000-0000-000018340000}"/>
    <cellStyle name="Comma 2 9 3 2 2 14" xfId="45117" xr:uid="{00000000-0005-0000-0000-000019340000}"/>
    <cellStyle name="Comma 2 9 3 2 2 2" xfId="12880" xr:uid="{00000000-0005-0000-0000-00001A340000}"/>
    <cellStyle name="Comma 2 9 3 2 2 2 2" xfId="31462" xr:uid="{00000000-0005-0000-0000-00001B340000}"/>
    <cellStyle name="Comma 2 9 3 2 2 2 3" xfId="33315" xr:uid="{00000000-0005-0000-0000-00001C340000}"/>
    <cellStyle name="Comma 2 9 3 2 2 2 4" xfId="35139" xr:uid="{00000000-0005-0000-0000-00001D340000}"/>
    <cellStyle name="Comma 2 9 3 2 2 2 5" xfId="37237" xr:uid="{00000000-0005-0000-0000-00001E340000}"/>
    <cellStyle name="Comma 2 9 3 2 2 3" xfId="12097" xr:uid="{00000000-0005-0000-0000-00001F340000}"/>
    <cellStyle name="Comma 2 9 3 2 2 4" xfId="15732" xr:uid="{00000000-0005-0000-0000-000020340000}"/>
    <cellStyle name="Comma 2 9 3 2 2 5" xfId="30230" xr:uid="{00000000-0005-0000-0000-000021340000}"/>
    <cellStyle name="Comma 2 9 3 2 2 6" xfId="30871" xr:uid="{00000000-0005-0000-0000-000022340000}"/>
    <cellStyle name="Comma 2 9 3 2 2 7" xfId="32053" xr:uid="{00000000-0005-0000-0000-000023340000}"/>
    <cellStyle name="Comma 2 9 3 2 2 8" xfId="32695" xr:uid="{00000000-0005-0000-0000-000024340000}"/>
    <cellStyle name="Comma 2 9 3 2 2 9" xfId="33907" xr:uid="{00000000-0005-0000-0000-000025340000}"/>
    <cellStyle name="Comma 2 9 3 2 3" xfId="12618" xr:uid="{00000000-0005-0000-0000-000026340000}"/>
    <cellStyle name="Comma 2 9 3 2 3 2" xfId="31256" xr:uid="{00000000-0005-0000-0000-000027340000}"/>
    <cellStyle name="Comma 2 9 3 2 3 3" xfId="33110" xr:uid="{00000000-0005-0000-0000-000028340000}"/>
    <cellStyle name="Comma 2 9 3 2 3 4" xfId="34933" xr:uid="{00000000-0005-0000-0000-000029340000}"/>
    <cellStyle name="Comma 2 9 3 2 3 5" xfId="37031" xr:uid="{00000000-0005-0000-0000-00002A340000}"/>
    <cellStyle name="Comma 2 9 3 2 4" xfId="11891" xr:uid="{00000000-0005-0000-0000-00002B340000}"/>
    <cellStyle name="Comma 2 9 3 2 5" xfId="15731" xr:uid="{00000000-0005-0000-0000-00002C340000}"/>
    <cellStyle name="Comma 2 9 3 2 6" xfId="30229" xr:uid="{00000000-0005-0000-0000-00002D340000}"/>
    <cellStyle name="Comma 2 9 3 2 7" xfId="30665" xr:uid="{00000000-0005-0000-0000-00002E340000}"/>
    <cellStyle name="Comma 2 9 3 2 8" xfId="32052" xr:uid="{00000000-0005-0000-0000-00002F340000}"/>
    <cellStyle name="Comma 2 9 3 2 9" xfId="32694" xr:uid="{00000000-0005-0000-0000-000030340000}"/>
    <cellStyle name="Comma 2 9 3 3" xfId="8880" xr:uid="{00000000-0005-0000-0000-000031340000}"/>
    <cellStyle name="Comma 2 9 3 3 10" xfId="34547" xr:uid="{00000000-0005-0000-0000-000032340000}"/>
    <cellStyle name="Comma 2 9 3 3 11" xfId="36715" xr:uid="{00000000-0005-0000-0000-000033340000}"/>
    <cellStyle name="Comma 2 9 3 3 12" xfId="39492" xr:uid="{00000000-0005-0000-0000-000034340000}"/>
    <cellStyle name="Comma 2 9 3 3 13" xfId="42452" xr:uid="{00000000-0005-0000-0000-000035340000}"/>
    <cellStyle name="Comma 2 9 3 3 14" xfId="45118" xr:uid="{00000000-0005-0000-0000-000036340000}"/>
    <cellStyle name="Comma 2 9 3 3 2" xfId="12879" xr:uid="{00000000-0005-0000-0000-000037340000}"/>
    <cellStyle name="Comma 2 9 3 3 2 2" xfId="31461" xr:uid="{00000000-0005-0000-0000-000038340000}"/>
    <cellStyle name="Comma 2 9 3 3 2 3" xfId="33314" xr:uid="{00000000-0005-0000-0000-000039340000}"/>
    <cellStyle name="Comma 2 9 3 3 2 4" xfId="35138" xr:uid="{00000000-0005-0000-0000-00003A340000}"/>
    <cellStyle name="Comma 2 9 3 3 2 5" xfId="37236" xr:uid="{00000000-0005-0000-0000-00003B340000}"/>
    <cellStyle name="Comma 2 9 3 3 2 6" xfId="41068" xr:uid="{00000000-0005-0000-0000-00003C340000}"/>
    <cellStyle name="Comma 2 9 3 3 2 7" xfId="43780" xr:uid="{00000000-0005-0000-0000-00003D340000}"/>
    <cellStyle name="Comma 2 9 3 3 2 8" xfId="45119" xr:uid="{00000000-0005-0000-0000-00003E340000}"/>
    <cellStyle name="Comma 2 9 3 3 3" xfId="12096" xr:uid="{00000000-0005-0000-0000-00003F340000}"/>
    <cellStyle name="Comma 2 9 3 3 4" xfId="15733" xr:uid="{00000000-0005-0000-0000-000040340000}"/>
    <cellStyle name="Comma 2 9 3 3 5" xfId="30231" xr:uid="{00000000-0005-0000-0000-000041340000}"/>
    <cellStyle name="Comma 2 9 3 3 6" xfId="30870" xr:uid="{00000000-0005-0000-0000-000042340000}"/>
    <cellStyle name="Comma 2 9 3 3 7" xfId="32054" xr:uid="{00000000-0005-0000-0000-000043340000}"/>
    <cellStyle name="Comma 2 9 3 3 8" xfId="32696" xr:uid="{00000000-0005-0000-0000-000044340000}"/>
    <cellStyle name="Comma 2 9 3 3 9" xfId="33908" xr:uid="{00000000-0005-0000-0000-000045340000}"/>
    <cellStyle name="Comma 2 9 3 4" xfId="12332" xr:uid="{00000000-0005-0000-0000-000046340000}"/>
    <cellStyle name="Comma 2 9 3 4 2" xfId="31104" xr:uid="{00000000-0005-0000-0000-000047340000}"/>
    <cellStyle name="Comma 2 9 3 4 3" xfId="32966" xr:uid="{00000000-0005-0000-0000-000048340000}"/>
    <cellStyle name="Comma 2 9 3 4 4" xfId="34781" xr:uid="{00000000-0005-0000-0000-000049340000}"/>
    <cellStyle name="Comma 2 9 3 4 5" xfId="36887" xr:uid="{00000000-0005-0000-0000-00004A340000}"/>
    <cellStyle name="Comma 2 9 3 4 6" xfId="40213" xr:uid="{00000000-0005-0000-0000-00004B340000}"/>
    <cellStyle name="Comma 2 9 3 4 7" xfId="43062" xr:uid="{00000000-0005-0000-0000-00004C340000}"/>
    <cellStyle name="Comma 2 9 3 4 8" xfId="45120" xr:uid="{00000000-0005-0000-0000-00004D340000}"/>
    <cellStyle name="Comma 2 9 3 5" xfId="11739" xr:uid="{00000000-0005-0000-0000-00004E340000}"/>
    <cellStyle name="Comma 2 9 3 6" xfId="15730" xr:uid="{00000000-0005-0000-0000-00004F340000}"/>
    <cellStyle name="Comma 2 9 3 7" xfId="30228" xr:uid="{00000000-0005-0000-0000-000050340000}"/>
    <cellStyle name="Comma 2 9 3 8" xfId="30513" xr:uid="{00000000-0005-0000-0000-000051340000}"/>
    <cellStyle name="Comma 2 9 3 9" xfId="32051" xr:uid="{00000000-0005-0000-0000-000052340000}"/>
    <cellStyle name="Comma 2 9 4" xfId="5755" xr:uid="{00000000-0005-0000-0000-000053340000}"/>
    <cellStyle name="Comma 2 9 4 10" xfId="33909" xr:uid="{00000000-0005-0000-0000-000054340000}"/>
    <cellStyle name="Comma 2 9 4 11" xfId="34275" xr:uid="{00000000-0005-0000-0000-000055340000}"/>
    <cellStyle name="Comma 2 9 4 12" xfId="36473" xr:uid="{00000000-0005-0000-0000-000056340000}"/>
    <cellStyle name="Comma 2 9 4 13" xfId="38122" xr:uid="{00000000-0005-0000-0000-000057340000}"/>
    <cellStyle name="Comma 2 9 4 14" xfId="41619" xr:uid="{00000000-0005-0000-0000-000058340000}"/>
    <cellStyle name="Comma 2 9 4 15" xfId="45121" xr:uid="{00000000-0005-0000-0000-000059340000}"/>
    <cellStyle name="Comma 2 9 4 16" xfId="8438" xr:uid="{00000000-0005-0000-0000-00005A340000}"/>
    <cellStyle name="Comma 2 9 4 2" xfId="8882" xr:uid="{00000000-0005-0000-0000-00005B340000}"/>
    <cellStyle name="Comma 2 9 4 2 10" xfId="34549" xr:uid="{00000000-0005-0000-0000-00005C340000}"/>
    <cellStyle name="Comma 2 9 4 2 11" xfId="36717" xr:uid="{00000000-0005-0000-0000-00005D340000}"/>
    <cellStyle name="Comma 2 9 4 2 12" xfId="40078" xr:uid="{00000000-0005-0000-0000-00005E340000}"/>
    <cellStyle name="Comma 2 9 4 2 13" xfId="42947" xr:uid="{00000000-0005-0000-0000-00005F340000}"/>
    <cellStyle name="Comma 2 9 4 2 14" xfId="45122" xr:uid="{00000000-0005-0000-0000-000060340000}"/>
    <cellStyle name="Comma 2 9 4 2 2" xfId="12881" xr:uid="{00000000-0005-0000-0000-000061340000}"/>
    <cellStyle name="Comma 2 9 4 2 2 2" xfId="31463" xr:uid="{00000000-0005-0000-0000-000062340000}"/>
    <cellStyle name="Comma 2 9 4 2 2 3" xfId="33316" xr:uid="{00000000-0005-0000-0000-000063340000}"/>
    <cellStyle name="Comma 2 9 4 2 2 4" xfId="35140" xr:uid="{00000000-0005-0000-0000-000064340000}"/>
    <cellStyle name="Comma 2 9 4 2 2 5" xfId="37238" xr:uid="{00000000-0005-0000-0000-000065340000}"/>
    <cellStyle name="Comma 2 9 4 2 3" xfId="12098" xr:uid="{00000000-0005-0000-0000-000066340000}"/>
    <cellStyle name="Comma 2 9 4 2 4" xfId="15735" xr:uid="{00000000-0005-0000-0000-000067340000}"/>
    <cellStyle name="Comma 2 9 4 2 5" xfId="30233" xr:uid="{00000000-0005-0000-0000-000068340000}"/>
    <cellStyle name="Comma 2 9 4 2 6" xfId="30872" xr:uid="{00000000-0005-0000-0000-000069340000}"/>
    <cellStyle name="Comma 2 9 4 2 7" xfId="32056" xr:uid="{00000000-0005-0000-0000-00006A340000}"/>
    <cellStyle name="Comma 2 9 4 2 8" xfId="32698" xr:uid="{00000000-0005-0000-0000-00006B340000}"/>
    <cellStyle name="Comma 2 9 4 2 9" xfId="33910" xr:uid="{00000000-0005-0000-0000-00006C340000}"/>
    <cellStyle name="Comma 2 9 4 3" xfId="12546" xr:uid="{00000000-0005-0000-0000-00006D340000}"/>
    <cellStyle name="Comma 2 9 4 3 2" xfId="31189" xr:uid="{00000000-0005-0000-0000-00006E340000}"/>
    <cellStyle name="Comma 2 9 4 3 3" xfId="33047" xr:uid="{00000000-0005-0000-0000-00006F340000}"/>
    <cellStyle name="Comma 2 9 4 3 4" xfId="34866" xr:uid="{00000000-0005-0000-0000-000070340000}"/>
    <cellStyle name="Comma 2 9 4 3 5" xfId="36968" xr:uid="{00000000-0005-0000-0000-000071340000}"/>
    <cellStyle name="Comma 2 9 4 4" xfId="11824" xr:uid="{00000000-0005-0000-0000-000072340000}"/>
    <cellStyle name="Comma 2 9 4 5" xfId="15734" xr:uid="{00000000-0005-0000-0000-000073340000}"/>
    <cellStyle name="Comma 2 9 4 6" xfId="30232" xr:uid="{00000000-0005-0000-0000-000074340000}"/>
    <cellStyle name="Comma 2 9 4 7" xfId="30598" xr:uid="{00000000-0005-0000-0000-000075340000}"/>
    <cellStyle name="Comma 2 9 4 8" xfId="32055" xr:uid="{00000000-0005-0000-0000-000076340000}"/>
    <cellStyle name="Comma 2 9 4 9" xfId="32697" xr:uid="{00000000-0005-0000-0000-000077340000}"/>
    <cellStyle name="Comma 2 9 5" xfId="6214" xr:uid="{00000000-0005-0000-0000-000078340000}"/>
    <cellStyle name="Comma 2 9 5 10" xfId="33911" xr:uid="{00000000-0005-0000-0000-000079340000}"/>
    <cellStyle name="Comma 2 9 5 11" xfId="34217" xr:uid="{00000000-0005-0000-0000-00007A340000}"/>
    <cellStyle name="Comma 2 9 5 12" xfId="36444" xr:uid="{00000000-0005-0000-0000-00007B340000}"/>
    <cellStyle name="Comma 2 9 5 13" xfId="38951" xr:uid="{00000000-0005-0000-0000-00007C340000}"/>
    <cellStyle name="Comma 2 9 5 14" xfId="41982" xr:uid="{00000000-0005-0000-0000-00007D340000}"/>
    <cellStyle name="Comma 2 9 5 15" xfId="45123" xr:uid="{00000000-0005-0000-0000-00007E340000}"/>
    <cellStyle name="Comma 2 9 5 16" xfId="8108" xr:uid="{00000000-0005-0000-0000-00007F340000}"/>
    <cellStyle name="Comma 2 9 5 2" xfId="8883" xr:uid="{00000000-0005-0000-0000-000080340000}"/>
    <cellStyle name="Comma 2 9 5 2 10" xfId="34550" xr:uid="{00000000-0005-0000-0000-000081340000}"/>
    <cellStyle name="Comma 2 9 5 2 11" xfId="36718" xr:uid="{00000000-0005-0000-0000-000082340000}"/>
    <cellStyle name="Comma 2 9 5 2 12" xfId="40509" xr:uid="{00000000-0005-0000-0000-000083340000}"/>
    <cellStyle name="Comma 2 9 5 2 13" xfId="43310" xr:uid="{00000000-0005-0000-0000-000084340000}"/>
    <cellStyle name="Comma 2 9 5 2 14" xfId="45124" xr:uid="{00000000-0005-0000-0000-000085340000}"/>
    <cellStyle name="Comma 2 9 5 2 2" xfId="12882" xr:uid="{00000000-0005-0000-0000-000086340000}"/>
    <cellStyle name="Comma 2 9 5 2 2 2" xfId="31464" xr:uid="{00000000-0005-0000-0000-000087340000}"/>
    <cellStyle name="Comma 2 9 5 2 2 3" xfId="33317" xr:uid="{00000000-0005-0000-0000-000088340000}"/>
    <cellStyle name="Comma 2 9 5 2 2 4" xfId="35141" xr:uid="{00000000-0005-0000-0000-000089340000}"/>
    <cellStyle name="Comma 2 9 5 2 2 5" xfId="37239" xr:uid="{00000000-0005-0000-0000-00008A340000}"/>
    <cellStyle name="Comma 2 9 5 2 3" xfId="12099" xr:uid="{00000000-0005-0000-0000-00008B340000}"/>
    <cellStyle name="Comma 2 9 5 2 4" xfId="15737" xr:uid="{00000000-0005-0000-0000-00008C340000}"/>
    <cellStyle name="Comma 2 9 5 2 5" xfId="30235" xr:uid="{00000000-0005-0000-0000-00008D340000}"/>
    <cellStyle name="Comma 2 9 5 2 6" xfId="30873" xr:uid="{00000000-0005-0000-0000-00008E340000}"/>
    <cellStyle name="Comma 2 9 5 2 7" xfId="32058" xr:uid="{00000000-0005-0000-0000-00008F340000}"/>
    <cellStyle name="Comma 2 9 5 2 8" xfId="32700" xr:uid="{00000000-0005-0000-0000-000090340000}"/>
    <cellStyle name="Comma 2 9 5 2 9" xfId="33912" xr:uid="{00000000-0005-0000-0000-000091340000}"/>
    <cellStyle name="Comma 2 9 5 3" xfId="12420" xr:uid="{00000000-0005-0000-0000-000092340000}"/>
    <cellStyle name="Comma 2 9 5 3 2" xfId="31131" xr:uid="{00000000-0005-0000-0000-000093340000}"/>
    <cellStyle name="Comma 2 9 5 3 3" xfId="32993" xr:uid="{00000000-0005-0000-0000-000094340000}"/>
    <cellStyle name="Comma 2 9 5 3 4" xfId="34808" xr:uid="{00000000-0005-0000-0000-000095340000}"/>
    <cellStyle name="Comma 2 9 5 3 5" xfId="36914" xr:uid="{00000000-0005-0000-0000-000096340000}"/>
    <cellStyle name="Comma 2 9 5 4" xfId="11766" xr:uid="{00000000-0005-0000-0000-000097340000}"/>
    <cellStyle name="Comma 2 9 5 5" xfId="15736" xr:uid="{00000000-0005-0000-0000-000098340000}"/>
    <cellStyle name="Comma 2 9 5 6" xfId="30234" xr:uid="{00000000-0005-0000-0000-000099340000}"/>
    <cellStyle name="Comma 2 9 5 7" xfId="30540" xr:uid="{00000000-0005-0000-0000-00009A340000}"/>
    <cellStyle name="Comma 2 9 5 8" xfId="32057" xr:uid="{00000000-0005-0000-0000-00009B340000}"/>
    <cellStyle name="Comma 2 9 5 9" xfId="32699" xr:uid="{00000000-0005-0000-0000-00009C340000}"/>
    <cellStyle name="Comma 2 9 6" xfId="8877" xr:uid="{00000000-0005-0000-0000-00009D340000}"/>
    <cellStyle name="Comma 2 9 6 10" xfId="34544" xr:uid="{00000000-0005-0000-0000-00009E340000}"/>
    <cellStyle name="Comma 2 9 6 11" xfId="36712" xr:uid="{00000000-0005-0000-0000-00009F340000}"/>
    <cellStyle name="Comma 2 9 6 12" xfId="39359" xr:uid="{00000000-0005-0000-0000-0000A0340000}"/>
    <cellStyle name="Comma 2 9 6 13" xfId="42337" xr:uid="{00000000-0005-0000-0000-0000A1340000}"/>
    <cellStyle name="Comma 2 9 6 14" xfId="45125" xr:uid="{00000000-0005-0000-0000-0000A2340000}"/>
    <cellStyle name="Comma 2 9 6 2" xfId="12876" xr:uid="{00000000-0005-0000-0000-0000A3340000}"/>
    <cellStyle name="Comma 2 9 6 2 2" xfId="31458" xr:uid="{00000000-0005-0000-0000-0000A4340000}"/>
    <cellStyle name="Comma 2 9 6 2 3" xfId="33311" xr:uid="{00000000-0005-0000-0000-0000A5340000}"/>
    <cellStyle name="Comma 2 9 6 2 4" xfId="35135" xr:uid="{00000000-0005-0000-0000-0000A6340000}"/>
    <cellStyle name="Comma 2 9 6 2 5" xfId="37233" xr:uid="{00000000-0005-0000-0000-0000A7340000}"/>
    <cellStyle name="Comma 2 9 6 2 6" xfId="40930" xr:uid="{00000000-0005-0000-0000-0000A8340000}"/>
    <cellStyle name="Comma 2 9 6 2 7" xfId="43665" xr:uid="{00000000-0005-0000-0000-0000A9340000}"/>
    <cellStyle name="Comma 2 9 6 2 8" xfId="45126" xr:uid="{00000000-0005-0000-0000-0000AA340000}"/>
    <cellStyle name="Comma 2 9 6 3" xfId="12093" xr:uid="{00000000-0005-0000-0000-0000AB340000}"/>
    <cellStyle name="Comma 2 9 6 4" xfId="15738" xr:uid="{00000000-0005-0000-0000-0000AC340000}"/>
    <cellStyle name="Comma 2 9 6 5" xfId="30236" xr:uid="{00000000-0005-0000-0000-0000AD340000}"/>
    <cellStyle name="Comma 2 9 6 6" xfId="30867" xr:uid="{00000000-0005-0000-0000-0000AE340000}"/>
    <cellStyle name="Comma 2 9 6 7" xfId="32059" xr:uid="{00000000-0005-0000-0000-0000AF340000}"/>
    <cellStyle name="Comma 2 9 6 8" xfId="32701" xr:uid="{00000000-0005-0000-0000-0000B0340000}"/>
    <cellStyle name="Comma 2 9 6 9" xfId="33913" xr:uid="{00000000-0005-0000-0000-0000B1340000}"/>
    <cellStyle name="Comma 2 9 7" xfId="11531" xr:uid="{00000000-0005-0000-0000-0000B2340000}"/>
    <cellStyle name="Comma 2 9 7 10" xfId="34645" xr:uid="{00000000-0005-0000-0000-0000B3340000}"/>
    <cellStyle name="Comma 2 9 7 11" xfId="36773" xr:uid="{00000000-0005-0000-0000-0000B4340000}"/>
    <cellStyle name="Comma 2 9 7 12" xfId="39816" xr:uid="{00000000-0005-0000-0000-0000B5340000}"/>
    <cellStyle name="Comma 2 9 7 13" xfId="42724" xr:uid="{00000000-0005-0000-0000-0000B6340000}"/>
    <cellStyle name="Comma 2 9 7 14" xfId="45127" xr:uid="{00000000-0005-0000-0000-0000B7340000}"/>
    <cellStyle name="Comma 2 9 7 2" xfId="15152" xr:uid="{00000000-0005-0000-0000-0000B8340000}"/>
    <cellStyle name="Comma 2 9 7 2 2" xfId="31559" xr:uid="{00000000-0005-0000-0000-0000B9340000}"/>
    <cellStyle name="Comma 2 9 7 2 3" xfId="33412" xr:uid="{00000000-0005-0000-0000-0000BA340000}"/>
    <cellStyle name="Comma 2 9 7 2 4" xfId="35236" xr:uid="{00000000-0005-0000-0000-0000BB340000}"/>
    <cellStyle name="Comma 2 9 7 2 5" xfId="37316" xr:uid="{00000000-0005-0000-0000-0000BC340000}"/>
    <cellStyle name="Comma 2 9 7 3" xfId="12194" xr:uid="{00000000-0005-0000-0000-0000BD340000}"/>
    <cellStyle name="Comma 2 9 7 4" xfId="15739" xr:uid="{00000000-0005-0000-0000-0000BE340000}"/>
    <cellStyle name="Comma 2 9 7 5" xfId="30237" xr:uid="{00000000-0005-0000-0000-0000BF340000}"/>
    <cellStyle name="Comma 2 9 7 6" xfId="30968" xr:uid="{00000000-0005-0000-0000-0000C0340000}"/>
    <cellStyle name="Comma 2 9 7 7" xfId="32060" xr:uid="{00000000-0005-0000-0000-0000C1340000}"/>
    <cellStyle name="Comma 2 9 7 8" xfId="32702" xr:uid="{00000000-0005-0000-0000-0000C2340000}"/>
    <cellStyle name="Comma 2 9 7 9" xfId="33914" xr:uid="{00000000-0005-0000-0000-0000C3340000}"/>
    <cellStyle name="Comma 2 9 8" xfId="12265" xr:uid="{00000000-0005-0000-0000-0000C4340000}"/>
    <cellStyle name="Comma 2 9 8 2" xfId="31038" xr:uid="{00000000-0005-0000-0000-0000C5340000}"/>
    <cellStyle name="Comma 2 9 8 3" xfId="32907" xr:uid="{00000000-0005-0000-0000-0000C6340000}"/>
    <cellStyle name="Comma 2 9 8 4" xfId="34715" xr:uid="{00000000-0005-0000-0000-0000C7340000}"/>
    <cellStyle name="Comma 2 9 8 5" xfId="36823" xr:uid="{00000000-0005-0000-0000-0000C8340000}"/>
    <cellStyle name="Comma 2 9 9" xfId="11671" xr:uid="{00000000-0005-0000-0000-0000C9340000}"/>
    <cellStyle name="Comma 20" xfId="39280" xr:uid="{00000000-0005-0000-0000-0000CA340000}"/>
    <cellStyle name="Comma 20 2" xfId="40847" xr:uid="{00000000-0005-0000-0000-0000CB340000}"/>
    <cellStyle name="Comma 20 2 2" xfId="43592" xr:uid="{00000000-0005-0000-0000-0000CC340000}"/>
    <cellStyle name="Comma 20 2 3" xfId="45128" xr:uid="{00000000-0005-0000-0000-0000CD340000}"/>
    <cellStyle name="Comma 20 3" xfId="42264" xr:uid="{00000000-0005-0000-0000-0000CE340000}"/>
    <cellStyle name="Comma 20 4" xfId="45129" xr:uid="{00000000-0005-0000-0000-0000CF340000}"/>
    <cellStyle name="Comma 21" xfId="1023" xr:uid="{00000000-0005-0000-0000-0000D0340000}"/>
    <cellStyle name="Comma 3" xfId="2791" xr:uid="{00000000-0005-0000-0000-0000D1340000}"/>
    <cellStyle name="Comma 3 10" xfId="15740" xr:uid="{00000000-0005-0000-0000-0000D2340000}"/>
    <cellStyle name="Comma 3 11" xfId="30238" xr:uid="{00000000-0005-0000-0000-0000D3340000}"/>
    <cellStyle name="Comma 3 12" xfId="30448" xr:uid="{00000000-0005-0000-0000-0000D4340000}"/>
    <cellStyle name="Comma 3 13" xfId="32061" xr:uid="{00000000-0005-0000-0000-0000D5340000}"/>
    <cellStyle name="Comma 3 14" xfId="32703" xr:uid="{00000000-0005-0000-0000-0000D6340000}"/>
    <cellStyle name="Comma 3 15" xfId="33915" xr:uid="{00000000-0005-0000-0000-0000D7340000}"/>
    <cellStyle name="Comma 3 16" xfId="34125" xr:uid="{00000000-0005-0000-0000-0000D8340000}"/>
    <cellStyle name="Comma 3 17" xfId="35353" xr:uid="{00000000-0005-0000-0000-0000D9340000}"/>
    <cellStyle name="Comma 3 18" xfId="36216" xr:uid="{00000000-0005-0000-0000-0000DA340000}"/>
    <cellStyle name="Comma 3 19" xfId="37450" xr:uid="{00000000-0005-0000-0000-0000DB340000}"/>
    <cellStyle name="Comma 3 2" xfId="1032" xr:uid="{00000000-0005-0000-0000-0000DC340000}"/>
    <cellStyle name="Comma 3 2 10" xfId="30239" xr:uid="{00000000-0005-0000-0000-0000DD340000}"/>
    <cellStyle name="Comma 3 2 10 2" xfId="39756" xr:uid="{00000000-0005-0000-0000-0000DE340000}"/>
    <cellStyle name="Comma 3 2 10 3" xfId="42669" xr:uid="{00000000-0005-0000-0000-0000DF340000}"/>
    <cellStyle name="Comma 3 2 10 4" xfId="45130" xr:uid="{00000000-0005-0000-0000-0000E0340000}"/>
    <cellStyle name="Comma 3 2 11" xfId="30486" xr:uid="{00000000-0005-0000-0000-0000E1340000}"/>
    <cellStyle name="Comma 3 2 12" xfId="32062" xr:uid="{00000000-0005-0000-0000-0000E2340000}"/>
    <cellStyle name="Comma 3 2 13" xfId="32704" xr:uid="{00000000-0005-0000-0000-0000E3340000}"/>
    <cellStyle name="Comma 3 2 14" xfId="33916" xr:uid="{00000000-0005-0000-0000-0000E4340000}"/>
    <cellStyle name="Comma 3 2 15" xfId="34163" xr:uid="{00000000-0005-0000-0000-0000E5340000}"/>
    <cellStyle name="Comma 3 2 16" xfId="35286" xr:uid="{00000000-0005-0000-0000-0000E6340000}"/>
    <cellStyle name="Comma 3 2 17" xfId="36217" xr:uid="{00000000-0005-0000-0000-0000E7340000}"/>
    <cellStyle name="Comma 3 2 18" xfId="37393" xr:uid="{00000000-0005-0000-0000-0000E8340000}"/>
    <cellStyle name="Comma 3 2 19" xfId="41341" xr:uid="{00000000-0005-0000-0000-0000E9340000}"/>
    <cellStyle name="Comma 3 2 2" xfId="2793" xr:uid="{00000000-0005-0000-0000-0000EA340000}"/>
    <cellStyle name="Comma 3 2 2 10" xfId="33917" xr:uid="{00000000-0005-0000-0000-0000EB340000}"/>
    <cellStyle name="Comma 3 2 2 11" xfId="34315" xr:uid="{00000000-0005-0000-0000-0000EC340000}"/>
    <cellStyle name="Comma 3 2 2 12" xfId="35355" xr:uid="{00000000-0005-0000-0000-0000ED340000}"/>
    <cellStyle name="Comma 3 2 2 13" xfId="36218" xr:uid="{00000000-0005-0000-0000-0000EE340000}"/>
    <cellStyle name="Comma 3 2 2 14" xfId="37451" xr:uid="{00000000-0005-0000-0000-0000EF340000}"/>
    <cellStyle name="Comma 3 2 2 15" xfId="41398" xr:uid="{00000000-0005-0000-0000-0000F0340000}"/>
    <cellStyle name="Comma 3 2 2 16" xfId="45131" xr:uid="{00000000-0005-0000-0000-0000F1340000}"/>
    <cellStyle name="Comma 3 2 2 17" xfId="8552" xr:uid="{00000000-0005-0000-0000-0000F2340000}"/>
    <cellStyle name="Comma 3 2 2 2" xfId="5104" xr:uid="{00000000-0005-0000-0000-0000F3340000}"/>
    <cellStyle name="Comma 3 2 2 2 10" xfId="34552" xr:uid="{00000000-0005-0000-0000-0000F4340000}"/>
    <cellStyle name="Comma 3 2 2 2 11" xfId="36059" xr:uid="{00000000-0005-0000-0000-0000F5340000}"/>
    <cellStyle name="Comma 3 2 2 2 12" xfId="36359" xr:uid="{00000000-0005-0000-0000-0000F6340000}"/>
    <cellStyle name="Comma 3 2 2 2 13" xfId="37574" xr:uid="{00000000-0005-0000-0000-0000F7340000}"/>
    <cellStyle name="Comma 3 2 2 2 14" xfId="41520" xr:uid="{00000000-0005-0000-0000-0000F8340000}"/>
    <cellStyle name="Comma 3 2 2 2 15" xfId="45132" xr:uid="{00000000-0005-0000-0000-0000F9340000}"/>
    <cellStyle name="Comma 3 2 2 2 16" xfId="8885" xr:uid="{00000000-0005-0000-0000-0000FA340000}"/>
    <cellStyle name="Comma 3 2 2 2 2" xfId="6073" xr:uid="{00000000-0005-0000-0000-0000FB340000}"/>
    <cellStyle name="Comma 3 2 2 2 2 2" xfId="31466" xr:uid="{00000000-0005-0000-0000-0000FC340000}"/>
    <cellStyle name="Comma 3 2 2 2 2 2 2" xfId="40387" xr:uid="{00000000-0005-0000-0000-0000FD340000}"/>
    <cellStyle name="Comma 3 2 2 2 2 2 3" xfId="43205" xr:uid="{00000000-0005-0000-0000-0000FE340000}"/>
    <cellStyle name="Comma 3 2 2 2 2 2 4" xfId="45133" xr:uid="{00000000-0005-0000-0000-0000FF340000}"/>
    <cellStyle name="Comma 3 2 2 2 2 3" xfId="33319" xr:uid="{00000000-0005-0000-0000-000000350000}"/>
    <cellStyle name="Comma 3 2 2 2 2 4" xfId="35143" xr:uid="{00000000-0005-0000-0000-000001350000}"/>
    <cellStyle name="Comma 3 2 2 2 2 5" xfId="37241" xr:uid="{00000000-0005-0000-0000-000002350000}"/>
    <cellStyle name="Comma 3 2 2 2 2 6" xfId="38838" xr:uid="{00000000-0005-0000-0000-000003350000}"/>
    <cellStyle name="Comma 3 2 2 2 2 7" xfId="41877" xr:uid="{00000000-0005-0000-0000-000004350000}"/>
    <cellStyle name="Comma 3 2 2 2 2 8" xfId="45134" xr:uid="{00000000-0005-0000-0000-000005350000}"/>
    <cellStyle name="Comma 3 2 2 2 2 9" xfId="12884" xr:uid="{00000000-0005-0000-0000-000006350000}"/>
    <cellStyle name="Comma 3 2 2 2 3" xfId="6393" xr:uid="{00000000-0005-0000-0000-000007350000}"/>
    <cellStyle name="Comma 3 2 2 2 3 2" xfId="40796" xr:uid="{00000000-0005-0000-0000-000008350000}"/>
    <cellStyle name="Comma 3 2 2 2 3 2 2" xfId="43551" xr:uid="{00000000-0005-0000-0000-000009350000}"/>
    <cellStyle name="Comma 3 2 2 2 3 2 3" xfId="45135" xr:uid="{00000000-0005-0000-0000-00000A350000}"/>
    <cellStyle name="Comma 3 2 2 2 3 3" xfId="39233" xr:uid="{00000000-0005-0000-0000-00000B350000}"/>
    <cellStyle name="Comma 3 2 2 2 3 4" xfId="42223" xr:uid="{00000000-0005-0000-0000-00000C350000}"/>
    <cellStyle name="Comma 3 2 2 2 3 5" xfId="45136" xr:uid="{00000000-0005-0000-0000-00000D350000}"/>
    <cellStyle name="Comma 3 2 2 2 3 6" xfId="12101" xr:uid="{00000000-0005-0000-0000-00000E350000}"/>
    <cellStyle name="Comma 3 2 2 2 4" xfId="15743" xr:uid="{00000000-0005-0000-0000-00000F350000}"/>
    <cellStyle name="Comma 3 2 2 2 4 2" xfId="41243" xr:uid="{00000000-0005-0000-0000-000010350000}"/>
    <cellStyle name="Comma 3 2 2 2 4 2 2" xfId="43923" xr:uid="{00000000-0005-0000-0000-000011350000}"/>
    <cellStyle name="Comma 3 2 2 2 4 2 3" xfId="45137" xr:uid="{00000000-0005-0000-0000-000012350000}"/>
    <cellStyle name="Comma 3 2 2 2 4 3" xfId="39660" xr:uid="{00000000-0005-0000-0000-000013350000}"/>
    <cellStyle name="Comma 3 2 2 2 4 4" xfId="42595" xr:uid="{00000000-0005-0000-0000-000014350000}"/>
    <cellStyle name="Comma 3 2 2 2 4 5" xfId="45138" xr:uid="{00000000-0005-0000-0000-000015350000}"/>
    <cellStyle name="Comma 3 2 2 2 5" xfId="30241" xr:uid="{00000000-0005-0000-0000-000016350000}"/>
    <cellStyle name="Comma 3 2 2 2 5 2" xfId="39960" xr:uid="{00000000-0005-0000-0000-000017350000}"/>
    <cellStyle name="Comma 3 2 2 2 5 3" xfId="42848" xr:uid="{00000000-0005-0000-0000-000018350000}"/>
    <cellStyle name="Comma 3 2 2 2 5 4" xfId="45139" xr:uid="{00000000-0005-0000-0000-000019350000}"/>
    <cellStyle name="Comma 3 2 2 2 6" xfId="30875" xr:uid="{00000000-0005-0000-0000-00001A350000}"/>
    <cellStyle name="Comma 3 2 2 2 7" xfId="32064" xr:uid="{00000000-0005-0000-0000-00001B350000}"/>
    <cellStyle name="Comma 3 2 2 2 8" xfId="32706" xr:uid="{00000000-0005-0000-0000-00001C350000}"/>
    <cellStyle name="Comma 3 2 2 2 9" xfId="33918" xr:uid="{00000000-0005-0000-0000-00001D350000}"/>
    <cellStyle name="Comma 3 2 2 3" xfId="4445" xr:uid="{00000000-0005-0000-0000-00001E350000}"/>
    <cellStyle name="Comma 3 2 2 3 10" xfId="12587" xr:uid="{00000000-0005-0000-0000-00001F350000}"/>
    <cellStyle name="Comma 3 2 2 3 2" xfId="5896" xr:uid="{00000000-0005-0000-0000-000020350000}"/>
    <cellStyle name="Comma 3 2 2 3 2 2" xfId="41071" xr:uid="{00000000-0005-0000-0000-000021350000}"/>
    <cellStyle name="Comma 3 2 2 3 2 2 2" xfId="43783" xr:uid="{00000000-0005-0000-0000-000022350000}"/>
    <cellStyle name="Comma 3 2 2 3 2 2 3" xfId="45140" xr:uid="{00000000-0005-0000-0000-000023350000}"/>
    <cellStyle name="Comma 3 2 2 3 2 3" xfId="39495" xr:uid="{00000000-0005-0000-0000-000024350000}"/>
    <cellStyle name="Comma 3 2 2 3 2 4" xfId="42455" xr:uid="{00000000-0005-0000-0000-000025350000}"/>
    <cellStyle name="Comma 3 2 2 3 2 5" xfId="45141" xr:uid="{00000000-0005-0000-0000-000026350000}"/>
    <cellStyle name="Comma 3 2 2 3 2 6" xfId="31229" xr:uid="{00000000-0005-0000-0000-000027350000}"/>
    <cellStyle name="Comma 3 2 2 3 3" xfId="33085" xr:uid="{00000000-0005-0000-0000-000028350000}"/>
    <cellStyle name="Comma 3 2 2 3 3 2" xfId="40216" xr:uid="{00000000-0005-0000-0000-000029350000}"/>
    <cellStyle name="Comma 3 2 2 3 3 3" xfId="43065" xr:uid="{00000000-0005-0000-0000-00002A350000}"/>
    <cellStyle name="Comma 3 2 2 3 3 4" xfId="45142" xr:uid="{00000000-0005-0000-0000-00002B350000}"/>
    <cellStyle name="Comma 3 2 2 3 4" xfId="34906" xr:uid="{00000000-0005-0000-0000-00002C350000}"/>
    <cellStyle name="Comma 3 2 2 3 5" xfId="35628" xr:uid="{00000000-0005-0000-0000-00002D350000}"/>
    <cellStyle name="Comma 3 2 2 3 6" xfId="37006" xr:uid="{00000000-0005-0000-0000-00002E350000}"/>
    <cellStyle name="Comma 3 2 2 3 7" xfId="38697" xr:uid="{00000000-0005-0000-0000-00002F350000}"/>
    <cellStyle name="Comma 3 2 2 3 8" xfId="41737" xr:uid="{00000000-0005-0000-0000-000030350000}"/>
    <cellStyle name="Comma 3 2 2 3 9" xfId="45143" xr:uid="{00000000-0005-0000-0000-000031350000}"/>
    <cellStyle name="Comma 3 2 2 4" xfId="5758" xr:uid="{00000000-0005-0000-0000-000032350000}"/>
    <cellStyle name="Comma 3 2 2 4 2" xfId="40081" xr:uid="{00000000-0005-0000-0000-000033350000}"/>
    <cellStyle name="Comma 3 2 2 4 2 2" xfId="42950" xr:uid="{00000000-0005-0000-0000-000034350000}"/>
    <cellStyle name="Comma 3 2 2 4 2 3" xfId="45144" xr:uid="{00000000-0005-0000-0000-000035350000}"/>
    <cellStyle name="Comma 3 2 2 4 3" xfId="38125" xr:uid="{00000000-0005-0000-0000-000036350000}"/>
    <cellStyle name="Comma 3 2 2 4 4" xfId="41622" xr:uid="{00000000-0005-0000-0000-000037350000}"/>
    <cellStyle name="Comma 3 2 2 4 5" xfId="45145" xr:uid="{00000000-0005-0000-0000-000038350000}"/>
    <cellStyle name="Comma 3 2 2 4 6" xfId="11864" xr:uid="{00000000-0005-0000-0000-000039350000}"/>
    <cellStyle name="Comma 3 2 2 5" xfId="6217" xr:uid="{00000000-0005-0000-0000-00003A350000}"/>
    <cellStyle name="Comma 3 2 2 5 2" xfId="40626" xr:uid="{00000000-0005-0000-0000-00003B350000}"/>
    <cellStyle name="Comma 3 2 2 5 2 2" xfId="43412" xr:uid="{00000000-0005-0000-0000-00003C350000}"/>
    <cellStyle name="Comma 3 2 2 5 2 3" xfId="45146" xr:uid="{00000000-0005-0000-0000-00003D350000}"/>
    <cellStyle name="Comma 3 2 2 5 3" xfId="39058" xr:uid="{00000000-0005-0000-0000-00003E350000}"/>
    <cellStyle name="Comma 3 2 2 5 4" xfId="42084" xr:uid="{00000000-0005-0000-0000-00003F350000}"/>
    <cellStyle name="Comma 3 2 2 5 5" xfId="45147" xr:uid="{00000000-0005-0000-0000-000040350000}"/>
    <cellStyle name="Comma 3 2 2 5 6" xfId="15742" xr:uid="{00000000-0005-0000-0000-000041350000}"/>
    <cellStyle name="Comma 3 2 2 6" xfId="30240" xr:uid="{00000000-0005-0000-0000-000042350000}"/>
    <cellStyle name="Comma 3 2 2 6 2" xfId="40933" xr:uid="{00000000-0005-0000-0000-000043350000}"/>
    <cellStyle name="Comma 3 2 2 6 2 2" xfId="43668" xr:uid="{00000000-0005-0000-0000-000044350000}"/>
    <cellStyle name="Comma 3 2 2 6 2 3" xfId="45148" xr:uid="{00000000-0005-0000-0000-000045350000}"/>
    <cellStyle name="Comma 3 2 2 6 3" xfId="39362" xr:uid="{00000000-0005-0000-0000-000046350000}"/>
    <cellStyle name="Comma 3 2 2 6 4" xfId="42340" xr:uid="{00000000-0005-0000-0000-000047350000}"/>
    <cellStyle name="Comma 3 2 2 6 5" xfId="45149" xr:uid="{00000000-0005-0000-0000-000048350000}"/>
    <cellStyle name="Comma 3 2 2 7" xfId="30638" xr:uid="{00000000-0005-0000-0000-000049350000}"/>
    <cellStyle name="Comma 3 2 2 7 2" xfId="39818" xr:uid="{00000000-0005-0000-0000-00004A350000}"/>
    <cellStyle name="Comma 3 2 2 7 3" xfId="42726" xr:uid="{00000000-0005-0000-0000-00004B350000}"/>
    <cellStyle name="Comma 3 2 2 7 4" xfId="45150" xr:uid="{00000000-0005-0000-0000-00004C350000}"/>
    <cellStyle name="Comma 3 2 2 8" xfId="32063" xr:uid="{00000000-0005-0000-0000-00004D350000}"/>
    <cellStyle name="Comma 3 2 2 9" xfId="32705" xr:uid="{00000000-0005-0000-0000-00004E350000}"/>
    <cellStyle name="Comma 3 2 20" xfId="45151" xr:uid="{00000000-0005-0000-0000-00004F350000}"/>
    <cellStyle name="Comma 3 2 21" xfId="6676" xr:uid="{00000000-0005-0000-0000-000050350000}"/>
    <cellStyle name="Comma 3 2 3" xfId="2794" xr:uid="{00000000-0005-0000-0000-000051350000}"/>
    <cellStyle name="Comma 3 2 3 10" xfId="33919" xr:uid="{00000000-0005-0000-0000-000052350000}"/>
    <cellStyle name="Comma 3 2 3 11" xfId="34244" xr:uid="{00000000-0005-0000-0000-000053350000}"/>
    <cellStyle name="Comma 3 2 3 12" xfId="35356" xr:uid="{00000000-0005-0000-0000-000054350000}"/>
    <cellStyle name="Comma 3 2 3 13" xfId="36219" xr:uid="{00000000-0005-0000-0000-000055350000}"/>
    <cellStyle name="Comma 3 2 3 14" xfId="37557" xr:uid="{00000000-0005-0000-0000-000056350000}"/>
    <cellStyle name="Comma 3 2 3 15" xfId="41503" xr:uid="{00000000-0005-0000-0000-000057350000}"/>
    <cellStyle name="Comma 3 2 3 16" xfId="45152" xr:uid="{00000000-0005-0000-0000-000058350000}"/>
    <cellStyle name="Comma 3 2 3 17" xfId="8380" xr:uid="{00000000-0005-0000-0000-000059350000}"/>
    <cellStyle name="Comma 3 2 3 2" xfId="5105" xr:uid="{00000000-0005-0000-0000-00005A350000}"/>
    <cellStyle name="Comma 3 2 3 2 10" xfId="34553" xr:uid="{00000000-0005-0000-0000-00005B350000}"/>
    <cellStyle name="Comma 3 2 3 2 11" xfId="36060" xr:uid="{00000000-0005-0000-0000-00005C350000}"/>
    <cellStyle name="Comma 3 2 3 2 12" xfId="36360" xr:uid="{00000000-0005-0000-0000-00005D350000}"/>
    <cellStyle name="Comma 3 2 3 2 13" xfId="38839" xr:uid="{00000000-0005-0000-0000-00005E350000}"/>
    <cellStyle name="Comma 3 2 3 2 14" xfId="41878" xr:uid="{00000000-0005-0000-0000-00005F350000}"/>
    <cellStyle name="Comma 3 2 3 2 15" xfId="45153" xr:uid="{00000000-0005-0000-0000-000060350000}"/>
    <cellStyle name="Comma 3 2 3 2 16" xfId="8886" xr:uid="{00000000-0005-0000-0000-000061350000}"/>
    <cellStyle name="Comma 3 2 3 2 2" xfId="6074" xr:uid="{00000000-0005-0000-0000-000062350000}"/>
    <cellStyle name="Comma 3 2 3 2 2 2" xfId="31467" xr:uid="{00000000-0005-0000-0000-000063350000}"/>
    <cellStyle name="Comma 3 2 3 2 2 2 2" xfId="40797" xr:uid="{00000000-0005-0000-0000-000064350000}"/>
    <cellStyle name="Comma 3 2 3 2 2 2 3" xfId="43552" xr:uid="{00000000-0005-0000-0000-000065350000}"/>
    <cellStyle name="Comma 3 2 3 2 2 2 4" xfId="45154" xr:uid="{00000000-0005-0000-0000-000066350000}"/>
    <cellStyle name="Comma 3 2 3 2 2 3" xfId="33320" xr:uid="{00000000-0005-0000-0000-000067350000}"/>
    <cellStyle name="Comma 3 2 3 2 2 4" xfId="35144" xr:uid="{00000000-0005-0000-0000-000068350000}"/>
    <cellStyle name="Comma 3 2 3 2 2 5" xfId="37242" xr:uid="{00000000-0005-0000-0000-000069350000}"/>
    <cellStyle name="Comma 3 2 3 2 2 6" xfId="39234" xr:uid="{00000000-0005-0000-0000-00006A350000}"/>
    <cellStyle name="Comma 3 2 3 2 2 7" xfId="42224" xr:uid="{00000000-0005-0000-0000-00006B350000}"/>
    <cellStyle name="Comma 3 2 3 2 2 8" xfId="45155" xr:uid="{00000000-0005-0000-0000-00006C350000}"/>
    <cellStyle name="Comma 3 2 3 2 2 9" xfId="12885" xr:uid="{00000000-0005-0000-0000-00006D350000}"/>
    <cellStyle name="Comma 3 2 3 2 3" xfId="6394" xr:uid="{00000000-0005-0000-0000-00006E350000}"/>
    <cellStyle name="Comma 3 2 3 2 3 2" xfId="41244" xr:uid="{00000000-0005-0000-0000-00006F350000}"/>
    <cellStyle name="Comma 3 2 3 2 3 2 2" xfId="43924" xr:uid="{00000000-0005-0000-0000-000070350000}"/>
    <cellStyle name="Comma 3 2 3 2 3 2 3" xfId="45156" xr:uid="{00000000-0005-0000-0000-000071350000}"/>
    <cellStyle name="Comma 3 2 3 2 3 3" xfId="39661" xr:uid="{00000000-0005-0000-0000-000072350000}"/>
    <cellStyle name="Comma 3 2 3 2 3 4" xfId="42596" xr:uid="{00000000-0005-0000-0000-000073350000}"/>
    <cellStyle name="Comma 3 2 3 2 3 5" xfId="45157" xr:uid="{00000000-0005-0000-0000-000074350000}"/>
    <cellStyle name="Comma 3 2 3 2 3 6" xfId="12102" xr:uid="{00000000-0005-0000-0000-000075350000}"/>
    <cellStyle name="Comma 3 2 3 2 4" xfId="15745" xr:uid="{00000000-0005-0000-0000-000076350000}"/>
    <cellStyle name="Comma 3 2 3 2 4 2" xfId="40388" xr:uid="{00000000-0005-0000-0000-000077350000}"/>
    <cellStyle name="Comma 3 2 3 2 4 3" xfId="43206" xr:uid="{00000000-0005-0000-0000-000078350000}"/>
    <cellStyle name="Comma 3 2 3 2 4 4" xfId="45158" xr:uid="{00000000-0005-0000-0000-000079350000}"/>
    <cellStyle name="Comma 3 2 3 2 5" xfId="30243" xr:uid="{00000000-0005-0000-0000-00007A350000}"/>
    <cellStyle name="Comma 3 2 3 2 6" xfId="30876" xr:uid="{00000000-0005-0000-0000-00007B350000}"/>
    <cellStyle name="Comma 3 2 3 2 7" xfId="32066" xr:uid="{00000000-0005-0000-0000-00007C350000}"/>
    <cellStyle name="Comma 3 2 3 2 8" xfId="32708" xr:uid="{00000000-0005-0000-0000-00007D350000}"/>
    <cellStyle name="Comma 3 2 3 2 9" xfId="33920" xr:uid="{00000000-0005-0000-0000-00007E350000}"/>
    <cellStyle name="Comma 3 2 3 3" xfId="4446" xr:uid="{00000000-0005-0000-0000-00007F350000}"/>
    <cellStyle name="Comma 3 2 3 3 10" xfId="12504" xr:uid="{00000000-0005-0000-0000-000080350000}"/>
    <cellStyle name="Comma 3 2 3 3 2" xfId="5897" xr:uid="{00000000-0005-0000-0000-000081350000}"/>
    <cellStyle name="Comma 3 2 3 3 2 2" xfId="41072" xr:uid="{00000000-0005-0000-0000-000082350000}"/>
    <cellStyle name="Comma 3 2 3 3 2 2 2" xfId="43784" xr:uid="{00000000-0005-0000-0000-000083350000}"/>
    <cellStyle name="Comma 3 2 3 3 2 2 3" xfId="45159" xr:uid="{00000000-0005-0000-0000-000084350000}"/>
    <cellStyle name="Comma 3 2 3 3 2 3" xfId="39496" xr:uid="{00000000-0005-0000-0000-000085350000}"/>
    <cellStyle name="Comma 3 2 3 3 2 4" xfId="42456" xr:uid="{00000000-0005-0000-0000-000086350000}"/>
    <cellStyle name="Comma 3 2 3 3 2 5" xfId="45160" xr:uid="{00000000-0005-0000-0000-000087350000}"/>
    <cellStyle name="Comma 3 2 3 3 2 6" xfId="31158" xr:uid="{00000000-0005-0000-0000-000088350000}"/>
    <cellStyle name="Comma 3 2 3 3 3" xfId="33016" xr:uid="{00000000-0005-0000-0000-000089350000}"/>
    <cellStyle name="Comma 3 2 3 3 3 2" xfId="40217" xr:uid="{00000000-0005-0000-0000-00008A350000}"/>
    <cellStyle name="Comma 3 2 3 3 3 3" xfId="43066" xr:uid="{00000000-0005-0000-0000-00008B350000}"/>
    <cellStyle name="Comma 3 2 3 3 3 4" xfId="45161" xr:uid="{00000000-0005-0000-0000-00008C350000}"/>
    <cellStyle name="Comma 3 2 3 3 4" xfId="34835" xr:uid="{00000000-0005-0000-0000-00008D350000}"/>
    <cellStyle name="Comma 3 2 3 3 5" xfId="35629" xr:uid="{00000000-0005-0000-0000-00008E350000}"/>
    <cellStyle name="Comma 3 2 3 3 6" xfId="36937" xr:uid="{00000000-0005-0000-0000-00008F350000}"/>
    <cellStyle name="Comma 3 2 3 3 7" xfId="38698" xr:uid="{00000000-0005-0000-0000-000090350000}"/>
    <cellStyle name="Comma 3 2 3 3 8" xfId="41738" xr:uid="{00000000-0005-0000-0000-000091350000}"/>
    <cellStyle name="Comma 3 2 3 3 9" xfId="45162" xr:uid="{00000000-0005-0000-0000-000092350000}"/>
    <cellStyle name="Comma 3 2 3 4" xfId="5759" xr:uid="{00000000-0005-0000-0000-000093350000}"/>
    <cellStyle name="Comma 3 2 3 4 2" xfId="40082" xr:uid="{00000000-0005-0000-0000-000094350000}"/>
    <cellStyle name="Comma 3 2 3 4 2 2" xfId="42951" xr:uid="{00000000-0005-0000-0000-000095350000}"/>
    <cellStyle name="Comma 3 2 3 4 2 3" xfId="45163" xr:uid="{00000000-0005-0000-0000-000096350000}"/>
    <cellStyle name="Comma 3 2 3 4 3" xfId="38126" xr:uid="{00000000-0005-0000-0000-000097350000}"/>
    <cellStyle name="Comma 3 2 3 4 4" xfId="41623" xr:uid="{00000000-0005-0000-0000-000098350000}"/>
    <cellStyle name="Comma 3 2 3 4 5" xfId="45164" xr:uid="{00000000-0005-0000-0000-000099350000}"/>
    <cellStyle name="Comma 3 2 3 4 6" xfId="11793" xr:uid="{00000000-0005-0000-0000-00009A350000}"/>
    <cellStyle name="Comma 3 2 3 5" xfId="6218" xr:uid="{00000000-0005-0000-0000-00009B350000}"/>
    <cellStyle name="Comma 3 2 3 5 2" xfId="40627" xr:uid="{00000000-0005-0000-0000-00009C350000}"/>
    <cellStyle name="Comma 3 2 3 5 2 2" xfId="43413" xr:uid="{00000000-0005-0000-0000-00009D350000}"/>
    <cellStyle name="Comma 3 2 3 5 2 3" xfId="45165" xr:uid="{00000000-0005-0000-0000-00009E350000}"/>
    <cellStyle name="Comma 3 2 3 5 3" xfId="39059" xr:uid="{00000000-0005-0000-0000-00009F350000}"/>
    <cellStyle name="Comma 3 2 3 5 4" xfId="42085" xr:uid="{00000000-0005-0000-0000-0000A0350000}"/>
    <cellStyle name="Comma 3 2 3 5 5" xfId="45166" xr:uid="{00000000-0005-0000-0000-0000A1350000}"/>
    <cellStyle name="Comma 3 2 3 5 6" xfId="15744" xr:uid="{00000000-0005-0000-0000-0000A2350000}"/>
    <cellStyle name="Comma 3 2 3 6" xfId="30242" xr:uid="{00000000-0005-0000-0000-0000A3350000}"/>
    <cellStyle name="Comma 3 2 3 6 2" xfId="40934" xr:uid="{00000000-0005-0000-0000-0000A4350000}"/>
    <cellStyle name="Comma 3 2 3 6 2 2" xfId="43669" xr:uid="{00000000-0005-0000-0000-0000A5350000}"/>
    <cellStyle name="Comma 3 2 3 6 2 3" xfId="45167" xr:uid="{00000000-0005-0000-0000-0000A6350000}"/>
    <cellStyle name="Comma 3 2 3 6 3" xfId="39363" xr:uid="{00000000-0005-0000-0000-0000A7350000}"/>
    <cellStyle name="Comma 3 2 3 6 4" xfId="42341" xr:uid="{00000000-0005-0000-0000-0000A8350000}"/>
    <cellStyle name="Comma 3 2 3 6 5" xfId="45168" xr:uid="{00000000-0005-0000-0000-0000A9350000}"/>
    <cellStyle name="Comma 3 2 3 7" xfId="30567" xr:uid="{00000000-0005-0000-0000-0000AA350000}"/>
    <cellStyle name="Comma 3 2 3 7 2" xfId="39943" xr:uid="{00000000-0005-0000-0000-0000AB350000}"/>
    <cellStyle name="Comma 3 2 3 7 3" xfId="42831" xr:uid="{00000000-0005-0000-0000-0000AC350000}"/>
    <cellStyle name="Comma 3 2 3 7 4" xfId="45169" xr:uid="{00000000-0005-0000-0000-0000AD350000}"/>
    <cellStyle name="Comma 3 2 3 8" xfId="32065" xr:uid="{00000000-0005-0000-0000-0000AE350000}"/>
    <cellStyle name="Comma 3 2 3 9" xfId="32707" xr:uid="{00000000-0005-0000-0000-0000AF350000}"/>
    <cellStyle name="Comma 3 2 4" xfId="2792" xr:uid="{00000000-0005-0000-0000-0000B0350000}"/>
    <cellStyle name="Comma 3 2 4 10" xfId="34554" xr:uid="{00000000-0005-0000-0000-0000B1350000}"/>
    <cellStyle name="Comma 3 2 4 11" xfId="35354" xr:uid="{00000000-0005-0000-0000-0000B2350000}"/>
    <cellStyle name="Comma 3 2 4 12" xfId="36358" xr:uid="{00000000-0005-0000-0000-0000B3350000}"/>
    <cellStyle name="Comma 3 2 4 13" xfId="37525" xr:uid="{00000000-0005-0000-0000-0000B4350000}"/>
    <cellStyle name="Comma 3 2 4 14" xfId="41471" xr:uid="{00000000-0005-0000-0000-0000B5350000}"/>
    <cellStyle name="Comma 3 2 4 15" xfId="45170" xr:uid="{00000000-0005-0000-0000-0000B6350000}"/>
    <cellStyle name="Comma 3 2 4 16" xfId="8887" xr:uid="{00000000-0005-0000-0000-0000B7350000}"/>
    <cellStyle name="Comma 3 2 4 2" xfId="5103" xr:uid="{00000000-0005-0000-0000-0000B8350000}"/>
    <cellStyle name="Comma 3 2 4 2 10" xfId="12886" xr:uid="{00000000-0005-0000-0000-0000B9350000}"/>
    <cellStyle name="Comma 3 2 4 2 2" xfId="6072" xr:uid="{00000000-0005-0000-0000-0000BA350000}"/>
    <cellStyle name="Comma 3 2 4 2 2 2" xfId="41242" xr:uid="{00000000-0005-0000-0000-0000BB350000}"/>
    <cellStyle name="Comma 3 2 4 2 2 2 2" xfId="43922" xr:uid="{00000000-0005-0000-0000-0000BC350000}"/>
    <cellStyle name="Comma 3 2 4 2 2 2 3" xfId="45171" xr:uid="{00000000-0005-0000-0000-0000BD350000}"/>
    <cellStyle name="Comma 3 2 4 2 2 3" xfId="39659" xr:uid="{00000000-0005-0000-0000-0000BE350000}"/>
    <cellStyle name="Comma 3 2 4 2 2 4" xfId="42594" xr:uid="{00000000-0005-0000-0000-0000BF350000}"/>
    <cellStyle name="Comma 3 2 4 2 2 5" xfId="45172" xr:uid="{00000000-0005-0000-0000-0000C0350000}"/>
    <cellStyle name="Comma 3 2 4 2 2 6" xfId="31468" xr:uid="{00000000-0005-0000-0000-0000C1350000}"/>
    <cellStyle name="Comma 3 2 4 2 3" xfId="33321" xr:uid="{00000000-0005-0000-0000-0000C2350000}"/>
    <cellStyle name="Comma 3 2 4 2 3 2" xfId="40386" xr:uid="{00000000-0005-0000-0000-0000C3350000}"/>
    <cellStyle name="Comma 3 2 4 2 3 3" xfId="43204" xr:uid="{00000000-0005-0000-0000-0000C4350000}"/>
    <cellStyle name="Comma 3 2 4 2 3 4" xfId="45173" xr:uid="{00000000-0005-0000-0000-0000C5350000}"/>
    <cellStyle name="Comma 3 2 4 2 4" xfId="35145" xr:uid="{00000000-0005-0000-0000-0000C6350000}"/>
    <cellStyle name="Comma 3 2 4 2 5" xfId="36058" xr:uid="{00000000-0005-0000-0000-0000C7350000}"/>
    <cellStyle name="Comma 3 2 4 2 6" xfId="37243" xr:uid="{00000000-0005-0000-0000-0000C8350000}"/>
    <cellStyle name="Comma 3 2 4 2 7" xfId="38837" xr:uid="{00000000-0005-0000-0000-0000C9350000}"/>
    <cellStyle name="Comma 3 2 4 2 8" xfId="41876" xr:uid="{00000000-0005-0000-0000-0000CA350000}"/>
    <cellStyle name="Comma 3 2 4 2 9" xfId="45174" xr:uid="{00000000-0005-0000-0000-0000CB350000}"/>
    <cellStyle name="Comma 3 2 4 3" xfId="5757" xr:uid="{00000000-0005-0000-0000-0000CC350000}"/>
    <cellStyle name="Comma 3 2 4 3 2" xfId="40080" xr:uid="{00000000-0005-0000-0000-0000CD350000}"/>
    <cellStyle name="Comma 3 2 4 3 2 2" xfId="42949" xr:uid="{00000000-0005-0000-0000-0000CE350000}"/>
    <cellStyle name="Comma 3 2 4 3 2 3" xfId="45175" xr:uid="{00000000-0005-0000-0000-0000CF350000}"/>
    <cellStyle name="Comma 3 2 4 3 3" xfId="38124" xr:uid="{00000000-0005-0000-0000-0000D0350000}"/>
    <cellStyle name="Comma 3 2 4 3 4" xfId="41621" xr:uid="{00000000-0005-0000-0000-0000D1350000}"/>
    <cellStyle name="Comma 3 2 4 3 5" xfId="45176" xr:uid="{00000000-0005-0000-0000-0000D2350000}"/>
    <cellStyle name="Comma 3 2 4 3 6" xfId="12103" xr:uid="{00000000-0005-0000-0000-0000D3350000}"/>
    <cellStyle name="Comma 3 2 4 4" xfId="6392" xr:uid="{00000000-0005-0000-0000-0000D4350000}"/>
    <cellStyle name="Comma 3 2 4 4 2" xfId="40625" xr:uid="{00000000-0005-0000-0000-0000D5350000}"/>
    <cellStyle name="Comma 3 2 4 4 2 2" xfId="43411" xr:uid="{00000000-0005-0000-0000-0000D6350000}"/>
    <cellStyle name="Comma 3 2 4 4 2 3" xfId="45177" xr:uid="{00000000-0005-0000-0000-0000D7350000}"/>
    <cellStyle name="Comma 3 2 4 4 3" xfId="39057" xr:uid="{00000000-0005-0000-0000-0000D8350000}"/>
    <cellStyle name="Comma 3 2 4 4 4" xfId="42083" xr:uid="{00000000-0005-0000-0000-0000D9350000}"/>
    <cellStyle name="Comma 3 2 4 4 5" xfId="45178" xr:uid="{00000000-0005-0000-0000-0000DA350000}"/>
    <cellStyle name="Comma 3 2 4 4 6" xfId="15746" xr:uid="{00000000-0005-0000-0000-0000DB350000}"/>
    <cellStyle name="Comma 3 2 4 5" xfId="30244" xr:uid="{00000000-0005-0000-0000-0000DC350000}"/>
    <cellStyle name="Comma 3 2 4 5 2" xfId="40932" xr:uid="{00000000-0005-0000-0000-0000DD350000}"/>
    <cellStyle name="Comma 3 2 4 5 2 2" xfId="43667" xr:uid="{00000000-0005-0000-0000-0000DE350000}"/>
    <cellStyle name="Comma 3 2 4 5 2 3" xfId="45179" xr:uid="{00000000-0005-0000-0000-0000DF350000}"/>
    <cellStyle name="Comma 3 2 4 5 3" xfId="39361" xr:uid="{00000000-0005-0000-0000-0000E0350000}"/>
    <cellStyle name="Comma 3 2 4 5 4" xfId="42339" xr:uid="{00000000-0005-0000-0000-0000E1350000}"/>
    <cellStyle name="Comma 3 2 4 5 5" xfId="45180" xr:uid="{00000000-0005-0000-0000-0000E2350000}"/>
    <cellStyle name="Comma 3 2 4 6" xfId="30877" xr:uid="{00000000-0005-0000-0000-0000E3350000}"/>
    <cellStyle name="Comma 3 2 4 6 2" xfId="39900" xr:uid="{00000000-0005-0000-0000-0000E4350000}"/>
    <cellStyle name="Comma 3 2 4 6 3" xfId="42799" xr:uid="{00000000-0005-0000-0000-0000E5350000}"/>
    <cellStyle name="Comma 3 2 4 6 4" xfId="45181" xr:uid="{00000000-0005-0000-0000-0000E6350000}"/>
    <cellStyle name="Comma 3 2 4 7" xfId="32067" xr:uid="{00000000-0005-0000-0000-0000E7350000}"/>
    <cellStyle name="Comma 3 2 4 8" xfId="32709" xr:uid="{00000000-0005-0000-0000-0000E8350000}"/>
    <cellStyle name="Comma 3 2 4 9" xfId="33921" xr:uid="{00000000-0005-0000-0000-0000E9350000}"/>
    <cellStyle name="Comma 3 2 5" xfId="4545" xr:uid="{00000000-0005-0000-0000-0000EA350000}"/>
    <cellStyle name="Comma 3 2 5 10" xfId="34551" xr:uid="{00000000-0005-0000-0000-0000EB350000}"/>
    <cellStyle name="Comma 3 2 5 11" xfId="35706" xr:uid="{00000000-0005-0000-0000-0000EC350000}"/>
    <cellStyle name="Comma 3 2 5 12" xfId="36293" xr:uid="{00000000-0005-0000-0000-0000ED350000}"/>
    <cellStyle name="Comma 3 2 5 13" xfId="38771" xr:uid="{00000000-0005-0000-0000-0000EE350000}"/>
    <cellStyle name="Comma 3 2 5 14" xfId="41811" xr:uid="{00000000-0005-0000-0000-0000EF350000}"/>
    <cellStyle name="Comma 3 2 5 15" xfId="45182" xr:uid="{00000000-0005-0000-0000-0000F0350000}"/>
    <cellStyle name="Comma 3 2 5 16" xfId="8884" xr:uid="{00000000-0005-0000-0000-0000F1350000}"/>
    <cellStyle name="Comma 3 2 5 2" xfId="5994" xr:uid="{00000000-0005-0000-0000-0000F2350000}"/>
    <cellStyle name="Comma 3 2 5 2 2" xfId="31465" xr:uid="{00000000-0005-0000-0000-0000F3350000}"/>
    <cellStyle name="Comma 3 2 5 2 2 2" xfId="40552" xr:uid="{00000000-0005-0000-0000-0000F4350000}"/>
    <cellStyle name="Comma 3 2 5 2 2 3" xfId="43346" xr:uid="{00000000-0005-0000-0000-0000F5350000}"/>
    <cellStyle name="Comma 3 2 5 2 2 4" xfId="45183" xr:uid="{00000000-0005-0000-0000-0000F6350000}"/>
    <cellStyle name="Comma 3 2 5 2 3" xfId="33318" xr:uid="{00000000-0005-0000-0000-0000F7350000}"/>
    <cellStyle name="Comma 3 2 5 2 4" xfId="35142" xr:uid="{00000000-0005-0000-0000-0000F8350000}"/>
    <cellStyle name="Comma 3 2 5 2 5" xfId="37240" xr:uid="{00000000-0005-0000-0000-0000F9350000}"/>
    <cellStyle name="Comma 3 2 5 2 6" xfId="38989" xr:uid="{00000000-0005-0000-0000-0000FA350000}"/>
    <cellStyle name="Comma 3 2 5 2 7" xfId="42018" xr:uid="{00000000-0005-0000-0000-0000FB350000}"/>
    <cellStyle name="Comma 3 2 5 2 8" xfId="45184" xr:uid="{00000000-0005-0000-0000-0000FC350000}"/>
    <cellStyle name="Comma 3 2 5 2 9" xfId="12883" xr:uid="{00000000-0005-0000-0000-0000FD350000}"/>
    <cellStyle name="Comma 3 2 5 3" xfId="6315" xr:uid="{00000000-0005-0000-0000-0000FE350000}"/>
    <cellStyle name="Comma 3 2 5 3 2" xfId="41167" xr:uid="{00000000-0005-0000-0000-0000FF350000}"/>
    <cellStyle name="Comma 3 2 5 3 2 2" xfId="43857" xr:uid="{00000000-0005-0000-0000-000000360000}"/>
    <cellStyle name="Comma 3 2 5 3 2 3" xfId="45185" xr:uid="{00000000-0005-0000-0000-000001360000}"/>
    <cellStyle name="Comma 3 2 5 3 3" xfId="39586" xr:uid="{00000000-0005-0000-0000-000002360000}"/>
    <cellStyle name="Comma 3 2 5 3 4" xfId="42529" xr:uid="{00000000-0005-0000-0000-000003360000}"/>
    <cellStyle name="Comma 3 2 5 3 5" xfId="45186" xr:uid="{00000000-0005-0000-0000-000004360000}"/>
    <cellStyle name="Comma 3 2 5 3 6" xfId="12100" xr:uid="{00000000-0005-0000-0000-000005360000}"/>
    <cellStyle name="Comma 3 2 5 4" xfId="15747" xr:uid="{00000000-0005-0000-0000-000006360000}"/>
    <cellStyle name="Comma 3 2 5 4 2" xfId="40312" xr:uid="{00000000-0005-0000-0000-000007360000}"/>
    <cellStyle name="Comma 3 2 5 4 3" xfId="43139" xr:uid="{00000000-0005-0000-0000-000008360000}"/>
    <cellStyle name="Comma 3 2 5 4 4" xfId="45187" xr:uid="{00000000-0005-0000-0000-000009360000}"/>
    <cellStyle name="Comma 3 2 5 5" xfId="30245" xr:uid="{00000000-0005-0000-0000-00000A360000}"/>
    <cellStyle name="Comma 3 2 5 6" xfId="30874" xr:uid="{00000000-0005-0000-0000-00000B360000}"/>
    <cellStyle name="Comma 3 2 5 7" xfId="32068" xr:uid="{00000000-0005-0000-0000-00000C360000}"/>
    <cellStyle name="Comma 3 2 5 8" xfId="32710" xr:uid="{00000000-0005-0000-0000-00000D360000}"/>
    <cellStyle name="Comma 3 2 5 9" xfId="33922" xr:uid="{00000000-0005-0000-0000-00000E360000}"/>
    <cellStyle name="Comma 3 2 6" xfId="4444" xr:uid="{00000000-0005-0000-0000-00000F360000}"/>
    <cellStyle name="Comma 3 2 6 10" xfId="34647" xr:uid="{00000000-0005-0000-0000-000010360000}"/>
    <cellStyle name="Comma 3 2 6 11" xfId="35627" xr:uid="{00000000-0005-0000-0000-000011360000}"/>
    <cellStyle name="Comma 3 2 6 12" xfId="36775" xr:uid="{00000000-0005-0000-0000-000012360000}"/>
    <cellStyle name="Comma 3 2 6 13" xfId="38696" xr:uid="{00000000-0005-0000-0000-000013360000}"/>
    <cellStyle name="Comma 3 2 6 14" xfId="41736" xr:uid="{00000000-0005-0000-0000-000014360000}"/>
    <cellStyle name="Comma 3 2 6 15" xfId="45188" xr:uid="{00000000-0005-0000-0000-000015360000}"/>
    <cellStyle name="Comma 3 2 6 16" xfId="11533" xr:uid="{00000000-0005-0000-0000-000016360000}"/>
    <cellStyle name="Comma 3 2 6 2" xfId="5895" xr:uid="{00000000-0005-0000-0000-000017360000}"/>
    <cellStyle name="Comma 3 2 6 2 2" xfId="31561" xr:uid="{00000000-0005-0000-0000-000018360000}"/>
    <cellStyle name="Comma 3 2 6 2 2 2" xfId="40755" xr:uid="{00000000-0005-0000-0000-000019360000}"/>
    <cellStyle name="Comma 3 2 6 2 2 3" xfId="43518" xr:uid="{00000000-0005-0000-0000-00001A360000}"/>
    <cellStyle name="Comma 3 2 6 2 2 4" xfId="45189" xr:uid="{00000000-0005-0000-0000-00001B360000}"/>
    <cellStyle name="Comma 3 2 6 2 3" xfId="33414" xr:uid="{00000000-0005-0000-0000-00001C360000}"/>
    <cellStyle name="Comma 3 2 6 2 4" xfId="35238" xr:uid="{00000000-0005-0000-0000-00001D360000}"/>
    <cellStyle name="Comma 3 2 6 2 5" xfId="37318" xr:uid="{00000000-0005-0000-0000-00001E360000}"/>
    <cellStyle name="Comma 3 2 6 2 6" xfId="39182" xr:uid="{00000000-0005-0000-0000-00001F360000}"/>
    <cellStyle name="Comma 3 2 6 2 7" xfId="42190" xr:uid="{00000000-0005-0000-0000-000020360000}"/>
    <cellStyle name="Comma 3 2 6 2 8" xfId="45190" xr:uid="{00000000-0005-0000-0000-000021360000}"/>
    <cellStyle name="Comma 3 2 6 2 9" xfId="15154" xr:uid="{00000000-0005-0000-0000-000022360000}"/>
    <cellStyle name="Comma 3 2 6 3" xfId="12196" xr:uid="{00000000-0005-0000-0000-000023360000}"/>
    <cellStyle name="Comma 3 2 6 3 2" xfId="41070" xr:uid="{00000000-0005-0000-0000-000024360000}"/>
    <cellStyle name="Comma 3 2 6 3 2 2" xfId="43782" xr:uid="{00000000-0005-0000-0000-000025360000}"/>
    <cellStyle name="Comma 3 2 6 3 2 3" xfId="45191" xr:uid="{00000000-0005-0000-0000-000026360000}"/>
    <cellStyle name="Comma 3 2 6 3 3" xfId="39494" xr:uid="{00000000-0005-0000-0000-000027360000}"/>
    <cellStyle name="Comma 3 2 6 3 4" xfId="42454" xr:uid="{00000000-0005-0000-0000-000028360000}"/>
    <cellStyle name="Comma 3 2 6 3 5" xfId="45192" xr:uid="{00000000-0005-0000-0000-000029360000}"/>
    <cellStyle name="Comma 3 2 6 4" xfId="15748" xr:uid="{00000000-0005-0000-0000-00002A360000}"/>
    <cellStyle name="Comma 3 2 6 4 2" xfId="40215" xr:uid="{00000000-0005-0000-0000-00002B360000}"/>
    <cellStyle name="Comma 3 2 6 4 3" xfId="43064" xr:uid="{00000000-0005-0000-0000-00002C360000}"/>
    <cellStyle name="Comma 3 2 6 4 4" xfId="45193" xr:uid="{00000000-0005-0000-0000-00002D360000}"/>
    <cellStyle name="Comma 3 2 6 5" xfId="30246" xr:uid="{00000000-0005-0000-0000-00002E360000}"/>
    <cellStyle name="Comma 3 2 6 6" xfId="30970" xr:uid="{00000000-0005-0000-0000-00002F360000}"/>
    <cellStyle name="Comma 3 2 6 7" xfId="32069" xr:uid="{00000000-0005-0000-0000-000030360000}"/>
    <cellStyle name="Comma 3 2 6 8" xfId="32711" xr:uid="{00000000-0005-0000-0000-000031360000}"/>
    <cellStyle name="Comma 3 2 6 9" xfId="33923" xr:uid="{00000000-0005-0000-0000-000032360000}"/>
    <cellStyle name="Comma 3 2 7" xfId="5673" xr:uid="{00000000-0005-0000-0000-000033360000}"/>
    <cellStyle name="Comma 3 2 7 10" xfId="37616" xr:uid="{00000000-0005-0000-0000-000034360000}"/>
    <cellStyle name="Comma 3 2 7 11" xfId="41556" xr:uid="{00000000-0005-0000-0000-000035360000}"/>
    <cellStyle name="Comma 3 2 7 12" xfId="45194" xr:uid="{00000000-0005-0000-0000-000036360000}"/>
    <cellStyle name="Comma 3 2 7 13" xfId="12304" xr:uid="{00000000-0005-0000-0000-000037360000}"/>
    <cellStyle name="Comma 3 2 7 2" xfId="15749" xr:uid="{00000000-0005-0000-0000-000038360000}"/>
    <cellStyle name="Comma 3 2 7 2 2" xfId="40007" xr:uid="{00000000-0005-0000-0000-000039360000}"/>
    <cellStyle name="Comma 3 2 7 2 3" xfId="42884" xr:uid="{00000000-0005-0000-0000-00003A360000}"/>
    <cellStyle name="Comma 3 2 7 2 4" xfId="45195" xr:uid="{00000000-0005-0000-0000-00003B360000}"/>
    <cellStyle name="Comma 3 2 7 3" xfId="30247" xr:uid="{00000000-0005-0000-0000-00003C360000}"/>
    <cellStyle name="Comma 3 2 7 4" xfId="31077" xr:uid="{00000000-0005-0000-0000-00003D360000}"/>
    <cellStyle name="Comma 3 2 7 5" xfId="32070" xr:uid="{00000000-0005-0000-0000-00003E360000}"/>
    <cellStyle name="Comma 3 2 7 6" xfId="32712" xr:uid="{00000000-0005-0000-0000-00003F360000}"/>
    <cellStyle name="Comma 3 2 7 7" xfId="33924" xr:uid="{00000000-0005-0000-0000-000040360000}"/>
    <cellStyle name="Comma 3 2 7 8" xfId="34754" xr:uid="{00000000-0005-0000-0000-000041360000}"/>
    <cellStyle name="Comma 3 2 7 9" xfId="36862" xr:uid="{00000000-0005-0000-0000-000042360000}"/>
    <cellStyle name="Comma 3 2 8" xfId="6216" xr:uid="{00000000-0005-0000-0000-000043360000}"/>
    <cellStyle name="Comma 3 2 8 2" xfId="40511" xr:uid="{00000000-0005-0000-0000-000044360000}"/>
    <cellStyle name="Comma 3 2 8 2 2" xfId="43312" xr:uid="{00000000-0005-0000-0000-000045360000}"/>
    <cellStyle name="Comma 3 2 8 2 3" xfId="45196" xr:uid="{00000000-0005-0000-0000-000046360000}"/>
    <cellStyle name="Comma 3 2 8 3" xfId="38953" xr:uid="{00000000-0005-0000-0000-000047360000}"/>
    <cellStyle name="Comma 3 2 8 4" xfId="41984" xr:uid="{00000000-0005-0000-0000-000048360000}"/>
    <cellStyle name="Comma 3 2 8 5" xfId="45197" xr:uid="{00000000-0005-0000-0000-000049360000}"/>
    <cellStyle name="Comma 3 2 8 6" xfId="11711" xr:uid="{00000000-0005-0000-0000-00004A360000}"/>
    <cellStyle name="Comma 3 2 9" xfId="15741" xr:uid="{00000000-0005-0000-0000-00004B360000}"/>
    <cellStyle name="Comma 3 2 9 2" xfId="40858" xr:uid="{00000000-0005-0000-0000-00004C360000}"/>
    <cellStyle name="Comma 3 2 9 2 2" xfId="43602" xr:uid="{00000000-0005-0000-0000-00004D360000}"/>
    <cellStyle name="Comma 3 2 9 2 3" xfId="45198" xr:uid="{00000000-0005-0000-0000-00004E360000}"/>
    <cellStyle name="Comma 3 2 9 3" xfId="39293" xr:uid="{00000000-0005-0000-0000-00004F360000}"/>
    <cellStyle name="Comma 3 2 9 4" xfId="42274" xr:uid="{00000000-0005-0000-0000-000050360000}"/>
    <cellStyle name="Comma 3 2 9 5" xfId="45199" xr:uid="{00000000-0005-0000-0000-000051360000}"/>
    <cellStyle name="Comma 3 20" xfId="41397" xr:uid="{00000000-0005-0000-0000-000052360000}"/>
    <cellStyle name="Comma 3 21" xfId="45200" xr:uid="{00000000-0005-0000-0000-000053360000}"/>
    <cellStyle name="Comma 3 22" xfId="6564" xr:uid="{00000000-0005-0000-0000-000054360000}"/>
    <cellStyle name="Comma 3 3" xfId="2795" xr:uid="{00000000-0005-0000-0000-000055360000}"/>
    <cellStyle name="Comma 3 3 10" xfId="45201" xr:uid="{00000000-0005-0000-0000-000056360000}"/>
    <cellStyle name="Comma 3 3 11" xfId="8379" xr:uid="{00000000-0005-0000-0000-000057360000}"/>
    <cellStyle name="Comma 3 3 2" xfId="5106" xr:uid="{00000000-0005-0000-0000-000058360000}"/>
    <cellStyle name="Comma 3 3 2 10" xfId="33925" xr:uid="{00000000-0005-0000-0000-000059360000}"/>
    <cellStyle name="Comma 3 3 2 11" xfId="34239" xr:uid="{00000000-0005-0000-0000-00005A360000}"/>
    <cellStyle name="Comma 3 3 2 12" xfId="36061" xr:uid="{00000000-0005-0000-0000-00005B360000}"/>
    <cellStyle name="Comma 3 3 2 13" xfId="36361" xr:uid="{00000000-0005-0000-0000-00005C360000}"/>
    <cellStyle name="Comma 3 3 2 14" xfId="37526" xr:uid="{00000000-0005-0000-0000-00005D360000}"/>
    <cellStyle name="Comma 3 3 2 15" xfId="41472" xr:uid="{00000000-0005-0000-0000-00005E360000}"/>
    <cellStyle name="Comma 3 3 2 16" xfId="45202" xr:uid="{00000000-0005-0000-0000-00005F360000}"/>
    <cellStyle name="Comma 3 3 2 17" xfId="8205" xr:uid="{00000000-0005-0000-0000-000060360000}"/>
    <cellStyle name="Comma 3 3 2 2" xfId="6075" xr:uid="{00000000-0005-0000-0000-000061360000}"/>
    <cellStyle name="Comma 3 3 2 2 10" xfId="34555" xr:uid="{00000000-0005-0000-0000-000062360000}"/>
    <cellStyle name="Comma 3 3 2 2 11" xfId="36719" xr:uid="{00000000-0005-0000-0000-000063360000}"/>
    <cellStyle name="Comma 3 3 2 2 12" xfId="38840" xr:uid="{00000000-0005-0000-0000-000064360000}"/>
    <cellStyle name="Comma 3 3 2 2 13" xfId="41879" xr:uid="{00000000-0005-0000-0000-000065360000}"/>
    <cellStyle name="Comma 3 3 2 2 14" xfId="45203" xr:uid="{00000000-0005-0000-0000-000066360000}"/>
    <cellStyle name="Comma 3 3 2 2 15" xfId="8888" xr:uid="{00000000-0005-0000-0000-000067360000}"/>
    <cellStyle name="Comma 3 3 2 2 2" xfId="12887" xr:uid="{00000000-0005-0000-0000-000068360000}"/>
    <cellStyle name="Comma 3 3 2 2 2 2" xfId="31469" xr:uid="{00000000-0005-0000-0000-000069360000}"/>
    <cellStyle name="Comma 3 3 2 2 2 3" xfId="33322" xr:uid="{00000000-0005-0000-0000-00006A360000}"/>
    <cellStyle name="Comma 3 3 2 2 2 4" xfId="35146" xr:uid="{00000000-0005-0000-0000-00006B360000}"/>
    <cellStyle name="Comma 3 3 2 2 2 5" xfId="37244" xr:uid="{00000000-0005-0000-0000-00006C360000}"/>
    <cellStyle name="Comma 3 3 2 2 2 6" xfId="40389" xr:uid="{00000000-0005-0000-0000-00006D360000}"/>
    <cellStyle name="Comma 3 3 2 2 2 7" xfId="43207" xr:uid="{00000000-0005-0000-0000-00006E360000}"/>
    <cellStyle name="Comma 3 3 2 2 2 8" xfId="45204" xr:uid="{00000000-0005-0000-0000-00006F360000}"/>
    <cellStyle name="Comma 3 3 2 2 3" xfId="12104" xr:uid="{00000000-0005-0000-0000-000070360000}"/>
    <cellStyle name="Comma 3 3 2 2 4" xfId="15751" xr:uid="{00000000-0005-0000-0000-000071360000}"/>
    <cellStyle name="Comma 3 3 2 2 5" xfId="30249" xr:uid="{00000000-0005-0000-0000-000072360000}"/>
    <cellStyle name="Comma 3 3 2 2 6" xfId="30878" xr:uid="{00000000-0005-0000-0000-000073360000}"/>
    <cellStyle name="Comma 3 3 2 2 7" xfId="32072" xr:uid="{00000000-0005-0000-0000-000074360000}"/>
    <cellStyle name="Comma 3 3 2 2 8" xfId="32714" xr:uid="{00000000-0005-0000-0000-000075360000}"/>
    <cellStyle name="Comma 3 3 2 2 9" xfId="33926" xr:uid="{00000000-0005-0000-0000-000076360000}"/>
    <cellStyle name="Comma 3 3 2 3" xfId="6395" xr:uid="{00000000-0005-0000-0000-000077360000}"/>
    <cellStyle name="Comma 3 3 2 3 2" xfId="31153" xr:uid="{00000000-0005-0000-0000-000078360000}"/>
    <cellStyle name="Comma 3 3 2 3 2 2" xfId="40628" xr:uid="{00000000-0005-0000-0000-000079360000}"/>
    <cellStyle name="Comma 3 3 2 3 2 3" xfId="43414" xr:uid="{00000000-0005-0000-0000-00007A360000}"/>
    <cellStyle name="Comma 3 3 2 3 2 4" xfId="45205" xr:uid="{00000000-0005-0000-0000-00007B360000}"/>
    <cellStyle name="Comma 3 3 2 3 3" xfId="33011" xr:uid="{00000000-0005-0000-0000-00007C360000}"/>
    <cellStyle name="Comma 3 3 2 3 4" xfId="34830" xr:uid="{00000000-0005-0000-0000-00007D360000}"/>
    <cellStyle name="Comma 3 3 2 3 5" xfId="36932" xr:uid="{00000000-0005-0000-0000-00007E360000}"/>
    <cellStyle name="Comma 3 3 2 3 6" xfId="39060" xr:uid="{00000000-0005-0000-0000-00007F360000}"/>
    <cellStyle name="Comma 3 3 2 3 7" xfId="42086" xr:uid="{00000000-0005-0000-0000-000080360000}"/>
    <cellStyle name="Comma 3 3 2 3 8" xfId="45206" xr:uid="{00000000-0005-0000-0000-000081360000}"/>
    <cellStyle name="Comma 3 3 2 3 9" xfId="12445" xr:uid="{00000000-0005-0000-0000-000082360000}"/>
    <cellStyle name="Comma 3 3 2 4" xfId="11788" xr:uid="{00000000-0005-0000-0000-000083360000}"/>
    <cellStyle name="Comma 3 3 2 4 2" xfId="41245" xr:uid="{00000000-0005-0000-0000-000084360000}"/>
    <cellStyle name="Comma 3 3 2 4 2 2" xfId="43925" xr:uid="{00000000-0005-0000-0000-000085360000}"/>
    <cellStyle name="Comma 3 3 2 4 2 3" xfId="45207" xr:uid="{00000000-0005-0000-0000-000086360000}"/>
    <cellStyle name="Comma 3 3 2 4 3" xfId="39662" xr:uid="{00000000-0005-0000-0000-000087360000}"/>
    <cellStyle name="Comma 3 3 2 4 4" xfId="42597" xr:uid="{00000000-0005-0000-0000-000088360000}"/>
    <cellStyle name="Comma 3 3 2 4 5" xfId="45208" xr:uid="{00000000-0005-0000-0000-000089360000}"/>
    <cellStyle name="Comma 3 3 2 5" xfId="15750" xr:uid="{00000000-0005-0000-0000-00008A360000}"/>
    <cellStyle name="Comma 3 3 2 5 2" xfId="39901" xr:uid="{00000000-0005-0000-0000-00008B360000}"/>
    <cellStyle name="Comma 3 3 2 5 3" xfId="42800" xr:uid="{00000000-0005-0000-0000-00008C360000}"/>
    <cellStyle name="Comma 3 3 2 5 4" xfId="45209" xr:uid="{00000000-0005-0000-0000-00008D360000}"/>
    <cellStyle name="Comma 3 3 2 6" xfId="30248" xr:uid="{00000000-0005-0000-0000-00008E360000}"/>
    <cellStyle name="Comma 3 3 2 7" xfId="30562" xr:uid="{00000000-0005-0000-0000-00008F360000}"/>
    <cellStyle name="Comma 3 3 2 8" xfId="32071" xr:uid="{00000000-0005-0000-0000-000090360000}"/>
    <cellStyle name="Comma 3 3 2 9" xfId="32713" xr:uid="{00000000-0005-0000-0000-000091360000}"/>
    <cellStyle name="Comma 3 3 3" xfId="4447" xr:uid="{00000000-0005-0000-0000-000092360000}"/>
    <cellStyle name="Comma 3 3 3 10" xfId="34648" xr:uid="{00000000-0005-0000-0000-000093360000}"/>
    <cellStyle name="Comma 3 3 3 11" xfId="35630" xr:uid="{00000000-0005-0000-0000-000094360000}"/>
    <cellStyle name="Comma 3 3 3 12" xfId="36776" xr:uid="{00000000-0005-0000-0000-000095360000}"/>
    <cellStyle name="Comma 3 3 3 13" xfId="38699" xr:uid="{00000000-0005-0000-0000-000096360000}"/>
    <cellStyle name="Comma 3 3 3 14" xfId="41739" xr:uid="{00000000-0005-0000-0000-000097360000}"/>
    <cellStyle name="Comma 3 3 3 15" xfId="45210" xr:uid="{00000000-0005-0000-0000-000098360000}"/>
    <cellStyle name="Comma 3 3 3 16" xfId="11534" xr:uid="{00000000-0005-0000-0000-000099360000}"/>
    <cellStyle name="Comma 3 3 3 2" xfId="5898" xr:uid="{00000000-0005-0000-0000-00009A360000}"/>
    <cellStyle name="Comma 3 3 3 2 2" xfId="31562" xr:uid="{00000000-0005-0000-0000-00009B360000}"/>
    <cellStyle name="Comma 3 3 3 2 2 2" xfId="40756" xr:uid="{00000000-0005-0000-0000-00009C360000}"/>
    <cellStyle name="Comma 3 3 3 2 2 3" xfId="43519" xr:uid="{00000000-0005-0000-0000-00009D360000}"/>
    <cellStyle name="Comma 3 3 3 2 2 4" xfId="45211" xr:uid="{00000000-0005-0000-0000-00009E360000}"/>
    <cellStyle name="Comma 3 3 3 2 3" xfId="33415" xr:uid="{00000000-0005-0000-0000-00009F360000}"/>
    <cellStyle name="Comma 3 3 3 2 4" xfId="35239" xr:uid="{00000000-0005-0000-0000-0000A0360000}"/>
    <cellStyle name="Comma 3 3 3 2 5" xfId="37319" xr:uid="{00000000-0005-0000-0000-0000A1360000}"/>
    <cellStyle name="Comma 3 3 3 2 6" xfId="39183" xr:uid="{00000000-0005-0000-0000-0000A2360000}"/>
    <cellStyle name="Comma 3 3 3 2 7" xfId="42191" xr:uid="{00000000-0005-0000-0000-0000A3360000}"/>
    <cellStyle name="Comma 3 3 3 2 8" xfId="45212" xr:uid="{00000000-0005-0000-0000-0000A4360000}"/>
    <cellStyle name="Comma 3 3 3 2 9" xfId="15155" xr:uid="{00000000-0005-0000-0000-0000A5360000}"/>
    <cellStyle name="Comma 3 3 3 3" xfId="12197" xr:uid="{00000000-0005-0000-0000-0000A6360000}"/>
    <cellStyle name="Comma 3 3 3 3 2" xfId="41073" xr:uid="{00000000-0005-0000-0000-0000A7360000}"/>
    <cellStyle name="Comma 3 3 3 3 2 2" xfId="43785" xr:uid="{00000000-0005-0000-0000-0000A8360000}"/>
    <cellStyle name="Comma 3 3 3 3 2 3" xfId="45213" xr:uid="{00000000-0005-0000-0000-0000A9360000}"/>
    <cellStyle name="Comma 3 3 3 3 3" xfId="39497" xr:uid="{00000000-0005-0000-0000-0000AA360000}"/>
    <cellStyle name="Comma 3 3 3 3 4" xfId="42457" xr:uid="{00000000-0005-0000-0000-0000AB360000}"/>
    <cellStyle name="Comma 3 3 3 3 5" xfId="45214" xr:uid="{00000000-0005-0000-0000-0000AC360000}"/>
    <cellStyle name="Comma 3 3 3 4" xfId="15752" xr:uid="{00000000-0005-0000-0000-0000AD360000}"/>
    <cellStyle name="Comma 3 3 3 4 2" xfId="40218" xr:uid="{00000000-0005-0000-0000-0000AE360000}"/>
    <cellStyle name="Comma 3 3 3 4 3" xfId="43067" xr:uid="{00000000-0005-0000-0000-0000AF360000}"/>
    <cellStyle name="Comma 3 3 3 4 4" xfId="45215" xr:uid="{00000000-0005-0000-0000-0000B0360000}"/>
    <cellStyle name="Comma 3 3 3 5" xfId="30250" xr:uid="{00000000-0005-0000-0000-0000B1360000}"/>
    <cellStyle name="Comma 3 3 3 6" xfId="30971" xr:uid="{00000000-0005-0000-0000-0000B2360000}"/>
    <cellStyle name="Comma 3 3 3 7" xfId="32073" xr:uid="{00000000-0005-0000-0000-0000B3360000}"/>
    <cellStyle name="Comma 3 3 3 8" xfId="32715" xr:uid="{00000000-0005-0000-0000-0000B4360000}"/>
    <cellStyle name="Comma 3 3 3 9" xfId="33927" xr:uid="{00000000-0005-0000-0000-0000B5360000}"/>
    <cellStyle name="Comma 3 3 4" xfId="5760" xr:uid="{00000000-0005-0000-0000-0000B6360000}"/>
    <cellStyle name="Comma 3 3 4 2" xfId="40083" xr:uid="{00000000-0005-0000-0000-0000B7360000}"/>
    <cellStyle name="Comma 3 3 4 2 2" xfId="42952" xr:uid="{00000000-0005-0000-0000-0000B8360000}"/>
    <cellStyle name="Comma 3 3 4 2 3" xfId="45216" xr:uid="{00000000-0005-0000-0000-0000B9360000}"/>
    <cellStyle name="Comma 3 3 4 3" xfId="38127" xr:uid="{00000000-0005-0000-0000-0000BA360000}"/>
    <cellStyle name="Comma 3 3 4 4" xfId="41624" xr:uid="{00000000-0005-0000-0000-0000BB360000}"/>
    <cellStyle name="Comma 3 3 4 5" xfId="45217" xr:uid="{00000000-0005-0000-0000-0000BC360000}"/>
    <cellStyle name="Comma 3 3 4 6" xfId="35357" xr:uid="{00000000-0005-0000-0000-0000BD360000}"/>
    <cellStyle name="Comma 3 3 5" xfId="6219" xr:uid="{00000000-0005-0000-0000-0000BE360000}"/>
    <cellStyle name="Comma 3 3 5 2" xfId="40512" xr:uid="{00000000-0005-0000-0000-0000BF360000}"/>
    <cellStyle name="Comma 3 3 5 2 2" xfId="43313" xr:uid="{00000000-0005-0000-0000-0000C0360000}"/>
    <cellStyle name="Comma 3 3 5 2 3" xfId="45218" xr:uid="{00000000-0005-0000-0000-0000C1360000}"/>
    <cellStyle name="Comma 3 3 5 3" xfId="38954" xr:uid="{00000000-0005-0000-0000-0000C2360000}"/>
    <cellStyle name="Comma 3 3 5 4" xfId="41985" xr:uid="{00000000-0005-0000-0000-0000C3360000}"/>
    <cellStyle name="Comma 3 3 5 5" xfId="45219" xr:uid="{00000000-0005-0000-0000-0000C4360000}"/>
    <cellStyle name="Comma 3 3 5 6" xfId="36220" xr:uid="{00000000-0005-0000-0000-0000C5360000}"/>
    <cellStyle name="Comma 3 3 6" xfId="39364" xr:uid="{00000000-0005-0000-0000-0000C6360000}"/>
    <cellStyle name="Comma 3 3 6 2" xfId="40935" xr:uid="{00000000-0005-0000-0000-0000C7360000}"/>
    <cellStyle name="Comma 3 3 6 2 2" xfId="43670" xr:uid="{00000000-0005-0000-0000-0000C8360000}"/>
    <cellStyle name="Comma 3 3 6 2 3" xfId="45220" xr:uid="{00000000-0005-0000-0000-0000C9360000}"/>
    <cellStyle name="Comma 3 3 6 3" xfId="42342" xr:uid="{00000000-0005-0000-0000-0000CA360000}"/>
    <cellStyle name="Comma 3 3 6 4" xfId="45221" xr:uid="{00000000-0005-0000-0000-0000CB360000}"/>
    <cellStyle name="Comma 3 3 7" xfId="39819" xr:uid="{00000000-0005-0000-0000-0000CC360000}"/>
    <cellStyle name="Comma 3 3 7 2" xfId="42727" xr:uid="{00000000-0005-0000-0000-0000CD360000}"/>
    <cellStyle name="Comma 3 3 7 3" xfId="45222" xr:uid="{00000000-0005-0000-0000-0000CE360000}"/>
    <cellStyle name="Comma 3 3 8" xfId="37452" xr:uid="{00000000-0005-0000-0000-0000CF360000}"/>
    <cellStyle name="Comma 3 3 9" xfId="41399" xr:uid="{00000000-0005-0000-0000-0000D0360000}"/>
    <cellStyle name="Comma 3 4" xfId="5102" xr:uid="{00000000-0005-0000-0000-0000D1360000}"/>
    <cellStyle name="Comma 3 4 10" xfId="33928" xr:uid="{00000000-0005-0000-0000-0000D2360000}"/>
    <cellStyle name="Comma 3 4 11" xfId="34276" xr:uid="{00000000-0005-0000-0000-0000D3360000}"/>
    <cellStyle name="Comma 3 4 12" xfId="36057" xr:uid="{00000000-0005-0000-0000-0000D4360000}"/>
    <cellStyle name="Comma 3 4 13" xfId="36357" xr:uid="{00000000-0005-0000-0000-0000D5360000}"/>
    <cellStyle name="Comma 3 4 14" xfId="37524" xr:uid="{00000000-0005-0000-0000-0000D6360000}"/>
    <cellStyle name="Comma 3 4 15" xfId="41470" xr:uid="{00000000-0005-0000-0000-0000D7360000}"/>
    <cellStyle name="Comma 3 4 16" xfId="45223" xr:uid="{00000000-0005-0000-0000-0000D8360000}"/>
    <cellStyle name="Comma 3 4 17" xfId="8439" xr:uid="{00000000-0005-0000-0000-0000D9360000}"/>
    <cellStyle name="Comma 3 4 2" xfId="6071" xr:uid="{00000000-0005-0000-0000-0000DA360000}"/>
    <cellStyle name="Comma 3 4 2 10" xfId="34556" xr:uid="{00000000-0005-0000-0000-0000DB360000}"/>
    <cellStyle name="Comma 3 4 2 11" xfId="36720" xr:uid="{00000000-0005-0000-0000-0000DC360000}"/>
    <cellStyle name="Comma 3 4 2 12" xfId="38836" xr:uid="{00000000-0005-0000-0000-0000DD360000}"/>
    <cellStyle name="Comma 3 4 2 13" xfId="41875" xr:uid="{00000000-0005-0000-0000-0000DE360000}"/>
    <cellStyle name="Comma 3 4 2 14" xfId="45224" xr:uid="{00000000-0005-0000-0000-0000DF360000}"/>
    <cellStyle name="Comma 3 4 2 15" xfId="8889" xr:uid="{00000000-0005-0000-0000-0000E0360000}"/>
    <cellStyle name="Comma 3 4 2 2" xfId="12888" xr:uid="{00000000-0005-0000-0000-0000E1360000}"/>
    <cellStyle name="Comma 3 4 2 2 2" xfId="31470" xr:uid="{00000000-0005-0000-0000-0000E2360000}"/>
    <cellStyle name="Comma 3 4 2 2 3" xfId="33323" xr:uid="{00000000-0005-0000-0000-0000E3360000}"/>
    <cellStyle name="Comma 3 4 2 2 4" xfId="35147" xr:uid="{00000000-0005-0000-0000-0000E4360000}"/>
    <cellStyle name="Comma 3 4 2 2 5" xfId="37245" xr:uid="{00000000-0005-0000-0000-0000E5360000}"/>
    <cellStyle name="Comma 3 4 2 2 6" xfId="40385" xr:uid="{00000000-0005-0000-0000-0000E6360000}"/>
    <cellStyle name="Comma 3 4 2 2 7" xfId="43203" xr:uid="{00000000-0005-0000-0000-0000E7360000}"/>
    <cellStyle name="Comma 3 4 2 2 8" xfId="45225" xr:uid="{00000000-0005-0000-0000-0000E8360000}"/>
    <cellStyle name="Comma 3 4 2 3" xfId="12105" xr:uid="{00000000-0005-0000-0000-0000E9360000}"/>
    <cellStyle name="Comma 3 4 2 4" xfId="15754" xr:uid="{00000000-0005-0000-0000-0000EA360000}"/>
    <cellStyle name="Comma 3 4 2 5" xfId="30252" xr:uid="{00000000-0005-0000-0000-0000EB360000}"/>
    <cellStyle name="Comma 3 4 2 6" xfId="30879" xr:uid="{00000000-0005-0000-0000-0000EC360000}"/>
    <cellStyle name="Comma 3 4 2 7" xfId="32075" xr:uid="{00000000-0005-0000-0000-0000ED360000}"/>
    <cellStyle name="Comma 3 4 2 8" xfId="32717" xr:uid="{00000000-0005-0000-0000-0000EE360000}"/>
    <cellStyle name="Comma 3 4 2 9" xfId="33929" xr:uid="{00000000-0005-0000-0000-0000EF360000}"/>
    <cellStyle name="Comma 3 4 3" xfId="6391" xr:uid="{00000000-0005-0000-0000-0000F0360000}"/>
    <cellStyle name="Comma 3 4 3 2" xfId="31190" xr:uid="{00000000-0005-0000-0000-0000F1360000}"/>
    <cellStyle name="Comma 3 4 3 2 2" xfId="40624" xr:uid="{00000000-0005-0000-0000-0000F2360000}"/>
    <cellStyle name="Comma 3 4 3 2 3" xfId="43410" xr:uid="{00000000-0005-0000-0000-0000F3360000}"/>
    <cellStyle name="Comma 3 4 3 2 4" xfId="45226" xr:uid="{00000000-0005-0000-0000-0000F4360000}"/>
    <cellStyle name="Comma 3 4 3 3" xfId="33048" xr:uid="{00000000-0005-0000-0000-0000F5360000}"/>
    <cellStyle name="Comma 3 4 3 4" xfId="34867" xr:uid="{00000000-0005-0000-0000-0000F6360000}"/>
    <cellStyle name="Comma 3 4 3 5" xfId="36969" xr:uid="{00000000-0005-0000-0000-0000F7360000}"/>
    <cellStyle name="Comma 3 4 3 6" xfId="39056" xr:uid="{00000000-0005-0000-0000-0000F8360000}"/>
    <cellStyle name="Comma 3 4 3 7" xfId="42082" xr:uid="{00000000-0005-0000-0000-0000F9360000}"/>
    <cellStyle name="Comma 3 4 3 8" xfId="45227" xr:uid="{00000000-0005-0000-0000-0000FA360000}"/>
    <cellStyle name="Comma 3 4 3 9" xfId="12547" xr:uid="{00000000-0005-0000-0000-0000FB360000}"/>
    <cellStyle name="Comma 3 4 4" xfId="11825" xr:uid="{00000000-0005-0000-0000-0000FC360000}"/>
    <cellStyle name="Comma 3 4 4 2" xfId="41241" xr:uid="{00000000-0005-0000-0000-0000FD360000}"/>
    <cellStyle name="Comma 3 4 4 2 2" xfId="43921" xr:uid="{00000000-0005-0000-0000-0000FE360000}"/>
    <cellStyle name="Comma 3 4 4 2 3" xfId="45228" xr:uid="{00000000-0005-0000-0000-0000FF360000}"/>
    <cellStyle name="Comma 3 4 4 3" xfId="39658" xr:uid="{00000000-0005-0000-0000-000000370000}"/>
    <cellStyle name="Comma 3 4 4 4" xfId="42593" xr:uid="{00000000-0005-0000-0000-000001370000}"/>
    <cellStyle name="Comma 3 4 4 5" xfId="45229" xr:uid="{00000000-0005-0000-0000-000002370000}"/>
    <cellStyle name="Comma 3 4 5" xfId="15753" xr:uid="{00000000-0005-0000-0000-000003370000}"/>
    <cellStyle name="Comma 3 4 5 2" xfId="39899" xr:uid="{00000000-0005-0000-0000-000004370000}"/>
    <cellStyle name="Comma 3 4 5 3" xfId="42798" xr:uid="{00000000-0005-0000-0000-000005370000}"/>
    <cellStyle name="Comma 3 4 5 4" xfId="45230" xr:uid="{00000000-0005-0000-0000-000006370000}"/>
    <cellStyle name="Comma 3 4 6" xfId="30251" xr:uid="{00000000-0005-0000-0000-000007370000}"/>
    <cellStyle name="Comma 3 4 7" xfId="30599" xr:uid="{00000000-0005-0000-0000-000008370000}"/>
    <cellStyle name="Comma 3 4 8" xfId="32074" xr:uid="{00000000-0005-0000-0000-000009370000}"/>
    <cellStyle name="Comma 3 4 9" xfId="32716" xr:uid="{00000000-0005-0000-0000-00000A370000}"/>
    <cellStyle name="Comma 3 5" xfId="4443" xr:uid="{00000000-0005-0000-0000-00000B370000}"/>
    <cellStyle name="Comma 3 5 10" xfId="33930" xr:uid="{00000000-0005-0000-0000-00000C370000}"/>
    <cellStyle name="Comma 3 5 11" xfId="34218" xr:uid="{00000000-0005-0000-0000-00000D370000}"/>
    <cellStyle name="Comma 3 5 12" xfId="35626" xr:uid="{00000000-0005-0000-0000-00000E370000}"/>
    <cellStyle name="Comma 3 5 13" xfId="36445" xr:uid="{00000000-0005-0000-0000-00000F370000}"/>
    <cellStyle name="Comma 3 5 14" xfId="38695" xr:uid="{00000000-0005-0000-0000-000010370000}"/>
    <cellStyle name="Comma 3 5 15" xfId="41735" xr:uid="{00000000-0005-0000-0000-000011370000}"/>
    <cellStyle name="Comma 3 5 16" xfId="45231" xr:uid="{00000000-0005-0000-0000-000012370000}"/>
    <cellStyle name="Comma 3 5 17" xfId="8109" xr:uid="{00000000-0005-0000-0000-000013370000}"/>
    <cellStyle name="Comma 3 5 2" xfId="5894" xr:uid="{00000000-0005-0000-0000-000014370000}"/>
    <cellStyle name="Comma 3 5 2 10" xfId="34557" xr:uid="{00000000-0005-0000-0000-000015370000}"/>
    <cellStyle name="Comma 3 5 2 11" xfId="36721" xr:uid="{00000000-0005-0000-0000-000016370000}"/>
    <cellStyle name="Comma 3 5 2 12" xfId="39181" xr:uid="{00000000-0005-0000-0000-000017370000}"/>
    <cellStyle name="Comma 3 5 2 13" xfId="42189" xr:uid="{00000000-0005-0000-0000-000018370000}"/>
    <cellStyle name="Comma 3 5 2 14" xfId="45232" xr:uid="{00000000-0005-0000-0000-000019370000}"/>
    <cellStyle name="Comma 3 5 2 15" xfId="8890" xr:uid="{00000000-0005-0000-0000-00001A370000}"/>
    <cellStyle name="Comma 3 5 2 2" xfId="12889" xr:uid="{00000000-0005-0000-0000-00001B370000}"/>
    <cellStyle name="Comma 3 5 2 2 2" xfId="31471" xr:uid="{00000000-0005-0000-0000-00001C370000}"/>
    <cellStyle name="Comma 3 5 2 2 3" xfId="33324" xr:uid="{00000000-0005-0000-0000-00001D370000}"/>
    <cellStyle name="Comma 3 5 2 2 4" xfId="35148" xr:uid="{00000000-0005-0000-0000-00001E370000}"/>
    <cellStyle name="Comma 3 5 2 2 5" xfId="37246" xr:uid="{00000000-0005-0000-0000-00001F370000}"/>
    <cellStyle name="Comma 3 5 2 2 6" xfId="40754" xr:uid="{00000000-0005-0000-0000-000020370000}"/>
    <cellStyle name="Comma 3 5 2 2 7" xfId="43517" xr:uid="{00000000-0005-0000-0000-000021370000}"/>
    <cellStyle name="Comma 3 5 2 2 8" xfId="45233" xr:uid="{00000000-0005-0000-0000-000022370000}"/>
    <cellStyle name="Comma 3 5 2 3" xfId="12106" xr:uid="{00000000-0005-0000-0000-000023370000}"/>
    <cellStyle name="Comma 3 5 2 4" xfId="15756" xr:uid="{00000000-0005-0000-0000-000024370000}"/>
    <cellStyle name="Comma 3 5 2 5" xfId="30254" xr:uid="{00000000-0005-0000-0000-000025370000}"/>
    <cellStyle name="Comma 3 5 2 6" xfId="30880" xr:uid="{00000000-0005-0000-0000-000026370000}"/>
    <cellStyle name="Comma 3 5 2 7" xfId="32077" xr:uid="{00000000-0005-0000-0000-000027370000}"/>
    <cellStyle name="Comma 3 5 2 8" xfId="32719" xr:uid="{00000000-0005-0000-0000-000028370000}"/>
    <cellStyle name="Comma 3 5 2 9" xfId="33931" xr:uid="{00000000-0005-0000-0000-000029370000}"/>
    <cellStyle name="Comma 3 5 3" xfId="12421" xr:uid="{00000000-0005-0000-0000-00002A370000}"/>
    <cellStyle name="Comma 3 5 3 2" xfId="31132" xr:uid="{00000000-0005-0000-0000-00002B370000}"/>
    <cellStyle name="Comma 3 5 3 2 2" xfId="41069" xr:uid="{00000000-0005-0000-0000-00002C370000}"/>
    <cellStyle name="Comma 3 5 3 2 3" xfId="43781" xr:uid="{00000000-0005-0000-0000-00002D370000}"/>
    <cellStyle name="Comma 3 5 3 2 4" xfId="45234" xr:uid="{00000000-0005-0000-0000-00002E370000}"/>
    <cellStyle name="Comma 3 5 3 3" xfId="32994" xr:uid="{00000000-0005-0000-0000-00002F370000}"/>
    <cellStyle name="Comma 3 5 3 4" xfId="34809" xr:uid="{00000000-0005-0000-0000-000030370000}"/>
    <cellStyle name="Comma 3 5 3 5" xfId="36915" xr:uid="{00000000-0005-0000-0000-000031370000}"/>
    <cellStyle name="Comma 3 5 3 6" xfId="39493" xr:uid="{00000000-0005-0000-0000-000032370000}"/>
    <cellStyle name="Comma 3 5 3 7" xfId="42453" xr:uid="{00000000-0005-0000-0000-000033370000}"/>
    <cellStyle name="Comma 3 5 3 8" xfId="45235" xr:uid="{00000000-0005-0000-0000-000034370000}"/>
    <cellStyle name="Comma 3 5 4" xfId="11767" xr:uid="{00000000-0005-0000-0000-000035370000}"/>
    <cellStyle name="Comma 3 5 4 2" xfId="40214" xr:uid="{00000000-0005-0000-0000-000036370000}"/>
    <cellStyle name="Comma 3 5 4 3" xfId="43063" xr:uid="{00000000-0005-0000-0000-000037370000}"/>
    <cellStyle name="Comma 3 5 4 4" xfId="45236" xr:uid="{00000000-0005-0000-0000-000038370000}"/>
    <cellStyle name="Comma 3 5 5" xfId="15755" xr:uid="{00000000-0005-0000-0000-000039370000}"/>
    <cellStyle name="Comma 3 5 6" xfId="30253" xr:uid="{00000000-0005-0000-0000-00003A370000}"/>
    <cellStyle name="Comma 3 5 7" xfId="30541" xr:uid="{00000000-0005-0000-0000-00003B370000}"/>
    <cellStyle name="Comma 3 5 8" xfId="32076" xr:uid="{00000000-0005-0000-0000-00003C370000}"/>
    <cellStyle name="Comma 3 5 9" xfId="32718" xr:uid="{00000000-0005-0000-0000-00003D370000}"/>
    <cellStyle name="Comma 3 6" xfId="5756" xr:uid="{00000000-0005-0000-0000-00003E370000}"/>
    <cellStyle name="Comma 3 6 10" xfId="34558" xr:uid="{00000000-0005-0000-0000-00003F370000}"/>
    <cellStyle name="Comma 3 6 11" xfId="36722" xr:uid="{00000000-0005-0000-0000-000040370000}"/>
    <cellStyle name="Comma 3 6 12" xfId="38123" xr:uid="{00000000-0005-0000-0000-000041370000}"/>
    <cellStyle name="Comma 3 6 13" xfId="41620" xr:uid="{00000000-0005-0000-0000-000042370000}"/>
    <cellStyle name="Comma 3 6 14" xfId="45237" xr:uid="{00000000-0005-0000-0000-000043370000}"/>
    <cellStyle name="Comma 3 6 15" xfId="8891" xr:uid="{00000000-0005-0000-0000-000044370000}"/>
    <cellStyle name="Comma 3 6 2" xfId="12890" xr:uid="{00000000-0005-0000-0000-000045370000}"/>
    <cellStyle name="Comma 3 6 2 2" xfId="31472" xr:uid="{00000000-0005-0000-0000-000046370000}"/>
    <cellStyle name="Comma 3 6 2 3" xfId="33325" xr:uid="{00000000-0005-0000-0000-000047370000}"/>
    <cellStyle name="Comma 3 6 2 4" xfId="35149" xr:uid="{00000000-0005-0000-0000-000048370000}"/>
    <cellStyle name="Comma 3 6 2 5" xfId="37247" xr:uid="{00000000-0005-0000-0000-000049370000}"/>
    <cellStyle name="Comma 3 6 2 6" xfId="40079" xr:uid="{00000000-0005-0000-0000-00004A370000}"/>
    <cellStyle name="Comma 3 6 2 7" xfId="42948" xr:uid="{00000000-0005-0000-0000-00004B370000}"/>
    <cellStyle name="Comma 3 6 2 8" xfId="45238" xr:uid="{00000000-0005-0000-0000-00004C370000}"/>
    <cellStyle name="Comma 3 6 3" xfId="12107" xr:uid="{00000000-0005-0000-0000-00004D370000}"/>
    <cellStyle name="Comma 3 6 4" xfId="15757" xr:uid="{00000000-0005-0000-0000-00004E370000}"/>
    <cellStyle name="Comma 3 6 5" xfId="30255" xr:uid="{00000000-0005-0000-0000-00004F370000}"/>
    <cellStyle name="Comma 3 6 6" xfId="30881" xr:uid="{00000000-0005-0000-0000-000050370000}"/>
    <cellStyle name="Comma 3 6 7" xfId="32078" xr:uid="{00000000-0005-0000-0000-000051370000}"/>
    <cellStyle name="Comma 3 6 8" xfId="32720" xr:uid="{00000000-0005-0000-0000-000052370000}"/>
    <cellStyle name="Comma 3 6 9" xfId="33932" xr:uid="{00000000-0005-0000-0000-000053370000}"/>
    <cellStyle name="Comma 3 7" xfId="6215" xr:uid="{00000000-0005-0000-0000-000054370000}"/>
    <cellStyle name="Comma 3 7 10" xfId="34646" xr:uid="{00000000-0005-0000-0000-000055370000}"/>
    <cellStyle name="Comma 3 7 11" xfId="36774" xr:uid="{00000000-0005-0000-0000-000056370000}"/>
    <cellStyle name="Comma 3 7 12" xfId="38952" xr:uid="{00000000-0005-0000-0000-000057370000}"/>
    <cellStyle name="Comma 3 7 13" xfId="41983" xr:uid="{00000000-0005-0000-0000-000058370000}"/>
    <cellStyle name="Comma 3 7 14" xfId="45239" xr:uid="{00000000-0005-0000-0000-000059370000}"/>
    <cellStyle name="Comma 3 7 15" xfId="11532" xr:uid="{00000000-0005-0000-0000-00005A370000}"/>
    <cellStyle name="Comma 3 7 2" xfId="15153" xr:uid="{00000000-0005-0000-0000-00005B370000}"/>
    <cellStyle name="Comma 3 7 2 2" xfId="31560" xr:uid="{00000000-0005-0000-0000-00005C370000}"/>
    <cellStyle name="Comma 3 7 2 3" xfId="33413" xr:uid="{00000000-0005-0000-0000-00005D370000}"/>
    <cellStyle name="Comma 3 7 2 4" xfId="35237" xr:uid="{00000000-0005-0000-0000-00005E370000}"/>
    <cellStyle name="Comma 3 7 2 5" xfId="37317" xr:uid="{00000000-0005-0000-0000-00005F370000}"/>
    <cellStyle name="Comma 3 7 2 6" xfId="40510" xr:uid="{00000000-0005-0000-0000-000060370000}"/>
    <cellStyle name="Comma 3 7 2 7" xfId="43311" xr:uid="{00000000-0005-0000-0000-000061370000}"/>
    <cellStyle name="Comma 3 7 2 8" xfId="45240" xr:uid="{00000000-0005-0000-0000-000062370000}"/>
    <cellStyle name="Comma 3 7 3" xfId="12195" xr:uid="{00000000-0005-0000-0000-000063370000}"/>
    <cellStyle name="Comma 3 7 4" xfId="15758" xr:uid="{00000000-0005-0000-0000-000064370000}"/>
    <cellStyle name="Comma 3 7 5" xfId="30256" xr:uid="{00000000-0005-0000-0000-000065370000}"/>
    <cellStyle name="Comma 3 7 6" xfId="30969" xr:uid="{00000000-0005-0000-0000-000066370000}"/>
    <cellStyle name="Comma 3 7 7" xfId="32079" xr:uid="{00000000-0005-0000-0000-000067370000}"/>
    <cellStyle name="Comma 3 7 8" xfId="32721" xr:uid="{00000000-0005-0000-0000-000068370000}"/>
    <cellStyle name="Comma 3 7 9" xfId="33933" xr:uid="{00000000-0005-0000-0000-000069370000}"/>
    <cellStyle name="Comma 3 8" xfId="12266" xr:uid="{00000000-0005-0000-0000-00006A370000}"/>
    <cellStyle name="Comma 3 8 2" xfId="31039" xr:uid="{00000000-0005-0000-0000-00006B370000}"/>
    <cellStyle name="Comma 3 8 2 2" xfId="40931" xr:uid="{00000000-0005-0000-0000-00006C370000}"/>
    <cellStyle name="Comma 3 8 2 3" xfId="43666" xr:uid="{00000000-0005-0000-0000-00006D370000}"/>
    <cellStyle name="Comma 3 8 2 4" xfId="45241" xr:uid="{00000000-0005-0000-0000-00006E370000}"/>
    <cellStyle name="Comma 3 8 3" xfId="32908" xr:uid="{00000000-0005-0000-0000-00006F370000}"/>
    <cellStyle name="Comma 3 8 4" xfId="34716" xr:uid="{00000000-0005-0000-0000-000070370000}"/>
    <cellStyle name="Comma 3 8 5" xfId="36824" xr:uid="{00000000-0005-0000-0000-000071370000}"/>
    <cellStyle name="Comma 3 8 6" xfId="39360" xr:uid="{00000000-0005-0000-0000-000072370000}"/>
    <cellStyle name="Comma 3 8 7" xfId="42338" xr:uid="{00000000-0005-0000-0000-000073370000}"/>
    <cellStyle name="Comma 3 8 8" xfId="45242" xr:uid="{00000000-0005-0000-0000-000074370000}"/>
    <cellStyle name="Comma 3 9" xfId="11672" xr:uid="{00000000-0005-0000-0000-000075370000}"/>
    <cellStyle name="Comma 3 9 2" xfId="39817" xr:uid="{00000000-0005-0000-0000-000076370000}"/>
    <cellStyle name="Comma 3 9 3" xfId="42725" xr:uid="{00000000-0005-0000-0000-000077370000}"/>
    <cellStyle name="Comma 3 9 4" xfId="45243" xr:uid="{00000000-0005-0000-0000-000078370000}"/>
    <cellStyle name="Comma 4" xfId="2796" xr:uid="{00000000-0005-0000-0000-000079370000}"/>
    <cellStyle name="Comma 4 10" xfId="15759" xr:uid="{00000000-0005-0000-0000-00007A370000}"/>
    <cellStyle name="Comma 4 11" xfId="30257" xr:uid="{00000000-0005-0000-0000-00007B370000}"/>
    <cellStyle name="Comma 4 12" xfId="30449" xr:uid="{00000000-0005-0000-0000-00007C370000}"/>
    <cellStyle name="Comma 4 13" xfId="32080" xr:uid="{00000000-0005-0000-0000-00007D370000}"/>
    <cellStyle name="Comma 4 14" xfId="32722" xr:uid="{00000000-0005-0000-0000-00007E370000}"/>
    <cellStyle name="Comma 4 15" xfId="33934" xr:uid="{00000000-0005-0000-0000-00007F370000}"/>
    <cellStyle name="Comma 4 16" xfId="34126" xr:uid="{00000000-0005-0000-0000-000080370000}"/>
    <cellStyle name="Comma 4 17" xfId="35358" xr:uid="{00000000-0005-0000-0000-000081370000}"/>
    <cellStyle name="Comma 4 18" xfId="36221" xr:uid="{00000000-0005-0000-0000-000082370000}"/>
    <cellStyle name="Comma 4 19" xfId="37394" xr:uid="{00000000-0005-0000-0000-000083370000}"/>
    <cellStyle name="Comma 4 2" xfId="1033" xr:uid="{00000000-0005-0000-0000-000084370000}"/>
    <cellStyle name="Comma 4 2 10" xfId="32081" xr:uid="{00000000-0005-0000-0000-000085370000}"/>
    <cellStyle name="Comma 4 2 11" xfId="32723" xr:uid="{00000000-0005-0000-0000-000086370000}"/>
    <cellStyle name="Comma 4 2 12" xfId="33935" xr:uid="{00000000-0005-0000-0000-000087370000}"/>
    <cellStyle name="Comma 4 2 13" xfId="34164" xr:uid="{00000000-0005-0000-0000-000088370000}"/>
    <cellStyle name="Comma 4 2 14" xfId="35287" xr:uid="{00000000-0005-0000-0000-000089370000}"/>
    <cellStyle name="Comma 4 2 15" xfId="36222" xr:uid="{00000000-0005-0000-0000-00008A370000}"/>
    <cellStyle name="Comma 4 2 16" xfId="37454" xr:uid="{00000000-0005-0000-0000-00008B370000}"/>
    <cellStyle name="Comma 4 2 17" xfId="41401" xr:uid="{00000000-0005-0000-0000-00008C370000}"/>
    <cellStyle name="Comma 4 2 18" xfId="45244" xr:uid="{00000000-0005-0000-0000-00008D370000}"/>
    <cellStyle name="Comma 4 2 19" xfId="6677" xr:uid="{00000000-0005-0000-0000-00008E370000}"/>
    <cellStyle name="Comma 4 2 2" xfId="2797" xr:uid="{00000000-0005-0000-0000-00008F370000}"/>
    <cellStyle name="Comma 4 2 2 10" xfId="33936" xr:uid="{00000000-0005-0000-0000-000090370000}"/>
    <cellStyle name="Comma 4 2 2 11" xfId="34316" xr:uid="{00000000-0005-0000-0000-000091370000}"/>
    <cellStyle name="Comma 4 2 2 12" xfId="35359" xr:uid="{00000000-0005-0000-0000-000092370000}"/>
    <cellStyle name="Comma 4 2 2 13" xfId="36363" xr:uid="{00000000-0005-0000-0000-000093370000}"/>
    <cellStyle name="Comma 4 2 2 14" xfId="37528" xr:uid="{00000000-0005-0000-0000-000094370000}"/>
    <cellStyle name="Comma 4 2 2 15" xfId="41474" xr:uid="{00000000-0005-0000-0000-000095370000}"/>
    <cellStyle name="Comma 4 2 2 16" xfId="45245" xr:uid="{00000000-0005-0000-0000-000096370000}"/>
    <cellStyle name="Comma 4 2 2 17" xfId="8553" xr:uid="{00000000-0005-0000-0000-000097370000}"/>
    <cellStyle name="Comma 4 2 2 2" xfId="5108" xr:uid="{00000000-0005-0000-0000-000098370000}"/>
    <cellStyle name="Comma 4 2 2 2 10" xfId="34561" xr:uid="{00000000-0005-0000-0000-000099370000}"/>
    <cellStyle name="Comma 4 2 2 2 11" xfId="36063" xr:uid="{00000000-0005-0000-0000-00009A370000}"/>
    <cellStyle name="Comma 4 2 2 2 12" xfId="36724" xr:uid="{00000000-0005-0000-0000-00009B370000}"/>
    <cellStyle name="Comma 4 2 2 2 13" xfId="38842" xr:uid="{00000000-0005-0000-0000-00009C370000}"/>
    <cellStyle name="Comma 4 2 2 2 14" xfId="41881" xr:uid="{00000000-0005-0000-0000-00009D370000}"/>
    <cellStyle name="Comma 4 2 2 2 15" xfId="45246" xr:uid="{00000000-0005-0000-0000-00009E370000}"/>
    <cellStyle name="Comma 4 2 2 2 16" xfId="8894" xr:uid="{00000000-0005-0000-0000-00009F370000}"/>
    <cellStyle name="Comma 4 2 2 2 2" xfId="6077" xr:uid="{00000000-0005-0000-0000-0000A0370000}"/>
    <cellStyle name="Comma 4 2 2 2 2 2" xfId="31475" xr:uid="{00000000-0005-0000-0000-0000A1370000}"/>
    <cellStyle name="Comma 4 2 2 2 2 2 2" xfId="41247" xr:uid="{00000000-0005-0000-0000-0000A2370000}"/>
    <cellStyle name="Comma 4 2 2 2 2 2 3" xfId="43927" xr:uid="{00000000-0005-0000-0000-0000A3370000}"/>
    <cellStyle name="Comma 4 2 2 2 2 2 4" xfId="45247" xr:uid="{00000000-0005-0000-0000-0000A4370000}"/>
    <cellStyle name="Comma 4 2 2 2 2 3" xfId="33328" xr:uid="{00000000-0005-0000-0000-0000A5370000}"/>
    <cellStyle name="Comma 4 2 2 2 2 4" xfId="35152" xr:uid="{00000000-0005-0000-0000-0000A6370000}"/>
    <cellStyle name="Comma 4 2 2 2 2 5" xfId="37250" xr:uid="{00000000-0005-0000-0000-0000A7370000}"/>
    <cellStyle name="Comma 4 2 2 2 2 6" xfId="39664" xr:uid="{00000000-0005-0000-0000-0000A8370000}"/>
    <cellStyle name="Comma 4 2 2 2 2 7" xfId="42599" xr:uid="{00000000-0005-0000-0000-0000A9370000}"/>
    <cellStyle name="Comma 4 2 2 2 2 8" xfId="45248" xr:uid="{00000000-0005-0000-0000-0000AA370000}"/>
    <cellStyle name="Comma 4 2 2 2 2 9" xfId="12893" xr:uid="{00000000-0005-0000-0000-0000AB370000}"/>
    <cellStyle name="Comma 4 2 2 2 3" xfId="12110" xr:uid="{00000000-0005-0000-0000-0000AC370000}"/>
    <cellStyle name="Comma 4 2 2 2 3 2" xfId="40391" xr:uid="{00000000-0005-0000-0000-0000AD370000}"/>
    <cellStyle name="Comma 4 2 2 2 3 3" xfId="43209" xr:uid="{00000000-0005-0000-0000-0000AE370000}"/>
    <cellStyle name="Comma 4 2 2 2 3 4" xfId="45249" xr:uid="{00000000-0005-0000-0000-0000AF370000}"/>
    <cellStyle name="Comma 4 2 2 2 4" xfId="15762" xr:uid="{00000000-0005-0000-0000-0000B0370000}"/>
    <cellStyle name="Comma 4 2 2 2 5" xfId="30260" xr:uid="{00000000-0005-0000-0000-0000B1370000}"/>
    <cellStyle name="Comma 4 2 2 2 6" xfId="30884" xr:uid="{00000000-0005-0000-0000-0000B2370000}"/>
    <cellStyle name="Comma 4 2 2 2 7" xfId="32083" xr:uid="{00000000-0005-0000-0000-0000B3370000}"/>
    <cellStyle name="Comma 4 2 2 2 8" xfId="32725" xr:uid="{00000000-0005-0000-0000-0000B4370000}"/>
    <cellStyle name="Comma 4 2 2 2 9" xfId="33937" xr:uid="{00000000-0005-0000-0000-0000B5370000}"/>
    <cellStyle name="Comma 4 2 2 3" xfId="5762" xr:uid="{00000000-0005-0000-0000-0000B6370000}"/>
    <cellStyle name="Comma 4 2 2 3 2" xfId="31230" xr:uid="{00000000-0005-0000-0000-0000B7370000}"/>
    <cellStyle name="Comma 4 2 2 3 2 2" xfId="40085" xr:uid="{00000000-0005-0000-0000-0000B8370000}"/>
    <cellStyle name="Comma 4 2 2 3 2 3" xfId="42954" xr:uid="{00000000-0005-0000-0000-0000B9370000}"/>
    <cellStyle name="Comma 4 2 2 3 2 4" xfId="45250" xr:uid="{00000000-0005-0000-0000-0000BA370000}"/>
    <cellStyle name="Comma 4 2 2 3 3" xfId="33086" xr:uid="{00000000-0005-0000-0000-0000BB370000}"/>
    <cellStyle name="Comma 4 2 2 3 4" xfId="34907" xr:uid="{00000000-0005-0000-0000-0000BC370000}"/>
    <cellStyle name="Comma 4 2 2 3 5" xfId="37007" xr:uid="{00000000-0005-0000-0000-0000BD370000}"/>
    <cellStyle name="Comma 4 2 2 3 6" xfId="38129" xr:uid="{00000000-0005-0000-0000-0000BE370000}"/>
    <cellStyle name="Comma 4 2 2 3 7" xfId="41626" xr:uid="{00000000-0005-0000-0000-0000BF370000}"/>
    <cellStyle name="Comma 4 2 2 3 8" xfId="45251" xr:uid="{00000000-0005-0000-0000-0000C0370000}"/>
    <cellStyle name="Comma 4 2 2 3 9" xfId="12588" xr:uid="{00000000-0005-0000-0000-0000C1370000}"/>
    <cellStyle name="Comma 4 2 2 4" xfId="6397" xr:uid="{00000000-0005-0000-0000-0000C2370000}"/>
    <cellStyle name="Comma 4 2 2 4 2" xfId="40630" xr:uid="{00000000-0005-0000-0000-0000C3370000}"/>
    <cellStyle name="Comma 4 2 2 4 2 2" xfId="43416" xr:uid="{00000000-0005-0000-0000-0000C4370000}"/>
    <cellStyle name="Comma 4 2 2 4 2 3" xfId="45252" xr:uid="{00000000-0005-0000-0000-0000C5370000}"/>
    <cellStyle name="Comma 4 2 2 4 3" xfId="39062" xr:uid="{00000000-0005-0000-0000-0000C6370000}"/>
    <cellStyle name="Comma 4 2 2 4 4" xfId="42088" xr:uid="{00000000-0005-0000-0000-0000C7370000}"/>
    <cellStyle name="Comma 4 2 2 4 5" xfId="45253" xr:uid="{00000000-0005-0000-0000-0000C8370000}"/>
    <cellStyle name="Comma 4 2 2 4 6" xfId="11865" xr:uid="{00000000-0005-0000-0000-0000C9370000}"/>
    <cellStyle name="Comma 4 2 2 5" xfId="15761" xr:uid="{00000000-0005-0000-0000-0000CA370000}"/>
    <cellStyle name="Comma 4 2 2 5 2" xfId="40937" xr:uid="{00000000-0005-0000-0000-0000CB370000}"/>
    <cellStyle name="Comma 4 2 2 5 2 2" xfId="43672" xr:uid="{00000000-0005-0000-0000-0000CC370000}"/>
    <cellStyle name="Comma 4 2 2 5 2 3" xfId="45254" xr:uid="{00000000-0005-0000-0000-0000CD370000}"/>
    <cellStyle name="Comma 4 2 2 5 3" xfId="39366" xr:uid="{00000000-0005-0000-0000-0000CE370000}"/>
    <cellStyle name="Comma 4 2 2 5 4" xfId="42344" xr:uid="{00000000-0005-0000-0000-0000CF370000}"/>
    <cellStyle name="Comma 4 2 2 5 5" xfId="45255" xr:uid="{00000000-0005-0000-0000-0000D0370000}"/>
    <cellStyle name="Comma 4 2 2 6" xfId="30259" xr:uid="{00000000-0005-0000-0000-0000D1370000}"/>
    <cellStyle name="Comma 4 2 2 6 2" xfId="39903" xr:uid="{00000000-0005-0000-0000-0000D2370000}"/>
    <cellStyle name="Comma 4 2 2 6 3" xfId="42802" xr:uid="{00000000-0005-0000-0000-0000D3370000}"/>
    <cellStyle name="Comma 4 2 2 6 4" xfId="45256" xr:uid="{00000000-0005-0000-0000-0000D4370000}"/>
    <cellStyle name="Comma 4 2 2 7" xfId="30639" xr:uid="{00000000-0005-0000-0000-0000D5370000}"/>
    <cellStyle name="Comma 4 2 2 8" xfId="32082" xr:uid="{00000000-0005-0000-0000-0000D6370000}"/>
    <cellStyle name="Comma 4 2 2 9" xfId="32724" xr:uid="{00000000-0005-0000-0000-0000D7370000}"/>
    <cellStyle name="Comma 4 2 3" xfId="4546" xr:uid="{00000000-0005-0000-0000-0000D8370000}"/>
    <cellStyle name="Comma 4 2 3 10" xfId="34560" xr:uid="{00000000-0005-0000-0000-0000D9370000}"/>
    <cellStyle name="Comma 4 2 3 11" xfId="35707" xr:uid="{00000000-0005-0000-0000-0000DA370000}"/>
    <cellStyle name="Comma 4 2 3 12" xfId="36294" xr:uid="{00000000-0005-0000-0000-0000DB370000}"/>
    <cellStyle name="Comma 4 2 3 13" xfId="38772" xr:uid="{00000000-0005-0000-0000-0000DC370000}"/>
    <cellStyle name="Comma 4 2 3 14" xfId="41812" xr:uid="{00000000-0005-0000-0000-0000DD370000}"/>
    <cellStyle name="Comma 4 2 3 15" xfId="45257" xr:uid="{00000000-0005-0000-0000-0000DE370000}"/>
    <cellStyle name="Comma 4 2 3 16" xfId="8893" xr:uid="{00000000-0005-0000-0000-0000DF370000}"/>
    <cellStyle name="Comma 4 2 3 2" xfId="5995" xr:uid="{00000000-0005-0000-0000-0000E0370000}"/>
    <cellStyle name="Comma 4 2 3 2 2" xfId="31474" xr:uid="{00000000-0005-0000-0000-0000E1370000}"/>
    <cellStyle name="Comma 4 2 3 2 2 2" xfId="40553" xr:uid="{00000000-0005-0000-0000-0000E2370000}"/>
    <cellStyle name="Comma 4 2 3 2 2 3" xfId="43347" xr:uid="{00000000-0005-0000-0000-0000E3370000}"/>
    <cellStyle name="Comma 4 2 3 2 2 4" xfId="45258" xr:uid="{00000000-0005-0000-0000-0000E4370000}"/>
    <cellStyle name="Comma 4 2 3 2 3" xfId="33327" xr:uid="{00000000-0005-0000-0000-0000E5370000}"/>
    <cellStyle name="Comma 4 2 3 2 4" xfId="35151" xr:uid="{00000000-0005-0000-0000-0000E6370000}"/>
    <cellStyle name="Comma 4 2 3 2 5" xfId="37249" xr:uid="{00000000-0005-0000-0000-0000E7370000}"/>
    <cellStyle name="Comma 4 2 3 2 6" xfId="38990" xr:uid="{00000000-0005-0000-0000-0000E8370000}"/>
    <cellStyle name="Comma 4 2 3 2 7" xfId="42019" xr:uid="{00000000-0005-0000-0000-0000E9370000}"/>
    <cellStyle name="Comma 4 2 3 2 8" xfId="45259" xr:uid="{00000000-0005-0000-0000-0000EA370000}"/>
    <cellStyle name="Comma 4 2 3 2 9" xfId="12892" xr:uid="{00000000-0005-0000-0000-0000EB370000}"/>
    <cellStyle name="Comma 4 2 3 3" xfId="6316" xr:uid="{00000000-0005-0000-0000-0000EC370000}"/>
    <cellStyle name="Comma 4 2 3 3 2" xfId="41168" xr:uid="{00000000-0005-0000-0000-0000ED370000}"/>
    <cellStyle name="Comma 4 2 3 3 2 2" xfId="43858" xr:uid="{00000000-0005-0000-0000-0000EE370000}"/>
    <cellStyle name="Comma 4 2 3 3 2 3" xfId="45260" xr:uid="{00000000-0005-0000-0000-0000EF370000}"/>
    <cellStyle name="Comma 4 2 3 3 3" xfId="39587" xr:uid="{00000000-0005-0000-0000-0000F0370000}"/>
    <cellStyle name="Comma 4 2 3 3 4" xfId="42530" xr:uid="{00000000-0005-0000-0000-0000F1370000}"/>
    <cellStyle name="Comma 4 2 3 3 5" xfId="45261" xr:uid="{00000000-0005-0000-0000-0000F2370000}"/>
    <cellStyle name="Comma 4 2 3 3 6" xfId="12109" xr:uid="{00000000-0005-0000-0000-0000F3370000}"/>
    <cellStyle name="Comma 4 2 3 4" xfId="15763" xr:uid="{00000000-0005-0000-0000-0000F4370000}"/>
    <cellStyle name="Comma 4 2 3 4 2" xfId="40313" xr:uid="{00000000-0005-0000-0000-0000F5370000}"/>
    <cellStyle name="Comma 4 2 3 4 3" xfId="43140" xr:uid="{00000000-0005-0000-0000-0000F6370000}"/>
    <cellStyle name="Comma 4 2 3 4 4" xfId="45262" xr:uid="{00000000-0005-0000-0000-0000F7370000}"/>
    <cellStyle name="Comma 4 2 3 5" xfId="30261" xr:uid="{00000000-0005-0000-0000-0000F8370000}"/>
    <cellStyle name="Comma 4 2 3 6" xfId="30883" xr:uid="{00000000-0005-0000-0000-0000F9370000}"/>
    <cellStyle name="Comma 4 2 3 7" xfId="32084" xr:uid="{00000000-0005-0000-0000-0000FA370000}"/>
    <cellStyle name="Comma 4 2 3 8" xfId="32726" xr:uid="{00000000-0005-0000-0000-0000FB370000}"/>
    <cellStyle name="Comma 4 2 3 9" xfId="33938" xr:uid="{00000000-0005-0000-0000-0000FC370000}"/>
    <cellStyle name="Comma 4 2 4" xfId="4449" xr:uid="{00000000-0005-0000-0000-0000FD370000}"/>
    <cellStyle name="Comma 4 2 4 10" xfId="34650" xr:uid="{00000000-0005-0000-0000-0000FE370000}"/>
    <cellStyle name="Comma 4 2 4 11" xfId="35632" xr:uid="{00000000-0005-0000-0000-0000FF370000}"/>
    <cellStyle name="Comma 4 2 4 12" xfId="36778" xr:uid="{00000000-0005-0000-0000-000000380000}"/>
    <cellStyle name="Comma 4 2 4 13" xfId="38701" xr:uid="{00000000-0005-0000-0000-000001380000}"/>
    <cellStyle name="Comma 4 2 4 14" xfId="41741" xr:uid="{00000000-0005-0000-0000-000002380000}"/>
    <cellStyle name="Comma 4 2 4 15" xfId="45263" xr:uid="{00000000-0005-0000-0000-000003380000}"/>
    <cellStyle name="Comma 4 2 4 16" xfId="11536" xr:uid="{00000000-0005-0000-0000-000004380000}"/>
    <cellStyle name="Comma 4 2 4 2" xfId="5900" xr:uid="{00000000-0005-0000-0000-000005380000}"/>
    <cellStyle name="Comma 4 2 4 2 2" xfId="31564" xr:uid="{00000000-0005-0000-0000-000006380000}"/>
    <cellStyle name="Comma 4 2 4 2 2 2" xfId="40758" xr:uid="{00000000-0005-0000-0000-000007380000}"/>
    <cellStyle name="Comma 4 2 4 2 2 3" xfId="43521" xr:uid="{00000000-0005-0000-0000-000008380000}"/>
    <cellStyle name="Comma 4 2 4 2 2 4" xfId="45264" xr:uid="{00000000-0005-0000-0000-000009380000}"/>
    <cellStyle name="Comma 4 2 4 2 3" xfId="33417" xr:uid="{00000000-0005-0000-0000-00000A380000}"/>
    <cellStyle name="Comma 4 2 4 2 4" xfId="35241" xr:uid="{00000000-0005-0000-0000-00000B380000}"/>
    <cellStyle name="Comma 4 2 4 2 5" xfId="37321" xr:uid="{00000000-0005-0000-0000-00000C380000}"/>
    <cellStyle name="Comma 4 2 4 2 6" xfId="39185" xr:uid="{00000000-0005-0000-0000-00000D380000}"/>
    <cellStyle name="Comma 4 2 4 2 7" xfId="42193" xr:uid="{00000000-0005-0000-0000-00000E380000}"/>
    <cellStyle name="Comma 4 2 4 2 8" xfId="45265" xr:uid="{00000000-0005-0000-0000-00000F380000}"/>
    <cellStyle name="Comma 4 2 4 2 9" xfId="15157" xr:uid="{00000000-0005-0000-0000-000010380000}"/>
    <cellStyle name="Comma 4 2 4 3" xfId="12199" xr:uid="{00000000-0005-0000-0000-000011380000}"/>
    <cellStyle name="Comma 4 2 4 3 2" xfId="41075" xr:uid="{00000000-0005-0000-0000-000012380000}"/>
    <cellStyle name="Comma 4 2 4 3 2 2" xfId="43787" xr:uid="{00000000-0005-0000-0000-000013380000}"/>
    <cellStyle name="Comma 4 2 4 3 2 3" xfId="45266" xr:uid="{00000000-0005-0000-0000-000014380000}"/>
    <cellStyle name="Comma 4 2 4 3 3" xfId="39499" xr:uid="{00000000-0005-0000-0000-000015380000}"/>
    <cellStyle name="Comma 4 2 4 3 4" xfId="42459" xr:uid="{00000000-0005-0000-0000-000016380000}"/>
    <cellStyle name="Comma 4 2 4 3 5" xfId="45267" xr:uid="{00000000-0005-0000-0000-000017380000}"/>
    <cellStyle name="Comma 4 2 4 4" xfId="15764" xr:uid="{00000000-0005-0000-0000-000018380000}"/>
    <cellStyle name="Comma 4 2 4 4 2" xfId="40220" xr:uid="{00000000-0005-0000-0000-000019380000}"/>
    <cellStyle name="Comma 4 2 4 4 3" xfId="43069" xr:uid="{00000000-0005-0000-0000-00001A380000}"/>
    <cellStyle name="Comma 4 2 4 4 4" xfId="45268" xr:uid="{00000000-0005-0000-0000-00001B380000}"/>
    <cellStyle name="Comma 4 2 4 5" xfId="30262" xr:uid="{00000000-0005-0000-0000-00001C380000}"/>
    <cellStyle name="Comma 4 2 4 6" xfId="30973" xr:uid="{00000000-0005-0000-0000-00001D380000}"/>
    <cellStyle name="Comma 4 2 4 7" xfId="32085" xr:uid="{00000000-0005-0000-0000-00001E380000}"/>
    <cellStyle name="Comma 4 2 4 8" xfId="32727" xr:uid="{00000000-0005-0000-0000-00001F380000}"/>
    <cellStyle name="Comma 4 2 4 9" xfId="33939" xr:uid="{00000000-0005-0000-0000-000020380000}"/>
    <cellStyle name="Comma 4 2 5" xfId="5674" xr:uid="{00000000-0005-0000-0000-000021380000}"/>
    <cellStyle name="Comma 4 2 5 10" xfId="37617" xr:uid="{00000000-0005-0000-0000-000022380000}"/>
    <cellStyle name="Comma 4 2 5 11" xfId="41557" xr:uid="{00000000-0005-0000-0000-000023380000}"/>
    <cellStyle name="Comma 4 2 5 12" xfId="45269" xr:uid="{00000000-0005-0000-0000-000024380000}"/>
    <cellStyle name="Comma 4 2 5 13" xfId="12305" xr:uid="{00000000-0005-0000-0000-000025380000}"/>
    <cellStyle name="Comma 4 2 5 2" xfId="15765" xr:uid="{00000000-0005-0000-0000-000026380000}"/>
    <cellStyle name="Comma 4 2 5 2 2" xfId="40008" xr:uid="{00000000-0005-0000-0000-000027380000}"/>
    <cellStyle name="Comma 4 2 5 2 3" xfId="42885" xr:uid="{00000000-0005-0000-0000-000028380000}"/>
    <cellStyle name="Comma 4 2 5 2 4" xfId="45270" xr:uid="{00000000-0005-0000-0000-000029380000}"/>
    <cellStyle name="Comma 4 2 5 3" xfId="30263" xr:uid="{00000000-0005-0000-0000-00002A380000}"/>
    <cellStyle name="Comma 4 2 5 4" xfId="31078" xr:uid="{00000000-0005-0000-0000-00002B380000}"/>
    <cellStyle name="Comma 4 2 5 5" xfId="32086" xr:uid="{00000000-0005-0000-0000-00002C380000}"/>
    <cellStyle name="Comma 4 2 5 6" xfId="32728" xr:uid="{00000000-0005-0000-0000-00002D380000}"/>
    <cellStyle name="Comma 4 2 5 7" xfId="33940" xr:uid="{00000000-0005-0000-0000-00002E380000}"/>
    <cellStyle name="Comma 4 2 5 8" xfId="34755" xr:uid="{00000000-0005-0000-0000-00002F380000}"/>
    <cellStyle name="Comma 4 2 5 9" xfId="36863" xr:uid="{00000000-0005-0000-0000-000030380000}"/>
    <cellStyle name="Comma 4 2 6" xfId="6221" xr:uid="{00000000-0005-0000-0000-000031380000}"/>
    <cellStyle name="Comma 4 2 6 2" xfId="40514" xr:uid="{00000000-0005-0000-0000-000032380000}"/>
    <cellStyle name="Comma 4 2 6 2 2" xfId="43315" xr:uid="{00000000-0005-0000-0000-000033380000}"/>
    <cellStyle name="Comma 4 2 6 2 3" xfId="45271" xr:uid="{00000000-0005-0000-0000-000034380000}"/>
    <cellStyle name="Comma 4 2 6 3" xfId="38956" xr:uid="{00000000-0005-0000-0000-000035380000}"/>
    <cellStyle name="Comma 4 2 6 4" xfId="41987" xr:uid="{00000000-0005-0000-0000-000036380000}"/>
    <cellStyle name="Comma 4 2 6 5" xfId="45272" xr:uid="{00000000-0005-0000-0000-000037380000}"/>
    <cellStyle name="Comma 4 2 6 6" xfId="11712" xr:uid="{00000000-0005-0000-0000-000038380000}"/>
    <cellStyle name="Comma 4 2 7" xfId="15760" xr:uid="{00000000-0005-0000-0000-000039380000}"/>
    <cellStyle name="Comma 4 2 7 2" xfId="40859" xr:uid="{00000000-0005-0000-0000-00003A380000}"/>
    <cellStyle name="Comma 4 2 7 2 2" xfId="43603" xr:uid="{00000000-0005-0000-0000-00003B380000}"/>
    <cellStyle name="Comma 4 2 7 2 3" xfId="45273" xr:uid="{00000000-0005-0000-0000-00003C380000}"/>
    <cellStyle name="Comma 4 2 7 3" xfId="39294" xr:uid="{00000000-0005-0000-0000-00003D380000}"/>
    <cellStyle name="Comma 4 2 7 4" xfId="42275" xr:uid="{00000000-0005-0000-0000-00003E380000}"/>
    <cellStyle name="Comma 4 2 7 5" xfId="45274" xr:uid="{00000000-0005-0000-0000-00003F380000}"/>
    <cellStyle name="Comma 4 2 8" xfId="30258" xr:uid="{00000000-0005-0000-0000-000040380000}"/>
    <cellStyle name="Comma 4 2 8 2" xfId="39821" xr:uid="{00000000-0005-0000-0000-000041380000}"/>
    <cellStyle name="Comma 4 2 8 3" xfId="42729" xr:uid="{00000000-0005-0000-0000-000042380000}"/>
    <cellStyle name="Comma 4 2 8 4" xfId="45275" xr:uid="{00000000-0005-0000-0000-000043380000}"/>
    <cellStyle name="Comma 4 2 9" xfId="30487" xr:uid="{00000000-0005-0000-0000-000044380000}"/>
    <cellStyle name="Comma 4 20" xfId="41342" xr:uid="{00000000-0005-0000-0000-000045380000}"/>
    <cellStyle name="Comma 4 21" xfId="45276" xr:uid="{00000000-0005-0000-0000-000046380000}"/>
    <cellStyle name="Comma 4 22" xfId="6565" xr:uid="{00000000-0005-0000-0000-000047380000}"/>
    <cellStyle name="Comma 4 3" xfId="2798" xr:uid="{00000000-0005-0000-0000-000048380000}"/>
    <cellStyle name="Comma 4 3 10" xfId="33941" xr:uid="{00000000-0005-0000-0000-000049380000}"/>
    <cellStyle name="Comma 4 3 11" xfId="34277" xr:uid="{00000000-0005-0000-0000-00004A380000}"/>
    <cellStyle name="Comma 4 3 12" xfId="35360" xr:uid="{00000000-0005-0000-0000-00004B380000}"/>
    <cellStyle name="Comma 4 3 13" xfId="36223" xr:uid="{00000000-0005-0000-0000-00004C380000}"/>
    <cellStyle name="Comma 4 3 14" xfId="37453" xr:uid="{00000000-0005-0000-0000-00004D380000}"/>
    <cellStyle name="Comma 4 3 15" xfId="41400" xr:uid="{00000000-0005-0000-0000-00004E380000}"/>
    <cellStyle name="Comma 4 3 16" xfId="45277" xr:uid="{00000000-0005-0000-0000-00004F380000}"/>
    <cellStyle name="Comma 4 3 17" xfId="8440" xr:uid="{00000000-0005-0000-0000-000050380000}"/>
    <cellStyle name="Comma 4 3 2" xfId="5109" xr:uid="{00000000-0005-0000-0000-000051380000}"/>
    <cellStyle name="Comma 4 3 2 10" xfId="34562" xr:uid="{00000000-0005-0000-0000-000052380000}"/>
    <cellStyle name="Comma 4 3 2 11" xfId="36064" xr:uid="{00000000-0005-0000-0000-000053380000}"/>
    <cellStyle name="Comma 4 3 2 12" xfId="36364" xr:uid="{00000000-0005-0000-0000-000054380000}"/>
    <cellStyle name="Comma 4 3 2 13" xfId="37575" xr:uid="{00000000-0005-0000-0000-000055380000}"/>
    <cellStyle name="Comma 4 3 2 14" xfId="41521" xr:uid="{00000000-0005-0000-0000-000056380000}"/>
    <cellStyle name="Comma 4 3 2 15" xfId="45278" xr:uid="{00000000-0005-0000-0000-000057380000}"/>
    <cellStyle name="Comma 4 3 2 16" xfId="8895" xr:uid="{00000000-0005-0000-0000-000058380000}"/>
    <cellStyle name="Comma 4 3 2 2" xfId="6078" xr:uid="{00000000-0005-0000-0000-000059380000}"/>
    <cellStyle name="Comma 4 3 2 2 2" xfId="31476" xr:uid="{00000000-0005-0000-0000-00005A380000}"/>
    <cellStyle name="Comma 4 3 2 2 2 2" xfId="40392" xr:uid="{00000000-0005-0000-0000-00005B380000}"/>
    <cellStyle name="Comma 4 3 2 2 2 3" xfId="43210" xr:uid="{00000000-0005-0000-0000-00005C380000}"/>
    <cellStyle name="Comma 4 3 2 2 2 4" xfId="45279" xr:uid="{00000000-0005-0000-0000-00005D380000}"/>
    <cellStyle name="Comma 4 3 2 2 3" xfId="33329" xr:uid="{00000000-0005-0000-0000-00005E380000}"/>
    <cellStyle name="Comma 4 3 2 2 4" xfId="35153" xr:uid="{00000000-0005-0000-0000-00005F380000}"/>
    <cellStyle name="Comma 4 3 2 2 5" xfId="37251" xr:uid="{00000000-0005-0000-0000-000060380000}"/>
    <cellStyle name="Comma 4 3 2 2 6" xfId="38843" xr:uid="{00000000-0005-0000-0000-000061380000}"/>
    <cellStyle name="Comma 4 3 2 2 7" xfId="41882" xr:uid="{00000000-0005-0000-0000-000062380000}"/>
    <cellStyle name="Comma 4 3 2 2 8" xfId="45280" xr:uid="{00000000-0005-0000-0000-000063380000}"/>
    <cellStyle name="Comma 4 3 2 2 9" xfId="12894" xr:uid="{00000000-0005-0000-0000-000064380000}"/>
    <cellStyle name="Comma 4 3 2 3" xfId="6398" xr:uid="{00000000-0005-0000-0000-000065380000}"/>
    <cellStyle name="Comma 4 3 2 3 2" xfId="40798" xr:uid="{00000000-0005-0000-0000-000066380000}"/>
    <cellStyle name="Comma 4 3 2 3 2 2" xfId="43553" xr:uid="{00000000-0005-0000-0000-000067380000}"/>
    <cellStyle name="Comma 4 3 2 3 2 3" xfId="45281" xr:uid="{00000000-0005-0000-0000-000068380000}"/>
    <cellStyle name="Comma 4 3 2 3 3" xfId="39235" xr:uid="{00000000-0005-0000-0000-000069380000}"/>
    <cellStyle name="Comma 4 3 2 3 4" xfId="42225" xr:uid="{00000000-0005-0000-0000-00006A380000}"/>
    <cellStyle name="Comma 4 3 2 3 5" xfId="45282" xr:uid="{00000000-0005-0000-0000-00006B380000}"/>
    <cellStyle name="Comma 4 3 2 3 6" xfId="12111" xr:uid="{00000000-0005-0000-0000-00006C380000}"/>
    <cellStyle name="Comma 4 3 2 4" xfId="15767" xr:uid="{00000000-0005-0000-0000-00006D380000}"/>
    <cellStyle name="Comma 4 3 2 4 2" xfId="41248" xr:uid="{00000000-0005-0000-0000-00006E380000}"/>
    <cellStyle name="Comma 4 3 2 4 2 2" xfId="43928" xr:uid="{00000000-0005-0000-0000-00006F380000}"/>
    <cellStyle name="Comma 4 3 2 4 2 3" xfId="45283" xr:uid="{00000000-0005-0000-0000-000070380000}"/>
    <cellStyle name="Comma 4 3 2 4 3" xfId="39665" xr:uid="{00000000-0005-0000-0000-000071380000}"/>
    <cellStyle name="Comma 4 3 2 4 4" xfId="42600" xr:uid="{00000000-0005-0000-0000-000072380000}"/>
    <cellStyle name="Comma 4 3 2 4 5" xfId="45284" xr:uid="{00000000-0005-0000-0000-000073380000}"/>
    <cellStyle name="Comma 4 3 2 5" xfId="30265" xr:uid="{00000000-0005-0000-0000-000074380000}"/>
    <cellStyle name="Comma 4 3 2 5 2" xfId="39961" xr:uid="{00000000-0005-0000-0000-000075380000}"/>
    <cellStyle name="Comma 4 3 2 5 3" xfId="42849" xr:uid="{00000000-0005-0000-0000-000076380000}"/>
    <cellStyle name="Comma 4 3 2 5 4" xfId="45285" xr:uid="{00000000-0005-0000-0000-000077380000}"/>
    <cellStyle name="Comma 4 3 2 6" xfId="30885" xr:uid="{00000000-0005-0000-0000-000078380000}"/>
    <cellStyle name="Comma 4 3 2 7" xfId="32088" xr:uid="{00000000-0005-0000-0000-000079380000}"/>
    <cellStyle name="Comma 4 3 2 8" xfId="32730" xr:uid="{00000000-0005-0000-0000-00007A380000}"/>
    <cellStyle name="Comma 4 3 2 9" xfId="33942" xr:uid="{00000000-0005-0000-0000-00007B380000}"/>
    <cellStyle name="Comma 4 3 3" xfId="4450" xr:uid="{00000000-0005-0000-0000-00007C380000}"/>
    <cellStyle name="Comma 4 3 3 10" xfId="12548" xr:uid="{00000000-0005-0000-0000-00007D380000}"/>
    <cellStyle name="Comma 4 3 3 2" xfId="5901" xr:uid="{00000000-0005-0000-0000-00007E380000}"/>
    <cellStyle name="Comma 4 3 3 2 2" xfId="41076" xr:uid="{00000000-0005-0000-0000-00007F380000}"/>
    <cellStyle name="Comma 4 3 3 2 2 2" xfId="43788" xr:uid="{00000000-0005-0000-0000-000080380000}"/>
    <cellStyle name="Comma 4 3 3 2 2 3" xfId="45286" xr:uid="{00000000-0005-0000-0000-000081380000}"/>
    <cellStyle name="Comma 4 3 3 2 3" xfId="39500" xr:uid="{00000000-0005-0000-0000-000082380000}"/>
    <cellStyle name="Comma 4 3 3 2 4" xfId="42460" xr:uid="{00000000-0005-0000-0000-000083380000}"/>
    <cellStyle name="Comma 4 3 3 2 5" xfId="45287" xr:uid="{00000000-0005-0000-0000-000084380000}"/>
    <cellStyle name="Comma 4 3 3 2 6" xfId="31191" xr:uid="{00000000-0005-0000-0000-000085380000}"/>
    <cellStyle name="Comma 4 3 3 3" xfId="33049" xr:uid="{00000000-0005-0000-0000-000086380000}"/>
    <cellStyle name="Comma 4 3 3 3 2" xfId="40221" xr:uid="{00000000-0005-0000-0000-000087380000}"/>
    <cellStyle name="Comma 4 3 3 3 3" xfId="43070" xr:uid="{00000000-0005-0000-0000-000088380000}"/>
    <cellStyle name="Comma 4 3 3 3 4" xfId="45288" xr:uid="{00000000-0005-0000-0000-000089380000}"/>
    <cellStyle name="Comma 4 3 3 4" xfId="34868" xr:uid="{00000000-0005-0000-0000-00008A380000}"/>
    <cellStyle name="Comma 4 3 3 5" xfId="35633" xr:uid="{00000000-0005-0000-0000-00008B380000}"/>
    <cellStyle name="Comma 4 3 3 6" xfId="36970" xr:uid="{00000000-0005-0000-0000-00008C380000}"/>
    <cellStyle name="Comma 4 3 3 7" xfId="38702" xr:uid="{00000000-0005-0000-0000-00008D380000}"/>
    <cellStyle name="Comma 4 3 3 8" xfId="41742" xr:uid="{00000000-0005-0000-0000-00008E380000}"/>
    <cellStyle name="Comma 4 3 3 9" xfId="45289" xr:uid="{00000000-0005-0000-0000-00008F380000}"/>
    <cellStyle name="Comma 4 3 4" xfId="5763" xr:uid="{00000000-0005-0000-0000-000090380000}"/>
    <cellStyle name="Comma 4 3 4 2" xfId="40086" xr:uid="{00000000-0005-0000-0000-000091380000}"/>
    <cellStyle name="Comma 4 3 4 2 2" xfId="42955" xr:uid="{00000000-0005-0000-0000-000092380000}"/>
    <cellStyle name="Comma 4 3 4 2 3" xfId="45290" xr:uid="{00000000-0005-0000-0000-000093380000}"/>
    <cellStyle name="Comma 4 3 4 3" xfId="38130" xr:uid="{00000000-0005-0000-0000-000094380000}"/>
    <cellStyle name="Comma 4 3 4 4" xfId="41627" xr:uid="{00000000-0005-0000-0000-000095380000}"/>
    <cellStyle name="Comma 4 3 4 5" xfId="45291" xr:uid="{00000000-0005-0000-0000-000096380000}"/>
    <cellStyle name="Comma 4 3 4 6" xfId="11826" xr:uid="{00000000-0005-0000-0000-000097380000}"/>
    <cellStyle name="Comma 4 3 5" xfId="6222" xr:uid="{00000000-0005-0000-0000-000098380000}"/>
    <cellStyle name="Comma 4 3 5 2" xfId="40631" xr:uid="{00000000-0005-0000-0000-000099380000}"/>
    <cellStyle name="Comma 4 3 5 2 2" xfId="43417" xr:uid="{00000000-0005-0000-0000-00009A380000}"/>
    <cellStyle name="Comma 4 3 5 2 3" xfId="45292" xr:uid="{00000000-0005-0000-0000-00009B380000}"/>
    <cellStyle name="Comma 4 3 5 3" xfId="39063" xr:uid="{00000000-0005-0000-0000-00009C380000}"/>
    <cellStyle name="Comma 4 3 5 4" xfId="42089" xr:uid="{00000000-0005-0000-0000-00009D380000}"/>
    <cellStyle name="Comma 4 3 5 5" xfId="45293" xr:uid="{00000000-0005-0000-0000-00009E380000}"/>
    <cellStyle name="Comma 4 3 5 6" xfId="15766" xr:uid="{00000000-0005-0000-0000-00009F380000}"/>
    <cellStyle name="Comma 4 3 6" xfId="30264" xr:uid="{00000000-0005-0000-0000-0000A0380000}"/>
    <cellStyle name="Comma 4 3 6 2" xfId="40938" xr:uid="{00000000-0005-0000-0000-0000A1380000}"/>
    <cellStyle name="Comma 4 3 6 2 2" xfId="43673" xr:uid="{00000000-0005-0000-0000-0000A2380000}"/>
    <cellStyle name="Comma 4 3 6 2 3" xfId="45294" xr:uid="{00000000-0005-0000-0000-0000A3380000}"/>
    <cellStyle name="Comma 4 3 6 3" xfId="39367" xr:uid="{00000000-0005-0000-0000-0000A4380000}"/>
    <cellStyle name="Comma 4 3 6 4" xfId="42345" xr:uid="{00000000-0005-0000-0000-0000A5380000}"/>
    <cellStyle name="Comma 4 3 6 5" xfId="45295" xr:uid="{00000000-0005-0000-0000-0000A6380000}"/>
    <cellStyle name="Comma 4 3 7" xfId="30600" xr:uid="{00000000-0005-0000-0000-0000A7380000}"/>
    <cellStyle name="Comma 4 3 7 2" xfId="39820" xr:uid="{00000000-0005-0000-0000-0000A8380000}"/>
    <cellStyle name="Comma 4 3 7 3" xfId="42728" xr:uid="{00000000-0005-0000-0000-0000A9380000}"/>
    <cellStyle name="Comma 4 3 7 4" xfId="45296" xr:uid="{00000000-0005-0000-0000-0000AA380000}"/>
    <cellStyle name="Comma 4 3 8" xfId="32087" xr:uid="{00000000-0005-0000-0000-0000AB380000}"/>
    <cellStyle name="Comma 4 3 9" xfId="32729" xr:uid="{00000000-0005-0000-0000-0000AC380000}"/>
    <cellStyle name="Comma 4 4" xfId="5107" xr:uid="{00000000-0005-0000-0000-0000AD380000}"/>
    <cellStyle name="Comma 4 4 10" xfId="33943" xr:uid="{00000000-0005-0000-0000-0000AE380000}"/>
    <cellStyle name="Comma 4 4 11" xfId="34219" xr:uid="{00000000-0005-0000-0000-0000AF380000}"/>
    <cellStyle name="Comma 4 4 12" xfId="36062" xr:uid="{00000000-0005-0000-0000-0000B0380000}"/>
    <cellStyle name="Comma 4 4 13" xfId="36362" xr:uid="{00000000-0005-0000-0000-0000B1380000}"/>
    <cellStyle name="Comma 4 4 14" xfId="37527" xr:uid="{00000000-0005-0000-0000-0000B2380000}"/>
    <cellStyle name="Comma 4 4 15" xfId="41473" xr:uid="{00000000-0005-0000-0000-0000B3380000}"/>
    <cellStyle name="Comma 4 4 16" xfId="45297" xr:uid="{00000000-0005-0000-0000-0000B4380000}"/>
    <cellStyle name="Comma 4 4 17" xfId="8110" xr:uid="{00000000-0005-0000-0000-0000B5380000}"/>
    <cellStyle name="Comma 4 4 2" xfId="6076" xr:uid="{00000000-0005-0000-0000-0000B6380000}"/>
    <cellStyle name="Comma 4 4 2 10" xfId="34563" xr:uid="{00000000-0005-0000-0000-0000B7380000}"/>
    <cellStyle name="Comma 4 4 2 11" xfId="36725" xr:uid="{00000000-0005-0000-0000-0000B8380000}"/>
    <cellStyle name="Comma 4 4 2 12" xfId="38841" xr:uid="{00000000-0005-0000-0000-0000B9380000}"/>
    <cellStyle name="Comma 4 4 2 13" xfId="41880" xr:uid="{00000000-0005-0000-0000-0000BA380000}"/>
    <cellStyle name="Comma 4 4 2 14" xfId="45298" xr:uid="{00000000-0005-0000-0000-0000BB380000}"/>
    <cellStyle name="Comma 4 4 2 15" xfId="8896" xr:uid="{00000000-0005-0000-0000-0000BC380000}"/>
    <cellStyle name="Comma 4 4 2 2" xfId="12895" xr:uid="{00000000-0005-0000-0000-0000BD380000}"/>
    <cellStyle name="Comma 4 4 2 2 2" xfId="31477" xr:uid="{00000000-0005-0000-0000-0000BE380000}"/>
    <cellStyle name="Comma 4 4 2 2 3" xfId="33330" xr:uid="{00000000-0005-0000-0000-0000BF380000}"/>
    <cellStyle name="Comma 4 4 2 2 4" xfId="35154" xr:uid="{00000000-0005-0000-0000-0000C0380000}"/>
    <cellStyle name="Comma 4 4 2 2 5" xfId="37252" xr:uid="{00000000-0005-0000-0000-0000C1380000}"/>
    <cellStyle name="Comma 4 4 2 2 6" xfId="40390" xr:uid="{00000000-0005-0000-0000-0000C2380000}"/>
    <cellStyle name="Comma 4 4 2 2 7" xfId="43208" xr:uid="{00000000-0005-0000-0000-0000C3380000}"/>
    <cellStyle name="Comma 4 4 2 2 8" xfId="45299" xr:uid="{00000000-0005-0000-0000-0000C4380000}"/>
    <cellStyle name="Comma 4 4 2 3" xfId="12112" xr:uid="{00000000-0005-0000-0000-0000C5380000}"/>
    <cellStyle name="Comma 4 4 2 4" xfId="15769" xr:uid="{00000000-0005-0000-0000-0000C6380000}"/>
    <cellStyle name="Comma 4 4 2 5" xfId="30267" xr:uid="{00000000-0005-0000-0000-0000C7380000}"/>
    <cellStyle name="Comma 4 4 2 6" xfId="30886" xr:uid="{00000000-0005-0000-0000-0000C8380000}"/>
    <cellStyle name="Comma 4 4 2 7" xfId="32090" xr:uid="{00000000-0005-0000-0000-0000C9380000}"/>
    <cellStyle name="Comma 4 4 2 8" xfId="32732" xr:uid="{00000000-0005-0000-0000-0000CA380000}"/>
    <cellStyle name="Comma 4 4 2 9" xfId="33944" xr:uid="{00000000-0005-0000-0000-0000CB380000}"/>
    <cellStyle name="Comma 4 4 3" xfId="6396" xr:uid="{00000000-0005-0000-0000-0000CC380000}"/>
    <cellStyle name="Comma 4 4 3 2" xfId="31133" xr:uid="{00000000-0005-0000-0000-0000CD380000}"/>
    <cellStyle name="Comma 4 4 3 2 2" xfId="40629" xr:uid="{00000000-0005-0000-0000-0000CE380000}"/>
    <cellStyle name="Comma 4 4 3 2 3" xfId="43415" xr:uid="{00000000-0005-0000-0000-0000CF380000}"/>
    <cellStyle name="Comma 4 4 3 2 4" xfId="45300" xr:uid="{00000000-0005-0000-0000-0000D0380000}"/>
    <cellStyle name="Comma 4 4 3 3" xfId="32995" xr:uid="{00000000-0005-0000-0000-0000D1380000}"/>
    <cellStyle name="Comma 4 4 3 4" xfId="34810" xr:uid="{00000000-0005-0000-0000-0000D2380000}"/>
    <cellStyle name="Comma 4 4 3 5" xfId="36916" xr:uid="{00000000-0005-0000-0000-0000D3380000}"/>
    <cellStyle name="Comma 4 4 3 6" xfId="39061" xr:uid="{00000000-0005-0000-0000-0000D4380000}"/>
    <cellStyle name="Comma 4 4 3 7" xfId="42087" xr:uid="{00000000-0005-0000-0000-0000D5380000}"/>
    <cellStyle name="Comma 4 4 3 8" xfId="45301" xr:uid="{00000000-0005-0000-0000-0000D6380000}"/>
    <cellStyle name="Comma 4 4 3 9" xfId="12422" xr:uid="{00000000-0005-0000-0000-0000D7380000}"/>
    <cellStyle name="Comma 4 4 4" xfId="11768" xr:uid="{00000000-0005-0000-0000-0000D8380000}"/>
    <cellStyle name="Comma 4 4 4 2" xfId="41246" xr:uid="{00000000-0005-0000-0000-0000D9380000}"/>
    <cellStyle name="Comma 4 4 4 2 2" xfId="43926" xr:uid="{00000000-0005-0000-0000-0000DA380000}"/>
    <cellStyle name="Comma 4 4 4 2 3" xfId="45302" xr:uid="{00000000-0005-0000-0000-0000DB380000}"/>
    <cellStyle name="Comma 4 4 4 3" xfId="39663" xr:uid="{00000000-0005-0000-0000-0000DC380000}"/>
    <cellStyle name="Comma 4 4 4 4" xfId="42598" xr:uid="{00000000-0005-0000-0000-0000DD380000}"/>
    <cellStyle name="Comma 4 4 4 5" xfId="45303" xr:uid="{00000000-0005-0000-0000-0000DE380000}"/>
    <cellStyle name="Comma 4 4 5" xfId="15768" xr:uid="{00000000-0005-0000-0000-0000DF380000}"/>
    <cellStyle name="Comma 4 4 5 2" xfId="39902" xr:uid="{00000000-0005-0000-0000-0000E0380000}"/>
    <cellStyle name="Comma 4 4 5 3" xfId="42801" xr:uid="{00000000-0005-0000-0000-0000E1380000}"/>
    <cellStyle name="Comma 4 4 5 4" xfId="45304" xr:uid="{00000000-0005-0000-0000-0000E2380000}"/>
    <cellStyle name="Comma 4 4 6" xfId="30266" xr:uid="{00000000-0005-0000-0000-0000E3380000}"/>
    <cellStyle name="Comma 4 4 7" xfId="30542" xr:uid="{00000000-0005-0000-0000-0000E4380000}"/>
    <cellStyle name="Comma 4 4 8" xfId="32089" xr:uid="{00000000-0005-0000-0000-0000E5380000}"/>
    <cellStyle name="Comma 4 4 9" xfId="32731" xr:uid="{00000000-0005-0000-0000-0000E6380000}"/>
    <cellStyle name="Comma 4 5" xfId="4448" xr:uid="{00000000-0005-0000-0000-0000E7380000}"/>
    <cellStyle name="Comma 4 5 10" xfId="34564" xr:uid="{00000000-0005-0000-0000-0000E8380000}"/>
    <cellStyle name="Comma 4 5 11" xfId="35631" xr:uid="{00000000-0005-0000-0000-0000E9380000}"/>
    <cellStyle name="Comma 4 5 12" xfId="36726" xr:uid="{00000000-0005-0000-0000-0000EA380000}"/>
    <cellStyle name="Comma 4 5 13" xfId="38700" xr:uid="{00000000-0005-0000-0000-0000EB380000}"/>
    <cellStyle name="Comma 4 5 14" xfId="41740" xr:uid="{00000000-0005-0000-0000-0000EC380000}"/>
    <cellStyle name="Comma 4 5 15" xfId="45305" xr:uid="{00000000-0005-0000-0000-0000ED380000}"/>
    <cellStyle name="Comma 4 5 16" xfId="8897" xr:uid="{00000000-0005-0000-0000-0000EE380000}"/>
    <cellStyle name="Comma 4 5 2" xfId="5899" xr:uid="{00000000-0005-0000-0000-0000EF380000}"/>
    <cellStyle name="Comma 4 5 2 2" xfId="31478" xr:uid="{00000000-0005-0000-0000-0000F0380000}"/>
    <cellStyle name="Comma 4 5 2 2 2" xfId="40757" xr:uid="{00000000-0005-0000-0000-0000F1380000}"/>
    <cellStyle name="Comma 4 5 2 2 3" xfId="43520" xr:uid="{00000000-0005-0000-0000-0000F2380000}"/>
    <cellStyle name="Comma 4 5 2 2 4" xfId="45306" xr:uid="{00000000-0005-0000-0000-0000F3380000}"/>
    <cellStyle name="Comma 4 5 2 3" xfId="33331" xr:uid="{00000000-0005-0000-0000-0000F4380000}"/>
    <cellStyle name="Comma 4 5 2 4" xfId="35155" xr:uid="{00000000-0005-0000-0000-0000F5380000}"/>
    <cellStyle name="Comma 4 5 2 5" xfId="37253" xr:uid="{00000000-0005-0000-0000-0000F6380000}"/>
    <cellStyle name="Comma 4 5 2 6" xfId="39184" xr:uid="{00000000-0005-0000-0000-0000F7380000}"/>
    <cellStyle name="Comma 4 5 2 7" xfId="42192" xr:uid="{00000000-0005-0000-0000-0000F8380000}"/>
    <cellStyle name="Comma 4 5 2 8" xfId="45307" xr:uid="{00000000-0005-0000-0000-0000F9380000}"/>
    <cellStyle name="Comma 4 5 2 9" xfId="12896" xr:uid="{00000000-0005-0000-0000-0000FA380000}"/>
    <cellStyle name="Comma 4 5 3" xfId="12113" xr:uid="{00000000-0005-0000-0000-0000FB380000}"/>
    <cellStyle name="Comma 4 5 3 2" xfId="41074" xr:uid="{00000000-0005-0000-0000-0000FC380000}"/>
    <cellStyle name="Comma 4 5 3 2 2" xfId="43786" xr:uid="{00000000-0005-0000-0000-0000FD380000}"/>
    <cellStyle name="Comma 4 5 3 2 3" xfId="45308" xr:uid="{00000000-0005-0000-0000-0000FE380000}"/>
    <cellStyle name="Comma 4 5 3 3" xfId="39498" xr:uid="{00000000-0005-0000-0000-0000FF380000}"/>
    <cellStyle name="Comma 4 5 3 4" xfId="42458" xr:uid="{00000000-0005-0000-0000-000000390000}"/>
    <cellStyle name="Comma 4 5 3 5" xfId="45309" xr:uid="{00000000-0005-0000-0000-000001390000}"/>
    <cellStyle name="Comma 4 5 4" xfId="15770" xr:uid="{00000000-0005-0000-0000-000002390000}"/>
    <cellStyle name="Comma 4 5 4 2" xfId="40219" xr:uid="{00000000-0005-0000-0000-000003390000}"/>
    <cellStyle name="Comma 4 5 4 3" xfId="43068" xr:uid="{00000000-0005-0000-0000-000004390000}"/>
    <cellStyle name="Comma 4 5 4 4" xfId="45310" xr:uid="{00000000-0005-0000-0000-000005390000}"/>
    <cellStyle name="Comma 4 5 5" xfId="30268" xr:uid="{00000000-0005-0000-0000-000006390000}"/>
    <cellStyle name="Comma 4 5 6" xfId="30887" xr:uid="{00000000-0005-0000-0000-000007390000}"/>
    <cellStyle name="Comma 4 5 7" xfId="32091" xr:uid="{00000000-0005-0000-0000-000008390000}"/>
    <cellStyle name="Comma 4 5 8" xfId="32733" xr:uid="{00000000-0005-0000-0000-000009390000}"/>
    <cellStyle name="Comma 4 5 9" xfId="33945" xr:uid="{00000000-0005-0000-0000-00000A390000}"/>
    <cellStyle name="Comma 4 6" xfId="5761" xr:uid="{00000000-0005-0000-0000-00000B390000}"/>
    <cellStyle name="Comma 4 6 10" xfId="34559" xr:uid="{00000000-0005-0000-0000-00000C390000}"/>
    <cellStyle name="Comma 4 6 11" xfId="36723" xr:uid="{00000000-0005-0000-0000-00000D390000}"/>
    <cellStyle name="Comma 4 6 12" xfId="38128" xr:uid="{00000000-0005-0000-0000-00000E390000}"/>
    <cellStyle name="Comma 4 6 13" xfId="41625" xr:uid="{00000000-0005-0000-0000-00000F390000}"/>
    <cellStyle name="Comma 4 6 14" xfId="45311" xr:uid="{00000000-0005-0000-0000-000010390000}"/>
    <cellStyle name="Comma 4 6 15" xfId="8892" xr:uid="{00000000-0005-0000-0000-000011390000}"/>
    <cellStyle name="Comma 4 6 2" xfId="12891" xr:uid="{00000000-0005-0000-0000-000012390000}"/>
    <cellStyle name="Comma 4 6 2 2" xfId="31473" xr:uid="{00000000-0005-0000-0000-000013390000}"/>
    <cellStyle name="Comma 4 6 2 3" xfId="33326" xr:uid="{00000000-0005-0000-0000-000014390000}"/>
    <cellStyle name="Comma 4 6 2 4" xfId="35150" xr:uid="{00000000-0005-0000-0000-000015390000}"/>
    <cellStyle name="Comma 4 6 2 5" xfId="37248" xr:uid="{00000000-0005-0000-0000-000016390000}"/>
    <cellStyle name="Comma 4 6 2 6" xfId="40084" xr:uid="{00000000-0005-0000-0000-000017390000}"/>
    <cellStyle name="Comma 4 6 2 7" xfId="42953" xr:uid="{00000000-0005-0000-0000-000018390000}"/>
    <cellStyle name="Comma 4 6 2 8" xfId="45312" xr:uid="{00000000-0005-0000-0000-000019390000}"/>
    <cellStyle name="Comma 4 6 3" xfId="12108" xr:uid="{00000000-0005-0000-0000-00001A390000}"/>
    <cellStyle name="Comma 4 6 4" xfId="15771" xr:uid="{00000000-0005-0000-0000-00001B390000}"/>
    <cellStyle name="Comma 4 6 5" xfId="30269" xr:uid="{00000000-0005-0000-0000-00001C390000}"/>
    <cellStyle name="Comma 4 6 6" xfId="30882" xr:uid="{00000000-0005-0000-0000-00001D390000}"/>
    <cellStyle name="Comma 4 6 7" xfId="32092" xr:uid="{00000000-0005-0000-0000-00001E390000}"/>
    <cellStyle name="Comma 4 6 8" xfId="32734" xr:uid="{00000000-0005-0000-0000-00001F390000}"/>
    <cellStyle name="Comma 4 6 9" xfId="33946" xr:uid="{00000000-0005-0000-0000-000020390000}"/>
    <cellStyle name="Comma 4 7" xfId="6220" xr:uid="{00000000-0005-0000-0000-000021390000}"/>
    <cellStyle name="Comma 4 7 10" xfId="34649" xr:uid="{00000000-0005-0000-0000-000022390000}"/>
    <cellStyle name="Comma 4 7 11" xfId="36777" xr:uid="{00000000-0005-0000-0000-000023390000}"/>
    <cellStyle name="Comma 4 7 12" xfId="38955" xr:uid="{00000000-0005-0000-0000-000024390000}"/>
    <cellStyle name="Comma 4 7 13" xfId="41986" xr:uid="{00000000-0005-0000-0000-000025390000}"/>
    <cellStyle name="Comma 4 7 14" xfId="45313" xr:uid="{00000000-0005-0000-0000-000026390000}"/>
    <cellStyle name="Comma 4 7 15" xfId="11535" xr:uid="{00000000-0005-0000-0000-000027390000}"/>
    <cellStyle name="Comma 4 7 2" xfId="15156" xr:uid="{00000000-0005-0000-0000-000028390000}"/>
    <cellStyle name="Comma 4 7 2 2" xfId="31563" xr:uid="{00000000-0005-0000-0000-000029390000}"/>
    <cellStyle name="Comma 4 7 2 3" xfId="33416" xr:uid="{00000000-0005-0000-0000-00002A390000}"/>
    <cellStyle name="Comma 4 7 2 4" xfId="35240" xr:uid="{00000000-0005-0000-0000-00002B390000}"/>
    <cellStyle name="Comma 4 7 2 5" xfId="37320" xr:uid="{00000000-0005-0000-0000-00002C390000}"/>
    <cellStyle name="Comma 4 7 2 6" xfId="40513" xr:uid="{00000000-0005-0000-0000-00002D390000}"/>
    <cellStyle name="Comma 4 7 2 7" xfId="43314" xr:uid="{00000000-0005-0000-0000-00002E390000}"/>
    <cellStyle name="Comma 4 7 2 8" xfId="45314" xr:uid="{00000000-0005-0000-0000-00002F390000}"/>
    <cellStyle name="Comma 4 7 3" xfId="12198" xr:uid="{00000000-0005-0000-0000-000030390000}"/>
    <cellStyle name="Comma 4 7 4" xfId="15772" xr:uid="{00000000-0005-0000-0000-000031390000}"/>
    <cellStyle name="Comma 4 7 5" xfId="30270" xr:uid="{00000000-0005-0000-0000-000032390000}"/>
    <cellStyle name="Comma 4 7 6" xfId="30972" xr:uid="{00000000-0005-0000-0000-000033390000}"/>
    <cellStyle name="Comma 4 7 7" xfId="32093" xr:uid="{00000000-0005-0000-0000-000034390000}"/>
    <cellStyle name="Comma 4 7 8" xfId="32735" xr:uid="{00000000-0005-0000-0000-000035390000}"/>
    <cellStyle name="Comma 4 7 9" xfId="33947" xr:uid="{00000000-0005-0000-0000-000036390000}"/>
    <cellStyle name="Comma 4 8" xfId="12267" xr:uid="{00000000-0005-0000-0000-000037390000}"/>
    <cellStyle name="Comma 4 8 2" xfId="31040" xr:uid="{00000000-0005-0000-0000-000038390000}"/>
    <cellStyle name="Comma 4 8 2 2" xfId="40936" xr:uid="{00000000-0005-0000-0000-000039390000}"/>
    <cellStyle name="Comma 4 8 2 3" xfId="43671" xr:uid="{00000000-0005-0000-0000-00003A390000}"/>
    <cellStyle name="Comma 4 8 2 4" xfId="45315" xr:uid="{00000000-0005-0000-0000-00003B390000}"/>
    <cellStyle name="Comma 4 8 3" xfId="32909" xr:uid="{00000000-0005-0000-0000-00003C390000}"/>
    <cellStyle name="Comma 4 8 4" xfId="34717" xr:uid="{00000000-0005-0000-0000-00003D390000}"/>
    <cellStyle name="Comma 4 8 5" xfId="36825" xr:uid="{00000000-0005-0000-0000-00003E390000}"/>
    <cellStyle name="Comma 4 8 6" xfId="39365" xr:uid="{00000000-0005-0000-0000-00003F390000}"/>
    <cellStyle name="Comma 4 8 7" xfId="42343" xr:uid="{00000000-0005-0000-0000-000040390000}"/>
    <cellStyle name="Comma 4 8 8" xfId="45316" xr:uid="{00000000-0005-0000-0000-000041390000}"/>
    <cellStyle name="Comma 4 9" xfId="11673" xr:uid="{00000000-0005-0000-0000-000042390000}"/>
    <cellStyle name="Comma 4 9 2" xfId="39757" xr:uid="{00000000-0005-0000-0000-000043390000}"/>
    <cellStyle name="Comma 4 9 3" xfId="42670" xr:uid="{00000000-0005-0000-0000-000044390000}"/>
    <cellStyle name="Comma 4 9 4" xfId="45317" xr:uid="{00000000-0005-0000-0000-000045390000}"/>
    <cellStyle name="Comma 5" xfId="2799" xr:uid="{00000000-0005-0000-0000-000046390000}"/>
    <cellStyle name="Comma 5 10" xfId="15773" xr:uid="{00000000-0005-0000-0000-000047390000}"/>
    <cellStyle name="Comma 5 11" xfId="30271" xr:uid="{00000000-0005-0000-0000-000048390000}"/>
    <cellStyle name="Comma 5 12" xfId="30450" xr:uid="{00000000-0005-0000-0000-000049390000}"/>
    <cellStyle name="Comma 5 13" xfId="32094" xr:uid="{00000000-0005-0000-0000-00004A390000}"/>
    <cellStyle name="Comma 5 14" xfId="32736" xr:uid="{00000000-0005-0000-0000-00004B390000}"/>
    <cellStyle name="Comma 5 15" xfId="33948" xr:uid="{00000000-0005-0000-0000-00004C390000}"/>
    <cellStyle name="Comma 5 16" xfId="34127" xr:uid="{00000000-0005-0000-0000-00004D390000}"/>
    <cellStyle name="Comma 5 17" xfId="35361" xr:uid="{00000000-0005-0000-0000-00004E390000}"/>
    <cellStyle name="Comma 5 18" xfId="36224" xr:uid="{00000000-0005-0000-0000-00004F390000}"/>
    <cellStyle name="Comma 5 19" xfId="37395" xr:uid="{00000000-0005-0000-0000-000050390000}"/>
    <cellStyle name="Comma 5 2" xfId="1034" xr:uid="{00000000-0005-0000-0000-000051390000}"/>
    <cellStyle name="Comma 5 2 10" xfId="32095" xr:uid="{00000000-0005-0000-0000-000052390000}"/>
    <cellStyle name="Comma 5 2 11" xfId="32737" xr:uid="{00000000-0005-0000-0000-000053390000}"/>
    <cellStyle name="Comma 5 2 12" xfId="33949" xr:uid="{00000000-0005-0000-0000-000054390000}"/>
    <cellStyle name="Comma 5 2 13" xfId="34165" xr:uid="{00000000-0005-0000-0000-000055390000}"/>
    <cellStyle name="Comma 5 2 14" xfId="35288" xr:uid="{00000000-0005-0000-0000-000056390000}"/>
    <cellStyle name="Comma 5 2 15" xfId="36225" xr:uid="{00000000-0005-0000-0000-000057390000}"/>
    <cellStyle name="Comma 5 2 16" xfId="37456" xr:uid="{00000000-0005-0000-0000-000058390000}"/>
    <cellStyle name="Comma 5 2 17" xfId="41403" xr:uid="{00000000-0005-0000-0000-000059390000}"/>
    <cellStyle name="Comma 5 2 18" xfId="45318" xr:uid="{00000000-0005-0000-0000-00005A390000}"/>
    <cellStyle name="Comma 5 2 19" xfId="6678" xr:uid="{00000000-0005-0000-0000-00005B390000}"/>
    <cellStyle name="Comma 5 2 2" xfId="2800" xr:uid="{00000000-0005-0000-0000-00005C390000}"/>
    <cellStyle name="Comma 5 2 2 10" xfId="33950" xr:uid="{00000000-0005-0000-0000-00005D390000}"/>
    <cellStyle name="Comma 5 2 2 11" xfId="34317" xr:uid="{00000000-0005-0000-0000-00005E390000}"/>
    <cellStyle name="Comma 5 2 2 12" xfId="35362" xr:uid="{00000000-0005-0000-0000-00005F390000}"/>
    <cellStyle name="Comma 5 2 2 13" xfId="36366" xr:uid="{00000000-0005-0000-0000-000060390000}"/>
    <cellStyle name="Comma 5 2 2 14" xfId="37530" xr:uid="{00000000-0005-0000-0000-000061390000}"/>
    <cellStyle name="Comma 5 2 2 15" xfId="41476" xr:uid="{00000000-0005-0000-0000-000062390000}"/>
    <cellStyle name="Comma 5 2 2 16" xfId="45319" xr:uid="{00000000-0005-0000-0000-000063390000}"/>
    <cellStyle name="Comma 5 2 2 17" xfId="8554" xr:uid="{00000000-0005-0000-0000-000064390000}"/>
    <cellStyle name="Comma 5 2 2 2" xfId="5111" xr:uid="{00000000-0005-0000-0000-000065390000}"/>
    <cellStyle name="Comma 5 2 2 2 10" xfId="34567" xr:uid="{00000000-0005-0000-0000-000066390000}"/>
    <cellStyle name="Comma 5 2 2 2 11" xfId="36066" xr:uid="{00000000-0005-0000-0000-000067390000}"/>
    <cellStyle name="Comma 5 2 2 2 12" xfId="36728" xr:uid="{00000000-0005-0000-0000-000068390000}"/>
    <cellStyle name="Comma 5 2 2 2 13" xfId="38845" xr:uid="{00000000-0005-0000-0000-000069390000}"/>
    <cellStyle name="Comma 5 2 2 2 14" xfId="41884" xr:uid="{00000000-0005-0000-0000-00006A390000}"/>
    <cellStyle name="Comma 5 2 2 2 15" xfId="45320" xr:uid="{00000000-0005-0000-0000-00006B390000}"/>
    <cellStyle name="Comma 5 2 2 2 16" xfId="8900" xr:uid="{00000000-0005-0000-0000-00006C390000}"/>
    <cellStyle name="Comma 5 2 2 2 2" xfId="6080" xr:uid="{00000000-0005-0000-0000-00006D390000}"/>
    <cellStyle name="Comma 5 2 2 2 2 2" xfId="31481" xr:uid="{00000000-0005-0000-0000-00006E390000}"/>
    <cellStyle name="Comma 5 2 2 2 2 2 2" xfId="41250" xr:uid="{00000000-0005-0000-0000-00006F390000}"/>
    <cellStyle name="Comma 5 2 2 2 2 2 3" xfId="43930" xr:uid="{00000000-0005-0000-0000-000070390000}"/>
    <cellStyle name="Comma 5 2 2 2 2 2 4" xfId="45321" xr:uid="{00000000-0005-0000-0000-000071390000}"/>
    <cellStyle name="Comma 5 2 2 2 2 3" xfId="33334" xr:uid="{00000000-0005-0000-0000-000072390000}"/>
    <cellStyle name="Comma 5 2 2 2 2 4" xfId="35158" xr:uid="{00000000-0005-0000-0000-000073390000}"/>
    <cellStyle name="Comma 5 2 2 2 2 5" xfId="37256" xr:uid="{00000000-0005-0000-0000-000074390000}"/>
    <cellStyle name="Comma 5 2 2 2 2 6" xfId="39667" xr:uid="{00000000-0005-0000-0000-000075390000}"/>
    <cellStyle name="Comma 5 2 2 2 2 7" xfId="42602" xr:uid="{00000000-0005-0000-0000-000076390000}"/>
    <cellStyle name="Comma 5 2 2 2 2 8" xfId="45322" xr:uid="{00000000-0005-0000-0000-000077390000}"/>
    <cellStyle name="Comma 5 2 2 2 2 9" xfId="12899" xr:uid="{00000000-0005-0000-0000-000078390000}"/>
    <cellStyle name="Comma 5 2 2 2 3" xfId="12116" xr:uid="{00000000-0005-0000-0000-000079390000}"/>
    <cellStyle name="Comma 5 2 2 2 3 2" xfId="40394" xr:uid="{00000000-0005-0000-0000-00007A390000}"/>
    <cellStyle name="Comma 5 2 2 2 3 3" xfId="43212" xr:uid="{00000000-0005-0000-0000-00007B390000}"/>
    <cellStyle name="Comma 5 2 2 2 3 4" xfId="45323" xr:uid="{00000000-0005-0000-0000-00007C390000}"/>
    <cellStyle name="Comma 5 2 2 2 4" xfId="15776" xr:uid="{00000000-0005-0000-0000-00007D390000}"/>
    <cellStyle name="Comma 5 2 2 2 5" xfId="30274" xr:uid="{00000000-0005-0000-0000-00007E390000}"/>
    <cellStyle name="Comma 5 2 2 2 6" xfId="30890" xr:uid="{00000000-0005-0000-0000-00007F390000}"/>
    <cellStyle name="Comma 5 2 2 2 7" xfId="32097" xr:uid="{00000000-0005-0000-0000-000080390000}"/>
    <cellStyle name="Comma 5 2 2 2 8" xfId="32739" xr:uid="{00000000-0005-0000-0000-000081390000}"/>
    <cellStyle name="Comma 5 2 2 2 9" xfId="33951" xr:uid="{00000000-0005-0000-0000-000082390000}"/>
    <cellStyle name="Comma 5 2 2 3" xfId="5765" xr:uid="{00000000-0005-0000-0000-000083390000}"/>
    <cellStyle name="Comma 5 2 2 3 2" xfId="31231" xr:uid="{00000000-0005-0000-0000-000084390000}"/>
    <cellStyle name="Comma 5 2 2 3 2 2" xfId="40088" xr:uid="{00000000-0005-0000-0000-000085390000}"/>
    <cellStyle name="Comma 5 2 2 3 2 3" xfId="42957" xr:uid="{00000000-0005-0000-0000-000086390000}"/>
    <cellStyle name="Comma 5 2 2 3 2 4" xfId="45324" xr:uid="{00000000-0005-0000-0000-000087390000}"/>
    <cellStyle name="Comma 5 2 2 3 3" xfId="33087" xr:uid="{00000000-0005-0000-0000-000088390000}"/>
    <cellStyle name="Comma 5 2 2 3 4" xfId="34908" xr:uid="{00000000-0005-0000-0000-000089390000}"/>
    <cellStyle name="Comma 5 2 2 3 5" xfId="37008" xr:uid="{00000000-0005-0000-0000-00008A390000}"/>
    <cellStyle name="Comma 5 2 2 3 6" xfId="38132" xr:uid="{00000000-0005-0000-0000-00008B390000}"/>
    <cellStyle name="Comma 5 2 2 3 7" xfId="41629" xr:uid="{00000000-0005-0000-0000-00008C390000}"/>
    <cellStyle name="Comma 5 2 2 3 8" xfId="45325" xr:uid="{00000000-0005-0000-0000-00008D390000}"/>
    <cellStyle name="Comma 5 2 2 3 9" xfId="12589" xr:uid="{00000000-0005-0000-0000-00008E390000}"/>
    <cellStyle name="Comma 5 2 2 4" xfId="6400" xr:uid="{00000000-0005-0000-0000-00008F390000}"/>
    <cellStyle name="Comma 5 2 2 4 2" xfId="40633" xr:uid="{00000000-0005-0000-0000-000090390000}"/>
    <cellStyle name="Comma 5 2 2 4 2 2" xfId="43419" xr:uid="{00000000-0005-0000-0000-000091390000}"/>
    <cellStyle name="Comma 5 2 2 4 2 3" xfId="45326" xr:uid="{00000000-0005-0000-0000-000092390000}"/>
    <cellStyle name="Comma 5 2 2 4 3" xfId="39065" xr:uid="{00000000-0005-0000-0000-000093390000}"/>
    <cellStyle name="Comma 5 2 2 4 4" xfId="42091" xr:uid="{00000000-0005-0000-0000-000094390000}"/>
    <cellStyle name="Comma 5 2 2 4 5" xfId="45327" xr:uid="{00000000-0005-0000-0000-000095390000}"/>
    <cellStyle name="Comma 5 2 2 4 6" xfId="11866" xr:uid="{00000000-0005-0000-0000-000096390000}"/>
    <cellStyle name="Comma 5 2 2 5" xfId="15775" xr:uid="{00000000-0005-0000-0000-000097390000}"/>
    <cellStyle name="Comma 5 2 2 5 2" xfId="40940" xr:uid="{00000000-0005-0000-0000-000098390000}"/>
    <cellStyle name="Comma 5 2 2 5 2 2" xfId="43675" xr:uid="{00000000-0005-0000-0000-000099390000}"/>
    <cellStyle name="Comma 5 2 2 5 2 3" xfId="45328" xr:uid="{00000000-0005-0000-0000-00009A390000}"/>
    <cellStyle name="Comma 5 2 2 5 3" xfId="39369" xr:uid="{00000000-0005-0000-0000-00009B390000}"/>
    <cellStyle name="Comma 5 2 2 5 4" xfId="42347" xr:uid="{00000000-0005-0000-0000-00009C390000}"/>
    <cellStyle name="Comma 5 2 2 5 5" xfId="45329" xr:uid="{00000000-0005-0000-0000-00009D390000}"/>
    <cellStyle name="Comma 5 2 2 6" xfId="30273" xr:uid="{00000000-0005-0000-0000-00009E390000}"/>
    <cellStyle name="Comma 5 2 2 6 2" xfId="39905" xr:uid="{00000000-0005-0000-0000-00009F390000}"/>
    <cellStyle name="Comma 5 2 2 6 3" xfId="42804" xr:uid="{00000000-0005-0000-0000-0000A0390000}"/>
    <cellStyle name="Comma 5 2 2 6 4" xfId="45330" xr:uid="{00000000-0005-0000-0000-0000A1390000}"/>
    <cellStyle name="Comma 5 2 2 7" xfId="30640" xr:uid="{00000000-0005-0000-0000-0000A2390000}"/>
    <cellStyle name="Comma 5 2 2 8" xfId="32096" xr:uid="{00000000-0005-0000-0000-0000A3390000}"/>
    <cellStyle name="Comma 5 2 2 9" xfId="32738" xr:uid="{00000000-0005-0000-0000-0000A4390000}"/>
    <cellStyle name="Comma 5 2 3" xfId="4547" xr:uid="{00000000-0005-0000-0000-0000A5390000}"/>
    <cellStyle name="Comma 5 2 3 10" xfId="34566" xr:uid="{00000000-0005-0000-0000-0000A6390000}"/>
    <cellStyle name="Comma 5 2 3 11" xfId="35708" xr:uid="{00000000-0005-0000-0000-0000A7390000}"/>
    <cellStyle name="Comma 5 2 3 12" xfId="36295" xr:uid="{00000000-0005-0000-0000-0000A8390000}"/>
    <cellStyle name="Comma 5 2 3 13" xfId="38773" xr:uid="{00000000-0005-0000-0000-0000A9390000}"/>
    <cellStyle name="Comma 5 2 3 14" xfId="41813" xr:uid="{00000000-0005-0000-0000-0000AA390000}"/>
    <cellStyle name="Comma 5 2 3 15" xfId="45331" xr:uid="{00000000-0005-0000-0000-0000AB390000}"/>
    <cellStyle name="Comma 5 2 3 16" xfId="8899" xr:uid="{00000000-0005-0000-0000-0000AC390000}"/>
    <cellStyle name="Comma 5 2 3 2" xfId="5996" xr:uid="{00000000-0005-0000-0000-0000AD390000}"/>
    <cellStyle name="Comma 5 2 3 2 2" xfId="31480" xr:uid="{00000000-0005-0000-0000-0000AE390000}"/>
    <cellStyle name="Comma 5 2 3 2 2 2" xfId="40554" xr:uid="{00000000-0005-0000-0000-0000AF390000}"/>
    <cellStyle name="Comma 5 2 3 2 2 3" xfId="43348" xr:uid="{00000000-0005-0000-0000-0000B0390000}"/>
    <cellStyle name="Comma 5 2 3 2 2 4" xfId="45332" xr:uid="{00000000-0005-0000-0000-0000B1390000}"/>
    <cellStyle name="Comma 5 2 3 2 3" xfId="33333" xr:uid="{00000000-0005-0000-0000-0000B2390000}"/>
    <cellStyle name="Comma 5 2 3 2 4" xfId="35157" xr:uid="{00000000-0005-0000-0000-0000B3390000}"/>
    <cellStyle name="Comma 5 2 3 2 5" xfId="37255" xr:uid="{00000000-0005-0000-0000-0000B4390000}"/>
    <cellStyle name="Comma 5 2 3 2 6" xfId="38991" xr:uid="{00000000-0005-0000-0000-0000B5390000}"/>
    <cellStyle name="Comma 5 2 3 2 7" xfId="42020" xr:uid="{00000000-0005-0000-0000-0000B6390000}"/>
    <cellStyle name="Comma 5 2 3 2 8" xfId="45333" xr:uid="{00000000-0005-0000-0000-0000B7390000}"/>
    <cellStyle name="Comma 5 2 3 2 9" xfId="12898" xr:uid="{00000000-0005-0000-0000-0000B8390000}"/>
    <cellStyle name="Comma 5 2 3 3" xfId="6317" xr:uid="{00000000-0005-0000-0000-0000B9390000}"/>
    <cellStyle name="Comma 5 2 3 3 2" xfId="41169" xr:uid="{00000000-0005-0000-0000-0000BA390000}"/>
    <cellStyle name="Comma 5 2 3 3 2 2" xfId="43859" xr:uid="{00000000-0005-0000-0000-0000BB390000}"/>
    <cellStyle name="Comma 5 2 3 3 2 3" xfId="45334" xr:uid="{00000000-0005-0000-0000-0000BC390000}"/>
    <cellStyle name="Comma 5 2 3 3 3" xfId="39588" xr:uid="{00000000-0005-0000-0000-0000BD390000}"/>
    <cellStyle name="Comma 5 2 3 3 4" xfId="42531" xr:uid="{00000000-0005-0000-0000-0000BE390000}"/>
    <cellStyle name="Comma 5 2 3 3 5" xfId="45335" xr:uid="{00000000-0005-0000-0000-0000BF390000}"/>
    <cellStyle name="Comma 5 2 3 3 6" xfId="12115" xr:uid="{00000000-0005-0000-0000-0000C0390000}"/>
    <cellStyle name="Comma 5 2 3 4" xfId="15777" xr:uid="{00000000-0005-0000-0000-0000C1390000}"/>
    <cellStyle name="Comma 5 2 3 4 2" xfId="40314" xr:uid="{00000000-0005-0000-0000-0000C2390000}"/>
    <cellStyle name="Comma 5 2 3 4 3" xfId="43141" xr:uid="{00000000-0005-0000-0000-0000C3390000}"/>
    <cellStyle name="Comma 5 2 3 4 4" xfId="45336" xr:uid="{00000000-0005-0000-0000-0000C4390000}"/>
    <cellStyle name="Comma 5 2 3 5" xfId="30275" xr:uid="{00000000-0005-0000-0000-0000C5390000}"/>
    <cellStyle name="Comma 5 2 3 6" xfId="30889" xr:uid="{00000000-0005-0000-0000-0000C6390000}"/>
    <cellStyle name="Comma 5 2 3 7" xfId="32098" xr:uid="{00000000-0005-0000-0000-0000C7390000}"/>
    <cellStyle name="Comma 5 2 3 8" xfId="32740" xr:uid="{00000000-0005-0000-0000-0000C8390000}"/>
    <cellStyle name="Comma 5 2 3 9" xfId="33952" xr:uid="{00000000-0005-0000-0000-0000C9390000}"/>
    <cellStyle name="Comma 5 2 4" xfId="4452" xr:uid="{00000000-0005-0000-0000-0000CA390000}"/>
    <cellStyle name="Comma 5 2 4 10" xfId="34652" xr:uid="{00000000-0005-0000-0000-0000CB390000}"/>
    <cellStyle name="Comma 5 2 4 11" xfId="35635" xr:uid="{00000000-0005-0000-0000-0000CC390000}"/>
    <cellStyle name="Comma 5 2 4 12" xfId="36780" xr:uid="{00000000-0005-0000-0000-0000CD390000}"/>
    <cellStyle name="Comma 5 2 4 13" xfId="38704" xr:uid="{00000000-0005-0000-0000-0000CE390000}"/>
    <cellStyle name="Comma 5 2 4 14" xfId="41744" xr:uid="{00000000-0005-0000-0000-0000CF390000}"/>
    <cellStyle name="Comma 5 2 4 15" xfId="45337" xr:uid="{00000000-0005-0000-0000-0000D0390000}"/>
    <cellStyle name="Comma 5 2 4 16" xfId="11538" xr:uid="{00000000-0005-0000-0000-0000D1390000}"/>
    <cellStyle name="Comma 5 2 4 2" xfId="5903" xr:uid="{00000000-0005-0000-0000-0000D2390000}"/>
    <cellStyle name="Comma 5 2 4 2 2" xfId="31566" xr:uid="{00000000-0005-0000-0000-0000D3390000}"/>
    <cellStyle name="Comma 5 2 4 2 2 2" xfId="40760" xr:uid="{00000000-0005-0000-0000-0000D4390000}"/>
    <cellStyle name="Comma 5 2 4 2 2 3" xfId="43523" xr:uid="{00000000-0005-0000-0000-0000D5390000}"/>
    <cellStyle name="Comma 5 2 4 2 2 4" xfId="45338" xr:uid="{00000000-0005-0000-0000-0000D6390000}"/>
    <cellStyle name="Comma 5 2 4 2 3" xfId="33419" xr:uid="{00000000-0005-0000-0000-0000D7390000}"/>
    <cellStyle name="Comma 5 2 4 2 4" xfId="35243" xr:uid="{00000000-0005-0000-0000-0000D8390000}"/>
    <cellStyle name="Comma 5 2 4 2 5" xfId="37323" xr:uid="{00000000-0005-0000-0000-0000D9390000}"/>
    <cellStyle name="Comma 5 2 4 2 6" xfId="39187" xr:uid="{00000000-0005-0000-0000-0000DA390000}"/>
    <cellStyle name="Comma 5 2 4 2 7" xfId="42195" xr:uid="{00000000-0005-0000-0000-0000DB390000}"/>
    <cellStyle name="Comma 5 2 4 2 8" xfId="45339" xr:uid="{00000000-0005-0000-0000-0000DC390000}"/>
    <cellStyle name="Comma 5 2 4 2 9" xfId="15159" xr:uid="{00000000-0005-0000-0000-0000DD390000}"/>
    <cellStyle name="Comma 5 2 4 3" xfId="12201" xr:uid="{00000000-0005-0000-0000-0000DE390000}"/>
    <cellStyle name="Comma 5 2 4 3 2" xfId="41078" xr:uid="{00000000-0005-0000-0000-0000DF390000}"/>
    <cellStyle name="Comma 5 2 4 3 2 2" xfId="43790" xr:uid="{00000000-0005-0000-0000-0000E0390000}"/>
    <cellStyle name="Comma 5 2 4 3 2 3" xfId="45340" xr:uid="{00000000-0005-0000-0000-0000E1390000}"/>
    <cellStyle name="Comma 5 2 4 3 3" xfId="39502" xr:uid="{00000000-0005-0000-0000-0000E2390000}"/>
    <cellStyle name="Comma 5 2 4 3 4" xfId="42462" xr:uid="{00000000-0005-0000-0000-0000E3390000}"/>
    <cellStyle name="Comma 5 2 4 3 5" xfId="45341" xr:uid="{00000000-0005-0000-0000-0000E4390000}"/>
    <cellStyle name="Comma 5 2 4 4" xfId="15778" xr:uid="{00000000-0005-0000-0000-0000E5390000}"/>
    <cellStyle name="Comma 5 2 4 4 2" xfId="40223" xr:uid="{00000000-0005-0000-0000-0000E6390000}"/>
    <cellStyle name="Comma 5 2 4 4 3" xfId="43072" xr:uid="{00000000-0005-0000-0000-0000E7390000}"/>
    <cellStyle name="Comma 5 2 4 4 4" xfId="45342" xr:uid="{00000000-0005-0000-0000-0000E8390000}"/>
    <cellStyle name="Comma 5 2 4 5" xfId="30276" xr:uid="{00000000-0005-0000-0000-0000E9390000}"/>
    <cellStyle name="Comma 5 2 4 6" xfId="30975" xr:uid="{00000000-0005-0000-0000-0000EA390000}"/>
    <cellStyle name="Comma 5 2 4 7" xfId="32099" xr:uid="{00000000-0005-0000-0000-0000EB390000}"/>
    <cellStyle name="Comma 5 2 4 8" xfId="32741" xr:uid="{00000000-0005-0000-0000-0000EC390000}"/>
    <cellStyle name="Comma 5 2 4 9" xfId="33953" xr:uid="{00000000-0005-0000-0000-0000ED390000}"/>
    <cellStyle name="Comma 5 2 5" xfId="5675" xr:uid="{00000000-0005-0000-0000-0000EE390000}"/>
    <cellStyle name="Comma 5 2 5 10" xfId="37618" xr:uid="{00000000-0005-0000-0000-0000EF390000}"/>
    <cellStyle name="Comma 5 2 5 11" xfId="41558" xr:uid="{00000000-0005-0000-0000-0000F0390000}"/>
    <cellStyle name="Comma 5 2 5 12" xfId="45343" xr:uid="{00000000-0005-0000-0000-0000F1390000}"/>
    <cellStyle name="Comma 5 2 5 13" xfId="12306" xr:uid="{00000000-0005-0000-0000-0000F2390000}"/>
    <cellStyle name="Comma 5 2 5 2" xfId="15779" xr:uid="{00000000-0005-0000-0000-0000F3390000}"/>
    <cellStyle name="Comma 5 2 5 2 2" xfId="40009" xr:uid="{00000000-0005-0000-0000-0000F4390000}"/>
    <cellStyle name="Comma 5 2 5 2 3" xfId="42886" xr:uid="{00000000-0005-0000-0000-0000F5390000}"/>
    <cellStyle name="Comma 5 2 5 2 4" xfId="45344" xr:uid="{00000000-0005-0000-0000-0000F6390000}"/>
    <cellStyle name="Comma 5 2 5 3" xfId="30277" xr:uid="{00000000-0005-0000-0000-0000F7390000}"/>
    <cellStyle name="Comma 5 2 5 4" xfId="31079" xr:uid="{00000000-0005-0000-0000-0000F8390000}"/>
    <cellStyle name="Comma 5 2 5 5" xfId="32100" xr:uid="{00000000-0005-0000-0000-0000F9390000}"/>
    <cellStyle name="Comma 5 2 5 6" xfId="32742" xr:uid="{00000000-0005-0000-0000-0000FA390000}"/>
    <cellStyle name="Comma 5 2 5 7" xfId="33954" xr:uid="{00000000-0005-0000-0000-0000FB390000}"/>
    <cellStyle name="Comma 5 2 5 8" xfId="34756" xr:uid="{00000000-0005-0000-0000-0000FC390000}"/>
    <cellStyle name="Comma 5 2 5 9" xfId="36864" xr:uid="{00000000-0005-0000-0000-0000FD390000}"/>
    <cellStyle name="Comma 5 2 6" xfId="6224" xr:uid="{00000000-0005-0000-0000-0000FE390000}"/>
    <cellStyle name="Comma 5 2 6 2" xfId="40516" xr:uid="{00000000-0005-0000-0000-0000FF390000}"/>
    <cellStyle name="Comma 5 2 6 2 2" xfId="43317" xr:uid="{00000000-0005-0000-0000-0000003A0000}"/>
    <cellStyle name="Comma 5 2 6 2 3" xfId="45345" xr:uid="{00000000-0005-0000-0000-0000013A0000}"/>
    <cellStyle name="Comma 5 2 6 3" xfId="38958" xr:uid="{00000000-0005-0000-0000-0000023A0000}"/>
    <cellStyle name="Comma 5 2 6 4" xfId="41989" xr:uid="{00000000-0005-0000-0000-0000033A0000}"/>
    <cellStyle name="Comma 5 2 6 5" xfId="45346" xr:uid="{00000000-0005-0000-0000-0000043A0000}"/>
    <cellStyle name="Comma 5 2 6 6" xfId="11713" xr:uid="{00000000-0005-0000-0000-0000053A0000}"/>
    <cellStyle name="Comma 5 2 7" xfId="15774" xr:uid="{00000000-0005-0000-0000-0000063A0000}"/>
    <cellStyle name="Comma 5 2 7 2" xfId="40860" xr:uid="{00000000-0005-0000-0000-0000073A0000}"/>
    <cellStyle name="Comma 5 2 7 2 2" xfId="43604" xr:uid="{00000000-0005-0000-0000-0000083A0000}"/>
    <cellStyle name="Comma 5 2 7 2 3" xfId="45347" xr:uid="{00000000-0005-0000-0000-0000093A0000}"/>
    <cellStyle name="Comma 5 2 7 3" xfId="39295" xr:uid="{00000000-0005-0000-0000-00000A3A0000}"/>
    <cellStyle name="Comma 5 2 7 4" xfId="42276" xr:uid="{00000000-0005-0000-0000-00000B3A0000}"/>
    <cellStyle name="Comma 5 2 7 5" xfId="45348" xr:uid="{00000000-0005-0000-0000-00000C3A0000}"/>
    <cellStyle name="Comma 5 2 8" xfId="30272" xr:uid="{00000000-0005-0000-0000-00000D3A0000}"/>
    <cellStyle name="Comma 5 2 8 2" xfId="39823" xr:uid="{00000000-0005-0000-0000-00000E3A0000}"/>
    <cellStyle name="Comma 5 2 8 3" xfId="42731" xr:uid="{00000000-0005-0000-0000-00000F3A0000}"/>
    <cellStyle name="Comma 5 2 8 4" xfId="45349" xr:uid="{00000000-0005-0000-0000-0000103A0000}"/>
    <cellStyle name="Comma 5 2 9" xfId="30488" xr:uid="{00000000-0005-0000-0000-0000113A0000}"/>
    <cellStyle name="Comma 5 20" xfId="41343" xr:uid="{00000000-0005-0000-0000-0000123A0000}"/>
    <cellStyle name="Comma 5 21" xfId="45350" xr:uid="{00000000-0005-0000-0000-0000133A0000}"/>
    <cellStyle name="Comma 5 22" xfId="6566" xr:uid="{00000000-0005-0000-0000-0000143A0000}"/>
    <cellStyle name="Comma 5 3" xfId="2801" xr:uid="{00000000-0005-0000-0000-0000153A0000}"/>
    <cellStyle name="Comma 5 3 10" xfId="33955" xr:uid="{00000000-0005-0000-0000-0000163A0000}"/>
    <cellStyle name="Comma 5 3 11" xfId="34278" xr:uid="{00000000-0005-0000-0000-0000173A0000}"/>
    <cellStyle name="Comma 5 3 12" xfId="35363" xr:uid="{00000000-0005-0000-0000-0000183A0000}"/>
    <cellStyle name="Comma 5 3 13" xfId="36226" xr:uid="{00000000-0005-0000-0000-0000193A0000}"/>
    <cellStyle name="Comma 5 3 14" xfId="37455" xr:uid="{00000000-0005-0000-0000-00001A3A0000}"/>
    <cellStyle name="Comma 5 3 15" xfId="41402" xr:uid="{00000000-0005-0000-0000-00001B3A0000}"/>
    <cellStyle name="Comma 5 3 16" xfId="45351" xr:uid="{00000000-0005-0000-0000-00001C3A0000}"/>
    <cellStyle name="Comma 5 3 17" xfId="8441" xr:uid="{00000000-0005-0000-0000-00001D3A0000}"/>
    <cellStyle name="Comma 5 3 2" xfId="5112" xr:uid="{00000000-0005-0000-0000-00001E3A0000}"/>
    <cellStyle name="Comma 5 3 2 10" xfId="34568" xr:uid="{00000000-0005-0000-0000-00001F3A0000}"/>
    <cellStyle name="Comma 5 3 2 11" xfId="36067" xr:uid="{00000000-0005-0000-0000-0000203A0000}"/>
    <cellStyle name="Comma 5 3 2 12" xfId="36367" xr:uid="{00000000-0005-0000-0000-0000213A0000}"/>
    <cellStyle name="Comma 5 3 2 13" xfId="37576" xr:uid="{00000000-0005-0000-0000-0000223A0000}"/>
    <cellStyle name="Comma 5 3 2 14" xfId="41522" xr:uid="{00000000-0005-0000-0000-0000233A0000}"/>
    <cellStyle name="Comma 5 3 2 15" xfId="45352" xr:uid="{00000000-0005-0000-0000-0000243A0000}"/>
    <cellStyle name="Comma 5 3 2 16" xfId="8901" xr:uid="{00000000-0005-0000-0000-0000253A0000}"/>
    <cellStyle name="Comma 5 3 2 2" xfId="6081" xr:uid="{00000000-0005-0000-0000-0000263A0000}"/>
    <cellStyle name="Comma 5 3 2 2 2" xfId="31482" xr:uid="{00000000-0005-0000-0000-0000273A0000}"/>
    <cellStyle name="Comma 5 3 2 2 2 2" xfId="40395" xr:uid="{00000000-0005-0000-0000-0000283A0000}"/>
    <cellStyle name="Comma 5 3 2 2 2 3" xfId="43213" xr:uid="{00000000-0005-0000-0000-0000293A0000}"/>
    <cellStyle name="Comma 5 3 2 2 2 4" xfId="45353" xr:uid="{00000000-0005-0000-0000-00002A3A0000}"/>
    <cellStyle name="Comma 5 3 2 2 3" xfId="33335" xr:uid="{00000000-0005-0000-0000-00002B3A0000}"/>
    <cellStyle name="Comma 5 3 2 2 4" xfId="35159" xr:uid="{00000000-0005-0000-0000-00002C3A0000}"/>
    <cellStyle name="Comma 5 3 2 2 5" xfId="37257" xr:uid="{00000000-0005-0000-0000-00002D3A0000}"/>
    <cellStyle name="Comma 5 3 2 2 6" xfId="38846" xr:uid="{00000000-0005-0000-0000-00002E3A0000}"/>
    <cellStyle name="Comma 5 3 2 2 7" xfId="41885" xr:uid="{00000000-0005-0000-0000-00002F3A0000}"/>
    <cellStyle name="Comma 5 3 2 2 8" xfId="45354" xr:uid="{00000000-0005-0000-0000-0000303A0000}"/>
    <cellStyle name="Comma 5 3 2 2 9" xfId="12900" xr:uid="{00000000-0005-0000-0000-0000313A0000}"/>
    <cellStyle name="Comma 5 3 2 3" xfId="6401" xr:uid="{00000000-0005-0000-0000-0000323A0000}"/>
    <cellStyle name="Comma 5 3 2 3 2" xfId="40799" xr:uid="{00000000-0005-0000-0000-0000333A0000}"/>
    <cellStyle name="Comma 5 3 2 3 2 2" xfId="43554" xr:uid="{00000000-0005-0000-0000-0000343A0000}"/>
    <cellStyle name="Comma 5 3 2 3 2 3" xfId="45355" xr:uid="{00000000-0005-0000-0000-0000353A0000}"/>
    <cellStyle name="Comma 5 3 2 3 3" xfId="39236" xr:uid="{00000000-0005-0000-0000-0000363A0000}"/>
    <cellStyle name="Comma 5 3 2 3 4" xfId="42226" xr:uid="{00000000-0005-0000-0000-0000373A0000}"/>
    <cellStyle name="Comma 5 3 2 3 5" xfId="45356" xr:uid="{00000000-0005-0000-0000-0000383A0000}"/>
    <cellStyle name="Comma 5 3 2 3 6" xfId="12117" xr:uid="{00000000-0005-0000-0000-0000393A0000}"/>
    <cellStyle name="Comma 5 3 2 4" xfId="15781" xr:uid="{00000000-0005-0000-0000-00003A3A0000}"/>
    <cellStyle name="Comma 5 3 2 4 2" xfId="41251" xr:uid="{00000000-0005-0000-0000-00003B3A0000}"/>
    <cellStyle name="Comma 5 3 2 4 2 2" xfId="43931" xr:uid="{00000000-0005-0000-0000-00003C3A0000}"/>
    <cellStyle name="Comma 5 3 2 4 2 3" xfId="45357" xr:uid="{00000000-0005-0000-0000-00003D3A0000}"/>
    <cellStyle name="Comma 5 3 2 4 3" xfId="39668" xr:uid="{00000000-0005-0000-0000-00003E3A0000}"/>
    <cellStyle name="Comma 5 3 2 4 4" xfId="42603" xr:uid="{00000000-0005-0000-0000-00003F3A0000}"/>
    <cellStyle name="Comma 5 3 2 4 5" xfId="45358" xr:uid="{00000000-0005-0000-0000-0000403A0000}"/>
    <cellStyle name="Comma 5 3 2 5" xfId="30279" xr:uid="{00000000-0005-0000-0000-0000413A0000}"/>
    <cellStyle name="Comma 5 3 2 5 2" xfId="39962" xr:uid="{00000000-0005-0000-0000-0000423A0000}"/>
    <cellStyle name="Comma 5 3 2 5 3" xfId="42850" xr:uid="{00000000-0005-0000-0000-0000433A0000}"/>
    <cellStyle name="Comma 5 3 2 5 4" xfId="45359" xr:uid="{00000000-0005-0000-0000-0000443A0000}"/>
    <cellStyle name="Comma 5 3 2 6" xfId="30891" xr:uid="{00000000-0005-0000-0000-0000453A0000}"/>
    <cellStyle name="Comma 5 3 2 7" xfId="32102" xr:uid="{00000000-0005-0000-0000-0000463A0000}"/>
    <cellStyle name="Comma 5 3 2 8" xfId="32744" xr:uid="{00000000-0005-0000-0000-0000473A0000}"/>
    <cellStyle name="Comma 5 3 2 9" xfId="33956" xr:uid="{00000000-0005-0000-0000-0000483A0000}"/>
    <cellStyle name="Comma 5 3 3" xfId="4453" xr:uid="{00000000-0005-0000-0000-0000493A0000}"/>
    <cellStyle name="Comma 5 3 3 10" xfId="12549" xr:uid="{00000000-0005-0000-0000-00004A3A0000}"/>
    <cellStyle name="Comma 5 3 3 2" xfId="5904" xr:uid="{00000000-0005-0000-0000-00004B3A0000}"/>
    <cellStyle name="Comma 5 3 3 2 2" xfId="41079" xr:uid="{00000000-0005-0000-0000-00004C3A0000}"/>
    <cellStyle name="Comma 5 3 3 2 2 2" xfId="43791" xr:uid="{00000000-0005-0000-0000-00004D3A0000}"/>
    <cellStyle name="Comma 5 3 3 2 2 3" xfId="45360" xr:uid="{00000000-0005-0000-0000-00004E3A0000}"/>
    <cellStyle name="Comma 5 3 3 2 3" xfId="39503" xr:uid="{00000000-0005-0000-0000-00004F3A0000}"/>
    <cellStyle name="Comma 5 3 3 2 4" xfId="42463" xr:uid="{00000000-0005-0000-0000-0000503A0000}"/>
    <cellStyle name="Comma 5 3 3 2 5" xfId="45361" xr:uid="{00000000-0005-0000-0000-0000513A0000}"/>
    <cellStyle name="Comma 5 3 3 2 6" xfId="31192" xr:uid="{00000000-0005-0000-0000-0000523A0000}"/>
    <cellStyle name="Comma 5 3 3 3" xfId="33050" xr:uid="{00000000-0005-0000-0000-0000533A0000}"/>
    <cellStyle name="Comma 5 3 3 3 2" xfId="40224" xr:uid="{00000000-0005-0000-0000-0000543A0000}"/>
    <cellStyle name="Comma 5 3 3 3 3" xfId="43073" xr:uid="{00000000-0005-0000-0000-0000553A0000}"/>
    <cellStyle name="Comma 5 3 3 3 4" xfId="45362" xr:uid="{00000000-0005-0000-0000-0000563A0000}"/>
    <cellStyle name="Comma 5 3 3 4" xfId="34869" xr:uid="{00000000-0005-0000-0000-0000573A0000}"/>
    <cellStyle name="Comma 5 3 3 5" xfId="35636" xr:uid="{00000000-0005-0000-0000-0000583A0000}"/>
    <cellStyle name="Comma 5 3 3 6" xfId="36971" xr:uid="{00000000-0005-0000-0000-0000593A0000}"/>
    <cellStyle name="Comma 5 3 3 7" xfId="38705" xr:uid="{00000000-0005-0000-0000-00005A3A0000}"/>
    <cellStyle name="Comma 5 3 3 8" xfId="41745" xr:uid="{00000000-0005-0000-0000-00005B3A0000}"/>
    <cellStyle name="Comma 5 3 3 9" xfId="45363" xr:uid="{00000000-0005-0000-0000-00005C3A0000}"/>
    <cellStyle name="Comma 5 3 4" xfId="5766" xr:uid="{00000000-0005-0000-0000-00005D3A0000}"/>
    <cellStyle name="Comma 5 3 4 2" xfId="40089" xr:uid="{00000000-0005-0000-0000-00005E3A0000}"/>
    <cellStyle name="Comma 5 3 4 2 2" xfId="42958" xr:uid="{00000000-0005-0000-0000-00005F3A0000}"/>
    <cellStyle name="Comma 5 3 4 2 3" xfId="45364" xr:uid="{00000000-0005-0000-0000-0000603A0000}"/>
    <cellStyle name="Comma 5 3 4 3" xfId="38133" xr:uid="{00000000-0005-0000-0000-0000613A0000}"/>
    <cellStyle name="Comma 5 3 4 4" xfId="41630" xr:uid="{00000000-0005-0000-0000-0000623A0000}"/>
    <cellStyle name="Comma 5 3 4 5" xfId="45365" xr:uid="{00000000-0005-0000-0000-0000633A0000}"/>
    <cellStyle name="Comma 5 3 4 6" xfId="11827" xr:uid="{00000000-0005-0000-0000-0000643A0000}"/>
    <cellStyle name="Comma 5 3 5" xfId="6225" xr:uid="{00000000-0005-0000-0000-0000653A0000}"/>
    <cellStyle name="Comma 5 3 5 2" xfId="40634" xr:uid="{00000000-0005-0000-0000-0000663A0000}"/>
    <cellStyle name="Comma 5 3 5 2 2" xfId="43420" xr:uid="{00000000-0005-0000-0000-0000673A0000}"/>
    <cellStyle name="Comma 5 3 5 2 3" xfId="45366" xr:uid="{00000000-0005-0000-0000-0000683A0000}"/>
    <cellStyle name="Comma 5 3 5 3" xfId="39066" xr:uid="{00000000-0005-0000-0000-0000693A0000}"/>
    <cellStyle name="Comma 5 3 5 4" xfId="42092" xr:uid="{00000000-0005-0000-0000-00006A3A0000}"/>
    <cellStyle name="Comma 5 3 5 5" xfId="45367" xr:uid="{00000000-0005-0000-0000-00006B3A0000}"/>
    <cellStyle name="Comma 5 3 5 6" xfId="15780" xr:uid="{00000000-0005-0000-0000-00006C3A0000}"/>
    <cellStyle name="Comma 5 3 6" xfId="30278" xr:uid="{00000000-0005-0000-0000-00006D3A0000}"/>
    <cellStyle name="Comma 5 3 6 2" xfId="40941" xr:uid="{00000000-0005-0000-0000-00006E3A0000}"/>
    <cellStyle name="Comma 5 3 6 2 2" xfId="43676" xr:uid="{00000000-0005-0000-0000-00006F3A0000}"/>
    <cellStyle name="Comma 5 3 6 2 3" xfId="45368" xr:uid="{00000000-0005-0000-0000-0000703A0000}"/>
    <cellStyle name="Comma 5 3 6 3" xfId="39370" xr:uid="{00000000-0005-0000-0000-0000713A0000}"/>
    <cellStyle name="Comma 5 3 6 4" xfId="42348" xr:uid="{00000000-0005-0000-0000-0000723A0000}"/>
    <cellStyle name="Comma 5 3 6 5" xfId="45369" xr:uid="{00000000-0005-0000-0000-0000733A0000}"/>
    <cellStyle name="Comma 5 3 7" xfId="30601" xr:uid="{00000000-0005-0000-0000-0000743A0000}"/>
    <cellStyle name="Comma 5 3 7 2" xfId="39822" xr:uid="{00000000-0005-0000-0000-0000753A0000}"/>
    <cellStyle name="Comma 5 3 7 3" xfId="42730" xr:uid="{00000000-0005-0000-0000-0000763A0000}"/>
    <cellStyle name="Comma 5 3 7 4" xfId="45370" xr:uid="{00000000-0005-0000-0000-0000773A0000}"/>
    <cellStyle name="Comma 5 3 8" xfId="32101" xr:uid="{00000000-0005-0000-0000-0000783A0000}"/>
    <cellStyle name="Comma 5 3 9" xfId="32743" xr:uid="{00000000-0005-0000-0000-0000793A0000}"/>
    <cellStyle name="Comma 5 4" xfId="5110" xr:uid="{00000000-0005-0000-0000-00007A3A0000}"/>
    <cellStyle name="Comma 5 4 10" xfId="33957" xr:uid="{00000000-0005-0000-0000-00007B3A0000}"/>
    <cellStyle name="Comma 5 4 11" xfId="34220" xr:uid="{00000000-0005-0000-0000-00007C3A0000}"/>
    <cellStyle name="Comma 5 4 12" xfId="36065" xr:uid="{00000000-0005-0000-0000-00007D3A0000}"/>
    <cellStyle name="Comma 5 4 13" xfId="36365" xr:uid="{00000000-0005-0000-0000-00007E3A0000}"/>
    <cellStyle name="Comma 5 4 14" xfId="37529" xr:uid="{00000000-0005-0000-0000-00007F3A0000}"/>
    <cellStyle name="Comma 5 4 15" xfId="41475" xr:uid="{00000000-0005-0000-0000-0000803A0000}"/>
    <cellStyle name="Comma 5 4 16" xfId="45371" xr:uid="{00000000-0005-0000-0000-0000813A0000}"/>
    <cellStyle name="Comma 5 4 17" xfId="8111" xr:uid="{00000000-0005-0000-0000-0000823A0000}"/>
    <cellStyle name="Comma 5 4 2" xfId="6079" xr:uid="{00000000-0005-0000-0000-0000833A0000}"/>
    <cellStyle name="Comma 5 4 2 10" xfId="34569" xr:uid="{00000000-0005-0000-0000-0000843A0000}"/>
    <cellStyle name="Comma 5 4 2 11" xfId="36729" xr:uid="{00000000-0005-0000-0000-0000853A0000}"/>
    <cellStyle name="Comma 5 4 2 12" xfId="38844" xr:uid="{00000000-0005-0000-0000-0000863A0000}"/>
    <cellStyle name="Comma 5 4 2 13" xfId="41883" xr:uid="{00000000-0005-0000-0000-0000873A0000}"/>
    <cellStyle name="Comma 5 4 2 14" xfId="45372" xr:uid="{00000000-0005-0000-0000-0000883A0000}"/>
    <cellStyle name="Comma 5 4 2 15" xfId="8902" xr:uid="{00000000-0005-0000-0000-0000893A0000}"/>
    <cellStyle name="Comma 5 4 2 2" xfId="12901" xr:uid="{00000000-0005-0000-0000-00008A3A0000}"/>
    <cellStyle name="Comma 5 4 2 2 2" xfId="31483" xr:uid="{00000000-0005-0000-0000-00008B3A0000}"/>
    <cellStyle name="Comma 5 4 2 2 3" xfId="33336" xr:uid="{00000000-0005-0000-0000-00008C3A0000}"/>
    <cellStyle name="Comma 5 4 2 2 4" xfId="35160" xr:uid="{00000000-0005-0000-0000-00008D3A0000}"/>
    <cellStyle name="Comma 5 4 2 2 5" xfId="37258" xr:uid="{00000000-0005-0000-0000-00008E3A0000}"/>
    <cellStyle name="Comma 5 4 2 2 6" xfId="40393" xr:uid="{00000000-0005-0000-0000-00008F3A0000}"/>
    <cellStyle name="Comma 5 4 2 2 7" xfId="43211" xr:uid="{00000000-0005-0000-0000-0000903A0000}"/>
    <cellStyle name="Comma 5 4 2 2 8" xfId="45373" xr:uid="{00000000-0005-0000-0000-0000913A0000}"/>
    <cellStyle name="Comma 5 4 2 3" xfId="12118" xr:uid="{00000000-0005-0000-0000-0000923A0000}"/>
    <cellStyle name="Comma 5 4 2 4" xfId="15783" xr:uid="{00000000-0005-0000-0000-0000933A0000}"/>
    <cellStyle name="Comma 5 4 2 5" xfId="30281" xr:uid="{00000000-0005-0000-0000-0000943A0000}"/>
    <cellStyle name="Comma 5 4 2 6" xfId="30892" xr:uid="{00000000-0005-0000-0000-0000953A0000}"/>
    <cellStyle name="Comma 5 4 2 7" xfId="32104" xr:uid="{00000000-0005-0000-0000-0000963A0000}"/>
    <cellStyle name="Comma 5 4 2 8" xfId="32746" xr:uid="{00000000-0005-0000-0000-0000973A0000}"/>
    <cellStyle name="Comma 5 4 2 9" xfId="33958" xr:uid="{00000000-0005-0000-0000-0000983A0000}"/>
    <cellStyle name="Comma 5 4 3" xfId="6399" xr:uid="{00000000-0005-0000-0000-0000993A0000}"/>
    <cellStyle name="Comma 5 4 3 2" xfId="31134" xr:uid="{00000000-0005-0000-0000-00009A3A0000}"/>
    <cellStyle name="Comma 5 4 3 2 2" xfId="40632" xr:uid="{00000000-0005-0000-0000-00009B3A0000}"/>
    <cellStyle name="Comma 5 4 3 2 3" xfId="43418" xr:uid="{00000000-0005-0000-0000-00009C3A0000}"/>
    <cellStyle name="Comma 5 4 3 2 4" xfId="45374" xr:uid="{00000000-0005-0000-0000-00009D3A0000}"/>
    <cellStyle name="Comma 5 4 3 3" xfId="32996" xr:uid="{00000000-0005-0000-0000-00009E3A0000}"/>
    <cellStyle name="Comma 5 4 3 4" xfId="34811" xr:uid="{00000000-0005-0000-0000-00009F3A0000}"/>
    <cellStyle name="Comma 5 4 3 5" xfId="36917" xr:uid="{00000000-0005-0000-0000-0000A03A0000}"/>
    <cellStyle name="Comma 5 4 3 6" xfId="39064" xr:uid="{00000000-0005-0000-0000-0000A13A0000}"/>
    <cellStyle name="Comma 5 4 3 7" xfId="42090" xr:uid="{00000000-0005-0000-0000-0000A23A0000}"/>
    <cellStyle name="Comma 5 4 3 8" xfId="45375" xr:uid="{00000000-0005-0000-0000-0000A33A0000}"/>
    <cellStyle name="Comma 5 4 3 9" xfId="12423" xr:uid="{00000000-0005-0000-0000-0000A43A0000}"/>
    <cellStyle name="Comma 5 4 4" xfId="11769" xr:uid="{00000000-0005-0000-0000-0000A53A0000}"/>
    <cellStyle name="Comma 5 4 4 2" xfId="41249" xr:uid="{00000000-0005-0000-0000-0000A63A0000}"/>
    <cellStyle name="Comma 5 4 4 2 2" xfId="43929" xr:uid="{00000000-0005-0000-0000-0000A73A0000}"/>
    <cellStyle name="Comma 5 4 4 2 3" xfId="45376" xr:uid="{00000000-0005-0000-0000-0000A83A0000}"/>
    <cellStyle name="Comma 5 4 4 3" xfId="39666" xr:uid="{00000000-0005-0000-0000-0000A93A0000}"/>
    <cellStyle name="Comma 5 4 4 4" xfId="42601" xr:uid="{00000000-0005-0000-0000-0000AA3A0000}"/>
    <cellStyle name="Comma 5 4 4 5" xfId="45377" xr:uid="{00000000-0005-0000-0000-0000AB3A0000}"/>
    <cellStyle name="Comma 5 4 5" xfId="15782" xr:uid="{00000000-0005-0000-0000-0000AC3A0000}"/>
    <cellStyle name="Comma 5 4 5 2" xfId="39904" xr:uid="{00000000-0005-0000-0000-0000AD3A0000}"/>
    <cellStyle name="Comma 5 4 5 3" xfId="42803" xr:uid="{00000000-0005-0000-0000-0000AE3A0000}"/>
    <cellStyle name="Comma 5 4 5 4" xfId="45378" xr:uid="{00000000-0005-0000-0000-0000AF3A0000}"/>
    <cellStyle name="Comma 5 4 6" xfId="30280" xr:uid="{00000000-0005-0000-0000-0000B03A0000}"/>
    <cellStyle name="Comma 5 4 7" xfId="30543" xr:uid="{00000000-0005-0000-0000-0000B13A0000}"/>
    <cellStyle name="Comma 5 4 8" xfId="32103" xr:uid="{00000000-0005-0000-0000-0000B23A0000}"/>
    <cellStyle name="Comma 5 4 9" xfId="32745" xr:uid="{00000000-0005-0000-0000-0000B33A0000}"/>
    <cellStyle name="Comma 5 5" xfId="4451" xr:uid="{00000000-0005-0000-0000-0000B43A0000}"/>
    <cellStyle name="Comma 5 5 10" xfId="34570" xr:uid="{00000000-0005-0000-0000-0000B53A0000}"/>
    <cellStyle name="Comma 5 5 11" xfId="35634" xr:uid="{00000000-0005-0000-0000-0000B63A0000}"/>
    <cellStyle name="Comma 5 5 12" xfId="36730" xr:uid="{00000000-0005-0000-0000-0000B73A0000}"/>
    <cellStyle name="Comma 5 5 13" xfId="38703" xr:uid="{00000000-0005-0000-0000-0000B83A0000}"/>
    <cellStyle name="Comma 5 5 14" xfId="41743" xr:uid="{00000000-0005-0000-0000-0000B93A0000}"/>
    <cellStyle name="Comma 5 5 15" xfId="45379" xr:uid="{00000000-0005-0000-0000-0000BA3A0000}"/>
    <cellStyle name="Comma 5 5 16" xfId="8903" xr:uid="{00000000-0005-0000-0000-0000BB3A0000}"/>
    <cellStyle name="Comma 5 5 2" xfId="5902" xr:uid="{00000000-0005-0000-0000-0000BC3A0000}"/>
    <cellStyle name="Comma 5 5 2 2" xfId="31484" xr:uid="{00000000-0005-0000-0000-0000BD3A0000}"/>
    <cellStyle name="Comma 5 5 2 2 2" xfId="40759" xr:uid="{00000000-0005-0000-0000-0000BE3A0000}"/>
    <cellStyle name="Comma 5 5 2 2 3" xfId="43522" xr:uid="{00000000-0005-0000-0000-0000BF3A0000}"/>
    <cellStyle name="Comma 5 5 2 2 4" xfId="45380" xr:uid="{00000000-0005-0000-0000-0000C03A0000}"/>
    <cellStyle name="Comma 5 5 2 3" xfId="33337" xr:uid="{00000000-0005-0000-0000-0000C13A0000}"/>
    <cellStyle name="Comma 5 5 2 4" xfId="35161" xr:uid="{00000000-0005-0000-0000-0000C23A0000}"/>
    <cellStyle name="Comma 5 5 2 5" xfId="37259" xr:uid="{00000000-0005-0000-0000-0000C33A0000}"/>
    <cellStyle name="Comma 5 5 2 6" xfId="39186" xr:uid="{00000000-0005-0000-0000-0000C43A0000}"/>
    <cellStyle name="Comma 5 5 2 7" xfId="42194" xr:uid="{00000000-0005-0000-0000-0000C53A0000}"/>
    <cellStyle name="Comma 5 5 2 8" xfId="45381" xr:uid="{00000000-0005-0000-0000-0000C63A0000}"/>
    <cellStyle name="Comma 5 5 2 9" xfId="12902" xr:uid="{00000000-0005-0000-0000-0000C73A0000}"/>
    <cellStyle name="Comma 5 5 3" xfId="12119" xr:uid="{00000000-0005-0000-0000-0000C83A0000}"/>
    <cellStyle name="Comma 5 5 3 2" xfId="41077" xr:uid="{00000000-0005-0000-0000-0000C93A0000}"/>
    <cellStyle name="Comma 5 5 3 2 2" xfId="43789" xr:uid="{00000000-0005-0000-0000-0000CA3A0000}"/>
    <cellStyle name="Comma 5 5 3 2 3" xfId="45382" xr:uid="{00000000-0005-0000-0000-0000CB3A0000}"/>
    <cellStyle name="Comma 5 5 3 3" xfId="39501" xr:uid="{00000000-0005-0000-0000-0000CC3A0000}"/>
    <cellStyle name="Comma 5 5 3 4" xfId="42461" xr:uid="{00000000-0005-0000-0000-0000CD3A0000}"/>
    <cellStyle name="Comma 5 5 3 5" xfId="45383" xr:uid="{00000000-0005-0000-0000-0000CE3A0000}"/>
    <cellStyle name="Comma 5 5 4" xfId="15784" xr:uid="{00000000-0005-0000-0000-0000CF3A0000}"/>
    <cellStyle name="Comma 5 5 4 2" xfId="40222" xr:uid="{00000000-0005-0000-0000-0000D03A0000}"/>
    <cellStyle name="Comma 5 5 4 3" xfId="43071" xr:uid="{00000000-0005-0000-0000-0000D13A0000}"/>
    <cellStyle name="Comma 5 5 4 4" xfId="45384" xr:uid="{00000000-0005-0000-0000-0000D23A0000}"/>
    <cellStyle name="Comma 5 5 5" xfId="30282" xr:uid="{00000000-0005-0000-0000-0000D33A0000}"/>
    <cellStyle name="Comma 5 5 6" xfId="30893" xr:uid="{00000000-0005-0000-0000-0000D43A0000}"/>
    <cellStyle name="Comma 5 5 7" xfId="32105" xr:uid="{00000000-0005-0000-0000-0000D53A0000}"/>
    <cellStyle name="Comma 5 5 8" xfId="32747" xr:uid="{00000000-0005-0000-0000-0000D63A0000}"/>
    <cellStyle name="Comma 5 5 9" xfId="33959" xr:uid="{00000000-0005-0000-0000-0000D73A0000}"/>
    <cellStyle name="Comma 5 6" xfId="5764" xr:uid="{00000000-0005-0000-0000-0000D83A0000}"/>
    <cellStyle name="Comma 5 6 10" xfId="34565" xr:uid="{00000000-0005-0000-0000-0000D93A0000}"/>
    <cellStyle name="Comma 5 6 11" xfId="36727" xr:uid="{00000000-0005-0000-0000-0000DA3A0000}"/>
    <cellStyle name="Comma 5 6 12" xfId="38131" xr:uid="{00000000-0005-0000-0000-0000DB3A0000}"/>
    <cellStyle name="Comma 5 6 13" xfId="41628" xr:uid="{00000000-0005-0000-0000-0000DC3A0000}"/>
    <cellStyle name="Comma 5 6 14" xfId="45385" xr:uid="{00000000-0005-0000-0000-0000DD3A0000}"/>
    <cellStyle name="Comma 5 6 15" xfId="8898" xr:uid="{00000000-0005-0000-0000-0000DE3A0000}"/>
    <cellStyle name="Comma 5 6 2" xfId="12897" xr:uid="{00000000-0005-0000-0000-0000DF3A0000}"/>
    <cellStyle name="Comma 5 6 2 2" xfId="31479" xr:uid="{00000000-0005-0000-0000-0000E03A0000}"/>
    <cellStyle name="Comma 5 6 2 3" xfId="33332" xr:uid="{00000000-0005-0000-0000-0000E13A0000}"/>
    <cellStyle name="Comma 5 6 2 4" xfId="35156" xr:uid="{00000000-0005-0000-0000-0000E23A0000}"/>
    <cellStyle name="Comma 5 6 2 5" xfId="37254" xr:uid="{00000000-0005-0000-0000-0000E33A0000}"/>
    <cellStyle name="Comma 5 6 2 6" xfId="40087" xr:uid="{00000000-0005-0000-0000-0000E43A0000}"/>
    <cellStyle name="Comma 5 6 2 7" xfId="42956" xr:uid="{00000000-0005-0000-0000-0000E53A0000}"/>
    <cellStyle name="Comma 5 6 2 8" xfId="45386" xr:uid="{00000000-0005-0000-0000-0000E63A0000}"/>
    <cellStyle name="Comma 5 6 3" xfId="12114" xr:uid="{00000000-0005-0000-0000-0000E73A0000}"/>
    <cellStyle name="Comma 5 6 4" xfId="15785" xr:uid="{00000000-0005-0000-0000-0000E83A0000}"/>
    <cellStyle name="Comma 5 6 5" xfId="30283" xr:uid="{00000000-0005-0000-0000-0000E93A0000}"/>
    <cellStyle name="Comma 5 6 6" xfId="30888" xr:uid="{00000000-0005-0000-0000-0000EA3A0000}"/>
    <cellStyle name="Comma 5 6 7" xfId="32106" xr:uid="{00000000-0005-0000-0000-0000EB3A0000}"/>
    <cellStyle name="Comma 5 6 8" xfId="32748" xr:uid="{00000000-0005-0000-0000-0000EC3A0000}"/>
    <cellStyle name="Comma 5 6 9" xfId="33960" xr:uid="{00000000-0005-0000-0000-0000ED3A0000}"/>
    <cellStyle name="Comma 5 7" xfId="6223" xr:uid="{00000000-0005-0000-0000-0000EE3A0000}"/>
    <cellStyle name="Comma 5 7 10" xfId="34651" xr:uid="{00000000-0005-0000-0000-0000EF3A0000}"/>
    <cellStyle name="Comma 5 7 11" xfId="36779" xr:uid="{00000000-0005-0000-0000-0000F03A0000}"/>
    <cellStyle name="Comma 5 7 12" xfId="38957" xr:uid="{00000000-0005-0000-0000-0000F13A0000}"/>
    <cellStyle name="Comma 5 7 13" xfId="41988" xr:uid="{00000000-0005-0000-0000-0000F23A0000}"/>
    <cellStyle name="Comma 5 7 14" xfId="45387" xr:uid="{00000000-0005-0000-0000-0000F33A0000}"/>
    <cellStyle name="Comma 5 7 15" xfId="11537" xr:uid="{00000000-0005-0000-0000-0000F43A0000}"/>
    <cellStyle name="Comma 5 7 2" xfId="15158" xr:uid="{00000000-0005-0000-0000-0000F53A0000}"/>
    <cellStyle name="Comma 5 7 2 2" xfId="31565" xr:uid="{00000000-0005-0000-0000-0000F63A0000}"/>
    <cellStyle name="Comma 5 7 2 3" xfId="33418" xr:uid="{00000000-0005-0000-0000-0000F73A0000}"/>
    <cellStyle name="Comma 5 7 2 4" xfId="35242" xr:uid="{00000000-0005-0000-0000-0000F83A0000}"/>
    <cellStyle name="Comma 5 7 2 5" xfId="37322" xr:uid="{00000000-0005-0000-0000-0000F93A0000}"/>
    <cellStyle name="Comma 5 7 2 6" xfId="40515" xr:uid="{00000000-0005-0000-0000-0000FA3A0000}"/>
    <cellStyle name="Comma 5 7 2 7" xfId="43316" xr:uid="{00000000-0005-0000-0000-0000FB3A0000}"/>
    <cellStyle name="Comma 5 7 2 8" xfId="45388" xr:uid="{00000000-0005-0000-0000-0000FC3A0000}"/>
    <cellStyle name="Comma 5 7 3" xfId="12200" xr:uid="{00000000-0005-0000-0000-0000FD3A0000}"/>
    <cellStyle name="Comma 5 7 4" xfId="15786" xr:uid="{00000000-0005-0000-0000-0000FE3A0000}"/>
    <cellStyle name="Comma 5 7 5" xfId="30284" xr:uid="{00000000-0005-0000-0000-0000FF3A0000}"/>
    <cellStyle name="Comma 5 7 6" xfId="30974" xr:uid="{00000000-0005-0000-0000-0000003B0000}"/>
    <cellStyle name="Comma 5 7 7" xfId="32107" xr:uid="{00000000-0005-0000-0000-0000013B0000}"/>
    <cellStyle name="Comma 5 7 8" xfId="32749" xr:uid="{00000000-0005-0000-0000-0000023B0000}"/>
    <cellStyle name="Comma 5 7 9" xfId="33961" xr:uid="{00000000-0005-0000-0000-0000033B0000}"/>
    <cellStyle name="Comma 5 8" xfId="12268" xr:uid="{00000000-0005-0000-0000-0000043B0000}"/>
    <cellStyle name="Comma 5 8 2" xfId="31041" xr:uid="{00000000-0005-0000-0000-0000053B0000}"/>
    <cellStyle name="Comma 5 8 2 2" xfId="40939" xr:uid="{00000000-0005-0000-0000-0000063B0000}"/>
    <cellStyle name="Comma 5 8 2 3" xfId="43674" xr:uid="{00000000-0005-0000-0000-0000073B0000}"/>
    <cellStyle name="Comma 5 8 2 4" xfId="45389" xr:uid="{00000000-0005-0000-0000-0000083B0000}"/>
    <cellStyle name="Comma 5 8 3" xfId="32910" xr:uid="{00000000-0005-0000-0000-0000093B0000}"/>
    <cellStyle name="Comma 5 8 4" xfId="34718" xr:uid="{00000000-0005-0000-0000-00000A3B0000}"/>
    <cellStyle name="Comma 5 8 5" xfId="36826" xr:uid="{00000000-0005-0000-0000-00000B3B0000}"/>
    <cellStyle name="Comma 5 8 6" xfId="39368" xr:uid="{00000000-0005-0000-0000-00000C3B0000}"/>
    <cellStyle name="Comma 5 8 7" xfId="42346" xr:uid="{00000000-0005-0000-0000-00000D3B0000}"/>
    <cellStyle name="Comma 5 8 8" xfId="45390" xr:uid="{00000000-0005-0000-0000-00000E3B0000}"/>
    <cellStyle name="Comma 5 9" xfId="11674" xr:uid="{00000000-0005-0000-0000-00000F3B0000}"/>
    <cellStyle name="Comma 5 9 2" xfId="39758" xr:uid="{00000000-0005-0000-0000-0000103B0000}"/>
    <cellStyle name="Comma 5 9 3" xfId="42671" xr:uid="{00000000-0005-0000-0000-0000113B0000}"/>
    <cellStyle name="Comma 5 9 4" xfId="45391" xr:uid="{00000000-0005-0000-0000-0000123B0000}"/>
    <cellStyle name="Comma 6" xfId="2802" xr:uid="{00000000-0005-0000-0000-0000133B0000}"/>
    <cellStyle name="Comma 6 10" xfId="15787" xr:uid="{00000000-0005-0000-0000-0000143B0000}"/>
    <cellStyle name="Comma 6 11" xfId="30285" xr:uid="{00000000-0005-0000-0000-0000153B0000}"/>
    <cellStyle name="Comma 6 12" xfId="30451" xr:uid="{00000000-0005-0000-0000-0000163B0000}"/>
    <cellStyle name="Comma 6 13" xfId="32108" xr:uid="{00000000-0005-0000-0000-0000173B0000}"/>
    <cellStyle name="Comma 6 14" xfId="32750" xr:uid="{00000000-0005-0000-0000-0000183B0000}"/>
    <cellStyle name="Comma 6 15" xfId="33962" xr:uid="{00000000-0005-0000-0000-0000193B0000}"/>
    <cellStyle name="Comma 6 16" xfId="34128" xr:uid="{00000000-0005-0000-0000-00001A3B0000}"/>
    <cellStyle name="Comma 6 17" xfId="35364" xr:uid="{00000000-0005-0000-0000-00001B3B0000}"/>
    <cellStyle name="Comma 6 18" xfId="36227" xr:uid="{00000000-0005-0000-0000-00001C3B0000}"/>
    <cellStyle name="Comma 6 19" xfId="37396" xr:uid="{00000000-0005-0000-0000-00001D3B0000}"/>
    <cellStyle name="Comma 6 2" xfId="1035" xr:uid="{00000000-0005-0000-0000-00001E3B0000}"/>
    <cellStyle name="Comma 6 2 10" xfId="32109" xr:uid="{00000000-0005-0000-0000-00001F3B0000}"/>
    <cellStyle name="Comma 6 2 11" xfId="32751" xr:uid="{00000000-0005-0000-0000-0000203B0000}"/>
    <cellStyle name="Comma 6 2 12" xfId="33963" xr:uid="{00000000-0005-0000-0000-0000213B0000}"/>
    <cellStyle name="Comma 6 2 13" xfId="34166" xr:uid="{00000000-0005-0000-0000-0000223B0000}"/>
    <cellStyle name="Comma 6 2 14" xfId="35289" xr:uid="{00000000-0005-0000-0000-0000233B0000}"/>
    <cellStyle name="Comma 6 2 15" xfId="36228" xr:uid="{00000000-0005-0000-0000-0000243B0000}"/>
    <cellStyle name="Comma 6 2 16" xfId="37458" xr:uid="{00000000-0005-0000-0000-0000253B0000}"/>
    <cellStyle name="Comma 6 2 17" xfId="41405" xr:uid="{00000000-0005-0000-0000-0000263B0000}"/>
    <cellStyle name="Comma 6 2 18" xfId="45392" xr:uid="{00000000-0005-0000-0000-0000273B0000}"/>
    <cellStyle name="Comma 6 2 19" xfId="6679" xr:uid="{00000000-0005-0000-0000-0000283B0000}"/>
    <cellStyle name="Comma 6 2 2" xfId="2803" xr:uid="{00000000-0005-0000-0000-0000293B0000}"/>
    <cellStyle name="Comma 6 2 2 10" xfId="33964" xr:uid="{00000000-0005-0000-0000-00002A3B0000}"/>
    <cellStyle name="Comma 6 2 2 11" xfId="34318" xr:uid="{00000000-0005-0000-0000-00002B3B0000}"/>
    <cellStyle name="Comma 6 2 2 12" xfId="35365" xr:uid="{00000000-0005-0000-0000-00002C3B0000}"/>
    <cellStyle name="Comma 6 2 2 13" xfId="36369" xr:uid="{00000000-0005-0000-0000-00002D3B0000}"/>
    <cellStyle name="Comma 6 2 2 14" xfId="37532" xr:uid="{00000000-0005-0000-0000-00002E3B0000}"/>
    <cellStyle name="Comma 6 2 2 15" xfId="41478" xr:uid="{00000000-0005-0000-0000-00002F3B0000}"/>
    <cellStyle name="Comma 6 2 2 16" xfId="45393" xr:uid="{00000000-0005-0000-0000-0000303B0000}"/>
    <cellStyle name="Comma 6 2 2 17" xfId="8555" xr:uid="{00000000-0005-0000-0000-0000313B0000}"/>
    <cellStyle name="Comma 6 2 2 2" xfId="5114" xr:uid="{00000000-0005-0000-0000-0000323B0000}"/>
    <cellStyle name="Comma 6 2 2 2 10" xfId="34573" xr:uid="{00000000-0005-0000-0000-0000333B0000}"/>
    <cellStyle name="Comma 6 2 2 2 11" xfId="36069" xr:uid="{00000000-0005-0000-0000-0000343B0000}"/>
    <cellStyle name="Comma 6 2 2 2 12" xfId="36732" xr:uid="{00000000-0005-0000-0000-0000353B0000}"/>
    <cellStyle name="Comma 6 2 2 2 13" xfId="38848" xr:uid="{00000000-0005-0000-0000-0000363B0000}"/>
    <cellStyle name="Comma 6 2 2 2 14" xfId="41887" xr:uid="{00000000-0005-0000-0000-0000373B0000}"/>
    <cellStyle name="Comma 6 2 2 2 15" xfId="45394" xr:uid="{00000000-0005-0000-0000-0000383B0000}"/>
    <cellStyle name="Comma 6 2 2 2 16" xfId="8906" xr:uid="{00000000-0005-0000-0000-0000393B0000}"/>
    <cellStyle name="Comma 6 2 2 2 2" xfId="6083" xr:uid="{00000000-0005-0000-0000-00003A3B0000}"/>
    <cellStyle name="Comma 6 2 2 2 2 2" xfId="31487" xr:uid="{00000000-0005-0000-0000-00003B3B0000}"/>
    <cellStyle name="Comma 6 2 2 2 2 2 2" xfId="41253" xr:uid="{00000000-0005-0000-0000-00003C3B0000}"/>
    <cellStyle name="Comma 6 2 2 2 2 2 3" xfId="43933" xr:uid="{00000000-0005-0000-0000-00003D3B0000}"/>
    <cellStyle name="Comma 6 2 2 2 2 2 4" xfId="45395" xr:uid="{00000000-0005-0000-0000-00003E3B0000}"/>
    <cellStyle name="Comma 6 2 2 2 2 3" xfId="33340" xr:uid="{00000000-0005-0000-0000-00003F3B0000}"/>
    <cellStyle name="Comma 6 2 2 2 2 4" xfId="35164" xr:uid="{00000000-0005-0000-0000-0000403B0000}"/>
    <cellStyle name="Comma 6 2 2 2 2 5" xfId="37262" xr:uid="{00000000-0005-0000-0000-0000413B0000}"/>
    <cellStyle name="Comma 6 2 2 2 2 6" xfId="39670" xr:uid="{00000000-0005-0000-0000-0000423B0000}"/>
    <cellStyle name="Comma 6 2 2 2 2 7" xfId="42605" xr:uid="{00000000-0005-0000-0000-0000433B0000}"/>
    <cellStyle name="Comma 6 2 2 2 2 8" xfId="45396" xr:uid="{00000000-0005-0000-0000-0000443B0000}"/>
    <cellStyle name="Comma 6 2 2 2 2 9" xfId="12905" xr:uid="{00000000-0005-0000-0000-0000453B0000}"/>
    <cellStyle name="Comma 6 2 2 2 3" xfId="12122" xr:uid="{00000000-0005-0000-0000-0000463B0000}"/>
    <cellStyle name="Comma 6 2 2 2 3 2" xfId="40397" xr:uid="{00000000-0005-0000-0000-0000473B0000}"/>
    <cellStyle name="Comma 6 2 2 2 3 3" xfId="43215" xr:uid="{00000000-0005-0000-0000-0000483B0000}"/>
    <cellStyle name="Comma 6 2 2 2 3 4" xfId="45397" xr:uid="{00000000-0005-0000-0000-0000493B0000}"/>
    <cellStyle name="Comma 6 2 2 2 4" xfId="15790" xr:uid="{00000000-0005-0000-0000-00004A3B0000}"/>
    <cellStyle name="Comma 6 2 2 2 5" xfId="30288" xr:uid="{00000000-0005-0000-0000-00004B3B0000}"/>
    <cellStyle name="Comma 6 2 2 2 6" xfId="30896" xr:uid="{00000000-0005-0000-0000-00004C3B0000}"/>
    <cellStyle name="Comma 6 2 2 2 7" xfId="32111" xr:uid="{00000000-0005-0000-0000-00004D3B0000}"/>
    <cellStyle name="Comma 6 2 2 2 8" xfId="32753" xr:uid="{00000000-0005-0000-0000-00004E3B0000}"/>
    <cellStyle name="Comma 6 2 2 2 9" xfId="33965" xr:uid="{00000000-0005-0000-0000-00004F3B0000}"/>
    <cellStyle name="Comma 6 2 2 3" xfId="5768" xr:uid="{00000000-0005-0000-0000-0000503B0000}"/>
    <cellStyle name="Comma 6 2 2 3 2" xfId="31232" xr:uid="{00000000-0005-0000-0000-0000513B0000}"/>
    <cellStyle name="Comma 6 2 2 3 2 2" xfId="40091" xr:uid="{00000000-0005-0000-0000-0000523B0000}"/>
    <cellStyle name="Comma 6 2 2 3 2 3" xfId="42960" xr:uid="{00000000-0005-0000-0000-0000533B0000}"/>
    <cellStyle name="Comma 6 2 2 3 2 4" xfId="45398" xr:uid="{00000000-0005-0000-0000-0000543B0000}"/>
    <cellStyle name="Comma 6 2 2 3 3" xfId="33088" xr:uid="{00000000-0005-0000-0000-0000553B0000}"/>
    <cellStyle name="Comma 6 2 2 3 4" xfId="34909" xr:uid="{00000000-0005-0000-0000-0000563B0000}"/>
    <cellStyle name="Comma 6 2 2 3 5" xfId="37009" xr:uid="{00000000-0005-0000-0000-0000573B0000}"/>
    <cellStyle name="Comma 6 2 2 3 6" xfId="38135" xr:uid="{00000000-0005-0000-0000-0000583B0000}"/>
    <cellStyle name="Comma 6 2 2 3 7" xfId="41632" xr:uid="{00000000-0005-0000-0000-0000593B0000}"/>
    <cellStyle name="Comma 6 2 2 3 8" xfId="45399" xr:uid="{00000000-0005-0000-0000-00005A3B0000}"/>
    <cellStyle name="Comma 6 2 2 3 9" xfId="12590" xr:uid="{00000000-0005-0000-0000-00005B3B0000}"/>
    <cellStyle name="Comma 6 2 2 4" xfId="6403" xr:uid="{00000000-0005-0000-0000-00005C3B0000}"/>
    <cellStyle name="Comma 6 2 2 4 2" xfId="40636" xr:uid="{00000000-0005-0000-0000-00005D3B0000}"/>
    <cellStyle name="Comma 6 2 2 4 2 2" xfId="43422" xr:uid="{00000000-0005-0000-0000-00005E3B0000}"/>
    <cellStyle name="Comma 6 2 2 4 2 3" xfId="45400" xr:uid="{00000000-0005-0000-0000-00005F3B0000}"/>
    <cellStyle name="Comma 6 2 2 4 3" xfId="39068" xr:uid="{00000000-0005-0000-0000-0000603B0000}"/>
    <cellStyle name="Comma 6 2 2 4 4" xfId="42094" xr:uid="{00000000-0005-0000-0000-0000613B0000}"/>
    <cellStyle name="Comma 6 2 2 4 5" xfId="45401" xr:uid="{00000000-0005-0000-0000-0000623B0000}"/>
    <cellStyle name="Comma 6 2 2 4 6" xfId="11867" xr:uid="{00000000-0005-0000-0000-0000633B0000}"/>
    <cellStyle name="Comma 6 2 2 5" xfId="15789" xr:uid="{00000000-0005-0000-0000-0000643B0000}"/>
    <cellStyle name="Comma 6 2 2 5 2" xfId="40943" xr:uid="{00000000-0005-0000-0000-0000653B0000}"/>
    <cellStyle name="Comma 6 2 2 5 2 2" xfId="43678" xr:uid="{00000000-0005-0000-0000-0000663B0000}"/>
    <cellStyle name="Comma 6 2 2 5 2 3" xfId="45402" xr:uid="{00000000-0005-0000-0000-0000673B0000}"/>
    <cellStyle name="Comma 6 2 2 5 3" xfId="39372" xr:uid="{00000000-0005-0000-0000-0000683B0000}"/>
    <cellStyle name="Comma 6 2 2 5 4" xfId="42350" xr:uid="{00000000-0005-0000-0000-0000693B0000}"/>
    <cellStyle name="Comma 6 2 2 5 5" xfId="45403" xr:uid="{00000000-0005-0000-0000-00006A3B0000}"/>
    <cellStyle name="Comma 6 2 2 6" xfId="30287" xr:uid="{00000000-0005-0000-0000-00006B3B0000}"/>
    <cellStyle name="Comma 6 2 2 6 2" xfId="39907" xr:uid="{00000000-0005-0000-0000-00006C3B0000}"/>
    <cellStyle name="Comma 6 2 2 6 3" xfId="42806" xr:uid="{00000000-0005-0000-0000-00006D3B0000}"/>
    <cellStyle name="Comma 6 2 2 6 4" xfId="45404" xr:uid="{00000000-0005-0000-0000-00006E3B0000}"/>
    <cellStyle name="Comma 6 2 2 7" xfId="30641" xr:uid="{00000000-0005-0000-0000-00006F3B0000}"/>
    <cellStyle name="Comma 6 2 2 8" xfId="32110" xr:uid="{00000000-0005-0000-0000-0000703B0000}"/>
    <cellStyle name="Comma 6 2 2 9" xfId="32752" xr:uid="{00000000-0005-0000-0000-0000713B0000}"/>
    <cellStyle name="Comma 6 2 3" xfId="4548" xr:uid="{00000000-0005-0000-0000-0000723B0000}"/>
    <cellStyle name="Comma 6 2 3 10" xfId="34572" xr:uid="{00000000-0005-0000-0000-0000733B0000}"/>
    <cellStyle name="Comma 6 2 3 11" xfId="35709" xr:uid="{00000000-0005-0000-0000-0000743B0000}"/>
    <cellStyle name="Comma 6 2 3 12" xfId="36296" xr:uid="{00000000-0005-0000-0000-0000753B0000}"/>
    <cellStyle name="Comma 6 2 3 13" xfId="38774" xr:uid="{00000000-0005-0000-0000-0000763B0000}"/>
    <cellStyle name="Comma 6 2 3 14" xfId="41814" xr:uid="{00000000-0005-0000-0000-0000773B0000}"/>
    <cellStyle name="Comma 6 2 3 15" xfId="45405" xr:uid="{00000000-0005-0000-0000-0000783B0000}"/>
    <cellStyle name="Comma 6 2 3 16" xfId="8905" xr:uid="{00000000-0005-0000-0000-0000793B0000}"/>
    <cellStyle name="Comma 6 2 3 2" xfId="5997" xr:uid="{00000000-0005-0000-0000-00007A3B0000}"/>
    <cellStyle name="Comma 6 2 3 2 2" xfId="31486" xr:uid="{00000000-0005-0000-0000-00007B3B0000}"/>
    <cellStyle name="Comma 6 2 3 2 2 2" xfId="40555" xr:uid="{00000000-0005-0000-0000-00007C3B0000}"/>
    <cellStyle name="Comma 6 2 3 2 2 3" xfId="43349" xr:uid="{00000000-0005-0000-0000-00007D3B0000}"/>
    <cellStyle name="Comma 6 2 3 2 2 4" xfId="45406" xr:uid="{00000000-0005-0000-0000-00007E3B0000}"/>
    <cellStyle name="Comma 6 2 3 2 3" xfId="33339" xr:uid="{00000000-0005-0000-0000-00007F3B0000}"/>
    <cellStyle name="Comma 6 2 3 2 4" xfId="35163" xr:uid="{00000000-0005-0000-0000-0000803B0000}"/>
    <cellStyle name="Comma 6 2 3 2 5" xfId="37261" xr:uid="{00000000-0005-0000-0000-0000813B0000}"/>
    <cellStyle name="Comma 6 2 3 2 6" xfId="38992" xr:uid="{00000000-0005-0000-0000-0000823B0000}"/>
    <cellStyle name="Comma 6 2 3 2 7" xfId="42021" xr:uid="{00000000-0005-0000-0000-0000833B0000}"/>
    <cellStyle name="Comma 6 2 3 2 8" xfId="45407" xr:uid="{00000000-0005-0000-0000-0000843B0000}"/>
    <cellStyle name="Comma 6 2 3 2 9" xfId="12904" xr:uid="{00000000-0005-0000-0000-0000853B0000}"/>
    <cellStyle name="Comma 6 2 3 3" xfId="6318" xr:uid="{00000000-0005-0000-0000-0000863B0000}"/>
    <cellStyle name="Comma 6 2 3 3 2" xfId="41170" xr:uid="{00000000-0005-0000-0000-0000873B0000}"/>
    <cellStyle name="Comma 6 2 3 3 2 2" xfId="43860" xr:uid="{00000000-0005-0000-0000-0000883B0000}"/>
    <cellStyle name="Comma 6 2 3 3 2 3" xfId="45408" xr:uid="{00000000-0005-0000-0000-0000893B0000}"/>
    <cellStyle name="Comma 6 2 3 3 3" xfId="39589" xr:uid="{00000000-0005-0000-0000-00008A3B0000}"/>
    <cellStyle name="Comma 6 2 3 3 4" xfId="42532" xr:uid="{00000000-0005-0000-0000-00008B3B0000}"/>
    <cellStyle name="Comma 6 2 3 3 5" xfId="45409" xr:uid="{00000000-0005-0000-0000-00008C3B0000}"/>
    <cellStyle name="Comma 6 2 3 3 6" xfId="12121" xr:uid="{00000000-0005-0000-0000-00008D3B0000}"/>
    <cellStyle name="Comma 6 2 3 4" xfId="15791" xr:uid="{00000000-0005-0000-0000-00008E3B0000}"/>
    <cellStyle name="Comma 6 2 3 4 2" xfId="40315" xr:uid="{00000000-0005-0000-0000-00008F3B0000}"/>
    <cellStyle name="Comma 6 2 3 4 3" xfId="43142" xr:uid="{00000000-0005-0000-0000-0000903B0000}"/>
    <cellStyle name="Comma 6 2 3 4 4" xfId="45410" xr:uid="{00000000-0005-0000-0000-0000913B0000}"/>
    <cellStyle name="Comma 6 2 3 5" xfId="30289" xr:uid="{00000000-0005-0000-0000-0000923B0000}"/>
    <cellStyle name="Comma 6 2 3 6" xfId="30895" xr:uid="{00000000-0005-0000-0000-0000933B0000}"/>
    <cellStyle name="Comma 6 2 3 7" xfId="32112" xr:uid="{00000000-0005-0000-0000-0000943B0000}"/>
    <cellStyle name="Comma 6 2 3 8" xfId="32754" xr:uid="{00000000-0005-0000-0000-0000953B0000}"/>
    <cellStyle name="Comma 6 2 3 9" xfId="33966" xr:uid="{00000000-0005-0000-0000-0000963B0000}"/>
    <cellStyle name="Comma 6 2 4" xfId="4455" xr:uid="{00000000-0005-0000-0000-0000973B0000}"/>
    <cellStyle name="Comma 6 2 4 10" xfId="34654" xr:uid="{00000000-0005-0000-0000-0000983B0000}"/>
    <cellStyle name="Comma 6 2 4 11" xfId="35638" xr:uid="{00000000-0005-0000-0000-0000993B0000}"/>
    <cellStyle name="Comma 6 2 4 12" xfId="36782" xr:uid="{00000000-0005-0000-0000-00009A3B0000}"/>
    <cellStyle name="Comma 6 2 4 13" xfId="38707" xr:uid="{00000000-0005-0000-0000-00009B3B0000}"/>
    <cellStyle name="Comma 6 2 4 14" xfId="41747" xr:uid="{00000000-0005-0000-0000-00009C3B0000}"/>
    <cellStyle name="Comma 6 2 4 15" xfId="45411" xr:uid="{00000000-0005-0000-0000-00009D3B0000}"/>
    <cellStyle name="Comma 6 2 4 16" xfId="11540" xr:uid="{00000000-0005-0000-0000-00009E3B0000}"/>
    <cellStyle name="Comma 6 2 4 2" xfId="5906" xr:uid="{00000000-0005-0000-0000-00009F3B0000}"/>
    <cellStyle name="Comma 6 2 4 2 2" xfId="31568" xr:uid="{00000000-0005-0000-0000-0000A03B0000}"/>
    <cellStyle name="Comma 6 2 4 2 2 2" xfId="40762" xr:uid="{00000000-0005-0000-0000-0000A13B0000}"/>
    <cellStyle name="Comma 6 2 4 2 2 3" xfId="43525" xr:uid="{00000000-0005-0000-0000-0000A23B0000}"/>
    <cellStyle name="Comma 6 2 4 2 2 4" xfId="45412" xr:uid="{00000000-0005-0000-0000-0000A33B0000}"/>
    <cellStyle name="Comma 6 2 4 2 3" xfId="33421" xr:uid="{00000000-0005-0000-0000-0000A43B0000}"/>
    <cellStyle name="Comma 6 2 4 2 4" xfId="35245" xr:uid="{00000000-0005-0000-0000-0000A53B0000}"/>
    <cellStyle name="Comma 6 2 4 2 5" xfId="37325" xr:uid="{00000000-0005-0000-0000-0000A63B0000}"/>
    <cellStyle name="Comma 6 2 4 2 6" xfId="39189" xr:uid="{00000000-0005-0000-0000-0000A73B0000}"/>
    <cellStyle name="Comma 6 2 4 2 7" xfId="42197" xr:uid="{00000000-0005-0000-0000-0000A83B0000}"/>
    <cellStyle name="Comma 6 2 4 2 8" xfId="45413" xr:uid="{00000000-0005-0000-0000-0000A93B0000}"/>
    <cellStyle name="Comma 6 2 4 2 9" xfId="15161" xr:uid="{00000000-0005-0000-0000-0000AA3B0000}"/>
    <cellStyle name="Comma 6 2 4 3" xfId="12203" xr:uid="{00000000-0005-0000-0000-0000AB3B0000}"/>
    <cellStyle name="Comma 6 2 4 3 2" xfId="41081" xr:uid="{00000000-0005-0000-0000-0000AC3B0000}"/>
    <cellStyle name="Comma 6 2 4 3 2 2" xfId="43793" xr:uid="{00000000-0005-0000-0000-0000AD3B0000}"/>
    <cellStyle name="Comma 6 2 4 3 2 3" xfId="45414" xr:uid="{00000000-0005-0000-0000-0000AE3B0000}"/>
    <cellStyle name="Comma 6 2 4 3 3" xfId="39505" xr:uid="{00000000-0005-0000-0000-0000AF3B0000}"/>
    <cellStyle name="Comma 6 2 4 3 4" xfId="42465" xr:uid="{00000000-0005-0000-0000-0000B03B0000}"/>
    <cellStyle name="Comma 6 2 4 3 5" xfId="45415" xr:uid="{00000000-0005-0000-0000-0000B13B0000}"/>
    <cellStyle name="Comma 6 2 4 4" xfId="15792" xr:uid="{00000000-0005-0000-0000-0000B23B0000}"/>
    <cellStyle name="Comma 6 2 4 4 2" xfId="40226" xr:uid="{00000000-0005-0000-0000-0000B33B0000}"/>
    <cellStyle name="Comma 6 2 4 4 3" xfId="43075" xr:uid="{00000000-0005-0000-0000-0000B43B0000}"/>
    <cellStyle name="Comma 6 2 4 4 4" xfId="45416" xr:uid="{00000000-0005-0000-0000-0000B53B0000}"/>
    <cellStyle name="Comma 6 2 4 5" xfId="30290" xr:uid="{00000000-0005-0000-0000-0000B63B0000}"/>
    <cellStyle name="Comma 6 2 4 6" xfId="30977" xr:uid="{00000000-0005-0000-0000-0000B73B0000}"/>
    <cellStyle name="Comma 6 2 4 7" xfId="32113" xr:uid="{00000000-0005-0000-0000-0000B83B0000}"/>
    <cellStyle name="Comma 6 2 4 8" xfId="32755" xr:uid="{00000000-0005-0000-0000-0000B93B0000}"/>
    <cellStyle name="Comma 6 2 4 9" xfId="33967" xr:uid="{00000000-0005-0000-0000-0000BA3B0000}"/>
    <cellStyle name="Comma 6 2 5" xfId="5676" xr:uid="{00000000-0005-0000-0000-0000BB3B0000}"/>
    <cellStyle name="Comma 6 2 5 10" xfId="37619" xr:uid="{00000000-0005-0000-0000-0000BC3B0000}"/>
    <cellStyle name="Comma 6 2 5 11" xfId="41559" xr:uid="{00000000-0005-0000-0000-0000BD3B0000}"/>
    <cellStyle name="Comma 6 2 5 12" xfId="45417" xr:uid="{00000000-0005-0000-0000-0000BE3B0000}"/>
    <cellStyle name="Comma 6 2 5 13" xfId="12307" xr:uid="{00000000-0005-0000-0000-0000BF3B0000}"/>
    <cellStyle name="Comma 6 2 5 2" xfId="15793" xr:uid="{00000000-0005-0000-0000-0000C03B0000}"/>
    <cellStyle name="Comma 6 2 5 2 2" xfId="40010" xr:uid="{00000000-0005-0000-0000-0000C13B0000}"/>
    <cellStyle name="Comma 6 2 5 2 3" xfId="42887" xr:uid="{00000000-0005-0000-0000-0000C23B0000}"/>
    <cellStyle name="Comma 6 2 5 2 4" xfId="45418" xr:uid="{00000000-0005-0000-0000-0000C33B0000}"/>
    <cellStyle name="Comma 6 2 5 3" xfId="30291" xr:uid="{00000000-0005-0000-0000-0000C43B0000}"/>
    <cellStyle name="Comma 6 2 5 4" xfId="31080" xr:uid="{00000000-0005-0000-0000-0000C53B0000}"/>
    <cellStyle name="Comma 6 2 5 5" xfId="32114" xr:uid="{00000000-0005-0000-0000-0000C63B0000}"/>
    <cellStyle name="Comma 6 2 5 6" xfId="32756" xr:uid="{00000000-0005-0000-0000-0000C73B0000}"/>
    <cellStyle name="Comma 6 2 5 7" xfId="33968" xr:uid="{00000000-0005-0000-0000-0000C83B0000}"/>
    <cellStyle name="Comma 6 2 5 8" xfId="34757" xr:uid="{00000000-0005-0000-0000-0000C93B0000}"/>
    <cellStyle name="Comma 6 2 5 9" xfId="36865" xr:uid="{00000000-0005-0000-0000-0000CA3B0000}"/>
    <cellStyle name="Comma 6 2 6" xfId="6227" xr:uid="{00000000-0005-0000-0000-0000CB3B0000}"/>
    <cellStyle name="Comma 6 2 6 2" xfId="40518" xr:uid="{00000000-0005-0000-0000-0000CC3B0000}"/>
    <cellStyle name="Comma 6 2 6 2 2" xfId="43319" xr:uid="{00000000-0005-0000-0000-0000CD3B0000}"/>
    <cellStyle name="Comma 6 2 6 2 3" xfId="45419" xr:uid="{00000000-0005-0000-0000-0000CE3B0000}"/>
    <cellStyle name="Comma 6 2 6 3" xfId="38960" xr:uid="{00000000-0005-0000-0000-0000CF3B0000}"/>
    <cellStyle name="Comma 6 2 6 4" xfId="41991" xr:uid="{00000000-0005-0000-0000-0000D03B0000}"/>
    <cellStyle name="Comma 6 2 6 5" xfId="45420" xr:uid="{00000000-0005-0000-0000-0000D13B0000}"/>
    <cellStyle name="Comma 6 2 6 6" xfId="11714" xr:uid="{00000000-0005-0000-0000-0000D23B0000}"/>
    <cellStyle name="Comma 6 2 7" xfId="15788" xr:uid="{00000000-0005-0000-0000-0000D33B0000}"/>
    <cellStyle name="Comma 6 2 7 2" xfId="40861" xr:uid="{00000000-0005-0000-0000-0000D43B0000}"/>
    <cellStyle name="Comma 6 2 7 2 2" xfId="43605" xr:uid="{00000000-0005-0000-0000-0000D53B0000}"/>
    <cellStyle name="Comma 6 2 7 2 3" xfId="45421" xr:uid="{00000000-0005-0000-0000-0000D63B0000}"/>
    <cellStyle name="Comma 6 2 7 3" xfId="39296" xr:uid="{00000000-0005-0000-0000-0000D73B0000}"/>
    <cellStyle name="Comma 6 2 7 4" xfId="42277" xr:uid="{00000000-0005-0000-0000-0000D83B0000}"/>
    <cellStyle name="Comma 6 2 7 5" xfId="45422" xr:uid="{00000000-0005-0000-0000-0000D93B0000}"/>
    <cellStyle name="Comma 6 2 8" xfId="30286" xr:uid="{00000000-0005-0000-0000-0000DA3B0000}"/>
    <cellStyle name="Comma 6 2 8 2" xfId="39825" xr:uid="{00000000-0005-0000-0000-0000DB3B0000}"/>
    <cellStyle name="Comma 6 2 8 3" xfId="42733" xr:uid="{00000000-0005-0000-0000-0000DC3B0000}"/>
    <cellStyle name="Comma 6 2 8 4" xfId="45423" xr:uid="{00000000-0005-0000-0000-0000DD3B0000}"/>
    <cellStyle name="Comma 6 2 9" xfId="30489" xr:uid="{00000000-0005-0000-0000-0000DE3B0000}"/>
    <cellStyle name="Comma 6 20" xfId="41344" xr:uid="{00000000-0005-0000-0000-0000DF3B0000}"/>
    <cellStyle name="Comma 6 21" xfId="45424" xr:uid="{00000000-0005-0000-0000-0000E03B0000}"/>
    <cellStyle name="Comma 6 22" xfId="6567" xr:uid="{00000000-0005-0000-0000-0000E13B0000}"/>
    <cellStyle name="Comma 6 3" xfId="2804" xr:uid="{00000000-0005-0000-0000-0000E23B0000}"/>
    <cellStyle name="Comma 6 3 10" xfId="33969" xr:uid="{00000000-0005-0000-0000-0000E33B0000}"/>
    <cellStyle name="Comma 6 3 11" xfId="34279" xr:uid="{00000000-0005-0000-0000-0000E43B0000}"/>
    <cellStyle name="Comma 6 3 12" xfId="35366" xr:uid="{00000000-0005-0000-0000-0000E53B0000}"/>
    <cellStyle name="Comma 6 3 13" xfId="36229" xr:uid="{00000000-0005-0000-0000-0000E63B0000}"/>
    <cellStyle name="Comma 6 3 14" xfId="37457" xr:uid="{00000000-0005-0000-0000-0000E73B0000}"/>
    <cellStyle name="Comma 6 3 15" xfId="41404" xr:uid="{00000000-0005-0000-0000-0000E83B0000}"/>
    <cellStyle name="Comma 6 3 16" xfId="45425" xr:uid="{00000000-0005-0000-0000-0000E93B0000}"/>
    <cellStyle name="Comma 6 3 17" xfId="8442" xr:uid="{00000000-0005-0000-0000-0000EA3B0000}"/>
    <cellStyle name="Comma 6 3 2" xfId="5115" xr:uid="{00000000-0005-0000-0000-0000EB3B0000}"/>
    <cellStyle name="Comma 6 3 2 10" xfId="34574" xr:uid="{00000000-0005-0000-0000-0000EC3B0000}"/>
    <cellStyle name="Comma 6 3 2 11" xfId="36070" xr:uid="{00000000-0005-0000-0000-0000ED3B0000}"/>
    <cellStyle name="Comma 6 3 2 12" xfId="36370" xr:uid="{00000000-0005-0000-0000-0000EE3B0000}"/>
    <cellStyle name="Comma 6 3 2 13" xfId="37577" xr:uid="{00000000-0005-0000-0000-0000EF3B0000}"/>
    <cellStyle name="Comma 6 3 2 14" xfId="41523" xr:uid="{00000000-0005-0000-0000-0000F03B0000}"/>
    <cellStyle name="Comma 6 3 2 15" xfId="45426" xr:uid="{00000000-0005-0000-0000-0000F13B0000}"/>
    <cellStyle name="Comma 6 3 2 16" xfId="8907" xr:uid="{00000000-0005-0000-0000-0000F23B0000}"/>
    <cellStyle name="Comma 6 3 2 2" xfId="6084" xr:uid="{00000000-0005-0000-0000-0000F33B0000}"/>
    <cellStyle name="Comma 6 3 2 2 2" xfId="31488" xr:uid="{00000000-0005-0000-0000-0000F43B0000}"/>
    <cellStyle name="Comma 6 3 2 2 2 2" xfId="40398" xr:uid="{00000000-0005-0000-0000-0000F53B0000}"/>
    <cellStyle name="Comma 6 3 2 2 2 3" xfId="43216" xr:uid="{00000000-0005-0000-0000-0000F63B0000}"/>
    <cellStyle name="Comma 6 3 2 2 2 4" xfId="45427" xr:uid="{00000000-0005-0000-0000-0000F73B0000}"/>
    <cellStyle name="Comma 6 3 2 2 3" xfId="33341" xr:uid="{00000000-0005-0000-0000-0000F83B0000}"/>
    <cellStyle name="Comma 6 3 2 2 4" xfId="35165" xr:uid="{00000000-0005-0000-0000-0000F93B0000}"/>
    <cellStyle name="Comma 6 3 2 2 5" xfId="37263" xr:uid="{00000000-0005-0000-0000-0000FA3B0000}"/>
    <cellStyle name="Comma 6 3 2 2 6" xfId="38849" xr:uid="{00000000-0005-0000-0000-0000FB3B0000}"/>
    <cellStyle name="Comma 6 3 2 2 7" xfId="41888" xr:uid="{00000000-0005-0000-0000-0000FC3B0000}"/>
    <cellStyle name="Comma 6 3 2 2 8" xfId="45428" xr:uid="{00000000-0005-0000-0000-0000FD3B0000}"/>
    <cellStyle name="Comma 6 3 2 2 9" xfId="12906" xr:uid="{00000000-0005-0000-0000-0000FE3B0000}"/>
    <cellStyle name="Comma 6 3 2 3" xfId="6404" xr:uid="{00000000-0005-0000-0000-0000FF3B0000}"/>
    <cellStyle name="Comma 6 3 2 3 2" xfId="40800" xr:uid="{00000000-0005-0000-0000-0000003C0000}"/>
    <cellStyle name="Comma 6 3 2 3 2 2" xfId="43555" xr:uid="{00000000-0005-0000-0000-0000013C0000}"/>
    <cellStyle name="Comma 6 3 2 3 2 3" xfId="45429" xr:uid="{00000000-0005-0000-0000-0000023C0000}"/>
    <cellStyle name="Comma 6 3 2 3 3" xfId="39237" xr:uid="{00000000-0005-0000-0000-0000033C0000}"/>
    <cellStyle name="Comma 6 3 2 3 4" xfId="42227" xr:uid="{00000000-0005-0000-0000-0000043C0000}"/>
    <cellStyle name="Comma 6 3 2 3 5" xfId="45430" xr:uid="{00000000-0005-0000-0000-0000053C0000}"/>
    <cellStyle name="Comma 6 3 2 3 6" xfId="12123" xr:uid="{00000000-0005-0000-0000-0000063C0000}"/>
    <cellStyle name="Comma 6 3 2 4" xfId="15795" xr:uid="{00000000-0005-0000-0000-0000073C0000}"/>
    <cellStyle name="Comma 6 3 2 4 2" xfId="41254" xr:uid="{00000000-0005-0000-0000-0000083C0000}"/>
    <cellStyle name="Comma 6 3 2 4 2 2" xfId="43934" xr:uid="{00000000-0005-0000-0000-0000093C0000}"/>
    <cellStyle name="Comma 6 3 2 4 2 3" xfId="45431" xr:uid="{00000000-0005-0000-0000-00000A3C0000}"/>
    <cellStyle name="Comma 6 3 2 4 3" xfId="39671" xr:uid="{00000000-0005-0000-0000-00000B3C0000}"/>
    <cellStyle name="Comma 6 3 2 4 4" xfId="42606" xr:uid="{00000000-0005-0000-0000-00000C3C0000}"/>
    <cellStyle name="Comma 6 3 2 4 5" xfId="45432" xr:uid="{00000000-0005-0000-0000-00000D3C0000}"/>
    <cellStyle name="Comma 6 3 2 5" xfId="30293" xr:uid="{00000000-0005-0000-0000-00000E3C0000}"/>
    <cellStyle name="Comma 6 3 2 5 2" xfId="39963" xr:uid="{00000000-0005-0000-0000-00000F3C0000}"/>
    <cellStyle name="Comma 6 3 2 5 3" xfId="42851" xr:uid="{00000000-0005-0000-0000-0000103C0000}"/>
    <cellStyle name="Comma 6 3 2 5 4" xfId="45433" xr:uid="{00000000-0005-0000-0000-0000113C0000}"/>
    <cellStyle name="Comma 6 3 2 6" xfId="30897" xr:uid="{00000000-0005-0000-0000-0000123C0000}"/>
    <cellStyle name="Comma 6 3 2 7" xfId="32116" xr:uid="{00000000-0005-0000-0000-0000133C0000}"/>
    <cellStyle name="Comma 6 3 2 8" xfId="32758" xr:uid="{00000000-0005-0000-0000-0000143C0000}"/>
    <cellStyle name="Comma 6 3 2 9" xfId="33970" xr:uid="{00000000-0005-0000-0000-0000153C0000}"/>
    <cellStyle name="Comma 6 3 3" xfId="4456" xr:uid="{00000000-0005-0000-0000-0000163C0000}"/>
    <cellStyle name="Comma 6 3 3 10" xfId="12550" xr:uid="{00000000-0005-0000-0000-0000173C0000}"/>
    <cellStyle name="Comma 6 3 3 2" xfId="5907" xr:uid="{00000000-0005-0000-0000-0000183C0000}"/>
    <cellStyle name="Comma 6 3 3 2 2" xfId="41082" xr:uid="{00000000-0005-0000-0000-0000193C0000}"/>
    <cellStyle name="Comma 6 3 3 2 2 2" xfId="43794" xr:uid="{00000000-0005-0000-0000-00001A3C0000}"/>
    <cellStyle name="Comma 6 3 3 2 2 3" xfId="45434" xr:uid="{00000000-0005-0000-0000-00001B3C0000}"/>
    <cellStyle name="Comma 6 3 3 2 3" xfId="39506" xr:uid="{00000000-0005-0000-0000-00001C3C0000}"/>
    <cellStyle name="Comma 6 3 3 2 4" xfId="42466" xr:uid="{00000000-0005-0000-0000-00001D3C0000}"/>
    <cellStyle name="Comma 6 3 3 2 5" xfId="45435" xr:uid="{00000000-0005-0000-0000-00001E3C0000}"/>
    <cellStyle name="Comma 6 3 3 2 6" xfId="31193" xr:uid="{00000000-0005-0000-0000-00001F3C0000}"/>
    <cellStyle name="Comma 6 3 3 3" xfId="33051" xr:uid="{00000000-0005-0000-0000-0000203C0000}"/>
    <cellStyle name="Comma 6 3 3 3 2" xfId="40227" xr:uid="{00000000-0005-0000-0000-0000213C0000}"/>
    <cellStyle name="Comma 6 3 3 3 3" xfId="43076" xr:uid="{00000000-0005-0000-0000-0000223C0000}"/>
    <cellStyle name="Comma 6 3 3 3 4" xfId="45436" xr:uid="{00000000-0005-0000-0000-0000233C0000}"/>
    <cellStyle name="Comma 6 3 3 4" xfId="34870" xr:uid="{00000000-0005-0000-0000-0000243C0000}"/>
    <cellStyle name="Comma 6 3 3 5" xfId="35639" xr:uid="{00000000-0005-0000-0000-0000253C0000}"/>
    <cellStyle name="Comma 6 3 3 6" xfId="36972" xr:uid="{00000000-0005-0000-0000-0000263C0000}"/>
    <cellStyle name="Comma 6 3 3 7" xfId="38708" xr:uid="{00000000-0005-0000-0000-0000273C0000}"/>
    <cellStyle name="Comma 6 3 3 8" xfId="41748" xr:uid="{00000000-0005-0000-0000-0000283C0000}"/>
    <cellStyle name="Comma 6 3 3 9" xfId="45437" xr:uid="{00000000-0005-0000-0000-0000293C0000}"/>
    <cellStyle name="Comma 6 3 4" xfId="5769" xr:uid="{00000000-0005-0000-0000-00002A3C0000}"/>
    <cellStyle name="Comma 6 3 4 2" xfId="40092" xr:uid="{00000000-0005-0000-0000-00002B3C0000}"/>
    <cellStyle name="Comma 6 3 4 2 2" xfId="42961" xr:uid="{00000000-0005-0000-0000-00002C3C0000}"/>
    <cellStyle name="Comma 6 3 4 2 3" xfId="45438" xr:uid="{00000000-0005-0000-0000-00002D3C0000}"/>
    <cellStyle name="Comma 6 3 4 3" xfId="38136" xr:uid="{00000000-0005-0000-0000-00002E3C0000}"/>
    <cellStyle name="Comma 6 3 4 4" xfId="41633" xr:uid="{00000000-0005-0000-0000-00002F3C0000}"/>
    <cellStyle name="Comma 6 3 4 5" xfId="45439" xr:uid="{00000000-0005-0000-0000-0000303C0000}"/>
    <cellStyle name="Comma 6 3 4 6" xfId="11828" xr:uid="{00000000-0005-0000-0000-0000313C0000}"/>
    <cellStyle name="Comma 6 3 5" xfId="6228" xr:uid="{00000000-0005-0000-0000-0000323C0000}"/>
    <cellStyle name="Comma 6 3 5 2" xfId="40637" xr:uid="{00000000-0005-0000-0000-0000333C0000}"/>
    <cellStyle name="Comma 6 3 5 2 2" xfId="43423" xr:uid="{00000000-0005-0000-0000-0000343C0000}"/>
    <cellStyle name="Comma 6 3 5 2 3" xfId="45440" xr:uid="{00000000-0005-0000-0000-0000353C0000}"/>
    <cellStyle name="Comma 6 3 5 3" xfId="39069" xr:uid="{00000000-0005-0000-0000-0000363C0000}"/>
    <cellStyle name="Comma 6 3 5 4" xfId="42095" xr:uid="{00000000-0005-0000-0000-0000373C0000}"/>
    <cellStyle name="Comma 6 3 5 5" xfId="45441" xr:uid="{00000000-0005-0000-0000-0000383C0000}"/>
    <cellStyle name="Comma 6 3 5 6" xfId="15794" xr:uid="{00000000-0005-0000-0000-0000393C0000}"/>
    <cellStyle name="Comma 6 3 6" xfId="30292" xr:uid="{00000000-0005-0000-0000-00003A3C0000}"/>
    <cellStyle name="Comma 6 3 6 2" xfId="40944" xr:uid="{00000000-0005-0000-0000-00003B3C0000}"/>
    <cellStyle name="Comma 6 3 6 2 2" xfId="43679" xr:uid="{00000000-0005-0000-0000-00003C3C0000}"/>
    <cellStyle name="Comma 6 3 6 2 3" xfId="45442" xr:uid="{00000000-0005-0000-0000-00003D3C0000}"/>
    <cellStyle name="Comma 6 3 6 3" xfId="39373" xr:uid="{00000000-0005-0000-0000-00003E3C0000}"/>
    <cellStyle name="Comma 6 3 6 4" xfId="42351" xr:uid="{00000000-0005-0000-0000-00003F3C0000}"/>
    <cellStyle name="Comma 6 3 6 5" xfId="45443" xr:uid="{00000000-0005-0000-0000-0000403C0000}"/>
    <cellStyle name="Comma 6 3 7" xfId="30602" xr:uid="{00000000-0005-0000-0000-0000413C0000}"/>
    <cellStyle name="Comma 6 3 7 2" xfId="39824" xr:uid="{00000000-0005-0000-0000-0000423C0000}"/>
    <cellStyle name="Comma 6 3 7 3" xfId="42732" xr:uid="{00000000-0005-0000-0000-0000433C0000}"/>
    <cellStyle name="Comma 6 3 7 4" xfId="45444" xr:uid="{00000000-0005-0000-0000-0000443C0000}"/>
    <cellStyle name="Comma 6 3 8" xfId="32115" xr:uid="{00000000-0005-0000-0000-0000453C0000}"/>
    <cellStyle name="Comma 6 3 9" xfId="32757" xr:uid="{00000000-0005-0000-0000-0000463C0000}"/>
    <cellStyle name="Comma 6 4" xfId="5113" xr:uid="{00000000-0005-0000-0000-0000473C0000}"/>
    <cellStyle name="Comma 6 4 10" xfId="33971" xr:uid="{00000000-0005-0000-0000-0000483C0000}"/>
    <cellStyle name="Comma 6 4 11" xfId="34221" xr:uid="{00000000-0005-0000-0000-0000493C0000}"/>
    <cellStyle name="Comma 6 4 12" xfId="36068" xr:uid="{00000000-0005-0000-0000-00004A3C0000}"/>
    <cellStyle name="Comma 6 4 13" xfId="36368" xr:uid="{00000000-0005-0000-0000-00004B3C0000}"/>
    <cellStyle name="Comma 6 4 14" xfId="37531" xr:uid="{00000000-0005-0000-0000-00004C3C0000}"/>
    <cellStyle name="Comma 6 4 15" xfId="41477" xr:uid="{00000000-0005-0000-0000-00004D3C0000}"/>
    <cellStyle name="Comma 6 4 16" xfId="45445" xr:uid="{00000000-0005-0000-0000-00004E3C0000}"/>
    <cellStyle name="Comma 6 4 17" xfId="8112" xr:uid="{00000000-0005-0000-0000-00004F3C0000}"/>
    <cellStyle name="Comma 6 4 2" xfId="6082" xr:uid="{00000000-0005-0000-0000-0000503C0000}"/>
    <cellStyle name="Comma 6 4 2 10" xfId="34575" xr:uid="{00000000-0005-0000-0000-0000513C0000}"/>
    <cellStyle name="Comma 6 4 2 11" xfId="36733" xr:uid="{00000000-0005-0000-0000-0000523C0000}"/>
    <cellStyle name="Comma 6 4 2 12" xfId="38847" xr:uid="{00000000-0005-0000-0000-0000533C0000}"/>
    <cellStyle name="Comma 6 4 2 13" xfId="41886" xr:uid="{00000000-0005-0000-0000-0000543C0000}"/>
    <cellStyle name="Comma 6 4 2 14" xfId="45446" xr:uid="{00000000-0005-0000-0000-0000553C0000}"/>
    <cellStyle name="Comma 6 4 2 15" xfId="8908" xr:uid="{00000000-0005-0000-0000-0000563C0000}"/>
    <cellStyle name="Comma 6 4 2 2" xfId="12907" xr:uid="{00000000-0005-0000-0000-0000573C0000}"/>
    <cellStyle name="Comma 6 4 2 2 2" xfId="31489" xr:uid="{00000000-0005-0000-0000-0000583C0000}"/>
    <cellStyle name="Comma 6 4 2 2 3" xfId="33342" xr:uid="{00000000-0005-0000-0000-0000593C0000}"/>
    <cellStyle name="Comma 6 4 2 2 4" xfId="35166" xr:uid="{00000000-0005-0000-0000-00005A3C0000}"/>
    <cellStyle name="Comma 6 4 2 2 5" xfId="37264" xr:uid="{00000000-0005-0000-0000-00005B3C0000}"/>
    <cellStyle name="Comma 6 4 2 2 6" xfId="40396" xr:uid="{00000000-0005-0000-0000-00005C3C0000}"/>
    <cellStyle name="Comma 6 4 2 2 7" xfId="43214" xr:uid="{00000000-0005-0000-0000-00005D3C0000}"/>
    <cellStyle name="Comma 6 4 2 2 8" xfId="45447" xr:uid="{00000000-0005-0000-0000-00005E3C0000}"/>
    <cellStyle name="Comma 6 4 2 3" xfId="12124" xr:uid="{00000000-0005-0000-0000-00005F3C0000}"/>
    <cellStyle name="Comma 6 4 2 4" xfId="15797" xr:uid="{00000000-0005-0000-0000-0000603C0000}"/>
    <cellStyle name="Comma 6 4 2 5" xfId="30295" xr:uid="{00000000-0005-0000-0000-0000613C0000}"/>
    <cellStyle name="Comma 6 4 2 6" xfId="30898" xr:uid="{00000000-0005-0000-0000-0000623C0000}"/>
    <cellStyle name="Comma 6 4 2 7" xfId="32118" xr:uid="{00000000-0005-0000-0000-0000633C0000}"/>
    <cellStyle name="Comma 6 4 2 8" xfId="32760" xr:uid="{00000000-0005-0000-0000-0000643C0000}"/>
    <cellStyle name="Comma 6 4 2 9" xfId="33972" xr:uid="{00000000-0005-0000-0000-0000653C0000}"/>
    <cellStyle name="Comma 6 4 3" xfId="6402" xr:uid="{00000000-0005-0000-0000-0000663C0000}"/>
    <cellStyle name="Comma 6 4 3 2" xfId="31135" xr:uid="{00000000-0005-0000-0000-0000673C0000}"/>
    <cellStyle name="Comma 6 4 3 2 2" xfId="40635" xr:uid="{00000000-0005-0000-0000-0000683C0000}"/>
    <cellStyle name="Comma 6 4 3 2 3" xfId="43421" xr:uid="{00000000-0005-0000-0000-0000693C0000}"/>
    <cellStyle name="Comma 6 4 3 2 4" xfId="45448" xr:uid="{00000000-0005-0000-0000-00006A3C0000}"/>
    <cellStyle name="Comma 6 4 3 3" xfId="32997" xr:uid="{00000000-0005-0000-0000-00006B3C0000}"/>
    <cellStyle name="Comma 6 4 3 4" xfId="34812" xr:uid="{00000000-0005-0000-0000-00006C3C0000}"/>
    <cellStyle name="Comma 6 4 3 5" xfId="36918" xr:uid="{00000000-0005-0000-0000-00006D3C0000}"/>
    <cellStyle name="Comma 6 4 3 6" xfId="39067" xr:uid="{00000000-0005-0000-0000-00006E3C0000}"/>
    <cellStyle name="Comma 6 4 3 7" xfId="42093" xr:uid="{00000000-0005-0000-0000-00006F3C0000}"/>
    <cellStyle name="Comma 6 4 3 8" xfId="45449" xr:uid="{00000000-0005-0000-0000-0000703C0000}"/>
    <cellStyle name="Comma 6 4 3 9" xfId="12424" xr:uid="{00000000-0005-0000-0000-0000713C0000}"/>
    <cellStyle name="Comma 6 4 4" xfId="11770" xr:uid="{00000000-0005-0000-0000-0000723C0000}"/>
    <cellStyle name="Comma 6 4 4 2" xfId="41252" xr:uid="{00000000-0005-0000-0000-0000733C0000}"/>
    <cellStyle name="Comma 6 4 4 2 2" xfId="43932" xr:uid="{00000000-0005-0000-0000-0000743C0000}"/>
    <cellStyle name="Comma 6 4 4 2 3" xfId="45450" xr:uid="{00000000-0005-0000-0000-0000753C0000}"/>
    <cellStyle name="Comma 6 4 4 3" xfId="39669" xr:uid="{00000000-0005-0000-0000-0000763C0000}"/>
    <cellStyle name="Comma 6 4 4 4" xfId="42604" xr:uid="{00000000-0005-0000-0000-0000773C0000}"/>
    <cellStyle name="Comma 6 4 4 5" xfId="45451" xr:uid="{00000000-0005-0000-0000-0000783C0000}"/>
    <cellStyle name="Comma 6 4 5" xfId="15796" xr:uid="{00000000-0005-0000-0000-0000793C0000}"/>
    <cellStyle name="Comma 6 4 5 2" xfId="39906" xr:uid="{00000000-0005-0000-0000-00007A3C0000}"/>
    <cellStyle name="Comma 6 4 5 3" xfId="42805" xr:uid="{00000000-0005-0000-0000-00007B3C0000}"/>
    <cellStyle name="Comma 6 4 5 4" xfId="45452" xr:uid="{00000000-0005-0000-0000-00007C3C0000}"/>
    <cellStyle name="Comma 6 4 6" xfId="30294" xr:uid="{00000000-0005-0000-0000-00007D3C0000}"/>
    <cellStyle name="Comma 6 4 7" xfId="30544" xr:uid="{00000000-0005-0000-0000-00007E3C0000}"/>
    <cellStyle name="Comma 6 4 8" xfId="32117" xr:uid="{00000000-0005-0000-0000-00007F3C0000}"/>
    <cellStyle name="Comma 6 4 9" xfId="32759" xr:uid="{00000000-0005-0000-0000-0000803C0000}"/>
    <cellStyle name="Comma 6 5" xfId="4454" xr:uid="{00000000-0005-0000-0000-0000813C0000}"/>
    <cellStyle name="Comma 6 5 10" xfId="34576" xr:uid="{00000000-0005-0000-0000-0000823C0000}"/>
    <cellStyle name="Comma 6 5 11" xfId="35637" xr:uid="{00000000-0005-0000-0000-0000833C0000}"/>
    <cellStyle name="Comma 6 5 12" xfId="36734" xr:uid="{00000000-0005-0000-0000-0000843C0000}"/>
    <cellStyle name="Comma 6 5 13" xfId="38706" xr:uid="{00000000-0005-0000-0000-0000853C0000}"/>
    <cellStyle name="Comma 6 5 14" xfId="41746" xr:uid="{00000000-0005-0000-0000-0000863C0000}"/>
    <cellStyle name="Comma 6 5 15" xfId="45453" xr:uid="{00000000-0005-0000-0000-0000873C0000}"/>
    <cellStyle name="Comma 6 5 16" xfId="8909" xr:uid="{00000000-0005-0000-0000-0000883C0000}"/>
    <cellStyle name="Comma 6 5 2" xfId="5905" xr:uid="{00000000-0005-0000-0000-0000893C0000}"/>
    <cellStyle name="Comma 6 5 2 2" xfId="31490" xr:uid="{00000000-0005-0000-0000-00008A3C0000}"/>
    <cellStyle name="Comma 6 5 2 2 2" xfId="40761" xr:uid="{00000000-0005-0000-0000-00008B3C0000}"/>
    <cellStyle name="Comma 6 5 2 2 3" xfId="43524" xr:uid="{00000000-0005-0000-0000-00008C3C0000}"/>
    <cellStyle name="Comma 6 5 2 2 4" xfId="45454" xr:uid="{00000000-0005-0000-0000-00008D3C0000}"/>
    <cellStyle name="Comma 6 5 2 3" xfId="33343" xr:uid="{00000000-0005-0000-0000-00008E3C0000}"/>
    <cellStyle name="Comma 6 5 2 4" xfId="35167" xr:uid="{00000000-0005-0000-0000-00008F3C0000}"/>
    <cellStyle name="Comma 6 5 2 5" xfId="37265" xr:uid="{00000000-0005-0000-0000-0000903C0000}"/>
    <cellStyle name="Comma 6 5 2 6" xfId="39188" xr:uid="{00000000-0005-0000-0000-0000913C0000}"/>
    <cellStyle name="Comma 6 5 2 7" xfId="42196" xr:uid="{00000000-0005-0000-0000-0000923C0000}"/>
    <cellStyle name="Comma 6 5 2 8" xfId="45455" xr:uid="{00000000-0005-0000-0000-0000933C0000}"/>
    <cellStyle name="Comma 6 5 2 9" xfId="12908" xr:uid="{00000000-0005-0000-0000-0000943C0000}"/>
    <cellStyle name="Comma 6 5 3" xfId="12125" xr:uid="{00000000-0005-0000-0000-0000953C0000}"/>
    <cellStyle name="Comma 6 5 3 2" xfId="41080" xr:uid="{00000000-0005-0000-0000-0000963C0000}"/>
    <cellStyle name="Comma 6 5 3 2 2" xfId="43792" xr:uid="{00000000-0005-0000-0000-0000973C0000}"/>
    <cellStyle name="Comma 6 5 3 2 3" xfId="45456" xr:uid="{00000000-0005-0000-0000-0000983C0000}"/>
    <cellStyle name="Comma 6 5 3 3" xfId="39504" xr:uid="{00000000-0005-0000-0000-0000993C0000}"/>
    <cellStyle name="Comma 6 5 3 4" xfId="42464" xr:uid="{00000000-0005-0000-0000-00009A3C0000}"/>
    <cellStyle name="Comma 6 5 3 5" xfId="45457" xr:uid="{00000000-0005-0000-0000-00009B3C0000}"/>
    <cellStyle name="Comma 6 5 4" xfId="15798" xr:uid="{00000000-0005-0000-0000-00009C3C0000}"/>
    <cellStyle name="Comma 6 5 4 2" xfId="40225" xr:uid="{00000000-0005-0000-0000-00009D3C0000}"/>
    <cellStyle name="Comma 6 5 4 3" xfId="43074" xr:uid="{00000000-0005-0000-0000-00009E3C0000}"/>
    <cellStyle name="Comma 6 5 4 4" xfId="45458" xr:uid="{00000000-0005-0000-0000-00009F3C0000}"/>
    <cellStyle name="Comma 6 5 5" xfId="30296" xr:uid="{00000000-0005-0000-0000-0000A03C0000}"/>
    <cellStyle name="Comma 6 5 6" xfId="30899" xr:uid="{00000000-0005-0000-0000-0000A13C0000}"/>
    <cellStyle name="Comma 6 5 7" xfId="32119" xr:uid="{00000000-0005-0000-0000-0000A23C0000}"/>
    <cellStyle name="Comma 6 5 8" xfId="32761" xr:uid="{00000000-0005-0000-0000-0000A33C0000}"/>
    <cellStyle name="Comma 6 5 9" xfId="33973" xr:uid="{00000000-0005-0000-0000-0000A43C0000}"/>
    <cellStyle name="Comma 6 6" xfId="5767" xr:uid="{00000000-0005-0000-0000-0000A53C0000}"/>
    <cellStyle name="Comma 6 6 10" xfId="34571" xr:uid="{00000000-0005-0000-0000-0000A63C0000}"/>
    <cellStyle name="Comma 6 6 11" xfId="36731" xr:uid="{00000000-0005-0000-0000-0000A73C0000}"/>
    <cellStyle name="Comma 6 6 12" xfId="38134" xr:uid="{00000000-0005-0000-0000-0000A83C0000}"/>
    <cellStyle name="Comma 6 6 13" xfId="41631" xr:uid="{00000000-0005-0000-0000-0000A93C0000}"/>
    <cellStyle name="Comma 6 6 14" xfId="45459" xr:uid="{00000000-0005-0000-0000-0000AA3C0000}"/>
    <cellStyle name="Comma 6 6 15" xfId="8904" xr:uid="{00000000-0005-0000-0000-0000AB3C0000}"/>
    <cellStyle name="Comma 6 6 2" xfId="12903" xr:uid="{00000000-0005-0000-0000-0000AC3C0000}"/>
    <cellStyle name="Comma 6 6 2 2" xfId="31485" xr:uid="{00000000-0005-0000-0000-0000AD3C0000}"/>
    <cellStyle name="Comma 6 6 2 3" xfId="33338" xr:uid="{00000000-0005-0000-0000-0000AE3C0000}"/>
    <cellStyle name="Comma 6 6 2 4" xfId="35162" xr:uid="{00000000-0005-0000-0000-0000AF3C0000}"/>
    <cellStyle name="Comma 6 6 2 5" xfId="37260" xr:uid="{00000000-0005-0000-0000-0000B03C0000}"/>
    <cellStyle name="Comma 6 6 2 6" xfId="40090" xr:uid="{00000000-0005-0000-0000-0000B13C0000}"/>
    <cellStyle name="Comma 6 6 2 7" xfId="42959" xr:uid="{00000000-0005-0000-0000-0000B23C0000}"/>
    <cellStyle name="Comma 6 6 2 8" xfId="45460" xr:uid="{00000000-0005-0000-0000-0000B33C0000}"/>
    <cellStyle name="Comma 6 6 3" xfId="12120" xr:uid="{00000000-0005-0000-0000-0000B43C0000}"/>
    <cellStyle name="Comma 6 6 4" xfId="15799" xr:uid="{00000000-0005-0000-0000-0000B53C0000}"/>
    <cellStyle name="Comma 6 6 5" xfId="30297" xr:uid="{00000000-0005-0000-0000-0000B63C0000}"/>
    <cellStyle name="Comma 6 6 6" xfId="30894" xr:uid="{00000000-0005-0000-0000-0000B73C0000}"/>
    <cellStyle name="Comma 6 6 7" xfId="32120" xr:uid="{00000000-0005-0000-0000-0000B83C0000}"/>
    <cellStyle name="Comma 6 6 8" xfId="32762" xr:uid="{00000000-0005-0000-0000-0000B93C0000}"/>
    <cellStyle name="Comma 6 6 9" xfId="33974" xr:uid="{00000000-0005-0000-0000-0000BA3C0000}"/>
    <cellStyle name="Comma 6 7" xfId="6226" xr:uid="{00000000-0005-0000-0000-0000BB3C0000}"/>
    <cellStyle name="Comma 6 7 10" xfId="34653" xr:uid="{00000000-0005-0000-0000-0000BC3C0000}"/>
    <cellStyle name="Comma 6 7 11" xfId="36781" xr:uid="{00000000-0005-0000-0000-0000BD3C0000}"/>
    <cellStyle name="Comma 6 7 12" xfId="38959" xr:uid="{00000000-0005-0000-0000-0000BE3C0000}"/>
    <cellStyle name="Comma 6 7 13" xfId="41990" xr:uid="{00000000-0005-0000-0000-0000BF3C0000}"/>
    <cellStyle name="Comma 6 7 14" xfId="45461" xr:uid="{00000000-0005-0000-0000-0000C03C0000}"/>
    <cellStyle name="Comma 6 7 15" xfId="11539" xr:uid="{00000000-0005-0000-0000-0000C13C0000}"/>
    <cellStyle name="Comma 6 7 2" xfId="15160" xr:uid="{00000000-0005-0000-0000-0000C23C0000}"/>
    <cellStyle name="Comma 6 7 2 2" xfId="31567" xr:uid="{00000000-0005-0000-0000-0000C33C0000}"/>
    <cellStyle name="Comma 6 7 2 3" xfId="33420" xr:uid="{00000000-0005-0000-0000-0000C43C0000}"/>
    <cellStyle name="Comma 6 7 2 4" xfId="35244" xr:uid="{00000000-0005-0000-0000-0000C53C0000}"/>
    <cellStyle name="Comma 6 7 2 5" xfId="37324" xr:uid="{00000000-0005-0000-0000-0000C63C0000}"/>
    <cellStyle name="Comma 6 7 2 6" xfId="40517" xr:uid="{00000000-0005-0000-0000-0000C73C0000}"/>
    <cellStyle name="Comma 6 7 2 7" xfId="43318" xr:uid="{00000000-0005-0000-0000-0000C83C0000}"/>
    <cellStyle name="Comma 6 7 2 8" xfId="45462" xr:uid="{00000000-0005-0000-0000-0000C93C0000}"/>
    <cellStyle name="Comma 6 7 3" xfId="12202" xr:uid="{00000000-0005-0000-0000-0000CA3C0000}"/>
    <cellStyle name="Comma 6 7 4" xfId="15800" xr:uid="{00000000-0005-0000-0000-0000CB3C0000}"/>
    <cellStyle name="Comma 6 7 5" xfId="30298" xr:uid="{00000000-0005-0000-0000-0000CC3C0000}"/>
    <cellStyle name="Comma 6 7 6" xfId="30976" xr:uid="{00000000-0005-0000-0000-0000CD3C0000}"/>
    <cellStyle name="Comma 6 7 7" xfId="32121" xr:uid="{00000000-0005-0000-0000-0000CE3C0000}"/>
    <cellStyle name="Comma 6 7 8" xfId="32763" xr:uid="{00000000-0005-0000-0000-0000CF3C0000}"/>
    <cellStyle name="Comma 6 7 9" xfId="33975" xr:uid="{00000000-0005-0000-0000-0000D03C0000}"/>
    <cellStyle name="Comma 6 8" xfId="12269" xr:uid="{00000000-0005-0000-0000-0000D13C0000}"/>
    <cellStyle name="Comma 6 8 2" xfId="31042" xr:uid="{00000000-0005-0000-0000-0000D23C0000}"/>
    <cellStyle name="Comma 6 8 2 2" xfId="40942" xr:uid="{00000000-0005-0000-0000-0000D33C0000}"/>
    <cellStyle name="Comma 6 8 2 3" xfId="43677" xr:uid="{00000000-0005-0000-0000-0000D43C0000}"/>
    <cellStyle name="Comma 6 8 2 4" xfId="45463" xr:uid="{00000000-0005-0000-0000-0000D53C0000}"/>
    <cellStyle name="Comma 6 8 3" xfId="32911" xr:uid="{00000000-0005-0000-0000-0000D63C0000}"/>
    <cellStyle name="Comma 6 8 4" xfId="34719" xr:uid="{00000000-0005-0000-0000-0000D73C0000}"/>
    <cellStyle name="Comma 6 8 5" xfId="36827" xr:uid="{00000000-0005-0000-0000-0000D83C0000}"/>
    <cellStyle name="Comma 6 8 6" xfId="39371" xr:uid="{00000000-0005-0000-0000-0000D93C0000}"/>
    <cellStyle name="Comma 6 8 7" xfId="42349" xr:uid="{00000000-0005-0000-0000-0000DA3C0000}"/>
    <cellStyle name="Comma 6 8 8" xfId="45464" xr:uid="{00000000-0005-0000-0000-0000DB3C0000}"/>
    <cellStyle name="Comma 6 9" xfId="11675" xr:uid="{00000000-0005-0000-0000-0000DC3C0000}"/>
    <cellStyle name="Comma 6 9 2" xfId="39759" xr:uid="{00000000-0005-0000-0000-0000DD3C0000}"/>
    <cellStyle name="Comma 6 9 3" xfId="42672" xr:uid="{00000000-0005-0000-0000-0000DE3C0000}"/>
    <cellStyle name="Comma 6 9 4" xfId="45465" xr:uid="{00000000-0005-0000-0000-0000DF3C0000}"/>
    <cellStyle name="Comma 7" xfId="2805" xr:uid="{00000000-0005-0000-0000-0000E03C0000}"/>
    <cellStyle name="Comma 7 10" xfId="5770" xr:uid="{00000000-0005-0000-0000-0000E13C0000}"/>
    <cellStyle name="Comma 7 10 2" xfId="40093" xr:uid="{00000000-0005-0000-0000-0000E23C0000}"/>
    <cellStyle name="Comma 7 10 2 2" xfId="42962" xr:uid="{00000000-0005-0000-0000-0000E33C0000}"/>
    <cellStyle name="Comma 7 10 2 3" xfId="45466" xr:uid="{00000000-0005-0000-0000-0000E43C0000}"/>
    <cellStyle name="Comma 7 10 3" xfId="38137" xr:uid="{00000000-0005-0000-0000-0000E53C0000}"/>
    <cellStyle name="Comma 7 10 4" xfId="41634" xr:uid="{00000000-0005-0000-0000-0000E63C0000}"/>
    <cellStyle name="Comma 7 10 5" xfId="45467" xr:uid="{00000000-0005-0000-0000-0000E73C0000}"/>
    <cellStyle name="Comma 7 10 6" xfId="11676" xr:uid="{00000000-0005-0000-0000-0000E83C0000}"/>
    <cellStyle name="Comma 7 11" xfId="6229" xr:uid="{00000000-0005-0000-0000-0000E93C0000}"/>
    <cellStyle name="Comma 7 11 2" xfId="40519" xr:uid="{00000000-0005-0000-0000-0000EA3C0000}"/>
    <cellStyle name="Comma 7 11 2 2" xfId="43320" xr:uid="{00000000-0005-0000-0000-0000EB3C0000}"/>
    <cellStyle name="Comma 7 11 2 3" xfId="45468" xr:uid="{00000000-0005-0000-0000-0000EC3C0000}"/>
    <cellStyle name="Comma 7 11 3" xfId="38961" xr:uid="{00000000-0005-0000-0000-0000ED3C0000}"/>
    <cellStyle name="Comma 7 11 4" xfId="41992" xr:uid="{00000000-0005-0000-0000-0000EE3C0000}"/>
    <cellStyle name="Comma 7 11 5" xfId="45469" xr:uid="{00000000-0005-0000-0000-0000EF3C0000}"/>
    <cellStyle name="Comma 7 11 6" xfId="15801" xr:uid="{00000000-0005-0000-0000-0000F03C0000}"/>
    <cellStyle name="Comma 7 12" xfId="30299" xr:uid="{00000000-0005-0000-0000-0000F13C0000}"/>
    <cellStyle name="Comma 7 12 2" xfId="40945" xr:uid="{00000000-0005-0000-0000-0000F23C0000}"/>
    <cellStyle name="Comma 7 12 2 2" xfId="43680" xr:uid="{00000000-0005-0000-0000-0000F33C0000}"/>
    <cellStyle name="Comma 7 12 2 3" xfId="45470" xr:uid="{00000000-0005-0000-0000-0000F43C0000}"/>
    <cellStyle name="Comma 7 12 3" xfId="39374" xr:uid="{00000000-0005-0000-0000-0000F53C0000}"/>
    <cellStyle name="Comma 7 12 4" xfId="42352" xr:uid="{00000000-0005-0000-0000-0000F63C0000}"/>
    <cellStyle name="Comma 7 12 5" xfId="45471" xr:uid="{00000000-0005-0000-0000-0000F73C0000}"/>
    <cellStyle name="Comma 7 13" xfId="30452" xr:uid="{00000000-0005-0000-0000-0000F83C0000}"/>
    <cellStyle name="Comma 7 13 2" xfId="39760" xr:uid="{00000000-0005-0000-0000-0000F93C0000}"/>
    <cellStyle name="Comma 7 13 3" xfId="42673" xr:uid="{00000000-0005-0000-0000-0000FA3C0000}"/>
    <cellStyle name="Comma 7 13 4" xfId="45472" xr:uid="{00000000-0005-0000-0000-0000FB3C0000}"/>
    <cellStyle name="Comma 7 14" xfId="32122" xr:uid="{00000000-0005-0000-0000-0000FC3C0000}"/>
    <cellStyle name="Comma 7 15" xfId="32764" xr:uid="{00000000-0005-0000-0000-0000FD3C0000}"/>
    <cellStyle name="Comma 7 16" xfId="33976" xr:uid="{00000000-0005-0000-0000-0000FE3C0000}"/>
    <cellStyle name="Comma 7 17" xfId="34129" xr:uid="{00000000-0005-0000-0000-0000FF3C0000}"/>
    <cellStyle name="Comma 7 18" xfId="35367" xr:uid="{00000000-0005-0000-0000-0000003D0000}"/>
    <cellStyle name="Comma 7 19" xfId="36230" xr:uid="{00000000-0005-0000-0000-0000013D0000}"/>
    <cellStyle name="Comma 7 2" xfId="1036" xr:uid="{00000000-0005-0000-0000-0000023D0000}"/>
    <cellStyle name="Comma 7 2 10" xfId="6230" xr:uid="{00000000-0005-0000-0000-0000033D0000}"/>
    <cellStyle name="Comma 7 2 10 2" xfId="40520" xr:uid="{00000000-0005-0000-0000-0000043D0000}"/>
    <cellStyle name="Comma 7 2 10 2 2" xfId="43321" xr:uid="{00000000-0005-0000-0000-0000053D0000}"/>
    <cellStyle name="Comma 7 2 10 2 3" xfId="45473" xr:uid="{00000000-0005-0000-0000-0000063D0000}"/>
    <cellStyle name="Comma 7 2 10 3" xfId="38962" xr:uid="{00000000-0005-0000-0000-0000073D0000}"/>
    <cellStyle name="Comma 7 2 10 4" xfId="41993" xr:uid="{00000000-0005-0000-0000-0000083D0000}"/>
    <cellStyle name="Comma 7 2 10 5" xfId="45474" xr:uid="{00000000-0005-0000-0000-0000093D0000}"/>
    <cellStyle name="Comma 7 2 10 6" xfId="30300" xr:uid="{00000000-0005-0000-0000-00000A3D0000}"/>
    <cellStyle name="Comma 7 2 11" xfId="30490" xr:uid="{00000000-0005-0000-0000-00000B3D0000}"/>
    <cellStyle name="Comma 7 2 11 2" xfId="40862" xr:uid="{00000000-0005-0000-0000-00000C3D0000}"/>
    <cellStyle name="Comma 7 2 11 2 2" xfId="43606" xr:uid="{00000000-0005-0000-0000-00000D3D0000}"/>
    <cellStyle name="Comma 7 2 11 2 3" xfId="45475" xr:uid="{00000000-0005-0000-0000-00000E3D0000}"/>
    <cellStyle name="Comma 7 2 11 3" xfId="39297" xr:uid="{00000000-0005-0000-0000-00000F3D0000}"/>
    <cellStyle name="Comma 7 2 11 4" xfId="42278" xr:uid="{00000000-0005-0000-0000-0000103D0000}"/>
    <cellStyle name="Comma 7 2 11 5" xfId="45476" xr:uid="{00000000-0005-0000-0000-0000113D0000}"/>
    <cellStyle name="Comma 7 2 12" xfId="32123" xr:uid="{00000000-0005-0000-0000-0000123D0000}"/>
    <cellStyle name="Comma 7 2 12 2" xfId="39761" xr:uid="{00000000-0005-0000-0000-0000133D0000}"/>
    <cellStyle name="Comma 7 2 12 3" xfId="42674" xr:uid="{00000000-0005-0000-0000-0000143D0000}"/>
    <cellStyle name="Comma 7 2 12 4" xfId="45477" xr:uid="{00000000-0005-0000-0000-0000153D0000}"/>
    <cellStyle name="Comma 7 2 13" xfId="32765" xr:uid="{00000000-0005-0000-0000-0000163D0000}"/>
    <cellStyle name="Comma 7 2 14" xfId="33977" xr:uid="{00000000-0005-0000-0000-0000173D0000}"/>
    <cellStyle name="Comma 7 2 15" xfId="34167" xr:uid="{00000000-0005-0000-0000-0000183D0000}"/>
    <cellStyle name="Comma 7 2 16" xfId="35290" xr:uid="{00000000-0005-0000-0000-0000193D0000}"/>
    <cellStyle name="Comma 7 2 17" xfId="36231" xr:uid="{00000000-0005-0000-0000-00001A3D0000}"/>
    <cellStyle name="Comma 7 2 18" xfId="37398" xr:uid="{00000000-0005-0000-0000-00001B3D0000}"/>
    <cellStyle name="Comma 7 2 19" xfId="41346" xr:uid="{00000000-0005-0000-0000-00001C3D0000}"/>
    <cellStyle name="Comma 7 2 2" xfId="1037" xr:uid="{00000000-0005-0000-0000-00001D3D0000}"/>
    <cellStyle name="Comma 7 2 2 10" xfId="32766" xr:uid="{00000000-0005-0000-0000-00001E3D0000}"/>
    <cellStyle name="Comma 7 2 2 10 2" xfId="39762" xr:uid="{00000000-0005-0000-0000-00001F3D0000}"/>
    <cellStyle name="Comma 7 2 2 10 3" xfId="42675" xr:uid="{00000000-0005-0000-0000-0000203D0000}"/>
    <cellStyle name="Comma 7 2 2 10 4" xfId="45478" xr:uid="{00000000-0005-0000-0000-0000213D0000}"/>
    <cellStyle name="Comma 7 2 2 11" xfId="33978" xr:uid="{00000000-0005-0000-0000-0000223D0000}"/>
    <cellStyle name="Comma 7 2 2 12" xfId="34224" xr:uid="{00000000-0005-0000-0000-0000233D0000}"/>
    <cellStyle name="Comma 7 2 2 13" xfId="35291" xr:uid="{00000000-0005-0000-0000-0000243D0000}"/>
    <cellStyle name="Comma 7 2 2 14" xfId="36232" xr:uid="{00000000-0005-0000-0000-0000253D0000}"/>
    <cellStyle name="Comma 7 2 2 15" xfId="37399" xr:uid="{00000000-0005-0000-0000-0000263D0000}"/>
    <cellStyle name="Comma 7 2 2 16" xfId="41347" xr:uid="{00000000-0005-0000-0000-0000273D0000}"/>
    <cellStyle name="Comma 7 2 2 17" xfId="45479" xr:uid="{00000000-0005-0000-0000-0000283D0000}"/>
    <cellStyle name="Comma 7 2 2 18" xfId="8115" xr:uid="{00000000-0005-0000-0000-0000293D0000}"/>
    <cellStyle name="Comma 7 2 2 2" xfId="2808" xr:uid="{00000000-0005-0000-0000-00002A3D0000}"/>
    <cellStyle name="Comma 7 2 2 2 10" xfId="34579" xr:uid="{00000000-0005-0000-0000-00002B3D0000}"/>
    <cellStyle name="Comma 7 2 2 2 11" xfId="35370" xr:uid="{00000000-0005-0000-0000-00002C3D0000}"/>
    <cellStyle name="Comma 7 2 2 2 12" xfId="36233" xr:uid="{00000000-0005-0000-0000-00002D3D0000}"/>
    <cellStyle name="Comma 7 2 2 2 13" xfId="37461" xr:uid="{00000000-0005-0000-0000-00002E3D0000}"/>
    <cellStyle name="Comma 7 2 2 2 14" xfId="41408" xr:uid="{00000000-0005-0000-0000-00002F3D0000}"/>
    <cellStyle name="Comma 7 2 2 2 15" xfId="45480" xr:uid="{00000000-0005-0000-0000-0000303D0000}"/>
    <cellStyle name="Comma 7 2 2 2 16" xfId="8912" xr:uid="{00000000-0005-0000-0000-0000313D0000}"/>
    <cellStyle name="Comma 7 2 2 2 2" xfId="5119" xr:uid="{00000000-0005-0000-0000-0000323D0000}"/>
    <cellStyle name="Comma 7 2 2 2 2 10" xfId="12911" xr:uid="{00000000-0005-0000-0000-0000333D0000}"/>
    <cellStyle name="Comma 7 2 2 2 2 2" xfId="6088" xr:uid="{00000000-0005-0000-0000-0000343D0000}"/>
    <cellStyle name="Comma 7 2 2 2 2 2 2" xfId="40402" xr:uid="{00000000-0005-0000-0000-0000353D0000}"/>
    <cellStyle name="Comma 7 2 2 2 2 2 2 2" xfId="43220" xr:uid="{00000000-0005-0000-0000-0000363D0000}"/>
    <cellStyle name="Comma 7 2 2 2 2 2 2 3" xfId="45481" xr:uid="{00000000-0005-0000-0000-0000373D0000}"/>
    <cellStyle name="Comma 7 2 2 2 2 2 3" xfId="38853" xr:uid="{00000000-0005-0000-0000-0000383D0000}"/>
    <cellStyle name="Comma 7 2 2 2 2 2 4" xfId="41892" xr:uid="{00000000-0005-0000-0000-0000393D0000}"/>
    <cellStyle name="Comma 7 2 2 2 2 2 5" xfId="45482" xr:uid="{00000000-0005-0000-0000-00003A3D0000}"/>
    <cellStyle name="Comma 7 2 2 2 2 2 6" xfId="31493" xr:uid="{00000000-0005-0000-0000-00003B3D0000}"/>
    <cellStyle name="Comma 7 2 2 2 2 3" xfId="6408" xr:uid="{00000000-0005-0000-0000-00003C3D0000}"/>
    <cellStyle name="Comma 7 2 2 2 2 3 2" xfId="40801" xr:uid="{00000000-0005-0000-0000-00003D3D0000}"/>
    <cellStyle name="Comma 7 2 2 2 2 3 2 2" xfId="43556" xr:uid="{00000000-0005-0000-0000-00003E3D0000}"/>
    <cellStyle name="Comma 7 2 2 2 2 3 2 3" xfId="45483" xr:uid="{00000000-0005-0000-0000-00003F3D0000}"/>
    <cellStyle name="Comma 7 2 2 2 2 3 3" xfId="39238" xr:uid="{00000000-0005-0000-0000-0000403D0000}"/>
    <cellStyle name="Comma 7 2 2 2 2 3 4" xfId="42228" xr:uid="{00000000-0005-0000-0000-0000413D0000}"/>
    <cellStyle name="Comma 7 2 2 2 2 3 5" xfId="45484" xr:uid="{00000000-0005-0000-0000-0000423D0000}"/>
    <cellStyle name="Comma 7 2 2 2 2 3 6" xfId="33346" xr:uid="{00000000-0005-0000-0000-0000433D0000}"/>
    <cellStyle name="Comma 7 2 2 2 2 4" xfId="35170" xr:uid="{00000000-0005-0000-0000-0000443D0000}"/>
    <cellStyle name="Comma 7 2 2 2 2 4 2" xfId="41258" xr:uid="{00000000-0005-0000-0000-0000453D0000}"/>
    <cellStyle name="Comma 7 2 2 2 2 4 2 2" xfId="43938" xr:uid="{00000000-0005-0000-0000-0000463D0000}"/>
    <cellStyle name="Comma 7 2 2 2 2 4 2 3" xfId="45485" xr:uid="{00000000-0005-0000-0000-0000473D0000}"/>
    <cellStyle name="Comma 7 2 2 2 2 4 3" xfId="39675" xr:uid="{00000000-0005-0000-0000-0000483D0000}"/>
    <cellStyle name="Comma 7 2 2 2 2 4 4" xfId="42610" xr:uid="{00000000-0005-0000-0000-0000493D0000}"/>
    <cellStyle name="Comma 7 2 2 2 2 4 5" xfId="45486" xr:uid="{00000000-0005-0000-0000-00004A3D0000}"/>
    <cellStyle name="Comma 7 2 2 2 2 5" xfId="36074" xr:uid="{00000000-0005-0000-0000-00004B3D0000}"/>
    <cellStyle name="Comma 7 2 2 2 2 5 2" xfId="39966" xr:uid="{00000000-0005-0000-0000-00004C3D0000}"/>
    <cellStyle name="Comma 7 2 2 2 2 5 3" xfId="42854" xr:uid="{00000000-0005-0000-0000-00004D3D0000}"/>
    <cellStyle name="Comma 7 2 2 2 2 5 4" xfId="45487" xr:uid="{00000000-0005-0000-0000-00004E3D0000}"/>
    <cellStyle name="Comma 7 2 2 2 2 6" xfId="36374" xr:uid="{00000000-0005-0000-0000-00004F3D0000}"/>
    <cellStyle name="Comma 7 2 2 2 2 7" xfId="37580" xr:uid="{00000000-0005-0000-0000-0000503D0000}"/>
    <cellStyle name="Comma 7 2 2 2 2 8" xfId="41526" xr:uid="{00000000-0005-0000-0000-0000513D0000}"/>
    <cellStyle name="Comma 7 2 2 2 2 9" xfId="45488" xr:uid="{00000000-0005-0000-0000-0000523D0000}"/>
    <cellStyle name="Comma 7 2 2 2 3" xfId="4460" xr:uid="{00000000-0005-0000-0000-0000533D0000}"/>
    <cellStyle name="Comma 7 2 2 2 3 2" xfId="5911" xr:uid="{00000000-0005-0000-0000-0000543D0000}"/>
    <cellStyle name="Comma 7 2 2 2 3 2 2" xfId="41086" xr:uid="{00000000-0005-0000-0000-0000553D0000}"/>
    <cellStyle name="Comma 7 2 2 2 3 2 2 2" xfId="43798" xr:uid="{00000000-0005-0000-0000-0000563D0000}"/>
    <cellStyle name="Comma 7 2 2 2 3 2 2 3" xfId="45489" xr:uid="{00000000-0005-0000-0000-0000573D0000}"/>
    <cellStyle name="Comma 7 2 2 2 3 2 3" xfId="39510" xr:uid="{00000000-0005-0000-0000-0000583D0000}"/>
    <cellStyle name="Comma 7 2 2 2 3 2 4" xfId="42470" xr:uid="{00000000-0005-0000-0000-0000593D0000}"/>
    <cellStyle name="Comma 7 2 2 2 3 2 5" xfId="45490" xr:uid="{00000000-0005-0000-0000-00005A3D0000}"/>
    <cellStyle name="Comma 7 2 2 2 3 2 6" xfId="35643" xr:uid="{00000000-0005-0000-0000-00005B3D0000}"/>
    <cellStyle name="Comma 7 2 2 2 3 3" xfId="40231" xr:uid="{00000000-0005-0000-0000-00005C3D0000}"/>
    <cellStyle name="Comma 7 2 2 2 3 3 2" xfId="43080" xr:uid="{00000000-0005-0000-0000-00005D3D0000}"/>
    <cellStyle name="Comma 7 2 2 2 3 3 3" xfId="45491" xr:uid="{00000000-0005-0000-0000-00005E3D0000}"/>
    <cellStyle name="Comma 7 2 2 2 3 4" xfId="38712" xr:uid="{00000000-0005-0000-0000-00005F3D0000}"/>
    <cellStyle name="Comma 7 2 2 2 3 5" xfId="41752" xr:uid="{00000000-0005-0000-0000-0000603D0000}"/>
    <cellStyle name="Comma 7 2 2 2 3 6" xfId="45492" xr:uid="{00000000-0005-0000-0000-0000613D0000}"/>
    <cellStyle name="Comma 7 2 2 2 3 7" xfId="12128" xr:uid="{00000000-0005-0000-0000-0000623D0000}"/>
    <cellStyle name="Comma 7 2 2 2 4" xfId="5773" xr:uid="{00000000-0005-0000-0000-0000633D0000}"/>
    <cellStyle name="Comma 7 2 2 2 4 2" xfId="40096" xr:uid="{00000000-0005-0000-0000-0000643D0000}"/>
    <cellStyle name="Comma 7 2 2 2 4 2 2" xfId="42965" xr:uid="{00000000-0005-0000-0000-0000653D0000}"/>
    <cellStyle name="Comma 7 2 2 2 4 2 3" xfId="45493" xr:uid="{00000000-0005-0000-0000-0000663D0000}"/>
    <cellStyle name="Comma 7 2 2 2 4 3" xfId="38140" xr:uid="{00000000-0005-0000-0000-0000673D0000}"/>
    <cellStyle name="Comma 7 2 2 2 4 4" xfId="41637" xr:uid="{00000000-0005-0000-0000-0000683D0000}"/>
    <cellStyle name="Comma 7 2 2 2 4 5" xfId="45494" xr:uid="{00000000-0005-0000-0000-0000693D0000}"/>
    <cellStyle name="Comma 7 2 2 2 4 6" xfId="15804" xr:uid="{00000000-0005-0000-0000-00006A3D0000}"/>
    <cellStyle name="Comma 7 2 2 2 5" xfId="6232" xr:uid="{00000000-0005-0000-0000-00006B3D0000}"/>
    <cellStyle name="Comma 7 2 2 2 5 2" xfId="40641" xr:uid="{00000000-0005-0000-0000-00006C3D0000}"/>
    <cellStyle name="Comma 7 2 2 2 5 2 2" xfId="43427" xr:uid="{00000000-0005-0000-0000-00006D3D0000}"/>
    <cellStyle name="Comma 7 2 2 2 5 2 3" xfId="45495" xr:uid="{00000000-0005-0000-0000-00006E3D0000}"/>
    <cellStyle name="Comma 7 2 2 2 5 3" xfId="39073" xr:uid="{00000000-0005-0000-0000-00006F3D0000}"/>
    <cellStyle name="Comma 7 2 2 2 5 4" xfId="42099" xr:uid="{00000000-0005-0000-0000-0000703D0000}"/>
    <cellStyle name="Comma 7 2 2 2 5 5" xfId="45496" xr:uid="{00000000-0005-0000-0000-0000713D0000}"/>
    <cellStyle name="Comma 7 2 2 2 5 6" xfId="30302" xr:uid="{00000000-0005-0000-0000-0000723D0000}"/>
    <cellStyle name="Comma 7 2 2 2 6" xfId="30902" xr:uid="{00000000-0005-0000-0000-0000733D0000}"/>
    <cellStyle name="Comma 7 2 2 2 6 2" xfId="40948" xr:uid="{00000000-0005-0000-0000-0000743D0000}"/>
    <cellStyle name="Comma 7 2 2 2 6 2 2" xfId="43683" xr:uid="{00000000-0005-0000-0000-0000753D0000}"/>
    <cellStyle name="Comma 7 2 2 2 6 2 3" xfId="45497" xr:uid="{00000000-0005-0000-0000-0000763D0000}"/>
    <cellStyle name="Comma 7 2 2 2 6 3" xfId="39377" xr:uid="{00000000-0005-0000-0000-0000773D0000}"/>
    <cellStyle name="Comma 7 2 2 2 6 4" xfId="42355" xr:uid="{00000000-0005-0000-0000-0000783D0000}"/>
    <cellStyle name="Comma 7 2 2 2 6 5" xfId="45498" xr:uid="{00000000-0005-0000-0000-0000793D0000}"/>
    <cellStyle name="Comma 7 2 2 2 7" xfId="32125" xr:uid="{00000000-0005-0000-0000-00007A3D0000}"/>
    <cellStyle name="Comma 7 2 2 2 7 2" xfId="39828" xr:uid="{00000000-0005-0000-0000-00007B3D0000}"/>
    <cellStyle name="Comma 7 2 2 2 7 3" xfId="42736" xr:uid="{00000000-0005-0000-0000-00007C3D0000}"/>
    <cellStyle name="Comma 7 2 2 2 7 4" xfId="45499" xr:uid="{00000000-0005-0000-0000-00007D3D0000}"/>
    <cellStyle name="Comma 7 2 2 2 8" xfId="32767" xr:uid="{00000000-0005-0000-0000-00007E3D0000}"/>
    <cellStyle name="Comma 7 2 2 2 9" xfId="33979" xr:uid="{00000000-0005-0000-0000-00007F3D0000}"/>
    <cellStyle name="Comma 7 2 2 3" xfId="2809" xr:uid="{00000000-0005-0000-0000-0000803D0000}"/>
    <cellStyle name="Comma 7 2 2 3 10" xfId="34657" xr:uid="{00000000-0005-0000-0000-0000813D0000}"/>
    <cellStyle name="Comma 7 2 2 3 11" xfId="35371" xr:uid="{00000000-0005-0000-0000-0000823D0000}"/>
    <cellStyle name="Comma 7 2 2 3 12" xfId="36234" xr:uid="{00000000-0005-0000-0000-0000833D0000}"/>
    <cellStyle name="Comma 7 2 2 3 13" xfId="37559" xr:uid="{00000000-0005-0000-0000-0000843D0000}"/>
    <cellStyle name="Comma 7 2 2 3 14" xfId="41505" xr:uid="{00000000-0005-0000-0000-0000853D0000}"/>
    <cellStyle name="Comma 7 2 2 3 15" xfId="45500" xr:uid="{00000000-0005-0000-0000-0000863D0000}"/>
    <cellStyle name="Comma 7 2 2 3 16" xfId="11543" xr:uid="{00000000-0005-0000-0000-0000873D0000}"/>
    <cellStyle name="Comma 7 2 2 3 2" xfId="5120" xr:uid="{00000000-0005-0000-0000-0000883D0000}"/>
    <cellStyle name="Comma 7 2 2 3 2 10" xfId="15164" xr:uid="{00000000-0005-0000-0000-0000893D0000}"/>
    <cellStyle name="Comma 7 2 2 3 2 2" xfId="6089" xr:uid="{00000000-0005-0000-0000-00008A3D0000}"/>
    <cellStyle name="Comma 7 2 2 3 2 2 2" xfId="40802" xr:uid="{00000000-0005-0000-0000-00008B3D0000}"/>
    <cellStyle name="Comma 7 2 2 3 2 2 2 2" xfId="43557" xr:uid="{00000000-0005-0000-0000-00008C3D0000}"/>
    <cellStyle name="Comma 7 2 2 3 2 2 2 3" xfId="45501" xr:uid="{00000000-0005-0000-0000-00008D3D0000}"/>
    <cellStyle name="Comma 7 2 2 3 2 2 3" xfId="39239" xr:uid="{00000000-0005-0000-0000-00008E3D0000}"/>
    <cellStyle name="Comma 7 2 2 3 2 2 4" xfId="42229" xr:uid="{00000000-0005-0000-0000-00008F3D0000}"/>
    <cellStyle name="Comma 7 2 2 3 2 2 5" xfId="45502" xr:uid="{00000000-0005-0000-0000-0000903D0000}"/>
    <cellStyle name="Comma 7 2 2 3 2 2 6" xfId="31571" xr:uid="{00000000-0005-0000-0000-0000913D0000}"/>
    <cellStyle name="Comma 7 2 2 3 2 3" xfId="6409" xr:uid="{00000000-0005-0000-0000-0000923D0000}"/>
    <cellStyle name="Comma 7 2 2 3 2 3 2" xfId="41259" xr:uid="{00000000-0005-0000-0000-0000933D0000}"/>
    <cellStyle name="Comma 7 2 2 3 2 3 2 2" xfId="43939" xr:uid="{00000000-0005-0000-0000-0000943D0000}"/>
    <cellStyle name="Comma 7 2 2 3 2 3 2 3" xfId="45503" xr:uid="{00000000-0005-0000-0000-0000953D0000}"/>
    <cellStyle name="Comma 7 2 2 3 2 3 3" xfId="39676" xr:uid="{00000000-0005-0000-0000-0000963D0000}"/>
    <cellStyle name="Comma 7 2 2 3 2 3 4" xfId="42611" xr:uid="{00000000-0005-0000-0000-0000973D0000}"/>
    <cellStyle name="Comma 7 2 2 3 2 3 5" xfId="45504" xr:uid="{00000000-0005-0000-0000-0000983D0000}"/>
    <cellStyle name="Comma 7 2 2 3 2 3 6" xfId="33424" xr:uid="{00000000-0005-0000-0000-0000993D0000}"/>
    <cellStyle name="Comma 7 2 2 3 2 4" xfId="35248" xr:uid="{00000000-0005-0000-0000-00009A3D0000}"/>
    <cellStyle name="Comma 7 2 2 3 2 4 2" xfId="40403" xr:uid="{00000000-0005-0000-0000-00009B3D0000}"/>
    <cellStyle name="Comma 7 2 2 3 2 4 3" xfId="43221" xr:uid="{00000000-0005-0000-0000-00009C3D0000}"/>
    <cellStyle name="Comma 7 2 2 3 2 4 4" xfId="45505" xr:uid="{00000000-0005-0000-0000-00009D3D0000}"/>
    <cellStyle name="Comma 7 2 2 3 2 5" xfId="36075" xr:uid="{00000000-0005-0000-0000-00009E3D0000}"/>
    <cellStyle name="Comma 7 2 2 3 2 6" xfId="36375" xr:uid="{00000000-0005-0000-0000-00009F3D0000}"/>
    <cellStyle name="Comma 7 2 2 3 2 7" xfId="38854" xr:uid="{00000000-0005-0000-0000-0000A03D0000}"/>
    <cellStyle name="Comma 7 2 2 3 2 8" xfId="41893" xr:uid="{00000000-0005-0000-0000-0000A13D0000}"/>
    <cellStyle name="Comma 7 2 2 3 2 9" xfId="45506" xr:uid="{00000000-0005-0000-0000-0000A23D0000}"/>
    <cellStyle name="Comma 7 2 2 3 3" xfId="4461" xr:uid="{00000000-0005-0000-0000-0000A33D0000}"/>
    <cellStyle name="Comma 7 2 2 3 3 2" xfId="5912" xr:uid="{00000000-0005-0000-0000-0000A43D0000}"/>
    <cellStyle name="Comma 7 2 2 3 3 2 2" xfId="41087" xr:uid="{00000000-0005-0000-0000-0000A53D0000}"/>
    <cellStyle name="Comma 7 2 2 3 3 2 2 2" xfId="43799" xr:uid="{00000000-0005-0000-0000-0000A63D0000}"/>
    <cellStyle name="Comma 7 2 2 3 3 2 2 3" xfId="45507" xr:uid="{00000000-0005-0000-0000-0000A73D0000}"/>
    <cellStyle name="Comma 7 2 2 3 3 2 3" xfId="39511" xr:uid="{00000000-0005-0000-0000-0000A83D0000}"/>
    <cellStyle name="Comma 7 2 2 3 3 2 4" xfId="42471" xr:uid="{00000000-0005-0000-0000-0000A93D0000}"/>
    <cellStyle name="Comma 7 2 2 3 3 2 5" xfId="45508" xr:uid="{00000000-0005-0000-0000-0000AA3D0000}"/>
    <cellStyle name="Comma 7 2 2 3 3 2 6" xfId="35644" xr:uid="{00000000-0005-0000-0000-0000AB3D0000}"/>
    <cellStyle name="Comma 7 2 2 3 3 3" xfId="40232" xr:uid="{00000000-0005-0000-0000-0000AC3D0000}"/>
    <cellStyle name="Comma 7 2 2 3 3 3 2" xfId="43081" xr:uid="{00000000-0005-0000-0000-0000AD3D0000}"/>
    <cellStyle name="Comma 7 2 2 3 3 3 3" xfId="45509" xr:uid="{00000000-0005-0000-0000-0000AE3D0000}"/>
    <cellStyle name="Comma 7 2 2 3 3 4" xfId="38713" xr:uid="{00000000-0005-0000-0000-0000AF3D0000}"/>
    <cellStyle name="Comma 7 2 2 3 3 5" xfId="41753" xr:uid="{00000000-0005-0000-0000-0000B03D0000}"/>
    <cellStyle name="Comma 7 2 2 3 3 6" xfId="45510" xr:uid="{00000000-0005-0000-0000-0000B13D0000}"/>
    <cellStyle name="Comma 7 2 2 3 3 7" xfId="12206" xr:uid="{00000000-0005-0000-0000-0000B23D0000}"/>
    <cellStyle name="Comma 7 2 2 3 4" xfId="5774" xr:uid="{00000000-0005-0000-0000-0000B33D0000}"/>
    <cellStyle name="Comma 7 2 2 3 4 2" xfId="40097" xr:uid="{00000000-0005-0000-0000-0000B43D0000}"/>
    <cellStyle name="Comma 7 2 2 3 4 2 2" xfId="42966" xr:uid="{00000000-0005-0000-0000-0000B53D0000}"/>
    <cellStyle name="Comma 7 2 2 3 4 2 3" xfId="45511" xr:uid="{00000000-0005-0000-0000-0000B63D0000}"/>
    <cellStyle name="Comma 7 2 2 3 4 3" xfId="38141" xr:uid="{00000000-0005-0000-0000-0000B73D0000}"/>
    <cellStyle name="Comma 7 2 2 3 4 4" xfId="41638" xr:uid="{00000000-0005-0000-0000-0000B83D0000}"/>
    <cellStyle name="Comma 7 2 2 3 4 5" xfId="45512" xr:uid="{00000000-0005-0000-0000-0000B93D0000}"/>
    <cellStyle name="Comma 7 2 2 3 4 6" xfId="15805" xr:uid="{00000000-0005-0000-0000-0000BA3D0000}"/>
    <cellStyle name="Comma 7 2 2 3 5" xfId="6233" xr:uid="{00000000-0005-0000-0000-0000BB3D0000}"/>
    <cellStyle name="Comma 7 2 2 3 5 2" xfId="40642" xr:uid="{00000000-0005-0000-0000-0000BC3D0000}"/>
    <cellStyle name="Comma 7 2 2 3 5 2 2" xfId="43428" xr:uid="{00000000-0005-0000-0000-0000BD3D0000}"/>
    <cellStyle name="Comma 7 2 2 3 5 2 3" xfId="45513" xr:uid="{00000000-0005-0000-0000-0000BE3D0000}"/>
    <cellStyle name="Comma 7 2 2 3 5 3" xfId="39074" xr:uid="{00000000-0005-0000-0000-0000BF3D0000}"/>
    <cellStyle name="Comma 7 2 2 3 5 4" xfId="42100" xr:uid="{00000000-0005-0000-0000-0000C03D0000}"/>
    <cellStyle name="Comma 7 2 2 3 5 5" xfId="45514" xr:uid="{00000000-0005-0000-0000-0000C13D0000}"/>
    <cellStyle name="Comma 7 2 2 3 5 6" xfId="30303" xr:uid="{00000000-0005-0000-0000-0000C23D0000}"/>
    <cellStyle name="Comma 7 2 2 3 6" xfId="30980" xr:uid="{00000000-0005-0000-0000-0000C33D0000}"/>
    <cellStyle name="Comma 7 2 2 3 6 2" xfId="40949" xr:uid="{00000000-0005-0000-0000-0000C43D0000}"/>
    <cellStyle name="Comma 7 2 2 3 6 2 2" xfId="43684" xr:uid="{00000000-0005-0000-0000-0000C53D0000}"/>
    <cellStyle name="Comma 7 2 2 3 6 2 3" xfId="45515" xr:uid="{00000000-0005-0000-0000-0000C63D0000}"/>
    <cellStyle name="Comma 7 2 2 3 6 3" xfId="39378" xr:uid="{00000000-0005-0000-0000-0000C73D0000}"/>
    <cellStyle name="Comma 7 2 2 3 6 4" xfId="42356" xr:uid="{00000000-0005-0000-0000-0000C83D0000}"/>
    <cellStyle name="Comma 7 2 2 3 6 5" xfId="45516" xr:uid="{00000000-0005-0000-0000-0000C93D0000}"/>
    <cellStyle name="Comma 7 2 2 3 7" xfId="32126" xr:uid="{00000000-0005-0000-0000-0000CA3D0000}"/>
    <cellStyle name="Comma 7 2 2 3 7 2" xfId="39945" xr:uid="{00000000-0005-0000-0000-0000CB3D0000}"/>
    <cellStyle name="Comma 7 2 2 3 7 3" xfId="42833" xr:uid="{00000000-0005-0000-0000-0000CC3D0000}"/>
    <cellStyle name="Comma 7 2 2 3 7 4" xfId="45517" xr:uid="{00000000-0005-0000-0000-0000CD3D0000}"/>
    <cellStyle name="Comma 7 2 2 3 8" xfId="32768" xr:uid="{00000000-0005-0000-0000-0000CE3D0000}"/>
    <cellStyle name="Comma 7 2 2 3 9" xfId="33980" xr:uid="{00000000-0005-0000-0000-0000CF3D0000}"/>
    <cellStyle name="Comma 7 2 2 4" xfId="2807" xr:uid="{00000000-0005-0000-0000-0000D03D0000}"/>
    <cellStyle name="Comma 7 2 2 4 10" xfId="36373" xr:uid="{00000000-0005-0000-0000-0000D13D0000}"/>
    <cellStyle name="Comma 7 2 2 4 11" xfId="37535" xr:uid="{00000000-0005-0000-0000-0000D23D0000}"/>
    <cellStyle name="Comma 7 2 2 4 12" xfId="41481" xr:uid="{00000000-0005-0000-0000-0000D33D0000}"/>
    <cellStyle name="Comma 7 2 2 4 13" xfId="45518" xr:uid="{00000000-0005-0000-0000-0000D43D0000}"/>
    <cellStyle name="Comma 7 2 2 4 14" xfId="12427" xr:uid="{00000000-0005-0000-0000-0000D53D0000}"/>
    <cellStyle name="Comma 7 2 2 4 2" xfId="5118" xr:uid="{00000000-0005-0000-0000-0000D63D0000}"/>
    <cellStyle name="Comma 7 2 2 4 2 2" xfId="6087" xr:uid="{00000000-0005-0000-0000-0000D73D0000}"/>
    <cellStyle name="Comma 7 2 2 4 2 2 2" xfId="41257" xr:uid="{00000000-0005-0000-0000-0000D83D0000}"/>
    <cellStyle name="Comma 7 2 2 4 2 2 2 2" xfId="43937" xr:uid="{00000000-0005-0000-0000-0000D93D0000}"/>
    <cellStyle name="Comma 7 2 2 4 2 2 2 3" xfId="45519" xr:uid="{00000000-0005-0000-0000-0000DA3D0000}"/>
    <cellStyle name="Comma 7 2 2 4 2 2 3" xfId="39674" xr:uid="{00000000-0005-0000-0000-0000DB3D0000}"/>
    <cellStyle name="Comma 7 2 2 4 2 2 4" xfId="42609" xr:uid="{00000000-0005-0000-0000-0000DC3D0000}"/>
    <cellStyle name="Comma 7 2 2 4 2 2 5" xfId="45520" xr:uid="{00000000-0005-0000-0000-0000DD3D0000}"/>
    <cellStyle name="Comma 7 2 2 4 2 2 6" xfId="36073" xr:uid="{00000000-0005-0000-0000-0000DE3D0000}"/>
    <cellStyle name="Comma 7 2 2 4 2 3" xfId="40401" xr:uid="{00000000-0005-0000-0000-0000DF3D0000}"/>
    <cellStyle name="Comma 7 2 2 4 2 3 2" xfId="43219" xr:uid="{00000000-0005-0000-0000-0000E03D0000}"/>
    <cellStyle name="Comma 7 2 2 4 2 3 3" xfId="45521" xr:uid="{00000000-0005-0000-0000-0000E13D0000}"/>
    <cellStyle name="Comma 7 2 2 4 2 4" xfId="38852" xr:uid="{00000000-0005-0000-0000-0000E23D0000}"/>
    <cellStyle name="Comma 7 2 2 4 2 5" xfId="41891" xr:uid="{00000000-0005-0000-0000-0000E33D0000}"/>
    <cellStyle name="Comma 7 2 2 4 2 6" xfId="45522" xr:uid="{00000000-0005-0000-0000-0000E43D0000}"/>
    <cellStyle name="Comma 7 2 2 4 2 7" xfId="15806" xr:uid="{00000000-0005-0000-0000-0000E53D0000}"/>
    <cellStyle name="Comma 7 2 2 4 3" xfId="5772" xr:uid="{00000000-0005-0000-0000-0000E63D0000}"/>
    <cellStyle name="Comma 7 2 2 4 3 2" xfId="40095" xr:uid="{00000000-0005-0000-0000-0000E73D0000}"/>
    <cellStyle name="Comma 7 2 2 4 3 2 2" xfId="42964" xr:uid="{00000000-0005-0000-0000-0000E83D0000}"/>
    <cellStyle name="Comma 7 2 2 4 3 2 3" xfId="45523" xr:uid="{00000000-0005-0000-0000-0000E93D0000}"/>
    <cellStyle name="Comma 7 2 2 4 3 3" xfId="38139" xr:uid="{00000000-0005-0000-0000-0000EA3D0000}"/>
    <cellStyle name="Comma 7 2 2 4 3 4" xfId="41636" xr:uid="{00000000-0005-0000-0000-0000EB3D0000}"/>
    <cellStyle name="Comma 7 2 2 4 3 5" xfId="45524" xr:uid="{00000000-0005-0000-0000-0000EC3D0000}"/>
    <cellStyle name="Comma 7 2 2 4 3 6" xfId="30304" xr:uid="{00000000-0005-0000-0000-0000ED3D0000}"/>
    <cellStyle name="Comma 7 2 2 4 4" xfId="6407" xr:uid="{00000000-0005-0000-0000-0000EE3D0000}"/>
    <cellStyle name="Comma 7 2 2 4 4 2" xfId="40640" xr:uid="{00000000-0005-0000-0000-0000EF3D0000}"/>
    <cellStyle name="Comma 7 2 2 4 4 2 2" xfId="43426" xr:uid="{00000000-0005-0000-0000-0000F03D0000}"/>
    <cellStyle name="Comma 7 2 2 4 4 2 3" xfId="45525" xr:uid="{00000000-0005-0000-0000-0000F13D0000}"/>
    <cellStyle name="Comma 7 2 2 4 4 3" xfId="39072" xr:uid="{00000000-0005-0000-0000-0000F23D0000}"/>
    <cellStyle name="Comma 7 2 2 4 4 4" xfId="42098" xr:uid="{00000000-0005-0000-0000-0000F33D0000}"/>
    <cellStyle name="Comma 7 2 2 4 4 5" xfId="45526" xr:uid="{00000000-0005-0000-0000-0000F43D0000}"/>
    <cellStyle name="Comma 7 2 2 4 4 6" xfId="31138" xr:uid="{00000000-0005-0000-0000-0000F53D0000}"/>
    <cellStyle name="Comma 7 2 2 4 5" xfId="32127" xr:uid="{00000000-0005-0000-0000-0000F63D0000}"/>
    <cellStyle name="Comma 7 2 2 4 5 2" xfId="40947" xr:uid="{00000000-0005-0000-0000-0000F73D0000}"/>
    <cellStyle name="Comma 7 2 2 4 5 2 2" xfId="43682" xr:uid="{00000000-0005-0000-0000-0000F83D0000}"/>
    <cellStyle name="Comma 7 2 2 4 5 2 3" xfId="45527" xr:uid="{00000000-0005-0000-0000-0000F93D0000}"/>
    <cellStyle name="Comma 7 2 2 4 5 3" xfId="39376" xr:uid="{00000000-0005-0000-0000-0000FA3D0000}"/>
    <cellStyle name="Comma 7 2 2 4 5 4" xfId="42354" xr:uid="{00000000-0005-0000-0000-0000FB3D0000}"/>
    <cellStyle name="Comma 7 2 2 4 5 5" xfId="45528" xr:uid="{00000000-0005-0000-0000-0000FC3D0000}"/>
    <cellStyle name="Comma 7 2 2 4 6" xfId="32769" xr:uid="{00000000-0005-0000-0000-0000FD3D0000}"/>
    <cellStyle name="Comma 7 2 2 4 6 2" xfId="39910" xr:uid="{00000000-0005-0000-0000-0000FE3D0000}"/>
    <cellStyle name="Comma 7 2 2 4 6 3" xfId="42809" xr:uid="{00000000-0005-0000-0000-0000FF3D0000}"/>
    <cellStyle name="Comma 7 2 2 4 6 4" xfId="45529" xr:uid="{00000000-0005-0000-0000-0000003E0000}"/>
    <cellStyle name="Comma 7 2 2 4 7" xfId="33981" xr:uid="{00000000-0005-0000-0000-0000013E0000}"/>
    <cellStyle name="Comma 7 2 2 4 8" xfId="34815" xr:uid="{00000000-0005-0000-0000-0000023E0000}"/>
    <cellStyle name="Comma 7 2 2 4 9" xfId="35369" xr:uid="{00000000-0005-0000-0000-0000033E0000}"/>
    <cellStyle name="Comma 7 2 2 5" xfId="4550" xr:uid="{00000000-0005-0000-0000-0000043E0000}"/>
    <cellStyle name="Comma 7 2 2 5 2" xfId="5999" xr:uid="{00000000-0005-0000-0000-0000053E0000}"/>
    <cellStyle name="Comma 7 2 2 5 2 2" xfId="40557" xr:uid="{00000000-0005-0000-0000-0000063E0000}"/>
    <cellStyle name="Comma 7 2 2 5 2 2 2" xfId="43351" xr:uid="{00000000-0005-0000-0000-0000073E0000}"/>
    <cellStyle name="Comma 7 2 2 5 2 2 3" xfId="45530" xr:uid="{00000000-0005-0000-0000-0000083E0000}"/>
    <cellStyle name="Comma 7 2 2 5 2 3" xfId="38994" xr:uid="{00000000-0005-0000-0000-0000093E0000}"/>
    <cellStyle name="Comma 7 2 2 5 2 4" xfId="42023" xr:uid="{00000000-0005-0000-0000-00000A3E0000}"/>
    <cellStyle name="Comma 7 2 2 5 2 5" xfId="45531" xr:uid="{00000000-0005-0000-0000-00000B3E0000}"/>
    <cellStyle name="Comma 7 2 2 5 2 6" xfId="35711" xr:uid="{00000000-0005-0000-0000-00000C3E0000}"/>
    <cellStyle name="Comma 7 2 2 5 3" xfId="6320" xr:uid="{00000000-0005-0000-0000-00000D3E0000}"/>
    <cellStyle name="Comma 7 2 2 5 3 2" xfId="41172" xr:uid="{00000000-0005-0000-0000-00000E3E0000}"/>
    <cellStyle name="Comma 7 2 2 5 3 2 2" xfId="43862" xr:uid="{00000000-0005-0000-0000-00000F3E0000}"/>
    <cellStyle name="Comma 7 2 2 5 3 2 3" xfId="45532" xr:uid="{00000000-0005-0000-0000-0000103E0000}"/>
    <cellStyle name="Comma 7 2 2 5 3 3" xfId="39591" xr:uid="{00000000-0005-0000-0000-0000113E0000}"/>
    <cellStyle name="Comma 7 2 2 5 3 4" xfId="42534" xr:uid="{00000000-0005-0000-0000-0000123E0000}"/>
    <cellStyle name="Comma 7 2 2 5 3 5" xfId="45533" xr:uid="{00000000-0005-0000-0000-0000133E0000}"/>
    <cellStyle name="Comma 7 2 2 5 3 6" xfId="36298" xr:uid="{00000000-0005-0000-0000-0000143E0000}"/>
    <cellStyle name="Comma 7 2 2 5 4" xfId="40317" xr:uid="{00000000-0005-0000-0000-0000153E0000}"/>
    <cellStyle name="Comma 7 2 2 5 4 2" xfId="43144" xr:uid="{00000000-0005-0000-0000-0000163E0000}"/>
    <cellStyle name="Comma 7 2 2 5 4 3" xfId="45534" xr:uid="{00000000-0005-0000-0000-0000173E0000}"/>
    <cellStyle name="Comma 7 2 2 5 5" xfId="38776" xr:uid="{00000000-0005-0000-0000-0000183E0000}"/>
    <cellStyle name="Comma 7 2 2 5 6" xfId="41816" xr:uid="{00000000-0005-0000-0000-0000193E0000}"/>
    <cellStyle name="Comma 7 2 2 5 7" xfId="45535" xr:uid="{00000000-0005-0000-0000-00001A3E0000}"/>
    <cellStyle name="Comma 7 2 2 5 8" xfId="11773" xr:uid="{00000000-0005-0000-0000-00001B3E0000}"/>
    <cellStyle name="Comma 7 2 2 6" xfId="4459" xr:uid="{00000000-0005-0000-0000-00001C3E0000}"/>
    <cellStyle name="Comma 7 2 2 6 2" xfId="5910" xr:uid="{00000000-0005-0000-0000-00001D3E0000}"/>
    <cellStyle name="Comma 7 2 2 6 2 2" xfId="40765" xr:uid="{00000000-0005-0000-0000-00001E3E0000}"/>
    <cellStyle name="Comma 7 2 2 6 2 2 2" xfId="43528" xr:uid="{00000000-0005-0000-0000-00001F3E0000}"/>
    <cellStyle name="Comma 7 2 2 6 2 2 3" xfId="45536" xr:uid="{00000000-0005-0000-0000-0000203E0000}"/>
    <cellStyle name="Comma 7 2 2 6 2 3" xfId="39192" xr:uid="{00000000-0005-0000-0000-0000213E0000}"/>
    <cellStyle name="Comma 7 2 2 6 2 4" xfId="42200" xr:uid="{00000000-0005-0000-0000-0000223E0000}"/>
    <cellStyle name="Comma 7 2 2 6 2 5" xfId="45537" xr:uid="{00000000-0005-0000-0000-0000233E0000}"/>
    <cellStyle name="Comma 7 2 2 6 2 6" xfId="35642" xr:uid="{00000000-0005-0000-0000-0000243E0000}"/>
    <cellStyle name="Comma 7 2 2 6 3" xfId="39509" xr:uid="{00000000-0005-0000-0000-0000253E0000}"/>
    <cellStyle name="Comma 7 2 2 6 3 2" xfId="41085" xr:uid="{00000000-0005-0000-0000-0000263E0000}"/>
    <cellStyle name="Comma 7 2 2 6 3 2 2" xfId="43797" xr:uid="{00000000-0005-0000-0000-0000273E0000}"/>
    <cellStyle name="Comma 7 2 2 6 3 2 3" xfId="45538" xr:uid="{00000000-0005-0000-0000-0000283E0000}"/>
    <cellStyle name="Comma 7 2 2 6 3 3" xfId="42469" xr:uid="{00000000-0005-0000-0000-0000293E0000}"/>
    <cellStyle name="Comma 7 2 2 6 3 4" xfId="45539" xr:uid="{00000000-0005-0000-0000-00002A3E0000}"/>
    <cellStyle name="Comma 7 2 2 6 4" xfId="40230" xr:uid="{00000000-0005-0000-0000-00002B3E0000}"/>
    <cellStyle name="Comma 7 2 2 6 4 2" xfId="43079" xr:uid="{00000000-0005-0000-0000-00002C3E0000}"/>
    <cellStyle name="Comma 7 2 2 6 4 3" xfId="45540" xr:uid="{00000000-0005-0000-0000-00002D3E0000}"/>
    <cellStyle name="Comma 7 2 2 6 5" xfId="38711" xr:uid="{00000000-0005-0000-0000-00002E3E0000}"/>
    <cellStyle name="Comma 7 2 2 6 6" xfId="41751" xr:uid="{00000000-0005-0000-0000-00002F3E0000}"/>
    <cellStyle name="Comma 7 2 2 6 7" xfId="45541" xr:uid="{00000000-0005-0000-0000-0000303E0000}"/>
    <cellStyle name="Comma 7 2 2 6 8" xfId="15803" xr:uid="{00000000-0005-0000-0000-0000313E0000}"/>
    <cellStyle name="Comma 7 2 2 7" xfId="5678" xr:uid="{00000000-0005-0000-0000-0000323E0000}"/>
    <cellStyle name="Comma 7 2 2 7 2" xfId="40012" xr:uid="{00000000-0005-0000-0000-0000333E0000}"/>
    <cellStyle name="Comma 7 2 2 7 2 2" xfId="42889" xr:uid="{00000000-0005-0000-0000-0000343E0000}"/>
    <cellStyle name="Comma 7 2 2 7 2 3" xfId="45542" xr:uid="{00000000-0005-0000-0000-0000353E0000}"/>
    <cellStyle name="Comma 7 2 2 7 3" xfId="37621" xr:uid="{00000000-0005-0000-0000-0000363E0000}"/>
    <cellStyle name="Comma 7 2 2 7 4" xfId="41561" xr:uid="{00000000-0005-0000-0000-0000373E0000}"/>
    <cellStyle name="Comma 7 2 2 7 5" xfId="45543" xr:uid="{00000000-0005-0000-0000-0000383E0000}"/>
    <cellStyle name="Comma 7 2 2 7 6" xfId="30301" xr:uid="{00000000-0005-0000-0000-0000393E0000}"/>
    <cellStyle name="Comma 7 2 2 8" xfId="6231" xr:uid="{00000000-0005-0000-0000-00003A3E0000}"/>
    <cellStyle name="Comma 7 2 2 8 2" xfId="40521" xr:uid="{00000000-0005-0000-0000-00003B3E0000}"/>
    <cellStyle name="Comma 7 2 2 8 2 2" xfId="43322" xr:uid="{00000000-0005-0000-0000-00003C3E0000}"/>
    <cellStyle name="Comma 7 2 2 8 2 3" xfId="45544" xr:uid="{00000000-0005-0000-0000-00003D3E0000}"/>
    <cellStyle name="Comma 7 2 2 8 3" xfId="38963" xr:uid="{00000000-0005-0000-0000-00003E3E0000}"/>
    <cellStyle name="Comma 7 2 2 8 4" xfId="41994" xr:uid="{00000000-0005-0000-0000-00003F3E0000}"/>
    <cellStyle name="Comma 7 2 2 8 5" xfId="45545" xr:uid="{00000000-0005-0000-0000-0000403E0000}"/>
    <cellStyle name="Comma 7 2 2 8 6" xfId="30547" xr:uid="{00000000-0005-0000-0000-0000413E0000}"/>
    <cellStyle name="Comma 7 2 2 9" xfId="32124" xr:uid="{00000000-0005-0000-0000-0000423E0000}"/>
    <cellStyle name="Comma 7 2 2 9 2" xfId="40863" xr:uid="{00000000-0005-0000-0000-0000433E0000}"/>
    <cellStyle name="Comma 7 2 2 9 2 2" xfId="43607" xr:uid="{00000000-0005-0000-0000-0000443E0000}"/>
    <cellStyle name="Comma 7 2 2 9 2 3" xfId="45546" xr:uid="{00000000-0005-0000-0000-0000453E0000}"/>
    <cellStyle name="Comma 7 2 2 9 3" xfId="39298" xr:uid="{00000000-0005-0000-0000-0000463E0000}"/>
    <cellStyle name="Comma 7 2 2 9 4" xfId="42279" xr:uid="{00000000-0005-0000-0000-0000473E0000}"/>
    <cellStyle name="Comma 7 2 2 9 5" xfId="45547" xr:uid="{00000000-0005-0000-0000-0000483E0000}"/>
    <cellStyle name="Comma 7 2 20" xfId="45548" xr:uid="{00000000-0005-0000-0000-0000493E0000}"/>
    <cellStyle name="Comma 7 2 21" xfId="6680" xr:uid="{00000000-0005-0000-0000-00004A3E0000}"/>
    <cellStyle name="Comma 7 2 3" xfId="1038" xr:uid="{00000000-0005-0000-0000-00004B3E0000}"/>
    <cellStyle name="Comma 7 2 3 10" xfId="32128" xr:uid="{00000000-0005-0000-0000-00004C3E0000}"/>
    <cellStyle name="Comma 7 2 3 10 2" xfId="39763" xr:uid="{00000000-0005-0000-0000-00004D3E0000}"/>
    <cellStyle name="Comma 7 2 3 10 3" xfId="42676" xr:uid="{00000000-0005-0000-0000-00004E3E0000}"/>
    <cellStyle name="Comma 7 2 3 10 4" xfId="45549" xr:uid="{00000000-0005-0000-0000-00004F3E0000}"/>
    <cellStyle name="Comma 7 2 3 11" xfId="32770" xr:uid="{00000000-0005-0000-0000-0000503E0000}"/>
    <cellStyle name="Comma 7 2 3 12" xfId="33982" xr:uid="{00000000-0005-0000-0000-0000513E0000}"/>
    <cellStyle name="Comma 7 2 3 13" xfId="34319" xr:uid="{00000000-0005-0000-0000-0000523E0000}"/>
    <cellStyle name="Comma 7 2 3 14" xfId="35292" xr:uid="{00000000-0005-0000-0000-0000533E0000}"/>
    <cellStyle name="Comma 7 2 3 15" xfId="36235" xr:uid="{00000000-0005-0000-0000-0000543E0000}"/>
    <cellStyle name="Comma 7 2 3 16" xfId="37400" xr:uid="{00000000-0005-0000-0000-0000553E0000}"/>
    <cellStyle name="Comma 7 2 3 17" xfId="41348" xr:uid="{00000000-0005-0000-0000-0000563E0000}"/>
    <cellStyle name="Comma 7 2 3 18" xfId="45550" xr:uid="{00000000-0005-0000-0000-0000573E0000}"/>
    <cellStyle name="Comma 7 2 3 19" xfId="8556" xr:uid="{00000000-0005-0000-0000-0000583E0000}"/>
    <cellStyle name="Comma 7 2 3 2" xfId="2811" xr:uid="{00000000-0005-0000-0000-0000593E0000}"/>
    <cellStyle name="Comma 7 2 3 2 10" xfId="33983" xr:uid="{00000000-0005-0000-0000-00005A3E0000}"/>
    <cellStyle name="Comma 7 2 3 2 11" xfId="34283" xr:uid="{00000000-0005-0000-0000-00005B3E0000}"/>
    <cellStyle name="Comma 7 2 3 2 12" xfId="35373" xr:uid="{00000000-0005-0000-0000-00005C3E0000}"/>
    <cellStyle name="Comma 7 2 3 2 13" xfId="36236" xr:uid="{00000000-0005-0000-0000-00005D3E0000}"/>
    <cellStyle name="Comma 7 2 3 2 14" xfId="37462" xr:uid="{00000000-0005-0000-0000-00005E3E0000}"/>
    <cellStyle name="Comma 7 2 3 2 15" xfId="41409" xr:uid="{00000000-0005-0000-0000-00005F3E0000}"/>
    <cellStyle name="Comma 7 2 3 2 16" xfId="45551" xr:uid="{00000000-0005-0000-0000-0000603E0000}"/>
    <cellStyle name="Comma 7 2 3 2 17" xfId="8446" xr:uid="{00000000-0005-0000-0000-0000613E0000}"/>
    <cellStyle name="Comma 7 2 3 2 2" xfId="5122" xr:uid="{00000000-0005-0000-0000-0000623E0000}"/>
    <cellStyle name="Comma 7 2 3 2 2 10" xfId="34581" xr:uid="{00000000-0005-0000-0000-0000633E0000}"/>
    <cellStyle name="Comma 7 2 3 2 2 11" xfId="36077" xr:uid="{00000000-0005-0000-0000-0000643E0000}"/>
    <cellStyle name="Comma 7 2 3 2 2 12" xfId="36377" xr:uid="{00000000-0005-0000-0000-0000653E0000}"/>
    <cellStyle name="Comma 7 2 3 2 2 13" xfId="37581" xr:uid="{00000000-0005-0000-0000-0000663E0000}"/>
    <cellStyle name="Comma 7 2 3 2 2 14" xfId="41527" xr:uid="{00000000-0005-0000-0000-0000673E0000}"/>
    <cellStyle name="Comma 7 2 3 2 2 15" xfId="45552" xr:uid="{00000000-0005-0000-0000-0000683E0000}"/>
    <cellStyle name="Comma 7 2 3 2 2 16" xfId="8914" xr:uid="{00000000-0005-0000-0000-0000693E0000}"/>
    <cellStyle name="Comma 7 2 3 2 2 2" xfId="6091" xr:uid="{00000000-0005-0000-0000-00006A3E0000}"/>
    <cellStyle name="Comma 7 2 3 2 2 2 2" xfId="31495" xr:uid="{00000000-0005-0000-0000-00006B3E0000}"/>
    <cellStyle name="Comma 7 2 3 2 2 2 2 2" xfId="40405" xr:uid="{00000000-0005-0000-0000-00006C3E0000}"/>
    <cellStyle name="Comma 7 2 3 2 2 2 2 3" xfId="43223" xr:uid="{00000000-0005-0000-0000-00006D3E0000}"/>
    <cellStyle name="Comma 7 2 3 2 2 2 2 4" xfId="45553" xr:uid="{00000000-0005-0000-0000-00006E3E0000}"/>
    <cellStyle name="Comma 7 2 3 2 2 2 3" xfId="33348" xr:uid="{00000000-0005-0000-0000-00006F3E0000}"/>
    <cellStyle name="Comma 7 2 3 2 2 2 4" xfId="35172" xr:uid="{00000000-0005-0000-0000-0000703E0000}"/>
    <cellStyle name="Comma 7 2 3 2 2 2 5" xfId="37266" xr:uid="{00000000-0005-0000-0000-0000713E0000}"/>
    <cellStyle name="Comma 7 2 3 2 2 2 6" xfId="38856" xr:uid="{00000000-0005-0000-0000-0000723E0000}"/>
    <cellStyle name="Comma 7 2 3 2 2 2 7" xfId="41895" xr:uid="{00000000-0005-0000-0000-0000733E0000}"/>
    <cellStyle name="Comma 7 2 3 2 2 2 8" xfId="45554" xr:uid="{00000000-0005-0000-0000-0000743E0000}"/>
    <cellStyle name="Comma 7 2 3 2 2 2 9" xfId="12913" xr:uid="{00000000-0005-0000-0000-0000753E0000}"/>
    <cellStyle name="Comma 7 2 3 2 2 3" xfId="6411" xr:uid="{00000000-0005-0000-0000-0000763E0000}"/>
    <cellStyle name="Comma 7 2 3 2 2 3 2" xfId="40803" xr:uid="{00000000-0005-0000-0000-0000773E0000}"/>
    <cellStyle name="Comma 7 2 3 2 2 3 2 2" xfId="43558" xr:uid="{00000000-0005-0000-0000-0000783E0000}"/>
    <cellStyle name="Comma 7 2 3 2 2 3 2 3" xfId="45555" xr:uid="{00000000-0005-0000-0000-0000793E0000}"/>
    <cellStyle name="Comma 7 2 3 2 2 3 3" xfId="39240" xr:uid="{00000000-0005-0000-0000-00007A3E0000}"/>
    <cellStyle name="Comma 7 2 3 2 2 3 4" xfId="42230" xr:uid="{00000000-0005-0000-0000-00007B3E0000}"/>
    <cellStyle name="Comma 7 2 3 2 2 3 5" xfId="45556" xr:uid="{00000000-0005-0000-0000-00007C3E0000}"/>
    <cellStyle name="Comma 7 2 3 2 2 3 6" xfId="12130" xr:uid="{00000000-0005-0000-0000-00007D3E0000}"/>
    <cellStyle name="Comma 7 2 3 2 2 4" xfId="15809" xr:uid="{00000000-0005-0000-0000-00007E3E0000}"/>
    <cellStyle name="Comma 7 2 3 2 2 4 2" xfId="41261" xr:uid="{00000000-0005-0000-0000-00007F3E0000}"/>
    <cellStyle name="Comma 7 2 3 2 2 4 2 2" xfId="43941" xr:uid="{00000000-0005-0000-0000-0000803E0000}"/>
    <cellStyle name="Comma 7 2 3 2 2 4 2 3" xfId="45557" xr:uid="{00000000-0005-0000-0000-0000813E0000}"/>
    <cellStyle name="Comma 7 2 3 2 2 4 3" xfId="39678" xr:uid="{00000000-0005-0000-0000-0000823E0000}"/>
    <cellStyle name="Comma 7 2 3 2 2 4 4" xfId="42613" xr:uid="{00000000-0005-0000-0000-0000833E0000}"/>
    <cellStyle name="Comma 7 2 3 2 2 4 5" xfId="45558" xr:uid="{00000000-0005-0000-0000-0000843E0000}"/>
    <cellStyle name="Comma 7 2 3 2 2 5" xfId="30307" xr:uid="{00000000-0005-0000-0000-0000853E0000}"/>
    <cellStyle name="Comma 7 2 3 2 2 5 2" xfId="39967" xr:uid="{00000000-0005-0000-0000-0000863E0000}"/>
    <cellStyle name="Comma 7 2 3 2 2 5 3" xfId="42855" xr:uid="{00000000-0005-0000-0000-0000873E0000}"/>
    <cellStyle name="Comma 7 2 3 2 2 5 4" xfId="45559" xr:uid="{00000000-0005-0000-0000-0000883E0000}"/>
    <cellStyle name="Comma 7 2 3 2 2 6" xfId="30904" xr:uid="{00000000-0005-0000-0000-0000893E0000}"/>
    <cellStyle name="Comma 7 2 3 2 2 7" xfId="32130" xr:uid="{00000000-0005-0000-0000-00008A3E0000}"/>
    <cellStyle name="Comma 7 2 3 2 2 8" xfId="32772" xr:uid="{00000000-0005-0000-0000-00008B3E0000}"/>
    <cellStyle name="Comma 7 2 3 2 2 9" xfId="33984" xr:uid="{00000000-0005-0000-0000-00008C3E0000}"/>
    <cellStyle name="Comma 7 2 3 2 3" xfId="4463" xr:uid="{00000000-0005-0000-0000-00008D3E0000}"/>
    <cellStyle name="Comma 7 2 3 2 3 10" xfId="12554" xr:uid="{00000000-0005-0000-0000-00008E3E0000}"/>
    <cellStyle name="Comma 7 2 3 2 3 2" xfId="5914" xr:uid="{00000000-0005-0000-0000-00008F3E0000}"/>
    <cellStyle name="Comma 7 2 3 2 3 2 2" xfId="41089" xr:uid="{00000000-0005-0000-0000-0000903E0000}"/>
    <cellStyle name="Comma 7 2 3 2 3 2 2 2" xfId="43801" xr:uid="{00000000-0005-0000-0000-0000913E0000}"/>
    <cellStyle name="Comma 7 2 3 2 3 2 2 3" xfId="45560" xr:uid="{00000000-0005-0000-0000-0000923E0000}"/>
    <cellStyle name="Comma 7 2 3 2 3 2 3" xfId="39513" xr:uid="{00000000-0005-0000-0000-0000933E0000}"/>
    <cellStyle name="Comma 7 2 3 2 3 2 4" xfId="42473" xr:uid="{00000000-0005-0000-0000-0000943E0000}"/>
    <cellStyle name="Comma 7 2 3 2 3 2 5" xfId="45561" xr:uid="{00000000-0005-0000-0000-0000953E0000}"/>
    <cellStyle name="Comma 7 2 3 2 3 2 6" xfId="31197" xr:uid="{00000000-0005-0000-0000-0000963E0000}"/>
    <cellStyle name="Comma 7 2 3 2 3 3" xfId="33053" xr:uid="{00000000-0005-0000-0000-0000973E0000}"/>
    <cellStyle name="Comma 7 2 3 2 3 3 2" xfId="40234" xr:uid="{00000000-0005-0000-0000-0000983E0000}"/>
    <cellStyle name="Comma 7 2 3 2 3 3 3" xfId="43083" xr:uid="{00000000-0005-0000-0000-0000993E0000}"/>
    <cellStyle name="Comma 7 2 3 2 3 3 4" xfId="45562" xr:uid="{00000000-0005-0000-0000-00009A3E0000}"/>
    <cellStyle name="Comma 7 2 3 2 3 4" xfId="34874" xr:uid="{00000000-0005-0000-0000-00009B3E0000}"/>
    <cellStyle name="Comma 7 2 3 2 3 5" xfId="35646" xr:uid="{00000000-0005-0000-0000-00009C3E0000}"/>
    <cellStyle name="Comma 7 2 3 2 3 6" xfId="36974" xr:uid="{00000000-0005-0000-0000-00009D3E0000}"/>
    <cellStyle name="Comma 7 2 3 2 3 7" xfId="38715" xr:uid="{00000000-0005-0000-0000-00009E3E0000}"/>
    <cellStyle name="Comma 7 2 3 2 3 8" xfId="41755" xr:uid="{00000000-0005-0000-0000-00009F3E0000}"/>
    <cellStyle name="Comma 7 2 3 2 3 9" xfId="45563" xr:uid="{00000000-0005-0000-0000-0000A03E0000}"/>
    <cellStyle name="Comma 7 2 3 2 4" xfId="5776" xr:uid="{00000000-0005-0000-0000-0000A13E0000}"/>
    <cellStyle name="Comma 7 2 3 2 4 2" xfId="40099" xr:uid="{00000000-0005-0000-0000-0000A23E0000}"/>
    <cellStyle name="Comma 7 2 3 2 4 2 2" xfId="42968" xr:uid="{00000000-0005-0000-0000-0000A33E0000}"/>
    <cellStyle name="Comma 7 2 3 2 4 2 3" xfId="45564" xr:uid="{00000000-0005-0000-0000-0000A43E0000}"/>
    <cellStyle name="Comma 7 2 3 2 4 3" xfId="38143" xr:uid="{00000000-0005-0000-0000-0000A53E0000}"/>
    <cellStyle name="Comma 7 2 3 2 4 4" xfId="41640" xr:uid="{00000000-0005-0000-0000-0000A63E0000}"/>
    <cellStyle name="Comma 7 2 3 2 4 5" xfId="45565" xr:uid="{00000000-0005-0000-0000-0000A73E0000}"/>
    <cellStyle name="Comma 7 2 3 2 4 6" xfId="11832" xr:uid="{00000000-0005-0000-0000-0000A83E0000}"/>
    <cellStyle name="Comma 7 2 3 2 5" xfId="6235" xr:uid="{00000000-0005-0000-0000-0000A93E0000}"/>
    <cellStyle name="Comma 7 2 3 2 5 2" xfId="40644" xr:uid="{00000000-0005-0000-0000-0000AA3E0000}"/>
    <cellStyle name="Comma 7 2 3 2 5 2 2" xfId="43430" xr:uid="{00000000-0005-0000-0000-0000AB3E0000}"/>
    <cellStyle name="Comma 7 2 3 2 5 2 3" xfId="45566" xr:uid="{00000000-0005-0000-0000-0000AC3E0000}"/>
    <cellStyle name="Comma 7 2 3 2 5 3" xfId="39076" xr:uid="{00000000-0005-0000-0000-0000AD3E0000}"/>
    <cellStyle name="Comma 7 2 3 2 5 4" xfId="42102" xr:uid="{00000000-0005-0000-0000-0000AE3E0000}"/>
    <cellStyle name="Comma 7 2 3 2 5 5" xfId="45567" xr:uid="{00000000-0005-0000-0000-0000AF3E0000}"/>
    <cellStyle name="Comma 7 2 3 2 5 6" xfId="15808" xr:uid="{00000000-0005-0000-0000-0000B03E0000}"/>
    <cellStyle name="Comma 7 2 3 2 6" xfId="30306" xr:uid="{00000000-0005-0000-0000-0000B13E0000}"/>
    <cellStyle name="Comma 7 2 3 2 6 2" xfId="40951" xr:uid="{00000000-0005-0000-0000-0000B23E0000}"/>
    <cellStyle name="Comma 7 2 3 2 6 2 2" xfId="43686" xr:uid="{00000000-0005-0000-0000-0000B33E0000}"/>
    <cellStyle name="Comma 7 2 3 2 6 2 3" xfId="45568" xr:uid="{00000000-0005-0000-0000-0000B43E0000}"/>
    <cellStyle name="Comma 7 2 3 2 6 3" xfId="39380" xr:uid="{00000000-0005-0000-0000-0000B53E0000}"/>
    <cellStyle name="Comma 7 2 3 2 6 4" xfId="42358" xr:uid="{00000000-0005-0000-0000-0000B63E0000}"/>
    <cellStyle name="Comma 7 2 3 2 6 5" xfId="45569" xr:uid="{00000000-0005-0000-0000-0000B73E0000}"/>
    <cellStyle name="Comma 7 2 3 2 7" xfId="30606" xr:uid="{00000000-0005-0000-0000-0000B83E0000}"/>
    <cellStyle name="Comma 7 2 3 2 7 2" xfId="39829" xr:uid="{00000000-0005-0000-0000-0000B93E0000}"/>
    <cellStyle name="Comma 7 2 3 2 7 3" xfId="42737" xr:uid="{00000000-0005-0000-0000-0000BA3E0000}"/>
    <cellStyle name="Comma 7 2 3 2 7 4" xfId="45570" xr:uid="{00000000-0005-0000-0000-0000BB3E0000}"/>
    <cellStyle name="Comma 7 2 3 2 8" xfId="32129" xr:uid="{00000000-0005-0000-0000-0000BC3E0000}"/>
    <cellStyle name="Comma 7 2 3 2 9" xfId="32771" xr:uid="{00000000-0005-0000-0000-0000BD3E0000}"/>
    <cellStyle name="Comma 7 2 3 3" xfId="2812" xr:uid="{00000000-0005-0000-0000-0000BE3E0000}"/>
    <cellStyle name="Comma 7 2 3 3 10" xfId="34580" xr:uid="{00000000-0005-0000-0000-0000BF3E0000}"/>
    <cellStyle name="Comma 7 2 3 3 11" xfId="35374" xr:uid="{00000000-0005-0000-0000-0000C03E0000}"/>
    <cellStyle name="Comma 7 2 3 3 12" xfId="36237" xr:uid="{00000000-0005-0000-0000-0000C13E0000}"/>
    <cellStyle name="Comma 7 2 3 3 13" xfId="37560" xr:uid="{00000000-0005-0000-0000-0000C23E0000}"/>
    <cellStyle name="Comma 7 2 3 3 14" xfId="41506" xr:uid="{00000000-0005-0000-0000-0000C33E0000}"/>
    <cellStyle name="Comma 7 2 3 3 15" xfId="45571" xr:uid="{00000000-0005-0000-0000-0000C43E0000}"/>
    <cellStyle name="Comma 7 2 3 3 16" xfId="8913" xr:uid="{00000000-0005-0000-0000-0000C53E0000}"/>
    <cellStyle name="Comma 7 2 3 3 2" xfId="5123" xr:uid="{00000000-0005-0000-0000-0000C63E0000}"/>
    <cellStyle name="Comma 7 2 3 3 2 10" xfId="12912" xr:uid="{00000000-0005-0000-0000-0000C73E0000}"/>
    <cellStyle name="Comma 7 2 3 3 2 2" xfId="6092" xr:uid="{00000000-0005-0000-0000-0000C83E0000}"/>
    <cellStyle name="Comma 7 2 3 3 2 2 2" xfId="40804" xr:uid="{00000000-0005-0000-0000-0000C93E0000}"/>
    <cellStyle name="Comma 7 2 3 3 2 2 2 2" xfId="43559" xr:uid="{00000000-0005-0000-0000-0000CA3E0000}"/>
    <cellStyle name="Comma 7 2 3 3 2 2 2 3" xfId="45572" xr:uid="{00000000-0005-0000-0000-0000CB3E0000}"/>
    <cellStyle name="Comma 7 2 3 3 2 2 3" xfId="39241" xr:uid="{00000000-0005-0000-0000-0000CC3E0000}"/>
    <cellStyle name="Comma 7 2 3 3 2 2 4" xfId="42231" xr:uid="{00000000-0005-0000-0000-0000CD3E0000}"/>
    <cellStyle name="Comma 7 2 3 3 2 2 5" xfId="45573" xr:uid="{00000000-0005-0000-0000-0000CE3E0000}"/>
    <cellStyle name="Comma 7 2 3 3 2 2 6" xfId="31494" xr:uid="{00000000-0005-0000-0000-0000CF3E0000}"/>
    <cellStyle name="Comma 7 2 3 3 2 3" xfId="6412" xr:uid="{00000000-0005-0000-0000-0000D03E0000}"/>
    <cellStyle name="Comma 7 2 3 3 2 3 2" xfId="41262" xr:uid="{00000000-0005-0000-0000-0000D13E0000}"/>
    <cellStyle name="Comma 7 2 3 3 2 3 2 2" xfId="43942" xr:uid="{00000000-0005-0000-0000-0000D23E0000}"/>
    <cellStyle name="Comma 7 2 3 3 2 3 2 3" xfId="45574" xr:uid="{00000000-0005-0000-0000-0000D33E0000}"/>
    <cellStyle name="Comma 7 2 3 3 2 3 3" xfId="39679" xr:uid="{00000000-0005-0000-0000-0000D43E0000}"/>
    <cellStyle name="Comma 7 2 3 3 2 3 4" xfId="42614" xr:uid="{00000000-0005-0000-0000-0000D53E0000}"/>
    <cellStyle name="Comma 7 2 3 3 2 3 5" xfId="45575" xr:uid="{00000000-0005-0000-0000-0000D63E0000}"/>
    <cellStyle name="Comma 7 2 3 3 2 3 6" xfId="33347" xr:uid="{00000000-0005-0000-0000-0000D73E0000}"/>
    <cellStyle name="Comma 7 2 3 3 2 4" xfId="35171" xr:uid="{00000000-0005-0000-0000-0000D83E0000}"/>
    <cellStyle name="Comma 7 2 3 3 2 4 2" xfId="40406" xr:uid="{00000000-0005-0000-0000-0000D93E0000}"/>
    <cellStyle name="Comma 7 2 3 3 2 4 3" xfId="43224" xr:uid="{00000000-0005-0000-0000-0000DA3E0000}"/>
    <cellStyle name="Comma 7 2 3 3 2 4 4" xfId="45576" xr:uid="{00000000-0005-0000-0000-0000DB3E0000}"/>
    <cellStyle name="Comma 7 2 3 3 2 5" xfId="36078" xr:uid="{00000000-0005-0000-0000-0000DC3E0000}"/>
    <cellStyle name="Comma 7 2 3 3 2 6" xfId="36378" xr:uid="{00000000-0005-0000-0000-0000DD3E0000}"/>
    <cellStyle name="Comma 7 2 3 3 2 7" xfId="38857" xr:uid="{00000000-0005-0000-0000-0000DE3E0000}"/>
    <cellStyle name="Comma 7 2 3 3 2 8" xfId="41896" xr:uid="{00000000-0005-0000-0000-0000DF3E0000}"/>
    <cellStyle name="Comma 7 2 3 3 2 9" xfId="45577" xr:uid="{00000000-0005-0000-0000-0000E03E0000}"/>
    <cellStyle name="Comma 7 2 3 3 3" xfId="4464" xr:uid="{00000000-0005-0000-0000-0000E13E0000}"/>
    <cellStyle name="Comma 7 2 3 3 3 2" xfId="5915" xr:uid="{00000000-0005-0000-0000-0000E23E0000}"/>
    <cellStyle name="Comma 7 2 3 3 3 2 2" xfId="41090" xr:uid="{00000000-0005-0000-0000-0000E33E0000}"/>
    <cellStyle name="Comma 7 2 3 3 3 2 2 2" xfId="43802" xr:uid="{00000000-0005-0000-0000-0000E43E0000}"/>
    <cellStyle name="Comma 7 2 3 3 3 2 2 3" xfId="45578" xr:uid="{00000000-0005-0000-0000-0000E53E0000}"/>
    <cellStyle name="Comma 7 2 3 3 3 2 3" xfId="39514" xr:uid="{00000000-0005-0000-0000-0000E63E0000}"/>
    <cellStyle name="Comma 7 2 3 3 3 2 4" xfId="42474" xr:uid="{00000000-0005-0000-0000-0000E73E0000}"/>
    <cellStyle name="Comma 7 2 3 3 3 2 5" xfId="45579" xr:uid="{00000000-0005-0000-0000-0000E83E0000}"/>
    <cellStyle name="Comma 7 2 3 3 3 2 6" xfId="35647" xr:uid="{00000000-0005-0000-0000-0000E93E0000}"/>
    <cellStyle name="Comma 7 2 3 3 3 3" xfId="40235" xr:uid="{00000000-0005-0000-0000-0000EA3E0000}"/>
    <cellStyle name="Comma 7 2 3 3 3 3 2" xfId="43084" xr:uid="{00000000-0005-0000-0000-0000EB3E0000}"/>
    <cellStyle name="Comma 7 2 3 3 3 3 3" xfId="45580" xr:uid="{00000000-0005-0000-0000-0000EC3E0000}"/>
    <cellStyle name="Comma 7 2 3 3 3 4" xfId="38716" xr:uid="{00000000-0005-0000-0000-0000ED3E0000}"/>
    <cellStyle name="Comma 7 2 3 3 3 5" xfId="41756" xr:uid="{00000000-0005-0000-0000-0000EE3E0000}"/>
    <cellStyle name="Comma 7 2 3 3 3 6" xfId="45581" xr:uid="{00000000-0005-0000-0000-0000EF3E0000}"/>
    <cellStyle name="Comma 7 2 3 3 3 7" xfId="12129" xr:uid="{00000000-0005-0000-0000-0000F03E0000}"/>
    <cellStyle name="Comma 7 2 3 3 4" xfId="5777" xr:uid="{00000000-0005-0000-0000-0000F13E0000}"/>
    <cellStyle name="Comma 7 2 3 3 4 2" xfId="40100" xr:uid="{00000000-0005-0000-0000-0000F23E0000}"/>
    <cellStyle name="Comma 7 2 3 3 4 2 2" xfId="42969" xr:uid="{00000000-0005-0000-0000-0000F33E0000}"/>
    <cellStyle name="Comma 7 2 3 3 4 2 3" xfId="45582" xr:uid="{00000000-0005-0000-0000-0000F43E0000}"/>
    <cellStyle name="Comma 7 2 3 3 4 3" xfId="38144" xr:uid="{00000000-0005-0000-0000-0000F53E0000}"/>
    <cellStyle name="Comma 7 2 3 3 4 4" xfId="41641" xr:uid="{00000000-0005-0000-0000-0000F63E0000}"/>
    <cellStyle name="Comma 7 2 3 3 4 5" xfId="45583" xr:uid="{00000000-0005-0000-0000-0000F73E0000}"/>
    <cellStyle name="Comma 7 2 3 3 4 6" xfId="15810" xr:uid="{00000000-0005-0000-0000-0000F83E0000}"/>
    <cellStyle name="Comma 7 2 3 3 5" xfId="6236" xr:uid="{00000000-0005-0000-0000-0000F93E0000}"/>
    <cellStyle name="Comma 7 2 3 3 5 2" xfId="40645" xr:uid="{00000000-0005-0000-0000-0000FA3E0000}"/>
    <cellStyle name="Comma 7 2 3 3 5 2 2" xfId="43431" xr:uid="{00000000-0005-0000-0000-0000FB3E0000}"/>
    <cellStyle name="Comma 7 2 3 3 5 2 3" xfId="45584" xr:uid="{00000000-0005-0000-0000-0000FC3E0000}"/>
    <cellStyle name="Comma 7 2 3 3 5 3" xfId="39077" xr:uid="{00000000-0005-0000-0000-0000FD3E0000}"/>
    <cellStyle name="Comma 7 2 3 3 5 4" xfId="42103" xr:uid="{00000000-0005-0000-0000-0000FE3E0000}"/>
    <cellStyle name="Comma 7 2 3 3 5 5" xfId="45585" xr:uid="{00000000-0005-0000-0000-0000FF3E0000}"/>
    <cellStyle name="Comma 7 2 3 3 5 6" xfId="30308" xr:uid="{00000000-0005-0000-0000-0000003F0000}"/>
    <cellStyle name="Comma 7 2 3 3 6" xfId="30903" xr:uid="{00000000-0005-0000-0000-0000013F0000}"/>
    <cellStyle name="Comma 7 2 3 3 6 2" xfId="40952" xr:uid="{00000000-0005-0000-0000-0000023F0000}"/>
    <cellStyle name="Comma 7 2 3 3 6 2 2" xfId="43687" xr:uid="{00000000-0005-0000-0000-0000033F0000}"/>
    <cellStyle name="Comma 7 2 3 3 6 2 3" xfId="45586" xr:uid="{00000000-0005-0000-0000-0000043F0000}"/>
    <cellStyle name="Comma 7 2 3 3 6 3" xfId="39381" xr:uid="{00000000-0005-0000-0000-0000053F0000}"/>
    <cellStyle name="Comma 7 2 3 3 6 4" xfId="42359" xr:uid="{00000000-0005-0000-0000-0000063F0000}"/>
    <cellStyle name="Comma 7 2 3 3 6 5" xfId="45587" xr:uid="{00000000-0005-0000-0000-0000073F0000}"/>
    <cellStyle name="Comma 7 2 3 3 7" xfId="32131" xr:uid="{00000000-0005-0000-0000-0000083F0000}"/>
    <cellStyle name="Comma 7 2 3 3 7 2" xfId="39946" xr:uid="{00000000-0005-0000-0000-0000093F0000}"/>
    <cellStyle name="Comma 7 2 3 3 7 3" xfId="42834" xr:uid="{00000000-0005-0000-0000-00000A3F0000}"/>
    <cellStyle name="Comma 7 2 3 3 7 4" xfId="45588" xr:uid="{00000000-0005-0000-0000-00000B3F0000}"/>
    <cellStyle name="Comma 7 2 3 3 8" xfId="32773" xr:uid="{00000000-0005-0000-0000-00000C3F0000}"/>
    <cellStyle name="Comma 7 2 3 3 9" xfId="33985" xr:uid="{00000000-0005-0000-0000-00000D3F0000}"/>
    <cellStyle name="Comma 7 2 3 4" xfId="2810" xr:uid="{00000000-0005-0000-0000-00000E3F0000}"/>
    <cellStyle name="Comma 7 2 3 4 10" xfId="34658" xr:uid="{00000000-0005-0000-0000-00000F3F0000}"/>
    <cellStyle name="Comma 7 2 3 4 11" xfId="35372" xr:uid="{00000000-0005-0000-0000-0000103F0000}"/>
    <cellStyle name="Comma 7 2 3 4 12" xfId="36376" xr:uid="{00000000-0005-0000-0000-0000113F0000}"/>
    <cellStyle name="Comma 7 2 3 4 13" xfId="37536" xr:uid="{00000000-0005-0000-0000-0000123F0000}"/>
    <cellStyle name="Comma 7 2 3 4 14" xfId="41482" xr:uid="{00000000-0005-0000-0000-0000133F0000}"/>
    <cellStyle name="Comma 7 2 3 4 15" xfId="45589" xr:uid="{00000000-0005-0000-0000-0000143F0000}"/>
    <cellStyle name="Comma 7 2 3 4 16" xfId="11544" xr:uid="{00000000-0005-0000-0000-0000153F0000}"/>
    <cellStyle name="Comma 7 2 3 4 2" xfId="5121" xr:uid="{00000000-0005-0000-0000-0000163F0000}"/>
    <cellStyle name="Comma 7 2 3 4 2 10" xfId="15165" xr:uid="{00000000-0005-0000-0000-0000173F0000}"/>
    <cellStyle name="Comma 7 2 3 4 2 2" xfId="6090" xr:uid="{00000000-0005-0000-0000-0000183F0000}"/>
    <cellStyle name="Comma 7 2 3 4 2 2 2" xfId="41260" xr:uid="{00000000-0005-0000-0000-0000193F0000}"/>
    <cellStyle name="Comma 7 2 3 4 2 2 2 2" xfId="43940" xr:uid="{00000000-0005-0000-0000-00001A3F0000}"/>
    <cellStyle name="Comma 7 2 3 4 2 2 2 3" xfId="45590" xr:uid="{00000000-0005-0000-0000-00001B3F0000}"/>
    <cellStyle name="Comma 7 2 3 4 2 2 3" xfId="39677" xr:uid="{00000000-0005-0000-0000-00001C3F0000}"/>
    <cellStyle name="Comma 7 2 3 4 2 2 4" xfId="42612" xr:uid="{00000000-0005-0000-0000-00001D3F0000}"/>
    <cellStyle name="Comma 7 2 3 4 2 2 5" xfId="45591" xr:uid="{00000000-0005-0000-0000-00001E3F0000}"/>
    <cellStyle name="Comma 7 2 3 4 2 2 6" xfId="31572" xr:uid="{00000000-0005-0000-0000-00001F3F0000}"/>
    <cellStyle name="Comma 7 2 3 4 2 3" xfId="33425" xr:uid="{00000000-0005-0000-0000-0000203F0000}"/>
    <cellStyle name="Comma 7 2 3 4 2 3 2" xfId="40404" xr:uid="{00000000-0005-0000-0000-0000213F0000}"/>
    <cellStyle name="Comma 7 2 3 4 2 3 3" xfId="43222" xr:uid="{00000000-0005-0000-0000-0000223F0000}"/>
    <cellStyle name="Comma 7 2 3 4 2 3 4" xfId="45592" xr:uid="{00000000-0005-0000-0000-0000233F0000}"/>
    <cellStyle name="Comma 7 2 3 4 2 4" xfId="35249" xr:uid="{00000000-0005-0000-0000-0000243F0000}"/>
    <cellStyle name="Comma 7 2 3 4 2 5" xfId="36076" xr:uid="{00000000-0005-0000-0000-0000253F0000}"/>
    <cellStyle name="Comma 7 2 3 4 2 6" xfId="37328" xr:uid="{00000000-0005-0000-0000-0000263F0000}"/>
    <cellStyle name="Comma 7 2 3 4 2 7" xfId="38855" xr:uid="{00000000-0005-0000-0000-0000273F0000}"/>
    <cellStyle name="Comma 7 2 3 4 2 8" xfId="41894" xr:uid="{00000000-0005-0000-0000-0000283F0000}"/>
    <cellStyle name="Comma 7 2 3 4 2 9" xfId="45593" xr:uid="{00000000-0005-0000-0000-0000293F0000}"/>
    <cellStyle name="Comma 7 2 3 4 3" xfId="5775" xr:uid="{00000000-0005-0000-0000-00002A3F0000}"/>
    <cellStyle name="Comma 7 2 3 4 3 2" xfId="40098" xr:uid="{00000000-0005-0000-0000-00002B3F0000}"/>
    <cellStyle name="Comma 7 2 3 4 3 2 2" xfId="42967" xr:uid="{00000000-0005-0000-0000-00002C3F0000}"/>
    <cellStyle name="Comma 7 2 3 4 3 2 3" xfId="45594" xr:uid="{00000000-0005-0000-0000-00002D3F0000}"/>
    <cellStyle name="Comma 7 2 3 4 3 3" xfId="38142" xr:uid="{00000000-0005-0000-0000-00002E3F0000}"/>
    <cellStyle name="Comma 7 2 3 4 3 4" xfId="41639" xr:uid="{00000000-0005-0000-0000-00002F3F0000}"/>
    <cellStyle name="Comma 7 2 3 4 3 5" xfId="45595" xr:uid="{00000000-0005-0000-0000-0000303F0000}"/>
    <cellStyle name="Comma 7 2 3 4 3 6" xfId="12207" xr:uid="{00000000-0005-0000-0000-0000313F0000}"/>
    <cellStyle name="Comma 7 2 3 4 4" xfId="6410" xr:uid="{00000000-0005-0000-0000-0000323F0000}"/>
    <cellStyle name="Comma 7 2 3 4 4 2" xfId="40643" xr:uid="{00000000-0005-0000-0000-0000333F0000}"/>
    <cellStyle name="Comma 7 2 3 4 4 2 2" xfId="43429" xr:uid="{00000000-0005-0000-0000-0000343F0000}"/>
    <cellStyle name="Comma 7 2 3 4 4 2 3" xfId="45596" xr:uid="{00000000-0005-0000-0000-0000353F0000}"/>
    <cellStyle name="Comma 7 2 3 4 4 3" xfId="39075" xr:uid="{00000000-0005-0000-0000-0000363F0000}"/>
    <cellStyle name="Comma 7 2 3 4 4 4" xfId="42101" xr:uid="{00000000-0005-0000-0000-0000373F0000}"/>
    <cellStyle name="Comma 7 2 3 4 4 5" xfId="45597" xr:uid="{00000000-0005-0000-0000-0000383F0000}"/>
    <cellStyle name="Comma 7 2 3 4 4 6" xfId="15811" xr:uid="{00000000-0005-0000-0000-0000393F0000}"/>
    <cellStyle name="Comma 7 2 3 4 5" xfId="30309" xr:uid="{00000000-0005-0000-0000-00003A3F0000}"/>
    <cellStyle name="Comma 7 2 3 4 5 2" xfId="40950" xr:uid="{00000000-0005-0000-0000-00003B3F0000}"/>
    <cellStyle name="Comma 7 2 3 4 5 2 2" xfId="43685" xr:uid="{00000000-0005-0000-0000-00003C3F0000}"/>
    <cellStyle name="Comma 7 2 3 4 5 2 3" xfId="45598" xr:uid="{00000000-0005-0000-0000-00003D3F0000}"/>
    <cellStyle name="Comma 7 2 3 4 5 3" xfId="39379" xr:uid="{00000000-0005-0000-0000-00003E3F0000}"/>
    <cellStyle name="Comma 7 2 3 4 5 4" xfId="42357" xr:uid="{00000000-0005-0000-0000-00003F3F0000}"/>
    <cellStyle name="Comma 7 2 3 4 5 5" xfId="45599" xr:uid="{00000000-0005-0000-0000-0000403F0000}"/>
    <cellStyle name="Comma 7 2 3 4 6" xfId="30981" xr:uid="{00000000-0005-0000-0000-0000413F0000}"/>
    <cellStyle name="Comma 7 2 3 4 6 2" xfId="39911" xr:uid="{00000000-0005-0000-0000-0000423F0000}"/>
    <cellStyle name="Comma 7 2 3 4 6 3" xfId="42810" xr:uid="{00000000-0005-0000-0000-0000433F0000}"/>
    <cellStyle name="Comma 7 2 3 4 6 4" xfId="45600" xr:uid="{00000000-0005-0000-0000-0000443F0000}"/>
    <cellStyle name="Comma 7 2 3 4 7" xfId="32132" xr:uid="{00000000-0005-0000-0000-0000453F0000}"/>
    <cellStyle name="Comma 7 2 3 4 8" xfId="32774" xr:uid="{00000000-0005-0000-0000-0000463F0000}"/>
    <cellStyle name="Comma 7 2 3 4 9" xfId="33986" xr:uid="{00000000-0005-0000-0000-0000473F0000}"/>
    <cellStyle name="Comma 7 2 3 5" xfId="4551" xr:uid="{00000000-0005-0000-0000-0000483F0000}"/>
    <cellStyle name="Comma 7 2 3 5 10" xfId="36299" xr:uid="{00000000-0005-0000-0000-0000493F0000}"/>
    <cellStyle name="Comma 7 2 3 5 11" xfId="38777" xr:uid="{00000000-0005-0000-0000-00004A3F0000}"/>
    <cellStyle name="Comma 7 2 3 5 12" xfId="41817" xr:uid="{00000000-0005-0000-0000-00004B3F0000}"/>
    <cellStyle name="Comma 7 2 3 5 13" xfId="45601" xr:uid="{00000000-0005-0000-0000-00004C3F0000}"/>
    <cellStyle name="Comma 7 2 3 5 14" xfId="12591" xr:uid="{00000000-0005-0000-0000-00004D3F0000}"/>
    <cellStyle name="Comma 7 2 3 5 2" xfId="6000" xr:uid="{00000000-0005-0000-0000-00004E3F0000}"/>
    <cellStyle name="Comma 7 2 3 5 2 2" xfId="40558" xr:uid="{00000000-0005-0000-0000-00004F3F0000}"/>
    <cellStyle name="Comma 7 2 3 5 2 2 2" xfId="43352" xr:uid="{00000000-0005-0000-0000-0000503F0000}"/>
    <cellStyle name="Comma 7 2 3 5 2 2 3" xfId="45602" xr:uid="{00000000-0005-0000-0000-0000513F0000}"/>
    <cellStyle name="Comma 7 2 3 5 2 3" xfId="38995" xr:uid="{00000000-0005-0000-0000-0000523F0000}"/>
    <cellStyle name="Comma 7 2 3 5 2 4" xfId="42024" xr:uid="{00000000-0005-0000-0000-0000533F0000}"/>
    <cellStyle name="Comma 7 2 3 5 2 5" xfId="45603" xr:uid="{00000000-0005-0000-0000-0000543F0000}"/>
    <cellStyle name="Comma 7 2 3 5 2 6" xfId="15812" xr:uid="{00000000-0005-0000-0000-0000553F0000}"/>
    <cellStyle name="Comma 7 2 3 5 3" xfId="6321" xr:uid="{00000000-0005-0000-0000-0000563F0000}"/>
    <cellStyle name="Comma 7 2 3 5 3 2" xfId="41173" xr:uid="{00000000-0005-0000-0000-0000573F0000}"/>
    <cellStyle name="Comma 7 2 3 5 3 2 2" xfId="43863" xr:uid="{00000000-0005-0000-0000-0000583F0000}"/>
    <cellStyle name="Comma 7 2 3 5 3 2 3" xfId="45604" xr:uid="{00000000-0005-0000-0000-0000593F0000}"/>
    <cellStyle name="Comma 7 2 3 5 3 3" xfId="39592" xr:uid="{00000000-0005-0000-0000-00005A3F0000}"/>
    <cellStyle name="Comma 7 2 3 5 3 4" xfId="42535" xr:uid="{00000000-0005-0000-0000-00005B3F0000}"/>
    <cellStyle name="Comma 7 2 3 5 3 5" xfId="45605" xr:uid="{00000000-0005-0000-0000-00005C3F0000}"/>
    <cellStyle name="Comma 7 2 3 5 3 6" xfId="30310" xr:uid="{00000000-0005-0000-0000-00005D3F0000}"/>
    <cellStyle name="Comma 7 2 3 5 4" xfId="31233" xr:uid="{00000000-0005-0000-0000-00005E3F0000}"/>
    <cellStyle name="Comma 7 2 3 5 4 2" xfId="40318" xr:uid="{00000000-0005-0000-0000-00005F3F0000}"/>
    <cellStyle name="Comma 7 2 3 5 4 3" xfId="43145" xr:uid="{00000000-0005-0000-0000-0000603F0000}"/>
    <cellStyle name="Comma 7 2 3 5 4 4" xfId="45606" xr:uid="{00000000-0005-0000-0000-0000613F0000}"/>
    <cellStyle name="Comma 7 2 3 5 5" xfId="32133" xr:uid="{00000000-0005-0000-0000-0000623F0000}"/>
    <cellStyle name="Comma 7 2 3 5 6" xfId="32775" xr:uid="{00000000-0005-0000-0000-0000633F0000}"/>
    <cellStyle name="Comma 7 2 3 5 7" xfId="33987" xr:uid="{00000000-0005-0000-0000-0000643F0000}"/>
    <cellStyle name="Comma 7 2 3 5 8" xfId="34910" xr:uid="{00000000-0005-0000-0000-0000653F0000}"/>
    <cellStyle name="Comma 7 2 3 5 9" xfId="35712" xr:uid="{00000000-0005-0000-0000-0000663F0000}"/>
    <cellStyle name="Comma 7 2 3 6" xfId="4462" xr:uid="{00000000-0005-0000-0000-0000673F0000}"/>
    <cellStyle name="Comma 7 2 3 6 2" xfId="5913" xr:uid="{00000000-0005-0000-0000-0000683F0000}"/>
    <cellStyle name="Comma 7 2 3 6 2 2" xfId="40766" xr:uid="{00000000-0005-0000-0000-0000693F0000}"/>
    <cellStyle name="Comma 7 2 3 6 2 2 2" xfId="43529" xr:uid="{00000000-0005-0000-0000-00006A3F0000}"/>
    <cellStyle name="Comma 7 2 3 6 2 2 3" xfId="45607" xr:uid="{00000000-0005-0000-0000-00006B3F0000}"/>
    <cellStyle name="Comma 7 2 3 6 2 3" xfId="39193" xr:uid="{00000000-0005-0000-0000-00006C3F0000}"/>
    <cellStyle name="Comma 7 2 3 6 2 4" xfId="42201" xr:uid="{00000000-0005-0000-0000-00006D3F0000}"/>
    <cellStyle name="Comma 7 2 3 6 2 5" xfId="45608" xr:uid="{00000000-0005-0000-0000-00006E3F0000}"/>
    <cellStyle name="Comma 7 2 3 6 2 6" xfId="35645" xr:uid="{00000000-0005-0000-0000-00006F3F0000}"/>
    <cellStyle name="Comma 7 2 3 6 3" xfId="39512" xr:uid="{00000000-0005-0000-0000-0000703F0000}"/>
    <cellStyle name="Comma 7 2 3 6 3 2" xfId="41088" xr:uid="{00000000-0005-0000-0000-0000713F0000}"/>
    <cellStyle name="Comma 7 2 3 6 3 2 2" xfId="43800" xr:uid="{00000000-0005-0000-0000-0000723F0000}"/>
    <cellStyle name="Comma 7 2 3 6 3 2 3" xfId="45609" xr:uid="{00000000-0005-0000-0000-0000733F0000}"/>
    <cellStyle name="Comma 7 2 3 6 3 3" xfId="42472" xr:uid="{00000000-0005-0000-0000-0000743F0000}"/>
    <cellStyle name="Comma 7 2 3 6 3 4" xfId="45610" xr:uid="{00000000-0005-0000-0000-0000753F0000}"/>
    <cellStyle name="Comma 7 2 3 6 4" xfId="40233" xr:uid="{00000000-0005-0000-0000-0000763F0000}"/>
    <cellStyle name="Comma 7 2 3 6 4 2" xfId="43082" xr:uid="{00000000-0005-0000-0000-0000773F0000}"/>
    <cellStyle name="Comma 7 2 3 6 4 3" xfId="45611" xr:uid="{00000000-0005-0000-0000-0000783F0000}"/>
    <cellStyle name="Comma 7 2 3 6 5" xfId="38714" xr:uid="{00000000-0005-0000-0000-0000793F0000}"/>
    <cellStyle name="Comma 7 2 3 6 6" xfId="41754" xr:uid="{00000000-0005-0000-0000-00007A3F0000}"/>
    <cellStyle name="Comma 7 2 3 6 7" xfId="45612" xr:uid="{00000000-0005-0000-0000-00007B3F0000}"/>
    <cellStyle name="Comma 7 2 3 6 8" xfId="11868" xr:uid="{00000000-0005-0000-0000-00007C3F0000}"/>
    <cellStyle name="Comma 7 2 3 7" xfId="5679" xr:uid="{00000000-0005-0000-0000-00007D3F0000}"/>
    <cellStyle name="Comma 7 2 3 7 2" xfId="40013" xr:uid="{00000000-0005-0000-0000-00007E3F0000}"/>
    <cellStyle name="Comma 7 2 3 7 2 2" xfId="42890" xr:uid="{00000000-0005-0000-0000-00007F3F0000}"/>
    <cellStyle name="Comma 7 2 3 7 2 3" xfId="45613" xr:uid="{00000000-0005-0000-0000-0000803F0000}"/>
    <cellStyle name="Comma 7 2 3 7 3" xfId="37622" xr:uid="{00000000-0005-0000-0000-0000813F0000}"/>
    <cellStyle name="Comma 7 2 3 7 4" xfId="41562" xr:uid="{00000000-0005-0000-0000-0000823F0000}"/>
    <cellStyle name="Comma 7 2 3 7 5" xfId="45614" xr:uid="{00000000-0005-0000-0000-0000833F0000}"/>
    <cellStyle name="Comma 7 2 3 7 6" xfId="15807" xr:uid="{00000000-0005-0000-0000-0000843F0000}"/>
    <cellStyle name="Comma 7 2 3 8" xfId="6234" xr:uid="{00000000-0005-0000-0000-0000853F0000}"/>
    <cellStyle name="Comma 7 2 3 8 2" xfId="40522" xr:uid="{00000000-0005-0000-0000-0000863F0000}"/>
    <cellStyle name="Comma 7 2 3 8 2 2" xfId="43323" xr:uid="{00000000-0005-0000-0000-0000873F0000}"/>
    <cellStyle name="Comma 7 2 3 8 2 3" xfId="45615" xr:uid="{00000000-0005-0000-0000-0000883F0000}"/>
    <cellStyle name="Comma 7 2 3 8 3" xfId="38964" xr:uid="{00000000-0005-0000-0000-0000893F0000}"/>
    <cellStyle name="Comma 7 2 3 8 4" xfId="41995" xr:uid="{00000000-0005-0000-0000-00008A3F0000}"/>
    <cellStyle name="Comma 7 2 3 8 5" xfId="45616" xr:uid="{00000000-0005-0000-0000-00008B3F0000}"/>
    <cellStyle name="Comma 7 2 3 8 6" xfId="30305" xr:uid="{00000000-0005-0000-0000-00008C3F0000}"/>
    <cellStyle name="Comma 7 2 3 9" xfId="30642" xr:uid="{00000000-0005-0000-0000-00008D3F0000}"/>
    <cellStyle name="Comma 7 2 3 9 2" xfId="40864" xr:uid="{00000000-0005-0000-0000-00008E3F0000}"/>
    <cellStyle name="Comma 7 2 3 9 2 2" xfId="43608" xr:uid="{00000000-0005-0000-0000-00008F3F0000}"/>
    <cellStyle name="Comma 7 2 3 9 2 3" xfId="45617" xr:uid="{00000000-0005-0000-0000-0000903F0000}"/>
    <cellStyle name="Comma 7 2 3 9 3" xfId="39299" xr:uid="{00000000-0005-0000-0000-0000913F0000}"/>
    <cellStyle name="Comma 7 2 3 9 4" xfId="42280" xr:uid="{00000000-0005-0000-0000-0000923F0000}"/>
    <cellStyle name="Comma 7 2 3 9 5" xfId="45618" xr:uid="{00000000-0005-0000-0000-0000933F0000}"/>
    <cellStyle name="Comma 7 2 4" xfId="2813" xr:uid="{00000000-0005-0000-0000-0000943F0000}"/>
    <cellStyle name="Comma 7 2 4 10" xfId="33988" xr:uid="{00000000-0005-0000-0000-0000953F0000}"/>
    <cellStyle name="Comma 7 2 4 11" xfId="34223" xr:uid="{00000000-0005-0000-0000-0000963F0000}"/>
    <cellStyle name="Comma 7 2 4 12" xfId="35375" xr:uid="{00000000-0005-0000-0000-0000973F0000}"/>
    <cellStyle name="Comma 7 2 4 13" xfId="36238" xr:uid="{00000000-0005-0000-0000-0000983F0000}"/>
    <cellStyle name="Comma 7 2 4 14" xfId="37460" xr:uid="{00000000-0005-0000-0000-0000993F0000}"/>
    <cellStyle name="Comma 7 2 4 15" xfId="41407" xr:uid="{00000000-0005-0000-0000-00009A3F0000}"/>
    <cellStyle name="Comma 7 2 4 16" xfId="45619" xr:uid="{00000000-0005-0000-0000-00009B3F0000}"/>
    <cellStyle name="Comma 7 2 4 17" xfId="8114" xr:uid="{00000000-0005-0000-0000-00009C3F0000}"/>
    <cellStyle name="Comma 7 2 4 2" xfId="5124" xr:uid="{00000000-0005-0000-0000-00009D3F0000}"/>
    <cellStyle name="Comma 7 2 4 2 10" xfId="34582" xr:uid="{00000000-0005-0000-0000-00009E3F0000}"/>
    <cellStyle name="Comma 7 2 4 2 11" xfId="36079" xr:uid="{00000000-0005-0000-0000-00009F3F0000}"/>
    <cellStyle name="Comma 7 2 4 2 12" xfId="36379" xr:uid="{00000000-0005-0000-0000-0000A03F0000}"/>
    <cellStyle name="Comma 7 2 4 2 13" xfId="37579" xr:uid="{00000000-0005-0000-0000-0000A13F0000}"/>
    <cellStyle name="Comma 7 2 4 2 14" xfId="41525" xr:uid="{00000000-0005-0000-0000-0000A23F0000}"/>
    <cellStyle name="Comma 7 2 4 2 15" xfId="45620" xr:uid="{00000000-0005-0000-0000-0000A33F0000}"/>
    <cellStyle name="Comma 7 2 4 2 16" xfId="8915" xr:uid="{00000000-0005-0000-0000-0000A43F0000}"/>
    <cellStyle name="Comma 7 2 4 2 2" xfId="6093" xr:uid="{00000000-0005-0000-0000-0000A53F0000}"/>
    <cellStyle name="Comma 7 2 4 2 2 10" xfId="37267" xr:uid="{00000000-0005-0000-0000-0000A63F0000}"/>
    <cellStyle name="Comma 7 2 4 2 2 11" xfId="38858" xr:uid="{00000000-0005-0000-0000-0000A73F0000}"/>
    <cellStyle name="Comma 7 2 4 2 2 12" xfId="41897" xr:uid="{00000000-0005-0000-0000-0000A83F0000}"/>
    <cellStyle name="Comma 7 2 4 2 2 13" xfId="45621" xr:uid="{00000000-0005-0000-0000-0000A93F0000}"/>
    <cellStyle name="Comma 7 2 4 2 2 14" xfId="12914" xr:uid="{00000000-0005-0000-0000-0000AA3F0000}"/>
    <cellStyle name="Comma 7 2 4 2 2 2" xfId="15815" xr:uid="{00000000-0005-0000-0000-0000AB3F0000}"/>
    <cellStyle name="Comma 7 2 4 2 2 2 2" xfId="40407" xr:uid="{00000000-0005-0000-0000-0000AC3F0000}"/>
    <cellStyle name="Comma 7 2 4 2 2 2 3" xfId="43225" xr:uid="{00000000-0005-0000-0000-0000AD3F0000}"/>
    <cellStyle name="Comma 7 2 4 2 2 2 4" xfId="45622" xr:uid="{00000000-0005-0000-0000-0000AE3F0000}"/>
    <cellStyle name="Comma 7 2 4 2 2 3" xfId="30313" xr:uid="{00000000-0005-0000-0000-0000AF3F0000}"/>
    <cellStyle name="Comma 7 2 4 2 2 4" xfId="31496" xr:uid="{00000000-0005-0000-0000-0000B03F0000}"/>
    <cellStyle name="Comma 7 2 4 2 2 5" xfId="32136" xr:uid="{00000000-0005-0000-0000-0000B13F0000}"/>
    <cellStyle name="Comma 7 2 4 2 2 6" xfId="32778" xr:uid="{00000000-0005-0000-0000-0000B23F0000}"/>
    <cellStyle name="Comma 7 2 4 2 2 7" xfId="33349" xr:uid="{00000000-0005-0000-0000-0000B33F0000}"/>
    <cellStyle name="Comma 7 2 4 2 2 8" xfId="33990" xr:uid="{00000000-0005-0000-0000-0000B43F0000}"/>
    <cellStyle name="Comma 7 2 4 2 2 9" xfId="35173" xr:uid="{00000000-0005-0000-0000-0000B53F0000}"/>
    <cellStyle name="Comma 7 2 4 2 3" xfId="6413" xr:uid="{00000000-0005-0000-0000-0000B63F0000}"/>
    <cellStyle name="Comma 7 2 4 2 3 2" xfId="40805" xr:uid="{00000000-0005-0000-0000-0000B73F0000}"/>
    <cellStyle name="Comma 7 2 4 2 3 2 2" xfId="43560" xr:uid="{00000000-0005-0000-0000-0000B83F0000}"/>
    <cellStyle name="Comma 7 2 4 2 3 2 3" xfId="45623" xr:uid="{00000000-0005-0000-0000-0000B93F0000}"/>
    <cellStyle name="Comma 7 2 4 2 3 3" xfId="39242" xr:uid="{00000000-0005-0000-0000-0000BA3F0000}"/>
    <cellStyle name="Comma 7 2 4 2 3 4" xfId="42232" xr:uid="{00000000-0005-0000-0000-0000BB3F0000}"/>
    <cellStyle name="Comma 7 2 4 2 3 5" xfId="45624" xr:uid="{00000000-0005-0000-0000-0000BC3F0000}"/>
    <cellStyle name="Comma 7 2 4 2 3 6" xfId="12131" xr:uid="{00000000-0005-0000-0000-0000BD3F0000}"/>
    <cellStyle name="Comma 7 2 4 2 4" xfId="15814" xr:uid="{00000000-0005-0000-0000-0000BE3F0000}"/>
    <cellStyle name="Comma 7 2 4 2 4 2" xfId="41263" xr:uid="{00000000-0005-0000-0000-0000BF3F0000}"/>
    <cellStyle name="Comma 7 2 4 2 4 2 2" xfId="43943" xr:uid="{00000000-0005-0000-0000-0000C03F0000}"/>
    <cellStyle name="Comma 7 2 4 2 4 2 3" xfId="45625" xr:uid="{00000000-0005-0000-0000-0000C13F0000}"/>
    <cellStyle name="Comma 7 2 4 2 4 3" xfId="39680" xr:uid="{00000000-0005-0000-0000-0000C23F0000}"/>
    <cellStyle name="Comma 7 2 4 2 4 4" xfId="42615" xr:uid="{00000000-0005-0000-0000-0000C33F0000}"/>
    <cellStyle name="Comma 7 2 4 2 4 5" xfId="45626" xr:uid="{00000000-0005-0000-0000-0000C43F0000}"/>
    <cellStyle name="Comma 7 2 4 2 5" xfId="30312" xr:uid="{00000000-0005-0000-0000-0000C53F0000}"/>
    <cellStyle name="Comma 7 2 4 2 5 2" xfId="39965" xr:uid="{00000000-0005-0000-0000-0000C63F0000}"/>
    <cellStyle name="Comma 7 2 4 2 5 3" xfId="42853" xr:uid="{00000000-0005-0000-0000-0000C73F0000}"/>
    <cellStyle name="Comma 7 2 4 2 5 4" xfId="45627" xr:uid="{00000000-0005-0000-0000-0000C83F0000}"/>
    <cellStyle name="Comma 7 2 4 2 6" xfId="30905" xr:uid="{00000000-0005-0000-0000-0000C93F0000}"/>
    <cellStyle name="Comma 7 2 4 2 7" xfId="32135" xr:uid="{00000000-0005-0000-0000-0000CA3F0000}"/>
    <cellStyle name="Comma 7 2 4 2 8" xfId="32777" xr:uid="{00000000-0005-0000-0000-0000CB3F0000}"/>
    <cellStyle name="Comma 7 2 4 2 9" xfId="33989" xr:uid="{00000000-0005-0000-0000-0000CC3F0000}"/>
    <cellStyle name="Comma 7 2 4 3" xfId="4465" xr:uid="{00000000-0005-0000-0000-0000CD3F0000}"/>
    <cellStyle name="Comma 7 2 4 3 10" xfId="35648" xr:uid="{00000000-0005-0000-0000-0000CE3F0000}"/>
    <cellStyle name="Comma 7 2 4 3 11" xfId="36920" xr:uid="{00000000-0005-0000-0000-0000CF3F0000}"/>
    <cellStyle name="Comma 7 2 4 3 12" xfId="38717" xr:uid="{00000000-0005-0000-0000-0000D03F0000}"/>
    <cellStyle name="Comma 7 2 4 3 13" xfId="41757" xr:uid="{00000000-0005-0000-0000-0000D13F0000}"/>
    <cellStyle name="Comma 7 2 4 3 14" xfId="45628" xr:uid="{00000000-0005-0000-0000-0000D23F0000}"/>
    <cellStyle name="Comma 7 2 4 3 15" xfId="12426" xr:uid="{00000000-0005-0000-0000-0000D33F0000}"/>
    <cellStyle name="Comma 7 2 4 3 2" xfId="5916" xr:uid="{00000000-0005-0000-0000-0000D43F0000}"/>
    <cellStyle name="Comma 7 2 4 3 2 2" xfId="41091" xr:uid="{00000000-0005-0000-0000-0000D53F0000}"/>
    <cellStyle name="Comma 7 2 4 3 2 2 2" xfId="43803" xr:uid="{00000000-0005-0000-0000-0000D63F0000}"/>
    <cellStyle name="Comma 7 2 4 3 2 2 3" xfId="45629" xr:uid="{00000000-0005-0000-0000-0000D73F0000}"/>
    <cellStyle name="Comma 7 2 4 3 2 3" xfId="39515" xr:uid="{00000000-0005-0000-0000-0000D83F0000}"/>
    <cellStyle name="Comma 7 2 4 3 2 4" xfId="42475" xr:uid="{00000000-0005-0000-0000-0000D93F0000}"/>
    <cellStyle name="Comma 7 2 4 3 2 5" xfId="45630" xr:uid="{00000000-0005-0000-0000-0000DA3F0000}"/>
    <cellStyle name="Comma 7 2 4 3 2 6" xfId="15816" xr:uid="{00000000-0005-0000-0000-0000DB3F0000}"/>
    <cellStyle name="Comma 7 2 4 3 3" xfId="30314" xr:uid="{00000000-0005-0000-0000-0000DC3F0000}"/>
    <cellStyle name="Comma 7 2 4 3 3 2" xfId="40236" xr:uid="{00000000-0005-0000-0000-0000DD3F0000}"/>
    <cellStyle name="Comma 7 2 4 3 3 3" xfId="43085" xr:uid="{00000000-0005-0000-0000-0000DE3F0000}"/>
    <cellStyle name="Comma 7 2 4 3 3 4" xfId="45631" xr:uid="{00000000-0005-0000-0000-0000DF3F0000}"/>
    <cellStyle name="Comma 7 2 4 3 4" xfId="31137" xr:uid="{00000000-0005-0000-0000-0000E03F0000}"/>
    <cellStyle name="Comma 7 2 4 3 5" xfId="32137" xr:uid="{00000000-0005-0000-0000-0000E13F0000}"/>
    <cellStyle name="Comma 7 2 4 3 6" xfId="32779" xr:uid="{00000000-0005-0000-0000-0000E23F0000}"/>
    <cellStyle name="Comma 7 2 4 3 7" xfId="32999" xr:uid="{00000000-0005-0000-0000-0000E33F0000}"/>
    <cellStyle name="Comma 7 2 4 3 8" xfId="33991" xr:uid="{00000000-0005-0000-0000-0000E43F0000}"/>
    <cellStyle name="Comma 7 2 4 3 9" xfId="34814" xr:uid="{00000000-0005-0000-0000-0000E53F0000}"/>
    <cellStyle name="Comma 7 2 4 4" xfId="5778" xr:uid="{00000000-0005-0000-0000-0000E63F0000}"/>
    <cellStyle name="Comma 7 2 4 4 2" xfId="40101" xr:uid="{00000000-0005-0000-0000-0000E73F0000}"/>
    <cellStyle name="Comma 7 2 4 4 2 2" xfId="42970" xr:uid="{00000000-0005-0000-0000-0000E83F0000}"/>
    <cellStyle name="Comma 7 2 4 4 2 3" xfId="45632" xr:uid="{00000000-0005-0000-0000-0000E93F0000}"/>
    <cellStyle name="Comma 7 2 4 4 3" xfId="38145" xr:uid="{00000000-0005-0000-0000-0000EA3F0000}"/>
    <cellStyle name="Comma 7 2 4 4 4" xfId="41642" xr:uid="{00000000-0005-0000-0000-0000EB3F0000}"/>
    <cellStyle name="Comma 7 2 4 4 5" xfId="45633" xr:uid="{00000000-0005-0000-0000-0000EC3F0000}"/>
    <cellStyle name="Comma 7 2 4 4 6" xfId="11772" xr:uid="{00000000-0005-0000-0000-0000ED3F0000}"/>
    <cellStyle name="Comma 7 2 4 5" xfId="6237" xr:uid="{00000000-0005-0000-0000-0000EE3F0000}"/>
    <cellStyle name="Comma 7 2 4 5 2" xfId="40646" xr:uid="{00000000-0005-0000-0000-0000EF3F0000}"/>
    <cellStyle name="Comma 7 2 4 5 2 2" xfId="43432" xr:uid="{00000000-0005-0000-0000-0000F03F0000}"/>
    <cellStyle name="Comma 7 2 4 5 2 3" xfId="45634" xr:uid="{00000000-0005-0000-0000-0000F13F0000}"/>
    <cellStyle name="Comma 7 2 4 5 3" xfId="39078" xr:uid="{00000000-0005-0000-0000-0000F23F0000}"/>
    <cellStyle name="Comma 7 2 4 5 4" xfId="42104" xr:uid="{00000000-0005-0000-0000-0000F33F0000}"/>
    <cellStyle name="Comma 7 2 4 5 5" xfId="45635" xr:uid="{00000000-0005-0000-0000-0000F43F0000}"/>
    <cellStyle name="Comma 7 2 4 5 6" xfId="15813" xr:uid="{00000000-0005-0000-0000-0000F53F0000}"/>
    <cellStyle name="Comma 7 2 4 6" xfId="30311" xr:uid="{00000000-0005-0000-0000-0000F63F0000}"/>
    <cellStyle name="Comma 7 2 4 6 2" xfId="40953" xr:uid="{00000000-0005-0000-0000-0000F73F0000}"/>
    <cellStyle name="Comma 7 2 4 6 2 2" xfId="43688" xr:uid="{00000000-0005-0000-0000-0000F83F0000}"/>
    <cellStyle name="Comma 7 2 4 6 2 3" xfId="45636" xr:uid="{00000000-0005-0000-0000-0000F93F0000}"/>
    <cellStyle name="Comma 7 2 4 6 3" xfId="39382" xr:uid="{00000000-0005-0000-0000-0000FA3F0000}"/>
    <cellStyle name="Comma 7 2 4 6 4" xfId="42360" xr:uid="{00000000-0005-0000-0000-0000FB3F0000}"/>
    <cellStyle name="Comma 7 2 4 6 5" xfId="45637" xr:uid="{00000000-0005-0000-0000-0000FC3F0000}"/>
    <cellStyle name="Comma 7 2 4 7" xfId="30546" xr:uid="{00000000-0005-0000-0000-0000FD3F0000}"/>
    <cellStyle name="Comma 7 2 4 7 2" xfId="39827" xr:uid="{00000000-0005-0000-0000-0000FE3F0000}"/>
    <cellStyle name="Comma 7 2 4 7 3" xfId="42735" xr:uid="{00000000-0005-0000-0000-0000FF3F0000}"/>
    <cellStyle name="Comma 7 2 4 7 4" xfId="45638" xr:uid="{00000000-0005-0000-0000-000000400000}"/>
    <cellStyle name="Comma 7 2 4 8" xfId="32134" xr:uid="{00000000-0005-0000-0000-000001400000}"/>
    <cellStyle name="Comma 7 2 4 9" xfId="32776" xr:uid="{00000000-0005-0000-0000-000002400000}"/>
    <cellStyle name="Comma 7 2 5" xfId="2814" xr:uid="{00000000-0005-0000-0000-000003400000}"/>
    <cellStyle name="Comma 7 2 5 10" xfId="34578" xr:uid="{00000000-0005-0000-0000-000004400000}"/>
    <cellStyle name="Comma 7 2 5 11" xfId="35376" xr:uid="{00000000-0005-0000-0000-000005400000}"/>
    <cellStyle name="Comma 7 2 5 12" xfId="36239" xr:uid="{00000000-0005-0000-0000-000006400000}"/>
    <cellStyle name="Comma 7 2 5 13" xfId="37558" xr:uid="{00000000-0005-0000-0000-000007400000}"/>
    <cellStyle name="Comma 7 2 5 14" xfId="41504" xr:uid="{00000000-0005-0000-0000-000008400000}"/>
    <cellStyle name="Comma 7 2 5 15" xfId="45639" xr:uid="{00000000-0005-0000-0000-000009400000}"/>
    <cellStyle name="Comma 7 2 5 16" xfId="8911" xr:uid="{00000000-0005-0000-0000-00000A400000}"/>
    <cellStyle name="Comma 7 2 5 2" xfId="5125" xr:uid="{00000000-0005-0000-0000-00000B400000}"/>
    <cellStyle name="Comma 7 2 5 2 10" xfId="12910" xr:uid="{00000000-0005-0000-0000-00000C400000}"/>
    <cellStyle name="Comma 7 2 5 2 2" xfId="6094" xr:uid="{00000000-0005-0000-0000-00000D400000}"/>
    <cellStyle name="Comma 7 2 5 2 2 2" xfId="40806" xr:uid="{00000000-0005-0000-0000-00000E400000}"/>
    <cellStyle name="Comma 7 2 5 2 2 2 2" xfId="43561" xr:uid="{00000000-0005-0000-0000-00000F400000}"/>
    <cellStyle name="Comma 7 2 5 2 2 2 3" xfId="45640" xr:uid="{00000000-0005-0000-0000-000010400000}"/>
    <cellStyle name="Comma 7 2 5 2 2 3" xfId="39243" xr:uid="{00000000-0005-0000-0000-000011400000}"/>
    <cellStyle name="Comma 7 2 5 2 2 4" xfId="42233" xr:uid="{00000000-0005-0000-0000-000012400000}"/>
    <cellStyle name="Comma 7 2 5 2 2 5" xfId="45641" xr:uid="{00000000-0005-0000-0000-000013400000}"/>
    <cellStyle name="Comma 7 2 5 2 2 6" xfId="31492" xr:uid="{00000000-0005-0000-0000-000014400000}"/>
    <cellStyle name="Comma 7 2 5 2 3" xfId="6414" xr:uid="{00000000-0005-0000-0000-000015400000}"/>
    <cellStyle name="Comma 7 2 5 2 3 2" xfId="41264" xr:uid="{00000000-0005-0000-0000-000016400000}"/>
    <cellStyle name="Comma 7 2 5 2 3 2 2" xfId="43944" xr:uid="{00000000-0005-0000-0000-000017400000}"/>
    <cellStyle name="Comma 7 2 5 2 3 2 3" xfId="45642" xr:uid="{00000000-0005-0000-0000-000018400000}"/>
    <cellStyle name="Comma 7 2 5 2 3 3" xfId="39681" xr:uid="{00000000-0005-0000-0000-000019400000}"/>
    <cellStyle name="Comma 7 2 5 2 3 4" xfId="42616" xr:uid="{00000000-0005-0000-0000-00001A400000}"/>
    <cellStyle name="Comma 7 2 5 2 3 5" xfId="45643" xr:uid="{00000000-0005-0000-0000-00001B400000}"/>
    <cellStyle name="Comma 7 2 5 2 3 6" xfId="33345" xr:uid="{00000000-0005-0000-0000-00001C400000}"/>
    <cellStyle name="Comma 7 2 5 2 4" xfId="35169" xr:uid="{00000000-0005-0000-0000-00001D400000}"/>
    <cellStyle name="Comma 7 2 5 2 4 2" xfId="40408" xr:uid="{00000000-0005-0000-0000-00001E400000}"/>
    <cellStyle name="Comma 7 2 5 2 4 3" xfId="43226" xr:uid="{00000000-0005-0000-0000-00001F400000}"/>
    <cellStyle name="Comma 7 2 5 2 4 4" xfId="45644" xr:uid="{00000000-0005-0000-0000-000020400000}"/>
    <cellStyle name="Comma 7 2 5 2 5" xfId="36080" xr:uid="{00000000-0005-0000-0000-000021400000}"/>
    <cellStyle name="Comma 7 2 5 2 6" xfId="36380" xr:uid="{00000000-0005-0000-0000-000022400000}"/>
    <cellStyle name="Comma 7 2 5 2 7" xfId="38859" xr:uid="{00000000-0005-0000-0000-000023400000}"/>
    <cellStyle name="Comma 7 2 5 2 8" xfId="41898" xr:uid="{00000000-0005-0000-0000-000024400000}"/>
    <cellStyle name="Comma 7 2 5 2 9" xfId="45645" xr:uid="{00000000-0005-0000-0000-000025400000}"/>
    <cellStyle name="Comma 7 2 5 3" xfId="4466" xr:uid="{00000000-0005-0000-0000-000026400000}"/>
    <cellStyle name="Comma 7 2 5 3 2" xfId="5917" xr:uid="{00000000-0005-0000-0000-000027400000}"/>
    <cellStyle name="Comma 7 2 5 3 2 2" xfId="41092" xr:uid="{00000000-0005-0000-0000-000028400000}"/>
    <cellStyle name="Comma 7 2 5 3 2 2 2" xfId="43804" xr:uid="{00000000-0005-0000-0000-000029400000}"/>
    <cellStyle name="Comma 7 2 5 3 2 2 3" xfId="45646" xr:uid="{00000000-0005-0000-0000-00002A400000}"/>
    <cellStyle name="Comma 7 2 5 3 2 3" xfId="39516" xr:uid="{00000000-0005-0000-0000-00002B400000}"/>
    <cellStyle name="Comma 7 2 5 3 2 4" xfId="42476" xr:uid="{00000000-0005-0000-0000-00002C400000}"/>
    <cellStyle name="Comma 7 2 5 3 2 5" xfId="45647" xr:uid="{00000000-0005-0000-0000-00002D400000}"/>
    <cellStyle name="Comma 7 2 5 3 2 6" xfId="35649" xr:uid="{00000000-0005-0000-0000-00002E400000}"/>
    <cellStyle name="Comma 7 2 5 3 3" xfId="40237" xr:uid="{00000000-0005-0000-0000-00002F400000}"/>
    <cellStyle name="Comma 7 2 5 3 3 2" xfId="43086" xr:uid="{00000000-0005-0000-0000-000030400000}"/>
    <cellStyle name="Comma 7 2 5 3 3 3" xfId="45648" xr:uid="{00000000-0005-0000-0000-000031400000}"/>
    <cellStyle name="Comma 7 2 5 3 4" xfId="38718" xr:uid="{00000000-0005-0000-0000-000032400000}"/>
    <cellStyle name="Comma 7 2 5 3 5" xfId="41758" xr:uid="{00000000-0005-0000-0000-000033400000}"/>
    <cellStyle name="Comma 7 2 5 3 6" xfId="45649" xr:uid="{00000000-0005-0000-0000-000034400000}"/>
    <cellStyle name="Comma 7 2 5 3 7" xfId="12127" xr:uid="{00000000-0005-0000-0000-000035400000}"/>
    <cellStyle name="Comma 7 2 5 4" xfId="5779" xr:uid="{00000000-0005-0000-0000-000036400000}"/>
    <cellStyle name="Comma 7 2 5 4 2" xfId="40102" xr:uid="{00000000-0005-0000-0000-000037400000}"/>
    <cellStyle name="Comma 7 2 5 4 2 2" xfId="42971" xr:uid="{00000000-0005-0000-0000-000038400000}"/>
    <cellStyle name="Comma 7 2 5 4 2 3" xfId="45650" xr:uid="{00000000-0005-0000-0000-000039400000}"/>
    <cellStyle name="Comma 7 2 5 4 3" xfId="38146" xr:uid="{00000000-0005-0000-0000-00003A400000}"/>
    <cellStyle name="Comma 7 2 5 4 4" xfId="41643" xr:uid="{00000000-0005-0000-0000-00003B400000}"/>
    <cellStyle name="Comma 7 2 5 4 5" xfId="45651" xr:uid="{00000000-0005-0000-0000-00003C400000}"/>
    <cellStyle name="Comma 7 2 5 4 6" xfId="15817" xr:uid="{00000000-0005-0000-0000-00003D400000}"/>
    <cellStyle name="Comma 7 2 5 5" xfId="6238" xr:uid="{00000000-0005-0000-0000-00003E400000}"/>
    <cellStyle name="Comma 7 2 5 5 2" xfId="40647" xr:uid="{00000000-0005-0000-0000-00003F400000}"/>
    <cellStyle name="Comma 7 2 5 5 2 2" xfId="43433" xr:uid="{00000000-0005-0000-0000-000040400000}"/>
    <cellStyle name="Comma 7 2 5 5 2 3" xfId="45652" xr:uid="{00000000-0005-0000-0000-000041400000}"/>
    <cellStyle name="Comma 7 2 5 5 3" xfId="39079" xr:uid="{00000000-0005-0000-0000-000042400000}"/>
    <cellStyle name="Comma 7 2 5 5 4" xfId="42105" xr:uid="{00000000-0005-0000-0000-000043400000}"/>
    <cellStyle name="Comma 7 2 5 5 5" xfId="45653" xr:uid="{00000000-0005-0000-0000-000044400000}"/>
    <cellStyle name="Comma 7 2 5 5 6" xfId="30315" xr:uid="{00000000-0005-0000-0000-000045400000}"/>
    <cellStyle name="Comma 7 2 5 6" xfId="30901" xr:uid="{00000000-0005-0000-0000-000046400000}"/>
    <cellStyle name="Comma 7 2 5 6 2" xfId="40954" xr:uid="{00000000-0005-0000-0000-000047400000}"/>
    <cellStyle name="Comma 7 2 5 6 2 2" xfId="43689" xr:uid="{00000000-0005-0000-0000-000048400000}"/>
    <cellStyle name="Comma 7 2 5 6 2 3" xfId="45654" xr:uid="{00000000-0005-0000-0000-000049400000}"/>
    <cellStyle name="Comma 7 2 5 6 3" xfId="39383" xr:uid="{00000000-0005-0000-0000-00004A400000}"/>
    <cellStyle name="Comma 7 2 5 6 4" xfId="42361" xr:uid="{00000000-0005-0000-0000-00004B400000}"/>
    <cellStyle name="Comma 7 2 5 6 5" xfId="45655" xr:uid="{00000000-0005-0000-0000-00004C400000}"/>
    <cellStyle name="Comma 7 2 5 7" xfId="32138" xr:uid="{00000000-0005-0000-0000-00004D400000}"/>
    <cellStyle name="Comma 7 2 5 7 2" xfId="39944" xr:uid="{00000000-0005-0000-0000-00004E400000}"/>
    <cellStyle name="Comma 7 2 5 7 3" xfId="42832" xr:uid="{00000000-0005-0000-0000-00004F400000}"/>
    <cellStyle name="Comma 7 2 5 7 4" xfId="45656" xr:uid="{00000000-0005-0000-0000-000050400000}"/>
    <cellStyle name="Comma 7 2 5 8" xfId="32780" xr:uid="{00000000-0005-0000-0000-000051400000}"/>
    <cellStyle name="Comma 7 2 5 9" xfId="33992" xr:uid="{00000000-0005-0000-0000-000052400000}"/>
    <cellStyle name="Comma 7 2 6" xfId="2806" xr:uid="{00000000-0005-0000-0000-000053400000}"/>
    <cellStyle name="Comma 7 2 6 10" xfId="34656" xr:uid="{00000000-0005-0000-0000-000054400000}"/>
    <cellStyle name="Comma 7 2 6 11" xfId="35368" xr:uid="{00000000-0005-0000-0000-000055400000}"/>
    <cellStyle name="Comma 7 2 6 12" xfId="36372" xr:uid="{00000000-0005-0000-0000-000056400000}"/>
    <cellStyle name="Comma 7 2 6 13" xfId="37534" xr:uid="{00000000-0005-0000-0000-000057400000}"/>
    <cellStyle name="Comma 7 2 6 14" xfId="41480" xr:uid="{00000000-0005-0000-0000-000058400000}"/>
    <cellStyle name="Comma 7 2 6 15" xfId="45657" xr:uid="{00000000-0005-0000-0000-000059400000}"/>
    <cellStyle name="Comma 7 2 6 16" xfId="11542" xr:uid="{00000000-0005-0000-0000-00005A400000}"/>
    <cellStyle name="Comma 7 2 6 2" xfId="5117" xr:uid="{00000000-0005-0000-0000-00005B400000}"/>
    <cellStyle name="Comma 7 2 6 2 10" xfId="15163" xr:uid="{00000000-0005-0000-0000-00005C400000}"/>
    <cellStyle name="Comma 7 2 6 2 2" xfId="6086" xr:uid="{00000000-0005-0000-0000-00005D400000}"/>
    <cellStyle name="Comma 7 2 6 2 2 2" xfId="41256" xr:uid="{00000000-0005-0000-0000-00005E400000}"/>
    <cellStyle name="Comma 7 2 6 2 2 2 2" xfId="43936" xr:uid="{00000000-0005-0000-0000-00005F400000}"/>
    <cellStyle name="Comma 7 2 6 2 2 2 3" xfId="45658" xr:uid="{00000000-0005-0000-0000-000060400000}"/>
    <cellStyle name="Comma 7 2 6 2 2 3" xfId="39673" xr:uid="{00000000-0005-0000-0000-000061400000}"/>
    <cellStyle name="Comma 7 2 6 2 2 4" xfId="42608" xr:uid="{00000000-0005-0000-0000-000062400000}"/>
    <cellStyle name="Comma 7 2 6 2 2 5" xfId="45659" xr:uid="{00000000-0005-0000-0000-000063400000}"/>
    <cellStyle name="Comma 7 2 6 2 2 6" xfId="31570" xr:uid="{00000000-0005-0000-0000-000064400000}"/>
    <cellStyle name="Comma 7 2 6 2 3" xfId="33423" xr:uid="{00000000-0005-0000-0000-000065400000}"/>
    <cellStyle name="Comma 7 2 6 2 3 2" xfId="40400" xr:uid="{00000000-0005-0000-0000-000066400000}"/>
    <cellStyle name="Comma 7 2 6 2 3 3" xfId="43218" xr:uid="{00000000-0005-0000-0000-000067400000}"/>
    <cellStyle name="Comma 7 2 6 2 3 4" xfId="45660" xr:uid="{00000000-0005-0000-0000-000068400000}"/>
    <cellStyle name="Comma 7 2 6 2 4" xfId="35247" xr:uid="{00000000-0005-0000-0000-000069400000}"/>
    <cellStyle name="Comma 7 2 6 2 5" xfId="36072" xr:uid="{00000000-0005-0000-0000-00006A400000}"/>
    <cellStyle name="Comma 7 2 6 2 6" xfId="37327" xr:uid="{00000000-0005-0000-0000-00006B400000}"/>
    <cellStyle name="Comma 7 2 6 2 7" xfId="38851" xr:uid="{00000000-0005-0000-0000-00006C400000}"/>
    <cellStyle name="Comma 7 2 6 2 8" xfId="41890" xr:uid="{00000000-0005-0000-0000-00006D400000}"/>
    <cellStyle name="Comma 7 2 6 2 9" xfId="45661" xr:uid="{00000000-0005-0000-0000-00006E400000}"/>
    <cellStyle name="Comma 7 2 6 3" xfId="5771" xr:uid="{00000000-0005-0000-0000-00006F400000}"/>
    <cellStyle name="Comma 7 2 6 3 2" xfId="40094" xr:uid="{00000000-0005-0000-0000-000070400000}"/>
    <cellStyle name="Comma 7 2 6 3 2 2" xfId="42963" xr:uid="{00000000-0005-0000-0000-000071400000}"/>
    <cellStyle name="Comma 7 2 6 3 2 3" xfId="45662" xr:uid="{00000000-0005-0000-0000-000072400000}"/>
    <cellStyle name="Comma 7 2 6 3 3" xfId="38138" xr:uid="{00000000-0005-0000-0000-000073400000}"/>
    <cellStyle name="Comma 7 2 6 3 4" xfId="41635" xr:uid="{00000000-0005-0000-0000-000074400000}"/>
    <cellStyle name="Comma 7 2 6 3 5" xfId="45663" xr:uid="{00000000-0005-0000-0000-000075400000}"/>
    <cellStyle name="Comma 7 2 6 3 6" xfId="12205" xr:uid="{00000000-0005-0000-0000-000076400000}"/>
    <cellStyle name="Comma 7 2 6 4" xfId="6406" xr:uid="{00000000-0005-0000-0000-000077400000}"/>
    <cellStyle name="Comma 7 2 6 4 2" xfId="40639" xr:uid="{00000000-0005-0000-0000-000078400000}"/>
    <cellStyle name="Comma 7 2 6 4 2 2" xfId="43425" xr:uid="{00000000-0005-0000-0000-000079400000}"/>
    <cellStyle name="Comma 7 2 6 4 2 3" xfId="45664" xr:uid="{00000000-0005-0000-0000-00007A400000}"/>
    <cellStyle name="Comma 7 2 6 4 3" xfId="39071" xr:uid="{00000000-0005-0000-0000-00007B400000}"/>
    <cellStyle name="Comma 7 2 6 4 4" xfId="42097" xr:uid="{00000000-0005-0000-0000-00007C400000}"/>
    <cellStyle name="Comma 7 2 6 4 5" xfId="45665" xr:uid="{00000000-0005-0000-0000-00007D400000}"/>
    <cellStyle name="Comma 7 2 6 4 6" xfId="15818" xr:uid="{00000000-0005-0000-0000-00007E400000}"/>
    <cellStyle name="Comma 7 2 6 5" xfId="30316" xr:uid="{00000000-0005-0000-0000-00007F400000}"/>
    <cellStyle name="Comma 7 2 6 5 2" xfId="40946" xr:uid="{00000000-0005-0000-0000-000080400000}"/>
    <cellStyle name="Comma 7 2 6 5 2 2" xfId="43681" xr:uid="{00000000-0005-0000-0000-000081400000}"/>
    <cellStyle name="Comma 7 2 6 5 2 3" xfId="45666" xr:uid="{00000000-0005-0000-0000-000082400000}"/>
    <cellStyle name="Comma 7 2 6 5 3" xfId="39375" xr:uid="{00000000-0005-0000-0000-000083400000}"/>
    <cellStyle name="Comma 7 2 6 5 4" xfId="42353" xr:uid="{00000000-0005-0000-0000-000084400000}"/>
    <cellStyle name="Comma 7 2 6 5 5" xfId="45667" xr:uid="{00000000-0005-0000-0000-000085400000}"/>
    <cellStyle name="Comma 7 2 6 6" xfId="30979" xr:uid="{00000000-0005-0000-0000-000086400000}"/>
    <cellStyle name="Comma 7 2 6 6 2" xfId="39909" xr:uid="{00000000-0005-0000-0000-000087400000}"/>
    <cellStyle name="Comma 7 2 6 6 3" xfId="42808" xr:uid="{00000000-0005-0000-0000-000088400000}"/>
    <cellStyle name="Comma 7 2 6 6 4" xfId="45668" xr:uid="{00000000-0005-0000-0000-000089400000}"/>
    <cellStyle name="Comma 7 2 6 7" xfId="32139" xr:uid="{00000000-0005-0000-0000-00008A400000}"/>
    <cellStyle name="Comma 7 2 6 8" xfId="32781" xr:uid="{00000000-0005-0000-0000-00008B400000}"/>
    <cellStyle name="Comma 7 2 6 9" xfId="33993" xr:uid="{00000000-0005-0000-0000-00008C400000}"/>
    <cellStyle name="Comma 7 2 7" xfId="4549" xr:uid="{00000000-0005-0000-0000-00008D400000}"/>
    <cellStyle name="Comma 7 2 7 10" xfId="36297" xr:uid="{00000000-0005-0000-0000-00008E400000}"/>
    <cellStyle name="Comma 7 2 7 11" xfId="38775" xr:uid="{00000000-0005-0000-0000-00008F400000}"/>
    <cellStyle name="Comma 7 2 7 12" xfId="41815" xr:uid="{00000000-0005-0000-0000-000090400000}"/>
    <cellStyle name="Comma 7 2 7 13" xfId="45669" xr:uid="{00000000-0005-0000-0000-000091400000}"/>
    <cellStyle name="Comma 7 2 7 14" xfId="12308" xr:uid="{00000000-0005-0000-0000-000092400000}"/>
    <cellStyle name="Comma 7 2 7 2" xfId="5998" xr:uid="{00000000-0005-0000-0000-000093400000}"/>
    <cellStyle name="Comma 7 2 7 2 2" xfId="40556" xr:uid="{00000000-0005-0000-0000-000094400000}"/>
    <cellStyle name="Comma 7 2 7 2 2 2" xfId="43350" xr:uid="{00000000-0005-0000-0000-000095400000}"/>
    <cellStyle name="Comma 7 2 7 2 2 3" xfId="45670" xr:uid="{00000000-0005-0000-0000-000096400000}"/>
    <cellStyle name="Comma 7 2 7 2 3" xfId="38993" xr:uid="{00000000-0005-0000-0000-000097400000}"/>
    <cellStyle name="Comma 7 2 7 2 4" xfId="42022" xr:uid="{00000000-0005-0000-0000-000098400000}"/>
    <cellStyle name="Comma 7 2 7 2 5" xfId="45671" xr:uid="{00000000-0005-0000-0000-000099400000}"/>
    <cellStyle name="Comma 7 2 7 2 6" xfId="15819" xr:uid="{00000000-0005-0000-0000-00009A400000}"/>
    <cellStyle name="Comma 7 2 7 3" xfId="6319" xr:uid="{00000000-0005-0000-0000-00009B400000}"/>
    <cellStyle name="Comma 7 2 7 3 2" xfId="41171" xr:uid="{00000000-0005-0000-0000-00009C400000}"/>
    <cellStyle name="Comma 7 2 7 3 2 2" xfId="43861" xr:uid="{00000000-0005-0000-0000-00009D400000}"/>
    <cellStyle name="Comma 7 2 7 3 2 3" xfId="45672" xr:uid="{00000000-0005-0000-0000-00009E400000}"/>
    <cellStyle name="Comma 7 2 7 3 3" xfId="39590" xr:uid="{00000000-0005-0000-0000-00009F400000}"/>
    <cellStyle name="Comma 7 2 7 3 4" xfId="42533" xr:uid="{00000000-0005-0000-0000-0000A0400000}"/>
    <cellStyle name="Comma 7 2 7 3 5" xfId="45673" xr:uid="{00000000-0005-0000-0000-0000A1400000}"/>
    <cellStyle name="Comma 7 2 7 3 6" xfId="30317" xr:uid="{00000000-0005-0000-0000-0000A2400000}"/>
    <cellStyle name="Comma 7 2 7 4" xfId="31081" xr:uid="{00000000-0005-0000-0000-0000A3400000}"/>
    <cellStyle name="Comma 7 2 7 4 2" xfId="40316" xr:uid="{00000000-0005-0000-0000-0000A4400000}"/>
    <cellStyle name="Comma 7 2 7 4 3" xfId="43143" xr:uid="{00000000-0005-0000-0000-0000A5400000}"/>
    <cellStyle name="Comma 7 2 7 4 4" xfId="45674" xr:uid="{00000000-0005-0000-0000-0000A6400000}"/>
    <cellStyle name="Comma 7 2 7 5" xfId="32140" xr:uid="{00000000-0005-0000-0000-0000A7400000}"/>
    <cellStyle name="Comma 7 2 7 6" xfId="32782" xr:uid="{00000000-0005-0000-0000-0000A8400000}"/>
    <cellStyle name="Comma 7 2 7 7" xfId="33994" xr:uid="{00000000-0005-0000-0000-0000A9400000}"/>
    <cellStyle name="Comma 7 2 7 8" xfId="34758" xr:uid="{00000000-0005-0000-0000-0000AA400000}"/>
    <cellStyle name="Comma 7 2 7 9" xfId="35710" xr:uid="{00000000-0005-0000-0000-0000AB400000}"/>
    <cellStyle name="Comma 7 2 8" xfId="4458" xr:uid="{00000000-0005-0000-0000-0000AC400000}"/>
    <cellStyle name="Comma 7 2 8 2" xfId="5909" xr:uid="{00000000-0005-0000-0000-0000AD400000}"/>
    <cellStyle name="Comma 7 2 8 2 2" xfId="40764" xr:uid="{00000000-0005-0000-0000-0000AE400000}"/>
    <cellStyle name="Comma 7 2 8 2 2 2" xfId="43527" xr:uid="{00000000-0005-0000-0000-0000AF400000}"/>
    <cellStyle name="Comma 7 2 8 2 2 3" xfId="45675" xr:uid="{00000000-0005-0000-0000-0000B0400000}"/>
    <cellStyle name="Comma 7 2 8 2 3" xfId="39191" xr:uid="{00000000-0005-0000-0000-0000B1400000}"/>
    <cellStyle name="Comma 7 2 8 2 4" xfId="42199" xr:uid="{00000000-0005-0000-0000-0000B2400000}"/>
    <cellStyle name="Comma 7 2 8 2 5" xfId="45676" xr:uid="{00000000-0005-0000-0000-0000B3400000}"/>
    <cellStyle name="Comma 7 2 8 2 6" xfId="35641" xr:uid="{00000000-0005-0000-0000-0000B4400000}"/>
    <cellStyle name="Comma 7 2 8 3" xfId="39508" xr:uid="{00000000-0005-0000-0000-0000B5400000}"/>
    <cellStyle name="Comma 7 2 8 3 2" xfId="41084" xr:uid="{00000000-0005-0000-0000-0000B6400000}"/>
    <cellStyle name="Comma 7 2 8 3 2 2" xfId="43796" xr:uid="{00000000-0005-0000-0000-0000B7400000}"/>
    <cellStyle name="Comma 7 2 8 3 2 3" xfId="45677" xr:uid="{00000000-0005-0000-0000-0000B8400000}"/>
    <cellStyle name="Comma 7 2 8 3 3" xfId="42468" xr:uid="{00000000-0005-0000-0000-0000B9400000}"/>
    <cellStyle name="Comma 7 2 8 3 4" xfId="45678" xr:uid="{00000000-0005-0000-0000-0000BA400000}"/>
    <cellStyle name="Comma 7 2 8 4" xfId="40229" xr:uid="{00000000-0005-0000-0000-0000BB400000}"/>
    <cellStyle name="Comma 7 2 8 4 2" xfId="43078" xr:uid="{00000000-0005-0000-0000-0000BC400000}"/>
    <cellStyle name="Comma 7 2 8 4 3" xfId="45679" xr:uid="{00000000-0005-0000-0000-0000BD400000}"/>
    <cellStyle name="Comma 7 2 8 5" xfId="38710" xr:uid="{00000000-0005-0000-0000-0000BE400000}"/>
    <cellStyle name="Comma 7 2 8 6" xfId="41750" xr:uid="{00000000-0005-0000-0000-0000BF400000}"/>
    <cellStyle name="Comma 7 2 8 7" xfId="45680" xr:uid="{00000000-0005-0000-0000-0000C0400000}"/>
    <cellStyle name="Comma 7 2 8 8" xfId="11715" xr:uid="{00000000-0005-0000-0000-0000C1400000}"/>
    <cellStyle name="Comma 7 2 9" xfId="5677" xr:uid="{00000000-0005-0000-0000-0000C2400000}"/>
    <cellStyle name="Comma 7 2 9 2" xfId="40011" xr:uid="{00000000-0005-0000-0000-0000C3400000}"/>
    <cellStyle name="Comma 7 2 9 2 2" xfId="42888" xr:uid="{00000000-0005-0000-0000-0000C4400000}"/>
    <cellStyle name="Comma 7 2 9 2 3" xfId="45681" xr:uid="{00000000-0005-0000-0000-0000C5400000}"/>
    <cellStyle name="Comma 7 2 9 3" xfId="37620" xr:uid="{00000000-0005-0000-0000-0000C6400000}"/>
    <cellStyle name="Comma 7 2 9 4" xfId="41560" xr:uid="{00000000-0005-0000-0000-0000C7400000}"/>
    <cellStyle name="Comma 7 2 9 5" xfId="45682" xr:uid="{00000000-0005-0000-0000-0000C8400000}"/>
    <cellStyle name="Comma 7 2 9 6" xfId="15802" xr:uid="{00000000-0005-0000-0000-0000C9400000}"/>
    <cellStyle name="Comma 7 20" xfId="37397" xr:uid="{00000000-0005-0000-0000-0000CA400000}"/>
    <cellStyle name="Comma 7 21" xfId="41345" xr:uid="{00000000-0005-0000-0000-0000CB400000}"/>
    <cellStyle name="Comma 7 22" xfId="45683" xr:uid="{00000000-0005-0000-0000-0000CC400000}"/>
    <cellStyle name="Comma 7 23" xfId="6568" xr:uid="{00000000-0005-0000-0000-0000CD400000}"/>
    <cellStyle name="Comma 7 3" xfId="1039" xr:uid="{00000000-0005-0000-0000-0000CE400000}"/>
    <cellStyle name="Comma 7 3 10" xfId="30548" xr:uid="{00000000-0005-0000-0000-0000CF400000}"/>
    <cellStyle name="Comma 7 3 10 2" xfId="40865" xr:uid="{00000000-0005-0000-0000-0000D0400000}"/>
    <cellStyle name="Comma 7 3 10 2 2" xfId="43609" xr:uid="{00000000-0005-0000-0000-0000D1400000}"/>
    <cellStyle name="Comma 7 3 10 2 3" xfId="45684" xr:uid="{00000000-0005-0000-0000-0000D2400000}"/>
    <cellStyle name="Comma 7 3 10 3" xfId="39300" xr:uid="{00000000-0005-0000-0000-0000D3400000}"/>
    <cellStyle name="Comma 7 3 10 4" xfId="42281" xr:uid="{00000000-0005-0000-0000-0000D4400000}"/>
    <cellStyle name="Comma 7 3 10 5" xfId="45685" xr:uid="{00000000-0005-0000-0000-0000D5400000}"/>
    <cellStyle name="Comma 7 3 11" xfId="32141" xr:uid="{00000000-0005-0000-0000-0000D6400000}"/>
    <cellStyle name="Comma 7 3 11 2" xfId="39764" xr:uid="{00000000-0005-0000-0000-0000D7400000}"/>
    <cellStyle name="Comma 7 3 11 3" xfId="42677" xr:uid="{00000000-0005-0000-0000-0000D8400000}"/>
    <cellStyle name="Comma 7 3 11 4" xfId="45686" xr:uid="{00000000-0005-0000-0000-0000D9400000}"/>
    <cellStyle name="Comma 7 3 12" xfId="32783" xr:uid="{00000000-0005-0000-0000-0000DA400000}"/>
    <cellStyle name="Comma 7 3 13" xfId="33995" xr:uid="{00000000-0005-0000-0000-0000DB400000}"/>
    <cellStyle name="Comma 7 3 14" xfId="34225" xr:uid="{00000000-0005-0000-0000-0000DC400000}"/>
    <cellStyle name="Comma 7 3 15" xfId="35293" xr:uid="{00000000-0005-0000-0000-0000DD400000}"/>
    <cellStyle name="Comma 7 3 16" xfId="36240" xr:uid="{00000000-0005-0000-0000-0000DE400000}"/>
    <cellStyle name="Comma 7 3 17" xfId="37401" xr:uid="{00000000-0005-0000-0000-0000DF400000}"/>
    <cellStyle name="Comma 7 3 18" xfId="41349" xr:uid="{00000000-0005-0000-0000-0000E0400000}"/>
    <cellStyle name="Comma 7 3 19" xfId="45687" xr:uid="{00000000-0005-0000-0000-0000E1400000}"/>
    <cellStyle name="Comma 7 3 2" xfId="2816" xr:uid="{00000000-0005-0000-0000-0000E2400000}"/>
    <cellStyle name="Comma 7 3 2 10" xfId="32784" xr:uid="{00000000-0005-0000-0000-0000E3400000}"/>
    <cellStyle name="Comma 7 3 2 11" xfId="33996" xr:uid="{00000000-0005-0000-0000-0000E4400000}"/>
    <cellStyle name="Comma 7 3 2 12" xfId="34237" xr:uid="{00000000-0005-0000-0000-0000E5400000}"/>
    <cellStyle name="Comma 7 3 2 13" xfId="35378" xr:uid="{00000000-0005-0000-0000-0000E6400000}"/>
    <cellStyle name="Comma 7 3 2 14" xfId="36241" xr:uid="{00000000-0005-0000-0000-0000E7400000}"/>
    <cellStyle name="Comma 7 3 2 15" xfId="37464" xr:uid="{00000000-0005-0000-0000-0000E8400000}"/>
    <cellStyle name="Comma 7 3 2 16" xfId="41411" xr:uid="{00000000-0005-0000-0000-0000E9400000}"/>
    <cellStyle name="Comma 7 3 2 17" xfId="45688" xr:uid="{00000000-0005-0000-0000-0000EA400000}"/>
    <cellStyle name="Comma 7 3 2 18" xfId="8202" xr:uid="{00000000-0005-0000-0000-0000EB400000}"/>
    <cellStyle name="Comma 7 3 2 2" xfId="2817" xr:uid="{00000000-0005-0000-0000-0000EC400000}"/>
    <cellStyle name="Comma 7 3 2 2 10" xfId="34584" xr:uid="{00000000-0005-0000-0000-0000ED400000}"/>
    <cellStyle name="Comma 7 3 2 2 11" xfId="35379" xr:uid="{00000000-0005-0000-0000-0000EE400000}"/>
    <cellStyle name="Comma 7 3 2 2 12" xfId="36242" xr:uid="{00000000-0005-0000-0000-0000EF400000}"/>
    <cellStyle name="Comma 7 3 2 2 13" xfId="37583" xr:uid="{00000000-0005-0000-0000-0000F0400000}"/>
    <cellStyle name="Comma 7 3 2 2 14" xfId="41529" xr:uid="{00000000-0005-0000-0000-0000F1400000}"/>
    <cellStyle name="Comma 7 3 2 2 15" xfId="45689" xr:uid="{00000000-0005-0000-0000-0000F2400000}"/>
    <cellStyle name="Comma 7 3 2 2 16" xfId="8917" xr:uid="{00000000-0005-0000-0000-0000F3400000}"/>
    <cellStyle name="Comma 7 3 2 2 2" xfId="5128" xr:uid="{00000000-0005-0000-0000-0000F4400000}"/>
    <cellStyle name="Comma 7 3 2 2 2 10" xfId="12916" xr:uid="{00000000-0005-0000-0000-0000F5400000}"/>
    <cellStyle name="Comma 7 3 2 2 2 2" xfId="6097" xr:uid="{00000000-0005-0000-0000-0000F6400000}"/>
    <cellStyle name="Comma 7 3 2 2 2 2 2" xfId="40807" xr:uid="{00000000-0005-0000-0000-0000F7400000}"/>
    <cellStyle name="Comma 7 3 2 2 2 2 2 2" xfId="43562" xr:uid="{00000000-0005-0000-0000-0000F8400000}"/>
    <cellStyle name="Comma 7 3 2 2 2 2 2 3" xfId="45690" xr:uid="{00000000-0005-0000-0000-0000F9400000}"/>
    <cellStyle name="Comma 7 3 2 2 2 2 3" xfId="39244" xr:uid="{00000000-0005-0000-0000-0000FA400000}"/>
    <cellStyle name="Comma 7 3 2 2 2 2 4" xfId="42234" xr:uid="{00000000-0005-0000-0000-0000FB400000}"/>
    <cellStyle name="Comma 7 3 2 2 2 2 5" xfId="45691" xr:uid="{00000000-0005-0000-0000-0000FC400000}"/>
    <cellStyle name="Comma 7 3 2 2 2 2 6" xfId="31498" xr:uid="{00000000-0005-0000-0000-0000FD400000}"/>
    <cellStyle name="Comma 7 3 2 2 2 3" xfId="6417" xr:uid="{00000000-0005-0000-0000-0000FE400000}"/>
    <cellStyle name="Comma 7 3 2 2 2 3 2" xfId="41267" xr:uid="{00000000-0005-0000-0000-0000FF400000}"/>
    <cellStyle name="Comma 7 3 2 2 2 3 2 2" xfId="43947" xr:uid="{00000000-0005-0000-0000-000000410000}"/>
    <cellStyle name="Comma 7 3 2 2 2 3 2 3" xfId="45692" xr:uid="{00000000-0005-0000-0000-000001410000}"/>
    <cellStyle name="Comma 7 3 2 2 2 3 3" xfId="39684" xr:uid="{00000000-0005-0000-0000-000002410000}"/>
    <cellStyle name="Comma 7 3 2 2 2 3 4" xfId="42619" xr:uid="{00000000-0005-0000-0000-000003410000}"/>
    <cellStyle name="Comma 7 3 2 2 2 3 5" xfId="45693" xr:uid="{00000000-0005-0000-0000-000004410000}"/>
    <cellStyle name="Comma 7 3 2 2 2 3 6" xfId="33351" xr:uid="{00000000-0005-0000-0000-000005410000}"/>
    <cellStyle name="Comma 7 3 2 2 2 4" xfId="35175" xr:uid="{00000000-0005-0000-0000-000006410000}"/>
    <cellStyle name="Comma 7 3 2 2 2 4 2" xfId="40411" xr:uid="{00000000-0005-0000-0000-000007410000}"/>
    <cellStyle name="Comma 7 3 2 2 2 4 3" xfId="43229" xr:uid="{00000000-0005-0000-0000-000008410000}"/>
    <cellStyle name="Comma 7 3 2 2 2 4 4" xfId="45694" xr:uid="{00000000-0005-0000-0000-000009410000}"/>
    <cellStyle name="Comma 7 3 2 2 2 5" xfId="36083" xr:uid="{00000000-0005-0000-0000-00000A410000}"/>
    <cellStyle name="Comma 7 3 2 2 2 6" xfId="36383" xr:uid="{00000000-0005-0000-0000-00000B410000}"/>
    <cellStyle name="Comma 7 3 2 2 2 7" xfId="38862" xr:uid="{00000000-0005-0000-0000-00000C410000}"/>
    <cellStyle name="Comma 7 3 2 2 2 8" xfId="41901" xr:uid="{00000000-0005-0000-0000-00000D410000}"/>
    <cellStyle name="Comma 7 3 2 2 2 9" xfId="45695" xr:uid="{00000000-0005-0000-0000-00000E410000}"/>
    <cellStyle name="Comma 7 3 2 2 3" xfId="4469" xr:uid="{00000000-0005-0000-0000-00000F410000}"/>
    <cellStyle name="Comma 7 3 2 2 3 2" xfId="5920" xr:uid="{00000000-0005-0000-0000-000010410000}"/>
    <cellStyle name="Comma 7 3 2 2 3 2 2" xfId="41095" xr:uid="{00000000-0005-0000-0000-000011410000}"/>
    <cellStyle name="Comma 7 3 2 2 3 2 2 2" xfId="43807" xr:uid="{00000000-0005-0000-0000-000012410000}"/>
    <cellStyle name="Comma 7 3 2 2 3 2 2 3" xfId="45696" xr:uid="{00000000-0005-0000-0000-000013410000}"/>
    <cellStyle name="Comma 7 3 2 2 3 2 3" xfId="39519" xr:uid="{00000000-0005-0000-0000-000014410000}"/>
    <cellStyle name="Comma 7 3 2 2 3 2 4" xfId="42479" xr:uid="{00000000-0005-0000-0000-000015410000}"/>
    <cellStyle name="Comma 7 3 2 2 3 2 5" xfId="45697" xr:uid="{00000000-0005-0000-0000-000016410000}"/>
    <cellStyle name="Comma 7 3 2 2 3 2 6" xfId="35652" xr:uid="{00000000-0005-0000-0000-000017410000}"/>
    <cellStyle name="Comma 7 3 2 2 3 3" xfId="40240" xr:uid="{00000000-0005-0000-0000-000018410000}"/>
    <cellStyle name="Comma 7 3 2 2 3 3 2" xfId="43089" xr:uid="{00000000-0005-0000-0000-000019410000}"/>
    <cellStyle name="Comma 7 3 2 2 3 3 3" xfId="45698" xr:uid="{00000000-0005-0000-0000-00001A410000}"/>
    <cellStyle name="Comma 7 3 2 2 3 4" xfId="38721" xr:uid="{00000000-0005-0000-0000-00001B410000}"/>
    <cellStyle name="Comma 7 3 2 2 3 5" xfId="41761" xr:uid="{00000000-0005-0000-0000-00001C410000}"/>
    <cellStyle name="Comma 7 3 2 2 3 6" xfId="45699" xr:uid="{00000000-0005-0000-0000-00001D410000}"/>
    <cellStyle name="Comma 7 3 2 2 3 7" xfId="12133" xr:uid="{00000000-0005-0000-0000-00001E410000}"/>
    <cellStyle name="Comma 7 3 2 2 4" xfId="5782" xr:uid="{00000000-0005-0000-0000-00001F410000}"/>
    <cellStyle name="Comma 7 3 2 2 4 2" xfId="40105" xr:uid="{00000000-0005-0000-0000-000020410000}"/>
    <cellStyle name="Comma 7 3 2 2 4 2 2" xfId="42974" xr:uid="{00000000-0005-0000-0000-000021410000}"/>
    <cellStyle name="Comma 7 3 2 2 4 2 3" xfId="45700" xr:uid="{00000000-0005-0000-0000-000022410000}"/>
    <cellStyle name="Comma 7 3 2 2 4 3" xfId="38149" xr:uid="{00000000-0005-0000-0000-000023410000}"/>
    <cellStyle name="Comma 7 3 2 2 4 4" xfId="41646" xr:uid="{00000000-0005-0000-0000-000024410000}"/>
    <cellStyle name="Comma 7 3 2 2 4 5" xfId="45701" xr:uid="{00000000-0005-0000-0000-000025410000}"/>
    <cellStyle name="Comma 7 3 2 2 4 6" xfId="15822" xr:uid="{00000000-0005-0000-0000-000026410000}"/>
    <cellStyle name="Comma 7 3 2 2 5" xfId="6241" xr:uid="{00000000-0005-0000-0000-000027410000}"/>
    <cellStyle name="Comma 7 3 2 2 5 2" xfId="40650" xr:uid="{00000000-0005-0000-0000-000028410000}"/>
    <cellStyle name="Comma 7 3 2 2 5 2 2" xfId="43436" xr:uid="{00000000-0005-0000-0000-000029410000}"/>
    <cellStyle name="Comma 7 3 2 2 5 2 3" xfId="45702" xr:uid="{00000000-0005-0000-0000-00002A410000}"/>
    <cellStyle name="Comma 7 3 2 2 5 3" xfId="39082" xr:uid="{00000000-0005-0000-0000-00002B410000}"/>
    <cellStyle name="Comma 7 3 2 2 5 4" xfId="42108" xr:uid="{00000000-0005-0000-0000-00002C410000}"/>
    <cellStyle name="Comma 7 3 2 2 5 5" xfId="45703" xr:uid="{00000000-0005-0000-0000-00002D410000}"/>
    <cellStyle name="Comma 7 3 2 2 5 6" xfId="30320" xr:uid="{00000000-0005-0000-0000-00002E410000}"/>
    <cellStyle name="Comma 7 3 2 2 6" xfId="30907" xr:uid="{00000000-0005-0000-0000-00002F410000}"/>
    <cellStyle name="Comma 7 3 2 2 6 2" xfId="40957" xr:uid="{00000000-0005-0000-0000-000030410000}"/>
    <cellStyle name="Comma 7 3 2 2 6 2 2" xfId="43692" xr:uid="{00000000-0005-0000-0000-000031410000}"/>
    <cellStyle name="Comma 7 3 2 2 6 2 3" xfId="45704" xr:uid="{00000000-0005-0000-0000-000032410000}"/>
    <cellStyle name="Comma 7 3 2 2 6 3" xfId="39386" xr:uid="{00000000-0005-0000-0000-000033410000}"/>
    <cellStyle name="Comma 7 3 2 2 6 4" xfId="42364" xr:uid="{00000000-0005-0000-0000-000034410000}"/>
    <cellStyle name="Comma 7 3 2 2 6 5" xfId="45705" xr:uid="{00000000-0005-0000-0000-000035410000}"/>
    <cellStyle name="Comma 7 3 2 2 7" xfId="32143" xr:uid="{00000000-0005-0000-0000-000036410000}"/>
    <cellStyle name="Comma 7 3 2 2 7 2" xfId="39969" xr:uid="{00000000-0005-0000-0000-000037410000}"/>
    <cellStyle name="Comma 7 3 2 2 7 3" xfId="42857" xr:uid="{00000000-0005-0000-0000-000038410000}"/>
    <cellStyle name="Comma 7 3 2 2 7 4" xfId="45706" xr:uid="{00000000-0005-0000-0000-000039410000}"/>
    <cellStyle name="Comma 7 3 2 2 8" xfId="32785" xr:uid="{00000000-0005-0000-0000-00003A410000}"/>
    <cellStyle name="Comma 7 3 2 2 9" xfId="33997" xr:uid="{00000000-0005-0000-0000-00003B410000}"/>
    <cellStyle name="Comma 7 3 2 3" xfId="5127" xr:uid="{00000000-0005-0000-0000-00003C410000}"/>
    <cellStyle name="Comma 7 3 2 3 10" xfId="34660" xr:uid="{00000000-0005-0000-0000-00003D410000}"/>
    <cellStyle name="Comma 7 3 2 3 11" xfId="36082" xr:uid="{00000000-0005-0000-0000-00003E410000}"/>
    <cellStyle name="Comma 7 3 2 3 12" xfId="36382" xr:uid="{00000000-0005-0000-0000-00003F410000}"/>
    <cellStyle name="Comma 7 3 2 3 13" xfId="37538" xr:uid="{00000000-0005-0000-0000-000040410000}"/>
    <cellStyle name="Comma 7 3 2 3 14" xfId="41484" xr:uid="{00000000-0005-0000-0000-000041410000}"/>
    <cellStyle name="Comma 7 3 2 3 15" xfId="45707" xr:uid="{00000000-0005-0000-0000-000042410000}"/>
    <cellStyle name="Comma 7 3 2 3 16" xfId="11546" xr:uid="{00000000-0005-0000-0000-000043410000}"/>
    <cellStyle name="Comma 7 3 2 3 2" xfId="6096" xr:uid="{00000000-0005-0000-0000-000044410000}"/>
    <cellStyle name="Comma 7 3 2 3 2 2" xfId="31574" xr:uid="{00000000-0005-0000-0000-000045410000}"/>
    <cellStyle name="Comma 7 3 2 3 2 2 2" xfId="40410" xr:uid="{00000000-0005-0000-0000-000046410000}"/>
    <cellStyle name="Comma 7 3 2 3 2 2 3" xfId="43228" xr:uid="{00000000-0005-0000-0000-000047410000}"/>
    <cellStyle name="Comma 7 3 2 3 2 2 4" xfId="45708" xr:uid="{00000000-0005-0000-0000-000048410000}"/>
    <cellStyle name="Comma 7 3 2 3 2 3" xfId="33427" xr:uid="{00000000-0005-0000-0000-000049410000}"/>
    <cellStyle name="Comma 7 3 2 3 2 4" xfId="35251" xr:uid="{00000000-0005-0000-0000-00004A410000}"/>
    <cellStyle name="Comma 7 3 2 3 2 5" xfId="37330" xr:uid="{00000000-0005-0000-0000-00004B410000}"/>
    <cellStyle name="Comma 7 3 2 3 2 6" xfId="38861" xr:uid="{00000000-0005-0000-0000-00004C410000}"/>
    <cellStyle name="Comma 7 3 2 3 2 7" xfId="41900" xr:uid="{00000000-0005-0000-0000-00004D410000}"/>
    <cellStyle name="Comma 7 3 2 3 2 8" xfId="45709" xr:uid="{00000000-0005-0000-0000-00004E410000}"/>
    <cellStyle name="Comma 7 3 2 3 2 9" xfId="15167" xr:uid="{00000000-0005-0000-0000-00004F410000}"/>
    <cellStyle name="Comma 7 3 2 3 3" xfId="6416" xr:uid="{00000000-0005-0000-0000-000050410000}"/>
    <cellStyle name="Comma 7 3 2 3 3 2" xfId="40649" xr:uid="{00000000-0005-0000-0000-000051410000}"/>
    <cellStyle name="Comma 7 3 2 3 3 2 2" xfId="43435" xr:uid="{00000000-0005-0000-0000-000052410000}"/>
    <cellStyle name="Comma 7 3 2 3 3 2 3" xfId="45710" xr:uid="{00000000-0005-0000-0000-000053410000}"/>
    <cellStyle name="Comma 7 3 2 3 3 3" xfId="39081" xr:uid="{00000000-0005-0000-0000-000054410000}"/>
    <cellStyle name="Comma 7 3 2 3 3 4" xfId="42107" xr:uid="{00000000-0005-0000-0000-000055410000}"/>
    <cellStyle name="Comma 7 3 2 3 3 5" xfId="45711" xr:uid="{00000000-0005-0000-0000-000056410000}"/>
    <cellStyle name="Comma 7 3 2 3 3 6" xfId="12209" xr:uid="{00000000-0005-0000-0000-000057410000}"/>
    <cellStyle name="Comma 7 3 2 3 4" xfId="15823" xr:uid="{00000000-0005-0000-0000-000058410000}"/>
    <cellStyle name="Comma 7 3 2 3 4 2" xfId="41266" xr:uid="{00000000-0005-0000-0000-000059410000}"/>
    <cellStyle name="Comma 7 3 2 3 4 2 2" xfId="43946" xr:uid="{00000000-0005-0000-0000-00005A410000}"/>
    <cellStyle name="Comma 7 3 2 3 4 2 3" xfId="45712" xr:uid="{00000000-0005-0000-0000-00005B410000}"/>
    <cellStyle name="Comma 7 3 2 3 4 3" xfId="39683" xr:uid="{00000000-0005-0000-0000-00005C410000}"/>
    <cellStyle name="Comma 7 3 2 3 4 4" xfId="42618" xr:uid="{00000000-0005-0000-0000-00005D410000}"/>
    <cellStyle name="Comma 7 3 2 3 4 5" xfId="45713" xr:uid="{00000000-0005-0000-0000-00005E410000}"/>
    <cellStyle name="Comma 7 3 2 3 5" xfId="30321" xr:uid="{00000000-0005-0000-0000-00005F410000}"/>
    <cellStyle name="Comma 7 3 2 3 5 2" xfId="39913" xr:uid="{00000000-0005-0000-0000-000060410000}"/>
    <cellStyle name="Comma 7 3 2 3 5 3" xfId="42812" xr:uid="{00000000-0005-0000-0000-000061410000}"/>
    <cellStyle name="Comma 7 3 2 3 5 4" xfId="45714" xr:uid="{00000000-0005-0000-0000-000062410000}"/>
    <cellStyle name="Comma 7 3 2 3 6" xfId="30983" xr:uid="{00000000-0005-0000-0000-000063410000}"/>
    <cellStyle name="Comma 7 3 2 3 7" xfId="32144" xr:uid="{00000000-0005-0000-0000-000064410000}"/>
    <cellStyle name="Comma 7 3 2 3 8" xfId="32786" xr:uid="{00000000-0005-0000-0000-000065410000}"/>
    <cellStyle name="Comma 7 3 2 3 9" xfId="33998" xr:uid="{00000000-0005-0000-0000-000066410000}"/>
    <cellStyle name="Comma 7 3 2 4" xfId="4468" xr:uid="{00000000-0005-0000-0000-000067410000}"/>
    <cellStyle name="Comma 7 3 2 4 10" xfId="12443" xr:uid="{00000000-0005-0000-0000-000068410000}"/>
    <cellStyle name="Comma 7 3 2 4 2" xfId="5919" xr:uid="{00000000-0005-0000-0000-000069410000}"/>
    <cellStyle name="Comma 7 3 2 4 2 2" xfId="40768" xr:uid="{00000000-0005-0000-0000-00006A410000}"/>
    <cellStyle name="Comma 7 3 2 4 2 2 2" xfId="43531" xr:uid="{00000000-0005-0000-0000-00006B410000}"/>
    <cellStyle name="Comma 7 3 2 4 2 2 3" xfId="45715" xr:uid="{00000000-0005-0000-0000-00006C410000}"/>
    <cellStyle name="Comma 7 3 2 4 2 3" xfId="39195" xr:uid="{00000000-0005-0000-0000-00006D410000}"/>
    <cellStyle name="Comma 7 3 2 4 2 4" xfId="42203" xr:uid="{00000000-0005-0000-0000-00006E410000}"/>
    <cellStyle name="Comma 7 3 2 4 2 5" xfId="45716" xr:uid="{00000000-0005-0000-0000-00006F410000}"/>
    <cellStyle name="Comma 7 3 2 4 2 6" xfId="31151" xr:uid="{00000000-0005-0000-0000-000070410000}"/>
    <cellStyle name="Comma 7 3 2 4 3" xfId="33009" xr:uid="{00000000-0005-0000-0000-000071410000}"/>
    <cellStyle name="Comma 7 3 2 4 3 2" xfId="41094" xr:uid="{00000000-0005-0000-0000-000072410000}"/>
    <cellStyle name="Comma 7 3 2 4 3 2 2" xfId="43806" xr:uid="{00000000-0005-0000-0000-000073410000}"/>
    <cellStyle name="Comma 7 3 2 4 3 2 3" xfId="45717" xr:uid="{00000000-0005-0000-0000-000074410000}"/>
    <cellStyle name="Comma 7 3 2 4 3 3" xfId="39518" xr:uid="{00000000-0005-0000-0000-000075410000}"/>
    <cellStyle name="Comma 7 3 2 4 3 4" xfId="42478" xr:uid="{00000000-0005-0000-0000-000076410000}"/>
    <cellStyle name="Comma 7 3 2 4 3 5" xfId="45718" xr:uid="{00000000-0005-0000-0000-000077410000}"/>
    <cellStyle name="Comma 7 3 2 4 4" xfId="34828" xr:uid="{00000000-0005-0000-0000-000078410000}"/>
    <cellStyle name="Comma 7 3 2 4 4 2" xfId="40239" xr:uid="{00000000-0005-0000-0000-000079410000}"/>
    <cellStyle name="Comma 7 3 2 4 4 3" xfId="43088" xr:uid="{00000000-0005-0000-0000-00007A410000}"/>
    <cellStyle name="Comma 7 3 2 4 4 4" xfId="45719" xr:uid="{00000000-0005-0000-0000-00007B410000}"/>
    <cellStyle name="Comma 7 3 2 4 5" xfId="35651" xr:uid="{00000000-0005-0000-0000-00007C410000}"/>
    <cellStyle name="Comma 7 3 2 4 6" xfId="36930" xr:uid="{00000000-0005-0000-0000-00007D410000}"/>
    <cellStyle name="Comma 7 3 2 4 7" xfId="38720" xr:uid="{00000000-0005-0000-0000-00007E410000}"/>
    <cellStyle name="Comma 7 3 2 4 8" xfId="41760" xr:uid="{00000000-0005-0000-0000-00007F410000}"/>
    <cellStyle name="Comma 7 3 2 4 9" xfId="45720" xr:uid="{00000000-0005-0000-0000-000080410000}"/>
    <cellStyle name="Comma 7 3 2 5" xfId="5781" xr:uid="{00000000-0005-0000-0000-000081410000}"/>
    <cellStyle name="Comma 7 3 2 5 2" xfId="40104" xr:uid="{00000000-0005-0000-0000-000082410000}"/>
    <cellStyle name="Comma 7 3 2 5 2 2" xfId="42973" xr:uid="{00000000-0005-0000-0000-000083410000}"/>
    <cellStyle name="Comma 7 3 2 5 2 3" xfId="45721" xr:uid="{00000000-0005-0000-0000-000084410000}"/>
    <cellStyle name="Comma 7 3 2 5 3" xfId="38148" xr:uid="{00000000-0005-0000-0000-000085410000}"/>
    <cellStyle name="Comma 7 3 2 5 4" xfId="41645" xr:uid="{00000000-0005-0000-0000-000086410000}"/>
    <cellStyle name="Comma 7 3 2 5 5" xfId="45722" xr:uid="{00000000-0005-0000-0000-000087410000}"/>
    <cellStyle name="Comma 7 3 2 5 6" xfId="11786" xr:uid="{00000000-0005-0000-0000-000088410000}"/>
    <cellStyle name="Comma 7 3 2 6" xfId="6240" xr:uid="{00000000-0005-0000-0000-000089410000}"/>
    <cellStyle name="Comma 7 3 2 6 2" xfId="40524" xr:uid="{00000000-0005-0000-0000-00008A410000}"/>
    <cellStyle name="Comma 7 3 2 6 2 2" xfId="43325" xr:uid="{00000000-0005-0000-0000-00008B410000}"/>
    <cellStyle name="Comma 7 3 2 6 2 3" xfId="45723" xr:uid="{00000000-0005-0000-0000-00008C410000}"/>
    <cellStyle name="Comma 7 3 2 6 3" xfId="38966" xr:uid="{00000000-0005-0000-0000-00008D410000}"/>
    <cellStyle name="Comma 7 3 2 6 4" xfId="41997" xr:uid="{00000000-0005-0000-0000-00008E410000}"/>
    <cellStyle name="Comma 7 3 2 6 5" xfId="45724" xr:uid="{00000000-0005-0000-0000-00008F410000}"/>
    <cellStyle name="Comma 7 3 2 6 6" xfId="15821" xr:uid="{00000000-0005-0000-0000-000090410000}"/>
    <cellStyle name="Comma 7 3 2 7" xfId="30319" xr:uid="{00000000-0005-0000-0000-000091410000}"/>
    <cellStyle name="Comma 7 3 2 7 2" xfId="40956" xr:uid="{00000000-0005-0000-0000-000092410000}"/>
    <cellStyle name="Comma 7 3 2 7 2 2" xfId="43691" xr:uid="{00000000-0005-0000-0000-000093410000}"/>
    <cellStyle name="Comma 7 3 2 7 2 3" xfId="45725" xr:uid="{00000000-0005-0000-0000-000094410000}"/>
    <cellStyle name="Comma 7 3 2 7 3" xfId="39385" xr:uid="{00000000-0005-0000-0000-000095410000}"/>
    <cellStyle name="Comma 7 3 2 7 4" xfId="42363" xr:uid="{00000000-0005-0000-0000-000096410000}"/>
    <cellStyle name="Comma 7 3 2 7 5" xfId="45726" xr:uid="{00000000-0005-0000-0000-000097410000}"/>
    <cellStyle name="Comma 7 3 2 8" xfId="30560" xr:uid="{00000000-0005-0000-0000-000098410000}"/>
    <cellStyle name="Comma 7 3 2 8 2" xfId="39831" xr:uid="{00000000-0005-0000-0000-000099410000}"/>
    <cellStyle name="Comma 7 3 2 8 3" xfId="42739" xr:uid="{00000000-0005-0000-0000-00009A410000}"/>
    <cellStyle name="Comma 7 3 2 8 4" xfId="45727" xr:uid="{00000000-0005-0000-0000-00009B410000}"/>
    <cellStyle name="Comma 7 3 2 9" xfId="32142" xr:uid="{00000000-0005-0000-0000-00009C410000}"/>
    <cellStyle name="Comma 7 3 20" xfId="8116" xr:uid="{00000000-0005-0000-0000-00009D410000}"/>
    <cellStyle name="Comma 7 3 3" xfId="2818" xr:uid="{00000000-0005-0000-0000-00009E410000}"/>
    <cellStyle name="Comma 7 3 3 10" xfId="32787" xr:uid="{00000000-0005-0000-0000-00009F410000}"/>
    <cellStyle name="Comma 7 3 3 11" xfId="33999" xr:uid="{00000000-0005-0000-0000-0000A0410000}"/>
    <cellStyle name="Comma 7 3 3 12" xfId="34238" xr:uid="{00000000-0005-0000-0000-0000A1410000}"/>
    <cellStyle name="Comma 7 3 3 13" xfId="35380" xr:uid="{00000000-0005-0000-0000-0000A2410000}"/>
    <cellStyle name="Comma 7 3 3 14" xfId="36243" xr:uid="{00000000-0005-0000-0000-0000A3410000}"/>
    <cellStyle name="Comma 7 3 3 15" xfId="37465" xr:uid="{00000000-0005-0000-0000-0000A4410000}"/>
    <cellStyle name="Comma 7 3 3 16" xfId="41412" xr:uid="{00000000-0005-0000-0000-0000A5410000}"/>
    <cellStyle name="Comma 7 3 3 17" xfId="45728" xr:uid="{00000000-0005-0000-0000-0000A6410000}"/>
    <cellStyle name="Comma 7 3 3 18" xfId="8203" xr:uid="{00000000-0005-0000-0000-0000A7410000}"/>
    <cellStyle name="Comma 7 3 3 2" xfId="5129" xr:uid="{00000000-0005-0000-0000-0000A8410000}"/>
    <cellStyle name="Comma 7 3 3 2 10" xfId="34585" xr:uid="{00000000-0005-0000-0000-0000A9410000}"/>
    <cellStyle name="Comma 7 3 3 2 11" xfId="36084" xr:uid="{00000000-0005-0000-0000-0000AA410000}"/>
    <cellStyle name="Comma 7 3 3 2 12" xfId="36384" xr:uid="{00000000-0005-0000-0000-0000AB410000}"/>
    <cellStyle name="Comma 7 3 3 2 13" xfId="37539" xr:uid="{00000000-0005-0000-0000-0000AC410000}"/>
    <cellStyle name="Comma 7 3 3 2 14" xfId="41485" xr:uid="{00000000-0005-0000-0000-0000AD410000}"/>
    <cellStyle name="Comma 7 3 3 2 15" xfId="45729" xr:uid="{00000000-0005-0000-0000-0000AE410000}"/>
    <cellStyle name="Comma 7 3 3 2 16" xfId="8918" xr:uid="{00000000-0005-0000-0000-0000AF410000}"/>
    <cellStyle name="Comma 7 3 3 2 2" xfId="6098" xr:uid="{00000000-0005-0000-0000-0000B0410000}"/>
    <cellStyle name="Comma 7 3 3 2 2 2" xfId="31499" xr:uid="{00000000-0005-0000-0000-0000B1410000}"/>
    <cellStyle name="Comma 7 3 3 2 2 2 2" xfId="40412" xr:uid="{00000000-0005-0000-0000-0000B2410000}"/>
    <cellStyle name="Comma 7 3 3 2 2 2 3" xfId="43230" xr:uid="{00000000-0005-0000-0000-0000B3410000}"/>
    <cellStyle name="Comma 7 3 3 2 2 2 4" xfId="45730" xr:uid="{00000000-0005-0000-0000-0000B4410000}"/>
    <cellStyle name="Comma 7 3 3 2 2 3" xfId="33352" xr:uid="{00000000-0005-0000-0000-0000B5410000}"/>
    <cellStyle name="Comma 7 3 3 2 2 4" xfId="35176" xr:uid="{00000000-0005-0000-0000-0000B6410000}"/>
    <cellStyle name="Comma 7 3 3 2 2 5" xfId="37268" xr:uid="{00000000-0005-0000-0000-0000B7410000}"/>
    <cellStyle name="Comma 7 3 3 2 2 6" xfId="38863" xr:uid="{00000000-0005-0000-0000-0000B8410000}"/>
    <cellStyle name="Comma 7 3 3 2 2 7" xfId="41902" xr:uid="{00000000-0005-0000-0000-0000B9410000}"/>
    <cellStyle name="Comma 7 3 3 2 2 8" xfId="45731" xr:uid="{00000000-0005-0000-0000-0000BA410000}"/>
    <cellStyle name="Comma 7 3 3 2 2 9" xfId="12917" xr:uid="{00000000-0005-0000-0000-0000BB410000}"/>
    <cellStyle name="Comma 7 3 3 2 3" xfId="6418" xr:uid="{00000000-0005-0000-0000-0000BC410000}"/>
    <cellStyle name="Comma 7 3 3 2 3 2" xfId="40808" xr:uid="{00000000-0005-0000-0000-0000BD410000}"/>
    <cellStyle name="Comma 7 3 3 2 3 2 2" xfId="43563" xr:uid="{00000000-0005-0000-0000-0000BE410000}"/>
    <cellStyle name="Comma 7 3 3 2 3 2 3" xfId="45732" xr:uid="{00000000-0005-0000-0000-0000BF410000}"/>
    <cellStyle name="Comma 7 3 3 2 3 3" xfId="39245" xr:uid="{00000000-0005-0000-0000-0000C0410000}"/>
    <cellStyle name="Comma 7 3 3 2 3 4" xfId="42235" xr:uid="{00000000-0005-0000-0000-0000C1410000}"/>
    <cellStyle name="Comma 7 3 3 2 3 5" xfId="45733" xr:uid="{00000000-0005-0000-0000-0000C2410000}"/>
    <cellStyle name="Comma 7 3 3 2 3 6" xfId="12134" xr:uid="{00000000-0005-0000-0000-0000C3410000}"/>
    <cellStyle name="Comma 7 3 3 2 4" xfId="15825" xr:uid="{00000000-0005-0000-0000-0000C4410000}"/>
    <cellStyle name="Comma 7 3 3 2 4 2" xfId="41268" xr:uid="{00000000-0005-0000-0000-0000C5410000}"/>
    <cellStyle name="Comma 7 3 3 2 4 2 2" xfId="43948" xr:uid="{00000000-0005-0000-0000-0000C6410000}"/>
    <cellStyle name="Comma 7 3 3 2 4 2 3" xfId="45734" xr:uid="{00000000-0005-0000-0000-0000C7410000}"/>
    <cellStyle name="Comma 7 3 3 2 4 3" xfId="39685" xr:uid="{00000000-0005-0000-0000-0000C8410000}"/>
    <cellStyle name="Comma 7 3 3 2 4 4" xfId="42620" xr:uid="{00000000-0005-0000-0000-0000C9410000}"/>
    <cellStyle name="Comma 7 3 3 2 4 5" xfId="45735" xr:uid="{00000000-0005-0000-0000-0000CA410000}"/>
    <cellStyle name="Comma 7 3 3 2 5" xfId="30323" xr:uid="{00000000-0005-0000-0000-0000CB410000}"/>
    <cellStyle name="Comma 7 3 3 2 5 2" xfId="39914" xr:uid="{00000000-0005-0000-0000-0000CC410000}"/>
    <cellStyle name="Comma 7 3 3 2 5 3" xfId="42813" xr:uid="{00000000-0005-0000-0000-0000CD410000}"/>
    <cellStyle name="Comma 7 3 3 2 5 4" xfId="45736" xr:uid="{00000000-0005-0000-0000-0000CE410000}"/>
    <cellStyle name="Comma 7 3 3 2 6" xfId="30908" xr:uid="{00000000-0005-0000-0000-0000CF410000}"/>
    <cellStyle name="Comma 7 3 3 2 7" xfId="32146" xr:uid="{00000000-0005-0000-0000-0000D0410000}"/>
    <cellStyle name="Comma 7 3 3 2 8" xfId="32788" xr:uid="{00000000-0005-0000-0000-0000D1410000}"/>
    <cellStyle name="Comma 7 3 3 2 9" xfId="34000" xr:uid="{00000000-0005-0000-0000-0000D2410000}"/>
    <cellStyle name="Comma 7 3 3 3" xfId="4470" xr:uid="{00000000-0005-0000-0000-0000D3410000}"/>
    <cellStyle name="Comma 7 3 3 3 10" xfId="34661" xr:uid="{00000000-0005-0000-0000-0000D4410000}"/>
    <cellStyle name="Comma 7 3 3 3 11" xfId="35653" xr:uid="{00000000-0005-0000-0000-0000D5410000}"/>
    <cellStyle name="Comma 7 3 3 3 12" xfId="36783" xr:uid="{00000000-0005-0000-0000-0000D6410000}"/>
    <cellStyle name="Comma 7 3 3 3 13" xfId="38722" xr:uid="{00000000-0005-0000-0000-0000D7410000}"/>
    <cellStyle name="Comma 7 3 3 3 14" xfId="41762" xr:uid="{00000000-0005-0000-0000-0000D8410000}"/>
    <cellStyle name="Comma 7 3 3 3 15" xfId="45737" xr:uid="{00000000-0005-0000-0000-0000D9410000}"/>
    <cellStyle name="Comma 7 3 3 3 16" xfId="11547" xr:uid="{00000000-0005-0000-0000-0000DA410000}"/>
    <cellStyle name="Comma 7 3 3 3 2" xfId="5921" xr:uid="{00000000-0005-0000-0000-0000DB410000}"/>
    <cellStyle name="Comma 7 3 3 3 2 2" xfId="31575" xr:uid="{00000000-0005-0000-0000-0000DC410000}"/>
    <cellStyle name="Comma 7 3 3 3 2 2 2" xfId="41096" xr:uid="{00000000-0005-0000-0000-0000DD410000}"/>
    <cellStyle name="Comma 7 3 3 3 2 2 3" xfId="43808" xr:uid="{00000000-0005-0000-0000-0000DE410000}"/>
    <cellStyle name="Comma 7 3 3 3 2 2 4" xfId="45738" xr:uid="{00000000-0005-0000-0000-0000DF410000}"/>
    <cellStyle name="Comma 7 3 3 3 2 3" xfId="33428" xr:uid="{00000000-0005-0000-0000-0000E0410000}"/>
    <cellStyle name="Comma 7 3 3 3 2 4" xfId="35252" xr:uid="{00000000-0005-0000-0000-0000E1410000}"/>
    <cellStyle name="Comma 7 3 3 3 2 5" xfId="37331" xr:uid="{00000000-0005-0000-0000-0000E2410000}"/>
    <cellStyle name="Comma 7 3 3 3 2 6" xfId="39520" xr:uid="{00000000-0005-0000-0000-0000E3410000}"/>
    <cellStyle name="Comma 7 3 3 3 2 7" xfId="42480" xr:uid="{00000000-0005-0000-0000-0000E4410000}"/>
    <cellStyle name="Comma 7 3 3 3 2 8" xfId="45739" xr:uid="{00000000-0005-0000-0000-0000E5410000}"/>
    <cellStyle name="Comma 7 3 3 3 2 9" xfId="15168" xr:uid="{00000000-0005-0000-0000-0000E6410000}"/>
    <cellStyle name="Comma 7 3 3 3 3" xfId="12210" xr:uid="{00000000-0005-0000-0000-0000E7410000}"/>
    <cellStyle name="Comma 7 3 3 3 3 2" xfId="40241" xr:uid="{00000000-0005-0000-0000-0000E8410000}"/>
    <cellStyle name="Comma 7 3 3 3 3 3" xfId="43090" xr:uid="{00000000-0005-0000-0000-0000E9410000}"/>
    <cellStyle name="Comma 7 3 3 3 3 4" xfId="45740" xr:uid="{00000000-0005-0000-0000-0000EA410000}"/>
    <cellStyle name="Comma 7 3 3 3 4" xfId="15826" xr:uid="{00000000-0005-0000-0000-0000EB410000}"/>
    <cellStyle name="Comma 7 3 3 3 5" xfId="30324" xr:uid="{00000000-0005-0000-0000-0000EC410000}"/>
    <cellStyle name="Comma 7 3 3 3 6" xfId="30984" xr:uid="{00000000-0005-0000-0000-0000ED410000}"/>
    <cellStyle name="Comma 7 3 3 3 7" xfId="32147" xr:uid="{00000000-0005-0000-0000-0000EE410000}"/>
    <cellStyle name="Comma 7 3 3 3 8" xfId="32789" xr:uid="{00000000-0005-0000-0000-0000EF410000}"/>
    <cellStyle name="Comma 7 3 3 3 9" xfId="34001" xr:uid="{00000000-0005-0000-0000-0000F0410000}"/>
    <cellStyle name="Comma 7 3 3 4" xfId="5783" xr:uid="{00000000-0005-0000-0000-0000F1410000}"/>
    <cellStyle name="Comma 7 3 3 4 2" xfId="31152" xr:uid="{00000000-0005-0000-0000-0000F2410000}"/>
    <cellStyle name="Comma 7 3 3 4 2 2" xfId="40106" xr:uid="{00000000-0005-0000-0000-0000F3410000}"/>
    <cellStyle name="Comma 7 3 3 4 2 3" xfId="42975" xr:uid="{00000000-0005-0000-0000-0000F4410000}"/>
    <cellStyle name="Comma 7 3 3 4 2 4" xfId="45741" xr:uid="{00000000-0005-0000-0000-0000F5410000}"/>
    <cellStyle name="Comma 7 3 3 4 3" xfId="33010" xr:uid="{00000000-0005-0000-0000-0000F6410000}"/>
    <cellStyle name="Comma 7 3 3 4 4" xfId="34829" xr:uid="{00000000-0005-0000-0000-0000F7410000}"/>
    <cellStyle name="Comma 7 3 3 4 5" xfId="36931" xr:uid="{00000000-0005-0000-0000-0000F8410000}"/>
    <cellStyle name="Comma 7 3 3 4 6" xfId="38150" xr:uid="{00000000-0005-0000-0000-0000F9410000}"/>
    <cellStyle name="Comma 7 3 3 4 7" xfId="41647" xr:uid="{00000000-0005-0000-0000-0000FA410000}"/>
    <cellStyle name="Comma 7 3 3 4 8" xfId="45742" xr:uid="{00000000-0005-0000-0000-0000FB410000}"/>
    <cellStyle name="Comma 7 3 3 4 9" xfId="12444" xr:uid="{00000000-0005-0000-0000-0000FC410000}"/>
    <cellStyle name="Comma 7 3 3 5" xfId="6242" xr:uid="{00000000-0005-0000-0000-0000FD410000}"/>
    <cellStyle name="Comma 7 3 3 5 2" xfId="40651" xr:uid="{00000000-0005-0000-0000-0000FE410000}"/>
    <cellStyle name="Comma 7 3 3 5 2 2" xfId="43437" xr:uid="{00000000-0005-0000-0000-0000FF410000}"/>
    <cellStyle name="Comma 7 3 3 5 2 3" xfId="45743" xr:uid="{00000000-0005-0000-0000-000000420000}"/>
    <cellStyle name="Comma 7 3 3 5 3" xfId="39083" xr:uid="{00000000-0005-0000-0000-000001420000}"/>
    <cellStyle name="Comma 7 3 3 5 4" xfId="42109" xr:uid="{00000000-0005-0000-0000-000002420000}"/>
    <cellStyle name="Comma 7 3 3 5 5" xfId="45744" xr:uid="{00000000-0005-0000-0000-000003420000}"/>
    <cellStyle name="Comma 7 3 3 5 6" xfId="11787" xr:uid="{00000000-0005-0000-0000-000004420000}"/>
    <cellStyle name="Comma 7 3 3 6" xfId="15824" xr:uid="{00000000-0005-0000-0000-000005420000}"/>
    <cellStyle name="Comma 7 3 3 6 2" xfId="40958" xr:uid="{00000000-0005-0000-0000-000006420000}"/>
    <cellStyle name="Comma 7 3 3 6 2 2" xfId="43693" xr:uid="{00000000-0005-0000-0000-000007420000}"/>
    <cellStyle name="Comma 7 3 3 6 2 3" xfId="45745" xr:uid="{00000000-0005-0000-0000-000008420000}"/>
    <cellStyle name="Comma 7 3 3 6 3" xfId="39387" xr:uid="{00000000-0005-0000-0000-000009420000}"/>
    <cellStyle name="Comma 7 3 3 6 4" xfId="42365" xr:uid="{00000000-0005-0000-0000-00000A420000}"/>
    <cellStyle name="Comma 7 3 3 6 5" xfId="45746" xr:uid="{00000000-0005-0000-0000-00000B420000}"/>
    <cellStyle name="Comma 7 3 3 7" xfId="30322" xr:uid="{00000000-0005-0000-0000-00000C420000}"/>
    <cellStyle name="Comma 7 3 3 7 2" xfId="39832" xr:uid="{00000000-0005-0000-0000-00000D420000}"/>
    <cellStyle name="Comma 7 3 3 7 3" xfId="42740" xr:uid="{00000000-0005-0000-0000-00000E420000}"/>
    <cellStyle name="Comma 7 3 3 7 4" xfId="45747" xr:uid="{00000000-0005-0000-0000-00000F420000}"/>
    <cellStyle name="Comma 7 3 3 8" xfId="30561" xr:uid="{00000000-0005-0000-0000-000010420000}"/>
    <cellStyle name="Comma 7 3 3 9" xfId="32145" xr:uid="{00000000-0005-0000-0000-000011420000}"/>
    <cellStyle name="Comma 7 3 4" xfId="2819" xr:uid="{00000000-0005-0000-0000-000012420000}"/>
    <cellStyle name="Comma 7 3 4 10" xfId="34583" xr:uid="{00000000-0005-0000-0000-000013420000}"/>
    <cellStyle name="Comma 7 3 4 11" xfId="35381" xr:uid="{00000000-0005-0000-0000-000014420000}"/>
    <cellStyle name="Comma 7 3 4 12" xfId="36244" xr:uid="{00000000-0005-0000-0000-000015420000}"/>
    <cellStyle name="Comma 7 3 4 13" xfId="37463" xr:uid="{00000000-0005-0000-0000-000016420000}"/>
    <cellStyle name="Comma 7 3 4 14" xfId="41410" xr:uid="{00000000-0005-0000-0000-000017420000}"/>
    <cellStyle name="Comma 7 3 4 15" xfId="45748" xr:uid="{00000000-0005-0000-0000-000018420000}"/>
    <cellStyle name="Comma 7 3 4 16" xfId="8916" xr:uid="{00000000-0005-0000-0000-000019420000}"/>
    <cellStyle name="Comma 7 3 4 2" xfId="5130" xr:uid="{00000000-0005-0000-0000-00001A420000}"/>
    <cellStyle name="Comma 7 3 4 2 10" xfId="12915" xr:uid="{00000000-0005-0000-0000-00001B420000}"/>
    <cellStyle name="Comma 7 3 4 2 2" xfId="6099" xr:uid="{00000000-0005-0000-0000-00001C420000}"/>
    <cellStyle name="Comma 7 3 4 2 2 2" xfId="40413" xr:uid="{00000000-0005-0000-0000-00001D420000}"/>
    <cellStyle name="Comma 7 3 4 2 2 2 2" xfId="43231" xr:uid="{00000000-0005-0000-0000-00001E420000}"/>
    <cellStyle name="Comma 7 3 4 2 2 2 3" xfId="45749" xr:uid="{00000000-0005-0000-0000-00001F420000}"/>
    <cellStyle name="Comma 7 3 4 2 2 3" xfId="38864" xr:uid="{00000000-0005-0000-0000-000020420000}"/>
    <cellStyle name="Comma 7 3 4 2 2 4" xfId="41903" xr:uid="{00000000-0005-0000-0000-000021420000}"/>
    <cellStyle name="Comma 7 3 4 2 2 5" xfId="45750" xr:uid="{00000000-0005-0000-0000-000022420000}"/>
    <cellStyle name="Comma 7 3 4 2 2 6" xfId="31497" xr:uid="{00000000-0005-0000-0000-000023420000}"/>
    <cellStyle name="Comma 7 3 4 2 3" xfId="6419" xr:uid="{00000000-0005-0000-0000-000024420000}"/>
    <cellStyle name="Comma 7 3 4 2 3 2" xfId="40809" xr:uid="{00000000-0005-0000-0000-000025420000}"/>
    <cellStyle name="Comma 7 3 4 2 3 2 2" xfId="43564" xr:uid="{00000000-0005-0000-0000-000026420000}"/>
    <cellStyle name="Comma 7 3 4 2 3 2 3" xfId="45751" xr:uid="{00000000-0005-0000-0000-000027420000}"/>
    <cellStyle name="Comma 7 3 4 2 3 3" xfId="39246" xr:uid="{00000000-0005-0000-0000-000028420000}"/>
    <cellStyle name="Comma 7 3 4 2 3 4" xfId="42236" xr:uid="{00000000-0005-0000-0000-000029420000}"/>
    <cellStyle name="Comma 7 3 4 2 3 5" xfId="45752" xr:uid="{00000000-0005-0000-0000-00002A420000}"/>
    <cellStyle name="Comma 7 3 4 2 3 6" xfId="33350" xr:uid="{00000000-0005-0000-0000-00002B420000}"/>
    <cellStyle name="Comma 7 3 4 2 4" xfId="35174" xr:uid="{00000000-0005-0000-0000-00002C420000}"/>
    <cellStyle name="Comma 7 3 4 2 4 2" xfId="41269" xr:uid="{00000000-0005-0000-0000-00002D420000}"/>
    <cellStyle name="Comma 7 3 4 2 4 2 2" xfId="43949" xr:uid="{00000000-0005-0000-0000-00002E420000}"/>
    <cellStyle name="Comma 7 3 4 2 4 2 3" xfId="45753" xr:uid="{00000000-0005-0000-0000-00002F420000}"/>
    <cellStyle name="Comma 7 3 4 2 4 3" xfId="39686" xr:uid="{00000000-0005-0000-0000-000030420000}"/>
    <cellStyle name="Comma 7 3 4 2 4 4" xfId="42621" xr:uid="{00000000-0005-0000-0000-000031420000}"/>
    <cellStyle name="Comma 7 3 4 2 4 5" xfId="45754" xr:uid="{00000000-0005-0000-0000-000032420000}"/>
    <cellStyle name="Comma 7 3 4 2 5" xfId="36085" xr:uid="{00000000-0005-0000-0000-000033420000}"/>
    <cellStyle name="Comma 7 3 4 2 5 2" xfId="39968" xr:uid="{00000000-0005-0000-0000-000034420000}"/>
    <cellStyle name="Comma 7 3 4 2 5 3" xfId="42856" xr:uid="{00000000-0005-0000-0000-000035420000}"/>
    <cellStyle name="Comma 7 3 4 2 5 4" xfId="45755" xr:uid="{00000000-0005-0000-0000-000036420000}"/>
    <cellStyle name="Comma 7 3 4 2 6" xfId="36385" xr:uid="{00000000-0005-0000-0000-000037420000}"/>
    <cellStyle name="Comma 7 3 4 2 7" xfId="37582" xr:uid="{00000000-0005-0000-0000-000038420000}"/>
    <cellStyle name="Comma 7 3 4 2 8" xfId="41528" xr:uid="{00000000-0005-0000-0000-000039420000}"/>
    <cellStyle name="Comma 7 3 4 2 9" xfId="45756" xr:uid="{00000000-0005-0000-0000-00003A420000}"/>
    <cellStyle name="Comma 7 3 4 3" xfId="4471" xr:uid="{00000000-0005-0000-0000-00003B420000}"/>
    <cellStyle name="Comma 7 3 4 3 2" xfId="5922" xr:uid="{00000000-0005-0000-0000-00003C420000}"/>
    <cellStyle name="Comma 7 3 4 3 2 2" xfId="41097" xr:uid="{00000000-0005-0000-0000-00003D420000}"/>
    <cellStyle name="Comma 7 3 4 3 2 2 2" xfId="43809" xr:uid="{00000000-0005-0000-0000-00003E420000}"/>
    <cellStyle name="Comma 7 3 4 3 2 2 3" xfId="45757" xr:uid="{00000000-0005-0000-0000-00003F420000}"/>
    <cellStyle name="Comma 7 3 4 3 2 3" xfId="39521" xr:uid="{00000000-0005-0000-0000-000040420000}"/>
    <cellStyle name="Comma 7 3 4 3 2 4" xfId="42481" xr:uid="{00000000-0005-0000-0000-000041420000}"/>
    <cellStyle name="Comma 7 3 4 3 2 5" xfId="45758" xr:uid="{00000000-0005-0000-0000-000042420000}"/>
    <cellStyle name="Comma 7 3 4 3 2 6" xfId="35654" xr:uid="{00000000-0005-0000-0000-000043420000}"/>
    <cellStyle name="Comma 7 3 4 3 3" xfId="40242" xr:uid="{00000000-0005-0000-0000-000044420000}"/>
    <cellStyle name="Comma 7 3 4 3 3 2" xfId="43091" xr:uid="{00000000-0005-0000-0000-000045420000}"/>
    <cellStyle name="Comma 7 3 4 3 3 3" xfId="45759" xr:uid="{00000000-0005-0000-0000-000046420000}"/>
    <cellStyle name="Comma 7 3 4 3 4" xfId="38723" xr:uid="{00000000-0005-0000-0000-000047420000}"/>
    <cellStyle name="Comma 7 3 4 3 5" xfId="41763" xr:uid="{00000000-0005-0000-0000-000048420000}"/>
    <cellStyle name="Comma 7 3 4 3 6" xfId="45760" xr:uid="{00000000-0005-0000-0000-000049420000}"/>
    <cellStyle name="Comma 7 3 4 3 7" xfId="12132" xr:uid="{00000000-0005-0000-0000-00004A420000}"/>
    <cellStyle name="Comma 7 3 4 4" xfId="5784" xr:uid="{00000000-0005-0000-0000-00004B420000}"/>
    <cellStyle name="Comma 7 3 4 4 2" xfId="40107" xr:uid="{00000000-0005-0000-0000-00004C420000}"/>
    <cellStyle name="Comma 7 3 4 4 2 2" xfId="42976" xr:uid="{00000000-0005-0000-0000-00004D420000}"/>
    <cellStyle name="Comma 7 3 4 4 2 3" xfId="45761" xr:uid="{00000000-0005-0000-0000-00004E420000}"/>
    <cellStyle name="Comma 7 3 4 4 3" xfId="38151" xr:uid="{00000000-0005-0000-0000-00004F420000}"/>
    <cellStyle name="Comma 7 3 4 4 4" xfId="41648" xr:uid="{00000000-0005-0000-0000-000050420000}"/>
    <cellStyle name="Comma 7 3 4 4 5" xfId="45762" xr:uid="{00000000-0005-0000-0000-000051420000}"/>
    <cellStyle name="Comma 7 3 4 4 6" xfId="15827" xr:uid="{00000000-0005-0000-0000-000052420000}"/>
    <cellStyle name="Comma 7 3 4 5" xfId="6243" xr:uid="{00000000-0005-0000-0000-000053420000}"/>
    <cellStyle name="Comma 7 3 4 5 2" xfId="40652" xr:uid="{00000000-0005-0000-0000-000054420000}"/>
    <cellStyle name="Comma 7 3 4 5 2 2" xfId="43438" xr:uid="{00000000-0005-0000-0000-000055420000}"/>
    <cellStyle name="Comma 7 3 4 5 2 3" xfId="45763" xr:uid="{00000000-0005-0000-0000-000056420000}"/>
    <cellStyle name="Comma 7 3 4 5 3" xfId="39084" xr:uid="{00000000-0005-0000-0000-000057420000}"/>
    <cellStyle name="Comma 7 3 4 5 4" xfId="42110" xr:uid="{00000000-0005-0000-0000-000058420000}"/>
    <cellStyle name="Comma 7 3 4 5 5" xfId="45764" xr:uid="{00000000-0005-0000-0000-000059420000}"/>
    <cellStyle name="Comma 7 3 4 5 6" xfId="30325" xr:uid="{00000000-0005-0000-0000-00005A420000}"/>
    <cellStyle name="Comma 7 3 4 6" xfId="30906" xr:uid="{00000000-0005-0000-0000-00005B420000}"/>
    <cellStyle name="Comma 7 3 4 6 2" xfId="40959" xr:uid="{00000000-0005-0000-0000-00005C420000}"/>
    <cellStyle name="Comma 7 3 4 6 2 2" xfId="43694" xr:uid="{00000000-0005-0000-0000-00005D420000}"/>
    <cellStyle name="Comma 7 3 4 6 2 3" xfId="45765" xr:uid="{00000000-0005-0000-0000-00005E420000}"/>
    <cellStyle name="Comma 7 3 4 6 3" xfId="39388" xr:uid="{00000000-0005-0000-0000-00005F420000}"/>
    <cellStyle name="Comma 7 3 4 6 4" xfId="42366" xr:uid="{00000000-0005-0000-0000-000060420000}"/>
    <cellStyle name="Comma 7 3 4 6 5" xfId="45766" xr:uid="{00000000-0005-0000-0000-000061420000}"/>
    <cellStyle name="Comma 7 3 4 7" xfId="32148" xr:uid="{00000000-0005-0000-0000-000062420000}"/>
    <cellStyle name="Comma 7 3 4 7 2" xfId="39830" xr:uid="{00000000-0005-0000-0000-000063420000}"/>
    <cellStyle name="Comma 7 3 4 7 3" xfId="42738" xr:uid="{00000000-0005-0000-0000-000064420000}"/>
    <cellStyle name="Comma 7 3 4 7 4" xfId="45767" xr:uid="{00000000-0005-0000-0000-000065420000}"/>
    <cellStyle name="Comma 7 3 4 8" xfId="32790" xr:uid="{00000000-0005-0000-0000-000066420000}"/>
    <cellStyle name="Comma 7 3 4 9" xfId="34002" xr:uid="{00000000-0005-0000-0000-000067420000}"/>
    <cellStyle name="Comma 7 3 5" xfId="2815" xr:uid="{00000000-0005-0000-0000-000068420000}"/>
    <cellStyle name="Comma 7 3 5 10" xfId="34659" xr:uid="{00000000-0005-0000-0000-000069420000}"/>
    <cellStyle name="Comma 7 3 5 11" xfId="35377" xr:uid="{00000000-0005-0000-0000-00006A420000}"/>
    <cellStyle name="Comma 7 3 5 12" xfId="36381" xr:uid="{00000000-0005-0000-0000-00006B420000}"/>
    <cellStyle name="Comma 7 3 5 13" xfId="37537" xr:uid="{00000000-0005-0000-0000-00006C420000}"/>
    <cellStyle name="Comma 7 3 5 14" xfId="41483" xr:uid="{00000000-0005-0000-0000-00006D420000}"/>
    <cellStyle name="Comma 7 3 5 15" xfId="45768" xr:uid="{00000000-0005-0000-0000-00006E420000}"/>
    <cellStyle name="Comma 7 3 5 16" xfId="11545" xr:uid="{00000000-0005-0000-0000-00006F420000}"/>
    <cellStyle name="Comma 7 3 5 2" xfId="5126" xr:uid="{00000000-0005-0000-0000-000070420000}"/>
    <cellStyle name="Comma 7 3 5 2 10" xfId="15166" xr:uid="{00000000-0005-0000-0000-000071420000}"/>
    <cellStyle name="Comma 7 3 5 2 2" xfId="6095" xr:uid="{00000000-0005-0000-0000-000072420000}"/>
    <cellStyle name="Comma 7 3 5 2 2 2" xfId="41265" xr:uid="{00000000-0005-0000-0000-000073420000}"/>
    <cellStyle name="Comma 7 3 5 2 2 2 2" xfId="43945" xr:uid="{00000000-0005-0000-0000-000074420000}"/>
    <cellStyle name="Comma 7 3 5 2 2 2 3" xfId="45769" xr:uid="{00000000-0005-0000-0000-000075420000}"/>
    <cellStyle name="Comma 7 3 5 2 2 3" xfId="39682" xr:uid="{00000000-0005-0000-0000-000076420000}"/>
    <cellStyle name="Comma 7 3 5 2 2 4" xfId="42617" xr:uid="{00000000-0005-0000-0000-000077420000}"/>
    <cellStyle name="Comma 7 3 5 2 2 5" xfId="45770" xr:uid="{00000000-0005-0000-0000-000078420000}"/>
    <cellStyle name="Comma 7 3 5 2 2 6" xfId="31573" xr:uid="{00000000-0005-0000-0000-000079420000}"/>
    <cellStyle name="Comma 7 3 5 2 3" xfId="33426" xr:uid="{00000000-0005-0000-0000-00007A420000}"/>
    <cellStyle name="Comma 7 3 5 2 3 2" xfId="40409" xr:uid="{00000000-0005-0000-0000-00007B420000}"/>
    <cellStyle name="Comma 7 3 5 2 3 3" xfId="43227" xr:uid="{00000000-0005-0000-0000-00007C420000}"/>
    <cellStyle name="Comma 7 3 5 2 3 4" xfId="45771" xr:uid="{00000000-0005-0000-0000-00007D420000}"/>
    <cellStyle name="Comma 7 3 5 2 4" xfId="35250" xr:uid="{00000000-0005-0000-0000-00007E420000}"/>
    <cellStyle name="Comma 7 3 5 2 5" xfId="36081" xr:uid="{00000000-0005-0000-0000-00007F420000}"/>
    <cellStyle name="Comma 7 3 5 2 6" xfId="37329" xr:uid="{00000000-0005-0000-0000-000080420000}"/>
    <cellStyle name="Comma 7 3 5 2 7" xfId="38860" xr:uid="{00000000-0005-0000-0000-000081420000}"/>
    <cellStyle name="Comma 7 3 5 2 8" xfId="41899" xr:uid="{00000000-0005-0000-0000-000082420000}"/>
    <cellStyle name="Comma 7 3 5 2 9" xfId="45772" xr:uid="{00000000-0005-0000-0000-000083420000}"/>
    <cellStyle name="Comma 7 3 5 3" xfId="5780" xr:uid="{00000000-0005-0000-0000-000084420000}"/>
    <cellStyle name="Comma 7 3 5 3 2" xfId="40103" xr:uid="{00000000-0005-0000-0000-000085420000}"/>
    <cellStyle name="Comma 7 3 5 3 2 2" xfId="42972" xr:uid="{00000000-0005-0000-0000-000086420000}"/>
    <cellStyle name="Comma 7 3 5 3 2 3" xfId="45773" xr:uid="{00000000-0005-0000-0000-000087420000}"/>
    <cellStyle name="Comma 7 3 5 3 3" xfId="38147" xr:uid="{00000000-0005-0000-0000-000088420000}"/>
    <cellStyle name="Comma 7 3 5 3 4" xfId="41644" xr:uid="{00000000-0005-0000-0000-000089420000}"/>
    <cellStyle name="Comma 7 3 5 3 5" xfId="45774" xr:uid="{00000000-0005-0000-0000-00008A420000}"/>
    <cellStyle name="Comma 7 3 5 3 6" xfId="12208" xr:uid="{00000000-0005-0000-0000-00008B420000}"/>
    <cellStyle name="Comma 7 3 5 4" xfId="6415" xr:uid="{00000000-0005-0000-0000-00008C420000}"/>
    <cellStyle name="Comma 7 3 5 4 2" xfId="40648" xr:uid="{00000000-0005-0000-0000-00008D420000}"/>
    <cellStyle name="Comma 7 3 5 4 2 2" xfId="43434" xr:uid="{00000000-0005-0000-0000-00008E420000}"/>
    <cellStyle name="Comma 7 3 5 4 2 3" xfId="45775" xr:uid="{00000000-0005-0000-0000-00008F420000}"/>
    <cellStyle name="Comma 7 3 5 4 3" xfId="39080" xr:uid="{00000000-0005-0000-0000-000090420000}"/>
    <cellStyle name="Comma 7 3 5 4 4" xfId="42106" xr:uid="{00000000-0005-0000-0000-000091420000}"/>
    <cellStyle name="Comma 7 3 5 4 5" xfId="45776" xr:uid="{00000000-0005-0000-0000-000092420000}"/>
    <cellStyle name="Comma 7 3 5 4 6" xfId="15828" xr:uid="{00000000-0005-0000-0000-000093420000}"/>
    <cellStyle name="Comma 7 3 5 5" xfId="30326" xr:uid="{00000000-0005-0000-0000-000094420000}"/>
    <cellStyle name="Comma 7 3 5 5 2" xfId="40955" xr:uid="{00000000-0005-0000-0000-000095420000}"/>
    <cellStyle name="Comma 7 3 5 5 2 2" xfId="43690" xr:uid="{00000000-0005-0000-0000-000096420000}"/>
    <cellStyle name="Comma 7 3 5 5 2 3" xfId="45777" xr:uid="{00000000-0005-0000-0000-000097420000}"/>
    <cellStyle name="Comma 7 3 5 5 3" xfId="39384" xr:uid="{00000000-0005-0000-0000-000098420000}"/>
    <cellStyle name="Comma 7 3 5 5 4" xfId="42362" xr:uid="{00000000-0005-0000-0000-000099420000}"/>
    <cellStyle name="Comma 7 3 5 5 5" xfId="45778" xr:uid="{00000000-0005-0000-0000-00009A420000}"/>
    <cellStyle name="Comma 7 3 5 6" xfId="30982" xr:uid="{00000000-0005-0000-0000-00009B420000}"/>
    <cellStyle name="Comma 7 3 5 6 2" xfId="39912" xr:uid="{00000000-0005-0000-0000-00009C420000}"/>
    <cellStyle name="Comma 7 3 5 6 3" xfId="42811" xr:uid="{00000000-0005-0000-0000-00009D420000}"/>
    <cellStyle name="Comma 7 3 5 6 4" xfId="45779" xr:uid="{00000000-0005-0000-0000-00009E420000}"/>
    <cellStyle name="Comma 7 3 5 7" xfId="32149" xr:uid="{00000000-0005-0000-0000-00009F420000}"/>
    <cellStyle name="Comma 7 3 5 8" xfId="32791" xr:uid="{00000000-0005-0000-0000-0000A0420000}"/>
    <cellStyle name="Comma 7 3 5 9" xfId="34003" xr:uid="{00000000-0005-0000-0000-0000A1420000}"/>
    <cellStyle name="Comma 7 3 6" xfId="4552" xr:uid="{00000000-0005-0000-0000-0000A2420000}"/>
    <cellStyle name="Comma 7 3 6 10" xfId="36300" xr:uid="{00000000-0005-0000-0000-0000A3420000}"/>
    <cellStyle name="Comma 7 3 6 11" xfId="38778" xr:uid="{00000000-0005-0000-0000-0000A4420000}"/>
    <cellStyle name="Comma 7 3 6 12" xfId="41818" xr:uid="{00000000-0005-0000-0000-0000A5420000}"/>
    <cellStyle name="Comma 7 3 6 13" xfId="45780" xr:uid="{00000000-0005-0000-0000-0000A6420000}"/>
    <cellStyle name="Comma 7 3 6 14" xfId="12428" xr:uid="{00000000-0005-0000-0000-0000A7420000}"/>
    <cellStyle name="Comma 7 3 6 2" xfId="6001" xr:uid="{00000000-0005-0000-0000-0000A8420000}"/>
    <cellStyle name="Comma 7 3 6 2 2" xfId="40559" xr:uid="{00000000-0005-0000-0000-0000A9420000}"/>
    <cellStyle name="Comma 7 3 6 2 2 2" xfId="43353" xr:uid="{00000000-0005-0000-0000-0000AA420000}"/>
    <cellStyle name="Comma 7 3 6 2 2 3" xfId="45781" xr:uid="{00000000-0005-0000-0000-0000AB420000}"/>
    <cellStyle name="Comma 7 3 6 2 3" xfId="38996" xr:uid="{00000000-0005-0000-0000-0000AC420000}"/>
    <cellStyle name="Comma 7 3 6 2 4" xfId="42025" xr:uid="{00000000-0005-0000-0000-0000AD420000}"/>
    <cellStyle name="Comma 7 3 6 2 5" xfId="45782" xr:uid="{00000000-0005-0000-0000-0000AE420000}"/>
    <cellStyle name="Comma 7 3 6 2 6" xfId="15829" xr:uid="{00000000-0005-0000-0000-0000AF420000}"/>
    <cellStyle name="Comma 7 3 6 3" xfId="6322" xr:uid="{00000000-0005-0000-0000-0000B0420000}"/>
    <cellStyle name="Comma 7 3 6 3 2" xfId="41174" xr:uid="{00000000-0005-0000-0000-0000B1420000}"/>
    <cellStyle name="Comma 7 3 6 3 2 2" xfId="43864" xr:uid="{00000000-0005-0000-0000-0000B2420000}"/>
    <cellStyle name="Comma 7 3 6 3 2 3" xfId="45783" xr:uid="{00000000-0005-0000-0000-0000B3420000}"/>
    <cellStyle name="Comma 7 3 6 3 3" xfId="39593" xr:uid="{00000000-0005-0000-0000-0000B4420000}"/>
    <cellStyle name="Comma 7 3 6 3 4" xfId="42536" xr:uid="{00000000-0005-0000-0000-0000B5420000}"/>
    <cellStyle name="Comma 7 3 6 3 5" xfId="45784" xr:uid="{00000000-0005-0000-0000-0000B6420000}"/>
    <cellStyle name="Comma 7 3 6 3 6" xfId="30327" xr:uid="{00000000-0005-0000-0000-0000B7420000}"/>
    <cellStyle name="Comma 7 3 6 4" xfId="31139" xr:uid="{00000000-0005-0000-0000-0000B8420000}"/>
    <cellStyle name="Comma 7 3 6 4 2" xfId="40319" xr:uid="{00000000-0005-0000-0000-0000B9420000}"/>
    <cellStyle name="Comma 7 3 6 4 3" xfId="43146" xr:uid="{00000000-0005-0000-0000-0000BA420000}"/>
    <cellStyle name="Comma 7 3 6 4 4" xfId="45785" xr:uid="{00000000-0005-0000-0000-0000BB420000}"/>
    <cellStyle name="Comma 7 3 6 5" xfId="32150" xr:uid="{00000000-0005-0000-0000-0000BC420000}"/>
    <cellStyle name="Comma 7 3 6 6" xfId="32792" xr:uid="{00000000-0005-0000-0000-0000BD420000}"/>
    <cellStyle name="Comma 7 3 6 7" xfId="34004" xr:uid="{00000000-0005-0000-0000-0000BE420000}"/>
    <cellStyle name="Comma 7 3 6 8" xfId="34816" xr:uid="{00000000-0005-0000-0000-0000BF420000}"/>
    <cellStyle name="Comma 7 3 6 9" xfId="35713" xr:uid="{00000000-0005-0000-0000-0000C0420000}"/>
    <cellStyle name="Comma 7 3 7" xfId="4467" xr:uid="{00000000-0005-0000-0000-0000C1420000}"/>
    <cellStyle name="Comma 7 3 7 2" xfId="5918" xr:uid="{00000000-0005-0000-0000-0000C2420000}"/>
    <cellStyle name="Comma 7 3 7 2 2" xfId="40767" xr:uid="{00000000-0005-0000-0000-0000C3420000}"/>
    <cellStyle name="Comma 7 3 7 2 2 2" xfId="43530" xr:uid="{00000000-0005-0000-0000-0000C4420000}"/>
    <cellStyle name="Comma 7 3 7 2 2 3" xfId="45786" xr:uid="{00000000-0005-0000-0000-0000C5420000}"/>
    <cellStyle name="Comma 7 3 7 2 3" xfId="39194" xr:uid="{00000000-0005-0000-0000-0000C6420000}"/>
    <cellStyle name="Comma 7 3 7 2 4" xfId="42202" xr:uid="{00000000-0005-0000-0000-0000C7420000}"/>
    <cellStyle name="Comma 7 3 7 2 5" xfId="45787" xr:uid="{00000000-0005-0000-0000-0000C8420000}"/>
    <cellStyle name="Comma 7 3 7 2 6" xfId="35650" xr:uid="{00000000-0005-0000-0000-0000C9420000}"/>
    <cellStyle name="Comma 7 3 7 3" xfId="39517" xr:uid="{00000000-0005-0000-0000-0000CA420000}"/>
    <cellStyle name="Comma 7 3 7 3 2" xfId="41093" xr:uid="{00000000-0005-0000-0000-0000CB420000}"/>
    <cellStyle name="Comma 7 3 7 3 2 2" xfId="43805" xr:uid="{00000000-0005-0000-0000-0000CC420000}"/>
    <cellStyle name="Comma 7 3 7 3 2 3" xfId="45788" xr:uid="{00000000-0005-0000-0000-0000CD420000}"/>
    <cellStyle name="Comma 7 3 7 3 3" xfId="42477" xr:uid="{00000000-0005-0000-0000-0000CE420000}"/>
    <cellStyle name="Comma 7 3 7 3 4" xfId="45789" xr:uid="{00000000-0005-0000-0000-0000CF420000}"/>
    <cellStyle name="Comma 7 3 7 4" xfId="40238" xr:uid="{00000000-0005-0000-0000-0000D0420000}"/>
    <cellStyle name="Comma 7 3 7 4 2" xfId="43087" xr:uid="{00000000-0005-0000-0000-0000D1420000}"/>
    <cellStyle name="Comma 7 3 7 4 3" xfId="45790" xr:uid="{00000000-0005-0000-0000-0000D2420000}"/>
    <cellStyle name="Comma 7 3 7 5" xfId="38719" xr:uid="{00000000-0005-0000-0000-0000D3420000}"/>
    <cellStyle name="Comma 7 3 7 6" xfId="41759" xr:uid="{00000000-0005-0000-0000-0000D4420000}"/>
    <cellStyle name="Comma 7 3 7 7" xfId="45791" xr:uid="{00000000-0005-0000-0000-0000D5420000}"/>
    <cellStyle name="Comma 7 3 7 8" xfId="11774" xr:uid="{00000000-0005-0000-0000-0000D6420000}"/>
    <cellStyle name="Comma 7 3 8" xfId="5680" xr:uid="{00000000-0005-0000-0000-0000D7420000}"/>
    <cellStyle name="Comma 7 3 8 2" xfId="40014" xr:uid="{00000000-0005-0000-0000-0000D8420000}"/>
    <cellStyle name="Comma 7 3 8 2 2" xfId="42891" xr:uid="{00000000-0005-0000-0000-0000D9420000}"/>
    <cellStyle name="Comma 7 3 8 2 3" xfId="45792" xr:uid="{00000000-0005-0000-0000-0000DA420000}"/>
    <cellStyle name="Comma 7 3 8 3" xfId="37623" xr:uid="{00000000-0005-0000-0000-0000DB420000}"/>
    <cellStyle name="Comma 7 3 8 4" xfId="41563" xr:uid="{00000000-0005-0000-0000-0000DC420000}"/>
    <cellStyle name="Comma 7 3 8 5" xfId="45793" xr:uid="{00000000-0005-0000-0000-0000DD420000}"/>
    <cellStyle name="Comma 7 3 8 6" xfId="15820" xr:uid="{00000000-0005-0000-0000-0000DE420000}"/>
    <cellStyle name="Comma 7 3 9" xfId="6239" xr:uid="{00000000-0005-0000-0000-0000DF420000}"/>
    <cellStyle name="Comma 7 3 9 2" xfId="40523" xr:uid="{00000000-0005-0000-0000-0000E0420000}"/>
    <cellStyle name="Comma 7 3 9 2 2" xfId="43324" xr:uid="{00000000-0005-0000-0000-0000E1420000}"/>
    <cellStyle name="Comma 7 3 9 2 3" xfId="45794" xr:uid="{00000000-0005-0000-0000-0000E2420000}"/>
    <cellStyle name="Comma 7 3 9 3" xfId="38965" xr:uid="{00000000-0005-0000-0000-0000E3420000}"/>
    <cellStyle name="Comma 7 3 9 4" xfId="41996" xr:uid="{00000000-0005-0000-0000-0000E4420000}"/>
    <cellStyle name="Comma 7 3 9 5" xfId="45795" xr:uid="{00000000-0005-0000-0000-0000E5420000}"/>
    <cellStyle name="Comma 7 3 9 6" xfId="30318" xr:uid="{00000000-0005-0000-0000-0000E6420000}"/>
    <cellStyle name="Comma 7 4" xfId="1040" xr:uid="{00000000-0005-0000-0000-0000E7420000}"/>
    <cellStyle name="Comma 7 4 10" xfId="32151" xr:uid="{00000000-0005-0000-0000-0000E8420000}"/>
    <cellStyle name="Comma 7 4 10 2" xfId="40866" xr:uid="{00000000-0005-0000-0000-0000E9420000}"/>
    <cellStyle name="Comma 7 4 10 2 2" xfId="43610" xr:uid="{00000000-0005-0000-0000-0000EA420000}"/>
    <cellStyle name="Comma 7 4 10 2 3" xfId="45796" xr:uid="{00000000-0005-0000-0000-0000EB420000}"/>
    <cellStyle name="Comma 7 4 10 3" xfId="39301" xr:uid="{00000000-0005-0000-0000-0000EC420000}"/>
    <cellStyle name="Comma 7 4 10 4" xfId="42282" xr:uid="{00000000-0005-0000-0000-0000ED420000}"/>
    <cellStyle name="Comma 7 4 10 5" xfId="45797" xr:uid="{00000000-0005-0000-0000-0000EE420000}"/>
    <cellStyle name="Comma 7 4 11" xfId="32793" xr:uid="{00000000-0005-0000-0000-0000EF420000}"/>
    <cellStyle name="Comma 7 4 11 2" xfId="39765" xr:uid="{00000000-0005-0000-0000-0000F0420000}"/>
    <cellStyle name="Comma 7 4 11 3" xfId="42678" xr:uid="{00000000-0005-0000-0000-0000F1420000}"/>
    <cellStyle name="Comma 7 4 11 4" xfId="45798" xr:uid="{00000000-0005-0000-0000-0000F2420000}"/>
    <cellStyle name="Comma 7 4 12" xfId="34005" xr:uid="{00000000-0005-0000-0000-0000F3420000}"/>
    <cellStyle name="Comma 7 4 13" xfId="34280" xr:uid="{00000000-0005-0000-0000-0000F4420000}"/>
    <cellStyle name="Comma 7 4 14" xfId="35294" xr:uid="{00000000-0005-0000-0000-0000F5420000}"/>
    <cellStyle name="Comma 7 4 15" xfId="36245" xr:uid="{00000000-0005-0000-0000-0000F6420000}"/>
    <cellStyle name="Comma 7 4 16" xfId="37402" xr:uid="{00000000-0005-0000-0000-0000F7420000}"/>
    <cellStyle name="Comma 7 4 17" xfId="41350" xr:uid="{00000000-0005-0000-0000-0000F8420000}"/>
    <cellStyle name="Comma 7 4 18" xfId="45799" xr:uid="{00000000-0005-0000-0000-0000F9420000}"/>
    <cellStyle name="Comma 7 4 19" xfId="8443" xr:uid="{00000000-0005-0000-0000-0000FA420000}"/>
    <cellStyle name="Comma 7 4 2" xfId="2821" xr:uid="{00000000-0005-0000-0000-0000FB420000}"/>
    <cellStyle name="Comma 7 4 2 10" xfId="32794" xr:uid="{00000000-0005-0000-0000-0000FC420000}"/>
    <cellStyle name="Comma 7 4 2 11" xfId="34006" xr:uid="{00000000-0005-0000-0000-0000FD420000}"/>
    <cellStyle name="Comma 7 4 2 12" xfId="34236" xr:uid="{00000000-0005-0000-0000-0000FE420000}"/>
    <cellStyle name="Comma 7 4 2 13" xfId="35383" xr:uid="{00000000-0005-0000-0000-0000FF420000}"/>
    <cellStyle name="Comma 7 4 2 14" xfId="36246" xr:uid="{00000000-0005-0000-0000-000000430000}"/>
    <cellStyle name="Comma 7 4 2 15" xfId="37467" xr:uid="{00000000-0005-0000-0000-000001430000}"/>
    <cellStyle name="Comma 7 4 2 16" xfId="41414" xr:uid="{00000000-0005-0000-0000-000002430000}"/>
    <cellStyle name="Comma 7 4 2 17" xfId="45800" xr:uid="{00000000-0005-0000-0000-000003430000}"/>
    <cellStyle name="Comma 7 4 2 18" xfId="8201" xr:uid="{00000000-0005-0000-0000-000004430000}"/>
    <cellStyle name="Comma 7 4 2 2" xfId="2822" xr:uid="{00000000-0005-0000-0000-000005430000}"/>
    <cellStyle name="Comma 7 4 2 2 10" xfId="34587" xr:uid="{00000000-0005-0000-0000-000006430000}"/>
    <cellStyle name="Comma 7 4 2 2 11" xfId="35384" xr:uid="{00000000-0005-0000-0000-000007430000}"/>
    <cellStyle name="Comma 7 4 2 2 12" xfId="36247" xr:uid="{00000000-0005-0000-0000-000008430000}"/>
    <cellStyle name="Comma 7 4 2 2 13" xfId="37585" xr:uid="{00000000-0005-0000-0000-000009430000}"/>
    <cellStyle name="Comma 7 4 2 2 14" xfId="41531" xr:uid="{00000000-0005-0000-0000-00000A430000}"/>
    <cellStyle name="Comma 7 4 2 2 15" xfId="45801" xr:uid="{00000000-0005-0000-0000-00000B430000}"/>
    <cellStyle name="Comma 7 4 2 2 16" xfId="8920" xr:uid="{00000000-0005-0000-0000-00000C430000}"/>
    <cellStyle name="Comma 7 4 2 2 2" xfId="5133" xr:uid="{00000000-0005-0000-0000-00000D430000}"/>
    <cellStyle name="Comma 7 4 2 2 2 10" xfId="36088" xr:uid="{00000000-0005-0000-0000-00000E430000}"/>
    <cellStyle name="Comma 7 4 2 2 2 11" xfId="36388" xr:uid="{00000000-0005-0000-0000-00000F430000}"/>
    <cellStyle name="Comma 7 4 2 2 2 12" xfId="38867" xr:uid="{00000000-0005-0000-0000-000010430000}"/>
    <cellStyle name="Comma 7 4 2 2 2 13" xfId="41906" xr:uid="{00000000-0005-0000-0000-000011430000}"/>
    <cellStyle name="Comma 7 4 2 2 2 14" xfId="45802" xr:uid="{00000000-0005-0000-0000-000012430000}"/>
    <cellStyle name="Comma 7 4 2 2 2 15" xfId="12919" xr:uid="{00000000-0005-0000-0000-000013430000}"/>
    <cellStyle name="Comma 7 4 2 2 2 2" xfId="6102" xr:uid="{00000000-0005-0000-0000-000014430000}"/>
    <cellStyle name="Comma 7 4 2 2 2 2 2" xfId="40811" xr:uid="{00000000-0005-0000-0000-000015430000}"/>
    <cellStyle name="Comma 7 4 2 2 2 2 2 2" xfId="43566" xr:uid="{00000000-0005-0000-0000-000016430000}"/>
    <cellStyle name="Comma 7 4 2 2 2 2 2 3" xfId="45803" xr:uid="{00000000-0005-0000-0000-000017430000}"/>
    <cellStyle name="Comma 7 4 2 2 2 2 3" xfId="39248" xr:uid="{00000000-0005-0000-0000-000018430000}"/>
    <cellStyle name="Comma 7 4 2 2 2 2 4" xfId="42238" xr:uid="{00000000-0005-0000-0000-000019430000}"/>
    <cellStyle name="Comma 7 4 2 2 2 2 5" xfId="45804" xr:uid="{00000000-0005-0000-0000-00001A430000}"/>
    <cellStyle name="Comma 7 4 2 2 2 2 6" xfId="15833" xr:uid="{00000000-0005-0000-0000-00001B430000}"/>
    <cellStyle name="Comma 7 4 2 2 2 3" xfId="6422" xr:uid="{00000000-0005-0000-0000-00001C430000}"/>
    <cellStyle name="Comma 7 4 2 2 2 3 2" xfId="41272" xr:uid="{00000000-0005-0000-0000-00001D430000}"/>
    <cellStyle name="Comma 7 4 2 2 2 3 2 2" xfId="43952" xr:uid="{00000000-0005-0000-0000-00001E430000}"/>
    <cellStyle name="Comma 7 4 2 2 2 3 2 3" xfId="45805" xr:uid="{00000000-0005-0000-0000-00001F430000}"/>
    <cellStyle name="Comma 7 4 2 2 2 3 3" xfId="39689" xr:uid="{00000000-0005-0000-0000-000020430000}"/>
    <cellStyle name="Comma 7 4 2 2 2 3 4" xfId="42624" xr:uid="{00000000-0005-0000-0000-000021430000}"/>
    <cellStyle name="Comma 7 4 2 2 2 3 5" xfId="45806" xr:uid="{00000000-0005-0000-0000-000022430000}"/>
    <cellStyle name="Comma 7 4 2 2 2 3 6" xfId="30331" xr:uid="{00000000-0005-0000-0000-000023430000}"/>
    <cellStyle name="Comma 7 4 2 2 2 4" xfId="31501" xr:uid="{00000000-0005-0000-0000-000024430000}"/>
    <cellStyle name="Comma 7 4 2 2 2 4 2" xfId="40416" xr:uid="{00000000-0005-0000-0000-000025430000}"/>
    <cellStyle name="Comma 7 4 2 2 2 4 3" xfId="43234" xr:uid="{00000000-0005-0000-0000-000026430000}"/>
    <cellStyle name="Comma 7 4 2 2 2 4 4" xfId="45807" xr:uid="{00000000-0005-0000-0000-000027430000}"/>
    <cellStyle name="Comma 7 4 2 2 2 5" xfId="32154" xr:uid="{00000000-0005-0000-0000-000028430000}"/>
    <cellStyle name="Comma 7 4 2 2 2 6" xfId="32796" xr:uid="{00000000-0005-0000-0000-000029430000}"/>
    <cellStyle name="Comma 7 4 2 2 2 7" xfId="33354" xr:uid="{00000000-0005-0000-0000-00002A430000}"/>
    <cellStyle name="Comma 7 4 2 2 2 8" xfId="34008" xr:uid="{00000000-0005-0000-0000-00002B430000}"/>
    <cellStyle name="Comma 7 4 2 2 2 9" xfId="35178" xr:uid="{00000000-0005-0000-0000-00002C430000}"/>
    <cellStyle name="Comma 7 4 2 2 3" xfId="4474" xr:uid="{00000000-0005-0000-0000-00002D430000}"/>
    <cellStyle name="Comma 7 4 2 2 3 2" xfId="5925" xr:uid="{00000000-0005-0000-0000-00002E430000}"/>
    <cellStyle name="Comma 7 4 2 2 3 2 2" xfId="41100" xr:uid="{00000000-0005-0000-0000-00002F430000}"/>
    <cellStyle name="Comma 7 4 2 2 3 2 2 2" xfId="43812" xr:uid="{00000000-0005-0000-0000-000030430000}"/>
    <cellStyle name="Comma 7 4 2 2 3 2 2 3" xfId="45808" xr:uid="{00000000-0005-0000-0000-000031430000}"/>
    <cellStyle name="Comma 7 4 2 2 3 2 3" xfId="39524" xr:uid="{00000000-0005-0000-0000-000032430000}"/>
    <cellStyle name="Comma 7 4 2 2 3 2 4" xfId="42484" xr:uid="{00000000-0005-0000-0000-000033430000}"/>
    <cellStyle name="Comma 7 4 2 2 3 2 5" xfId="45809" xr:uid="{00000000-0005-0000-0000-000034430000}"/>
    <cellStyle name="Comma 7 4 2 2 3 2 6" xfId="35657" xr:uid="{00000000-0005-0000-0000-000035430000}"/>
    <cellStyle name="Comma 7 4 2 2 3 3" xfId="40245" xr:uid="{00000000-0005-0000-0000-000036430000}"/>
    <cellStyle name="Comma 7 4 2 2 3 3 2" xfId="43094" xr:uid="{00000000-0005-0000-0000-000037430000}"/>
    <cellStyle name="Comma 7 4 2 2 3 3 3" xfId="45810" xr:uid="{00000000-0005-0000-0000-000038430000}"/>
    <cellStyle name="Comma 7 4 2 2 3 4" xfId="38726" xr:uid="{00000000-0005-0000-0000-000039430000}"/>
    <cellStyle name="Comma 7 4 2 2 3 5" xfId="41766" xr:uid="{00000000-0005-0000-0000-00003A430000}"/>
    <cellStyle name="Comma 7 4 2 2 3 6" xfId="45811" xr:uid="{00000000-0005-0000-0000-00003B430000}"/>
    <cellStyle name="Comma 7 4 2 2 3 7" xfId="12136" xr:uid="{00000000-0005-0000-0000-00003C430000}"/>
    <cellStyle name="Comma 7 4 2 2 4" xfId="5787" xr:uid="{00000000-0005-0000-0000-00003D430000}"/>
    <cellStyle name="Comma 7 4 2 2 4 2" xfId="40110" xr:uid="{00000000-0005-0000-0000-00003E430000}"/>
    <cellStyle name="Comma 7 4 2 2 4 2 2" xfId="42979" xr:uid="{00000000-0005-0000-0000-00003F430000}"/>
    <cellStyle name="Comma 7 4 2 2 4 2 3" xfId="45812" xr:uid="{00000000-0005-0000-0000-000040430000}"/>
    <cellStyle name="Comma 7 4 2 2 4 3" xfId="38154" xr:uid="{00000000-0005-0000-0000-000041430000}"/>
    <cellStyle name="Comma 7 4 2 2 4 4" xfId="41651" xr:uid="{00000000-0005-0000-0000-000042430000}"/>
    <cellStyle name="Comma 7 4 2 2 4 5" xfId="45813" xr:uid="{00000000-0005-0000-0000-000043430000}"/>
    <cellStyle name="Comma 7 4 2 2 4 6" xfId="15832" xr:uid="{00000000-0005-0000-0000-000044430000}"/>
    <cellStyle name="Comma 7 4 2 2 5" xfId="6246" xr:uid="{00000000-0005-0000-0000-000045430000}"/>
    <cellStyle name="Comma 7 4 2 2 5 2" xfId="40655" xr:uid="{00000000-0005-0000-0000-000046430000}"/>
    <cellStyle name="Comma 7 4 2 2 5 2 2" xfId="43441" xr:uid="{00000000-0005-0000-0000-000047430000}"/>
    <cellStyle name="Comma 7 4 2 2 5 2 3" xfId="45814" xr:uid="{00000000-0005-0000-0000-000048430000}"/>
    <cellStyle name="Comma 7 4 2 2 5 3" xfId="39087" xr:uid="{00000000-0005-0000-0000-000049430000}"/>
    <cellStyle name="Comma 7 4 2 2 5 4" xfId="42113" xr:uid="{00000000-0005-0000-0000-00004A430000}"/>
    <cellStyle name="Comma 7 4 2 2 5 5" xfId="45815" xr:uid="{00000000-0005-0000-0000-00004B430000}"/>
    <cellStyle name="Comma 7 4 2 2 5 6" xfId="30330" xr:uid="{00000000-0005-0000-0000-00004C430000}"/>
    <cellStyle name="Comma 7 4 2 2 6" xfId="30910" xr:uid="{00000000-0005-0000-0000-00004D430000}"/>
    <cellStyle name="Comma 7 4 2 2 6 2" xfId="40962" xr:uid="{00000000-0005-0000-0000-00004E430000}"/>
    <cellStyle name="Comma 7 4 2 2 6 2 2" xfId="43697" xr:uid="{00000000-0005-0000-0000-00004F430000}"/>
    <cellStyle name="Comma 7 4 2 2 6 2 3" xfId="45816" xr:uid="{00000000-0005-0000-0000-000050430000}"/>
    <cellStyle name="Comma 7 4 2 2 6 3" xfId="39391" xr:uid="{00000000-0005-0000-0000-000051430000}"/>
    <cellStyle name="Comma 7 4 2 2 6 4" xfId="42369" xr:uid="{00000000-0005-0000-0000-000052430000}"/>
    <cellStyle name="Comma 7 4 2 2 6 5" xfId="45817" xr:uid="{00000000-0005-0000-0000-000053430000}"/>
    <cellStyle name="Comma 7 4 2 2 7" xfId="32153" xr:uid="{00000000-0005-0000-0000-000054430000}"/>
    <cellStyle name="Comma 7 4 2 2 7 2" xfId="39971" xr:uid="{00000000-0005-0000-0000-000055430000}"/>
    <cellStyle name="Comma 7 4 2 2 7 3" xfId="42859" xr:uid="{00000000-0005-0000-0000-000056430000}"/>
    <cellStyle name="Comma 7 4 2 2 7 4" xfId="45818" xr:uid="{00000000-0005-0000-0000-000057430000}"/>
    <cellStyle name="Comma 7 4 2 2 8" xfId="32795" xr:uid="{00000000-0005-0000-0000-000058430000}"/>
    <cellStyle name="Comma 7 4 2 2 9" xfId="34007" xr:uid="{00000000-0005-0000-0000-000059430000}"/>
    <cellStyle name="Comma 7 4 2 3" xfId="5132" xr:uid="{00000000-0005-0000-0000-00005A430000}"/>
    <cellStyle name="Comma 7 4 2 3 10" xfId="34663" xr:uid="{00000000-0005-0000-0000-00005B430000}"/>
    <cellStyle name="Comma 7 4 2 3 11" xfId="36087" xr:uid="{00000000-0005-0000-0000-00005C430000}"/>
    <cellStyle name="Comma 7 4 2 3 12" xfId="36387" xr:uid="{00000000-0005-0000-0000-00005D430000}"/>
    <cellStyle name="Comma 7 4 2 3 13" xfId="37541" xr:uid="{00000000-0005-0000-0000-00005E430000}"/>
    <cellStyle name="Comma 7 4 2 3 14" xfId="41487" xr:uid="{00000000-0005-0000-0000-00005F430000}"/>
    <cellStyle name="Comma 7 4 2 3 15" xfId="45819" xr:uid="{00000000-0005-0000-0000-000060430000}"/>
    <cellStyle name="Comma 7 4 2 3 16" xfId="11549" xr:uid="{00000000-0005-0000-0000-000061430000}"/>
    <cellStyle name="Comma 7 4 2 3 2" xfId="6101" xr:uid="{00000000-0005-0000-0000-000062430000}"/>
    <cellStyle name="Comma 7 4 2 3 2 10" xfId="37332" xr:uid="{00000000-0005-0000-0000-000063430000}"/>
    <cellStyle name="Comma 7 4 2 3 2 11" xfId="38866" xr:uid="{00000000-0005-0000-0000-000064430000}"/>
    <cellStyle name="Comma 7 4 2 3 2 12" xfId="41905" xr:uid="{00000000-0005-0000-0000-000065430000}"/>
    <cellStyle name="Comma 7 4 2 3 2 13" xfId="45820" xr:uid="{00000000-0005-0000-0000-000066430000}"/>
    <cellStyle name="Comma 7 4 2 3 2 14" xfId="15170" xr:uid="{00000000-0005-0000-0000-000067430000}"/>
    <cellStyle name="Comma 7 4 2 3 2 2" xfId="15835" xr:uid="{00000000-0005-0000-0000-000068430000}"/>
    <cellStyle name="Comma 7 4 2 3 2 2 2" xfId="40415" xr:uid="{00000000-0005-0000-0000-000069430000}"/>
    <cellStyle name="Comma 7 4 2 3 2 2 3" xfId="43233" xr:uid="{00000000-0005-0000-0000-00006A430000}"/>
    <cellStyle name="Comma 7 4 2 3 2 2 4" xfId="45821" xr:uid="{00000000-0005-0000-0000-00006B430000}"/>
    <cellStyle name="Comma 7 4 2 3 2 3" xfId="30333" xr:uid="{00000000-0005-0000-0000-00006C430000}"/>
    <cellStyle name="Comma 7 4 2 3 2 4" xfId="31577" xr:uid="{00000000-0005-0000-0000-00006D430000}"/>
    <cellStyle name="Comma 7 4 2 3 2 5" xfId="32156" xr:uid="{00000000-0005-0000-0000-00006E430000}"/>
    <cellStyle name="Comma 7 4 2 3 2 6" xfId="32798" xr:uid="{00000000-0005-0000-0000-00006F430000}"/>
    <cellStyle name="Comma 7 4 2 3 2 7" xfId="33430" xr:uid="{00000000-0005-0000-0000-000070430000}"/>
    <cellStyle name="Comma 7 4 2 3 2 8" xfId="34010" xr:uid="{00000000-0005-0000-0000-000071430000}"/>
    <cellStyle name="Comma 7 4 2 3 2 9" xfId="35254" xr:uid="{00000000-0005-0000-0000-000072430000}"/>
    <cellStyle name="Comma 7 4 2 3 3" xfId="6421" xr:uid="{00000000-0005-0000-0000-000073430000}"/>
    <cellStyle name="Comma 7 4 2 3 3 2" xfId="40810" xr:uid="{00000000-0005-0000-0000-000074430000}"/>
    <cellStyle name="Comma 7 4 2 3 3 2 2" xfId="43565" xr:uid="{00000000-0005-0000-0000-000075430000}"/>
    <cellStyle name="Comma 7 4 2 3 3 2 3" xfId="45822" xr:uid="{00000000-0005-0000-0000-000076430000}"/>
    <cellStyle name="Comma 7 4 2 3 3 3" xfId="39247" xr:uid="{00000000-0005-0000-0000-000077430000}"/>
    <cellStyle name="Comma 7 4 2 3 3 4" xfId="42237" xr:uid="{00000000-0005-0000-0000-000078430000}"/>
    <cellStyle name="Comma 7 4 2 3 3 5" xfId="45823" xr:uid="{00000000-0005-0000-0000-000079430000}"/>
    <cellStyle name="Comma 7 4 2 3 3 6" xfId="12212" xr:uid="{00000000-0005-0000-0000-00007A430000}"/>
    <cellStyle name="Comma 7 4 2 3 4" xfId="15834" xr:uid="{00000000-0005-0000-0000-00007B430000}"/>
    <cellStyle name="Comma 7 4 2 3 4 2" xfId="41271" xr:uid="{00000000-0005-0000-0000-00007C430000}"/>
    <cellStyle name="Comma 7 4 2 3 4 2 2" xfId="43951" xr:uid="{00000000-0005-0000-0000-00007D430000}"/>
    <cellStyle name="Comma 7 4 2 3 4 2 3" xfId="45824" xr:uid="{00000000-0005-0000-0000-00007E430000}"/>
    <cellStyle name="Comma 7 4 2 3 4 3" xfId="39688" xr:uid="{00000000-0005-0000-0000-00007F430000}"/>
    <cellStyle name="Comma 7 4 2 3 4 4" xfId="42623" xr:uid="{00000000-0005-0000-0000-000080430000}"/>
    <cellStyle name="Comma 7 4 2 3 4 5" xfId="45825" xr:uid="{00000000-0005-0000-0000-000081430000}"/>
    <cellStyle name="Comma 7 4 2 3 5" xfId="30332" xr:uid="{00000000-0005-0000-0000-000082430000}"/>
    <cellStyle name="Comma 7 4 2 3 5 2" xfId="39916" xr:uid="{00000000-0005-0000-0000-000083430000}"/>
    <cellStyle name="Comma 7 4 2 3 5 3" xfId="42815" xr:uid="{00000000-0005-0000-0000-000084430000}"/>
    <cellStyle name="Comma 7 4 2 3 5 4" xfId="45826" xr:uid="{00000000-0005-0000-0000-000085430000}"/>
    <cellStyle name="Comma 7 4 2 3 6" xfId="30986" xr:uid="{00000000-0005-0000-0000-000086430000}"/>
    <cellStyle name="Comma 7 4 2 3 7" xfId="32155" xr:uid="{00000000-0005-0000-0000-000087430000}"/>
    <cellStyle name="Comma 7 4 2 3 8" xfId="32797" xr:uid="{00000000-0005-0000-0000-000088430000}"/>
    <cellStyle name="Comma 7 4 2 3 9" xfId="34009" xr:uid="{00000000-0005-0000-0000-000089430000}"/>
    <cellStyle name="Comma 7 4 2 4" xfId="4473" xr:uid="{00000000-0005-0000-0000-00008A430000}"/>
    <cellStyle name="Comma 7 4 2 4 10" xfId="35656" xr:uid="{00000000-0005-0000-0000-00008B430000}"/>
    <cellStyle name="Comma 7 4 2 4 11" xfId="36929" xr:uid="{00000000-0005-0000-0000-00008C430000}"/>
    <cellStyle name="Comma 7 4 2 4 12" xfId="38725" xr:uid="{00000000-0005-0000-0000-00008D430000}"/>
    <cellStyle name="Comma 7 4 2 4 13" xfId="41765" xr:uid="{00000000-0005-0000-0000-00008E430000}"/>
    <cellStyle name="Comma 7 4 2 4 14" xfId="45827" xr:uid="{00000000-0005-0000-0000-00008F430000}"/>
    <cellStyle name="Comma 7 4 2 4 15" xfId="12442" xr:uid="{00000000-0005-0000-0000-000090430000}"/>
    <cellStyle name="Comma 7 4 2 4 2" xfId="5924" xr:uid="{00000000-0005-0000-0000-000091430000}"/>
    <cellStyle name="Comma 7 4 2 4 2 2" xfId="41099" xr:uid="{00000000-0005-0000-0000-000092430000}"/>
    <cellStyle name="Comma 7 4 2 4 2 2 2" xfId="43811" xr:uid="{00000000-0005-0000-0000-000093430000}"/>
    <cellStyle name="Comma 7 4 2 4 2 2 3" xfId="45828" xr:uid="{00000000-0005-0000-0000-000094430000}"/>
    <cellStyle name="Comma 7 4 2 4 2 3" xfId="39523" xr:uid="{00000000-0005-0000-0000-000095430000}"/>
    <cellStyle name="Comma 7 4 2 4 2 4" xfId="42483" xr:uid="{00000000-0005-0000-0000-000096430000}"/>
    <cellStyle name="Comma 7 4 2 4 2 5" xfId="45829" xr:uid="{00000000-0005-0000-0000-000097430000}"/>
    <cellStyle name="Comma 7 4 2 4 2 6" xfId="15836" xr:uid="{00000000-0005-0000-0000-000098430000}"/>
    <cellStyle name="Comma 7 4 2 4 3" xfId="30334" xr:uid="{00000000-0005-0000-0000-000099430000}"/>
    <cellStyle name="Comma 7 4 2 4 3 2" xfId="40244" xr:uid="{00000000-0005-0000-0000-00009A430000}"/>
    <cellStyle name="Comma 7 4 2 4 3 3" xfId="43093" xr:uid="{00000000-0005-0000-0000-00009B430000}"/>
    <cellStyle name="Comma 7 4 2 4 3 4" xfId="45830" xr:uid="{00000000-0005-0000-0000-00009C430000}"/>
    <cellStyle name="Comma 7 4 2 4 4" xfId="31150" xr:uid="{00000000-0005-0000-0000-00009D430000}"/>
    <cellStyle name="Comma 7 4 2 4 5" xfId="32157" xr:uid="{00000000-0005-0000-0000-00009E430000}"/>
    <cellStyle name="Comma 7 4 2 4 6" xfId="32799" xr:uid="{00000000-0005-0000-0000-00009F430000}"/>
    <cellStyle name="Comma 7 4 2 4 7" xfId="33008" xr:uid="{00000000-0005-0000-0000-0000A0430000}"/>
    <cellStyle name="Comma 7 4 2 4 8" xfId="34011" xr:uid="{00000000-0005-0000-0000-0000A1430000}"/>
    <cellStyle name="Comma 7 4 2 4 9" xfId="34827" xr:uid="{00000000-0005-0000-0000-0000A2430000}"/>
    <cellStyle name="Comma 7 4 2 5" xfId="5786" xr:uid="{00000000-0005-0000-0000-0000A3430000}"/>
    <cellStyle name="Comma 7 4 2 5 2" xfId="40109" xr:uid="{00000000-0005-0000-0000-0000A4430000}"/>
    <cellStyle name="Comma 7 4 2 5 2 2" xfId="42978" xr:uid="{00000000-0005-0000-0000-0000A5430000}"/>
    <cellStyle name="Comma 7 4 2 5 2 3" xfId="45831" xr:uid="{00000000-0005-0000-0000-0000A6430000}"/>
    <cellStyle name="Comma 7 4 2 5 3" xfId="38153" xr:uid="{00000000-0005-0000-0000-0000A7430000}"/>
    <cellStyle name="Comma 7 4 2 5 4" xfId="41650" xr:uid="{00000000-0005-0000-0000-0000A8430000}"/>
    <cellStyle name="Comma 7 4 2 5 5" xfId="45832" xr:uid="{00000000-0005-0000-0000-0000A9430000}"/>
    <cellStyle name="Comma 7 4 2 5 6" xfId="11785" xr:uid="{00000000-0005-0000-0000-0000AA430000}"/>
    <cellStyle name="Comma 7 4 2 6" xfId="6245" xr:uid="{00000000-0005-0000-0000-0000AB430000}"/>
    <cellStyle name="Comma 7 4 2 6 2" xfId="40654" xr:uid="{00000000-0005-0000-0000-0000AC430000}"/>
    <cellStyle name="Comma 7 4 2 6 2 2" xfId="43440" xr:uid="{00000000-0005-0000-0000-0000AD430000}"/>
    <cellStyle name="Comma 7 4 2 6 2 3" xfId="45833" xr:uid="{00000000-0005-0000-0000-0000AE430000}"/>
    <cellStyle name="Comma 7 4 2 6 3" xfId="39086" xr:uid="{00000000-0005-0000-0000-0000AF430000}"/>
    <cellStyle name="Comma 7 4 2 6 4" xfId="42112" xr:uid="{00000000-0005-0000-0000-0000B0430000}"/>
    <cellStyle name="Comma 7 4 2 6 5" xfId="45834" xr:uid="{00000000-0005-0000-0000-0000B1430000}"/>
    <cellStyle name="Comma 7 4 2 6 6" xfId="15831" xr:uid="{00000000-0005-0000-0000-0000B2430000}"/>
    <cellStyle name="Comma 7 4 2 7" xfId="30329" xr:uid="{00000000-0005-0000-0000-0000B3430000}"/>
    <cellStyle name="Comma 7 4 2 7 2" xfId="40961" xr:uid="{00000000-0005-0000-0000-0000B4430000}"/>
    <cellStyle name="Comma 7 4 2 7 2 2" xfId="43696" xr:uid="{00000000-0005-0000-0000-0000B5430000}"/>
    <cellStyle name="Comma 7 4 2 7 2 3" xfId="45835" xr:uid="{00000000-0005-0000-0000-0000B6430000}"/>
    <cellStyle name="Comma 7 4 2 7 3" xfId="39390" xr:uid="{00000000-0005-0000-0000-0000B7430000}"/>
    <cellStyle name="Comma 7 4 2 7 4" xfId="42368" xr:uid="{00000000-0005-0000-0000-0000B8430000}"/>
    <cellStyle name="Comma 7 4 2 7 5" xfId="45836" xr:uid="{00000000-0005-0000-0000-0000B9430000}"/>
    <cellStyle name="Comma 7 4 2 8" xfId="30559" xr:uid="{00000000-0005-0000-0000-0000BA430000}"/>
    <cellStyle name="Comma 7 4 2 8 2" xfId="39834" xr:uid="{00000000-0005-0000-0000-0000BB430000}"/>
    <cellStyle name="Comma 7 4 2 8 3" xfId="42742" xr:uid="{00000000-0005-0000-0000-0000BC430000}"/>
    <cellStyle name="Comma 7 4 2 8 4" xfId="45837" xr:uid="{00000000-0005-0000-0000-0000BD430000}"/>
    <cellStyle name="Comma 7 4 2 9" xfId="32152" xr:uid="{00000000-0005-0000-0000-0000BE430000}"/>
    <cellStyle name="Comma 7 4 3" xfId="2823" xr:uid="{00000000-0005-0000-0000-0000BF430000}"/>
    <cellStyle name="Comma 7 4 3 10" xfId="34586" xr:uid="{00000000-0005-0000-0000-0000C0430000}"/>
    <cellStyle name="Comma 7 4 3 11" xfId="35385" xr:uid="{00000000-0005-0000-0000-0000C1430000}"/>
    <cellStyle name="Comma 7 4 3 12" xfId="36248" xr:uid="{00000000-0005-0000-0000-0000C2430000}"/>
    <cellStyle name="Comma 7 4 3 13" xfId="37466" xr:uid="{00000000-0005-0000-0000-0000C3430000}"/>
    <cellStyle name="Comma 7 4 3 14" xfId="41413" xr:uid="{00000000-0005-0000-0000-0000C4430000}"/>
    <cellStyle name="Comma 7 4 3 15" xfId="45838" xr:uid="{00000000-0005-0000-0000-0000C5430000}"/>
    <cellStyle name="Comma 7 4 3 16" xfId="8919" xr:uid="{00000000-0005-0000-0000-0000C6430000}"/>
    <cellStyle name="Comma 7 4 3 2" xfId="5134" xr:uid="{00000000-0005-0000-0000-0000C7430000}"/>
    <cellStyle name="Comma 7 4 3 2 10" xfId="12918" xr:uid="{00000000-0005-0000-0000-0000C8430000}"/>
    <cellStyle name="Comma 7 4 3 2 2" xfId="6103" xr:uid="{00000000-0005-0000-0000-0000C9430000}"/>
    <cellStyle name="Comma 7 4 3 2 2 2" xfId="40417" xr:uid="{00000000-0005-0000-0000-0000CA430000}"/>
    <cellStyle name="Comma 7 4 3 2 2 2 2" xfId="43235" xr:uid="{00000000-0005-0000-0000-0000CB430000}"/>
    <cellStyle name="Comma 7 4 3 2 2 2 3" xfId="45839" xr:uid="{00000000-0005-0000-0000-0000CC430000}"/>
    <cellStyle name="Comma 7 4 3 2 2 3" xfId="38868" xr:uid="{00000000-0005-0000-0000-0000CD430000}"/>
    <cellStyle name="Comma 7 4 3 2 2 4" xfId="41907" xr:uid="{00000000-0005-0000-0000-0000CE430000}"/>
    <cellStyle name="Comma 7 4 3 2 2 5" xfId="45840" xr:uid="{00000000-0005-0000-0000-0000CF430000}"/>
    <cellStyle name="Comma 7 4 3 2 2 6" xfId="31500" xr:uid="{00000000-0005-0000-0000-0000D0430000}"/>
    <cellStyle name="Comma 7 4 3 2 3" xfId="6423" xr:uid="{00000000-0005-0000-0000-0000D1430000}"/>
    <cellStyle name="Comma 7 4 3 2 3 2" xfId="40812" xr:uid="{00000000-0005-0000-0000-0000D2430000}"/>
    <cellStyle name="Comma 7 4 3 2 3 2 2" xfId="43567" xr:uid="{00000000-0005-0000-0000-0000D3430000}"/>
    <cellStyle name="Comma 7 4 3 2 3 2 3" xfId="45841" xr:uid="{00000000-0005-0000-0000-0000D4430000}"/>
    <cellStyle name="Comma 7 4 3 2 3 3" xfId="39249" xr:uid="{00000000-0005-0000-0000-0000D5430000}"/>
    <cellStyle name="Comma 7 4 3 2 3 4" xfId="42239" xr:uid="{00000000-0005-0000-0000-0000D6430000}"/>
    <cellStyle name="Comma 7 4 3 2 3 5" xfId="45842" xr:uid="{00000000-0005-0000-0000-0000D7430000}"/>
    <cellStyle name="Comma 7 4 3 2 3 6" xfId="33353" xr:uid="{00000000-0005-0000-0000-0000D8430000}"/>
    <cellStyle name="Comma 7 4 3 2 4" xfId="35177" xr:uid="{00000000-0005-0000-0000-0000D9430000}"/>
    <cellStyle name="Comma 7 4 3 2 4 2" xfId="41273" xr:uid="{00000000-0005-0000-0000-0000DA430000}"/>
    <cellStyle name="Comma 7 4 3 2 4 2 2" xfId="43953" xr:uid="{00000000-0005-0000-0000-0000DB430000}"/>
    <cellStyle name="Comma 7 4 3 2 4 2 3" xfId="45843" xr:uid="{00000000-0005-0000-0000-0000DC430000}"/>
    <cellStyle name="Comma 7 4 3 2 4 3" xfId="39690" xr:uid="{00000000-0005-0000-0000-0000DD430000}"/>
    <cellStyle name="Comma 7 4 3 2 4 4" xfId="42625" xr:uid="{00000000-0005-0000-0000-0000DE430000}"/>
    <cellStyle name="Comma 7 4 3 2 4 5" xfId="45844" xr:uid="{00000000-0005-0000-0000-0000DF430000}"/>
    <cellStyle name="Comma 7 4 3 2 5" xfId="36089" xr:uid="{00000000-0005-0000-0000-0000E0430000}"/>
    <cellStyle name="Comma 7 4 3 2 5 2" xfId="39970" xr:uid="{00000000-0005-0000-0000-0000E1430000}"/>
    <cellStyle name="Comma 7 4 3 2 5 3" xfId="42858" xr:uid="{00000000-0005-0000-0000-0000E2430000}"/>
    <cellStyle name="Comma 7 4 3 2 5 4" xfId="45845" xr:uid="{00000000-0005-0000-0000-0000E3430000}"/>
    <cellStyle name="Comma 7 4 3 2 6" xfId="36389" xr:uid="{00000000-0005-0000-0000-0000E4430000}"/>
    <cellStyle name="Comma 7 4 3 2 7" xfId="37584" xr:uid="{00000000-0005-0000-0000-0000E5430000}"/>
    <cellStyle name="Comma 7 4 3 2 8" xfId="41530" xr:uid="{00000000-0005-0000-0000-0000E6430000}"/>
    <cellStyle name="Comma 7 4 3 2 9" xfId="45846" xr:uid="{00000000-0005-0000-0000-0000E7430000}"/>
    <cellStyle name="Comma 7 4 3 3" xfId="4475" xr:uid="{00000000-0005-0000-0000-0000E8430000}"/>
    <cellStyle name="Comma 7 4 3 3 2" xfId="5926" xr:uid="{00000000-0005-0000-0000-0000E9430000}"/>
    <cellStyle name="Comma 7 4 3 3 2 2" xfId="41101" xr:uid="{00000000-0005-0000-0000-0000EA430000}"/>
    <cellStyle name="Comma 7 4 3 3 2 2 2" xfId="43813" xr:uid="{00000000-0005-0000-0000-0000EB430000}"/>
    <cellStyle name="Comma 7 4 3 3 2 2 3" xfId="45847" xr:uid="{00000000-0005-0000-0000-0000EC430000}"/>
    <cellStyle name="Comma 7 4 3 3 2 3" xfId="39525" xr:uid="{00000000-0005-0000-0000-0000ED430000}"/>
    <cellStyle name="Comma 7 4 3 3 2 4" xfId="42485" xr:uid="{00000000-0005-0000-0000-0000EE430000}"/>
    <cellStyle name="Comma 7 4 3 3 2 5" xfId="45848" xr:uid="{00000000-0005-0000-0000-0000EF430000}"/>
    <cellStyle name="Comma 7 4 3 3 2 6" xfId="35658" xr:uid="{00000000-0005-0000-0000-0000F0430000}"/>
    <cellStyle name="Comma 7 4 3 3 3" xfId="40246" xr:uid="{00000000-0005-0000-0000-0000F1430000}"/>
    <cellStyle name="Comma 7 4 3 3 3 2" xfId="43095" xr:uid="{00000000-0005-0000-0000-0000F2430000}"/>
    <cellStyle name="Comma 7 4 3 3 3 3" xfId="45849" xr:uid="{00000000-0005-0000-0000-0000F3430000}"/>
    <cellStyle name="Comma 7 4 3 3 4" xfId="38727" xr:uid="{00000000-0005-0000-0000-0000F4430000}"/>
    <cellStyle name="Comma 7 4 3 3 5" xfId="41767" xr:uid="{00000000-0005-0000-0000-0000F5430000}"/>
    <cellStyle name="Comma 7 4 3 3 6" xfId="45850" xr:uid="{00000000-0005-0000-0000-0000F6430000}"/>
    <cellStyle name="Comma 7 4 3 3 7" xfId="12135" xr:uid="{00000000-0005-0000-0000-0000F7430000}"/>
    <cellStyle name="Comma 7 4 3 4" xfId="5788" xr:uid="{00000000-0005-0000-0000-0000F8430000}"/>
    <cellStyle name="Comma 7 4 3 4 2" xfId="40111" xr:uid="{00000000-0005-0000-0000-0000F9430000}"/>
    <cellStyle name="Comma 7 4 3 4 2 2" xfId="42980" xr:uid="{00000000-0005-0000-0000-0000FA430000}"/>
    <cellStyle name="Comma 7 4 3 4 2 3" xfId="45851" xr:uid="{00000000-0005-0000-0000-0000FB430000}"/>
    <cellStyle name="Comma 7 4 3 4 3" xfId="38155" xr:uid="{00000000-0005-0000-0000-0000FC430000}"/>
    <cellStyle name="Comma 7 4 3 4 4" xfId="41652" xr:uid="{00000000-0005-0000-0000-0000FD430000}"/>
    <cellStyle name="Comma 7 4 3 4 5" xfId="45852" xr:uid="{00000000-0005-0000-0000-0000FE430000}"/>
    <cellStyle name="Comma 7 4 3 4 6" xfId="15837" xr:uid="{00000000-0005-0000-0000-0000FF430000}"/>
    <cellStyle name="Comma 7 4 3 5" xfId="6247" xr:uid="{00000000-0005-0000-0000-000000440000}"/>
    <cellStyle name="Comma 7 4 3 5 2" xfId="40656" xr:uid="{00000000-0005-0000-0000-000001440000}"/>
    <cellStyle name="Comma 7 4 3 5 2 2" xfId="43442" xr:uid="{00000000-0005-0000-0000-000002440000}"/>
    <cellStyle name="Comma 7 4 3 5 2 3" xfId="45853" xr:uid="{00000000-0005-0000-0000-000003440000}"/>
    <cellStyle name="Comma 7 4 3 5 3" xfId="39088" xr:uid="{00000000-0005-0000-0000-000004440000}"/>
    <cellStyle name="Comma 7 4 3 5 4" xfId="42114" xr:uid="{00000000-0005-0000-0000-000005440000}"/>
    <cellStyle name="Comma 7 4 3 5 5" xfId="45854" xr:uid="{00000000-0005-0000-0000-000006440000}"/>
    <cellStyle name="Comma 7 4 3 5 6" xfId="30335" xr:uid="{00000000-0005-0000-0000-000007440000}"/>
    <cellStyle name="Comma 7 4 3 6" xfId="30909" xr:uid="{00000000-0005-0000-0000-000008440000}"/>
    <cellStyle name="Comma 7 4 3 6 2" xfId="40963" xr:uid="{00000000-0005-0000-0000-000009440000}"/>
    <cellStyle name="Comma 7 4 3 6 2 2" xfId="43698" xr:uid="{00000000-0005-0000-0000-00000A440000}"/>
    <cellStyle name="Comma 7 4 3 6 2 3" xfId="45855" xr:uid="{00000000-0005-0000-0000-00000B440000}"/>
    <cellStyle name="Comma 7 4 3 6 3" xfId="39392" xr:uid="{00000000-0005-0000-0000-00000C440000}"/>
    <cellStyle name="Comma 7 4 3 6 4" xfId="42370" xr:uid="{00000000-0005-0000-0000-00000D440000}"/>
    <cellStyle name="Comma 7 4 3 6 5" xfId="45856" xr:uid="{00000000-0005-0000-0000-00000E440000}"/>
    <cellStyle name="Comma 7 4 3 7" xfId="32158" xr:uid="{00000000-0005-0000-0000-00000F440000}"/>
    <cellStyle name="Comma 7 4 3 7 2" xfId="39833" xr:uid="{00000000-0005-0000-0000-000010440000}"/>
    <cellStyle name="Comma 7 4 3 7 3" xfId="42741" xr:uid="{00000000-0005-0000-0000-000011440000}"/>
    <cellStyle name="Comma 7 4 3 7 4" xfId="45857" xr:uid="{00000000-0005-0000-0000-000012440000}"/>
    <cellStyle name="Comma 7 4 3 8" xfId="32800" xr:uid="{00000000-0005-0000-0000-000013440000}"/>
    <cellStyle name="Comma 7 4 3 9" xfId="34012" xr:uid="{00000000-0005-0000-0000-000014440000}"/>
    <cellStyle name="Comma 7 4 4" xfId="2824" xr:uid="{00000000-0005-0000-0000-000015440000}"/>
    <cellStyle name="Comma 7 4 4 10" xfId="34662" xr:uid="{00000000-0005-0000-0000-000016440000}"/>
    <cellStyle name="Comma 7 4 4 11" xfId="35386" xr:uid="{00000000-0005-0000-0000-000017440000}"/>
    <cellStyle name="Comma 7 4 4 12" xfId="36249" xr:uid="{00000000-0005-0000-0000-000018440000}"/>
    <cellStyle name="Comma 7 4 4 13" xfId="37561" xr:uid="{00000000-0005-0000-0000-000019440000}"/>
    <cellStyle name="Comma 7 4 4 14" xfId="41507" xr:uid="{00000000-0005-0000-0000-00001A440000}"/>
    <cellStyle name="Comma 7 4 4 15" xfId="45858" xr:uid="{00000000-0005-0000-0000-00001B440000}"/>
    <cellStyle name="Comma 7 4 4 16" xfId="11548" xr:uid="{00000000-0005-0000-0000-00001C440000}"/>
    <cellStyle name="Comma 7 4 4 2" xfId="5135" xr:uid="{00000000-0005-0000-0000-00001D440000}"/>
    <cellStyle name="Comma 7 4 4 2 10" xfId="15169" xr:uid="{00000000-0005-0000-0000-00001E440000}"/>
    <cellStyle name="Comma 7 4 4 2 2" xfId="6104" xr:uid="{00000000-0005-0000-0000-00001F440000}"/>
    <cellStyle name="Comma 7 4 4 2 2 2" xfId="40813" xr:uid="{00000000-0005-0000-0000-000020440000}"/>
    <cellStyle name="Comma 7 4 4 2 2 2 2" xfId="43568" xr:uid="{00000000-0005-0000-0000-000021440000}"/>
    <cellStyle name="Comma 7 4 4 2 2 2 3" xfId="45859" xr:uid="{00000000-0005-0000-0000-000022440000}"/>
    <cellStyle name="Comma 7 4 4 2 2 3" xfId="39250" xr:uid="{00000000-0005-0000-0000-000023440000}"/>
    <cellStyle name="Comma 7 4 4 2 2 4" xfId="42240" xr:uid="{00000000-0005-0000-0000-000024440000}"/>
    <cellStyle name="Comma 7 4 4 2 2 5" xfId="45860" xr:uid="{00000000-0005-0000-0000-000025440000}"/>
    <cellStyle name="Comma 7 4 4 2 2 6" xfId="31576" xr:uid="{00000000-0005-0000-0000-000026440000}"/>
    <cellStyle name="Comma 7 4 4 2 3" xfId="6424" xr:uid="{00000000-0005-0000-0000-000027440000}"/>
    <cellStyle name="Comma 7 4 4 2 3 2" xfId="41274" xr:uid="{00000000-0005-0000-0000-000028440000}"/>
    <cellStyle name="Comma 7 4 4 2 3 2 2" xfId="43954" xr:uid="{00000000-0005-0000-0000-000029440000}"/>
    <cellStyle name="Comma 7 4 4 2 3 2 3" xfId="45861" xr:uid="{00000000-0005-0000-0000-00002A440000}"/>
    <cellStyle name="Comma 7 4 4 2 3 3" xfId="39691" xr:uid="{00000000-0005-0000-0000-00002B440000}"/>
    <cellStyle name="Comma 7 4 4 2 3 4" xfId="42626" xr:uid="{00000000-0005-0000-0000-00002C440000}"/>
    <cellStyle name="Comma 7 4 4 2 3 5" xfId="45862" xr:uid="{00000000-0005-0000-0000-00002D440000}"/>
    <cellStyle name="Comma 7 4 4 2 3 6" xfId="33429" xr:uid="{00000000-0005-0000-0000-00002E440000}"/>
    <cellStyle name="Comma 7 4 4 2 4" xfId="35253" xr:uid="{00000000-0005-0000-0000-00002F440000}"/>
    <cellStyle name="Comma 7 4 4 2 4 2" xfId="40418" xr:uid="{00000000-0005-0000-0000-000030440000}"/>
    <cellStyle name="Comma 7 4 4 2 4 3" xfId="43236" xr:uid="{00000000-0005-0000-0000-000031440000}"/>
    <cellStyle name="Comma 7 4 4 2 4 4" xfId="45863" xr:uid="{00000000-0005-0000-0000-000032440000}"/>
    <cellStyle name="Comma 7 4 4 2 5" xfId="36090" xr:uid="{00000000-0005-0000-0000-000033440000}"/>
    <cellStyle name="Comma 7 4 4 2 6" xfId="36390" xr:uid="{00000000-0005-0000-0000-000034440000}"/>
    <cellStyle name="Comma 7 4 4 2 7" xfId="38869" xr:uid="{00000000-0005-0000-0000-000035440000}"/>
    <cellStyle name="Comma 7 4 4 2 8" xfId="41908" xr:uid="{00000000-0005-0000-0000-000036440000}"/>
    <cellStyle name="Comma 7 4 4 2 9" xfId="45864" xr:uid="{00000000-0005-0000-0000-000037440000}"/>
    <cellStyle name="Comma 7 4 4 3" xfId="4476" xr:uid="{00000000-0005-0000-0000-000038440000}"/>
    <cellStyle name="Comma 7 4 4 3 2" xfId="5927" xr:uid="{00000000-0005-0000-0000-000039440000}"/>
    <cellStyle name="Comma 7 4 4 3 2 2" xfId="41102" xr:uid="{00000000-0005-0000-0000-00003A440000}"/>
    <cellStyle name="Comma 7 4 4 3 2 2 2" xfId="43814" xr:uid="{00000000-0005-0000-0000-00003B440000}"/>
    <cellStyle name="Comma 7 4 4 3 2 2 3" xfId="45865" xr:uid="{00000000-0005-0000-0000-00003C440000}"/>
    <cellStyle name="Comma 7 4 4 3 2 3" xfId="39526" xr:uid="{00000000-0005-0000-0000-00003D440000}"/>
    <cellStyle name="Comma 7 4 4 3 2 4" xfId="42486" xr:uid="{00000000-0005-0000-0000-00003E440000}"/>
    <cellStyle name="Comma 7 4 4 3 2 5" xfId="45866" xr:uid="{00000000-0005-0000-0000-00003F440000}"/>
    <cellStyle name="Comma 7 4 4 3 2 6" xfId="35659" xr:uid="{00000000-0005-0000-0000-000040440000}"/>
    <cellStyle name="Comma 7 4 4 3 3" xfId="40247" xr:uid="{00000000-0005-0000-0000-000041440000}"/>
    <cellStyle name="Comma 7 4 4 3 3 2" xfId="43096" xr:uid="{00000000-0005-0000-0000-000042440000}"/>
    <cellStyle name="Comma 7 4 4 3 3 3" xfId="45867" xr:uid="{00000000-0005-0000-0000-000043440000}"/>
    <cellStyle name="Comma 7 4 4 3 4" xfId="38728" xr:uid="{00000000-0005-0000-0000-000044440000}"/>
    <cellStyle name="Comma 7 4 4 3 5" xfId="41768" xr:uid="{00000000-0005-0000-0000-000045440000}"/>
    <cellStyle name="Comma 7 4 4 3 6" xfId="45868" xr:uid="{00000000-0005-0000-0000-000046440000}"/>
    <cellStyle name="Comma 7 4 4 3 7" xfId="12211" xr:uid="{00000000-0005-0000-0000-000047440000}"/>
    <cellStyle name="Comma 7 4 4 4" xfId="5789" xr:uid="{00000000-0005-0000-0000-000048440000}"/>
    <cellStyle name="Comma 7 4 4 4 2" xfId="40112" xr:uid="{00000000-0005-0000-0000-000049440000}"/>
    <cellStyle name="Comma 7 4 4 4 2 2" xfId="42981" xr:uid="{00000000-0005-0000-0000-00004A440000}"/>
    <cellStyle name="Comma 7 4 4 4 2 3" xfId="45869" xr:uid="{00000000-0005-0000-0000-00004B440000}"/>
    <cellStyle name="Comma 7 4 4 4 3" xfId="38156" xr:uid="{00000000-0005-0000-0000-00004C440000}"/>
    <cellStyle name="Comma 7 4 4 4 4" xfId="41653" xr:uid="{00000000-0005-0000-0000-00004D440000}"/>
    <cellStyle name="Comma 7 4 4 4 5" xfId="45870" xr:uid="{00000000-0005-0000-0000-00004E440000}"/>
    <cellStyle name="Comma 7 4 4 4 6" xfId="15838" xr:uid="{00000000-0005-0000-0000-00004F440000}"/>
    <cellStyle name="Comma 7 4 4 5" xfId="6248" xr:uid="{00000000-0005-0000-0000-000050440000}"/>
    <cellStyle name="Comma 7 4 4 5 2" xfId="40657" xr:uid="{00000000-0005-0000-0000-000051440000}"/>
    <cellStyle name="Comma 7 4 4 5 2 2" xfId="43443" xr:uid="{00000000-0005-0000-0000-000052440000}"/>
    <cellStyle name="Comma 7 4 4 5 2 3" xfId="45871" xr:uid="{00000000-0005-0000-0000-000053440000}"/>
    <cellStyle name="Comma 7 4 4 5 3" xfId="39089" xr:uid="{00000000-0005-0000-0000-000054440000}"/>
    <cellStyle name="Comma 7 4 4 5 4" xfId="42115" xr:uid="{00000000-0005-0000-0000-000055440000}"/>
    <cellStyle name="Comma 7 4 4 5 5" xfId="45872" xr:uid="{00000000-0005-0000-0000-000056440000}"/>
    <cellStyle name="Comma 7 4 4 5 6" xfId="30336" xr:uid="{00000000-0005-0000-0000-000057440000}"/>
    <cellStyle name="Comma 7 4 4 6" xfId="30985" xr:uid="{00000000-0005-0000-0000-000058440000}"/>
    <cellStyle name="Comma 7 4 4 6 2" xfId="40964" xr:uid="{00000000-0005-0000-0000-000059440000}"/>
    <cellStyle name="Comma 7 4 4 6 2 2" xfId="43699" xr:uid="{00000000-0005-0000-0000-00005A440000}"/>
    <cellStyle name="Comma 7 4 4 6 2 3" xfId="45873" xr:uid="{00000000-0005-0000-0000-00005B440000}"/>
    <cellStyle name="Comma 7 4 4 6 3" xfId="39393" xr:uid="{00000000-0005-0000-0000-00005C440000}"/>
    <cellStyle name="Comma 7 4 4 6 4" xfId="42371" xr:uid="{00000000-0005-0000-0000-00005D440000}"/>
    <cellStyle name="Comma 7 4 4 6 5" xfId="45874" xr:uid="{00000000-0005-0000-0000-00005E440000}"/>
    <cellStyle name="Comma 7 4 4 7" xfId="32159" xr:uid="{00000000-0005-0000-0000-00005F440000}"/>
    <cellStyle name="Comma 7 4 4 7 2" xfId="39947" xr:uid="{00000000-0005-0000-0000-000060440000}"/>
    <cellStyle name="Comma 7 4 4 7 3" xfId="42835" xr:uid="{00000000-0005-0000-0000-000061440000}"/>
    <cellStyle name="Comma 7 4 4 7 4" xfId="45875" xr:uid="{00000000-0005-0000-0000-000062440000}"/>
    <cellStyle name="Comma 7 4 4 8" xfId="32801" xr:uid="{00000000-0005-0000-0000-000063440000}"/>
    <cellStyle name="Comma 7 4 4 9" xfId="34013" xr:uid="{00000000-0005-0000-0000-000064440000}"/>
    <cellStyle name="Comma 7 4 5" xfId="2820" xr:uid="{00000000-0005-0000-0000-000065440000}"/>
    <cellStyle name="Comma 7 4 5 10" xfId="36386" xr:uid="{00000000-0005-0000-0000-000066440000}"/>
    <cellStyle name="Comma 7 4 5 11" xfId="37540" xr:uid="{00000000-0005-0000-0000-000067440000}"/>
    <cellStyle name="Comma 7 4 5 12" xfId="41486" xr:uid="{00000000-0005-0000-0000-000068440000}"/>
    <cellStyle name="Comma 7 4 5 13" xfId="45876" xr:uid="{00000000-0005-0000-0000-000069440000}"/>
    <cellStyle name="Comma 7 4 5 14" xfId="12551" xr:uid="{00000000-0005-0000-0000-00006A440000}"/>
    <cellStyle name="Comma 7 4 5 2" xfId="5131" xr:uid="{00000000-0005-0000-0000-00006B440000}"/>
    <cellStyle name="Comma 7 4 5 2 2" xfId="6100" xr:uid="{00000000-0005-0000-0000-00006C440000}"/>
    <cellStyle name="Comma 7 4 5 2 2 2" xfId="41270" xr:uid="{00000000-0005-0000-0000-00006D440000}"/>
    <cellStyle name="Comma 7 4 5 2 2 2 2" xfId="43950" xr:uid="{00000000-0005-0000-0000-00006E440000}"/>
    <cellStyle name="Comma 7 4 5 2 2 2 3" xfId="45877" xr:uid="{00000000-0005-0000-0000-00006F440000}"/>
    <cellStyle name="Comma 7 4 5 2 2 3" xfId="39687" xr:uid="{00000000-0005-0000-0000-000070440000}"/>
    <cellStyle name="Comma 7 4 5 2 2 4" xfId="42622" xr:uid="{00000000-0005-0000-0000-000071440000}"/>
    <cellStyle name="Comma 7 4 5 2 2 5" xfId="45878" xr:uid="{00000000-0005-0000-0000-000072440000}"/>
    <cellStyle name="Comma 7 4 5 2 2 6" xfId="36086" xr:uid="{00000000-0005-0000-0000-000073440000}"/>
    <cellStyle name="Comma 7 4 5 2 3" xfId="40414" xr:uid="{00000000-0005-0000-0000-000074440000}"/>
    <cellStyle name="Comma 7 4 5 2 3 2" xfId="43232" xr:uid="{00000000-0005-0000-0000-000075440000}"/>
    <cellStyle name="Comma 7 4 5 2 3 3" xfId="45879" xr:uid="{00000000-0005-0000-0000-000076440000}"/>
    <cellStyle name="Comma 7 4 5 2 4" xfId="38865" xr:uid="{00000000-0005-0000-0000-000077440000}"/>
    <cellStyle name="Comma 7 4 5 2 5" xfId="41904" xr:uid="{00000000-0005-0000-0000-000078440000}"/>
    <cellStyle name="Comma 7 4 5 2 6" xfId="45880" xr:uid="{00000000-0005-0000-0000-000079440000}"/>
    <cellStyle name="Comma 7 4 5 2 7" xfId="15839" xr:uid="{00000000-0005-0000-0000-00007A440000}"/>
    <cellStyle name="Comma 7 4 5 3" xfId="5785" xr:uid="{00000000-0005-0000-0000-00007B440000}"/>
    <cellStyle name="Comma 7 4 5 3 2" xfId="40108" xr:uid="{00000000-0005-0000-0000-00007C440000}"/>
    <cellStyle name="Comma 7 4 5 3 2 2" xfId="42977" xr:uid="{00000000-0005-0000-0000-00007D440000}"/>
    <cellStyle name="Comma 7 4 5 3 2 3" xfId="45881" xr:uid="{00000000-0005-0000-0000-00007E440000}"/>
    <cellStyle name="Comma 7 4 5 3 3" xfId="38152" xr:uid="{00000000-0005-0000-0000-00007F440000}"/>
    <cellStyle name="Comma 7 4 5 3 4" xfId="41649" xr:uid="{00000000-0005-0000-0000-000080440000}"/>
    <cellStyle name="Comma 7 4 5 3 5" xfId="45882" xr:uid="{00000000-0005-0000-0000-000081440000}"/>
    <cellStyle name="Comma 7 4 5 3 6" xfId="30337" xr:uid="{00000000-0005-0000-0000-000082440000}"/>
    <cellStyle name="Comma 7 4 5 4" xfId="6420" xr:uid="{00000000-0005-0000-0000-000083440000}"/>
    <cellStyle name="Comma 7 4 5 4 2" xfId="40653" xr:uid="{00000000-0005-0000-0000-000084440000}"/>
    <cellStyle name="Comma 7 4 5 4 2 2" xfId="43439" xr:uid="{00000000-0005-0000-0000-000085440000}"/>
    <cellStyle name="Comma 7 4 5 4 2 3" xfId="45883" xr:uid="{00000000-0005-0000-0000-000086440000}"/>
    <cellStyle name="Comma 7 4 5 4 3" xfId="39085" xr:uid="{00000000-0005-0000-0000-000087440000}"/>
    <cellStyle name="Comma 7 4 5 4 4" xfId="42111" xr:uid="{00000000-0005-0000-0000-000088440000}"/>
    <cellStyle name="Comma 7 4 5 4 5" xfId="45884" xr:uid="{00000000-0005-0000-0000-000089440000}"/>
    <cellStyle name="Comma 7 4 5 4 6" xfId="31194" xr:uid="{00000000-0005-0000-0000-00008A440000}"/>
    <cellStyle name="Comma 7 4 5 5" xfId="32160" xr:uid="{00000000-0005-0000-0000-00008B440000}"/>
    <cellStyle name="Comma 7 4 5 5 2" xfId="40960" xr:uid="{00000000-0005-0000-0000-00008C440000}"/>
    <cellStyle name="Comma 7 4 5 5 2 2" xfId="43695" xr:uid="{00000000-0005-0000-0000-00008D440000}"/>
    <cellStyle name="Comma 7 4 5 5 2 3" xfId="45885" xr:uid="{00000000-0005-0000-0000-00008E440000}"/>
    <cellStyle name="Comma 7 4 5 5 3" xfId="39389" xr:uid="{00000000-0005-0000-0000-00008F440000}"/>
    <cellStyle name="Comma 7 4 5 5 4" xfId="42367" xr:uid="{00000000-0005-0000-0000-000090440000}"/>
    <cellStyle name="Comma 7 4 5 5 5" xfId="45886" xr:uid="{00000000-0005-0000-0000-000091440000}"/>
    <cellStyle name="Comma 7 4 5 6" xfId="32802" xr:uid="{00000000-0005-0000-0000-000092440000}"/>
    <cellStyle name="Comma 7 4 5 6 2" xfId="39915" xr:uid="{00000000-0005-0000-0000-000093440000}"/>
    <cellStyle name="Comma 7 4 5 6 3" xfId="42814" xr:uid="{00000000-0005-0000-0000-000094440000}"/>
    <cellStyle name="Comma 7 4 5 6 4" xfId="45887" xr:uid="{00000000-0005-0000-0000-000095440000}"/>
    <cellStyle name="Comma 7 4 5 7" xfId="34014" xr:uid="{00000000-0005-0000-0000-000096440000}"/>
    <cellStyle name="Comma 7 4 5 8" xfId="34871" xr:uid="{00000000-0005-0000-0000-000097440000}"/>
    <cellStyle name="Comma 7 4 5 9" xfId="35382" xr:uid="{00000000-0005-0000-0000-000098440000}"/>
    <cellStyle name="Comma 7 4 6" xfId="4553" xr:uid="{00000000-0005-0000-0000-000099440000}"/>
    <cellStyle name="Comma 7 4 6 2" xfId="6002" xr:uid="{00000000-0005-0000-0000-00009A440000}"/>
    <cellStyle name="Comma 7 4 6 2 2" xfId="40560" xr:uid="{00000000-0005-0000-0000-00009B440000}"/>
    <cellStyle name="Comma 7 4 6 2 2 2" xfId="43354" xr:uid="{00000000-0005-0000-0000-00009C440000}"/>
    <cellStyle name="Comma 7 4 6 2 2 3" xfId="45888" xr:uid="{00000000-0005-0000-0000-00009D440000}"/>
    <cellStyle name="Comma 7 4 6 2 3" xfId="38997" xr:uid="{00000000-0005-0000-0000-00009E440000}"/>
    <cellStyle name="Comma 7 4 6 2 4" xfId="42026" xr:uid="{00000000-0005-0000-0000-00009F440000}"/>
    <cellStyle name="Comma 7 4 6 2 5" xfId="45889" xr:uid="{00000000-0005-0000-0000-0000A0440000}"/>
    <cellStyle name="Comma 7 4 6 2 6" xfId="35714" xr:uid="{00000000-0005-0000-0000-0000A1440000}"/>
    <cellStyle name="Comma 7 4 6 3" xfId="6323" xr:uid="{00000000-0005-0000-0000-0000A2440000}"/>
    <cellStyle name="Comma 7 4 6 3 2" xfId="41175" xr:uid="{00000000-0005-0000-0000-0000A3440000}"/>
    <cellStyle name="Comma 7 4 6 3 2 2" xfId="43865" xr:uid="{00000000-0005-0000-0000-0000A4440000}"/>
    <cellStyle name="Comma 7 4 6 3 2 3" xfId="45890" xr:uid="{00000000-0005-0000-0000-0000A5440000}"/>
    <cellStyle name="Comma 7 4 6 3 3" xfId="39594" xr:uid="{00000000-0005-0000-0000-0000A6440000}"/>
    <cellStyle name="Comma 7 4 6 3 4" xfId="42537" xr:uid="{00000000-0005-0000-0000-0000A7440000}"/>
    <cellStyle name="Comma 7 4 6 3 5" xfId="45891" xr:uid="{00000000-0005-0000-0000-0000A8440000}"/>
    <cellStyle name="Comma 7 4 6 3 6" xfId="36301" xr:uid="{00000000-0005-0000-0000-0000A9440000}"/>
    <cellStyle name="Comma 7 4 6 4" xfId="40320" xr:uid="{00000000-0005-0000-0000-0000AA440000}"/>
    <cellStyle name="Comma 7 4 6 4 2" xfId="43147" xr:uid="{00000000-0005-0000-0000-0000AB440000}"/>
    <cellStyle name="Comma 7 4 6 4 3" xfId="45892" xr:uid="{00000000-0005-0000-0000-0000AC440000}"/>
    <cellStyle name="Comma 7 4 6 5" xfId="38779" xr:uid="{00000000-0005-0000-0000-0000AD440000}"/>
    <cellStyle name="Comma 7 4 6 6" xfId="41819" xr:uid="{00000000-0005-0000-0000-0000AE440000}"/>
    <cellStyle name="Comma 7 4 6 7" xfId="45893" xr:uid="{00000000-0005-0000-0000-0000AF440000}"/>
    <cellStyle name="Comma 7 4 6 8" xfId="11829" xr:uid="{00000000-0005-0000-0000-0000B0440000}"/>
    <cellStyle name="Comma 7 4 7" xfId="4472" xr:uid="{00000000-0005-0000-0000-0000B1440000}"/>
    <cellStyle name="Comma 7 4 7 2" xfId="5923" xr:uid="{00000000-0005-0000-0000-0000B2440000}"/>
    <cellStyle name="Comma 7 4 7 2 2" xfId="40769" xr:uid="{00000000-0005-0000-0000-0000B3440000}"/>
    <cellStyle name="Comma 7 4 7 2 2 2" xfId="43532" xr:uid="{00000000-0005-0000-0000-0000B4440000}"/>
    <cellStyle name="Comma 7 4 7 2 2 3" xfId="45894" xr:uid="{00000000-0005-0000-0000-0000B5440000}"/>
    <cellStyle name="Comma 7 4 7 2 3" xfId="39196" xr:uid="{00000000-0005-0000-0000-0000B6440000}"/>
    <cellStyle name="Comma 7 4 7 2 4" xfId="42204" xr:uid="{00000000-0005-0000-0000-0000B7440000}"/>
    <cellStyle name="Comma 7 4 7 2 5" xfId="45895" xr:uid="{00000000-0005-0000-0000-0000B8440000}"/>
    <cellStyle name="Comma 7 4 7 2 6" xfId="35655" xr:uid="{00000000-0005-0000-0000-0000B9440000}"/>
    <cellStyle name="Comma 7 4 7 3" xfId="39522" xr:uid="{00000000-0005-0000-0000-0000BA440000}"/>
    <cellStyle name="Comma 7 4 7 3 2" xfId="41098" xr:uid="{00000000-0005-0000-0000-0000BB440000}"/>
    <cellStyle name="Comma 7 4 7 3 2 2" xfId="43810" xr:uid="{00000000-0005-0000-0000-0000BC440000}"/>
    <cellStyle name="Comma 7 4 7 3 2 3" xfId="45896" xr:uid="{00000000-0005-0000-0000-0000BD440000}"/>
    <cellStyle name="Comma 7 4 7 3 3" xfId="42482" xr:uid="{00000000-0005-0000-0000-0000BE440000}"/>
    <cellStyle name="Comma 7 4 7 3 4" xfId="45897" xr:uid="{00000000-0005-0000-0000-0000BF440000}"/>
    <cellStyle name="Comma 7 4 7 4" xfId="40243" xr:uid="{00000000-0005-0000-0000-0000C0440000}"/>
    <cellStyle name="Comma 7 4 7 4 2" xfId="43092" xr:uid="{00000000-0005-0000-0000-0000C1440000}"/>
    <cellStyle name="Comma 7 4 7 4 3" xfId="45898" xr:uid="{00000000-0005-0000-0000-0000C2440000}"/>
    <cellStyle name="Comma 7 4 7 5" xfId="38724" xr:uid="{00000000-0005-0000-0000-0000C3440000}"/>
    <cellStyle name="Comma 7 4 7 6" xfId="41764" xr:uid="{00000000-0005-0000-0000-0000C4440000}"/>
    <cellStyle name="Comma 7 4 7 7" xfId="45899" xr:uid="{00000000-0005-0000-0000-0000C5440000}"/>
    <cellStyle name="Comma 7 4 7 8" xfId="15830" xr:uid="{00000000-0005-0000-0000-0000C6440000}"/>
    <cellStyle name="Comma 7 4 8" xfId="5681" xr:uid="{00000000-0005-0000-0000-0000C7440000}"/>
    <cellStyle name="Comma 7 4 8 2" xfId="40015" xr:uid="{00000000-0005-0000-0000-0000C8440000}"/>
    <cellStyle name="Comma 7 4 8 2 2" xfId="42892" xr:uid="{00000000-0005-0000-0000-0000C9440000}"/>
    <cellStyle name="Comma 7 4 8 2 3" xfId="45900" xr:uid="{00000000-0005-0000-0000-0000CA440000}"/>
    <cellStyle name="Comma 7 4 8 3" xfId="37624" xr:uid="{00000000-0005-0000-0000-0000CB440000}"/>
    <cellStyle name="Comma 7 4 8 4" xfId="41564" xr:uid="{00000000-0005-0000-0000-0000CC440000}"/>
    <cellStyle name="Comma 7 4 8 5" xfId="45901" xr:uid="{00000000-0005-0000-0000-0000CD440000}"/>
    <cellStyle name="Comma 7 4 8 6" xfId="30328" xr:uid="{00000000-0005-0000-0000-0000CE440000}"/>
    <cellStyle name="Comma 7 4 9" xfId="6244" xr:uid="{00000000-0005-0000-0000-0000CF440000}"/>
    <cellStyle name="Comma 7 4 9 2" xfId="40525" xr:uid="{00000000-0005-0000-0000-0000D0440000}"/>
    <cellStyle name="Comma 7 4 9 2 2" xfId="43326" xr:uid="{00000000-0005-0000-0000-0000D1440000}"/>
    <cellStyle name="Comma 7 4 9 2 3" xfId="45902" xr:uid="{00000000-0005-0000-0000-0000D2440000}"/>
    <cellStyle name="Comma 7 4 9 3" xfId="38967" xr:uid="{00000000-0005-0000-0000-0000D3440000}"/>
    <cellStyle name="Comma 7 4 9 4" xfId="41998" xr:uid="{00000000-0005-0000-0000-0000D4440000}"/>
    <cellStyle name="Comma 7 4 9 5" xfId="45903" xr:uid="{00000000-0005-0000-0000-0000D5440000}"/>
    <cellStyle name="Comma 7 4 9 6" xfId="30603" xr:uid="{00000000-0005-0000-0000-0000D6440000}"/>
    <cellStyle name="Comma 7 5" xfId="1041" xr:uid="{00000000-0005-0000-0000-0000D7440000}"/>
    <cellStyle name="Comma 7 5 10" xfId="32161" xr:uid="{00000000-0005-0000-0000-0000D8440000}"/>
    <cellStyle name="Comma 7 5 11" xfId="32803" xr:uid="{00000000-0005-0000-0000-0000D9440000}"/>
    <cellStyle name="Comma 7 5 12" xfId="34015" xr:uid="{00000000-0005-0000-0000-0000DA440000}"/>
    <cellStyle name="Comma 7 5 13" xfId="34222" xr:uid="{00000000-0005-0000-0000-0000DB440000}"/>
    <cellStyle name="Comma 7 5 14" xfId="35295" xr:uid="{00000000-0005-0000-0000-0000DC440000}"/>
    <cellStyle name="Comma 7 5 15" xfId="36250" xr:uid="{00000000-0005-0000-0000-0000DD440000}"/>
    <cellStyle name="Comma 7 5 16" xfId="37468" xr:uid="{00000000-0005-0000-0000-0000DE440000}"/>
    <cellStyle name="Comma 7 5 17" xfId="41415" xr:uid="{00000000-0005-0000-0000-0000DF440000}"/>
    <cellStyle name="Comma 7 5 18" xfId="45904" xr:uid="{00000000-0005-0000-0000-0000E0440000}"/>
    <cellStyle name="Comma 7 5 19" xfId="8113" xr:uid="{00000000-0005-0000-0000-0000E1440000}"/>
    <cellStyle name="Comma 7 5 2" xfId="2826" xr:uid="{00000000-0005-0000-0000-0000E2440000}"/>
    <cellStyle name="Comma 7 5 2 10" xfId="34016" xr:uid="{00000000-0005-0000-0000-0000E3440000}"/>
    <cellStyle name="Comma 7 5 2 11" xfId="34235" xr:uid="{00000000-0005-0000-0000-0000E4440000}"/>
    <cellStyle name="Comma 7 5 2 12" xfId="35388" xr:uid="{00000000-0005-0000-0000-0000E5440000}"/>
    <cellStyle name="Comma 7 5 2 13" xfId="36251" xr:uid="{00000000-0005-0000-0000-0000E6440000}"/>
    <cellStyle name="Comma 7 5 2 14" xfId="37586" xr:uid="{00000000-0005-0000-0000-0000E7440000}"/>
    <cellStyle name="Comma 7 5 2 15" xfId="41532" xr:uid="{00000000-0005-0000-0000-0000E8440000}"/>
    <cellStyle name="Comma 7 5 2 16" xfId="45905" xr:uid="{00000000-0005-0000-0000-0000E9440000}"/>
    <cellStyle name="Comma 7 5 2 17" xfId="8200" xr:uid="{00000000-0005-0000-0000-0000EA440000}"/>
    <cellStyle name="Comma 7 5 2 2" xfId="5137" xr:uid="{00000000-0005-0000-0000-0000EB440000}"/>
    <cellStyle name="Comma 7 5 2 2 10" xfId="34589" xr:uid="{00000000-0005-0000-0000-0000EC440000}"/>
    <cellStyle name="Comma 7 5 2 2 11" xfId="36092" xr:uid="{00000000-0005-0000-0000-0000ED440000}"/>
    <cellStyle name="Comma 7 5 2 2 12" xfId="36392" xr:uid="{00000000-0005-0000-0000-0000EE440000}"/>
    <cellStyle name="Comma 7 5 2 2 13" xfId="38871" xr:uid="{00000000-0005-0000-0000-0000EF440000}"/>
    <cellStyle name="Comma 7 5 2 2 14" xfId="41910" xr:uid="{00000000-0005-0000-0000-0000F0440000}"/>
    <cellStyle name="Comma 7 5 2 2 15" xfId="45906" xr:uid="{00000000-0005-0000-0000-0000F1440000}"/>
    <cellStyle name="Comma 7 5 2 2 16" xfId="8922" xr:uid="{00000000-0005-0000-0000-0000F2440000}"/>
    <cellStyle name="Comma 7 5 2 2 2" xfId="6106" xr:uid="{00000000-0005-0000-0000-0000F3440000}"/>
    <cellStyle name="Comma 7 5 2 2 2 2" xfId="31503" xr:uid="{00000000-0005-0000-0000-0000F4440000}"/>
    <cellStyle name="Comma 7 5 2 2 2 2 2" xfId="40814" xr:uid="{00000000-0005-0000-0000-0000F5440000}"/>
    <cellStyle name="Comma 7 5 2 2 2 2 3" xfId="43569" xr:uid="{00000000-0005-0000-0000-0000F6440000}"/>
    <cellStyle name="Comma 7 5 2 2 2 2 4" xfId="45907" xr:uid="{00000000-0005-0000-0000-0000F7440000}"/>
    <cellStyle name="Comma 7 5 2 2 2 3" xfId="33356" xr:uid="{00000000-0005-0000-0000-0000F8440000}"/>
    <cellStyle name="Comma 7 5 2 2 2 4" xfId="35180" xr:uid="{00000000-0005-0000-0000-0000F9440000}"/>
    <cellStyle name="Comma 7 5 2 2 2 5" xfId="37270" xr:uid="{00000000-0005-0000-0000-0000FA440000}"/>
    <cellStyle name="Comma 7 5 2 2 2 6" xfId="39251" xr:uid="{00000000-0005-0000-0000-0000FB440000}"/>
    <cellStyle name="Comma 7 5 2 2 2 7" xfId="42241" xr:uid="{00000000-0005-0000-0000-0000FC440000}"/>
    <cellStyle name="Comma 7 5 2 2 2 8" xfId="45908" xr:uid="{00000000-0005-0000-0000-0000FD440000}"/>
    <cellStyle name="Comma 7 5 2 2 2 9" xfId="12921" xr:uid="{00000000-0005-0000-0000-0000FE440000}"/>
    <cellStyle name="Comma 7 5 2 2 3" xfId="6426" xr:uid="{00000000-0005-0000-0000-0000FF440000}"/>
    <cellStyle name="Comma 7 5 2 2 3 2" xfId="41276" xr:uid="{00000000-0005-0000-0000-000000450000}"/>
    <cellStyle name="Comma 7 5 2 2 3 2 2" xfId="43956" xr:uid="{00000000-0005-0000-0000-000001450000}"/>
    <cellStyle name="Comma 7 5 2 2 3 2 3" xfId="45909" xr:uid="{00000000-0005-0000-0000-000002450000}"/>
    <cellStyle name="Comma 7 5 2 2 3 3" xfId="39693" xr:uid="{00000000-0005-0000-0000-000003450000}"/>
    <cellStyle name="Comma 7 5 2 2 3 4" xfId="42628" xr:uid="{00000000-0005-0000-0000-000004450000}"/>
    <cellStyle name="Comma 7 5 2 2 3 5" xfId="45910" xr:uid="{00000000-0005-0000-0000-000005450000}"/>
    <cellStyle name="Comma 7 5 2 2 3 6" xfId="12138" xr:uid="{00000000-0005-0000-0000-000006450000}"/>
    <cellStyle name="Comma 7 5 2 2 4" xfId="15842" xr:uid="{00000000-0005-0000-0000-000007450000}"/>
    <cellStyle name="Comma 7 5 2 2 4 2" xfId="40420" xr:uid="{00000000-0005-0000-0000-000008450000}"/>
    <cellStyle name="Comma 7 5 2 2 4 3" xfId="43238" xr:uid="{00000000-0005-0000-0000-000009450000}"/>
    <cellStyle name="Comma 7 5 2 2 4 4" xfId="45911" xr:uid="{00000000-0005-0000-0000-00000A450000}"/>
    <cellStyle name="Comma 7 5 2 2 5" xfId="30340" xr:uid="{00000000-0005-0000-0000-00000B450000}"/>
    <cellStyle name="Comma 7 5 2 2 6" xfId="30912" xr:uid="{00000000-0005-0000-0000-00000C450000}"/>
    <cellStyle name="Comma 7 5 2 2 7" xfId="32163" xr:uid="{00000000-0005-0000-0000-00000D450000}"/>
    <cellStyle name="Comma 7 5 2 2 8" xfId="32805" xr:uid="{00000000-0005-0000-0000-00000E450000}"/>
    <cellStyle name="Comma 7 5 2 2 9" xfId="34017" xr:uid="{00000000-0005-0000-0000-00000F450000}"/>
    <cellStyle name="Comma 7 5 2 3" xfId="4478" xr:uid="{00000000-0005-0000-0000-000010450000}"/>
    <cellStyle name="Comma 7 5 2 3 10" xfId="12441" xr:uid="{00000000-0005-0000-0000-000011450000}"/>
    <cellStyle name="Comma 7 5 2 3 2" xfId="5929" xr:uid="{00000000-0005-0000-0000-000012450000}"/>
    <cellStyle name="Comma 7 5 2 3 2 2" xfId="41104" xr:uid="{00000000-0005-0000-0000-000013450000}"/>
    <cellStyle name="Comma 7 5 2 3 2 2 2" xfId="43816" xr:uid="{00000000-0005-0000-0000-000014450000}"/>
    <cellStyle name="Comma 7 5 2 3 2 2 3" xfId="45912" xr:uid="{00000000-0005-0000-0000-000015450000}"/>
    <cellStyle name="Comma 7 5 2 3 2 3" xfId="39528" xr:uid="{00000000-0005-0000-0000-000016450000}"/>
    <cellStyle name="Comma 7 5 2 3 2 4" xfId="42488" xr:uid="{00000000-0005-0000-0000-000017450000}"/>
    <cellStyle name="Comma 7 5 2 3 2 5" xfId="45913" xr:uid="{00000000-0005-0000-0000-000018450000}"/>
    <cellStyle name="Comma 7 5 2 3 2 6" xfId="31149" xr:uid="{00000000-0005-0000-0000-000019450000}"/>
    <cellStyle name="Comma 7 5 2 3 3" xfId="33007" xr:uid="{00000000-0005-0000-0000-00001A450000}"/>
    <cellStyle name="Comma 7 5 2 3 3 2" xfId="40249" xr:uid="{00000000-0005-0000-0000-00001B450000}"/>
    <cellStyle name="Comma 7 5 2 3 3 3" xfId="43098" xr:uid="{00000000-0005-0000-0000-00001C450000}"/>
    <cellStyle name="Comma 7 5 2 3 3 4" xfId="45914" xr:uid="{00000000-0005-0000-0000-00001D450000}"/>
    <cellStyle name="Comma 7 5 2 3 4" xfId="34826" xr:uid="{00000000-0005-0000-0000-00001E450000}"/>
    <cellStyle name="Comma 7 5 2 3 5" xfId="35661" xr:uid="{00000000-0005-0000-0000-00001F450000}"/>
    <cellStyle name="Comma 7 5 2 3 6" xfId="36928" xr:uid="{00000000-0005-0000-0000-000020450000}"/>
    <cellStyle name="Comma 7 5 2 3 7" xfId="38730" xr:uid="{00000000-0005-0000-0000-000021450000}"/>
    <cellStyle name="Comma 7 5 2 3 8" xfId="41770" xr:uid="{00000000-0005-0000-0000-000022450000}"/>
    <cellStyle name="Comma 7 5 2 3 9" xfId="45915" xr:uid="{00000000-0005-0000-0000-000023450000}"/>
    <cellStyle name="Comma 7 5 2 4" xfId="5791" xr:uid="{00000000-0005-0000-0000-000024450000}"/>
    <cellStyle name="Comma 7 5 2 4 2" xfId="40114" xr:uid="{00000000-0005-0000-0000-000025450000}"/>
    <cellStyle name="Comma 7 5 2 4 2 2" xfId="42983" xr:uid="{00000000-0005-0000-0000-000026450000}"/>
    <cellStyle name="Comma 7 5 2 4 2 3" xfId="45916" xr:uid="{00000000-0005-0000-0000-000027450000}"/>
    <cellStyle name="Comma 7 5 2 4 3" xfId="38158" xr:uid="{00000000-0005-0000-0000-000028450000}"/>
    <cellStyle name="Comma 7 5 2 4 4" xfId="41655" xr:uid="{00000000-0005-0000-0000-000029450000}"/>
    <cellStyle name="Comma 7 5 2 4 5" xfId="45917" xr:uid="{00000000-0005-0000-0000-00002A450000}"/>
    <cellStyle name="Comma 7 5 2 4 6" xfId="11784" xr:uid="{00000000-0005-0000-0000-00002B450000}"/>
    <cellStyle name="Comma 7 5 2 5" xfId="6250" xr:uid="{00000000-0005-0000-0000-00002C450000}"/>
    <cellStyle name="Comma 7 5 2 5 2" xfId="40659" xr:uid="{00000000-0005-0000-0000-00002D450000}"/>
    <cellStyle name="Comma 7 5 2 5 2 2" xfId="43445" xr:uid="{00000000-0005-0000-0000-00002E450000}"/>
    <cellStyle name="Comma 7 5 2 5 2 3" xfId="45918" xr:uid="{00000000-0005-0000-0000-00002F450000}"/>
    <cellStyle name="Comma 7 5 2 5 3" xfId="39091" xr:uid="{00000000-0005-0000-0000-000030450000}"/>
    <cellStyle name="Comma 7 5 2 5 4" xfId="42117" xr:uid="{00000000-0005-0000-0000-000031450000}"/>
    <cellStyle name="Comma 7 5 2 5 5" xfId="45919" xr:uid="{00000000-0005-0000-0000-000032450000}"/>
    <cellStyle name="Comma 7 5 2 5 6" xfId="15841" xr:uid="{00000000-0005-0000-0000-000033450000}"/>
    <cellStyle name="Comma 7 5 2 6" xfId="30339" xr:uid="{00000000-0005-0000-0000-000034450000}"/>
    <cellStyle name="Comma 7 5 2 6 2" xfId="40966" xr:uid="{00000000-0005-0000-0000-000035450000}"/>
    <cellStyle name="Comma 7 5 2 6 2 2" xfId="43701" xr:uid="{00000000-0005-0000-0000-000036450000}"/>
    <cellStyle name="Comma 7 5 2 6 2 3" xfId="45920" xr:uid="{00000000-0005-0000-0000-000037450000}"/>
    <cellStyle name="Comma 7 5 2 6 3" xfId="39395" xr:uid="{00000000-0005-0000-0000-000038450000}"/>
    <cellStyle name="Comma 7 5 2 6 4" xfId="42373" xr:uid="{00000000-0005-0000-0000-000039450000}"/>
    <cellStyle name="Comma 7 5 2 6 5" xfId="45921" xr:uid="{00000000-0005-0000-0000-00003A450000}"/>
    <cellStyle name="Comma 7 5 2 7" xfId="30558" xr:uid="{00000000-0005-0000-0000-00003B450000}"/>
    <cellStyle name="Comma 7 5 2 7 2" xfId="39972" xr:uid="{00000000-0005-0000-0000-00003C450000}"/>
    <cellStyle name="Comma 7 5 2 7 3" xfId="42860" xr:uid="{00000000-0005-0000-0000-00003D450000}"/>
    <cellStyle name="Comma 7 5 2 7 4" xfId="45922" xr:uid="{00000000-0005-0000-0000-00003E450000}"/>
    <cellStyle name="Comma 7 5 2 8" xfId="32162" xr:uid="{00000000-0005-0000-0000-00003F450000}"/>
    <cellStyle name="Comma 7 5 2 9" xfId="32804" xr:uid="{00000000-0005-0000-0000-000040450000}"/>
    <cellStyle name="Comma 7 5 3" xfId="2825" xr:uid="{00000000-0005-0000-0000-000041450000}"/>
    <cellStyle name="Comma 7 5 3 10" xfId="34588" xr:uid="{00000000-0005-0000-0000-000042450000}"/>
    <cellStyle name="Comma 7 5 3 11" xfId="35387" xr:uid="{00000000-0005-0000-0000-000043450000}"/>
    <cellStyle name="Comma 7 5 3 12" xfId="36391" xr:uid="{00000000-0005-0000-0000-000044450000}"/>
    <cellStyle name="Comma 7 5 3 13" xfId="37542" xr:uid="{00000000-0005-0000-0000-000045450000}"/>
    <cellStyle name="Comma 7 5 3 14" xfId="41488" xr:uid="{00000000-0005-0000-0000-000046450000}"/>
    <cellStyle name="Comma 7 5 3 15" xfId="45923" xr:uid="{00000000-0005-0000-0000-000047450000}"/>
    <cellStyle name="Comma 7 5 3 16" xfId="8921" xr:uid="{00000000-0005-0000-0000-000048450000}"/>
    <cellStyle name="Comma 7 5 3 2" xfId="5136" xr:uid="{00000000-0005-0000-0000-000049450000}"/>
    <cellStyle name="Comma 7 5 3 2 10" xfId="36091" xr:uid="{00000000-0005-0000-0000-00004A450000}"/>
    <cellStyle name="Comma 7 5 3 2 11" xfId="37269" xr:uid="{00000000-0005-0000-0000-00004B450000}"/>
    <cellStyle name="Comma 7 5 3 2 12" xfId="38870" xr:uid="{00000000-0005-0000-0000-00004C450000}"/>
    <cellStyle name="Comma 7 5 3 2 13" xfId="41909" xr:uid="{00000000-0005-0000-0000-00004D450000}"/>
    <cellStyle name="Comma 7 5 3 2 14" xfId="45924" xr:uid="{00000000-0005-0000-0000-00004E450000}"/>
    <cellStyle name="Comma 7 5 3 2 15" xfId="12920" xr:uid="{00000000-0005-0000-0000-00004F450000}"/>
    <cellStyle name="Comma 7 5 3 2 2" xfId="6105" xr:uid="{00000000-0005-0000-0000-000050450000}"/>
    <cellStyle name="Comma 7 5 3 2 2 2" xfId="41275" xr:uid="{00000000-0005-0000-0000-000051450000}"/>
    <cellStyle name="Comma 7 5 3 2 2 2 2" xfId="43955" xr:uid="{00000000-0005-0000-0000-000052450000}"/>
    <cellStyle name="Comma 7 5 3 2 2 2 3" xfId="45925" xr:uid="{00000000-0005-0000-0000-000053450000}"/>
    <cellStyle name="Comma 7 5 3 2 2 3" xfId="39692" xr:uid="{00000000-0005-0000-0000-000054450000}"/>
    <cellStyle name="Comma 7 5 3 2 2 4" xfId="42627" xr:uid="{00000000-0005-0000-0000-000055450000}"/>
    <cellStyle name="Comma 7 5 3 2 2 5" xfId="45926" xr:uid="{00000000-0005-0000-0000-000056450000}"/>
    <cellStyle name="Comma 7 5 3 2 2 6" xfId="15844" xr:uid="{00000000-0005-0000-0000-000057450000}"/>
    <cellStyle name="Comma 7 5 3 2 3" xfId="30342" xr:uid="{00000000-0005-0000-0000-000058450000}"/>
    <cellStyle name="Comma 7 5 3 2 3 2" xfId="40419" xr:uid="{00000000-0005-0000-0000-000059450000}"/>
    <cellStyle name="Comma 7 5 3 2 3 3" xfId="43237" xr:uid="{00000000-0005-0000-0000-00005A450000}"/>
    <cellStyle name="Comma 7 5 3 2 3 4" xfId="45927" xr:uid="{00000000-0005-0000-0000-00005B450000}"/>
    <cellStyle name="Comma 7 5 3 2 4" xfId="31502" xr:uid="{00000000-0005-0000-0000-00005C450000}"/>
    <cellStyle name="Comma 7 5 3 2 5" xfId="32165" xr:uid="{00000000-0005-0000-0000-00005D450000}"/>
    <cellStyle name="Comma 7 5 3 2 6" xfId="32807" xr:uid="{00000000-0005-0000-0000-00005E450000}"/>
    <cellStyle name="Comma 7 5 3 2 7" xfId="33355" xr:uid="{00000000-0005-0000-0000-00005F450000}"/>
    <cellStyle name="Comma 7 5 3 2 8" xfId="34019" xr:uid="{00000000-0005-0000-0000-000060450000}"/>
    <cellStyle name="Comma 7 5 3 2 9" xfId="35179" xr:uid="{00000000-0005-0000-0000-000061450000}"/>
    <cellStyle name="Comma 7 5 3 3" xfId="5790" xr:uid="{00000000-0005-0000-0000-000062450000}"/>
    <cellStyle name="Comma 7 5 3 3 2" xfId="40113" xr:uid="{00000000-0005-0000-0000-000063450000}"/>
    <cellStyle name="Comma 7 5 3 3 2 2" xfId="42982" xr:uid="{00000000-0005-0000-0000-000064450000}"/>
    <cellStyle name="Comma 7 5 3 3 2 3" xfId="45928" xr:uid="{00000000-0005-0000-0000-000065450000}"/>
    <cellStyle name="Comma 7 5 3 3 3" xfId="38157" xr:uid="{00000000-0005-0000-0000-000066450000}"/>
    <cellStyle name="Comma 7 5 3 3 4" xfId="41654" xr:uid="{00000000-0005-0000-0000-000067450000}"/>
    <cellStyle name="Comma 7 5 3 3 5" xfId="45929" xr:uid="{00000000-0005-0000-0000-000068450000}"/>
    <cellStyle name="Comma 7 5 3 3 6" xfId="12137" xr:uid="{00000000-0005-0000-0000-000069450000}"/>
    <cellStyle name="Comma 7 5 3 4" xfId="6425" xr:uid="{00000000-0005-0000-0000-00006A450000}"/>
    <cellStyle name="Comma 7 5 3 4 2" xfId="40658" xr:uid="{00000000-0005-0000-0000-00006B450000}"/>
    <cellStyle name="Comma 7 5 3 4 2 2" xfId="43444" xr:uid="{00000000-0005-0000-0000-00006C450000}"/>
    <cellStyle name="Comma 7 5 3 4 2 3" xfId="45930" xr:uid="{00000000-0005-0000-0000-00006D450000}"/>
    <cellStyle name="Comma 7 5 3 4 3" xfId="39090" xr:uid="{00000000-0005-0000-0000-00006E450000}"/>
    <cellStyle name="Comma 7 5 3 4 4" xfId="42116" xr:uid="{00000000-0005-0000-0000-00006F450000}"/>
    <cellStyle name="Comma 7 5 3 4 5" xfId="45931" xr:uid="{00000000-0005-0000-0000-000070450000}"/>
    <cellStyle name="Comma 7 5 3 4 6" xfId="15843" xr:uid="{00000000-0005-0000-0000-000071450000}"/>
    <cellStyle name="Comma 7 5 3 5" xfId="30341" xr:uid="{00000000-0005-0000-0000-000072450000}"/>
    <cellStyle name="Comma 7 5 3 5 2" xfId="40965" xr:uid="{00000000-0005-0000-0000-000073450000}"/>
    <cellStyle name="Comma 7 5 3 5 2 2" xfId="43700" xr:uid="{00000000-0005-0000-0000-000074450000}"/>
    <cellStyle name="Comma 7 5 3 5 2 3" xfId="45932" xr:uid="{00000000-0005-0000-0000-000075450000}"/>
    <cellStyle name="Comma 7 5 3 5 3" xfId="39394" xr:uid="{00000000-0005-0000-0000-000076450000}"/>
    <cellStyle name="Comma 7 5 3 5 4" xfId="42372" xr:uid="{00000000-0005-0000-0000-000077450000}"/>
    <cellStyle name="Comma 7 5 3 5 5" xfId="45933" xr:uid="{00000000-0005-0000-0000-000078450000}"/>
    <cellStyle name="Comma 7 5 3 6" xfId="30911" xr:uid="{00000000-0005-0000-0000-000079450000}"/>
    <cellStyle name="Comma 7 5 3 6 2" xfId="39917" xr:uid="{00000000-0005-0000-0000-00007A450000}"/>
    <cellStyle name="Comma 7 5 3 6 3" xfId="42816" xr:uid="{00000000-0005-0000-0000-00007B450000}"/>
    <cellStyle name="Comma 7 5 3 6 4" xfId="45934" xr:uid="{00000000-0005-0000-0000-00007C450000}"/>
    <cellStyle name="Comma 7 5 3 7" xfId="32164" xr:uid="{00000000-0005-0000-0000-00007D450000}"/>
    <cellStyle name="Comma 7 5 3 8" xfId="32806" xr:uid="{00000000-0005-0000-0000-00007E450000}"/>
    <cellStyle name="Comma 7 5 3 9" xfId="34018" xr:uid="{00000000-0005-0000-0000-00007F450000}"/>
    <cellStyle name="Comma 7 5 4" xfId="4554" xr:uid="{00000000-0005-0000-0000-000080450000}"/>
    <cellStyle name="Comma 7 5 4 10" xfId="34664" xr:uid="{00000000-0005-0000-0000-000081450000}"/>
    <cellStyle name="Comma 7 5 4 11" xfId="35715" xr:uid="{00000000-0005-0000-0000-000082450000}"/>
    <cellStyle name="Comma 7 5 4 12" xfId="36302" xr:uid="{00000000-0005-0000-0000-000083450000}"/>
    <cellStyle name="Comma 7 5 4 13" xfId="38780" xr:uid="{00000000-0005-0000-0000-000084450000}"/>
    <cellStyle name="Comma 7 5 4 14" xfId="41820" xr:uid="{00000000-0005-0000-0000-000085450000}"/>
    <cellStyle name="Comma 7 5 4 15" xfId="45935" xr:uid="{00000000-0005-0000-0000-000086450000}"/>
    <cellStyle name="Comma 7 5 4 16" xfId="11550" xr:uid="{00000000-0005-0000-0000-000087450000}"/>
    <cellStyle name="Comma 7 5 4 2" xfId="6003" xr:uid="{00000000-0005-0000-0000-000088450000}"/>
    <cellStyle name="Comma 7 5 4 2 2" xfId="31578" xr:uid="{00000000-0005-0000-0000-000089450000}"/>
    <cellStyle name="Comma 7 5 4 2 2 2" xfId="40561" xr:uid="{00000000-0005-0000-0000-00008A450000}"/>
    <cellStyle name="Comma 7 5 4 2 2 3" xfId="43355" xr:uid="{00000000-0005-0000-0000-00008B450000}"/>
    <cellStyle name="Comma 7 5 4 2 2 4" xfId="45936" xr:uid="{00000000-0005-0000-0000-00008C450000}"/>
    <cellStyle name="Comma 7 5 4 2 3" xfId="33431" xr:uid="{00000000-0005-0000-0000-00008D450000}"/>
    <cellStyle name="Comma 7 5 4 2 4" xfId="35255" xr:uid="{00000000-0005-0000-0000-00008E450000}"/>
    <cellStyle name="Comma 7 5 4 2 5" xfId="37333" xr:uid="{00000000-0005-0000-0000-00008F450000}"/>
    <cellStyle name="Comma 7 5 4 2 6" xfId="38998" xr:uid="{00000000-0005-0000-0000-000090450000}"/>
    <cellStyle name="Comma 7 5 4 2 7" xfId="42027" xr:uid="{00000000-0005-0000-0000-000091450000}"/>
    <cellStyle name="Comma 7 5 4 2 8" xfId="45937" xr:uid="{00000000-0005-0000-0000-000092450000}"/>
    <cellStyle name="Comma 7 5 4 2 9" xfId="15171" xr:uid="{00000000-0005-0000-0000-000093450000}"/>
    <cellStyle name="Comma 7 5 4 3" xfId="6324" xr:uid="{00000000-0005-0000-0000-000094450000}"/>
    <cellStyle name="Comma 7 5 4 3 2" xfId="41176" xr:uid="{00000000-0005-0000-0000-000095450000}"/>
    <cellStyle name="Comma 7 5 4 3 2 2" xfId="43866" xr:uid="{00000000-0005-0000-0000-000096450000}"/>
    <cellStyle name="Comma 7 5 4 3 2 3" xfId="45938" xr:uid="{00000000-0005-0000-0000-000097450000}"/>
    <cellStyle name="Comma 7 5 4 3 3" xfId="39595" xr:uid="{00000000-0005-0000-0000-000098450000}"/>
    <cellStyle name="Comma 7 5 4 3 4" xfId="42538" xr:uid="{00000000-0005-0000-0000-000099450000}"/>
    <cellStyle name="Comma 7 5 4 3 5" xfId="45939" xr:uid="{00000000-0005-0000-0000-00009A450000}"/>
    <cellStyle name="Comma 7 5 4 3 6" xfId="12213" xr:uid="{00000000-0005-0000-0000-00009B450000}"/>
    <cellStyle name="Comma 7 5 4 4" xfId="15845" xr:uid="{00000000-0005-0000-0000-00009C450000}"/>
    <cellStyle name="Comma 7 5 4 4 2" xfId="40321" xr:uid="{00000000-0005-0000-0000-00009D450000}"/>
    <cellStyle name="Comma 7 5 4 4 3" xfId="43148" xr:uid="{00000000-0005-0000-0000-00009E450000}"/>
    <cellStyle name="Comma 7 5 4 4 4" xfId="45940" xr:uid="{00000000-0005-0000-0000-00009F450000}"/>
    <cellStyle name="Comma 7 5 4 5" xfId="30343" xr:uid="{00000000-0005-0000-0000-0000A0450000}"/>
    <cellStyle name="Comma 7 5 4 6" xfId="30987" xr:uid="{00000000-0005-0000-0000-0000A1450000}"/>
    <cellStyle name="Comma 7 5 4 7" xfId="32166" xr:uid="{00000000-0005-0000-0000-0000A2450000}"/>
    <cellStyle name="Comma 7 5 4 8" xfId="32808" xr:uid="{00000000-0005-0000-0000-0000A3450000}"/>
    <cellStyle name="Comma 7 5 4 9" xfId="34020" xr:uid="{00000000-0005-0000-0000-0000A4450000}"/>
    <cellStyle name="Comma 7 5 5" xfId="4477" xr:uid="{00000000-0005-0000-0000-0000A5450000}"/>
    <cellStyle name="Comma 7 5 5 10" xfId="35660" xr:uid="{00000000-0005-0000-0000-0000A6450000}"/>
    <cellStyle name="Comma 7 5 5 11" xfId="36919" xr:uid="{00000000-0005-0000-0000-0000A7450000}"/>
    <cellStyle name="Comma 7 5 5 12" xfId="38729" xr:uid="{00000000-0005-0000-0000-0000A8450000}"/>
    <cellStyle name="Comma 7 5 5 13" xfId="41769" xr:uid="{00000000-0005-0000-0000-0000A9450000}"/>
    <cellStyle name="Comma 7 5 5 14" xfId="45941" xr:uid="{00000000-0005-0000-0000-0000AA450000}"/>
    <cellStyle name="Comma 7 5 5 15" xfId="12425" xr:uid="{00000000-0005-0000-0000-0000AB450000}"/>
    <cellStyle name="Comma 7 5 5 2" xfId="5928" xr:uid="{00000000-0005-0000-0000-0000AC450000}"/>
    <cellStyle name="Comma 7 5 5 2 2" xfId="40770" xr:uid="{00000000-0005-0000-0000-0000AD450000}"/>
    <cellStyle name="Comma 7 5 5 2 2 2" xfId="43533" xr:uid="{00000000-0005-0000-0000-0000AE450000}"/>
    <cellStyle name="Comma 7 5 5 2 2 3" xfId="45942" xr:uid="{00000000-0005-0000-0000-0000AF450000}"/>
    <cellStyle name="Comma 7 5 5 2 3" xfId="39197" xr:uid="{00000000-0005-0000-0000-0000B0450000}"/>
    <cellStyle name="Comma 7 5 5 2 4" xfId="42205" xr:uid="{00000000-0005-0000-0000-0000B1450000}"/>
    <cellStyle name="Comma 7 5 5 2 5" xfId="45943" xr:uid="{00000000-0005-0000-0000-0000B2450000}"/>
    <cellStyle name="Comma 7 5 5 2 6" xfId="15846" xr:uid="{00000000-0005-0000-0000-0000B3450000}"/>
    <cellStyle name="Comma 7 5 5 3" xfId="30344" xr:uid="{00000000-0005-0000-0000-0000B4450000}"/>
    <cellStyle name="Comma 7 5 5 3 2" xfId="41103" xr:uid="{00000000-0005-0000-0000-0000B5450000}"/>
    <cellStyle name="Comma 7 5 5 3 2 2" xfId="43815" xr:uid="{00000000-0005-0000-0000-0000B6450000}"/>
    <cellStyle name="Comma 7 5 5 3 2 3" xfId="45944" xr:uid="{00000000-0005-0000-0000-0000B7450000}"/>
    <cellStyle name="Comma 7 5 5 3 3" xfId="39527" xr:uid="{00000000-0005-0000-0000-0000B8450000}"/>
    <cellStyle name="Comma 7 5 5 3 4" xfId="42487" xr:uid="{00000000-0005-0000-0000-0000B9450000}"/>
    <cellStyle name="Comma 7 5 5 3 5" xfId="45945" xr:uid="{00000000-0005-0000-0000-0000BA450000}"/>
    <cellStyle name="Comma 7 5 5 4" xfId="31136" xr:uid="{00000000-0005-0000-0000-0000BB450000}"/>
    <cellStyle name="Comma 7 5 5 4 2" xfId="40248" xr:uid="{00000000-0005-0000-0000-0000BC450000}"/>
    <cellStyle name="Comma 7 5 5 4 3" xfId="43097" xr:uid="{00000000-0005-0000-0000-0000BD450000}"/>
    <cellStyle name="Comma 7 5 5 4 4" xfId="45946" xr:uid="{00000000-0005-0000-0000-0000BE450000}"/>
    <cellStyle name="Comma 7 5 5 5" xfId="32167" xr:uid="{00000000-0005-0000-0000-0000BF450000}"/>
    <cellStyle name="Comma 7 5 5 6" xfId="32809" xr:uid="{00000000-0005-0000-0000-0000C0450000}"/>
    <cellStyle name="Comma 7 5 5 7" xfId="32998" xr:uid="{00000000-0005-0000-0000-0000C1450000}"/>
    <cellStyle name="Comma 7 5 5 8" xfId="34021" xr:uid="{00000000-0005-0000-0000-0000C2450000}"/>
    <cellStyle name="Comma 7 5 5 9" xfId="34813" xr:uid="{00000000-0005-0000-0000-0000C3450000}"/>
    <cellStyle name="Comma 7 5 6" xfId="5682" xr:uid="{00000000-0005-0000-0000-0000C4450000}"/>
    <cellStyle name="Comma 7 5 6 10" xfId="11771" xr:uid="{00000000-0005-0000-0000-0000C5450000}"/>
    <cellStyle name="Comma 7 5 6 2" xfId="15847" xr:uid="{00000000-0005-0000-0000-0000C6450000}"/>
    <cellStyle name="Comma 7 5 6 2 2" xfId="40016" xr:uid="{00000000-0005-0000-0000-0000C7450000}"/>
    <cellStyle name="Comma 7 5 6 2 3" xfId="42893" xr:uid="{00000000-0005-0000-0000-0000C8450000}"/>
    <cellStyle name="Comma 7 5 6 2 4" xfId="45947" xr:uid="{00000000-0005-0000-0000-0000C9450000}"/>
    <cellStyle name="Comma 7 5 6 3" xfId="30345" xr:uid="{00000000-0005-0000-0000-0000CA450000}"/>
    <cellStyle name="Comma 7 5 6 4" xfId="32168" xr:uid="{00000000-0005-0000-0000-0000CB450000}"/>
    <cellStyle name="Comma 7 5 6 5" xfId="32810" xr:uid="{00000000-0005-0000-0000-0000CC450000}"/>
    <cellStyle name="Comma 7 5 6 6" xfId="34022" xr:uid="{00000000-0005-0000-0000-0000CD450000}"/>
    <cellStyle name="Comma 7 5 6 7" xfId="37625" xr:uid="{00000000-0005-0000-0000-0000CE450000}"/>
    <cellStyle name="Comma 7 5 6 8" xfId="41565" xr:uid="{00000000-0005-0000-0000-0000CF450000}"/>
    <cellStyle name="Comma 7 5 6 9" xfId="45948" xr:uid="{00000000-0005-0000-0000-0000D0450000}"/>
    <cellStyle name="Comma 7 5 7" xfId="6249" xr:uid="{00000000-0005-0000-0000-0000D1450000}"/>
    <cellStyle name="Comma 7 5 7 2" xfId="40526" xr:uid="{00000000-0005-0000-0000-0000D2450000}"/>
    <cellStyle name="Comma 7 5 7 2 2" xfId="43327" xr:uid="{00000000-0005-0000-0000-0000D3450000}"/>
    <cellStyle name="Comma 7 5 7 2 3" xfId="45949" xr:uid="{00000000-0005-0000-0000-0000D4450000}"/>
    <cellStyle name="Comma 7 5 7 3" xfId="38968" xr:uid="{00000000-0005-0000-0000-0000D5450000}"/>
    <cellStyle name="Comma 7 5 7 4" xfId="41999" xr:uid="{00000000-0005-0000-0000-0000D6450000}"/>
    <cellStyle name="Comma 7 5 7 5" xfId="45950" xr:uid="{00000000-0005-0000-0000-0000D7450000}"/>
    <cellStyle name="Comma 7 5 7 6" xfId="15840" xr:uid="{00000000-0005-0000-0000-0000D8450000}"/>
    <cellStyle name="Comma 7 5 8" xfId="30338" xr:uid="{00000000-0005-0000-0000-0000D9450000}"/>
    <cellStyle name="Comma 7 5 8 2" xfId="40867" xr:uid="{00000000-0005-0000-0000-0000DA450000}"/>
    <cellStyle name="Comma 7 5 8 2 2" xfId="43611" xr:uid="{00000000-0005-0000-0000-0000DB450000}"/>
    <cellStyle name="Comma 7 5 8 2 3" xfId="45951" xr:uid="{00000000-0005-0000-0000-0000DC450000}"/>
    <cellStyle name="Comma 7 5 8 3" xfId="39302" xr:uid="{00000000-0005-0000-0000-0000DD450000}"/>
    <cellStyle name="Comma 7 5 8 4" xfId="42283" xr:uid="{00000000-0005-0000-0000-0000DE450000}"/>
    <cellStyle name="Comma 7 5 8 5" xfId="45952" xr:uid="{00000000-0005-0000-0000-0000DF450000}"/>
    <cellStyle name="Comma 7 5 9" xfId="30545" xr:uid="{00000000-0005-0000-0000-0000E0450000}"/>
    <cellStyle name="Comma 7 5 9 2" xfId="39835" xr:uid="{00000000-0005-0000-0000-0000E1450000}"/>
    <cellStyle name="Comma 7 5 9 3" xfId="42743" xr:uid="{00000000-0005-0000-0000-0000E2450000}"/>
    <cellStyle name="Comma 7 5 9 4" xfId="45953" xr:uid="{00000000-0005-0000-0000-0000E3450000}"/>
    <cellStyle name="Comma 7 6" xfId="2827" xr:uid="{00000000-0005-0000-0000-0000E4450000}"/>
    <cellStyle name="Comma 7 6 10" xfId="34023" xr:uid="{00000000-0005-0000-0000-0000E5450000}"/>
    <cellStyle name="Comma 7 6 11" xfId="34590" xr:uid="{00000000-0005-0000-0000-0000E6450000}"/>
    <cellStyle name="Comma 7 6 12" xfId="35389" xr:uid="{00000000-0005-0000-0000-0000E7450000}"/>
    <cellStyle name="Comma 7 6 13" xfId="36252" xr:uid="{00000000-0005-0000-0000-0000E8450000}"/>
    <cellStyle name="Comma 7 6 14" xfId="37469" xr:uid="{00000000-0005-0000-0000-0000E9450000}"/>
    <cellStyle name="Comma 7 6 15" xfId="41416" xr:uid="{00000000-0005-0000-0000-0000EA450000}"/>
    <cellStyle name="Comma 7 6 16" xfId="45954" xr:uid="{00000000-0005-0000-0000-0000EB450000}"/>
    <cellStyle name="Comma 7 6 17" xfId="8923" xr:uid="{00000000-0005-0000-0000-0000EC450000}"/>
    <cellStyle name="Comma 7 6 2" xfId="2828" xr:uid="{00000000-0005-0000-0000-0000ED450000}"/>
    <cellStyle name="Comma 7 6 2 10" xfId="34665" xr:uid="{00000000-0005-0000-0000-0000EE450000}"/>
    <cellStyle name="Comma 7 6 2 11" xfId="35390" xr:uid="{00000000-0005-0000-0000-0000EF450000}"/>
    <cellStyle name="Comma 7 6 2 12" xfId="36253" xr:uid="{00000000-0005-0000-0000-0000F0450000}"/>
    <cellStyle name="Comma 7 6 2 13" xfId="37587" xr:uid="{00000000-0005-0000-0000-0000F1450000}"/>
    <cellStyle name="Comma 7 6 2 14" xfId="41533" xr:uid="{00000000-0005-0000-0000-0000F2450000}"/>
    <cellStyle name="Comma 7 6 2 15" xfId="45955" xr:uid="{00000000-0005-0000-0000-0000F3450000}"/>
    <cellStyle name="Comma 7 6 2 16" xfId="11551" xr:uid="{00000000-0005-0000-0000-0000F4450000}"/>
    <cellStyle name="Comma 7 6 2 2" xfId="5139" xr:uid="{00000000-0005-0000-0000-0000F5450000}"/>
    <cellStyle name="Comma 7 6 2 2 10" xfId="36094" xr:uid="{00000000-0005-0000-0000-0000F6450000}"/>
    <cellStyle name="Comma 7 6 2 2 11" xfId="36394" xr:uid="{00000000-0005-0000-0000-0000F7450000}"/>
    <cellStyle name="Comma 7 6 2 2 12" xfId="38873" xr:uid="{00000000-0005-0000-0000-0000F8450000}"/>
    <cellStyle name="Comma 7 6 2 2 13" xfId="41912" xr:uid="{00000000-0005-0000-0000-0000F9450000}"/>
    <cellStyle name="Comma 7 6 2 2 14" xfId="45956" xr:uid="{00000000-0005-0000-0000-0000FA450000}"/>
    <cellStyle name="Comma 7 6 2 2 15" xfId="15172" xr:uid="{00000000-0005-0000-0000-0000FB450000}"/>
    <cellStyle name="Comma 7 6 2 2 2" xfId="6108" xr:uid="{00000000-0005-0000-0000-0000FC450000}"/>
    <cellStyle name="Comma 7 6 2 2 2 2" xfId="40816" xr:uid="{00000000-0005-0000-0000-0000FD450000}"/>
    <cellStyle name="Comma 7 6 2 2 2 2 2" xfId="43571" xr:uid="{00000000-0005-0000-0000-0000FE450000}"/>
    <cellStyle name="Comma 7 6 2 2 2 2 3" xfId="45957" xr:uid="{00000000-0005-0000-0000-0000FF450000}"/>
    <cellStyle name="Comma 7 6 2 2 2 3" xfId="39253" xr:uid="{00000000-0005-0000-0000-000000460000}"/>
    <cellStyle name="Comma 7 6 2 2 2 4" xfId="42243" xr:uid="{00000000-0005-0000-0000-000001460000}"/>
    <cellStyle name="Comma 7 6 2 2 2 5" xfId="45958" xr:uid="{00000000-0005-0000-0000-000002460000}"/>
    <cellStyle name="Comma 7 6 2 2 2 6" xfId="15850" xr:uid="{00000000-0005-0000-0000-000003460000}"/>
    <cellStyle name="Comma 7 6 2 2 3" xfId="6428" xr:uid="{00000000-0005-0000-0000-000004460000}"/>
    <cellStyle name="Comma 7 6 2 2 3 2" xfId="41278" xr:uid="{00000000-0005-0000-0000-000005460000}"/>
    <cellStyle name="Comma 7 6 2 2 3 2 2" xfId="43958" xr:uid="{00000000-0005-0000-0000-000006460000}"/>
    <cellStyle name="Comma 7 6 2 2 3 2 3" xfId="45959" xr:uid="{00000000-0005-0000-0000-000007460000}"/>
    <cellStyle name="Comma 7 6 2 2 3 3" xfId="39695" xr:uid="{00000000-0005-0000-0000-000008460000}"/>
    <cellStyle name="Comma 7 6 2 2 3 4" xfId="42630" xr:uid="{00000000-0005-0000-0000-000009460000}"/>
    <cellStyle name="Comma 7 6 2 2 3 5" xfId="45960" xr:uid="{00000000-0005-0000-0000-00000A460000}"/>
    <cellStyle name="Comma 7 6 2 2 3 6" xfId="30348" xr:uid="{00000000-0005-0000-0000-00000B460000}"/>
    <cellStyle name="Comma 7 6 2 2 4" xfId="31579" xr:uid="{00000000-0005-0000-0000-00000C460000}"/>
    <cellStyle name="Comma 7 6 2 2 4 2" xfId="40422" xr:uid="{00000000-0005-0000-0000-00000D460000}"/>
    <cellStyle name="Comma 7 6 2 2 4 3" xfId="43240" xr:uid="{00000000-0005-0000-0000-00000E460000}"/>
    <cellStyle name="Comma 7 6 2 2 4 4" xfId="45961" xr:uid="{00000000-0005-0000-0000-00000F460000}"/>
    <cellStyle name="Comma 7 6 2 2 5" xfId="32171" xr:uid="{00000000-0005-0000-0000-000010460000}"/>
    <cellStyle name="Comma 7 6 2 2 6" xfId="32813" xr:uid="{00000000-0005-0000-0000-000011460000}"/>
    <cellStyle name="Comma 7 6 2 2 7" xfId="33432" xr:uid="{00000000-0005-0000-0000-000012460000}"/>
    <cellStyle name="Comma 7 6 2 2 8" xfId="34025" xr:uid="{00000000-0005-0000-0000-000013460000}"/>
    <cellStyle name="Comma 7 6 2 2 9" xfId="35256" xr:uid="{00000000-0005-0000-0000-000014460000}"/>
    <cellStyle name="Comma 7 6 2 3" xfId="4480" xr:uid="{00000000-0005-0000-0000-000015460000}"/>
    <cellStyle name="Comma 7 6 2 3 2" xfId="5931" xr:uid="{00000000-0005-0000-0000-000016460000}"/>
    <cellStyle name="Comma 7 6 2 3 2 2" xfId="41106" xr:uid="{00000000-0005-0000-0000-000017460000}"/>
    <cellStyle name="Comma 7 6 2 3 2 2 2" xfId="43818" xr:uid="{00000000-0005-0000-0000-000018460000}"/>
    <cellStyle name="Comma 7 6 2 3 2 2 3" xfId="45962" xr:uid="{00000000-0005-0000-0000-000019460000}"/>
    <cellStyle name="Comma 7 6 2 3 2 3" xfId="39530" xr:uid="{00000000-0005-0000-0000-00001A460000}"/>
    <cellStyle name="Comma 7 6 2 3 2 4" xfId="42490" xr:uid="{00000000-0005-0000-0000-00001B460000}"/>
    <cellStyle name="Comma 7 6 2 3 2 5" xfId="45963" xr:uid="{00000000-0005-0000-0000-00001C460000}"/>
    <cellStyle name="Comma 7 6 2 3 2 6" xfId="35663" xr:uid="{00000000-0005-0000-0000-00001D460000}"/>
    <cellStyle name="Comma 7 6 2 3 3" xfId="40251" xr:uid="{00000000-0005-0000-0000-00001E460000}"/>
    <cellStyle name="Comma 7 6 2 3 3 2" xfId="43100" xr:uid="{00000000-0005-0000-0000-00001F460000}"/>
    <cellStyle name="Comma 7 6 2 3 3 3" xfId="45964" xr:uid="{00000000-0005-0000-0000-000020460000}"/>
    <cellStyle name="Comma 7 6 2 3 4" xfId="38732" xr:uid="{00000000-0005-0000-0000-000021460000}"/>
    <cellStyle name="Comma 7 6 2 3 5" xfId="41772" xr:uid="{00000000-0005-0000-0000-000022460000}"/>
    <cellStyle name="Comma 7 6 2 3 6" xfId="45965" xr:uid="{00000000-0005-0000-0000-000023460000}"/>
    <cellStyle name="Comma 7 6 2 3 7" xfId="12214" xr:uid="{00000000-0005-0000-0000-000024460000}"/>
    <cellStyle name="Comma 7 6 2 4" xfId="5793" xr:uid="{00000000-0005-0000-0000-000025460000}"/>
    <cellStyle name="Comma 7 6 2 4 2" xfId="40116" xr:uid="{00000000-0005-0000-0000-000026460000}"/>
    <cellStyle name="Comma 7 6 2 4 2 2" xfId="42985" xr:uid="{00000000-0005-0000-0000-000027460000}"/>
    <cellStyle name="Comma 7 6 2 4 2 3" xfId="45966" xr:uid="{00000000-0005-0000-0000-000028460000}"/>
    <cellStyle name="Comma 7 6 2 4 3" xfId="38160" xr:uid="{00000000-0005-0000-0000-000029460000}"/>
    <cellStyle name="Comma 7 6 2 4 4" xfId="41657" xr:uid="{00000000-0005-0000-0000-00002A460000}"/>
    <cellStyle name="Comma 7 6 2 4 5" xfId="45967" xr:uid="{00000000-0005-0000-0000-00002B460000}"/>
    <cellStyle name="Comma 7 6 2 4 6" xfId="15849" xr:uid="{00000000-0005-0000-0000-00002C460000}"/>
    <cellStyle name="Comma 7 6 2 5" xfId="6252" xr:uid="{00000000-0005-0000-0000-00002D460000}"/>
    <cellStyle name="Comma 7 6 2 5 2" xfId="40661" xr:uid="{00000000-0005-0000-0000-00002E460000}"/>
    <cellStyle name="Comma 7 6 2 5 2 2" xfId="43447" xr:uid="{00000000-0005-0000-0000-00002F460000}"/>
    <cellStyle name="Comma 7 6 2 5 2 3" xfId="45968" xr:uid="{00000000-0005-0000-0000-000030460000}"/>
    <cellStyle name="Comma 7 6 2 5 3" xfId="39093" xr:uid="{00000000-0005-0000-0000-000031460000}"/>
    <cellStyle name="Comma 7 6 2 5 4" xfId="42119" xr:uid="{00000000-0005-0000-0000-000032460000}"/>
    <cellStyle name="Comma 7 6 2 5 5" xfId="45969" xr:uid="{00000000-0005-0000-0000-000033460000}"/>
    <cellStyle name="Comma 7 6 2 5 6" xfId="30347" xr:uid="{00000000-0005-0000-0000-000034460000}"/>
    <cellStyle name="Comma 7 6 2 6" xfId="30988" xr:uid="{00000000-0005-0000-0000-000035460000}"/>
    <cellStyle name="Comma 7 6 2 6 2" xfId="40968" xr:uid="{00000000-0005-0000-0000-000036460000}"/>
    <cellStyle name="Comma 7 6 2 6 2 2" xfId="43703" xr:uid="{00000000-0005-0000-0000-000037460000}"/>
    <cellStyle name="Comma 7 6 2 6 2 3" xfId="45970" xr:uid="{00000000-0005-0000-0000-000038460000}"/>
    <cellStyle name="Comma 7 6 2 6 3" xfId="39397" xr:uid="{00000000-0005-0000-0000-000039460000}"/>
    <cellStyle name="Comma 7 6 2 6 4" xfId="42375" xr:uid="{00000000-0005-0000-0000-00003A460000}"/>
    <cellStyle name="Comma 7 6 2 6 5" xfId="45971" xr:uid="{00000000-0005-0000-0000-00003B460000}"/>
    <cellStyle name="Comma 7 6 2 7" xfId="32170" xr:uid="{00000000-0005-0000-0000-00003C460000}"/>
    <cellStyle name="Comma 7 6 2 7 2" xfId="39973" xr:uid="{00000000-0005-0000-0000-00003D460000}"/>
    <cellStyle name="Comma 7 6 2 7 3" xfId="42861" xr:uid="{00000000-0005-0000-0000-00003E460000}"/>
    <cellStyle name="Comma 7 6 2 7 4" xfId="45972" xr:uid="{00000000-0005-0000-0000-00003F460000}"/>
    <cellStyle name="Comma 7 6 2 8" xfId="32812" xr:uid="{00000000-0005-0000-0000-000040460000}"/>
    <cellStyle name="Comma 7 6 2 9" xfId="34024" xr:uid="{00000000-0005-0000-0000-000041460000}"/>
    <cellStyle name="Comma 7 6 3" xfId="5138" xr:uid="{00000000-0005-0000-0000-000042460000}"/>
    <cellStyle name="Comma 7 6 3 10" xfId="12922" xr:uid="{00000000-0005-0000-0000-000043460000}"/>
    <cellStyle name="Comma 7 6 3 2" xfId="6107" xr:uid="{00000000-0005-0000-0000-000044460000}"/>
    <cellStyle name="Comma 7 6 3 2 2" xfId="40421" xr:uid="{00000000-0005-0000-0000-000045460000}"/>
    <cellStyle name="Comma 7 6 3 2 2 2" xfId="43239" xr:uid="{00000000-0005-0000-0000-000046460000}"/>
    <cellStyle name="Comma 7 6 3 2 2 3" xfId="45973" xr:uid="{00000000-0005-0000-0000-000047460000}"/>
    <cellStyle name="Comma 7 6 3 2 3" xfId="38872" xr:uid="{00000000-0005-0000-0000-000048460000}"/>
    <cellStyle name="Comma 7 6 3 2 4" xfId="41911" xr:uid="{00000000-0005-0000-0000-000049460000}"/>
    <cellStyle name="Comma 7 6 3 2 5" xfId="45974" xr:uid="{00000000-0005-0000-0000-00004A460000}"/>
    <cellStyle name="Comma 7 6 3 2 6" xfId="31504" xr:uid="{00000000-0005-0000-0000-00004B460000}"/>
    <cellStyle name="Comma 7 6 3 3" xfId="6427" xr:uid="{00000000-0005-0000-0000-00004C460000}"/>
    <cellStyle name="Comma 7 6 3 3 2" xfId="40815" xr:uid="{00000000-0005-0000-0000-00004D460000}"/>
    <cellStyle name="Comma 7 6 3 3 2 2" xfId="43570" xr:uid="{00000000-0005-0000-0000-00004E460000}"/>
    <cellStyle name="Comma 7 6 3 3 2 3" xfId="45975" xr:uid="{00000000-0005-0000-0000-00004F460000}"/>
    <cellStyle name="Comma 7 6 3 3 3" xfId="39252" xr:uid="{00000000-0005-0000-0000-000050460000}"/>
    <cellStyle name="Comma 7 6 3 3 4" xfId="42242" xr:uid="{00000000-0005-0000-0000-000051460000}"/>
    <cellStyle name="Comma 7 6 3 3 5" xfId="45976" xr:uid="{00000000-0005-0000-0000-000052460000}"/>
    <cellStyle name="Comma 7 6 3 3 6" xfId="33357" xr:uid="{00000000-0005-0000-0000-000053460000}"/>
    <cellStyle name="Comma 7 6 3 4" xfId="35181" xr:uid="{00000000-0005-0000-0000-000054460000}"/>
    <cellStyle name="Comma 7 6 3 4 2" xfId="41277" xr:uid="{00000000-0005-0000-0000-000055460000}"/>
    <cellStyle name="Comma 7 6 3 4 2 2" xfId="43957" xr:uid="{00000000-0005-0000-0000-000056460000}"/>
    <cellStyle name="Comma 7 6 3 4 2 3" xfId="45977" xr:uid="{00000000-0005-0000-0000-000057460000}"/>
    <cellStyle name="Comma 7 6 3 4 3" xfId="39694" xr:uid="{00000000-0005-0000-0000-000058460000}"/>
    <cellStyle name="Comma 7 6 3 4 4" xfId="42629" xr:uid="{00000000-0005-0000-0000-000059460000}"/>
    <cellStyle name="Comma 7 6 3 4 5" xfId="45978" xr:uid="{00000000-0005-0000-0000-00005A460000}"/>
    <cellStyle name="Comma 7 6 3 5" xfId="36093" xr:uid="{00000000-0005-0000-0000-00005B460000}"/>
    <cellStyle name="Comma 7 6 3 5 2" xfId="39918" xr:uid="{00000000-0005-0000-0000-00005C460000}"/>
    <cellStyle name="Comma 7 6 3 5 3" xfId="42817" xr:uid="{00000000-0005-0000-0000-00005D460000}"/>
    <cellStyle name="Comma 7 6 3 5 4" xfId="45979" xr:uid="{00000000-0005-0000-0000-00005E460000}"/>
    <cellStyle name="Comma 7 6 3 6" xfId="36393" xr:uid="{00000000-0005-0000-0000-00005F460000}"/>
    <cellStyle name="Comma 7 6 3 7" xfId="37543" xr:uid="{00000000-0005-0000-0000-000060460000}"/>
    <cellStyle name="Comma 7 6 3 8" xfId="41489" xr:uid="{00000000-0005-0000-0000-000061460000}"/>
    <cellStyle name="Comma 7 6 3 9" xfId="45980" xr:uid="{00000000-0005-0000-0000-000062460000}"/>
    <cellStyle name="Comma 7 6 4" xfId="4479" xr:uid="{00000000-0005-0000-0000-000063460000}"/>
    <cellStyle name="Comma 7 6 4 2" xfId="5930" xr:uid="{00000000-0005-0000-0000-000064460000}"/>
    <cellStyle name="Comma 7 6 4 2 2" xfId="41105" xr:uid="{00000000-0005-0000-0000-000065460000}"/>
    <cellStyle name="Comma 7 6 4 2 2 2" xfId="43817" xr:uid="{00000000-0005-0000-0000-000066460000}"/>
    <cellStyle name="Comma 7 6 4 2 2 3" xfId="45981" xr:uid="{00000000-0005-0000-0000-000067460000}"/>
    <cellStyle name="Comma 7 6 4 2 3" xfId="39529" xr:uid="{00000000-0005-0000-0000-000068460000}"/>
    <cellStyle name="Comma 7 6 4 2 4" xfId="42489" xr:uid="{00000000-0005-0000-0000-000069460000}"/>
    <cellStyle name="Comma 7 6 4 2 5" xfId="45982" xr:uid="{00000000-0005-0000-0000-00006A460000}"/>
    <cellStyle name="Comma 7 6 4 2 6" xfId="35662" xr:uid="{00000000-0005-0000-0000-00006B460000}"/>
    <cellStyle name="Comma 7 6 4 3" xfId="40250" xr:uid="{00000000-0005-0000-0000-00006C460000}"/>
    <cellStyle name="Comma 7 6 4 3 2" xfId="43099" xr:uid="{00000000-0005-0000-0000-00006D460000}"/>
    <cellStyle name="Comma 7 6 4 3 3" xfId="45983" xr:uid="{00000000-0005-0000-0000-00006E460000}"/>
    <cellStyle name="Comma 7 6 4 4" xfId="38731" xr:uid="{00000000-0005-0000-0000-00006F460000}"/>
    <cellStyle name="Comma 7 6 4 5" xfId="41771" xr:uid="{00000000-0005-0000-0000-000070460000}"/>
    <cellStyle name="Comma 7 6 4 6" xfId="45984" xr:uid="{00000000-0005-0000-0000-000071460000}"/>
    <cellStyle name="Comma 7 6 4 7" xfId="12139" xr:uid="{00000000-0005-0000-0000-000072460000}"/>
    <cellStyle name="Comma 7 6 5" xfId="5792" xr:uid="{00000000-0005-0000-0000-000073460000}"/>
    <cellStyle name="Comma 7 6 5 2" xfId="40115" xr:uid="{00000000-0005-0000-0000-000074460000}"/>
    <cellStyle name="Comma 7 6 5 2 2" xfId="42984" xr:uid="{00000000-0005-0000-0000-000075460000}"/>
    <cellStyle name="Comma 7 6 5 2 3" xfId="45985" xr:uid="{00000000-0005-0000-0000-000076460000}"/>
    <cellStyle name="Comma 7 6 5 3" xfId="38159" xr:uid="{00000000-0005-0000-0000-000077460000}"/>
    <cellStyle name="Comma 7 6 5 4" xfId="41656" xr:uid="{00000000-0005-0000-0000-000078460000}"/>
    <cellStyle name="Comma 7 6 5 5" xfId="45986" xr:uid="{00000000-0005-0000-0000-000079460000}"/>
    <cellStyle name="Comma 7 6 5 6" xfId="15848" xr:uid="{00000000-0005-0000-0000-00007A460000}"/>
    <cellStyle name="Comma 7 6 6" xfId="6251" xr:uid="{00000000-0005-0000-0000-00007B460000}"/>
    <cellStyle name="Comma 7 6 6 2" xfId="40660" xr:uid="{00000000-0005-0000-0000-00007C460000}"/>
    <cellStyle name="Comma 7 6 6 2 2" xfId="43446" xr:uid="{00000000-0005-0000-0000-00007D460000}"/>
    <cellStyle name="Comma 7 6 6 2 3" xfId="45987" xr:uid="{00000000-0005-0000-0000-00007E460000}"/>
    <cellStyle name="Comma 7 6 6 3" xfId="39092" xr:uid="{00000000-0005-0000-0000-00007F460000}"/>
    <cellStyle name="Comma 7 6 6 4" xfId="42118" xr:uid="{00000000-0005-0000-0000-000080460000}"/>
    <cellStyle name="Comma 7 6 6 5" xfId="45988" xr:uid="{00000000-0005-0000-0000-000081460000}"/>
    <cellStyle name="Comma 7 6 6 6" xfId="30346" xr:uid="{00000000-0005-0000-0000-000082460000}"/>
    <cellStyle name="Comma 7 6 7" xfId="30913" xr:uid="{00000000-0005-0000-0000-000083460000}"/>
    <cellStyle name="Comma 7 6 7 2" xfId="40967" xr:uid="{00000000-0005-0000-0000-000084460000}"/>
    <cellStyle name="Comma 7 6 7 2 2" xfId="43702" xr:uid="{00000000-0005-0000-0000-000085460000}"/>
    <cellStyle name="Comma 7 6 7 2 3" xfId="45989" xr:uid="{00000000-0005-0000-0000-000086460000}"/>
    <cellStyle name="Comma 7 6 7 3" xfId="39396" xr:uid="{00000000-0005-0000-0000-000087460000}"/>
    <cellStyle name="Comma 7 6 7 4" xfId="42374" xr:uid="{00000000-0005-0000-0000-000088460000}"/>
    <cellStyle name="Comma 7 6 7 5" xfId="45990" xr:uid="{00000000-0005-0000-0000-000089460000}"/>
    <cellStyle name="Comma 7 6 8" xfId="32169" xr:uid="{00000000-0005-0000-0000-00008A460000}"/>
    <cellStyle name="Comma 7 6 8 2" xfId="39836" xr:uid="{00000000-0005-0000-0000-00008B460000}"/>
    <cellStyle name="Comma 7 6 8 3" xfId="42744" xr:uid="{00000000-0005-0000-0000-00008C460000}"/>
    <cellStyle name="Comma 7 6 8 4" xfId="45991" xr:uid="{00000000-0005-0000-0000-00008D460000}"/>
    <cellStyle name="Comma 7 6 9" xfId="32811" xr:uid="{00000000-0005-0000-0000-00008E460000}"/>
    <cellStyle name="Comma 7 7" xfId="2829" xr:uid="{00000000-0005-0000-0000-00008F460000}"/>
    <cellStyle name="Comma 7 7 10" xfId="34577" xr:uid="{00000000-0005-0000-0000-000090460000}"/>
    <cellStyle name="Comma 7 7 11" xfId="35391" xr:uid="{00000000-0005-0000-0000-000091460000}"/>
    <cellStyle name="Comma 7 7 12" xfId="36254" xr:uid="{00000000-0005-0000-0000-000092460000}"/>
    <cellStyle name="Comma 7 7 13" xfId="37459" xr:uid="{00000000-0005-0000-0000-000093460000}"/>
    <cellStyle name="Comma 7 7 14" xfId="41406" xr:uid="{00000000-0005-0000-0000-000094460000}"/>
    <cellStyle name="Comma 7 7 15" xfId="45992" xr:uid="{00000000-0005-0000-0000-000095460000}"/>
    <cellStyle name="Comma 7 7 16" xfId="8910" xr:uid="{00000000-0005-0000-0000-000096460000}"/>
    <cellStyle name="Comma 7 7 2" xfId="5140" xr:uid="{00000000-0005-0000-0000-000097460000}"/>
    <cellStyle name="Comma 7 7 2 10" xfId="12909" xr:uid="{00000000-0005-0000-0000-000098460000}"/>
    <cellStyle name="Comma 7 7 2 2" xfId="6109" xr:uid="{00000000-0005-0000-0000-000099460000}"/>
    <cellStyle name="Comma 7 7 2 2 2" xfId="40423" xr:uid="{00000000-0005-0000-0000-00009A460000}"/>
    <cellStyle name="Comma 7 7 2 2 2 2" xfId="43241" xr:uid="{00000000-0005-0000-0000-00009B460000}"/>
    <cellStyle name="Comma 7 7 2 2 2 3" xfId="45993" xr:uid="{00000000-0005-0000-0000-00009C460000}"/>
    <cellStyle name="Comma 7 7 2 2 3" xfId="38874" xr:uid="{00000000-0005-0000-0000-00009D460000}"/>
    <cellStyle name="Comma 7 7 2 2 4" xfId="41913" xr:uid="{00000000-0005-0000-0000-00009E460000}"/>
    <cellStyle name="Comma 7 7 2 2 5" xfId="45994" xr:uid="{00000000-0005-0000-0000-00009F460000}"/>
    <cellStyle name="Comma 7 7 2 2 6" xfId="31491" xr:uid="{00000000-0005-0000-0000-0000A0460000}"/>
    <cellStyle name="Comma 7 7 2 3" xfId="6429" xr:uid="{00000000-0005-0000-0000-0000A1460000}"/>
    <cellStyle name="Comma 7 7 2 3 2" xfId="40817" xr:uid="{00000000-0005-0000-0000-0000A2460000}"/>
    <cellStyle name="Comma 7 7 2 3 2 2" xfId="43572" xr:uid="{00000000-0005-0000-0000-0000A3460000}"/>
    <cellStyle name="Comma 7 7 2 3 2 3" xfId="45995" xr:uid="{00000000-0005-0000-0000-0000A4460000}"/>
    <cellStyle name="Comma 7 7 2 3 3" xfId="39254" xr:uid="{00000000-0005-0000-0000-0000A5460000}"/>
    <cellStyle name="Comma 7 7 2 3 4" xfId="42244" xr:uid="{00000000-0005-0000-0000-0000A6460000}"/>
    <cellStyle name="Comma 7 7 2 3 5" xfId="45996" xr:uid="{00000000-0005-0000-0000-0000A7460000}"/>
    <cellStyle name="Comma 7 7 2 3 6" xfId="33344" xr:uid="{00000000-0005-0000-0000-0000A8460000}"/>
    <cellStyle name="Comma 7 7 2 4" xfId="35168" xr:uid="{00000000-0005-0000-0000-0000A9460000}"/>
    <cellStyle name="Comma 7 7 2 4 2" xfId="41279" xr:uid="{00000000-0005-0000-0000-0000AA460000}"/>
    <cellStyle name="Comma 7 7 2 4 2 2" xfId="43959" xr:uid="{00000000-0005-0000-0000-0000AB460000}"/>
    <cellStyle name="Comma 7 7 2 4 2 3" xfId="45997" xr:uid="{00000000-0005-0000-0000-0000AC460000}"/>
    <cellStyle name="Comma 7 7 2 4 3" xfId="39696" xr:uid="{00000000-0005-0000-0000-0000AD460000}"/>
    <cellStyle name="Comma 7 7 2 4 4" xfId="42631" xr:uid="{00000000-0005-0000-0000-0000AE460000}"/>
    <cellStyle name="Comma 7 7 2 4 5" xfId="45998" xr:uid="{00000000-0005-0000-0000-0000AF460000}"/>
    <cellStyle name="Comma 7 7 2 5" xfId="36095" xr:uid="{00000000-0005-0000-0000-0000B0460000}"/>
    <cellStyle name="Comma 7 7 2 5 2" xfId="39964" xr:uid="{00000000-0005-0000-0000-0000B1460000}"/>
    <cellStyle name="Comma 7 7 2 5 3" xfId="42852" xr:uid="{00000000-0005-0000-0000-0000B2460000}"/>
    <cellStyle name="Comma 7 7 2 5 4" xfId="45999" xr:uid="{00000000-0005-0000-0000-0000B3460000}"/>
    <cellStyle name="Comma 7 7 2 6" xfId="36395" xr:uid="{00000000-0005-0000-0000-0000B4460000}"/>
    <cellStyle name="Comma 7 7 2 7" xfId="37578" xr:uid="{00000000-0005-0000-0000-0000B5460000}"/>
    <cellStyle name="Comma 7 7 2 8" xfId="41524" xr:uid="{00000000-0005-0000-0000-0000B6460000}"/>
    <cellStyle name="Comma 7 7 2 9" xfId="46000" xr:uid="{00000000-0005-0000-0000-0000B7460000}"/>
    <cellStyle name="Comma 7 7 3" xfId="4481" xr:uid="{00000000-0005-0000-0000-0000B8460000}"/>
    <cellStyle name="Comma 7 7 3 2" xfId="5932" xr:uid="{00000000-0005-0000-0000-0000B9460000}"/>
    <cellStyle name="Comma 7 7 3 2 2" xfId="41107" xr:uid="{00000000-0005-0000-0000-0000BA460000}"/>
    <cellStyle name="Comma 7 7 3 2 2 2" xfId="43819" xr:uid="{00000000-0005-0000-0000-0000BB460000}"/>
    <cellStyle name="Comma 7 7 3 2 2 3" xfId="46001" xr:uid="{00000000-0005-0000-0000-0000BC460000}"/>
    <cellStyle name="Comma 7 7 3 2 3" xfId="39531" xr:uid="{00000000-0005-0000-0000-0000BD460000}"/>
    <cellStyle name="Comma 7 7 3 2 4" xfId="42491" xr:uid="{00000000-0005-0000-0000-0000BE460000}"/>
    <cellStyle name="Comma 7 7 3 2 5" xfId="46002" xr:uid="{00000000-0005-0000-0000-0000BF460000}"/>
    <cellStyle name="Comma 7 7 3 2 6" xfId="35664" xr:uid="{00000000-0005-0000-0000-0000C0460000}"/>
    <cellStyle name="Comma 7 7 3 3" xfId="40252" xr:uid="{00000000-0005-0000-0000-0000C1460000}"/>
    <cellStyle name="Comma 7 7 3 3 2" xfId="43101" xr:uid="{00000000-0005-0000-0000-0000C2460000}"/>
    <cellStyle name="Comma 7 7 3 3 3" xfId="46003" xr:uid="{00000000-0005-0000-0000-0000C3460000}"/>
    <cellStyle name="Comma 7 7 3 4" xfId="38733" xr:uid="{00000000-0005-0000-0000-0000C4460000}"/>
    <cellStyle name="Comma 7 7 3 5" xfId="41773" xr:uid="{00000000-0005-0000-0000-0000C5460000}"/>
    <cellStyle name="Comma 7 7 3 6" xfId="46004" xr:uid="{00000000-0005-0000-0000-0000C6460000}"/>
    <cellStyle name="Comma 7 7 3 7" xfId="12126" xr:uid="{00000000-0005-0000-0000-0000C7460000}"/>
    <cellStyle name="Comma 7 7 4" xfId="5794" xr:uid="{00000000-0005-0000-0000-0000C8460000}"/>
    <cellStyle name="Comma 7 7 4 2" xfId="40117" xr:uid="{00000000-0005-0000-0000-0000C9460000}"/>
    <cellStyle name="Comma 7 7 4 2 2" xfId="42986" xr:uid="{00000000-0005-0000-0000-0000CA460000}"/>
    <cellStyle name="Comma 7 7 4 2 3" xfId="46005" xr:uid="{00000000-0005-0000-0000-0000CB460000}"/>
    <cellStyle name="Comma 7 7 4 3" xfId="38161" xr:uid="{00000000-0005-0000-0000-0000CC460000}"/>
    <cellStyle name="Comma 7 7 4 4" xfId="41658" xr:uid="{00000000-0005-0000-0000-0000CD460000}"/>
    <cellStyle name="Comma 7 7 4 5" xfId="46006" xr:uid="{00000000-0005-0000-0000-0000CE460000}"/>
    <cellStyle name="Comma 7 7 4 6" xfId="15851" xr:uid="{00000000-0005-0000-0000-0000CF460000}"/>
    <cellStyle name="Comma 7 7 5" xfId="6253" xr:uid="{00000000-0005-0000-0000-0000D0460000}"/>
    <cellStyle name="Comma 7 7 5 2" xfId="40662" xr:uid="{00000000-0005-0000-0000-0000D1460000}"/>
    <cellStyle name="Comma 7 7 5 2 2" xfId="43448" xr:uid="{00000000-0005-0000-0000-0000D2460000}"/>
    <cellStyle name="Comma 7 7 5 2 3" xfId="46007" xr:uid="{00000000-0005-0000-0000-0000D3460000}"/>
    <cellStyle name="Comma 7 7 5 3" xfId="39094" xr:uid="{00000000-0005-0000-0000-0000D4460000}"/>
    <cellStyle name="Comma 7 7 5 4" xfId="42120" xr:uid="{00000000-0005-0000-0000-0000D5460000}"/>
    <cellStyle name="Comma 7 7 5 5" xfId="46008" xr:uid="{00000000-0005-0000-0000-0000D6460000}"/>
    <cellStyle name="Comma 7 7 5 6" xfId="30349" xr:uid="{00000000-0005-0000-0000-0000D7460000}"/>
    <cellStyle name="Comma 7 7 6" xfId="30900" xr:uid="{00000000-0005-0000-0000-0000D8460000}"/>
    <cellStyle name="Comma 7 7 6 2" xfId="40969" xr:uid="{00000000-0005-0000-0000-0000D9460000}"/>
    <cellStyle name="Comma 7 7 6 2 2" xfId="43704" xr:uid="{00000000-0005-0000-0000-0000DA460000}"/>
    <cellStyle name="Comma 7 7 6 2 3" xfId="46009" xr:uid="{00000000-0005-0000-0000-0000DB460000}"/>
    <cellStyle name="Comma 7 7 6 3" xfId="39398" xr:uid="{00000000-0005-0000-0000-0000DC460000}"/>
    <cellStyle name="Comma 7 7 6 4" xfId="42376" xr:uid="{00000000-0005-0000-0000-0000DD460000}"/>
    <cellStyle name="Comma 7 7 6 5" xfId="46010" xr:uid="{00000000-0005-0000-0000-0000DE460000}"/>
    <cellStyle name="Comma 7 7 7" xfId="32172" xr:uid="{00000000-0005-0000-0000-0000DF460000}"/>
    <cellStyle name="Comma 7 7 7 2" xfId="39826" xr:uid="{00000000-0005-0000-0000-0000E0460000}"/>
    <cellStyle name="Comma 7 7 7 3" xfId="42734" xr:uid="{00000000-0005-0000-0000-0000E1460000}"/>
    <cellStyle name="Comma 7 7 7 4" xfId="46011" xr:uid="{00000000-0005-0000-0000-0000E2460000}"/>
    <cellStyle name="Comma 7 7 8" xfId="32814" xr:uid="{00000000-0005-0000-0000-0000E3460000}"/>
    <cellStyle name="Comma 7 7 9" xfId="34026" xr:uid="{00000000-0005-0000-0000-0000E4460000}"/>
    <cellStyle name="Comma 7 8" xfId="5116" xr:uid="{00000000-0005-0000-0000-0000E5460000}"/>
    <cellStyle name="Comma 7 8 10" xfId="34655" xr:uid="{00000000-0005-0000-0000-0000E6460000}"/>
    <cellStyle name="Comma 7 8 11" xfId="36071" xr:uid="{00000000-0005-0000-0000-0000E7460000}"/>
    <cellStyle name="Comma 7 8 12" xfId="36371" xr:uid="{00000000-0005-0000-0000-0000E8460000}"/>
    <cellStyle name="Comma 7 8 13" xfId="37533" xr:uid="{00000000-0005-0000-0000-0000E9460000}"/>
    <cellStyle name="Comma 7 8 14" xfId="41479" xr:uid="{00000000-0005-0000-0000-0000EA460000}"/>
    <cellStyle name="Comma 7 8 15" xfId="46012" xr:uid="{00000000-0005-0000-0000-0000EB460000}"/>
    <cellStyle name="Comma 7 8 16" xfId="11541" xr:uid="{00000000-0005-0000-0000-0000EC460000}"/>
    <cellStyle name="Comma 7 8 2" xfId="6085" xr:uid="{00000000-0005-0000-0000-0000ED460000}"/>
    <cellStyle name="Comma 7 8 2 10" xfId="37326" xr:uid="{00000000-0005-0000-0000-0000EE460000}"/>
    <cellStyle name="Comma 7 8 2 11" xfId="38850" xr:uid="{00000000-0005-0000-0000-0000EF460000}"/>
    <cellStyle name="Comma 7 8 2 12" xfId="41889" xr:uid="{00000000-0005-0000-0000-0000F0460000}"/>
    <cellStyle name="Comma 7 8 2 13" xfId="46013" xr:uid="{00000000-0005-0000-0000-0000F1460000}"/>
    <cellStyle name="Comma 7 8 2 14" xfId="15162" xr:uid="{00000000-0005-0000-0000-0000F2460000}"/>
    <cellStyle name="Comma 7 8 2 2" xfId="15853" xr:uid="{00000000-0005-0000-0000-0000F3460000}"/>
    <cellStyle name="Comma 7 8 2 2 2" xfId="40399" xr:uid="{00000000-0005-0000-0000-0000F4460000}"/>
    <cellStyle name="Comma 7 8 2 2 3" xfId="43217" xr:uid="{00000000-0005-0000-0000-0000F5460000}"/>
    <cellStyle name="Comma 7 8 2 2 4" xfId="46014" xr:uid="{00000000-0005-0000-0000-0000F6460000}"/>
    <cellStyle name="Comma 7 8 2 3" xfId="30351" xr:uid="{00000000-0005-0000-0000-0000F7460000}"/>
    <cellStyle name="Comma 7 8 2 4" xfId="31569" xr:uid="{00000000-0005-0000-0000-0000F8460000}"/>
    <cellStyle name="Comma 7 8 2 5" xfId="32174" xr:uid="{00000000-0005-0000-0000-0000F9460000}"/>
    <cellStyle name="Comma 7 8 2 6" xfId="32816" xr:uid="{00000000-0005-0000-0000-0000FA460000}"/>
    <cellStyle name="Comma 7 8 2 7" xfId="33422" xr:uid="{00000000-0005-0000-0000-0000FB460000}"/>
    <cellStyle name="Comma 7 8 2 8" xfId="34028" xr:uid="{00000000-0005-0000-0000-0000FC460000}"/>
    <cellStyle name="Comma 7 8 2 9" xfId="35246" xr:uid="{00000000-0005-0000-0000-0000FD460000}"/>
    <cellStyle name="Comma 7 8 3" xfId="6405" xr:uid="{00000000-0005-0000-0000-0000FE460000}"/>
    <cellStyle name="Comma 7 8 3 2" xfId="40638" xr:uid="{00000000-0005-0000-0000-0000FF460000}"/>
    <cellStyle name="Comma 7 8 3 2 2" xfId="43424" xr:uid="{00000000-0005-0000-0000-000000470000}"/>
    <cellStyle name="Comma 7 8 3 2 3" xfId="46015" xr:uid="{00000000-0005-0000-0000-000001470000}"/>
    <cellStyle name="Comma 7 8 3 3" xfId="39070" xr:uid="{00000000-0005-0000-0000-000002470000}"/>
    <cellStyle name="Comma 7 8 3 4" xfId="42096" xr:uid="{00000000-0005-0000-0000-000003470000}"/>
    <cellStyle name="Comma 7 8 3 5" xfId="46016" xr:uid="{00000000-0005-0000-0000-000004470000}"/>
    <cellStyle name="Comma 7 8 3 6" xfId="12204" xr:uid="{00000000-0005-0000-0000-000005470000}"/>
    <cellStyle name="Comma 7 8 4" xfId="15852" xr:uid="{00000000-0005-0000-0000-000006470000}"/>
    <cellStyle name="Comma 7 8 4 2" xfId="41255" xr:uid="{00000000-0005-0000-0000-000007470000}"/>
    <cellStyle name="Comma 7 8 4 2 2" xfId="43935" xr:uid="{00000000-0005-0000-0000-000008470000}"/>
    <cellStyle name="Comma 7 8 4 2 3" xfId="46017" xr:uid="{00000000-0005-0000-0000-000009470000}"/>
    <cellStyle name="Comma 7 8 4 3" xfId="39672" xr:uid="{00000000-0005-0000-0000-00000A470000}"/>
    <cellStyle name="Comma 7 8 4 4" xfId="42607" xr:uid="{00000000-0005-0000-0000-00000B470000}"/>
    <cellStyle name="Comma 7 8 4 5" xfId="46018" xr:uid="{00000000-0005-0000-0000-00000C470000}"/>
    <cellStyle name="Comma 7 8 5" xfId="30350" xr:uid="{00000000-0005-0000-0000-00000D470000}"/>
    <cellStyle name="Comma 7 8 5 2" xfId="39908" xr:uid="{00000000-0005-0000-0000-00000E470000}"/>
    <cellStyle name="Comma 7 8 5 3" xfId="42807" xr:uid="{00000000-0005-0000-0000-00000F470000}"/>
    <cellStyle name="Comma 7 8 5 4" xfId="46019" xr:uid="{00000000-0005-0000-0000-000010470000}"/>
    <cellStyle name="Comma 7 8 6" xfId="30978" xr:uid="{00000000-0005-0000-0000-000011470000}"/>
    <cellStyle name="Comma 7 8 7" xfId="32173" xr:uid="{00000000-0005-0000-0000-000012470000}"/>
    <cellStyle name="Comma 7 8 8" xfId="32815" xr:uid="{00000000-0005-0000-0000-000013470000}"/>
    <cellStyle name="Comma 7 8 9" xfId="34027" xr:uid="{00000000-0005-0000-0000-000014470000}"/>
    <cellStyle name="Comma 7 9" xfId="4457" xr:uid="{00000000-0005-0000-0000-000015470000}"/>
    <cellStyle name="Comma 7 9 10" xfId="12270" xr:uid="{00000000-0005-0000-0000-000016470000}"/>
    <cellStyle name="Comma 7 9 2" xfId="5908" xr:uid="{00000000-0005-0000-0000-000017470000}"/>
    <cellStyle name="Comma 7 9 2 2" xfId="40763" xr:uid="{00000000-0005-0000-0000-000018470000}"/>
    <cellStyle name="Comma 7 9 2 2 2" xfId="43526" xr:uid="{00000000-0005-0000-0000-000019470000}"/>
    <cellStyle name="Comma 7 9 2 2 3" xfId="46020" xr:uid="{00000000-0005-0000-0000-00001A470000}"/>
    <cellStyle name="Comma 7 9 2 3" xfId="39190" xr:uid="{00000000-0005-0000-0000-00001B470000}"/>
    <cellStyle name="Comma 7 9 2 4" xfId="42198" xr:uid="{00000000-0005-0000-0000-00001C470000}"/>
    <cellStyle name="Comma 7 9 2 5" xfId="46021" xr:uid="{00000000-0005-0000-0000-00001D470000}"/>
    <cellStyle name="Comma 7 9 2 6" xfId="31043" xr:uid="{00000000-0005-0000-0000-00001E470000}"/>
    <cellStyle name="Comma 7 9 3" xfId="32912" xr:uid="{00000000-0005-0000-0000-00001F470000}"/>
    <cellStyle name="Comma 7 9 3 2" xfId="41083" xr:uid="{00000000-0005-0000-0000-000020470000}"/>
    <cellStyle name="Comma 7 9 3 2 2" xfId="43795" xr:uid="{00000000-0005-0000-0000-000021470000}"/>
    <cellStyle name="Comma 7 9 3 2 3" xfId="46022" xr:uid="{00000000-0005-0000-0000-000022470000}"/>
    <cellStyle name="Comma 7 9 3 3" xfId="39507" xr:uid="{00000000-0005-0000-0000-000023470000}"/>
    <cellStyle name="Comma 7 9 3 4" xfId="42467" xr:uid="{00000000-0005-0000-0000-000024470000}"/>
    <cellStyle name="Comma 7 9 3 5" xfId="46023" xr:uid="{00000000-0005-0000-0000-000025470000}"/>
    <cellStyle name="Comma 7 9 4" xfId="34720" xr:uid="{00000000-0005-0000-0000-000026470000}"/>
    <cellStyle name="Comma 7 9 4 2" xfId="40228" xr:uid="{00000000-0005-0000-0000-000027470000}"/>
    <cellStyle name="Comma 7 9 4 3" xfId="43077" xr:uid="{00000000-0005-0000-0000-000028470000}"/>
    <cellStyle name="Comma 7 9 4 4" xfId="46024" xr:uid="{00000000-0005-0000-0000-000029470000}"/>
    <cellStyle name="Comma 7 9 5" xfId="35640" xr:uid="{00000000-0005-0000-0000-00002A470000}"/>
    <cellStyle name="Comma 7 9 6" xfId="36828" xr:uid="{00000000-0005-0000-0000-00002B470000}"/>
    <cellStyle name="Comma 7 9 7" xfId="38709" xr:uid="{00000000-0005-0000-0000-00002C470000}"/>
    <cellStyle name="Comma 7 9 8" xfId="41749" xr:uid="{00000000-0005-0000-0000-00002D470000}"/>
    <cellStyle name="Comma 7 9 9" xfId="46025" xr:uid="{00000000-0005-0000-0000-00002E470000}"/>
    <cellStyle name="Comma 8" xfId="2830" xr:uid="{00000000-0005-0000-0000-00002F470000}"/>
    <cellStyle name="Comma 8 10" xfId="5795" xr:uid="{00000000-0005-0000-0000-000030470000}"/>
    <cellStyle name="Comma 8 10 2" xfId="40118" xr:uid="{00000000-0005-0000-0000-000031470000}"/>
    <cellStyle name="Comma 8 10 2 2" xfId="42987" xr:uid="{00000000-0005-0000-0000-000032470000}"/>
    <cellStyle name="Comma 8 10 2 3" xfId="46026" xr:uid="{00000000-0005-0000-0000-000033470000}"/>
    <cellStyle name="Comma 8 10 3" xfId="38162" xr:uid="{00000000-0005-0000-0000-000034470000}"/>
    <cellStyle name="Comma 8 10 4" xfId="41659" xr:uid="{00000000-0005-0000-0000-000035470000}"/>
    <cellStyle name="Comma 8 10 5" xfId="46027" xr:uid="{00000000-0005-0000-0000-000036470000}"/>
    <cellStyle name="Comma 8 10 6" xfId="11677" xr:uid="{00000000-0005-0000-0000-000037470000}"/>
    <cellStyle name="Comma 8 11" xfId="6254" xr:uid="{00000000-0005-0000-0000-000038470000}"/>
    <cellStyle name="Comma 8 11 2" xfId="40527" xr:uid="{00000000-0005-0000-0000-000039470000}"/>
    <cellStyle name="Comma 8 11 2 2" xfId="43328" xr:uid="{00000000-0005-0000-0000-00003A470000}"/>
    <cellStyle name="Comma 8 11 2 3" xfId="46028" xr:uid="{00000000-0005-0000-0000-00003B470000}"/>
    <cellStyle name="Comma 8 11 3" xfId="38969" xr:uid="{00000000-0005-0000-0000-00003C470000}"/>
    <cellStyle name="Comma 8 11 4" xfId="42000" xr:uid="{00000000-0005-0000-0000-00003D470000}"/>
    <cellStyle name="Comma 8 11 5" xfId="46029" xr:uid="{00000000-0005-0000-0000-00003E470000}"/>
    <cellStyle name="Comma 8 11 6" xfId="15854" xr:uid="{00000000-0005-0000-0000-00003F470000}"/>
    <cellStyle name="Comma 8 12" xfId="30352" xr:uid="{00000000-0005-0000-0000-000040470000}"/>
    <cellStyle name="Comma 8 12 2" xfId="40970" xr:uid="{00000000-0005-0000-0000-000041470000}"/>
    <cellStyle name="Comma 8 12 2 2" xfId="43705" xr:uid="{00000000-0005-0000-0000-000042470000}"/>
    <cellStyle name="Comma 8 12 2 3" xfId="46030" xr:uid="{00000000-0005-0000-0000-000043470000}"/>
    <cellStyle name="Comma 8 12 3" xfId="39399" xr:uid="{00000000-0005-0000-0000-000044470000}"/>
    <cellStyle name="Comma 8 12 4" xfId="42377" xr:uid="{00000000-0005-0000-0000-000045470000}"/>
    <cellStyle name="Comma 8 12 5" xfId="46031" xr:uid="{00000000-0005-0000-0000-000046470000}"/>
    <cellStyle name="Comma 8 13" xfId="30453" xr:uid="{00000000-0005-0000-0000-000047470000}"/>
    <cellStyle name="Comma 8 13 2" xfId="39766" xr:uid="{00000000-0005-0000-0000-000048470000}"/>
    <cellStyle name="Comma 8 13 3" xfId="42679" xr:uid="{00000000-0005-0000-0000-000049470000}"/>
    <cellStyle name="Comma 8 13 4" xfId="46032" xr:uid="{00000000-0005-0000-0000-00004A470000}"/>
    <cellStyle name="Comma 8 14" xfId="32175" xr:uid="{00000000-0005-0000-0000-00004B470000}"/>
    <cellStyle name="Comma 8 15" xfId="32817" xr:uid="{00000000-0005-0000-0000-00004C470000}"/>
    <cellStyle name="Comma 8 16" xfId="34029" xr:uid="{00000000-0005-0000-0000-00004D470000}"/>
    <cellStyle name="Comma 8 17" xfId="34130" xr:uid="{00000000-0005-0000-0000-00004E470000}"/>
    <cellStyle name="Comma 8 18" xfId="35392" xr:uid="{00000000-0005-0000-0000-00004F470000}"/>
    <cellStyle name="Comma 8 19" xfId="36255" xr:uid="{00000000-0005-0000-0000-000050470000}"/>
    <cellStyle name="Comma 8 2" xfId="1042" xr:uid="{00000000-0005-0000-0000-000051470000}"/>
    <cellStyle name="Comma 8 2 10" xfId="6255" xr:uid="{00000000-0005-0000-0000-000052470000}"/>
    <cellStyle name="Comma 8 2 10 2" xfId="40528" xr:uid="{00000000-0005-0000-0000-000053470000}"/>
    <cellStyle name="Comma 8 2 10 2 2" xfId="43329" xr:uid="{00000000-0005-0000-0000-000054470000}"/>
    <cellStyle name="Comma 8 2 10 2 3" xfId="46033" xr:uid="{00000000-0005-0000-0000-000055470000}"/>
    <cellStyle name="Comma 8 2 10 3" xfId="38970" xr:uid="{00000000-0005-0000-0000-000056470000}"/>
    <cellStyle name="Comma 8 2 10 4" xfId="42001" xr:uid="{00000000-0005-0000-0000-000057470000}"/>
    <cellStyle name="Comma 8 2 10 5" xfId="46034" xr:uid="{00000000-0005-0000-0000-000058470000}"/>
    <cellStyle name="Comma 8 2 10 6" xfId="30353" xr:uid="{00000000-0005-0000-0000-000059470000}"/>
    <cellStyle name="Comma 8 2 11" xfId="30491" xr:uid="{00000000-0005-0000-0000-00005A470000}"/>
    <cellStyle name="Comma 8 2 11 2" xfId="40868" xr:uid="{00000000-0005-0000-0000-00005B470000}"/>
    <cellStyle name="Comma 8 2 11 2 2" xfId="43612" xr:uid="{00000000-0005-0000-0000-00005C470000}"/>
    <cellStyle name="Comma 8 2 11 2 3" xfId="46035" xr:uid="{00000000-0005-0000-0000-00005D470000}"/>
    <cellStyle name="Comma 8 2 11 3" xfId="39303" xr:uid="{00000000-0005-0000-0000-00005E470000}"/>
    <cellStyle name="Comma 8 2 11 4" xfId="42284" xr:uid="{00000000-0005-0000-0000-00005F470000}"/>
    <cellStyle name="Comma 8 2 11 5" xfId="46036" xr:uid="{00000000-0005-0000-0000-000060470000}"/>
    <cellStyle name="Comma 8 2 12" xfId="32176" xr:uid="{00000000-0005-0000-0000-000061470000}"/>
    <cellStyle name="Comma 8 2 12 2" xfId="39767" xr:uid="{00000000-0005-0000-0000-000062470000}"/>
    <cellStyle name="Comma 8 2 12 3" xfId="42680" xr:uid="{00000000-0005-0000-0000-000063470000}"/>
    <cellStyle name="Comma 8 2 12 4" xfId="46037" xr:uid="{00000000-0005-0000-0000-000064470000}"/>
    <cellStyle name="Comma 8 2 13" xfId="32818" xr:uid="{00000000-0005-0000-0000-000065470000}"/>
    <cellStyle name="Comma 8 2 14" xfId="34030" xr:uid="{00000000-0005-0000-0000-000066470000}"/>
    <cellStyle name="Comma 8 2 15" xfId="34168" xr:uid="{00000000-0005-0000-0000-000067470000}"/>
    <cellStyle name="Comma 8 2 16" xfId="35296" xr:uid="{00000000-0005-0000-0000-000068470000}"/>
    <cellStyle name="Comma 8 2 17" xfId="36256" xr:uid="{00000000-0005-0000-0000-000069470000}"/>
    <cellStyle name="Comma 8 2 18" xfId="37404" xr:uid="{00000000-0005-0000-0000-00006A470000}"/>
    <cellStyle name="Comma 8 2 19" xfId="41352" xr:uid="{00000000-0005-0000-0000-00006B470000}"/>
    <cellStyle name="Comma 8 2 2" xfId="1043" xr:uid="{00000000-0005-0000-0000-00006C470000}"/>
    <cellStyle name="Comma 8 2 2 10" xfId="32819" xr:uid="{00000000-0005-0000-0000-00006D470000}"/>
    <cellStyle name="Comma 8 2 2 10 2" xfId="39768" xr:uid="{00000000-0005-0000-0000-00006E470000}"/>
    <cellStyle name="Comma 8 2 2 10 3" xfId="42681" xr:uid="{00000000-0005-0000-0000-00006F470000}"/>
    <cellStyle name="Comma 8 2 2 10 4" xfId="46038" xr:uid="{00000000-0005-0000-0000-000070470000}"/>
    <cellStyle name="Comma 8 2 2 11" xfId="34031" xr:uid="{00000000-0005-0000-0000-000071470000}"/>
    <cellStyle name="Comma 8 2 2 12" xfId="34228" xr:uid="{00000000-0005-0000-0000-000072470000}"/>
    <cellStyle name="Comma 8 2 2 13" xfId="35297" xr:uid="{00000000-0005-0000-0000-000073470000}"/>
    <cellStyle name="Comma 8 2 2 14" xfId="36257" xr:uid="{00000000-0005-0000-0000-000074470000}"/>
    <cellStyle name="Comma 8 2 2 15" xfId="37405" xr:uid="{00000000-0005-0000-0000-000075470000}"/>
    <cellStyle name="Comma 8 2 2 16" xfId="41353" xr:uid="{00000000-0005-0000-0000-000076470000}"/>
    <cellStyle name="Comma 8 2 2 17" xfId="46039" xr:uid="{00000000-0005-0000-0000-000077470000}"/>
    <cellStyle name="Comma 8 2 2 18" xfId="8119" xr:uid="{00000000-0005-0000-0000-000078470000}"/>
    <cellStyle name="Comma 8 2 2 2" xfId="2833" xr:uid="{00000000-0005-0000-0000-000079470000}"/>
    <cellStyle name="Comma 8 2 2 2 10" xfId="34593" xr:uid="{00000000-0005-0000-0000-00007A470000}"/>
    <cellStyle name="Comma 8 2 2 2 11" xfId="35395" xr:uid="{00000000-0005-0000-0000-00007B470000}"/>
    <cellStyle name="Comma 8 2 2 2 12" xfId="36258" xr:uid="{00000000-0005-0000-0000-00007C470000}"/>
    <cellStyle name="Comma 8 2 2 2 13" xfId="37472" xr:uid="{00000000-0005-0000-0000-00007D470000}"/>
    <cellStyle name="Comma 8 2 2 2 14" xfId="41419" xr:uid="{00000000-0005-0000-0000-00007E470000}"/>
    <cellStyle name="Comma 8 2 2 2 15" xfId="46040" xr:uid="{00000000-0005-0000-0000-00007F470000}"/>
    <cellStyle name="Comma 8 2 2 2 16" xfId="8926" xr:uid="{00000000-0005-0000-0000-000080470000}"/>
    <cellStyle name="Comma 8 2 2 2 2" xfId="5144" xr:uid="{00000000-0005-0000-0000-000081470000}"/>
    <cellStyle name="Comma 8 2 2 2 2 10" xfId="12925" xr:uid="{00000000-0005-0000-0000-000082470000}"/>
    <cellStyle name="Comma 8 2 2 2 2 2" xfId="6113" xr:uid="{00000000-0005-0000-0000-000083470000}"/>
    <cellStyle name="Comma 8 2 2 2 2 2 2" xfId="40427" xr:uid="{00000000-0005-0000-0000-000084470000}"/>
    <cellStyle name="Comma 8 2 2 2 2 2 2 2" xfId="43245" xr:uid="{00000000-0005-0000-0000-000085470000}"/>
    <cellStyle name="Comma 8 2 2 2 2 2 2 3" xfId="46041" xr:uid="{00000000-0005-0000-0000-000086470000}"/>
    <cellStyle name="Comma 8 2 2 2 2 2 3" xfId="38878" xr:uid="{00000000-0005-0000-0000-000087470000}"/>
    <cellStyle name="Comma 8 2 2 2 2 2 4" xfId="41917" xr:uid="{00000000-0005-0000-0000-000088470000}"/>
    <cellStyle name="Comma 8 2 2 2 2 2 5" xfId="46042" xr:uid="{00000000-0005-0000-0000-000089470000}"/>
    <cellStyle name="Comma 8 2 2 2 2 2 6" xfId="31507" xr:uid="{00000000-0005-0000-0000-00008A470000}"/>
    <cellStyle name="Comma 8 2 2 2 2 3" xfId="6433" xr:uid="{00000000-0005-0000-0000-00008B470000}"/>
    <cellStyle name="Comma 8 2 2 2 2 3 2" xfId="40818" xr:uid="{00000000-0005-0000-0000-00008C470000}"/>
    <cellStyle name="Comma 8 2 2 2 2 3 2 2" xfId="43573" xr:uid="{00000000-0005-0000-0000-00008D470000}"/>
    <cellStyle name="Comma 8 2 2 2 2 3 2 3" xfId="46043" xr:uid="{00000000-0005-0000-0000-00008E470000}"/>
    <cellStyle name="Comma 8 2 2 2 2 3 3" xfId="39255" xr:uid="{00000000-0005-0000-0000-00008F470000}"/>
    <cellStyle name="Comma 8 2 2 2 2 3 4" xfId="42245" xr:uid="{00000000-0005-0000-0000-000090470000}"/>
    <cellStyle name="Comma 8 2 2 2 2 3 5" xfId="46044" xr:uid="{00000000-0005-0000-0000-000091470000}"/>
    <cellStyle name="Comma 8 2 2 2 2 3 6" xfId="33360" xr:uid="{00000000-0005-0000-0000-000092470000}"/>
    <cellStyle name="Comma 8 2 2 2 2 4" xfId="35184" xr:uid="{00000000-0005-0000-0000-000093470000}"/>
    <cellStyle name="Comma 8 2 2 2 2 4 2" xfId="41283" xr:uid="{00000000-0005-0000-0000-000094470000}"/>
    <cellStyle name="Comma 8 2 2 2 2 4 2 2" xfId="43963" xr:uid="{00000000-0005-0000-0000-000095470000}"/>
    <cellStyle name="Comma 8 2 2 2 2 4 2 3" xfId="46045" xr:uid="{00000000-0005-0000-0000-000096470000}"/>
    <cellStyle name="Comma 8 2 2 2 2 4 3" xfId="39700" xr:uid="{00000000-0005-0000-0000-000097470000}"/>
    <cellStyle name="Comma 8 2 2 2 2 4 4" xfId="42635" xr:uid="{00000000-0005-0000-0000-000098470000}"/>
    <cellStyle name="Comma 8 2 2 2 2 4 5" xfId="46046" xr:uid="{00000000-0005-0000-0000-000099470000}"/>
    <cellStyle name="Comma 8 2 2 2 2 5" xfId="36099" xr:uid="{00000000-0005-0000-0000-00009A470000}"/>
    <cellStyle name="Comma 8 2 2 2 2 5 2" xfId="39976" xr:uid="{00000000-0005-0000-0000-00009B470000}"/>
    <cellStyle name="Comma 8 2 2 2 2 5 3" xfId="42864" xr:uid="{00000000-0005-0000-0000-00009C470000}"/>
    <cellStyle name="Comma 8 2 2 2 2 5 4" xfId="46047" xr:uid="{00000000-0005-0000-0000-00009D470000}"/>
    <cellStyle name="Comma 8 2 2 2 2 6" xfId="36399" xr:uid="{00000000-0005-0000-0000-00009E470000}"/>
    <cellStyle name="Comma 8 2 2 2 2 7" xfId="37590" xr:uid="{00000000-0005-0000-0000-00009F470000}"/>
    <cellStyle name="Comma 8 2 2 2 2 8" xfId="41536" xr:uid="{00000000-0005-0000-0000-0000A0470000}"/>
    <cellStyle name="Comma 8 2 2 2 2 9" xfId="46048" xr:uid="{00000000-0005-0000-0000-0000A1470000}"/>
    <cellStyle name="Comma 8 2 2 2 3" xfId="4485" xr:uid="{00000000-0005-0000-0000-0000A2470000}"/>
    <cellStyle name="Comma 8 2 2 2 3 2" xfId="5936" xr:uid="{00000000-0005-0000-0000-0000A3470000}"/>
    <cellStyle name="Comma 8 2 2 2 3 2 2" xfId="41111" xr:uid="{00000000-0005-0000-0000-0000A4470000}"/>
    <cellStyle name="Comma 8 2 2 2 3 2 2 2" xfId="43823" xr:uid="{00000000-0005-0000-0000-0000A5470000}"/>
    <cellStyle name="Comma 8 2 2 2 3 2 2 3" xfId="46049" xr:uid="{00000000-0005-0000-0000-0000A6470000}"/>
    <cellStyle name="Comma 8 2 2 2 3 2 3" xfId="39535" xr:uid="{00000000-0005-0000-0000-0000A7470000}"/>
    <cellStyle name="Comma 8 2 2 2 3 2 4" xfId="42495" xr:uid="{00000000-0005-0000-0000-0000A8470000}"/>
    <cellStyle name="Comma 8 2 2 2 3 2 5" xfId="46050" xr:uid="{00000000-0005-0000-0000-0000A9470000}"/>
    <cellStyle name="Comma 8 2 2 2 3 2 6" xfId="35668" xr:uid="{00000000-0005-0000-0000-0000AA470000}"/>
    <cellStyle name="Comma 8 2 2 2 3 3" xfId="40256" xr:uid="{00000000-0005-0000-0000-0000AB470000}"/>
    <cellStyle name="Comma 8 2 2 2 3 3 2" xfId="43105" xr:uid="{00000000-0005-0000-0000-0000AC470000}"/>
    <cellStyle name="Comma 8 2 2 2 3 3 3" xfId="46051" xr:uid="{00000000-0005-0000-0000-0000AD470000}"/>
    <cellStyle name="Comma 8 2 2 2 3 4" xfId="38737" xr:uid="{00000000-0005-0000-0000-0000AE470000}"/>
    <cellStyle name="Comma 8 2 2 2 3 5" xfId="41777" xr:uid="{00000000-0005-0000-0000-0000AF470000}"/>
    <cellStyle name="Comma 8 2 2 2 3 6" xfId="46052" xr:uid="{00000000-0005-0000-0000-0000B0470000}"/>
    <cellStyle name="Comma 8 2 2 2 3 7" xfId="12142" xr:uid="{00000000-0005-0000-0000-0000B1470000}"/>
    <cellStyle name="Comma 8 2 2 2 4" xfId="5798" xr:uid="{00000000-0005-0000-0000-0000B2470000}"/>
    <cellStyle name="Comma 8 2 2 2 4 2" xfId="40121" xr:uid="{00000000-0005-0000-0000-0000B3470000}"/>
    <cellStyle name="Comma 8 2 2 2 4 2 2" xfId="42990" xr:uid="{00000000-0005-0000-0000-0000B4470000}"/>
    <cellStyle name="Comma 8 2 2 2 4 2 3" xfId="46053" xr:uid="{00000000-0005-0000-0000-0000B5470000}"/>
    <cellStyle name="Comma 8 2 2 2 4 3" xfId="38165" xr:uid="{00000000-0005-0000-0000-0000B6470000}"/>
    <cellStyle name="Comma 8 2 2 2 4 4" xfId="41662" xr:uid="{00000000-0005-0000-0000-0000B7470000}"/>
    <cellStyle name="Comma 8 2 2 2 4 5" xfId="46054" xr:uid="{00000000-0005-0000-0000-0000B8470000}"/>
    <cellStyle name="Comma 8 2 2 2 4 6" xfId="15857" xr:uid="{00000000-0005-0000-0000-0000B9470000}"/>
    <cellStyle name="Comma 8 2 2 2 5" xfId="6257" xr:uid="{00000000-0005-0000-0000-0000BA470000}"/>
    <cellStyle name="Comma 8 2 2 2 5 2" xfId="40666" xr:uid="{00000000-0005-0000-0000-0000BB470000}"/>
    <cellStyle name="Comma 8 2 2 2 5 2 2" xfId="43452" xr:uid="{00000000-0005-0000-0000-0000BC470000}"/>
    <cellStyle name="Comma 8 2 2 2 5 2 3" xfId="46055" xr:uid="{00000000-0005-0000-0000-0000BD470000}"/>
    <cellStyle name="Comma 8 2 2 2 5 3" xfId="39098" xr:uid="{00000000-0005-0000-0000-0000BE470000}"/>
    <cellStyle name="Comma 8 2 2 2 5 4" xfId="42124" xr:uid="{00000000-0005-0000-0000-0000BF470000}"/>
    <cellStyle name="Comma 8 2 2 2 5 5" xfId="46056" xr:uid="{00000000-0005-0000-0000-0000C0470000}"/>
    <cellStyle name="Comma 8 2 2 2 5 6" xfId="30355" xr:uid="{00000000-0005-0000-0000-0000C1470000}"/>
    <cellStyle name="Comma 8 2 2 2 6" xfId="30916" xr:uid="{00000000-0005-0000-0000-0000C2470000}"/>
    <cellStyle name="Comma 8 2 2 2 6 2" xfId="40973" xr:uid="{00000000-0005-0000-0000-0000C3470000}"/>
    <cellStyle name="Comma 8 2 2 2 6 2 2" xfId="43708" xr:uid="{00000000-0005-0000-0000-0000C4470000}"/>
    <cellStyle name="Comma 8 2 2 2 6 2 3" xfId="46057" xr:uid="{00000000-0005-0000-0000-0000C5470000}"/>
    <cellStyle name="Comma 8 2 2 2 6 3" xfId="39402" xr:uid="{00000000-0005-0000-0000-0000C6470000}"/>
    <cellStyle name="Comma 8 2 2 2 6 4" xfId="42380" xr:uid="{00000000-0005-0000-0000-0000C7470000}"/>
    <cellStyle name="Comma 8 2 2 2 6 5" xfId="46058" xr:uid="{00000000-0005-0000-0000-0000C8470000}"/>
    <cellStyle name="Comma 8 2 2 2 7" xfId="32178" xr:uid="{00000000-0005-0000-0000-0000C9470000}"/>
    <cellStyle name="Comma 8 2 2 2 7 2" xfId="39839" xr:uid="{00000000-0005-0000-0000-0000CA470000}"/>
    <cellStyle name="Comma 8 2 2 2 7 3" xfId="42747" xr:uid="{00000000-0005-0000-0000-0000CB470000}"/>
    <cellStyle name="Comma 8 2 2 2 7 4" xfId="46059" xr:uid="{00000000-0005-0000-0000-0000CC470000}"/>
    <cellStyle name="Comma 8 2 2 2 8" xfId="32820" xr:uid="{00000000-0005-0000-0000-0000CD470000}"/>
    <cellStyle name="Comma 8 2 2 2 9" xfId="34032" xr:uid="{00000000-0005-0000-0000-0000CE470000}"/>
    <cellStyle name="Comma 8 2 2 3" xfId="2834" xr:uid="{00000000-0005-0000-0000-0000CF470000}"/>
    <cellStyle name="Comma 8 2 2 3 10" xfId="34668" xr:uid="{00000000-0005-0000-0000-0000D0470000}"/>
    <cellStyle name="Comma 8 2 2 3 11" xfId="35396" xr:uid="{00000000-0005-0000-0000-0000D1470000}"/>
    <cellStyle name="Comma 8 2 2 3 12" xfId="36259" xr:uid="{00000000-0005-0000-0000-0000D2470000}"/>
    <cellStyle name="Comma 8 2 2 3 13" xfId="37563" xr:uid="{00000000-0005-0000-0000-0000D3470000}"/>
    <cellStyle name="Comma 8 2 2 3 14" xfId="41509" xr:uid="{00000000-0005-0000-0000-0000D4470000}"/>
    <cellStyle name="Comma 8 2 2 3 15" xfId="46060" xr:uid="{00000000-0005-0000-0000-0000D5470000}"/>
    <cellStyle name="Comma 8 2 2 3 16" xfId="11554" xr:uid="{00000000-0005-0000-0000-0000D6470000}"/>
    <cellStyle name="Comma 8 2 2 3 2" xfId="5145" xr:uid="{00000000-0005-0000-0000-0000D7470000}"/>
    <cellStyle name="Comma 8 2 2 3 2 10" xfId="15175" xr:uid="{00000000-0005-0000-0000-0000D8470000}"/>
    <cellStyle name="Comma 8 2 2 3 2 2" xfId="6114" xr:uid="{00000000-0005-0000-0000-0000D9470000}"/>
    <cellStyle name="Comma 8 2 2 3 2 2 2" xfId="40819" xr:uid="{00000000-0005-0000-0000-0000DA470000}"/>
    <cellStyle name="Comma 8 2 2 3 2 2 2 2" xfId="43574" xr:uid="{00000000-0005-0000-0000-0000DB470000}"/>
    <cellStyle name="Comma 8 2 2 3 2 2 2 3" xfId="46061" xr:uid="{00000000-0005-0000-0000-0000DC470000}"/>
    <cellStyle name="Comma 8 2 2 3 2 2 3" xfId="39256" xr:uid="{00000000-0005-0000-0000-0000DD470000}"/>
    <cellStyle name="Comma 8 2 2 3 2 2 4" xfId="42246" xr:uid="{00000000-0005-0000-0000-0000DE470000}"/>
    <cellStyle name="Comma 8 2 2 3 2 2 5" xfId="46062" xr:uid="{00000000-0005-0000-0000-0000DF470000}"/>
    <cellStyle name="Comma 8 2 2 3 2 2 6" xfId="31582" xr:uid="{00000000-0005-0000-0000-0000E0470000}"/>
    <cellStyle name="Comma 8 2 2 3 2 3" xfId="6434" xr:uid="{00000000-0005-0000-0000-0000E1470000}"/>
    <cellStyle name="Comma 8 2 2 3 2 3 2" xfId="41284" xr:uid="{00000000-0005-0000-0000-0000E2470000}"/>
    <cellStyle name="Comma 8 2 2 3 2 3 2 2" xfId="43964" xr:uid="{00000000-0005-0000-0000-0000E3470000}"/>
    <cellStyle name="Comma 8 2 2 3 2 3 2 3" xfId="46063" xr:uid="{00000000-0005-0000-0000-0000E4470000}"/>
    <cellStyle name="Comma 8 2 2 3 2 3 3" xfId="39701" xr:uid="{00000000-0005-0000-0000-0000E5470000}"/>
    <cellStyle name="Comma 8 2 2 3 2 3 4" xfId="42636" xr:uid="{00000000-0005-0000-0000-0000E6470000}"/>
    <cellStyle name="Comma 8 2 2 3 2 3 5" xfId="46064" xr:uid="{00000000-0005-0000-0000-0000E7470000}"/>
    <cellStyle name="Comma 8 2 2 3 2 3 6" xfId="33435" xr:uid="{00000000-0005-0000-0000-0000E8470000}"/>
    <cellStyle name="Comma 8 2 2 3 2 4" xfId="35259" xr:uid="{00000000-0005-0000-0000-0000E9470000}"/>
    <cellStyle name="Comma 8 2 2 3 2 4 2" xfId="40428" xr:uid="{00000000-0005-0000-0000-0000EA470000}"/>
    <cellStyle name="Comma 8 2 2 3 2 4 3" xfId="43246" xr:uid="{00000000-0005-0000-0000-0000EB470000}"/>
    <cellStyle name="Comma 8 2 2 3 2 4 4" xfId="46065" xr:uid="{00000000-0005-0000-0000-0000EC470000}"/>
    <cellStyle name="Comma 8 2 2 3 2 5" xfId="36100" xr:uid="{00000000-0005-0000-0000-0000ED470000}"/>
    <cellStyle name="Comma 8 2 2 3 2 6" xfId="36400" xr:uid="{00000000-0005-0000-0000-0000EE470000}"/>
    <cellStyle name="Comma 8 2 2 3 2 7" xfId="38879" xr:uid="{00000000-0005-0000-0000-0000EF470000}"/>
    <cellStyle name="Comma 8 2 2 3 2 8" xfId="41918" xr:uid="{00000000-0005-0000-0000-0000F0470000}"/>
    <cellStyle name="Comma 8 2 2 3 2 9" xfId="46066" xr:uid="{00000000-0005-0000-0000-0000F1470000}"/>
    <cellStyle name="Comma 8 2 2 3 3" xfId="4486" xr:uid="{00000000-0005-0000-0000-0000F2470000}"/>
    <cellStyle name="Comma 8 2 2 3 3 2" xfId="5937" xr:uid="{00000000-0005-0000-0000-0000F3470000}"/>
    <cellStyle name="Comma 8 2 2 3 3 2 2" xfId="41112" xr:uid="{00000000-0005-0000-0000-0000F4470000}"/>
    <cellStyle name="Comma 8 2 2 3 3 2 2 2" xfId="43824" xr:uid="{00000000-0005-0000-0000-0000F5470000}"/>
    <cellStyle name="Comma 8 2 2 3 3 2 2 3" xfId="46067" xr:uid="{00000000-0005-0000-0000-0000F6470000}"/>
    <cellStyle name="Comma 8 2 2 3 3 2 3" xfId="39536" xr:uid="{00000000-0005-0000-0000-0000F7470000}"/>
    <cellStyle name="Comma 8 2 2 3 3 2 4" xfId="42496" xr:uid="{00000000-0005-0000-0000-0000F8470000}"/>
    <cellStyle name="Comma 8 2 2 3 3 2 5" xfId="46068" xr:uid="{00000000-0005-0000-0000-0000F9470000}"/>
    <cellStyle name="Comma 8 2 2 3 3 2 6" xfId="35669" xr:uid="{00000000-0005-0000-0000-0000FA470000}"/>
    <cellStyle name="Comma 8 2 2 3 3 3" xfId="40257" xr:uid="{00000000-0005-0000-0000-0000FB470000}"/>
    <cellStyle name="Comma 8 2 2 3 3 3 2" xfId="43106" xr:uid="{00000000-0005-0000-0000-0000FC470000}"/>
    <cellStyle name="Comma 8 2 2 3 3 3 3" xfId="46069" xr:uid="{00000000-0005-0000-0000-0000FD470000}"/>
    <cellStyle name="Comma 8 2 2 3 3 4" xfId="38738" xr:uid="{00000000-0005-0000-0000-0000FE470000}"/>
    <cellStyle name="Comma 8 2 2 3 3 5" xfId="41778" xr:uid="{00000000-0005-0000-0000-0000FF470000}"/>
    <cellStyle name="Comma 8 2 2 3 3 6" xfId="46070" xr:uid="{00000000-0005-0000-0000-000000480000}"/>
    <cellStyle name="Comma 8 2 2 3 3 7" xfId="12217" xr:uid="{00000000-0005-0000-0000-000001480000}"/>
    <cellStyle name="Comma 8 2 2 3 4" xfId="5799" xr:uid="{00000000-0005-0000-0000-000002480000}"/>
    <cellStyle name="Comma 8 2 2 3 4 2" xfId="40122" xr:uid="{00000000-0005-0000-0000-000003480000}"/>
    <cellStyle name="Comma 8 2 2 3 4 2 2" xfId="42991" xr:uid="{00000000-0005-0000-0000-000004480000}"/>
    <cellStyle name="Comma 8 2 2 3 4 2 3" xfId="46071" xr:uid="{00000000-0005-0000-0000-000005480000}"/>
    <cellStyle name="Comma 8 2 2 3 4 3" xfId="38166" xr:uid="{00000000-0005-0000-0000-000006480000}"/>
    <cellStyle name="Comma 8 2 2 3 4 4" xfId="41663" xr:uid="{00000000-0005-0000-0000-000007480000}"/>
    <cellStyle name="Comma 8 2 2 3 4 5" xfId="46072" xr:uid="{00000000-0005-0000-0000-000008480000}"/>
    <cellStyle name="Comma 8 2 2 3 4 6" xfId="15858" xr:uid="{00000000-0005-0000-0000-000009480000}"/>
    <cellStyle name="Comma 8 2 2 3 5" xfId="6258" xr:uid="{00000000-0005-0000-0000-00000A480000}"/>
    <cellStyle name="Comma 8 2 2 3 5 2" xfId="40667" xr:uid="{00000000-0005-0000-0000-00000B480000}"/>
    <cellStyle name="Comma 8 2 2 3 5 2 2" xfId="43453" xr:uid="{00000000-0005-0000-0000-00000C480000}"/>
    <cellStyle name="Comma 8 2 2 3 5 2 3" xfId="46073" xr:uid="{00000000-0005-0000-0000-00000D480000}"/>
    <cellStyle name="Comma 8 2 2 3 5 3" xfId="39099" xr:uid="{00000000-0005-0000-0000-00000E480000}"/>
    <cellStyle name="Comma 8 2 2 3 5 4" xfId="42125" xr:uid="{00000000-0005-0000-0000-00000F480000}"/>
    <cellStyle name="Comma 8 2 2 3 5 5" xfId="46074" xr:uid="{00000000-0005-0000-0000-000010480000}"/>
    <cellStyle name="Comma 8 2 2 3 5 6" xfId="30356" xr:uid="{00000000-0005-0000-0000-000011480000}"/>
    <cellStyle name="Comma 8 2 2 3 6" xfId="30991" xr:uid="{00000000-0005-0000-0000-000012480000}"/>
    <cellStyle name="Comma 8 2 2 3 6 2" xfId="40974" xr:uid="{00000000-0005-0000-0000-000013480000}"/>
    <cellStyle name="Comma 8 2 2 3 6 2 2" xfId="43709" xr:uid="{00000000-0005-0000-0000-000014480000}"/>
    <cellStyle name="Comma 8 2 2 3 6 2 3" xfId="46075" xr:uid="{00000000-0005-0000-0000-000015480000}"/>
    <cellStyle name="Comma 8 2 2 3 6 3" xfId="39403" xr:uid="{00000000-0005-0000-0000-000016480000}"/>
    <cellStyle name="Comma 8 2 2 3 6 4" xfId="42381" xr:uid="{00000000-0005-0000-0000-000017480000}"/>
    <cellStyle name="Comma 8 2 2 3 6 5" xfId="46076" xr:uid="{00000000-0005-0000-0000-000018480000}"/>
    <cellStyle name="Comma 8 2 2 3 7" xfId="32179" xr:uid="{00000000-0005-0000-0000-000019480000}"/>
    <cellStyle name="Comma 8 2 2 3 7 2" xfId="39949" xr:uid="{00000000-0005-0000-0000-00001A480000}"/>
    <cellStyle name="Comma 8 2 2 3 7 3" xfId="42837" xr:uid="{00000000-0005-0000-0000-00001B480000}"/>
    <cellStyle name="Comma 8 2 2 3 7 4" xfId="46077" xr:uid="{00000000-0005-0000-0000-00001C480000}"/>
    <cellStyle name="Comma 8 2 2 3 8" xfId="32821" xr:uid="{00000000-0005-0000-0000-00001D480000}"/>
    <cellStyle name="Comma 8 2 2 3 9" xfId="34033" xr:uid="{00000000-0005-0000-0000-00001E480000}"/>
    <cellStyle name="Comma 8 2 2 4" xfId="2832" xr:uid="{00000000-0005-0000-0000-00001F480000}"/>
    <cellStyle name="Comma 8 2 2 4 10" xfId="36398" xr:uid="{00000000-0005-0000-0000-000020480000}"/>
    <cellStyle name="Comma 8 2 2 4 11" xfId="37546" xr:uid="{00000000-0005-0000-0000-000021480000}"/>
    <cellStyle name="Comma 8 2 2 4 12" xfId="41492" xr:uid="{00000000-0005-0000-0000-000022480000}"/>
    <cellStyle name="Comma 8 2 2 4 13" xfId="46078" xr:uid="{00000000-0005-0000-0000-000023480000}"/>
    <cellStyle name="Comma 8 2 2 4 14" xfId="12431" xr:uid="{00000000-0005-0000-0000-000024480000}"/>
    <cellStyle name="Comma 8 2 2 4 2" xfId="5143" xr:uid="{00000000-0005-0000-0000-000025480000}"/>
    <cellStyle name="Comma 8 2 2 4 2 2" xfId="6112" xr:uid="{00000000-0005-0000-0000-000026480000}"/>
    <cellStyle name="Comma 8 2 2 4 2 2 2" xfId="41282" xr:uid="{00000000-0005-0000-0000-000027480000}"/>
    <cellStyle name="Comma 8 2 2 4 2 2 2 2" xfId="43962" xr:uid="{00000000-0005-0000-0000-000028480000}"/>
    <cellStyle name="Comma 8 2 2 4 2 2 2 3" xfId="46079" xr:uid="{00000000-0005-0000-0000-000029480000}"/>
    <cellStyle name="Comma 8 2 2 4 2 2 3" xfId="39699" xr:uid="{00000000-0005-0000-0000-00002A480000}"/>
    <cellStyle name="Comma 8 2 2 4 2 2 4" xfId="42634" xr:uid="{00000000-0005-0000-0000-00002B480000}"/>
    <cellStyle name="Comma 8 2 2 4 2 2 5" xfId="46080" xr:uid="{00000000-0005-0000-0000-00002C480000}"/>
    <cellStyle name="Comma 8 2 2 4 2 2 6" xfId="36098" xr:uid="{00000000-0005-0000-0000-00002D480000}"/>
    <cellStyle name="Comma 8 2 2 4 2 3" xfId="40426" xr:uid="{00000000-0005-0000-0000-00002E480000}"/>
    <cellStyle name="Comma 8 2 2 4 2 3 2" xfId="43244" xr:uid="{00000000-0005-0000-0000-00002F480000}"/>
    <cellStyle name="Comma 8 2 2 4 2 3 3" xfId="46081" xr:uid="{00000000-0005-0000-0000-000030480000}"/>
    <cellStyle name="Comma 8 2 2 4 2 4" xfId="38877" xr:uid="{00000000-0005-0000-0000-000031480000}"/>
    <cellStyle name="Comma 8 2 2 4 2 5" xfId="41916" xr:uid="{00000000-0005-0000-0000-000032480000}"/>
    <cellStyle name="Comma 8 2 2 4 2 6" xfId="46082" xr:uid="{00000000-0005-0000-0000-000033480000}"/>
    <cellStyle name="Comma 8 2 2 4 2 7" xfId="15859" xr:uid="{00000000-0005-0000-0000-000034480000}"/>
    <cellStyle name="Comma 8 2 2 4 3" xfId="5797" xr:uid="{00000000-0005-0000-0000-000035480000}"/>
    <cellStyle name="Comma 8 2 2 4 3 2" xfId="40120" xr:uid="{00000000-0005-0000-0000-000036480000}"/>
    <cellStyle name="Comma 8 2 2 4 3 2 2" xfId="42989" xr:uid="{00000000-0005-0000-0000-000037480000}"/>
    <cellStyle name="Comma 8 2 2 4 3 2 3" xfId="46083" xr:uid="{00000000-0005-0000-0000-000038480000}"/>
    <cellStyle name="Comma 8 2 2 4 3 3" xfId="38164" xr:uid="{00000000-0005-0000-0000-000039480000}"/>
    <cellStyle name="Comma 8 2 2 4 3 4" xfId="41661" xr:uid="{00000000-0005-0000-0000-00003A480000}"/>
    <cellStyle name="Comma 8 2 2 4 3 5" xfId="46084" xr:uid="{00000000-0005-0000-0000-00003B480000}"/>
    <cellStyle name="Comma 8 2 2 4 3 6" xfId="30357" xr:uid="{00000000-0005-0000-0000-00003C480000}"/>
    <cellStyle name="Comma 8 2 2 4 4" xfId="6432" xr:uid="{00000000-0005-0000-0000-00003D480000}"/>
    <cellStyle name="Comma 8 2 2 4 4 2" xfId="40665" xr:uid="{00000000-0005-0000-0000-00003E480000}"/>
    <cellStyle name="Comma 8 2 2 4 4 2 2" xfId="43451" xr:uid="{00000000-0005-0000-0000-00003F480000}"/>
    <cellStyle name="Comma 8 2 2 4 4 2 3" xfId="46085" xr:uid="{00000000-0005-0000-0000-000040480000}"/>
    <cellStyle name="Comma 8 2 2 4 4 3" xfId="39097" xr:uid="{00000000-0005-0000-0000-000041480000}"/>
    <cellStyle name="Comma 8 2 2 4 4 4" xfId="42123" xr:uid="{00000000-0005-0000-0000-000042480000}"/>
    <cellStyle name="Comma 8 2 2 4 4 5" xfId="46086" xr:uid="{00000000-0005-0000-0000-000043480000}"/>
    <cellStyle name="Comma 8 2 2 4 4 6" xfId="31142" xr:uid="{00000000-0005-0000-0000-000044480000}"/>
    <cellStyle name="Comma 8 2 2 4 5" xfId="32180" xr:uid="{00000000-0005-0000-0000-000045480000}"/>
    <cellStyle name="Comma 8 2 2 4 5 2" xfId="40972" xr:uid="{00000000-0005-0000-0000-000046480000}"/>
    <cellStyle name="Comma 8 2 2 4 5 2 2" xfId="43707" xr:uid="{00000000-0005-0000-0000-000047480000}"/>
    <cellStyle name="Comma 8 2 2 4 5 2 3" xfId="46087" xr:uid="{00000000-0005-0000-0000-000048480000}"/>
    <cellStyle name="Comma 8 2 2 4 5 3" xfId="39401" xr:uid="{00000000-0005-0000-0000-000049480000}"/>
    <cellStyle name="Comma 8 2 2 4 5 4" xfId="42379" xr:uid="{00000000-0005-0000-0000-00004A480000}"/>
    <cellStyle name="Comma 8 2 2 4 5 5" xfId="46088" xr:uid="{00000000-0005-0000-0000-00004B480000}"/>
    <cellStyle name="Comma 8 2 2 4 6" xfId="32822" xr:uid="{00000000-0005-0000-0000-00004C480000}"/>
    <cellStyle name="Comma 8 2 2 4 6 2" xfId="39921" xr:uid="{00000000-0005-0000-0000-00004D480000}"/>
    <cellStyle name="Comma 8 2 2 4 6 3" xfId="42820" xr:uid="{00000000-0005-0000-0000-00004E480000}"/>
    <cellStyle name="Comma 8 2 2 4 6 4" xfId="46089" xr:uid="{00000000-0005-0000-0000-00004F480000}"/>
    <cellStyle name="Comma 8 2 2 4 7" xfId="34034" xr:uid="{00000000-0005-0000-0000-000050480000}"/>
    <cellStyle name="Comma 8 2 2 4 8" xfId="34819" xr:uid="{00000000-0005-0000-0000-000051480000}"/>
    <cellStyle name="Comma 8 2 2 4 9" xfId="35394" xr:uid="{00000000-0005-0000-0000-000052480000}"/>
    <cellStyle name="Comma 8 2 2 5" xfId="4556" xr:uid="{00000000-0005-0000-0000-000053480000}"/>
    <cellStyle name="Comma 8 2 2 5 2" xfId="6005" xr:uid="{00000000-0005-0000-0000-000054480000}"/>
    <cellStyle name="Comma 8 2 2 5 2 2" xfId="40563" xr:uid="{00000000-0005-0000-0000-000055480000}"/>
    <cellStyle name="Comma 8 2 2 5 2 2 2" xfId="43357" xr:uid="{00000000-0005-0000-0000-000056480000}"/>
    <cellStyle name="Comma 8 2 2 5 2 2 3" xfId="46090" xr:uid="{00000000-0005-0000-0000-000057480000}"/>
    <cellStyle name="Comma 8 2 2 5 2 3" xfId="39000" xr:uid="{00000000-0005-0000-0000-000058480000}"/>
    <cellStyle name="Comma 8 2 2 5 2 4" xfId="42029" xr:uid="{00000000-0005-0000-0000-000059480000}"/>
    <cellStyle name="Comma 8 2 2 5 2 5" xfId="46091" xr:uid="{00000000-0005-0000-0000-00005A480000}"/>
    <cellStyle name="Comma 8 2 2 5 2 6" xfId="35717" xr:uid="{00000000-0005-0000-0000-00005B480000}"/>
    <cellStyle name="Comma 8 2 2 5 3" xfId="6326" xr:uid="{00000000-0005-0000-0000-00005C480000}"/>
    <cellStyle name="Comma 8 2 2 5 3 2" xfId="41178" xr:uid="{00000000-0005-0000-0000-00005D480000}"/>
    <cellStyle name="Comma 8 2 2 5 3 2 2" xfId="43868" xr:uid="{00000000-0005-0000-0000-00005E480000}"/>
    <cellStyle name="Comma 8 2 2 5 3 2 3" xfId="46092" xr:uid="{00000000-0005-0000-0000-00005F480000}"/>
    <cellStyle name="Comma 8 2 2 5 3 3" xfId="39597" xr:uid="{00000000-0005-0000-0000-000060480000}"/>
    <cellStyle name="Comma 8 2 2 5 3 4" xfId="42540" xr:uid="{00000000-0005-0000-0000-000061480000}"/>
    <cellStyle name="Comma 8 2 2 5 3 5" xfId="46093" xr:uid="{00000000-0005-0000-0000-000062480000}"/>
    <cellStyle name="Comma 8 2 2 5 3 6" xfId="36304" xr:uid="{00000000-0005-0000-0000-000063480000}"/>
    <cellStyle name="Comma 8 2 2 5 4" xfId="40323" xr:uid="{00000000-0005-0000-0000-000064480000}"/>
    <cellStyle name="Comma 8 2 2 5 4 2" xfId="43150" xr:uid="{00000000-0005-0000-0000-000065480000}"/>
    <cellStyle name="Comma 8 2 2 5 4 3" xfId="46094" xr:uid="{00000000-0005-0000-0000-000066480000}"/>
    <cellStyle name="Comma 8 2 2 5 5" xfId="38782" xr:uid="{00000000-0005-0000-0000-000067480000}"/>
    <cellStyle name="Comma 8 2 2 5 6" xfId="41822" xr:uid="{00000000-0005-0000-0000-000068480000}"/>
    <cellStyle name="Comma 8 2 2 5 7" xfId="46095" xr:uid="{00000000-0005-0000-0000-000069480000}"/>
    <cellStyle name="Comma 8 2 2 5 8" xfId="11777" xr:uid="{00000000-0005-0000-0000-00006A480000}"/>
    <cellStyle name="Comma 8 2 2 6" xfId="4484" xr:uid="{00000000-0005-0000-0000-00006B480000}"/>
    <cellStyle name="Comma 8 2 2 6 2" xfId="5935" xr:uid="{00000000-0005-0000-0000-00006C480000}"/>
    <cellStyle name="Comma 8 2 2 6 2 2" xfId="40773" xr:uid="{00000000-0005-0000-0000-00006D480000}"/>
    <cellStyle name="Comma 8 2 2 6 2 2 2" xfId="43536" xr:uid="{00000000-0005-0000-0000-00006E480000}"/>
    <cellStyle name="Comma 8 2 2 6 2 2 3" xfId="46096" xr:uid="{00000000-0005-0000-0000-00006F480000}"/>
    <cellStyle name="Comma 8 2 2 6 2 3" xfId="39200" xr:uid="{00000000-0005-0000-0000-000070480000}"/>
    <cellStyle name="Comma 8 2 2 6 2 4" xfId="42208" xr:uid="{00000000-0005-0000-0000-000071480000}"/>
    <cellStyle name="Comma 8 2 2 6 2 5" xfId="46097" xr:uid="{00000000-0005-0000-0000-000072480000}"/>
    <cellStyle name="Comma 8 2 2 6 2 6" xfId="35667" xr:uid="{00000000-0005-0000-0000-000073480000}"/>
    <cellStyle name="Comma 8 2 2 6 3" xfId="39534" xr:uid="{00000000-0005-0000-0000-000074480000}"/>
    <cellStyle name="Comma 8 2 2 6 3 2" xfId="41110" xr:uid="{00000000-0005-0000-0000-000075480000}"/>
    <cellStyle name="Comma 8 2 2 6 3 2 2" xfId="43822" xr:uid="{00000000-0005-0000-0000-000076480000}"/>
    <cellStyle name="Comma 8 2 2 6 3 2 3" xfId="46098" xr:uid="{00000000-0005-0000-0000-000077480000}"/>
    <cellStyle name="Comma 8 2 2 6 3 3" xfId="42494" xr:uid="{00000000-0005-0000-0000-000078480000}"/>
    <cellStyle name="Comma 8 2 2 6 3 4" xfId="46099" xr:uid="{00000000-0005-0000-0000-000079480000}"/>
    <cellStyle name="Comma 8 2 2 6 4" xfId="40255" xr:uid="{00000000-0005-0000-0000-00007A480000}"/>
    <cellStyle name="Comma 8 2 2 6 4 2" xfId="43104" xr:uid="{00000000-0005-0000-0000-00007B480000}"/>
    <cellStyle name="Comma 8 2 2 6 4 3" xfId="46100" xr:uid="{00000000-0005-0000-0000-00007C480000}"/>
    <cellStyle name="Comma 8 2 2 6 5" xfId="38736" xr:uid="{00000000-0005-0000-0000-00007D480000}"/>
    <cellStyle name="Comma 8 2 2 6 6" xfId="41776" xr:uid="{00000000-0005-0000-0000-00007E480000}"/>
    <cellStyle name="Comma 8 2 2 6 7" xfId="46101" xr:uid="{00000000-0005-0000-0000-00007F480000}"/>
    <cellStyle name="Comma 8 2 2 6 8" xfId="15856" xr:uid="{00000000-0005-0000-0000-000080480000}"/>
    <cellStyle name="Comma 8 2 2 7" xfId="5684" xr:uid="{00000000-0005-0000-0000-000081480000}"/>
    <cellStyle name="Comma 8 2 2 7 2" xfId="40018" xr:uid="{00000000-0005-0000-0000-000082480000}"/>
    <cellStyle name="Comma 8 2 2 7 2 2" xfId="42895" xr:uid="{00000000-0005-0000-0000-000083480000}"/>
    <cellStyle name="Comma 8 2 2 7 2 3" xfId="46102" xr:uid="{00000000-0005-0000-0000-000084480000}"/>
    <cellStyle name="Comma 8 2 2 7 3" xfId="37627" xr:uid="{00000000-0005-0000-0000-000085480000}"/>
    <cellStyle name="Comma 8 2 2 7 4" xfId="41567" xr:uid="{00000000-0005-0000-0000-000086480000}"/>
    <cellStyle name="Comma 8 2 2 7 5" xfId="46103" xr:uid="{00000000-0005-0000-0000-000087480000}"/>
    <cellStyle name="Comma 8 2 2 7 6" xfId="30354" xr:uid="{00000000-0005-0000-0000-000088480000}"/>
    <cellStyle name="Comma 8 2 2 8" xfId="6256" xr:uid="{00000000-0005-0000-0000-000089480000}"/>
    <cellStyle name="Comma 8 2 2 8 2" xfId="40529" xr:uid="{00000000-0005-0000-0000-00008A480000}"/>
    <cellStyle name="Comma 8 2 2 8 2 2" xfId="43330" xr:uid="{00000000-0005-0000-0000-00008B480000}"/>
    <cellStyle name="Comma 8 2 2 8 2 3" xfId="46104" xr:uid="{00000000-0005-0000-0000-00008C480000}"/>
    <cellStyle name="Comma 8 2 2 8 3" xfId="38971" xr:uid="{00000000-0005-0000-0000-00008D480000}"/>
    <cellStyle name="Comma 8 2 2 8 4" xfId="42002" xr:uid="{00000000-0005-0000-0000-00008E480000}"/>
    <cellStyle name="Comma 8 2 2 8 5" xfId="46105" xr:uid="{00000000-0005-0000-0000-00008F480000}"/>
    <cellStyle name="Comma 8 2 2 8 6" xfId="30551" xr:uid="{00000000-0005-0000-0000-000090480000}"/>
    <cellStyle name="Comma 8 2 2 9" xfId="32177" xr:uid="{00000000-0005-0000-0000-000091480000}"/>
    <cellStyle name="Comma 8 2 2 9 2" xfId="40869" xr:uid="{00000000-0005-0000-0000-000092480000}"/>
    <cellStyle name="Comma 8 2 2 9 2 2" xfId="43613" xr:uid="{00000000-0005-0000-0000-000093480000}"/>
    <cellStyle name="Comma 8 2 2 9 2 3" xfId="46106" xr:uid="{00000000-0005-0000-0000-000094480000}"/>
    <cellStyle name="Comma 8 2 2 9 3" xfId="39304" xr:uid="{00000000-0005-0000-0000-000095480000}"/>
    <cellStyle name="Comma 8 2 2 9 4" xfId="42285" xr:uid="{00000000-0005-0000-0000-000096480000}"/>
    <cellStyle name="Comma 8 2 2 9 5" xfId="46107" xr:uid="{00000000-0005-0000-0000-000097480000}"/>
    <cellStyle name="Comma 8 2 20" xfId="46108" xr:uid="{00000000-0005-0000-0000-000098480000}"/>
    <cellStyle name="Comma 8 2 21" xfId="6681" xr:uid="{00000000-0005-0000-0000-000099480000}"/>
    <cellStyle name="Comma 8 2 3" xfId="1044" xr:uid="{00000000-0005-0000-0000-00009A480000}"/>
    <cellStyle name="Comma 8 2 3 10" xfId="32181" xr:uid="{00000000-0005-0000-0000-00009B480000}"/>
    <cellStyle name="Comma 8 2 3 10 2" xfId="39769" xr:uid="{00000000-0005-0000-0000-00009C480000}"/>
    <cellStyle name="Comma 8 2 3 10 3" xfId="42682" xr:uid="{00000000-0005-0000-0000-00009D480000}"/>
    <cellStyle name="Comma 8 2 3 10 4" xfId="46109" xr:uid="{00000000-0005-0000-0000-00009E480000}"/>
    <cellStyle name="Comma 8 2 3 11" xfId="32823" xr:uid="{00000000-0005-0000-0000-00009F480000}"/>
    <cellStyle name="Comma 8 2 3 12" xfId="34035" xr:uid="{00000000-0005-0000-0000-0000A0480000}"/>
    <cellStyle name="Comma 8 2 3 13" xfId="34320" xr:uid="{00000000-0005-0000-0000-0000A1480000}"/>
    <cellStyle name="Comma 8 2 3 14" xfId="35298" xr:uid="{00000000-0005-0000-0000-0000A2480000}"/>
    <cellStyle name="Comma 8 2 3 15" xfId="36260" xr:uid="{00000000-0005-0000-0000-0000A3480000}"/>
    <cellStyle name="Comma 8 2 3 16" xfId="37406" xr:uid="{00000000-0005-0000-0000-0000A4480000}"/>
    <cellStyle name="Comma 8 2 3 17" xfId="41354" xr:uid="{00000000-0005-0000-0000-0000A5480000}"/>
    <cellStyle name="Comma 8 2 3 18" xfId="46110" xr:uid="{00000000-0005-0000-0000-0000A6480000}"/>
    <cellStyle name="Comma 8 2 3 19" xfId="8557" xr:uid="{00000000-0005-0000-0000-0000A7480000}"/>
    <cellStyle name="Comma 8 2 3 2" xfId="2836" xr:uid="{00000000-0005-0000-0000-0000A8480000}"/>
    <cellStyle name="Comma 8 2 3 2 10" xfId="34036" xr:uid="{00000000-0005-0000-0000-0000A9480000}"/>
    <cellStyle name="Comma 8 2 3 2 11" xfId="34234" xr:uid="{00000000-0005-0000-0000-0000AA480000}"/>
    <cellStyle name="Comma 8 2 3 2 12" xfId="35398" xr:uid="{00000000-0005-0000-0000-0000AB480000}"/>
    <cellStyle name="Comma 8 2 3 2 13" xfId="36261" xr:uid="{00000000-0005-0000-0000-0000AC480000}"/>
    <cellStyle name="Comma 8 2 3 2 14" xfId="37473" xr:uid="{00000000-0005-0000-0000-0000AD480000}"/>
    <cellStyle name="Comma 8 2 3 2 15" xfId="41420" xr:uid="{00000000-0005-0000-0000-0000AE480000}"/>
    <cellStyle name="Comma 8 2 3 2 16" xfId="46111" xr:uid="{00000000-0005-0000-0000-0000AF480000}"/>
    <cellStyle name="Comma 8 2 3 2 17" xfId="8199" xr:uid="{00000000-0005-0000-0000-0000B0480000}"/>
    <cellStyle name="Comma 8 2 3 2 2" xfId="5147" xr:uid="{00000000-0005-0000-0000-0000B1480000}"/>
    <cellStyle name="Comma 8 2 3 2 2 10" xfId="34595" xr:uid="{00000000-0005-0000-0000-0000B2480000}"/>
    <cellStyle name="Comma 8 2 3 2 2 11" xfId="36102" xr:uid="{00000000-0005-0000-0000-0000B3480000}"/>
    <cellStyle name="Comma 8 2 3 2 2 12" xfId="36402" xr:uid="{00000000-0005-0000-0000-0000B4480000}"/>
    <cellStyle name="Comma 8 2 3 2 2 13" xfId="37591" xr:uid="{00000000-0005-0000-0000-0000B5480000}"/>
    <cellStyle name="Comma 8 2 3 2 2 14" xfId="41537" xr:uid="{00000000-0005-0000-0000-0000B6480000}"/>
    <cellStyle name="Comma 8 2 3 2 2 15" xfId="46112" xr:uid="{00000000-0005-0000-0000-0000B7480000}"/>
    <cellStyle name="Comma 8 2 3 2 2 16" xfId="8928" xr:uid="{00000000-0005-0000-0000-0000B8480000}"/>
    <cellStyle name="Comma 8 2 3 2 2 2" xfId="6116" xr:uid="{00000000-0005-0000-0000-0000B9480000}"/>
    <cellStyle name="Comma 8 2 3 2 2 2 2" xfId="31509" xr:uid="{00000000-0005-0000-0000-0000BA480000}"/>
    <cellStyle name="Comma 8 2 3 2 2 2 2 2" xfId="40430" xr:uid="{00000000-0005-0000-0000-0000BB480000}"/>
    <cellStyle name="Comma 8 2 3 2 2 2 2 3" xfId="43248" xr:uid="{00000000-0005-0000-0000-0000BC480000}"/>
    <cellStyle name="Comma 8 2 3 2 2 2 2 4" xfId="46113" xr:uid="{00000000-0005-0000-0000-0000BD480000}"/>
    <cellStyle name="Comma 8 2 3 2 2 2 3" xfId="33362" xr:uid="{00000000-0005-0000-0000-0000BE480000}"/>
    <cellStyle name="Comma 8 2 3 2 2 2 4" xfId="35186" xr:uid="{00000000-0005-0000-0000-0000BF480000}"/>
    <cellStyle name="Comma 8 2 3 2 2 2 5" xfId="37271" xr:uid="{00000000-0005-0000-0000-0000C0480000}"/>
    <cellStyle name="Comma 8 2 3 2 2 2 6" xfId="38881" xr:uid="{00000000-0005-0000-0000-0000C1480000}"/>
    <cellStyle name="Comma 8 2 3 2 2 2 7" xfId="41920" xr:uid="{00000000-0005-0000-0000-0000C2480000}"/>
    <cellStyle name="Comma 8 2 3 2 2 2 8" xfId="46114" xr:uid="{00000000-0005-0000-0000-0000C3480000}"/>
    <cellStyle name="Comma 8 2 3 2 2 2 9" xfId="12927" xr:uid="{00000000-0005-0000-0000-0000C4480000}"/>
    <cellStyle name="Comma 8 2 3 2 2 3" xfId="6436" xr:uid="{00000000-0005-0000-0000-0000C5480000}"/>
    <cellStyle name="Comma 8 2 3 2 2 3 2" xfId="40820" xr:uid="{00000000-0005-0000-0000-0000C6480000}"/>
    <cellStyle name="Comma 8 2 3 2 2 3 2 2" xfId="43575" xr:uid="{00000000-0005-0000-0000-0000C7480000}"/>
    <cellStyle name="Comma 8 2 3 2 2 3 2 3" xfId="46115" xr:uid="{00000000-0005-0000-0000-0000C8480000}"/>
    <cellStyle name="Comma 8 2 3 2 2 3 3" xfId="39257" xr:uid="{00000000-0005-0000-0000-0000C9480000}"/>
    <cellStyle name="Comma 8 2 3 2 2 3 4" xfId="42247" xr:uid="{00000000-0005-0000-0000-0000CA480000}"/>
    <cellStyle name="Comma 8 2 3 2 2 3 5" xfId="46116" xr:uid="{00000000-0005-0000-0000-0000CB480000}"/>
    <cellStyle name="Comma 8 2 3 2 2 3 6" xfId="12144" xr:uid="{00000000-0005-0000-0000-0000CC480000}"/>
    <cellStyle name="Comma 8 2 3 2 2 4" xfId="15862" xr:uid="{00000000-0005-0000-0000-0000CD480000}"/>
    <cellStyle name="Comma 8 2 3 2 2 4 2" xfId="41286" xr:uid="{00000000-0005-0000-0000-0000CE480000}"/>
    <cellStyle name="Comma 8 2 3 2 2 4 2 2" xfId="43966" xr:uid="{00000000-0005-0000-0000-0000CF480000}"/>
    <cellStyle name="Comma 8 2 3 2 2 4 2 3" xfId="46117" xr:uid="{00000000-0005-0000-0000-0000D0480000}"/>
    <cellStyle name="Comma 8 2 3 2 2 4 3" xfId="39703" xr:uid="{00000000-0005-0000-0000-0000D1480000}"/>
    <cellStyle name="Comma 8 2 3 2 2 4 4" xfId="42638" xr:uid="{00000000-0005-0000-0000-0000D2480000}"/>
    <cellStyle name="Comma 8 2 3 2 2 4 5" xfId="46118" xr:uid="{00000000-0005-0000-0000-0000D3480000}"/>
    <cellStyle name="Comma 8 2 3 2 2 5" xfId="30360" xr:uid="{00000000-0005-0000-0000-0000D4480000}"/>
    <cellStyle name="Comma 8 2 3 2 2 5 2" xfId="39977" xr:uid="{00000000-0005-0000-0000-0000D5480000}"/>
    <cellStyle name="Comma 8 2 3 2 2 5 3" xfId="42865" xr:uid="{00000000-0005-0000-0000-0000D6480000}"/>
    <cellStyle name="Comma 8 2 3 2 2 5 4" xfId="46119" xr:uid="{00000000-0005-0000-0000-0000D7480000}"/>
    <cellStyle name="Comma 8 2 3 2 2 6" xfId="30918" xr:uid="{00000000-0005-0000-0000-0000D8480000}"/>
    <cellStyle name="Comma 8 2 3 2 2 7" xfId="32183" xr:uid="{00000000-0005-0000-0000-0000D9480000}"/>
    <cellStyle name="Comma 8 2 3 2 2 8" xfId="32825" xr:uid="{00000000-0005-0000-0000-0000DA480000}"/>
    <cellStyle name="Comma 8 2 3 2 2 9" xfId="34037" xr:uid="{00000000-0005-0000-0000-0000DB480000}"/>
    <cellStyle name="Comma 8 2 3 2 3" xfId="4488" xr:uid="{00000000-0005-0000-0000-0000DC480000}"/>
    <cellStyle name="Comma 8 2 3 2 3 10" xfId="12440" xr:uid="{00000000-0005-0000-0000-0000DD480000}"/>
    <cellStyle name="Comma 8 2 3 2 3 2" xfId="5939" xr:uid="{00000000-0005-0000-0000-0000DE480000}"/>
    <cellStyle name="Comma 8 2 3 2 3 2 2" xfId="41114" xr:uid="{00000000-0005-0000-0000-0000DF480000}"/>
    <cellStyle name="Comma 8 2 3 2 3 2 2 2" xfId="43826" xr:uid="{00000000-0005-0000-0000-0000E0480000}"/>
    <cellStyle name="Comma 8 2 3 2 3 2 2 3" xfId="46120" xr:uid="{00000000-0005-0000-0000-0000E1480000}"/>
    <cellStyle name="Comma 8 2 3 2 3 2 3" xfId="39538" xr:uid="{00000000-0005-0000-0000-0000E2480000}"/>
    <cellStyle name="Comma 8 2 3 2 3 2 4" xfId="42498" xr:uid="{00000000-0005-0000-0000-0000E3480000}"/>
    <cellStyle name="Comma 8 2 3 2 3 2 5" xfId="46121" xr:uid="{00000000-0005-0000-0000-0000E4480000}"/>
    <cellStyle name="Comma 8 2 3 2 3 2 6" xfId="31148" xr:uid="{00000000-0005-0000-0000-0000E5480000}"/>
    <cellStyle name="Comma 8 2 3 2 3 3" xfId="33006" xr:uid="{00000000-0005-0000-0000-0000E6480000}"/>
    <cellStyle name="Comma 8 2 3 2 3 3 2" xfId="40259" xr:uid="{00000000-0005-0000-0000-0000E7480000}"/>
    <cellStyle name="Comma 8 2 3 2 3 3 3" xfId="43108" xr:uid="{00000000-0005-0000-0000-0000E8480000}"/>
    <cellStyle name="Comma 8 2 3 2 3 3 4" xfId="46122" xr:uid="{00000000-0005-0000-0000-0000E9480000}"/>
    <cellStyle name="Comma 8 2 3 2 3 4" xfId="34825" xr:uid="{00000000-0005-0000-0000-0000EA480000}"/>
    <cellStyle name="Comma 8 2 3 2 3 5" xfId="35671" xr:uid="{00000000-0005-0000-0000-0000EB480000}"/>
    <cellStyle name="Comma 8 2 3 2 3 6" xfId="36927" xr:uid="{00000000-0005-0000-0000-0000EC480000}"/>
    <cellStyle name="Comma 8 2 3 2 3 7" xfId="38740" xr:uid="{00000000-0005-0000-0000-0000ED480000}"/>
    <cellStyle name="Comma 8 2 3 2 3 8" xfId="41780" xr:uid="{00000000-0005-0000-0000-0000EE480000}"/>
    <cellStyle name="Comma 8 2 3 2 3 9" xfId="46123" xr:uid="{00000000-0005-0000-0000-0000EF480000}"/>
    <cellStyle name="Comma 8 2 3 2 4" xfId="5801" xr:uid="{00000000-0005-0000-0000-0000F0480000}"/>
    <cellStyle name="Comma 8 2 3 2 4 2" xfId="40124" xr:uid="{00000000-0005-0000-0000-0000F1480000}"/>
    <cellStyle name="Comma 8 2 3 2 4 2 2" xfId="42993" xr:uid="{00000000-0005-0000-0000-0000F2480000}"/>
    <cellStyle name="Comma 8 2 3 2 4 2 3" xfId="46124" xr:uid="{00000000-0005-0000-0000-0000F3480000}"/>
    <cellStyle name="Comma 8 2 3 2 4 3" xfId="38168" xr:uid="{00000000-0005-0000-0000-0000F4480000}"/>
    <cellStyle name="Comma 8 2 3 2 4 4" xfId="41665" xr:uid="{00000000-0005-0000-0000-0000F5480000}"/>
    <cellStyle name="Comma 8 2 3 2 4 5" xfId="46125" xr:uid="{00000000-0005-0000-0000-0000F6480000}"/>
    <cellStyle name="Comma 8 2 3 2 4 6" xfId="11783" xr:uid="{00000000-0005-0000-0000-0000F7480000}"/>
    <cellStyle name="Comma 8 2 3 2 5" xfId="6260" xr:uid="{00000000-0005-0000-0000-0000F8480000}"/>
    <cellStyle name="Comma 8 2 3 2 5 2" xfId="40669" xr:uid="{00000000-0005-0000-0000-0000F9480000}"/>
    <cellStyle name="Comma 8 2 3 2 5 2 2" xfId="43455" xr:uid="{00000000-0005-0000-0000-0000FA480000}"/>
    <cellStyle name="Comma 8 2 3 2 5 2 3" xfId="46126" xr:uid="{00000000-0005-0000-0000-0000FB480000}"/>
    <cellStyle name="Comma 8 2 3 2 5 3" xfId="39101" xr:uid="{00000000-0005-0000-0000-0000FC480000}"/>
    <cellStyle name="Comma 8 2 3 2 5 4" xfId="42127" xr:uid="{00000000-0005-0000-0000-0000FD480000}"/>
    <cellStyle name="Comma 8 2 3 2 5 5" xfId="46127" xr:uid="{00000000-0005-0000-0000-0000FE480000}"/>
    <cellStyle name="Comma 8 2 3 2 5 6" xfId="15861" xr:uid="{00000000-0005-0000-0000-0000FF480000}"/>
    <cellStyle name="Comma 8 2 3 2 6" xfId="30359" xr:uid="{00000000-0005-0000-0000-000000490000}"/>
    <cellStyle name="Comma 8 2 3 2 6 2" xfId="40976" xr:uid="{00000000-0005-0000-0000-000001490000}"/>
    <cellStyle name="Comma 8 2 3 2 6 2 2" xfId="43711" xr:uid="{00000000-0005-0000-0000-000002490000}"/>
    <cellStyle name="Comma 8 2 3 2 6 2 3" xfId="46128" xr:uid="{00000000-0005-0000-0000-000003490000}"/>
    <cellStyle name="Comma 8 2 3 2 6 3" xfId="39405" xr:uid="{00000000-0005-0000-0000-000004490000}"/>
    <cellStyle name="Comma 8 2 3 2 6 4" xfId="42383" xr:uid="{00000000-0005-0000-0000-000005490000}"/>
    <cellStyle name="Comma 8 2 3 2 6 5" xfId="46129" xr:uid="{00000000-0005-0000-0000-000006490000}"/>
    <cellStyle name="Comma 8 2 3 2 7" xfId="30557" xr:uid="{00000000-0005-0000-0000-000007490000}"/>
    <cellStyle name="Comma 8 2 3 2 7 2" xfId="39840" xr:uid="{00000000-0005-0000-0000-000008490000}"/>
    <cellStyle name="Comma 8 2 3 2 7 3" xfId="42748" xr:uid="{00000000-0005-0000-0000-000009490000}"/>
    <cellStyle name="Comma 8 2 3 2 7 4" xfId="46130" xr:uid="{00000000-0005-0000-0000-00000A490000}"/>
    <cellStyle name="Comma 8 2 3 2 8" xfId="32182" xr:uid="{00000000-0005-0000-0000-00000B490000}"/>
    <cellStyle name="Comma 8 2 3 2 9" xfId="32824" xr:uid="{00000000-0005-0000-0000-00000C490000}"/>
    <cellStyle name="Comma 8 2 3 3" xfId="2837" xr:uid="{00000000-0005-0000-0000-00000D490000}"/>
    <cellStyle name="Comma 8 2 3 3 10" xfId="34594" xr:uid="{00000000-0005-0000-0000-00000E490000}"/>
    <cellStyle name="Comma 8 2 3 3 11" xfId="35399" xr:uid="{00000000-0005-0000-0000-00000F490000}"/>
    <cellStyle name="Comma 8 2 3 3 12" xfId="36262" xr:uid="{00000000-0005-0000-0000-000010490000}"/>
    <cellStyle name="Comma 8 2 3 3 13" xfId="37564" xr:uid="{00000000-0005-0000-0000-000011490000}"/>
    <cellStyle name="Comma 8 2 3 3 14" xfId="41510" xr:uid="{00000000-0005-0000-0000-000012490000}"/>
    <cellStyle name="Comma 8 2 3 3 15" xfId="46131" xr:uid="{00000000-0005-0000-0000-000013490000}"/>
    <cellStyle name="Comma 8 2 3 3 16" xfId="8927" xr:uid="{00000000-0005-0000-0000-000014490000}"/>
    <cellStyle name="Comma 8 2 3 3 2" xfId="5148" xr:uid="{00000000-0005-0000-0000-000015490000}"/>
    <cellStyle name="Comma 8 2 3 3 2 10" xfId="12926" xr:uid="{00000000-0005-0000-0000-000016490000}"/>
    <cellStyle name="Comma 8 2 3 3 2 2" xfId="6117" xr:uid="{00000000-0005-0000-0000-000017490000}"/>
    <cellStyle name="Comma 8 2 3 3 2 2 2" xfId="40821" xr:uid="{00000000-0005-0000-0000-000018490000}"/>
    <cellStyle name="Comma 8 2 3 3 2 2 2 2" xfId="43576" xr:uid="{00000000-0005-0000-0000-000019490000}"/>
    <cellStyle name="Comma 8 2 3 3 2 2 2 3" xfId="46132" xr:uid="{00000000-0005-0000-0000-00001A490000}"/>
    <cellStyle name="Comma 8 2 3 3 2 2 3" xfId="39258" xr:uid="{00000000-0005-0000-0000-00001B490000}"/>
    <cellStyle name="Comma 8 2 3 3 2 2 4" xfId="42248" xr:uid="{00000000-0005-0000-0000-00001C490000}"/>
    <cellStyle name="Comma 8 2 3 3 2 2 5" xfId="46133" xr:uid="{00000000-0005-0000-0000-00001D490000}"/>
    <cellStyle name="Comma 8 2 3 3 2 2 6" xfId="31508" xr:uid="{00000000-0005-0000-0000-00001E490000}"/>
    <cellStyle name="Comma 8 2 3 3 2 3" xfId="6437" xr:uid="{00000000-0005-0000-0000-00001F490000}"/>
    <cellStyle name="Comma 8 2 3 3 2 3 2" xfId="41287" xr:uid="{00000000-0005-0000-0000-000020490000}"/>
    <cellStyle name="Comma 8 2 3 3 2 3 2 2" xfId="43967" xr:uid="{00000000-0005-0000-0000-000021490000}"/>
    <cellStyle name="Comma 8 2 3 3 2 3 2 3" xfId="46134" xr:uid="{00000000-0005-0000-0000-000022490000}"/>
    <cellStyle name="Comma 8 2 3 3 2 3 3" xfId="39704" xr:uid="{00000000-0005-0000-0000-000023490000}"/>
    <cellStyle name="Comma 8 2 3 3 2 3 4" xfId="42639" xr:uid="{00000000-0005-0000-0000-000024490000}"/>
    <cellStyle name="Comma 8 2 3 3 2 3 5" xfId="46135" xr:uid="{00000000-0005-0000-0000-000025490000}"/>
    <cellStyle name="Comma 8 2 3 3 2 3 6" xfId="33361" xr:uid="{00000000-0005-0000-0000-000026490000}"/>
    <cellStyle name="Comma 8 2 3 3 2 4" xfId="35185" xr:uid="{00000000-0005-0000-0000-000027490000}"/>
    <cellStyle name="Comma 8 2 3 3 2 4 2" xfId="40431" xr:uid="{00000000-0005-0000-0000-000028490000}"/>
    <cellStyle name="Comma 8 2 3 3 2 4 3" xfId="43249" xr:uid="{00000000-0005-0000-0000-000029490000}"/>
    <cellStyle name="Comma 8 2 3 3 2 4 4" xfId="46136" xr:uid="{00000000-0005-0000-0000-00002A490000}"/>
    <cellStyle name="Comma 8 2 3 3 2 5" xfId="36103" xr:uid="{00000000-0005-0000-0000-00002B490000}"/>
    <cellStyle name="Comma 8 2 3 3 2 6" xfId="36403" xr:uid="{00000000-0005-0000-0000-00002C490000}"/>
    <cellStyle name="Comma 8 2 3 3 2 7" xfId="38882" xr:uid="{00000000-0005-0000-0000-00002D490000}"/>
    <cellStyle name="Comma 8 2 3 3 2 8" xfId="41921" xr:uid="{00000000-0005-0000-0000-00002E490000}"/>
    <cellStyle name="Comma 8 2 3 3 2 9" xfId="46137" xr:uid="{00000000-0005-0000-0000-00002F490000}"/>
    <cellStyle name="Comma 8 2 3 3 3" xfId="4489" xr:uid="{00000000-0005-0000-0000-000030490000}"/>
    <cellStyle name="Comma 8 2 3 3 3 2" xfId="5940" xr:uid="{00000000-0005-0000-0000-000031490000}"/>
    <cellStyle name="Comma 8 2 3 3 3 2 2" xfId="41115" xr:uid="{00000000-0005-0000-0000-000032490000}"/>
    <cellStyle name="Comma 8 2 3 3 3 2 2 2" xfId="43827" xr:uid="{00000000-0005-0000-0000-000033490000}"/>
    <cellStyle name="Comma 8 2 3 3 3 2 2 3" xfId="46138" xr:uid="{00000000-0005-0000-0000-000034490000}"/>
    <cellStyle name="Comma 8 2 3 3 3 2 3" xfId="39539" xr:uid="{00000000-0005-0000-0000-000035490000}"/>
    <cellStyle name="Comma 8 2 3 3 3 2 4" xfId="42499" xr:uid="{00000000-0005-0000-0000-000036490000}"/>
    <cellStyle name="Comma 8 2 3 3 3 2 5" xfId="46139" xr:uid="{00000000-0005-0000-0000-000037490000}"/>
    <cellStyle name="Comma 8 2 3 3 3 2 6" xfId="35672" xr:uid="{00000000-0005-0000-0000-000038490000}"/>
    <cellStyle name="Comma 8 2 3 3 3 3" xfId="40260" xr:uid="{00000000-0005-0000-0000-000039490000}"/>
    <cellStyle name="Comma 8 2 3 3 3 3 2" xfId="43109" xr:uid="{00000000-0005-0000-0000-00003A490000}"/>
    <cellStyle name="Comma 8 2 3 3 3 3 3" xfId="46140" xr:uid="{00000000-0005-0000-0000-00003B490000}"/>
    <cellStyle name="Comma 8 2 3 3 3 4" xfId="38741" xr:uid="{00000000-0005-0000-0000-00003C490000}"/>
    <cellStyle name="Comma 8 2 3 3 3 5" xfId="41781" xr:uid="{00000000-0005-0000-0000-00003D490000}"/>
    <cellStyle name="Comma 8 2 3 3 3 6" xfId="46141" xr:uid="{00000000-0005-0000-0000-00003E490000}"/>
    <cellStyle name="Comma 8 2 3 3 3 7" xfId="12143" xr:uid="{00000000-0005-0000-0000-00003F490000}"/>
    <cellStyle name="Comma 8 2 3 3 4" xfId="5802" xr:uid="{00000000-0005-0000-0000-000040490000}"/>
    <cellStyle name="Comma 8 2 3 3 4 2" xfId="40125" xr:uid="{00000000-0005-0000-0000-000041490000}"/>
    <cellStyle name="Comma 8 2 3 3 4 2 2" xfId="42994" xr:uid="{00000000-0005-0000-0000-000042490000}"/>
    <cellStyle name="Comma 8 2 3 3 4 2 3" xfId="46142" xr:uid="{00000000-0005-0000-0000-000043490000}"/>
    <cellStyle name="Comma 8 2 3 3 4 3" xfId="38169" xr:uid="{00000000-0005-0000-0000-000044490000}"/>
    <cellStyle name="Comma 8 2 3 3 4 4" xfId="41666" xr:uid="{00000000-0005-0000-0000-000045490000}"/>
    <cellStyle name="Comma 8 2 3 3 4 5" xfId="46143" xr:uid="{00000000-0005-0000-0000-000046490000}"/>
    <cellStyle name="Comma 8 2 3 3 4 6" xfId="15863" xr:uid="{00000000-0005-0000-0000-000047490000}"/>
    <cellStyle name="Comma 8 2 3 3 5" xfId="6261" xr:uid="{00000000-0005-0000-0000-000048490000}"/>
    <cellStyle name="Comma 8 2 3 3 5 2" xfId="40670" xr:uid="{00000000-0005-0000-0000-000049490000}"/>
    <cellStyle name="Comma 8 2 3 3 5 2 2" xfId="43456" xr:uid="{00000000-0005-0000-0000-00004A490000}"/>
    <cellStyle name="Comma 8 2 3 3 5 2 3" xfId="46144" xr:uid="{00000000-0005-0000-0000-00004B490000}"/>
    <cellStyle name="Comma 8 2 3 3 5 3" xfId="39102" xr:uid="{00000000-0005-0000-0000-00004C490000}"/>
    <cellStyle name="Comma 8 2 3 3 5 4" xfId="42128" xr:uid="{00000000-0005-0000-0000-00004D490000}"/>
    <cellStyle name="Comma 8 2 3 3 5 5" xfId="46145" xr:uid="{00000000-0005-0000-0000-00004E490000}"/>
    <cellStyle name="Comma 8 2 3 3 5 6" xfId="30361" xr:uid="{00000000-0005-0000-0000-00004F490000}"/>
    <cellStyle name="Comma 8 2 3 3 6" xfId="30917" xr:uid="{00000000-0005-0000-0000-000050490000}"/>
    <cellStyle name="Comma 8 2 3 3 6 2" xfId="40977" xr:uid="{00000000-0005-0000-0000-000051490000}"/>
    <cellStyle name="Comma 8 2 3 3 6 2 2" xfId="43712" xr:uid="{00000000-0005-0000-0000-000052490000}"/>
    <cellStyle name="Comma 8 2 3 3 6 2 3" xfId="46146" xr:uid="{00000000-0005-0000-0000-000053490000}"/>
    <cellStyle name="Comma 8 2 3 3 6 3" xfId="39406" xr:uid="{00000000-0005-0000-0000-000054490000}"/>
    <cellStyle name="Comma 8 2 3 3 6 4" xfId="42384" xr:uid="{00000000-0005-0000-0000-000055490000}"/>
    <cellStyle name="Comma 8 2 3 3 6 5" xfId="46147" xr:uid="{00000000-0005-0000-0000-000056490000}"/>
    <cellStyle name="Comma 8 2 3 3 7" xfId="32184" xr:uid="{00000000-0005-0000-0000-000057490000}"/>
    <cellStyle name="Comma 8 2 3 3 7 2" xfId="39950" xr:uid="{00000000-0005-0000-0000-000058490000}"/>
    <cellStyle name="Comma 8 2 3 3 7 3" xfId="42838" xr:uid="{00000000-0005-0000-0000-000059490000}"/>
    <cellStyle name="Comma 8 2 3 3 7 4" xfId="46148" xr:uid="{00000000-0005-0000-0000-00005A490000}"/>
    <cellStyle name="Comma 8 2 3 3 8" xfId="32826" xr:uid="{00000000-0005-0000-0000-00005B490000}"/>
    <cellStyle name="Comma 8 2 3 3 9" xfId="34038" xr:uid="{00000000-0005-0000-0000-00005C490000}"/>
    <cellStyle name="Comma 8 2 3 4" xfId="2835" xr:uid="{00000000-0005-0000-0000-00005D490000}"/>
    <cellStyle name="Comma 8 2 3 4 10" xfId="34669" xr:uid="{00000000-0005-0000-0000-00005E490000}"/>
    <cellStyle name="Comma 8 2 3 4 11" xfId="35397" xr:uid="{00000000-0005-0000-0000-00005F490000}"/>
    <cellStyle name="Comma 8 2 3 4 12" xfId="36401" xr:uid="{00000000-0005-0000-0000-000060490000}"/>
    <cellStyle name="Comma 8 2 3 4 13" xfId="37547" xr:uid="{00000000-0005-0000-0000-000061490000}"/>
    <cellStyle name="Comma 8 2 3 4 14" xfId="41493" xr:uid="{00000000-0005-0000-0000-000062490000}"/>
    <cellStyle name="Comma 8 2 3 4 15" xfId="46149" xr:uid="{00000000-0005-0000-0000-000063490000}"/>
    <cellStyle name="Comma 8 2 3 4 16" xfId="11555" xr:uid="{00000000-0005-0000-0000-000064490000}"/>
    <cellStyle name="Comma 8 2 3 4 2" xfId="5146" xr:uid="{00000000-0005-0000-0000-000065490000}"/>
    <cellStyle name="Comma 8 2 3 4 2 10" xfId="15176" xr:uid="{00000000-0005-0000-0000-000066490000}"/>
    <cellStyle name="Comma 8 2 3 4 2 2" xfId="6115" xr:uid="{00000000-0005-0000-0000-000067490000}"/>
    <cellStyle name="Comma 8 2 3 4 2 2 2" xfId="41285" xr:uid="{00000000-0005-0000-0000-000068490000}"/>
    <cellStyle name="Comma 8 2 3 4 2 2 2 2" xfId="43965" xr:uid="{00000000-0005-0000-0000-000069490000}"/>
    <cellStyle name="Comma 8 2 3 4 2 2 2 3" xfId="46150" xr:uid="{00000000-0005-0000-0000-00006A490000}"/>
    <cellStyle name="Comma 8 2 3 4 2 2 3" xfId="39702" xr:uid="{00000000-0005-0000-0000-00006B490000}"/>
    <cellStyle name="Comma 8 2 3 4 2 2 4" xfId="42637" xr:uid="{00000000-0005-0000-0000-00006C490000}"/>
    <cellStyle name="Comma 8 2 3 4 2 2 5" xfId="46151" xr:uid="{00000000-0005-0000-0000-00006D490000}"/>
    <cellStyle name="Comma 8 2 3 4 2 2 6" xfId="31583" xr:uid="{00000000-0005-0000-0000-00006E490000}"/>
    <cellStyle name="Comma 8 2 3 4 2 3" xfId="33436" xr:uid="{00000000-0005-0000-0000-00006F490000}"/>
    <cellStyle name="Comma 8 2 3 4 2 3 2" xfId="40429" xr:uid="{00000000-0005-0000-0000-000070490000}"/>
    <cellStyle name="Comma 8 2 3 4 2 3 3" xfId="43247" xr:uid="{00000000-0005-0000-0000-000071490000}"/>
    <cellStyle name="Comma 8 2 3 4 2 3 4" xfId="46152" xr:uid="{00000000-0005-0000-0000-000072490000}"/>
    <cellStyle name="Comma 8 2 3 4 2 4" xfId="35260" xr:uid="{00000000-0005-0000-0000-000073490000}"/>
    <cellStyle name="Comma 8 2 3 4 2 5" xfId="36101" xr:uid="{00000000-0005-0000-0000-000074490000}"/>
    <cellStyle name="Comma 8 2 3 4 2 6" xfId="37336" xr:uid="{00000000-0005-0000-0000-000075490000}"/>
    <cellStyle name="Comma 8 2 3 4 2 7" xfId="38880" xr:uid="{00000000-0005-0000-0000-000076490000}"/>
    <cellStyle name="Comma 8 2 3 4 2 8" xfId="41919" xr:uid="{00000000-0005-0000-0000-000077490000}"/>
    <cellStyle name="Comma 8 2 3 4 2 9" xfId="46153" xr:uid="{00000000-0005-0000-0000-000078490000}"/>
    <cellStyle name="Comma 8 2 3 4 3" xfId="5800" xr:uid="{00000000-0005-0000-0000-000079490000}"/>
    <cellStyle name="Comma 8 2 3 4 3 2" xfId="40123" xr:uid="{00000000-0005-0000-0000-00007A490000}"/>
    <cellStyle name="Comma 8 2 3 4 3 2 2" xfId="42992" xr:uid="{00000000-0005-0000-0000-00007B490000}"/>
    <cellStyle name="Comma 8 2 3 4 3 2 3" xfId="46154" xr:uid="{00000000-0005-0000-0000-00007C490000}"/>
    <cellStyle name="Comma 8 2 3 4 3 3" xfId="38167" xr:uid="{00000000-0005-0000-0000-00007D490000}"/>
    <cellStyle name="Comma 8 2 3 4 3 4" xfId="41664" xr:uid="{00000000-0005-0000-0000-00007E490000}"/>
    <cellStyle name="Comma 8 2 3 4 3 5" xfId="46155" xr:uid="{00000000-0005-0000-0000-00007F490000}"/>
    <cellStyle name="Comma 8 2 3 4 3 6" xfId="12218" xr:uid="{00000000-0005-0000-0000-000080490000}"/>
    <cellStyle name="Comma 8 2 3 4 4" xfId="6435" xr:uid="{00000000-0005-0000-0000-000081490000}"/>
    <cellStyle name="Comma 8 2 3 4 4 2" xfId="40668" xr:uid="{00000000-0005-0000-0000-000082490000}"/>
    <cellStyle name="Comma 8 2 3 4 4 2 2" xfId="43454" xr:uid="{00000000-0005-0000-0000-000083490000}"/>
    <cellStyle name="Comma 8 2 3 4 4 2 3" xfId="46156" xr:uid="{00000000-0005-0000-0000-000084490000}"/>
    <cellStyle name="Comma 8 2 3 4 4 3" xfId="39100" xr:uid="{00000000-0005-0000-0000-000085490000}"/>
    <cellStyle name="Comma 8 2 3 4 4 4" xfId="42126" xr:uid="{00000000-0005-0000-0000-000086490000}"/>
    <cellStyle name="Comma 8 2 3 4 4 5" xfId="46157" xr:uid="{00000000-0005-0000-0000-000087490000}"/>
    <cellStyle name="Comma 8 2 3 4 4 6" xfId="15864" xr:uid="{00000000-0005-0000-0000-000088490000}"/>
    <cellStyle name="Comma 8 2 3 4 5" xfId="30362" xr:uid="{00000000-0005-0000-0000-000089490000}"/>
    <cellStyle name="Comma 8 2 3 4 5 2" xfId="40975" xr:uid="{00000000-0005-0000-0000-00008A490000}"/>
    <cellStyle name="Comma 8 2 3 4 5 2 2" xfId="43710" xr:uid="{00000000-0005-0000-0000-00008B490000}"/>
    <cellStyle name="Comma 8 2 3 4 5 2 3" xfId="46158" xr:uid="{00000000-0005-0000-0000-00008C490000}"/>
    <cellStyle name="Comma 8 2 3 4 5 3" xfId="39404" xr:uid="{00000000-0005-0000-0000-00008D490000}"/>
    <cellStyle name="Comma 8 2 3 4 5 4" xfId="42382" xr:uid="{00000000-0005-0000-0000-00008E490000}"/>
    <cellStyle name="Comma 8 2 3 4 5 5" xfId="46159" xr:uid="{00000000-0005-0000-0000-00008F490000}"/>
    <cellStyle name="Comma 8 2 3 4 6" xfId="30992" xr:uid="{00000000-0005-0000-0000-000090490000}"/>
    <cellStyle name="Comma 8 2 3 4 6 2" xfId="39922" xr:uid="{00000000-0005-0000-0000-000091490000}"/>
    <cellStyle name="Comma 8 2 3 4 6 3" xfId="42821" xr:uid="{00000000-0005-0000-0000-000092490000}"/>
    <cellStyle name="Comma 8 2 3 4 6 4" xfId="46160" xr:uid="{00000000-0005-0000-0000-000093490000}"/>
    <cellStyle name="Comma 8 2 3 4 7" xfId="32185" xr:uid="{00000000-0005-0000-0000-000094490000}"/>
    <cellStyle name="Comma 8 2 3 4 8" xfId="32827" xr:uid="{00000000-0005-0000-0000-000095490000}"/>
    <cellStyle name="Comma 8 2 3 4 9" xfId="34039" xr:uid="{00000000-0005-0000-0000-000096490000}"/>
    <cellStyle name="Comma 8 2 3 5" xfId="4557" xr:uid="{00000000-0005-0000-0000-000097490000}"/>
    <cellStyle name="Comma 8 2 3 5 10" xfId="36305" xr:uid="{00000000-0005-0000-0000-000098490000}"/>
    <cellStyle name="Comma 8 2 3 5 11" xfId="38783" xr:uid="{00000000-0005-0000-0000-000099490000}"/>
    <cellStyle name="Comma 8 2 3 5 12" xfId="41823" xr:uid="{00000000-0005-0000-0000-00009A490000}"/>
    <cellStyle name="Comma 8 2 3 5 13" xfId="46161" xr:uid="{00000000-0005-0000-0000-00009B490000}"/>
    <cellStyle name="Comma 8 2 3 5 14" xfId="12592" xr:uid="{00000000-0005-0000-0000-00009C490000}"/>
    <cellStyle name="Comma 8 2 3 5 2" xfId="6006" xr:uid="{00000000-0005-0000-0000-00009D490000}"/>
    <cellStyle name="Comma 8 2 3 5 2 2" xfId="40564" xr:uid="{00000000-0005-0000-0000-00009E490000}"/>
    <cellStyle name="Comma 8 2 3 5 2 2 2" xfId="43358" xr:uid="{00000000-0005-0000-0000-00009F490000}"/>
    <cellStyle name="Comma 8 2 3 5 2 2 3" xfId="46162" xr:uid="{00000000-0005-0000-0000-0000A0490000}"/>
    <cellStyle name="Comma 8 2 3 5 2 3" xfId="39001" xr:uid="{00000000-0005-0000-0000-0000A1490000}"/>
    <cellStyle name="Comma 8 2 3 5 2 4" xfId="42030" xr:uid="{00000000-0005-0000-0000-0000A2490000}"/>
    <cellStyle name="Comma 8 2 3 5 2 5" xfId="46163" xr:uid="{00000000-0005-0000-0000-0000A3490000}"/>
    <cellStyle name="Comma 8 2 3 5 2 6" xfId="15865" xr:uid="{00000000-0005-0000-0000-0000A4490000}"/>
    <cellStyle name="Comma 8 2 3 5 3" xfId="6327" xr:uid="{00000000-0005-0000-0000-0000A5490000}"/>
    <cellStyle name="Comma 8 2 3 5 3 2" xfId="41179" xr:uid="{00000000-0005-0000-0000-0000A6490000}"/>
    <cellStyle name="Comma 8 2 3 5 3 2 2" xfId="43869" xr:uid="{00000000-0005-0000-0000-0000A7490000}"/>
    <cellStyle name="Comma 8 2 3 5 3 2 3" xfId="46164" xr:uid="{00000000-0005-0000-0000-0000A8490000}"/>
    <cellStyle name="Comma 8 2 3 5 3 3" xfId="39598" xr:uid="{00000000-0005-0000-0000-0000A9490000}"/>
    <cellStyle name="Comma 8 2 3 5 3 4" xfId="42541" xr:uid="{00000000-0005-0000-0000-0000AA490000}"/>
    <cellStyle name="Comma 8 2 3 5 3 5" xfId="46165" xr:uid="{00000000-0005-0000-0000-0000AB490000}"/>
    <cellStyle name="Comma 8 2 3 5 3 6" xfId="30363" xr:uid="{00000000-0005-0000-0000-0000AC490000}"/>
    <cellStyle name="Comma 8 2 3 5 4" xfId="31234" xr:uid="{00000000-0005-0000-0000-0000AD490000}"/>
    <cellStyle name="Comma 8 2 3 5 4 2" xfId="40324" xr:uid="{00000000-0005-0000-0000-0000AE490000}"/>
    <cellStyle name="Comma 8 2 3 5 4 3" xfId="43151" xr:uid="{00000000-0005-0000-0000-0000AF490000}"/>
    <cellStyle name="Comma 8 2 3 5 4 4" xfId="46166" xr:uid="{00000000-0005-0000-0000-0000B0490000}"/>
    <cellStyle name="Comma 8 2 3 5 5" xfId="32186" xr:uid="{00000000-0005-0000-0000-0000B1490000}"/>
    <cellStyle name="Comma 8 2 3 5 6" xfId="32828" xr:uid="{00000000-0005-0000-0000-0000B2490000}"/>
    <cellStyle name="Comma 8 2 3 5 7" xfId="34040" xr:uid="{00000000-0005-0000-0000-0000B3490000}"/>
    <cellStyle name="Comma 8 2 3 5 8" xfId="34911" xr:uid="{00000000-0005-0000-0000-0000B4490000}"/>
    <cellStyle name="Comma 8 2 3 5 9" xfId="35718" xr:uid="{00000000-0005-0000-0000-0000B5490000}"/>
    <cellStyle name="Comma 8 2 3 6" xfId="4487" xr:uid="{00000000-0005-0000-0000-0000B6490000}"/>
    <cellStyle name="Comma 8 2 3 6 2" xfId="5938" xr:uid="{00000000-0005-0000-0000-0000B7490000}"/>
    <cellStyle name="Comma 8 2 3 6 2 2" xfId="40774" xr:uid="{00000000-0005-0000-0000-0000B8490000}"/>
    <cellStyle name="Comma 8 2 3 6 2 2 2" xfId="43537" xr:uid="{00000000-0005-0000-0000-0000B9490000}"/>
    <cellStyle name="Comma 8 2 3 6 2 2 3" xfId="46167" xr:uid="{00000000-0005-0000-0000-0000BA490000}"/>
    <cellStyle name="Comma 8 2 3 6 2 3" xfId="39201" xr:uid="{00000000-0005-0000-0000-0000BB490000}"/>
    <cellStyle name="Comma 8 2 3 6 2 4" xfId="42209" xr:uid="{00000000-0005-0000-0000-0000BC490000}"/>
    <cellStyle name="Comma 8 2 3 6 2 5" xfId="46168" xr:uid="{00000000-0005-0000-0000-0000BD490000}"/>
    <cellStyle name="Comma 8 2 3 6 2 6" xfId="35670" xr:uid="{00000000-0005-0000-0000-0000BE490000}"/>
    <cellStyle name="Comma 8 2 3 6 3" xfId="39537" xr:uid="{00000000-0005-0000-0000-0000BF490000}"/>
    <cellStyle name="Comma 8 2 3 6 3 2" xfId="41113" xr:uid="{00000000-0005-0000-0000-0000C0490000}"/>
    <cellStyle name="Comma 8 2 3 6 3 2 2" xfId="43825" xr:uid="{00000000-0005-0000-0000-0000C1490000}"/>
    <cellStyle name="Comma 8 2 3 6 3 2 3" xfId="46169" xr:uid="{00000000-0005-0000-0000-0000C2490000}"/>
    <cellStyle name="Comma 8 2 3 6 3 3" xfId="42497" xr:uid="{00000000-0005-0000-0000-0000C3490000}"/>
    <cellStyle name="Comma 8 2 3 6 3 4" xfId="46170" xr:uid="{00000000-0005-0000-0000-0000C4490000}"/>
    <cellStyle name="Comma 8 2 3 6 4" xfId="40258" xr:uid="{00000000-0005-0000-0000-0000C5490000}"/>
    <cellStyle name="Comma 8 2 3 6 4 2" xfId="43107" xr:uid="{00000000-0005-0000-0000-0000C6490000}"/>
    <cellStyle name="Comma 8 2 3 6 4 3" xfId="46171" xr:uid="{00000000-0005-0000-0000-0000C7490000}"/>
    <cellStyle name="Comma 8 2 3 6 5" xfId="38739" xr:uid="{00000000-0005-0000-0000-0000C8490000}"/>
    <cellStyle name="Comma 8 2 3 6 6" xfId="41779" xr:uid="{00000000-0005-0000-0000-0000C9490000}"/>
    <cellStyle name="Comma 8 2 3 6 7" xfId="46172" xr:uid="{00000000-0005-0000-0000-0000CA490000}"/>
    <cellStyle name="Comma 8 2 3 6 8" xfId="11869" xr:uid="{00000000-0005-0000-0000-0000CB490000}"/>
    <cellStyle name="Comma 8 2 3 7" xfId="5685" xr:uid="{00000000-0005-0000-0000-0000CC490000}"/>
    <cellStyle name="Comma 8 2 3 7 2" xfId="40019" xr:uid="{00000000-0005-0000-0000-0000CD490000}"/>
    <cellStyle name="Comma 8 2 3 7 2 2" xfId="42896" xr:uid="{00000000-0005-0000-0000-0000CE490000}"/>
    <cellStyle name="Comma 8 2 3 7 2 3" xfId="46173" xr:uid="{00000000-0005-0000-0000-0000CF490000}"/>
    <cellStyle name="Comma 8 2 3 7 3" xfId="37628" xr:uid="{00000000-0005-0000-0000-0000D0490000}"/>
    <cellStyle name="Comma 8 2 3 7 4" xfId="41568" xr:uid="{00000000-0005-0000-0000-0000D1490000}"/>
    <cellStyle name="Comma 8 2 3 7 5" xfId="46174" xr:uid="{00000000-0005-0000-0000-0000D2490000}"/>
    <cellStyle name="Comma 8 2 3 7 6" xfId="15860" xr:uid="{00000000-0005-0000-0000-0000D3490000}"/>
    <cellStyle name="Comma 8 2 3 8" xfId="6259" xr:uid="{00000000-0005-0000-0000-0000D4490000}"/>
    <cellStyle name="Comma 8 2 3 8 2" xfId="40530" xr:uid="{00000000-0005-0000-0000-0000D5490000}"/>
    <cellStyle name="Comma 8 2 3 8 2 2" xfId="43331" xr:uid="{00000000-0005-0000-0000-0000D6490000}"/>
    <cellStyle name="Comma 8 2 3 8 2 3" xfId="46175" xr:uid="{00000000-0005-0000-0000-0000D7490000}"/>
    <cellStyle name="Comma 8 2 3 8 3" xfId="38972" xr:uid="{00000000-0005-0000-0000-0000D8490000}"/>
    <cellStyle name="Comma 8 2 3 8 4" xfId="42003" xr:uid="{00000000-0005-0000-0000-0000D9490000}"/>
    <cellStyle name="Comma 8 2 3 8 5" xfId="46176" xr:uid="{00000000-0005-0000-0000-0000DA490000}"/>
    <cellStyle name="Comma 8 2 3 8 6" xfId="30358" xr:uid="{00000000-0005-0000-0000-0000DB490000}"/>
    <cellStyle name="Comma 8 2 3 9" xfId="30643" xr:uid="{00000000-0005-0000-0000-0000DC490000}"/>
    <cellStyle name="Comma 8 2 3 9 2" xfId="40870" xr:uid="{00000000-0005-0000-0000-0000DD490000}"/>
    <cellStyle name="Comma 8 2 3 9 2 2" xfId="43614" xr:uid="{00000000-0005-0000-0000-0000DE490000}"/>
    <cellStyle name="Comma 8 2 3 9 2 3" xfId="46177" xr:uid="{00000000-0005-0000-0000-0000DF490000}"/>
    <cellStyle name="Comma 8 2 3 9 3" xfId="39305" xr:uid="{00000000-0005-0000-0000-0000E0490000}"/>
    <cellStyle name="Comma 8 2 3 9 4" xfId="42286" xr:uid="{00000000-0005-0000-0000-0000E1490000}"/>
    <cellStyle name="Comma 8 2 3 9 5" xfId="46178" xr:uid="{00000000-0005-0000-0000-0000E2490000}"/>
    <cellStyle name="Comma 8 2 4" xfId="2838" xr:uid="{00000000-0005-0000-0000-0000E3490000}"/>
    <cellStyle name="Comma 8 2 4 10" xfId="34041" xr:uid="{00000000-0005-0000-0000-0000E4490000}"/>
    <cellStyle name="Comma 8 2 4 11" xfId="34227" xr:uid="{00000000-0005-0000-0000-0000E5490000}"/>
    <cellStyle name="Comma 8 2 4 12" xfId="35400" xr:uid="{00000000-0005-0000-0000-0000E6490000}"/>
    <cellStyle name="Comma 8 2 4 13" xfId="36263" xr:uid="{00000000-0005-0000-0000-0000E7490000}"/>
    <cellStyle name="Comma 8 2 4 14" xfId="37471" xr:uid="{00000000-0005-0000-0000-0000E8490000}"/>
    <cellStyle name="Comma 8 2 4 15" xfId="41418" xr:uid="{00000000-0005-0000-0000-0000E9490000}"/>
    <cellStyle name="Comma 8 2 4 16" xfId="46179" xr:uid="{00000000-0005-0000-0000-0000EA490000}"/>
    <cellStyle name="Comma 8 2 4 17" xfId="8118" xr:uid="{00000000-0005-0000-0000-0000EB490000}"/>
    <cellStyle name="Comma 8 2 4 2" xfId="5149" xr:uid="{00000000-0005-0000-0000-0000EC490000}"/>
    <cellStyle name="Comma 8 2 4 2 10" xfId="34596" xr:uid="{00000000-0005-0000-0000-0000ED490000}"/>
    <cellStyle name="Comma 8 2 4 2 11" xfId="36104" xr:uid="{00000000-0005-0000-0000-0000EE490000}"/>
    <cellStyle name="Comma 8 2 4 2 12" xfId="36404" xr:uid="{00000000-0005-0000-0000-0000EF490000}"/>
    <cellStyle name="Comma 8 2 4 2 13" xfId="37589" xr:uid="{00000000-0005-0000-0000-0000F0490000}"/>
    <cellStyle name="Comma 8 2 4 2 14" xfId="41535" xr:uid="{00000000-0005-0000-0000-0000F1490000}"/>
    <cellStyle name="Comma 8 2 4 2 15" xfId="46180" xr:uid="{00000000-0005-0000-0000-0000F2490000}"/>
    <cellStyle name="Comma 8 2 4 2 16" xfId="8929" xr:uid="{00000000-0005-0000-0000-0000F3490000}"/>
    <cellStyle name="Comma 8 2 4 2 2" xfId="6118" xr:uid="{00000000-0005-0000-0000-0000F4490000}"/>
    <cellStyle name="Comma 8 2 4 2 2 10" xfId="37272" xr:uid="{00000000-0005-0000-0000-0000F5490000}"/>
    <cellStyle name="Comma 8 2 4 2 2 11" xfId="38883" xr:uid="{00000000-0005-0000-0000-0000F6490000}"/>
    <cellStyle name="Comma 8 2 4 2 2 12" xfId="41922" xr:uid="{00000000-0005-0000-0000-0000F7490000}"/>
    <cellStyle name="Comma 8 2 4 2 2 13" xfId="46181" xr:uid="{00000000-0005-0000-0000-0000F8490000}"/>
    <cellStyle name="Comma 8 2 4 2 2 14" xfId="12928" xr:uid="{00000000-0005-0000-0000-0000F9490000}"/>
    <cellStyle name="Comma 8 2 4 2 2 2" xfId="15868" xr:uid="{00000000-0005-0000-0000-0000FA490000}"/>
    <cellStyle name="Comma 8 2 4 2 2 2 2" xfId="40432" xr:uid="{00000000-0005-0000-0000-0000FB490000}"/>
    <cellStyle name="Comma 8 2 4 2 2 2 3" xfId="43250" xr:uid="{00000000-0005-0000-0000-0000FC490000}"/>
    <cellStyle name="Comma 8 2 4 2 2 2 4" xfId="46182" xr:uid="{00000000-0005-0000-0000-0000FD490000}"/>
    <cellStyle name="Comma 8 2 4 2 2 3" xfId="30366" xr:uid="{00000000-0005-0000-0000-0000FE490000}"/>
    <cellStyle name="Comma 8 2 4 2 2 4" xfId="31510" xr:uid="{00000000-0005-0000-0000-0000FF490000}"/>
    <cellStyle name="Comma 8 2 4 2 2 5" xfId="32189" xr:uid="{00000000-0005-0000-0000-0000004A0000}"/>
    <cellStyle name="Comma 8 2 4 2 2 6" xfId="32831" xr:uid="{00000000-0005-0000-0000-0000014A0000}"/>
    <cellStyle name="Comma 8 2 4 2 2 7" xfId="33363" xr:uid="{00000000-0005-0000-0000-0000024A0000}"/>
    <cellStyle name="Comma 8 2 4 2 2 8" xfId="34043" xr:uid="{00000000-0005-0000-0000-0000034A0000}"/>
    <cellStyle name="Comma 8 2 4 2 2 9" xfId="35187" xr:uid="{00000000-0005-0000-0000-0000044A0000}"/>
    <cellStyle name="Comma 8 2 4 2 3" xfId="6438" xr:uid="{00000000-0005-0000-0000-0000054A0000}"/>
    <cellStyle name="Comma 8 2 4 2 3 2" xfId="40822" xr:uid="{00000000-0005-0000-0000-0000064A0000}"/>
    <cellStyle name="Comma 8 2 4 2 3 2 2" xfId="43577" xr:uid="{00000000-0005-0000-0000-0000074A0000}"/>
    <cellStyle name="Comma 8 2 4 2 3 2 3" xfId="46183" xr:uid="{00000000-0005-0000-0000-0000084A0000}"/>
    <cellStyle name="Comma 8 2 4 2 3 3" xfId="39259" xr:uid="{00000000-0005-0000-0000-0000094A0000}"/>
    <cellStyle name="Comma 8 2 4 2 3 4" xfId="42249" xr:uid="{00000000-0005-0000-0000-00000A4A0000}"/>
    <cellStyle name="Comma 8 2 4 2 3 5" xfId="46184" xr:uid="{00000000-0005-0000-0000-00000B4A0000}"/>
    <cellStyle name="Comma 8 2 4 2 3 6" xfId="12145" xr:uid="{00000000-0005-0000-0000-00000C4A0000}"/>
    <cellStyle name="Comma 8 2 4 2 4" xfId="15867" xr:uid="{00000000-0005-0000-0000-00000D4A0000}"/>
    <cellStyle name="Comma 8 2 4 2 4 2" xfId="41288" xr:uid="{00000000-0005-0000-0000-00000E4A0000}"/>
    <cellStyle name="Comma 8 2 4 2 4 2 2" xfId="43968" xr:uid="{00000000-0005-0000-0000-00000F4A0000}"/>
    <cellStyle name="Comma 8 2 4 2 4 2 3" xfId="46185" xr:uid="{00000000-0005-0000-0000-0000104A0000}"/>
    <cellStyle name="Comma 8 2 4 2 4 3" xfId="39705" xr:uid="{00000000-0005-0000-0000-0000114A0000}"/>
    <cellStyle name="Comma 8 2 4 2 4 4" xfId="42640" xr:uid="{00000000-0005-0000-0000-0000124A0000}"/>
    <cellStyle name="Comma 8 2 4 2 4 5" xfId="46186" xr:uid="{00000000-0005-0000-0000-0000134A0000}"/>
    <cellStyle name="Comma 8 2 4 2 5" xfId="30365" xr:uid="{00000000-0005-0000-0000-0000144A0000}"/>
    <cellStyle name="Comma 8 2 4 2 5 2" xfId="39975" xr:uid="{00000000-0005-0000-0000-0000154A0000}"/>
    <cellStyle name="Comma 8 2 4 2 5 3" xfId="42863" xr:uid="{00000000-0005-0000-0000-0000164A0000}"/>
    <cellStyle name="Comma 8 2 4 2 5 4" xfId="46187" xr:uid="{00000000-0005-0000-0000-0000174A0000}"/>
    <cellStyle name="Comma 8 2 4 2 6" xfId="30919" xr:uid="{00000000-0005-0000-0000-0000184A0000}"/>
    <cellStyle name="Comma 8 2 4 2 7" xfId="32188" xr:uid="{00000000-0005-0000-0000-0000194A0000}"/>
    <cellStyle name="Comma 8 2 4 2 8" xfId="32830" xr:uid="{00000000-0005-0000-0000-00001A4A0000}"/>
    <cellStyle name="Comma 8 2 4 2 9" xfId="34042" xr:uid="{00000000-0005-0000-0000-00001B4A0000}"/>
    <cellStyle name="Comma 8 2 4 3" xfId="4490" xr:uid="{00000000-0005-0000-0000-00001C4A0000}"/>
    <cellStyle name="Comma 8 2 4 3 10" xfId="35673" xr:uid="{00000000-0005-0000-0000-00001D4A0000}"/>
    <cellStyle name="Comma 8 2 4 3 11" xfId="36922" xr:uid="{00000000-0005-0000-0000-00001E4A0000}"/>
    <cellStyle name="Comma 8 2 4 3 12" xfId="38742" xr:uid="{00000000-0005-0000-0000-00001F4A0000}"/>
    <cellStyle name="Comma 8 2 4 3 13" xfId="41782" xr:uid="{00000000-0005-0000-0000-0000204A0000}"/>
    <cellStyle name="Comma 8 2 4 3 14" xfId="46188" xr:uid="{00000000-0005-0000-0000-0000214A0000}"/>
    <cellStyle name="Comma 8 2 4 3 15" xfId="12430" xr:uid="{00000000-0005-0000-0000-0000224A0000}"/>
    <cellStyle name="Comma 8 2 4 3 2" xfId="5941" xr:uid="{00000000-0005-0000-0000-0000234A0000}"/>
    <cellStyle name="Comma 8 2 4 3 2 2" xfId="41116" xr:uid="{00000000-0005-0000-0000-0000244A0000}"/>
    <cellStyle name="Comma 8 2 4 3 2 2 2" xfId="43828" xr:uid="{00000000-0005-0000-0000-0000254A0000}"/>
    <cellStyle name="Comma 8 2 4 3 2 2 3" xfId="46189" xr:uid="{00000000-0005-0000-0000-0000264A0000}"/>
    <cellStyle name="Comma 8 2 4 3 2 3" xfId="39540" xr:uid="{00000000-0005-0000-0000-0000274A0000}"/>
    <cellStyle name="Comma 8 2 4 3 2 4" xfId="42500" xr:uid="{00000000-0005-0000-0000-0000284A0000}"/>
    <cellStyle name="Comma 8 2 4 3 2 5" xfId="46190" xr:uid="{00000000-0005-0000-0000-0000294A0000}"/>
    <cellStyle name="Comma 8 2 4 3 2 6" xfId="15869" xr:uid="{00000000-0005-0000-0000-00002A4A0000}"/>
    <cellStyle name="Comma 8 2 4 3 3" xfId="30367" xr:uid="{00000000-0005-0000-0000-00002B4A0000}"/>
    <cellStyle name="Comma 8 2 4 3 3 2" xfId="40261" xr:uid="{00000000-0005-0000-0000-00002C4A0000}"/>
    <cellStyle name="Comma 8 2 4 3 3 3" xfId="43110" xr:uid="{00000000-0005-0000-0000-00002D4A0000}"/>
    <cellStyle name="Comma 8 2 4 3 3 4" xfId="46191" xr:uid="{00000000-0005-0000-0000-00002E4A0000}"/>
    <cellStyle name="Comma 8 2 4 3 4" xfId="31141" xr:uid="{00000000-0005-0000-0000-00002F4A0000}"/>
    <cellStyle name="Comma 8 2 4 3 5" xfId="32190" xr:uid="{00000000-0005-0000-0000-0000304A0000}"/>
    <cellStyle name="Comma 8 2 4 3 6" xfId="32832" xr:uid="{00000000-0005-0000-0000-0000314A0000}"/>
    <cellStyle name="Comma 8 2 4 3 7" xfId="33001" xr:uid="{00000000-0005-0000-0000-0000324A0000}"/>
    <cellStyle name="Comma 8 2 4 3 8" xfId="34044" xr:uid="{00000000-0005-0000-0000-0000334A0000}"/>
    <cellStyle name="Comma 8 2 4 3 9" xfId="34818" xr:uid="{00000000-0005-0000-0000-0000344A0000}"/>
    <cellStyle name="Comma 8 2 4 4" xfId="5803" xr:uid="{00000000-0005-0000-0000-0000354A0000}"/>
    <cellStyle name="Comma 8 2 4 4 2" xfId="40126" xr:uid="{00000000-0005-0000-0000-0000364A0000}"/>
    <cellStyle name="Comma 8 2 4 4 2 2" xfId="42995" xr:uid="{00000000-0005-0000-0000-0000374A0000}"/>
    <cellStyle name="Comma 8 2 4 4 2 3" xfId="46192" xr:uid="{00000000-0005-0000-0000-0000384A0000}"/>
    <cellStyle name="Comma 8 2 4 4 3" xfId="38170" xr:uid="{00000000-0005-0000-0000-0000394A0000}"/>
    <cellStyle name="Comma 8 2 4 4 4" xfId="41667" xr:uid="{00000000-0005-0000-0000-00003A4A0000}"/>
    <cellStyle name="Comma 8 2 4 4 5" xfId="46193" xr:uid="{00000000-0005-0000-0000-00003B4A0000}"/>
    <cellStyle name="Comma 8 2 4 4 6" xfId="11776" xr:uid="{00000000-0005-0000-0000-00003C4A0000}"/>
    <cellStyle name="Comma 8 2 4 5" xfId="6262" xr:uid="{00000000-0005-0000-0000-00003D4A0000}"/>
    <cellStyle name="Comma 8 2 4 5 2" xfId="40671" xr:uid="{00000000-0005-0000-0000-00003E4A0000}"/>
    <cellStyle name="Comma 8 2 4 5 2 2" xfId="43457" xr:uid="{00000000-0005-0000-0000-00003F4A0000}"/>
    <cellStyle name="Comma 8 2 4 5 2 3" xfId="46194" xr:uid="{00000000-0005-0000-0000-0000404A0000}"/>
    <cellStyle name="Comma 8 2 4 5 3" xfId="39103" xr:uid="{00000000-0005-0000-0000-0000414A0000}"/>
    <cellStyle name="Comma 8 2 4 5 4" xfId="42129" xr:uid="{00000000-0005-0000-0000-0000424A0000}"/>
    <cellStyle name="Comma 8 2 4 5 5" xfId="46195" xr:uid="{00000000-0005-0000-0000-0000434A0000}"/>
    <cellStyle name="Comma 8 2 4 5 6" xfId="15866" xr:uid="{00000000-0005-0000-0000-0000444A0000}"/>
    <cellStyle name="Comma 8 2 4 6" xfId="30364" xr:uid="{00000000-0005-0000-0000-0000454A0000}"/>
    <cellStyle name="Comma 8 2 4 6 2" xfId="40978" xr:uid="{00000000-0005-0000-0000-0000464A0000}"/>
    <cellStyle name="Comma 8 2 4 6 2 2" xfId="43713" xr:uid="{00000000-0005-0000-0000-0000474A0000}"/>
    <cellStyle name="Comma 8 2 4 6 2 3" xfId="46196" xr:uid="{00000000-0005-0000-0000-0000484A0000}"/>
    <cellStyle name="Comma 8 2 4 6 3" xfId="39407" xr:uid="{00000000-0005-0000-0000-0000494A0000}"/>
    <cellStyle name="Comma 8 2 4 6 4" xfId="42385" xr:uid="{00000000-0005-0000-0000-00004A4A0000}"/>
    <cellStyle name="Comma 8 2 4 6 5" xfId="46197" xr:uid="{00000000-0005-0000-0000-00004B4A0000}"/>
    <cellStyle name="Comma 8 2 4 7" xfId="30550" xr:uid="{00000000-0005-0000-0000-00004C4A0000}"/>
    <cellStyle name="Comma 8 2 4 7 2" xfId="39838" xr:uid="{00000000-0005-0000-0000-00004D4A0000}"/>
    <cellStyle name="Comma 8 2 4 7 3" xfId="42746" xr:uid="{00000000-0005-0000-0000-00004E4A0000}"/>
    <cellStyle name="Comma 8 2 4 7 4" xfId="46198" xr:uid="{00000000-0005-0000-0000-00004F4A0000}"/>
    <cellStyle name="Comma 8 2 4 8" xfId="32187" xr:uid="{00000000-0005-0000-0000-0000504A0000}"/>
    <cellStyle name="Comma 8 2 4 9" xfId="32829" xr:uid="{00000000-0005-0000-0000-0000514A0000}"/>
    <cellStyle name="Comma 8 2 5" xfId="2839" xr:uid="{00000000-0005-0000-0000-0000524A0000}"/>
    <cellStyle name="Comma 8 2 5 10" xfId="34592" xr:uid="{00000000-0005-0000-0000-0000534A0000}"/>
    <cellStyle name="Comma 8 2 5 11" xfId="35401" xr:uid="{00000000-0005-0000-0000-0000544A0000}"/>
    <cellStyle name="Comma 8 2 5 12" xfId="36264" xr:uid="{00000000-0005-0000-0000-0000554A0000}"/>
    <cellStyle name="Comma 8 2 5 13" xfId="37562" xr:uid="{00000000-0005-0000-0000-0000564A0000}"/>
    <cellStyle name="Comma 8 2 5 14" xfId="41508" xr:uid="{00000000-0005-0000-0000-0000574A0000}"/>
    <cellStyle name="Comma 8 2 5 15" xfId="46199" xr:uid="{00000000-0005-0000-0000-0000584A0000}"/>
    <cellStyle name="Comma 8 2 5 16" xfId="8925" xr:uid="{00000000-0005-0000-0000-0000594A0000}"/>
    <cellStyle name="Comma 8 2 5 2" xfId="5150" xr:uid="{00000000-0005-0000-0000-00005A4A0000}"/>
    <cellStyle name="Comma 8 2 5 2 10" xfId="12924" xr:uid="{00000000-0005-0000-0000-00005B4A0000}"/>
    <cellStyle name="Comma 8 2 5 2 2" xfId="6119" xr:uid="{00000000-0005-0000-0000-00005C4A0000}"/>
    <cellStyle name="Comma 8 2 5 2 2 2" xfId="40823" xr:uid="{00000000-0005-0000-0000-00005D4A0000}"/>
    <cellStyle name="Comma 8 2 5 2 2 2 2" xfId="43578" xr:uid="{00000000-0005-0000-0000-00005E4A0000}"/>
    <cellStyle name="Comma 8 2 5 2 2 2 3" xfId="46200" xr:uid="{00000000-0005-0000-0000-00005F4A0000}"/>
    <cellStyle name="Comma 8 2 5 2 2 3" xfId="39260" xr:uid="{00000000-0005-0000-0000-0000604A0000}"/>
    <cellStyle name="Comma 8 2 5 2 2 4" xfId="42250" xr:uid="{00000000-0005-0000-0000-0000614A0000}"/>
    <cellStyle name="Comma 8 2 5 2 2 5" xfId="46201" xr:uid="{00000000-0005-0000-0000-0000624A0000}"/>
    <cellStyle name="Comma 8 2 5 2 2 6" xfId="31506" xr:uid="{00000000-0005-0000-0000-0000634A0000}"/>
    <cellStyle name="Comma 8 2 5 2 3" xfId="6439" xr:uid="{00000000-0005-0000-0000-0000644A0000}"/>
    <cellStyle name="Comma 8 2 5 2 3 2" xfId="41289" xr:uid="{00000000-0005-0000-0000-0000654A0000}"/>
    <cellStyle name="Comma 8 2 5 2 3 2 2" xfId="43969" xr:uid="{00000000-0005-0000-0000-0000664A0000}"/>
    <cellStyle name="Comma 8 2 5 2 3 2 3" xfId="46202" xr:uid="{00000000-0005-0000-0000-0000674A0000}"/>
    <cellStyle name="Comma 8 2 5 2 3 3" xfId="39706" xr:uid="{00000000-0005-0000-0000-0000684A0000}"/>
    <cellStyle name="Comma 8 2 5 2 3 4" xfId="42641" xr:uid="{00000000-0005-0000-0000-0000694A0000}"/>
    <cellStyle name="Comma 8 2 5 2 3 5" xfId="46203" xr:uid="{00000000-0005-0000-0000-00006A4A0000}"/>
    <cellStyle name="Comma 8 2 5 2 3 6" xfId="33359" xr:uid="{00000000-0005-0000-0000-00006B4A0000}"/>
    <cellStyle name="Comma 8 2 5 2 4" xfId="35183" xr:uid="{00000000-0005-0000-0000-00006C4A0000}"/>
    <cellStyle name="Comma 8 2 5 2 4 2" xfId="40433" xr:uid="{00000000-0005-0000-0000-00006D4A0000}"/>
    <cellStyle name="Comma 8 2 5 2 4 3" xfId="43251" xr:uid="{00000000-0005-0000-0000-00006E4A0000}"/>
    <cellStyle name="Comma 8 2 5 2 4 4" xfId="46204" xr:uid="{00000000-0005-0000-0000-00006F4A0000}"/>
    <cellStyle name="Comma 8 2 5 2 5" xfId="36105" xr:uid="{00000000-0005-0000-0000-0000704A0000}"/>
    <cellStyle name="Comma 8 2 5 2 6" xfId="36405" xr:uid="{00000000-0005-0000-0000-0000714A0000}"/>
    <cellStyle name="Comma 8 2 5 2 7" xfId="38884" xr:uid="{00000000-0005-0000-0000-0000724A0000}"/>
    <cellStyle name="Comma 8 2 5 2 8" xfId="41923" xr:uid="{00000000-0005-0000-0000-0000734A0000}"/>
    <cellStyle name="Comma 8 2 5 2 9" xfId="46205" xr:uid="{00000000-0005-0000-0000-0000744A0000}"/>
    <cellStyle name="Comma 8 2 5 3" xfId="4491" xr:uid="{00000000-0005-0000-0000-0000754A0000}"/>
    <cellStyle name="Comma 8 2 5 3 2" xfId="5942" xr:uid="{00000000-0005-0000-0000-0000764A0000}"/>
    <cellStyle name="Comma 8 2 5 3 2 2" xfId="41117" xr:uid="{00000000-0005-0000-0000-0000774A0000}"/>
    <cellStyle name="Comma 8 2 5 3 2 2 2" xfId="43829" xr:uid="{00000000-0005-0000-0000-0000784A0000}"/>
    <cellStyle name="Comma 8 2 5 3 2 2 3" xfId="46206" xr:uid="{00000000-0005-0000-0000-0000794A0000}"/>
    <cellStyle name="Comma 8 2 5 3 2 3" xfId="39541" xr:uid="{00000000-0005-0000-0000-00007A4A0000}"/>
    <cellStyle name="Comma 8 2 5 3 2 4" xfId="42501" xr:uid="{00000000-0005-0000-0000-00007B4A0000}"/>
    <cellStyle name="Comma 8 2 5 3 2 5" xfId="46207" xr:uid="{00000000-0005-0000-0000-00007C4A0000}"/>
    <cellStyle name="Comma 8 2 5 3 2 6" xfId="35674" xr:uid="{00000000-0005-0000-0000-00007D4A0000}"/>
    <cellStyle name="Comma 8 2 5 3 3" xfId="40262" xr:uid="{00000000-0005-0000-0000-00007E4A0000}"/>
    <cellStyle name="Comma 8 2 5 3 3 2" xfId="43111" xr:uid="{00000000-0005-0000-0000-00007F4A0000}"/>
    <cellStyle name="Comma 8 2 5 3 3 3" xfId="46208" xr:uid="{00000000-0005-0000-0000-0000804A0000}"/>
    <cellStyle name="Comma 8 2 5 3 4" xfId="38743" xr:uid="{00000000-0005-0000-0000-0000814A0000}"/>
    <cellStyle name="Comma 8 2 5 3 5" xfId="41783" xr:uid="{00000000-0005-0000-0000-0000824A0000}"/>
    <cellStyle name="Comma 8 2 5 3 6" xfId="46209" xr:uid="{00000000-0005-0000-0000-0000834A0000}"/>
    <cellStyle name="Comma 8 2 5 3 7" xfId="12141" xr:uid="{00000000-0005-0000-0000-0000844A0000}"/>
    <cellStyle name="Comma 8 2 5 4" xfId="5804" xr:uid="{00000000-0005-0000-0000-0000854A0000}"/>
    <cellStyle name="Comma 8 2 5 4 2" xfId="40127" xr:uid="{00000000-0005-0000-0000-0000864A0000}"/>
    <cellStyle name="Comma 8 2 5 4 2 2" xfId="42996" xr:uid="{00000000-0005-0000-0000-0000874A0000}"/>
    <cellStyle name="Comma 8 2 5 4 2 3" xfId="46210" xr:uid="{00000000-0005-0000-0000-0000884A0000}"/>
    <cellStyle name="Comma 8 2 5 4 3" xfId="38171" xr:uid="{00000000-0005-0000-0000-0000894A0000}"/>
    <cellStyle name="Comma 8 2 5 4 4" xfId="41668" xr:uid="{00000000-0005-0000-0000-00008A4A0000}"/>
    <cellStyle name="Comma 8 2 5 4 5" xfId="46211" xr:uid="{00000000-0005-0000-0000-00008B4A0000}"/>
    <cellStyle name="Comma 8 2 5 4 6" xfId="15870" xr:uid="{00000000-0005-0000-0000-00008C4A0000}"/>
    <cellStyle name="Comma 8 2 5 5" xfId="6263" xr:uid="{00000000-0005-0000-0000-00008D4A0000}"/>
    <cellStyle name="Comma 8 2 5 5 2" xfId="40672" xr:uid="{00000000-0005-0000-0000-00008E4A0000}"/>
    <cellStyle name="Comma 8 2 5 5 2 2" xfId="43458" xr:uid="{00000000-0005-0000-0000-00008F4A0000}"/>
    <cellStyle name="Comma 8 2 5 5 2 3" xfId="46212" xr:uid="{00000000-0005-0000-0000-0000904A0000}"/>
    <cellStyle name="Comma 8 2 5 5 3" xfId="39104" xr:uid="{00000000-0005-0000-0000-0000914A0000}"/>
    <cellStyle name="Comma 8 2 5 5 4" xfId="42130" xr:uid="{00000000-0005-0000-0000-0000924A0000}"/>
    <cellStyle name="Comma 8 2 5 5 5" xfId="46213" xr:uid="{00000000-0005-0000-0000-0000934A0000}"/>
    <cellStyle name="Comma 8 2 5 5 6" xfId="30368" xr:uid="{00000000-0005-0000-0000-0000944A0000}"/>
    <cellStyle name="Comma 8 2 5 6" xfId="30915" xr:uid="{00000000-0005-0000-0000-0000954A0000}"/>
    <cellStyle name="Comma 8 2 5 6 2" xfId="40979" xr:uid="{00000000-0005-0000-0000-0000964A0000}"/>
    <cellStyle name="Comma 8 2 5 6 2 2" xfId="43714" xr:uid="{00000000-0005-0000-0000-0000974A0000}"/>
    <cellStyle name="Comma 8 2 5 6 2 3" xfId="46214" xr:uid="{00000000-0005-0000-0000-0000984A0000}"/>
    <cellStyle name="Comma 8 2 5 6 3" xfId="39408" xr:uid="{00000000-0005-0000-0000-0000994A0000}"/>
    <cellStyle name="Comma 8 2 5 6 4" xfId="42386" xr:uid="{00000000-0005-0000-0000-00009A4A0000}"/>
    <cellStyle name="Comma 8 2 5 6 5" xfId="46215" xr:uid="{00000000-0005-0000-0000-00009B4A0000}"/>
    <cellStyle name="Comma 8 2 5 7" xfId="32191" xr:uid="{00000000-0005-0000-0000-00009C4A0000}"/>
    <cellStyle name="Comma 8 2 5 7 2" xfId="39948" xr:uid="{00000000-0005-0000-0000-00009D4A0000}"/>
    <cellStyle name="Comma 8 2 5 7 3" xfId="42836" xr:uid="{00000000-0005-0000-0000-00009E4A0000}"/>
    <cellStyle name="Comma 8 2 5 7 4" xfId="46216" xr:uid="{00000000-0005-0000-0000-00009F4A0000}"/>
    <cellStyle name="Comma 8 2 5 8" xfId="32833" xr:uid="{00000000-0005-0000-0000-0000A04A0000}"/>
    <cellStyle name="Comma 8 2 5 9" xfId="34045" xr:uid="{00000000-0005-0000-0000-0000A14A0000}"/>
    <cellStyle name="Comma 8 2 6" xfId="2831" xr:uid="{00000000-0005-0000-0000-0000A24A0000}"/>
    <cellStyle name="Comma 8 2 6 10" xfId="34667" xr:uid="{00000000-0005-0000-0000-0000A34A0000}"/>
    <cellStyle name="Comma 8 2 6 11" xfId="35393" xr:uid="{00000000-0005-0000-0000-0000A44A0000}"/>
    <cellStyle name="Comma 8 2 6 12" xfId="36397" xr:uid="{00000000-0005-0000-0000-0000A54A0000}"/>
    <cellStyle name="Comma 8 2 6 13" xfId="37545" xr:uid="{00000000-0005-0000-0000-0000A64A0000}"/>
    <cellStyle name="Comma 8 2 6 14" xfId="41491" xr:uid="{00000000-0005-0000-0000-0000A74A0000}"/>
    <cellStyle name="Comma 8 2 6 15" xfId="46217" xr:uid="{00000000-0005-0000-0000-0000A84A0000}"/>
    <cellStyle name="Comma 8 2 6 16" xfId="11553" xr:uid="{00000000-0005-0000-0000-0000A94A0000}"/>
    <cellStyle name="Comma 8 2 6 2" xfId="5142" xr:uid="{00000000-0005-0000-0000-0000AA4A0000}"/>
    <cellStyle name="Comma 8 2 6 2 10" xfId="15174" xr:uid="{00000000-0005-0000-0000-0000AB4A0000}"/>
    <cellStyle name="Comma 8 2 6 2 2" xfId="6111" xr:uid="{00000000-0005-0000-0000-0000AC4A0000}"/>
    <cellStyle name="Comma 8 2 6 2 2 2" xfId="41281" xr:uid="{00000000-0005-0000-0000-0000AD4A0000}"/>
    <cellStyle name="Comma 8 2 6 2 2 2 2" xfId="43961" xr:uid="{00000000-0005-0000-0000-0000AE4A0000}"/>
    <cellStyle name="Comma 8 2 6 2 2 2 3" xfId="46218" xr:uid="{00000000-0005-0000-0000-0000AF4A0000}"/>
    <cellStyle name="Comma 8 2 6 2 2 3" xfId="39698" xr:uid="{00000000-0005-0000-0000-0000B04A0000}"/>
    <cellStyle name="Comma 8 2 6 2 2 4" xfId="42633" xr:uid="{00000000-0005-0000-0000-0000B14A0000}"/>
    <cellStyle name="Comma 8 2 6 2 2 5" xfId="46219" xr:uid="{00000000-0005-0000-0000-0000B24A0000}"/>
    <cellStyle name="Comma 8 2 6 2 2 6" xfId="31581" xr:uid="{00000000-0005-0000-0000-0000B34A0000}"/>
    <cellStyle name="Comma 8 2 6 2 3" xfId="33434" xr:uid="{00000000-0005-0000-0000-0000B44A0000}"/>
    <cellStyle name="Comma 8 2 6 2 3 2" xfId="40425" xr:uid="{00000000-0005-0000-0000-0000B54A0000}"/>
    <cellStyle name="Comma 8 2 6 2 3 3" xfId="43243" xr:uid="{00000000-0005-0000-0000-0000B64A0000}"/>
    <cellStyle name="Comma 8 2 6 2 3 4" xfId="46220" xr:uid="{00000000-0005-0000-0000-0000B74A0000}"/>
    <cellStyle name="Comma 8 2 6 2 4" xfId="35258" xr:uid="{00000000-0005-0000-0000-0000B84A0000}"/>
    <cellStyle name="Comma 8 2 6 2 5" xfId="36097" xr:uid="{00000000-0005-0000-0000-0000B94A0000}"/>
    <cellStyle name="Comma 8 2 6 2 6" xfId="37335" xr:uid="{00000000-0005-0000-0000-0000BA4A0000}"/>
    <cellStyle name="Comma 8 2 6 2 7" xfId="38876" xr:uid="{00000000-0005-0000-0000-0000BB4A0000}"/>
    <cellStyle name="Comma 8 2 6 2 8" xfId="41915" xr:uid="{00000000-0005-0000-0000-0000BC4A0000}"/>
    <cellStyle name="Comma 8 2 6 2 9" xfId="46221" xr:uid="{00000000-0005-0000-0000-0000BD4A0000}"/>
    <cellStyle name="Comma 8 2 6 3" xfId="5796" xr:uid="{00000000-0005-0000-0000-0000BE4A0000}"/>
    <cellStyle name="Comma 8 2 6 3 2" xfId="40119" xr:uid="{00000000-0005-0000-0000-0000BF4A0000}"/>
    <cellStyle name="Comma 8 2 6 3 2 2" xfId="42988" xr:uid="{00000000-0005-0000-0000-0000C04A0000}"/>
    <cellStyle name="Comma 8 2 6 3 2 3" xfId="46222" xr:uid="{00000000-0005-0000-0000-0000C14A0000}"/>
    <cellStyle name="Comma 8 2 6 3 3" xfId="38163" xr:uid="{00000000-0005-0000-0000-0000C24A0000}"/>
    <cellStyle name="Comma 8 2 6 3 4" xfId="41660" xr:uid="{00000000-0005-0000-0000-0000C34A0000}"/>
    <cellStyle name="Comma 8 2 6 3 5" xfId="46223" xr:uid="{00000000-0005-0000-0000-0000C44A0000}"/>
    <cellStyle name="Comma 8 2 6 3 6" xfId="12216" xr:uid="{00000000-0005-0000-0000-0000C54A0000}"/>
    <cellStyle name="Comma 8 2 6 4" xfId="6431" xr:uid="{00000000-0005-0000-0000-0000C64A0000}"/>
    <cellStyle name="Comma 8 2 6 4 2" xfId="40664" xr:uid="{00000000-0005-0000-0000-0000C74A0000}"/>
    <cellStyle name="Comma 8 2 6 4 2 2" xfId="43450" xr:uid="{00000000-0005-0000-0000-0000C84A0000}"/>
    <cellStyle name="Comma 8 2 6 4 2 3" xfId="46224" xr:uid="{00000000-0005-0000-0000-0000C94A0000}"/>
    <cellStyle name="Comma 8 2 6 4 3" xfId="39096" xr:uid="{00000000-0005-0000-0000-0000CA4A0000}"/>
    <cellStyle name="Comma 8 2 6 4 4" xfId="42122" xr:uid="{00000000-0005-0000-0000-0000CB4A0000}"/>
    <cellStyle name="Comma 8 2 6 4 5" xfId="46225" xr:uid="{00000000-0005-0000-0000-0000CC4A0000}"/>
    <cellStyle name="Comma 8 2 6 4 6" xfId="15871" xr:uid="{00000000-0005-0000-0000-0000CD4A0000}"/>
    <cellStyle name="Comma 8 2 6 5" xfId="30369" xr:uid="{00000000-0005-0000-0000-0000CE4A0000}"/>
    <cellStyle name="Comma 8 2 6 5 2" xfId="40971" xr:uid="{00000000-0005-0000-0000-0000CF4A0000}"/>
    <cellStyle name="Comma 8 2 6 5 2 2" xfId="43706" xr:uid="{00000000-0005-0000-0000-0000D04A0000}"/>
    <cellStyle name="Comma 8 2 6 5 2 3" xfId="46226" xr:uid="{00000000-0005-0000-0000-0000D14A0000}"/>
    <cellStyle name="Comma 8 2 6 5 3" xfId="39400" xr:uid="{00000000-0005-0000-0000-0000D24A0000}"/>
    <cellStyle name="Comma 8 2 6 5 4" xfId="42378" xr:uid="{00000000-0005-0000-0000-0000D34A0000}"/>
    <cellStyle name="Comma 8 2 6 5 5" xfId="46227" xr:uid="{00000000-0005-0000-0000-0000D44A0000}"/>
    <cellStyle name="Comma 8 2 6 6" xfId="30990" xr:uid="{00000000-0005-0000-0000-0000D54A0000}"/>
    <cellStyle name="Comma 8 2 6 6 2" xfId="39920" xr:uid="{00000000-0005-0000-0000-0000D64A0000}"/>
    <cellStyle name="Comma 8 2 6 6 3" xfId="42819" xr:uid="{00000000-0005-0000-0000-0000D74A0000}"/>
    <cellStyle name="Comma 8 2 6 6 4" xfId="46228" xr:uid="{00000000-0005-0000-0000-0000D84A0000}"/>
    <cellStyle name="Comma 8 2 6 7" xfId="32192" xr:uid="{00000000-0005-0000-0000-0000D94A0000}"/>
    <cellStyle name="Comma 8 2 6 8" xfId="32834" xr:uid="{00000000-0005-0000-0000-0000DA4A0000}"/>
    <cellStyle name="Comma 8 2 6 9" xfId="34046" xr:uid="{00000000-0005-0000-0000-0000DB4A0000}"/>
    <cellStyle name="Comma 8 2 7" xfId="4555" xr:uid="{00000000-0005-0000-0000-0000DC4A0000}"/>
    <cellStyle name="Comma 8 2 7 10" xfId="36303" xr:uid="{00000000-0005-0000-0000-0000DD4A0000}"/>
    <cellStyle name="Comma 8 2 7 11" xfId="38781" xr:uid="{00000000-0005-0000-0000-0000DE4A0000}"/>
    <cellStyle name="Comma 8 2 7 12" xfId="41821" xr:uid="{00000000-0005-0000-0000-0000DF4A0000}"/>
    <cellStyle name="Comma 8 2 7 13" xfId="46229" xr:uid="{00000000-0005-0000-0000-0000E04A0000}"/>
    <cellStyle name="Comma 8 2 7 14" xfId="12309" xr:uid="{00000000-0005-0000-0000-0000E14A0000}"/>
    <cellStyle name="Comma 8 2 7 2" xfId="6004" xr:uid="{00000000-0005-0000-0000-0000E24A0000}"/>
    <cellStyle name="Comma 8 2 7 2 2" xfId="40562" xr:uid="{00000000-0005-0000-0000-0000E34A0000}"/>
    <cellStyle name="Comma 8 2 7 2 2 2" xfId="43356" xr:uid="{00000000-0005-0000-0000-0000E44A0000}"/>
    <cellStyle name="Comma 8 2 7 2 2 3" xfId="46230" xr:uid="{00000000-0005-0000-0000-0000E54A0000}"/>
    <cellStyle name="Comma 8 2 7 2 3" xfId="38999" xr:uid="{00000000-0005-0000-0000-0000E64A0000}"/>
    <cellStyle name="Comma 8 2 7 2 4" xfId="42028" xr:uid="{00000000-0005-0000-0000-0000E74A0000}"/>
    <cellStyle name="Comma 8 2 7 2 5" xfId="46231" xr:uid="{00000000-0005-0000-0000-0000E84A0000}"/>
    <cellStyle name="Comma 8 2 7 2 6" xfId="15872" xr:uid="{00000000-0005-0000-0000-0000E94A0000}"/>
    <cellStyle name="Comma 8 2 7 3" xfId="6325" xr:uid="{00000000-0005-0000-0000-0000EA4A0000}"/>
    <cellStyle name="Comma 8 2 7 3 2" xfId="41177" xr:uid="{00000000-0005-0000-0000-0000EB4A0000}"/>
    <cellStyle name="Comma 8 2 7 3 2 2" xfId="43867" xr:uid="{00000000-0005-0000-0000-0000EC4A0000}"/>
    <cellStyle name="Comma 8 2 7 3 2 3" xfId="46232" xr:uid="{00000000-0005-0000-0000-0000ED4A0000}"/>
    <cellStyle name="Comma 8 2 7 3 3" xfId="39596" xr:uid="{00000000-0005-0000-0000-0000EE4A0000}"/>
    <cellStyle name="Comma 8 2 7 3 4" xfId="42539" xr:uid="{00000000-0005-0000-0000-0000EF4A0000}"/>
    <cellStyle name="Comma 8 2 7 3 5" xfId="46233" xr:uid="{00000000-0005-0000-0000-0000F04A0000}"/>
    <cellStyle name="Comma 8 2 7 3 6" xfId="30370" xr:uid="{00000000-0005-0000-0000-0000F14A0000}"/>
    <cellStyle name="Comma 8 2 7 4" xfId="31082" xr:uid="{00000000-0005-0000-0000-0000F24A0000}"/>
    <cellStyle name="Comma 8 2 7 4 2" xfId="40322" xr:uid="{00000000-0005-0000-0000-0000F34A0000}"/>
    <cellStyle name="Comma 8 2 7 4 3" xfId="43149" xr:uid="{00000000-0005-0000-0000-0000F44A0000}"/>
    <cellStyle name="Comma 8 2 7 4 4" xfId="46234" xr:uid="{00000000-0005-0000-0000-0000F54A0000}"/>
    <cellStyle name="Comma 8 2 7 5" xfId="32193" xr:uid="{00000000-0005-0000-0000-0000F64A0000}"/>
    <cellStyle name="Comma 8 2 7 6" xfId="32835" xr:uid="{00000000-0005-0000-0000-0000F74A0000}"/>
    <cellStyle name="Comma 8 2 7 7" xfId="34047" xr:uid="{00000000-0005-0000-0000-0000F84A0000}"/>
    <cellStyle name="Comma 8 2 7 8" xfId="34759" xr:uid="{00000000-0005-0000-0000-0000F94A0000}"/>
    <cellStyle name="Comma 8 2 7 9" xfId="35716" xr:uid="{00000000-0005-0000-0000-0000FA4A0000}"/>
    <cellStyle name="Comma 8 2 8" xfId="4483" xr:uid="{00000000-0005-0000-0000-0000FB4A0000}"/>
    <cellStyle name="Comma 8 2 8 2" xfId="5934" xr:uid="{00000000-0005-0000-0000-0000FC4A0000}"/>
    <cellStyle name="Comma 8 2 8 2 2" xfId="40772" xr:uid="{00000000-0005-0000-0000-0000FD4A0000}"/>
    <cellStyle name="Comma 8 2 8 2 2 2" xfId="43535" xr:uid="{00000000-0005-0000-0000-0000FE4A0000}"/>
    <cellStyle name="Comma 8 2 8 2 2 3" xfId="46235" xr:uid="{00000000-0005-0000-0000-0000FF4A0000}"/>
    <cellStyle name="Comma 8 2 8 2 3" xfId="39199" xr:uid="{00000000-0005-0000-0000-0000004B0000}"/>
    <cellStyle name="Comma 8 2 8 2 4" xfId="42207" xr:uid="{00000000-0005-0000-0000-0000014B0000}"/>
    <cellStyle name="Comma 8 2 8 2 5" xfId="46236" xr:uid="{00000000-0005-0000-0000-0000024B0000}"/>
    <cellStyle name="Comma 8 2 8 2 6" xfId="35666" xr:uid="{00000000-0005-0000-0000-0000034B0000}"/>
    <cellStyle name="Comma 8 2 8 3" xfId="39533" xr:uid="{00000000-0005-0000-0000-0000044B0000}"/>
    <cellStyle name="Comma 8 2 8 3 2" xfId="41109" xr:uid="{00000000-0005-0000-0000-0000054B0000}"/>
    <cellStyle name="Comma 8 2 8 3 2 2" xfId="43821" xr:uid="{00000000-0005-0000-0000-0000064B0000}"/>
    <cellStyle name="Comma 8 2 8 3 2 3" xfId="46237" xr:uid="{00000000-0005-0000-0000-0000074B0000}"/>
    <cellStyle name="Comma 8 2 8 3 3" xfId="42493" xr:uid="{00000000-0005-0000-0000-0000084B0000}"/>
    <cellStyle name="Comma 8 2 8 3 4" xfId="46238" xr:uid="{00000000-0005-0000-0000-0000094B0000}"/>
    <cellStyle name="Comma 8 2 8 4" xfId="40254" xr:uid="{00000000-0005-0000-0000-00000A4B0000}"/>
    <cellStyle name="Comma 8 2 8 4 2" xfId="43103" xr:uid="{00000000-0005-0000-0000-00000B4B0000}"/>
    <cellStyle name="Comma 8 2 8 4 3" xfId="46239" xr:uid="{00000000-0005-0000-0000-00000C4B0000}"/>
    <cellStyle name="Comma 8 2 8 5" xfId="38735" xr:uid="{00000000-0005-0000-0000-00000D4B0000}"/>
    <cellStyle name="Comma 8 2 8 6" xfId="41775" xr:uid="{00000000-0005-0000-0000-00000E4B0000}"/>
    <cellStyle name="Comma 8 2 8 7" xfId="46240" xr:uid="{00000000-0005-0000-0000-00000F4B0000}"/>
    <cellStyle name="Comma 8 2 8 8" xfId="11716" xr:uid="{00000000-0005-0000-0000-0000104B0000}"/>
    <cellStyle name="Comma 8 2 9" xfId="5683" xr:uid="{00000000-0005-0000-0000-0000114B0000}"/>
    <cellStyle name="Comma 8 2 9 2" xfId="40017" xr:uid="{00000000-0005-0000-0000-0000124B0000}"/>
    <cellStyle name="Comma 8 2 9 2 2" xfId="42894" xr:uid="{00000000-0005-0000-0000-0000134B0000}"/>
    <cellStyle name="Comma 8 2 9 2 3" xfId="46241" xr:uid="{00000000-0005-0000-0000-0000144B0000}"/>
    <cellStyle name="Comma 8 2 9 3" xfId="37626" xr:uid="{00000000-0005-0000-0000-0000154B0000}"/>
    <cellStyle name="Comma 8 2 9 4" xfId="41566" xr:uid="{00000000-0005-0000-0000-0000164B0000}"/>
    <cellStyle name="Comma 8 2 9 5" xfId="46242" xr:uid="{00000000-0005-0000-0000-0000174B0000}"/>
    <cellStyle name="Comma 8 2 9 6" xfId="15855" xr:uid="{00000000-0005-0000-0000-0000184B0000}"/>
    <cellStyle name="Comma 8 20" xfId="37403" xr:uid="{00000000-0005-0000-0000-0000194B0000}"/>
    <cellStyle name="Comma 8 21" xfId="41351" xr:uid="{00000000-0005-0000-0000-00001A4B0000}"/>
    <cellStyle name="Comma 8 22" xfId="46243" xr:uid="{00000000-0005-0000-0000-00001B4B0000}"/>
    <cellStyle name="Comma 8 23" xfId="6569" xr:uid="{00000000-0005-0000-0000-00001C4B0000}"/>
    <cellStyle name="Comma 8 3" xfId="1045" xr:uid="{00000000-0005-0000-0000-00001D4B0000}"/>
    <cellStyle name="Comma 8 3 10" xfId="30552" xr:uid="{00000000-0005-0000-0000-00001E4B0000}"/>
    <cellStyle name="Comma 8 3 10 2" xfId="40871" xr:uid="{00000000-0005-0000-0000-00001F4B0000}"/>
    <cellStyle name="Comma 8 3 10 2 2" xfId="43615" xr:uid="{00000000-0005-0000-0000-0000204B0000}"/>
    <cellStyle name="Comma 8 3 10 2 3" xfId="46244" xr:uid="{00000000-0005-0000-0000-0000214B0000}"/>
    <cellStyle name="Comma 8 3 10 3" xfId="39306" xr:uid="{00000000-0005-0000-0000-0000224B0000}"/>
    <cellStyle name="Comma 8 3 10 4" xfId="42287" xr:uid="{00000000-0005-0000-0000-0000234B0000}"/>
    <cellStyle name="Comma 8 3 10 5" xfId="46245" xr:uid="{00000000-0005-0000-0000-0000244B0000}"/>
    <cellStyle name="Comma 8 3 11" xfId="32194" xr:uid="{00000000-0005-0000-0000-0000254B0000}"/>
    <cellStyle name="Comma 8 3 11 2" xfId="39770" xr:uid="{00000000-0005-0000-0000-0000264B0000}"/>
    <cellStyle name="Comma 8 3 11 3" xfId="42683" xr:uid="{00000000-0005-0000-0000-0000274B0000}"/>
    <cellStyle name="Comma 8 3 11 4" xfId="46246" xr:uid="{00000000-0005-0000-0000-0000284B0000}"/>
    <cellStyle name="Comma 8 3 12" xfId="32836" xr:uid="{00000000-0005-0000-0000-0000294B0000}"/>
    <cellStyle name="Comma 8 3 13" xfId="34048" xr:uid="{00000000-0005-0000-0000-00002A4B0000}"/>
    <cellStyle name="Comma 8 3 14" xfId="34229" xr:uid="{00000000-0005-0000-0000-00002B4B0000}"/>
    <cellStyle name="Comma 8 3 15" xfId="35299" xr:uid="{00000000-0005-0000-0000-00002C4B0000}"/>
    <cellStyle name="Comma 8 3 16" xfId="36265" xr:uid="{00000000-0005-0000-0000-00002D4B0000}"/>
    <cellStyle name="Comma 8 3 17" xfId="37407" xr:uid="{00000000-0005-0000-0000-00002E4B0000}"/>
    <cellStyle name="Comma 8 3 18" xfId="41355" xr:uid="{00000000-0005-0000-0000-00002F4B0000}"/>
    <cellStyle name="Comma 8 3 19" xfId="46247" xr:uid="{00000000-0005-0000-0000-0000304B0000}"/>
    <cellStyle name="Comma 8 3 2" xfId="2841" xr:uid="{00000000-0005-0000-0000-0000314B0000}"/>
    <cellStyle name="Comma 8 3 2 10" xfId="32837" xr:uid="{00000000-0005-0000-0000-0000324B0000}"/>
    <cellStyle name="Comma 8 3 2 11" xfId="34049" xr:uid="{00000000-0005-0000-0000-0000334B0000}"/>
    <cellStyle name="Comma 8 3 2 12" xfId="34232" xr:uid="{00000000-0005-0000-0000-0000344B0000}"/>
    <cellStyle name="Comma 8 3 2 13" xfId="35403" xr:uid="{00000000-0005-0000-0000-0000354B0000}"/>
    <cellStyle name="Comma 8 3 2 14" xfId="36266" xr:uid="{00000000-0005-0000-0000-0000364B0000}"/>
    <cellStyle name="Comma 8 3 2 15" xfId="37475" xr:uid="{00000000-0005-0000-0000-0000374B0000}"/>
    <cellStyle name="Comma 8 3 2 16" xfId="41422" xr:uid="{00000000-0005-0000-0000-0000384B0000}"/>
    <cellStyle name="Comma 8 3 2 17" xfId="46248" xr:uid="{00000000-0005-0000-0000-0000394B0000}"/>
    <cellStyle name="Comma 8 3 2 18" xfId="8197" xr:uid="{00000000-0005-0000-0000-00003A4B0000}"/>
    <cellStyle name="Comma 8 3 2 2" xfId="2842" xr:uid="{00000000-0005-0000-0000-00003B4B0000}"/>
    <cellStyle name="Comma 8 3 2 2 10" xfId="34598" xr:uid="{00000000-0005-0000-0000-00003C4B0000}"/>
    <cellStyle name="Comma 8 3 2 2 11" xfId="35404" xr:uid="{00000000-0005-0000-0000-00003D4B0000}"/>
    <cellStyle name="Comma 8 3 2 2 12" xfId="36267" xr:uid="{00000000-0005-0000-0000-00003E4B0000}"/>
    <cellStyle name="Comma 8 3 2 2 13" xfId="37593" xr:uid="{00000000-0005-0000-0000-00003F4B0000}"/>
    <cellStyle name="Comma 8 3 2 2 14" xfId="41539" xr:uid="{00000000-0005-0000-0000-0000404B0000}"/>
    <cellStyle name="Comma 8 3 2 2 15" xfId="46249" xr:uid="{00000000-0005-0000-0000-0000414B0000}"/>
    <cellStyle name="Comma 8 3 2 2 16" xfId="8931" xr:uid="{00000000-0005-0000-0000-0000424B0000}"/>
    <cellStyle name="Comma 8 3 2 2 2" xfId="5153" xr:uid="{00000000-0005-0000-0000-0000434B0000}"/>
    <cellStyle name="Comma 8 3 2 2 2 10" xfId="12930" xr:uid="{00000000-0005-0000-0000-0000444B0000}"/>
    <cellStyle name="Comma 8 3 2 2 2 2" xfId="6122" xr:uid="{00000000-0005-0000-0000-0000454B0000}"/>
    <cellStyle name="Comma 8 3 2 2 2 2 2" xfId="40824" xr:uid="{00000000-0005-0000-0000-0000464B0000}"/>
    <cellStyle name="Comma 8 3 2 2 2 2 2 2" xfId="43579" xr:uid="{00000000-0005-0000-0000-0000474B0000}"/>
    <cellStyle name="Comma 8 3 2 2 2 2 2 3" xfId="46250" xr:uid="{00000000-0005-0000-0000-0000484B0000}"/>
    <cellStyle name="Comma 8 3 2 2 2 2 3" xfId="39261" xr:uid="{00000000-0005-0000-0000-0000494B0000}"/>
    <cellStyle name="Comma 8 3 2 2 2 2 4" xfId="42251" xr:uid="{00000000-0005-0000-0000-00004A4B0000}"/>
    <cellStyle name="Comma 8 3 2 2 2 2 5" xfId="46251" xr:uid="{00000000-0005-0000-0000-00004B4B0000}"/>
    <cellStyle name="Comma 8 3 2 2 2 2 6" xfId="31512" xr:uid="{00000000-0005-0000-0000-00004C4B0000}"/>
    <cellStyle name="Comma 8 3 2 2 2 3" xfId="6442" xr:uid="{00000000-0005-0000-0000-00004D4B0000}"/>
    <cellStyle name="Comma 8 3 2 2 2 3 2" xfId="41292" xr:uid="{00000000-0005-0000-0000-00004E4B0000}"/>
    <cellStyle name="Comma 8 3 2 2 2 3 2 2" xfId="43972" xr:uid="{00000000-0005-0000-0000-00004F4B0000}"/>
    <cellStyle name="Comma 8 3 2 2 2 3 2 3" xfId="46252" xr:uid="{00000000-0005-0000-0000-0000504B0000}"/>
    <cellStyle name="Comma 8 3 2 2 2 3 3" xfId="39709" xr:uid="{00000000-0005-0000-0000-0000514B0000}"/>
    <cellStyle name="Comma 8 3 2 2 2 3 4" xfId="42644" xr:uid="{00000000-0005-0000-0000-0000524B0000}"/>
    <cellStyle name="Comma 8 3 2 2 2 3 5" xfId="46253" xr:uid="{00000000-0005-0000-0000-0000534B0000}"/>
    <cellStyle name="Comma 8 3 2 2 2 3 6" xfId="33365" xr:uid="{00000000-0005-0000-0000-0000544B0000}"/>
    <cellStyle name="Comma 8 3 2 2 2 4" xfId="35189" xr:uid="{00000000-0005-0000-0000-0000554B0000}"/>
    <cellStyle name="Comma 8 3 2 2 2 4 2" xfId="40436" xr:uid="{00000000-0005-0000-0000-0000564B0000}"/>
    <cellStyle name="Comma 8 3 2 2 2 4 3" xfId="43254" xr:uid="{00000000-0005-0000-0000-0000574B0000}"/>
    <cellStyle name="Comma 8 3 2 2 2 4 4" xfId="46254" xr:uid="{00000000-0005-0000-0000-0000584B0000}"/>
    <cellStyle name="Comma 8 3 2 2 2 5" xfId="36108" xr:uid="{00000000-0005-0000-0000-0000594B0000}"/>
    <cellStyle name="Comma 8 3 2 2 2 6" xfId="36408" xr:uid="{00000000-0005-0000-0000-00005A4B0000}"/>
    <cellStyle name="Comma 8 3 2 2 2 7" xfId="38887" xr:uid="{00000000-0005-0000-0000-00005B4B0000}"/>
    <cellStyle name="Comma 8 3 2 2 2 8" xfId="41926" xr:uid="{00000000-0005-0000-0000-00005C4B0000}"/>
    <cellStyle name="Comma 8 3 2 2 2 9" xfId="46255" xr:uid="{00000000-0005-0000-0000-00005D4B0000}"/>
    <cellStyle name="Comma 8 3 2 2 3" xfId="4494" xr:uid="{00000000-0005-0000-0000-00005E4B0000}"/>
    <cellStyle name="Comma 8 3 2 2 3 2" xfId="5945" xr:uid="{00000000-0005-0000-0000-00005F4B0000}"/>
    <cellStyle name="Comma 8 3 2 2 3 2 2" xfId="41120" xr:uid="{00000000-0005-0000-0000-0000604B0000}"/>
    <cellStyle name="Comma 8 3 2 2 3 2 2 2" xfId="43832" xr:uid="{00000000-0005-0000-0000-0000614B0000}"/>
    <cellStyle name="Comma 8 3 2 2 3 2 2 3" xfId="46256" xr:uid="{00000000-0005-0000-0000-0000624B0000}"/>
    <cellStyle name="Comma 8 3 2 2 3 2 3" xfId="39544" xr:uid="{00000000-0005-0000-0000-0000634B0000}"/>
    <cellStyle name="Comma 8 3 2 2 3 2 4" xfId="42504" xr:uid="{00000000-0005-0000-0000-0000644B0000}"/>
    <cellStyle name="Comma 8 3 2 2 3 2 5" xfId="46257" xr:uid="{00000000-0005-0000-0000-0000654B0000}"/>
    <cellStyle name="Comma 8 3 2 2 3 2 6" xfId="35677" xr:uid="{00000000-0005-0000-0000-0000664B0000}"/>
    <cellStyle name="Comma 8 3 2 2 3 3" xfId="40265" xr:uid="{00000000-0005-0000-0000-0000674B0000}"/>
    <cellStyle name="Comma 8 3 2 2 3 3 2" xfId="43114" xr:uid="{00000000-0005-0000-0000-0000684B0000}"/>
    <cellStyle name="Comma 8 3 2 2 3 3 3" xfId="46258" xr:uid="{00000000-0005-0000-0000-0000694B0000}"/>
    <cellStyle name="Comma 8 3 2 2 3 4" xfId="38746" xr:uid="{00000000-0005-0000-0000-00006A4B0000}"/>
    <cellStyle name="Comma 8 3 2 2 3 5" xfId="41786" xr:uid="{00000000-0005-0000-0000-00006B4B0000}"/>
    <cellStyle name="Comma 8 3 2 2 3 6" xfId="46259" xr:uid="{00000000-0005-0000-0000-00006C4B0000}"/>
    <cellStyle name="Comma 8 3 2 2 3 7" xfId="12147" xr:uid="{00000000-0005-0000-0000-00006D4B0000}"/>
    <cellStyle name="Comma 8 3 2 2 4" xfId="5807" xr:uid="{00000000-0005-0000-0000-00006E4B0000}"/>
    <cellStyle name="Comma 8 3 2 2 4 2" xfId="40130" xr:uid="{00000000-0005-0000-0000-00006F4B0000}"/>
    <cellStyle name="Comma 8 3 2 2 4 2 2" xfId="42999" xr:uid="{00000000-0005-0000-0000-0000704B0000}"/>
    <cellStyle name="Comma 8 3 2 2 4 2 3" xfId="46260" xr:uid="{00000000-0005-0000-0000-0000714B0000}"/>
    <cellStyle name="Comma 8 3 2 2 4 3" xfId="38174" xr:uid="{00000000-0005-0000-0000-0000724B0000}"/>
    <cellStyle name="Comma 8 3 2 2 4 4" xfId="41671" xr:uid="{00000000-0005-0000-0000-0000734B0000}"/>
    <cellStyle name="Comma 8 3 2 2 4 5" xfId="46261" xr:uid="{00000000-0005-0000-0000-0000744B0000}"/>
    <cellStyle name="Comma 8 3 2 2 4 6" xfId="15875" xr:uid="{00000000-0005-0000-0000-0000754B0000}"/>
    <cellStyle name="Comma 8 3 2 2 5" xfId="6266" xr:uid="{00000000-0005-0000-0000-0000764B0000}"/>
    <cellStyle name="Comma 8 3 2 2 5 2" xfId="40675" xr:uid="{00000000-0005-0000-0000-0000774B0000}"/>
    <cellStyle name="Comma 8 3 2 2 5 2 2" xfId="43461" xr:uid="{00000000-0005-0000-0000-0000784B0000}"/>
    <cellStyle name="Comma 8 3 2 2 5 2 3" xfId="46262" xr:uid="{00000000-0005-0000-0000-0000794B0000}"/>
    <cellStyle name="Comma 8 3 2 2 5 3" xfId="39107" xr:uid="{00000000-0005-0000-0000-00007A4B0000}"/>
    <cellStyle name="Comma 8 3 2 2 5 4" xfId="42133" xr:uid="{00000000-0005-0000-0000-00007B4B0000}"/>
    <cellStyle name="Comma 8 3 2 2 5 5" xfId="46263" xr:uid="{00000000-0005-0000-0000-00007C4B0000}"/>
    <cellStyle name="Comma 8 3 2 2 5 6" xfId="30373" xr:uid="{00000000-0005-0000-0000-00007D4B0000}"/>
    <cellStyle name="Comma 8 3 2 2 6" xfId="30921" xr:uid="{00000000-0005-0000-0000-00007E4B0000}"/>
    <cellStyle name="Comma 8 3 2 2 6 2" xfId="40982" xr:uid="{00000000-0005-0000-0000-00007F4B0000}"/>
    <cellStyle name="Comma 8 3 2 2 6 2 2" xfId="43717" xr:uid="{00000000-0005-0000-0000-0000804B0000}"/>
    <cellStyle name="Comma 8 3 2 2 6 2 3" xfId="46264" xr:uid="{00000000-0005-0000-0000-0000814B0000}"/>
    <cellStyle name="Comma 8 3 2 2 6 3" xfId="39411" xr:uid="{00000000-0005-0000-0000-0000824B0000}"/>
    <cellStyle name="Comma 8 3 2 2 6 4" xfId="42389" xr:uid="{00000000-0005-0000-0000-0000834B0000}"/>
    <cellStyle name="Comma 8 3 2 2 6 5" xfId="46265" xr:uid="{00000000-0005-0000-0000-0000844B0000}"/>
    <cellStyle name="Comma 8 3 2 2 7" xfId="32196" xr:uid="{00000000-0005-0000-0000-0000854B0000}"/>
    <cellStyle name="Comma 8 3 2 2 7 2" xfId="39979" xr:uid="{00000000-0005-0000-0000-0000864B0000}"/>
    <cellStyle name="Comma 8 3 2 2 7 3" xfId="42867" xr:uid="{00000000-0005-0000-0000-0000874B0000}"/>
    <cellStyle name="Comma 8 3 2 2 7 4" xfId="46266" xr:uid="{00000000-0005-0000-0000-0000884B0000}"/>
    <cellStyle name="Comma 8 3 2 2 8" xfId="32838" xr:uid="{00000000-0005-0000-0000-0000894B0000}"/>
    <cellStyle name="Comma 8 3 2 2 9" xfId="34050" xr:uid="{00000000-0005-0000-0000-00008A4B0000}"/>
    <cellStyle name="Comma 8 3 2 3" xfId="5152" xr:uid="{00000000-0005-0000-0000-00008B4B0000}"/>
    <cellStyle name="Comma 8 3 2 3 10" xfId="34671" xr:uid="{00000000-0005-0000-0000-00008C4B0000}"/>
    <cellStyle name="Comma 8 3 2 3 11" xfId="36107" xr:uid="{00000000-0005-0000-0000-00008D4B0000}"/>
    <cellStyle name="Comma 8 3 2 3 12" xfId="36407" xr:uid="{00000000-0005-0000-0000-00008E4B0000}"/>
    <cellStyle name="Comma 8 3 2 3 13" xfId="37549" xr:uid="{00000000-0005-0000-0000-00008F4B0000}"/>
    <cellStyle name="Comma 8 3 2 3 14" xfId="41495" xr:uid="{00000000-0005-0000-0000-0000904B0000}"/>
    <cellStyle name="Comma 8 3 2 3 15" xfId="46267" xr:uid="{00000000-0005-0000-0000-0000914B0000}"/>
    <cellStyle name="Comma 8 3 2 3 16" xfId="11557" xr:uid="{00000000-0005-0000-0000-0000924B0000}"/>
    <cellStyle name="Comma 8 3 2 3 2" xfId="6121" xr:uid="{00000000-0005-0000-0000-0000934B0000}"/>
    <cellStyle name="Comma 8 3 2 3 2 2" xfId="31585" xr:uid="{00000000-0005-0000-0000-0000944B0000}"/>
    <cellStyle name="Comma 8 3 2 3 2 2 2" xfId="40435" xr:uid="{00000000-0005-0000-0000-0000954B0000}"/>
    <cellStyle name="Comma 8 3 2 3 2 2 3" xfId="43253" xr:uid="{00000000-0005-0000-0000-0000964B0000}"/>
    <cellStyle name="Comma 8 3 2 3 2 2 4" xfId="46268" xr:uid="{00000000-0005-0000-0000-0000974B0000}"/>
    <cellStyle name="Comma 8 3 2 3 2 3" xfId="33438" xr:uid="{00000000-0005-0000-0000-0000984B0000}"/>
    <cellStyle name="Comma 8 3 2 3 2 4" xfId="35262" xr:uid="{00000000-0005-0000-0000-0000994B0000}"/>
    <cellStyle name="Comma 8 3 2 3 2 5" xfId="37338" xr:uid="{00000000-0005-0000-0000-00009A4B0000}"/>
    <cellStyle name="Comma 8 3 2 3 2 6" xfId="38886" xr:uid="{00000000-0005-0000-0000-00009B4B0000}"/>
    <cellStyle name="Comma 8 3 2 3 2 7" xfId="41925" xr:uid="{00000000-0005-0000-0000-00009C4B0000}"/>
    <cellStyle name="Comma 8 3 2 3 2 8" xfId="46269" xr:uid="{00000000-0005-0000-0000-00009D4B0000}"/>
    <cellStyle name="Comma 8 3 2 3 2 9" xfId="15178" xr:uid="{00000000-0005-0000-0000-00009E4B0000}"/>
    <cellStyle name="Comma 8 3 2 3 3" xfId="6441" xr:uid="{00000000-0005-0000-0000-00009F4B0000}"/>
    <cellStyle name="Comma 8 3 2 3 3 2" xfId="40674" xr:uid="{00000000-0005-0000-0000-0000A04B0000}"/>
    <cellStyle name="Comma 8 3 2 3 3 2 2" xfId="43460" xr:uid="{00000000-0005-0000-0000-0000A14B0000}"/>
    <cellStyle name="Comma 8 3 2 3 3 2 3" xfId="46270" xr:uid="{00000000-0005-0000-0000-0000A24B0000}"/>
    <cellStyle name="Comma 8 3 2 3 3 3" xfId="39106" xr:uid="{00000000-0005-0000-0000-0000A34B0000}"/>
    <cellStyle name="Comma 8 3 2 3 3 4" xfId="42132" xr:uid="{00000000-0005-0000-0000-0000A44B0000}"/>
    <cellStyle name="Comma 8 3 2 3 3 5" xfId="46271" xr:uid="{00000000-0005-0000-0000-0000A54B0000}"/>
    <cellStyle name="Comma 8 3 2 3 3 6" xfId="12220" xr:uid="{00000000-0005-0000-0000-0000A64B0000}"/>
    <cellStyle name="Comma 8 3 2 3 4" xfId="15876" xr:uid="{00000000-0005-0000-0000-0000A74B0000}"/>
    <cellStyle name="Comma 8 3 2 3 4 2" xfId="41291" xr:uid="{00000000-0005-0000-0000-0000A84B0000}"/>
    <cellStyle name="Comma 8 3 2 3 4 2 2" xfId="43971" xr:uid="{00000000-0005-0000-0000-0000A94B0000}"/>
    <cellStyle name="Comma 8 3 2 3 4 2 3" xfId="46272" xr:uid="{00000000-0005-0000-0000-0000AA4B0000}"/>
    <cellStyle name="Comma 8 3 2 3 4 3" xfId="39708" xr:uid="{00000000-0005-0000-0000-0000AB4B0000}"/>
    <cellStyle name="Comma 8 3 2 3 4 4" xfId="42643" xr:uid="{00000000-0005-0000-0000-0000AC4B0000}"/>
    <cellStyle name="Comma 8 3 2 3 4 5" xfId="46273" xr:uid="{00000000-0005-0000-0000-0000AD4B0000}"/>
    <cellStyle name="Comma 8 3 2 3 5" xfId="30374" xr:uid="{00000000-0005-0000-0000-0000AE4B0000}"/>
    <cellStyle name="Comma 8 3 2 3 5 2" xfId="39924" xr:uid="{00000000-0005-0000-0000-0000AF4B0000}"/>
    <cellStyle name="Comma 8 3 2 3 5 3" xfId="42823" xr:uid="{00000000-0005-0000-0000-0000B04B0000}"/>
    <cellStyle name="Comma 8 3 2 3 5 4" xfId="46274" xr:uid="{00000000-0005-0000-0000-0000B14B0000}"/>
    <cellStyle name="Comma 8 3 2 3 6" xfId="30994" xr:uid="{00000000-0005-0000-0000-0000B24B0000}"/>
    <cellStyle name="Comma 8 3 2 3 7" xfId="32197" xr:uid="{00000000-0005-0000-0000-0000B34B0000}"/>
    <cellStyle name="Comma 8 3 2 3 8" xfId="32839" xr:uid="{00000000-0005-0000-0000-0000B44B0000}"/>
    <cellStyle name="Comma 8 3 2 3 9" xfId="34051" xr:uid="{00000000-0005-0000-0000-0000B54B0000}"/>
    <cellStyle name="Comma 8 3 2 4" xfId="4493" xr:uid="{00000000-0005-0000-0000-0000B64B0000}"/>
    <cellStyle name="Comma 8 3 2 4 10" xfId="12438" xr:uid="{00000000-0005-0000-0000-0000B74B0000}"/>
    <cellStyle name="Comma 8 3 2 4 2" xfId="5944" xr:uid="{00000000-0005-0000-0000-0000B84B0000}"/>
    <cellStyle name="Comma 8 3 2 4 2 2" xfId="40776" xr:uid="{00000000-0005-0000-0000-0000B94B0000}"/>
    <cellStyle name="Comma 8 3 2 4 2 2 2" xfId="43539" xr:uid="{00000000-0005-0000-0000-0000BA4B0000}"/>
    <cellStyle name="Comma 8 3 2 4 2 2 3" xfId="46275" xr:uid="{00000000-0005-0000-0000-0000BB4B0000}"/>
    <cellStyle name="Comma 8 3 2 4 2 3" xfId="39203" xr:uid="{00000000-0005-0000-0000-0000BC4B0000}"/>
    <cellStyle name="Comma 8 3 2 4 2 4" xfId="42211" xr:uid="{00000000-0005-0000-0000-0000BD4B0000}"/>
    <cellStyle name="Comma 8 3 2 4 2 5" xfId="46276" xr:uid="{00000000-0005-0000-0000-0000BE4B0000}"/>
    <cellStyle name="Comma 8 3 2 4 2 6" xfId="31146" xr:uid="{00000000-0005-0000-0000-0000BF4B0000}"/>
    <cellStyle name="Comma 8 3 2 4 3" xfId="33004" xr:uid="{00000000-0005-0000-0000-0000C04B0000}"/>
    <cellStyle name="Comma 8 3 2 4 3 2" xfId="41119" xr:uid="{00000000-0005-0000-0000-0000C14B0000}"/>
    <cellStyle name="Comma 8 3 2 4 3 2 2" xfId="43831" xr:uid="{00000000-0005-0000-0000-0000C24B0000}"/>
    <cellStyle name="Comma 8 3 2 4 3 2 3" xfId="46277" xr:uid="{00000000-0005-0000-0000-0000C34B0000}"/>
    <cellStyle name="Comma 8 3 2 4 3 3" xfId="39543" xr:uid="{00000000-0005-0000-0000-0000C44B0000}"/>
    <cellStyle name="Comma 8 3 2 4 3 4" xfId="42503" xr:uid="{00000000-0005-0000-0000-0000C54B0000}"/>
    <cellStyle name="Comma 8 3 2 4 3 5" xfId="46278" xr:uid="{00000000-0005-0000-0000-0000C64B0000}"/>
    <cellStyle name="Comma 8 3 2 4 4" xfId="34823" xr:uid="{00000000-0005-0000-0000-0000C74B0000}"/>
    <cellStyle name="Comma 8 3 2 4 4 2" xfId="40264" xr:uid="{00000000-0005-0000-0000-0000C84B0000}"/>
    <cellStyle name="Comma 8 3 2 4 4 3" xfId="43113" xr:uid="{00000000-0005-0000-0000-0000C94B0000}"/>
    <cellStyle name="Comma 8 3 2 4 4 4" xfId="46279" xr:uid="{00000000-0005-0000-0000-0000CA4B0000}"/>
    <cellStyle name="Comma 8 3 2 4 5" xfId="35676" xr:uid="{00000000-0005-0000-0000-0000CB4B0000}"/>
    <cellStyle name="Comma 8 3 2 4 6" xfId="36925" xr:uid="{00000000-0005-0000-0000-0000CC4B0000}"/>
    <cellStyle name="Comma 8 3 2 4 7" xfId="38745" xr:uid="{00000000-0005-0000-0000-0000CD4B0000}"/>
    <cellStyle name="Comma 8 3 2 4 8" xfId="41785" xr:uid="{00000000-0005-0000-0000-0000CE4B0000}"/>
    <cellStyle name="Comma 8 3 2 4 9" xfId="46280" xr:uid="{00000000-0005-0000-0000-0000CF4B0000}"/>
    <cellStyle name="Comma 8 3 2 5" xfId="5806" xr:uid="{00000000-0005-0000-0000-0000D04B0000}"/>
    <cellStyle name="Comma 8 3 2 5 2" xfId="40129" xr:uid="{00000000-0005-0000-0000-0000D14B0000}"/>
    <cellStyle name="Comma 8 3 2 5 2 2" xfId="42998" xr:uid="{00000000-0005-0000-0000-0000D24B0000}"/>
    <cellStyle name="Comma 8 3 2 5 2 3" xfId="46281" xr:uid="{00000000-0005-0000-0000-0000D34B0000}"/>
    <cellStyle name="Comma 8 3 2 5 3" xfId="38173" xr:uid="{00000000-0005-0000-0000-0000D44B0000}"/>
    <cellStyle name="Comma 8 3 2 5 4" xfId="41670" xr:uid="{00000000-0005-0000-0000-0000D54B0000}"/>
    <cellStyle name="Comma 8 3 2 5 5" xfId="46282" xr:uid="{00000000-0005-0000-0000-0000D64B0000}"/>
    <cellStyle name="Comma 8 3 2 5 6" xfId="11781" xr:uid="{00000000-0005-0000-0000-0000D74B0000}"/>
    <cellStyle name="Comma 8 3 2 6" xfId="6265" xr:uid="{00000000-0005-0000-0000-0000D84B0000}"/>
    <cellStyle name="Comma 8 3 2 6 2" xfId="40532" xr:uid="{00000000-0005-0000-0000-0000D94B0000}"/>
    <cellStyle name="Comma 8 3 2 6 2 2" xfId="43333" xr:uid="{00000000-0005-0000-0000-0000DA4B0000}"/>
    <cellStyle name="Comma 8 3 2 6 2 3" xfId="46283" xr:uid="{00000000-0005-0000-0000-0000DB4B0000}"/>
    <cellStyle name="Comma 8 3 2 6 3" xfId="38974" xr:uid="{00000000-0005-0000-0000-0000DC4B0000}"/>
    <cellStyle name="Comma 8 3 2 6 4" xfId="42005" xr:uid="{00000000-0005-0000-0000-0000DD4B0000}"/>
    <cellStyle name="Comma 8 3 2 6 5" xfId="46284" xr:uid="{00000000-0005-0000-0000-0000DE4B0000}"/>
    <cellStyle name="Comma 8 3 2 6 6" xfId="15874" xr:uid="{00000000-0005-0000-0000-0000DF4B0000}"/>
    <cellStyle name="Comma 8 3 2 7" xfId="30372" xr:uid="{00000000-0005-0000-0000-0000E04B0000}"/>
    <cellStyle name="Comma 8 3 2 7 2" xfId="40981" xr:uid="{00000000-0005-0000-0000-0000E14B0000}"/>
    <cellStyle name="Comma 8 3 2 7 2 2" xfId="43716" xr:uid="{00000000-0005-0000-0000-0000E24B0000}"/>
    <cellStyle name="Comma 8 3 2 7 2 3" xfId="46285" xr:uid="{00000000-0005-0000-0000-0000E34B0000}"/>
    <cellStyle name="Comma 8 3 2 7 3" xfId="39410" xr:uid="{00000000-0005-0000-0000-0000E44B0000}"/>
    <cellStyle name="Comma 8 3 2 7 4" xfId="42388" xr:uid="{00000000-0005-0000-0000-0000E54B0000}"/>
    <cellStyle name="Comma 8 3 2 7 5" xfId="46286" xr:uid="{00000000-0005-0000-0000-0000E64B0000}"/>
    <cellStyle name="Comma 8 3 2 8" xfId="30555" xr:uid="{00000000-0005-0000-0000-0000E74B0000}"/>
    <cellStyle name="Comma 8 3 2 8 2" xfId="39842" xr:uid="{00000000-0005-0000-0000-0000E84B0000}"/>
    <cellStyle name="Comma 8 3 2 8 3" xfId="42750" xr:uid="{00000000-0005-0000-0000-0000E94B0000}"/>
    <cellStyle name="Comma 8 3 2 8 4" xfId="46287" xr:uid="{00000000-0005-0000-0000-0000EA4B0000}"/>
    <cellStyle name="Comma 8 3 2 9" xfId="32195" xr:uid="{00000000-0005-0000-0000-0000EB4B0000}"/>
    <cellStyle name="Comma 8 3 20" xfId="8120" xr:uid="{00000000-0005-0000-0000-0000EC4B0000}"/>
    <cellStyle name="Comma 8 3 3" xfId="2843" xr:uid="{00000000-0005-0000-0000-0000ED4B0000}"/>
    <cellStyle name="Comma 8 3 3 10" xfId="32840" xr:uid="{00000000-0005-0000-0000-0000EE4B0000}"/>
    <cellStyle name="Comma 8 3 3 11" xfId="34052" xr:uid="{00000000-0005-0000-0000-0000EF4B0000}"/>
    <cellStyle name="Comma 8 3 3 12" xfId="34233" xr:uid="{00000000-0005-0000-0000-0000F04B0000}"/>
    <cellStyle name="Comma 8 3 3 13" xfId="35405" xr:uid="{00000000-0005-0000-0000-0000F14B0000}"/>
    <cellStyle name="Comma 8 3 3 14" xfId="36268" xr:uid="{00000000-0005-0000-0000-0000F24B0000}"/>
    <cellStyle name="Comma 8 3 3 15" xfId="37476" xr:uid="{00000000-0005-0000-0000-0000F34B0000}"/>
    <cellStyle name="Comma 8 3 3 16" xfId="41423" xr:uid="{00000000-0005-0000-0000-0000F44B0000}"/>
    <cellStyle name="Comma 8 3 3 17" xfId="46288" xr:uid="{00000000-0005-0000-0000-0000F54B0000}"/>
    <cellStyle name="Comma 8 3 3 18" xfId="8198" xr:uid="{00000000-0005-0000-0000-0000F64B0000}"/>
    <cellStyle name="Comma 8 3 3 2" xfId="5154" xr:uid="{00000000-0005-0000-0000-0000F74B0000}"/>
    <cellStyle name="Comma 8 3 3 2 10" xfId="34599" xr:uid="{00000000-0005-0000-0000-0000F84B0000}"/>
    <cellStyle name="Comma 8 3 3 2 11" xfId="36109" xr:uid="{00000000-0005-0000-0000-0000F94B0000}"/>
    <cellStyle name="Comma 8 3 3 2 12" xfId="36409" xr:uid="{00000000-0005-0000-0000-0000FA4B0000}"/>
    <cellStyle name="Comma 8 3 3 2 13" xfId="37550" xr:uid="{00000000-0005-0000-0000-0000FB4B0000}"/>
    <cellStyle name="Comma 8 3 3 2 14" xfId="41496" xr:uid="{00000000-0005-0000-0000-0000FC4B0000}"/>
    <cellStyle name="Comma 8 3 3 2 15" xfId="46289" xr:uid="{00000000-0005-0000-0000-0000FD4B0000}"/>
    <cellStyle name="Comma 8 3 3 2 16" xfId="8932" xr:uid="{00000000-0005-0000-0000-0000FE4B0000}"/>
    <cellStyle name="Comma 8 3 3 2 2" xfId="6123" xr:uid="{00000000-0005-0000-0000-0000FF4B0000}"/>
    <cellStyle name="Comma 8 3 3 2 2 2" xfId="31513" xr:uid="{00000000-0005-0000-0000-0000004C0000}"/>
    <cellStyle name="Comma 8 3 3 2 2 2 2" xfId="40437" xr:uid="{00000000-0005-0000-0000-0000014C0000}"/>
    <cellStyle name="Comma 8 3 3 2 2 2 3" xfId="43255" xr:uid="{00000000-0005-0000-0000-0000024C0000}"/>
    <cellStyle name="Comma 8 3 3 2 2 2 4" xfId="46290" xr:uid="{00000000-0005-0000-0000-0000034C0000}"/>
    <cellStyle name="Comma 8 3 3 2 2 3" xfId="33366" xr:uid="{00000000-0005-0000-0000-0000044C0000}"/>
    <cellStyle name="Comma 8 3 3 2 2 4" xfId="35190" xr:uid="{00000000-0005-0000-0000-0000054C0000}"/>
    <cellStyle name="Comma 8 3 3 2 2 5" xfId="37273" xr:uid="{00000000-0005-0000-0000-0000064C0000}"/>
    <cellStyle name="Comma 8 3 3 2 2 6" xfId="38888" xr:uid="{00000000-0005-0000-0000-0000074C0000}"/>
    <cellStyle name="Comma 8 3 3 2 2 7" xfId="41927" xr:uid="{00000000-0005-0000-0000-0000084C0000}"/>
    <cellStyle name="Comma 8 3 3 2 2 8" xfId="46291" xr:uid="{00000000-0005-0000-0000-0000094C0000}"/>
    <cellStyle name="Comma 8 3 3 2 2 9" xfId="12931" xr:uid="{00000000-0005-0000-0000-00000A4C0000}"/>
    <cellStyle name="Comma 8 3 3 2 3" xfId="6443" xr:uid="{00000000-0005-0000-0000-00000B4C0000}"/>
    <cellStyle name="Comma 8 3 3 2 3 2" xfId="40825" xr:uid="{00000000-0005-0000-0000-00000C4C0000}"/>
    <cellStyle name="Comma 8 3 3 2 3 2 2" xfId="43580" xr:uid="{00000000-0005-0000-0000-00000D4C0000}"/>
    <cellStyle name="Comma 8 3 3 2 3 2 3" xfId="46292" xr:uid="{00000000-0005-0000-0000-00000E4C0000}"/>
    <cellStyle name="Comma 8 3 3 2 3 3" xfId="39262" xr:uid="{00000000-0005-0000-0000-00000F4C0000}"/>
    <cellStyle name="Comma 8 3 3 2 3 4" xfId="42252" xr:uid="{00000000-0005-0000-0000-0000104C0000}"/>
    <cellStyle name="Comma 8 3 3 2 3 5" xfId="46293" xr:uid="{00000000-0005-0000-0000-0000114C0000}"/>
    <cellStyle name="Comma 8 3 3 2 3 6" xfId="12148" xr:uid="{00000000-0005-0000-0000-0000124C0000}"/>
    <cellStyle name="Comma 8 3 3 2 4" xfId="15878" xr:uid="{00000000-0005-0000-0000-0000134C0000}"/>
    <cellStyle name="Comma 8 3 3 2 4 2" xfId="41293" xr:uid="{00000000-0005-0000-0000-0000144C0000}"/>
    <cellStyle name="Comma 8 3 3 2 4 2 2" xfId="43973" xr:uid="{00000000-0005-0000-0000-0000154C0000}"/>
    <cellStyle name="Comma 8 3 3 2 4 2 3" xfId="46294" xr:uid="{00000000-0005-0000-0000-0000164C0000}"/>
    <cellStyle name="Comma 8 3 3 2 4 3" xfId="39710" xr:uid="{00000000-0005-0000-0000-0000174C0000}"/>
    <cellStyle name="Comma 8 3 3 2 4 4" xfId="42645" xr:uid="{00000000-0005-0000-0000-0000184C0000}"/>
    <cellStyle name="Comma 8 3 3 2 4 5" xfId="46295" xr:uid="{00000000-0005-0000-0000-0000194C0000}"/>
    <cellStyle name="Comma 8 3 3 2 5" xfId="30376" xr:uid="{00000000-0005-0000-0000-00001A4C0000}"/>
    <cellStyle name="Comma 8 3 3 2 5 2" xfId="39925" xr:uid="{00000000-0005-0000-0000-00001B4C0000}"/>
    <cellStyle name="Comma 8 3 3 2 5 3" xfId="42824" xr:uid="{00000000-0005-0000-0000-00001C4C0000}"/>
    <cellStyle name="Comma 8 3 3 2 5 4" xfId="46296" xr:uid="{00000000-0005-0000-0000-00001D4C0000}"/>
    <cellStyle name="Comma 8 3 3 2 6" xfId="30922" xr:uid="{00000000-0005-0000-0000-00001E4C0000}"/>
    <cellStyle name="Comma 8 3 3 2 7" xfId="32199" xr:uid="{00000000-0005-0000-0000-00001F4C0000}"/>
    <cellStyle name="Comma 8 3 3 2 8" xfId="32841" xr:uid="{00000000-0005-0000-0000-0000204C0000}"/>
    <cellStyle name="Comma 8 3 3 2 9" xfId="34053" xr:uid="{00000000-0005-0000-0000-0000214C0000}"/>
    <cellStyle name="Comma 8 3 3 3" xfId="4495" xr:uid="{00000000-0005-0000-0000-0000224C0000}"/>
    <cellStyle name="Comma 8 3 3 3 10" xfId="34672" xr:uid="{00000000-0005-0000-0000-0000234C0000}"/>
    <cellStyle name="Comma 8 3 3 3 11" xfId="35678" xr:uid="{00000000-0005-0000-0000-0000244C0000}"/>
    <cellStyle name="Comma 8 3 3 3 12" xfId="36784" xr:uid="{00000000-0005-0000-0000-0000254C0000}"/>
    <cellStyle name="Comma 8 3 3 3 13" xfId="38747" xr:uid="{00000000-0005-0000-0000-0000264C0000}"/>
    <cellStyle name="Comma 8 3 3 3 14" xfId="41787" xr:uid="{00000000-0005-0000-0000-0000274C0000}"/>
    <cellStyle name="Comma 8 3 3 3 15" xfId="46297" xr:uid="{00000000-0005-0000-0000-0000284C0000}"/>
    <cellStyle name="Comma 8 3 3 3 16" xfId="11558" xr:uid="{00000000-0005-0000-0000-0000294C0000}"/>
    <cellStyle name="Comma 8 3 3 3 2" xfId="5946" xr:uid="{00000000-0005-0000-0000-00002A4C0000}"/>
    <cellStyle name="Comma 8 3 3 3 2 2" xfId="31586" xr:uid="{00000000-0005-0000-0000-00002B4C0000}"/>
    <cellStyle name="Comma 8 3 3 3 2 2 2" xfId="41121" xr:uid="{00000000-0005-0000-0000-00002C4C0000}"/>
    <cellStyle name="Comma 8 3 3 3 2 2 3" xfId="43833" xr:uid="{00000000-0005-0000-0000-00002D4C0000}"/>
    <cellStyle name="Comma 8 3 3 3 2 2 4" xfId="46298" xr:uid="{00000000-0005-0000-0000-00002E4C0000}"/>
    <cellStyle name="Comma 8 3 3 3 2 3" xfId="33439" xr:uid="{00000000-0005-0000-0000-00002F4C0000}"/>
    <cellStyle name="Comma 8 3 3 3 2 4" xfId="35263" xr:uid="{00000000-0005-0000-0000-0000304C0000}"/>
    <cellStyle name="Comma 8 3 3 3 2 5" xfId="37339" xr:uid="{00000000-0005-0000-0000-0000314C0000}"/>
    <cellStyle name="Comma 8 3 3 3 2 6" xfId="39545" xr:uid="{00000000-0005-0000-0000-0000324C0000}"/>
    <cellStyle name="Comma 8 3 3 3 2 7" xfId="42505" xr:uid="{00000000-0005-0000-0000-0000334C0000}"/>
    <cellStyle name="Comma 8 3 3 3 2 8" xfId="46299" xr:uid="{00000000-0005-0000-0000-0000344C0000}"/>
    <cellStyle name="Comma 8 3 3 3 2 9" xfId="15179" xr:uid="{00000000-0005-0000-0000-0000354C0000}"/>
    <cellStyle name="Comma 8 3 3 3 3" xfId="12221" xr:uid="{00000000-0005-0000-0000-0000364C0000}"/>
    <cellStyle name="Comma 8 3 3 3 3 2" xfId="40266" xr:uid="{00000000-0005-0000-0000-0000374C0000}"/>
    <cellStyle name="Comma 8 3 3 3 3 3" xfId="43115" xr:uid="{00000000-0005-0000-0000-0000384C0000}"/>
    <cellStyle name="Comma 8 3 3 3 3 4" xfId="46300" xr:uid="{00000000-0005-0000-0000-0000394C0000}"/>
    <cellStyle name="Comma 8 3 3 3 4" xfId="15879" xr:uid="{00000000-0005-0000-0000-00003A4C0000}"/>
    <cellStyle name="Comma 8 3 3 3 5" xfId="30377" xr:uid="{00000000-0005-0000-0000-00003B4C0000}"/>
    <cellStyle name="Comma 8 3 3 3 6" xfId="30995" xr:uid="{00000000-0005-0000-0000-00003C4C0000}"/>
    <cellStyle name="Comma 8 3 3 3 7" xfId="32200" xr:uid="{00000000-0005-0000-0000-00003D4C0000}"/>
    <cellStyle name="Comma 8 3 3 3 8" xfId="32842" xr:uid="{00000000-0005-0000-0000-00003E4C0000}"/>
    <cellStyle name="Comma 8 3 3 3 9" xfId="34054" xr:uid="{00000000-0005-0000-0000-00003F4C0000}"/>
    <cellStyle name="Comma 8 3 3 4" xfId="5808" xr:uid="{00000000-0005-0000-0000-0000404C0000}"/>
    <cellStyle name="Comma 8 3 3 4 2" xfId="31147" xr:uid="{00000000-0005-0000-0000-0000414C0000}"/>
    <cellStyle name="Comma 8 3 3 4 2 2" xfId="40131" xr:uid="{00000000-0005-0000-0000-0000424C0000}"/>
    <cellStyle name="Comma 8 3 3 4 2 3" xfId="43000" xr:uid="{00000000-0005-0000-0000-0000434C0000}"/>
    <cellStyle name="Comma 8 3 3 4 2 4" xfId="46301" xr:uid="{00000000-0005-0000-0000-0000444C0000}"/>
    <cellStyle name="Comma 8 3 3 4 3" xfId="33005" xr:uid="{00000000-0005-0000-0000-0000454C0000}"/>
    <cellStyle name="Comma 8 3 3 4 4" xfId="34824" xr:uid="{00000000-0005-0000-0000-0000464C0000}"/>
    <cellStyle name="Comma 8 3 3 4 5" xfId="36926" xr:uid="{00000000-0005-0000-0000-0000474C0000}"/>
    <cellStyle name="Comma 8 3 3 4 6" xfId="38175" xr:uid="{00000000-0005-0000-0000-0000484C0000}"/>
    <cellStyle name="Comma 8 3 3 4 7" xfId="41672" xr:uid="{00000000-0005-0000-0000-0000494C0000}"/>
    <cellStyle name="Comma 8 3 3 4 8" xfId="46302" xr:uid="{00000000-0005-0000-0000-00004A4C0000}"/>
    <cellStyle name="Comma 8 3 3 4 9" xfId="12439" xr:uid="{00000000-0005-0000-0000-00004B4C0000}"/>
    <cellStyle name="Comma 8 3 3 5" xfId="6267" xr:uid="{00000000-0005-0000-0000-00004C4C0000}"/>
    <cellStyle name="Comma 8 3 3 5 2" xfId="40676" xr:uid="{00000000-0005-0000-0000-00004D4C0000}"/>
    <cellStyle name="Comma 8 3 3 5 2 2" xfId="43462" xr:uid="{00000000-0005-0000-0000-00004E4C0000}"/>
    <cellStyle name="Comma 8 3 3 5 2 3" xfId="46303" xr:uid="{00000000-0005-0000-0000-00004F4C0000}"/>
    <cellStyle name="Comma 8 3 3 5 3" xfId="39108" xr:uid="{00000000-0005-0000-0000-0000504C0000}"/>
    <cellStyle name="Comma 8 3 3 5 4" xfId="42134" xr:uid="{00000000-0005-0000-0000-0000514C0000}"/>
    <cellStyle name="Comma 8 3 3 5 5" xfId="46304" xr:uid="{00000000-0005-0000-0000-0000524C0000}"/>
    <cellStyle name="Comma 8 3 3 5 6" xfId="11782" xr:uid="{00000000-0005-0000-0000-0000534C0000}"/>
    <cellStyle name="Comma 8 3 3 6" xfId="15877" xr:uid="{00000000-0005-0000-0000-0000544C0000}"/>
    <cellStyle name="Comma 8 3 3 6 2" xfId="40983" xr:uid="{00000000-0005-0000-0000-0000554C0000}"/>
    <cellStyle name="Comma 8 3 3 6 2 2" xfId="43718" xr:uid="{00000000-0005-0000-0000-0000564C0000}"/>
    <cellStyle name="Comma 8 3 3 6 2 3" xfId="46305" xr:uid="{00000000-0005-0000-0000-0000574C0000}"/>
    <cellStyle name="Comma 8 3 3 6 3" xfId="39412" xr:uid="{00000000-0005-0000-0000-0000584C0000}"/>
    <cellStyle name="Comma 8 3 3 6 4" xfId="42390" xr:uid="{00000000-0005-0000-0000-0000594C0000}"/>
    <cellStyle name="Comma 8 3 3 6 5" xfId="46306" xr:uid="{00000000-0005-0000-0000-00005A4C0000}"/>
    <cellStyle name="Comma 8 3 3 7" xfId="30375" xr:uid="{00000000-0005-0000-0000-00005B4C0000}"/>
    <cellStyle name="Comma 8 3 3 7 2" xfId="39843" xr:uid="{00000000-0005-0000-0000-00005C4C0000}"/>
    <cellStyle name="Comma 8 3 3 7 3" xfId="42751" xr:uid="{00000000-0005-0000-0000-00005D4C0000}"/>
    <cellStyle name="Comma 8 3 3 7 4" xfId="46307" xr:uid="{00000000-0005-0000-0000-00005E4C0000}"/>
    <cellStyle name="Comma 8 3 3 8" xfId="30556" xr:uid="{00000000-0005-0000-0000-00005F4C0000}"/>
    <cellStyle name="Comma 8 3 3 9" xfId="32198" xr:uid="{00000000-0005-0000-0000-0000604C0000}"/>
    <cellStyle name="Comma 8 3 4" xfId="2844" xr:uid="{00000000-0005-0000-0000-0000614C0000}"/>
    <cellStyle name="Comma 8 3 4 10" xfId="34597" xr:uid="{00000000-0005-0000-0000-0000624C0000}"/>
    <cellStyle name="Comma 8 3 4 11" xfId="35406" xr:uid="{00000000-0005-0000-0000-0000634C0000}"/>
    <cellStyle name="Comma 8 3 4 12" xfId="36269" xr:uid="{00000000-0005-0000-0000-0000644C0000}"/>
    <cellStyle name="Comma 8 3 4 13" xfId="37474" xr:uid="{00000000-0005-0000-0000-0000654C0000}"/>
    <cellStyle name="Comma 8 3 4 14" xfId="41421" xr:uid="{00000000-0005-0000-0000-0000664C0000}"/>
    <cellStyle name="Comma 8 3 4 15" xfId="46308" xr:uid="{00000000-0005-0000-0000-0000674C0000}"/>
    <cellStyle name="Comma 8 3 4 16" xfId="8930" xr:uid="{00000000-0005-0000-0000-0000684C0000}"/>
    <cellStyle name="Comma 8 3 4 2" xfId="5155" xr:uid="{00000000-0005-0000-0000-0000694C0000}"/>
    <cellStyle name="Comma 8 3 4 2 10" xfId="12929" xr:uid="{00000000-0005-0000-0000-00006A4C0000}"/>
    <cellStyle name="Comma 8 3 4 2 2" xfId="6124" xr:uid="{00000000-0005-0000-0000-00006B4C0000}"/>
    <cellStyle name="Comma 8 3 4 2 2 2" xfId="40438" xr:uid="{00000000-0005-0000-0000-00006C4C0000}"/>
    <cellStyle name="Comma 8 3 4 2 2 2 2" xfId="43256" xr:uid="{00000000-0005-0000-0000-00006D4C0000}"/>
    <cellStyle name="Comma 8 3 4 2 2 2 3" xfId="46309" xr:uid="{00000000-0005-0000-0000-00006E4C0000}"/>
    <cellStyle name="Comma 8 3 4 2 2 3" xfId="38889" xr:uid="{00000000-0005-0000-0000-00006F4C0000}"/>
    <cellStyle name="Comma 8 3 4 2 2 4" xfId="41928" xr:uid="{00000000-0005-0000-0000-0000704C0000}"/>
    <cellStyle name="Comma 8 3 4 2 2 5" xfId="46310" xr:uid="{00000000-0005-0000-0000-0000714C0000}"/>
    <cellStyle name="Comma 8 3 4 2 2 6" xfId="31511" xr:uid="{00000000-0005-0000-0000-0000724C0000}"/>
    <cellStyle name="Comma 8 3 4 2 3" xfId="6444" xr:uid="{00000000-0005-0000-0000-0000734C0000}"/>
    <cellStyle name="Comma 8 3 4 2 3 2" xfId="40826" xr:uid="{00000000-0005-0000-0000-0000744C0000}"/>
    <cellStyle name="Comma 8 3 4 2 3 2 2" xfId="43581" xr:uid="{00000000-0005-0000-0000-0000754C0000}"/>
    <cellStyle name="Comma 8 3 4 2 3 2 3" xfId="46311" xr:uid="{00000000-0005-0000-0000-0000764C0000}"/>
    <cellStyle name="Comma 8 3 4 2 3 3" xfId="39263" xr:uid="{00000000-0005-0000-0000-0000774C0000}"/>
    <cellStyle name="Comma 8 3 4 2 3 4" xfId="42253" xr:uid="{00000000-0005-0000-0000-0000784C0000}"/>
    <cellStyle name="Comma 8 3 4 2 3 5" xfId="46312" xr:uid="{00000000-0005-0000-0000-0000794C0000}"/>
    <cellStyle name="Comma 8 3 4 2 3 6" xfId="33364" xr:uid="{00000000-0005-0000-0000-00007A4C0000}"/>
    <cellStyle name="Comma 8 3 4 2 4" xfId="35188" xr:uid="{00000000-0005-0000-0000-00007B4C0000}"/>
    <cellStyle name="Comma 8 3 4 2 4 2" xfId="41294" xr:uid="{00000000-0005-0000-0000-00007C4C0000}"/>
    <cellStyle name="Comma 8 3 4 2 4 2 2" xfId="43974" xr:uid="{00000000-0005-0000-0000-00007D4C0000}"/>
    <cellStyle name="Comma 8 3 4 2 4 2 3" xfId="46313" xr:uid="{00000000-0005-0000-0000-00007E4C0000}"/>
    <cellStyle name="Comma 8 3 4 2 4 3" xfId="39711" xr:uid="{00000000-0005-0000-0000-00007F4C0000}"/>
    <cellStyle name="Comma 8 3 4 2 4 4" xfId="42646" xr:uid="{00000000-0005-0000-0000-0000804C0000}"/>
    <cellStyle name="Comma 8 3 4 2 4 5" xfId="46314" xr:uid="{00000000-0005-0000-0000-0000814C0000}"/>
    <cellStyle name="Comma 8 3 4 2 5" xfId="36110" xr:uid="{00000000-0005-0000-0000-0000824C0000}"/>
    <cellStyle name="Comma 8 3 4 2 5 2" xfId="39978" xr:uid="{00000000-0005-0000-0000-0000834C0000}"/>
    <cellStyle name="Comma 8 3 4 2 5 3" xfId="42866" xr:uid="{00000000-0005-0000-0000-0000844C0000}"/>
    <cellStyle name="Comma 8 3 4 2 5 4" xfId="46315" xr:uid="{00000000-0005-0000-0000-0000854C0000}"/>
    <cellStyle name="Comma 8 3 4 2 6" xfId="36410" xr:uid="{00000000-0005-0000-0000-0000864C0000}"/>
    <cellStyle name="Comma 8 3 4 2 7" xfId="37592" xr:uid="{00000000-0005-0000-0000-0000874C0000}"/>
    <cellStyle name="Comma 8 3 4 2 8" xfId="41538" xr:uid="{00000000-0005-0000-0000-0000884C0000}"/>
    <cellStyle name="Comma 8 3 4 2 9" xfId="46316" xr:uid="{00000000-0005-0000-0000-0000894C0000}"/>
    <cellStyle name="Comma 8 3 4 3" xfId="4496" xr:uid="{00000000-0005-0000-0000-00008A4C0000}"/>
    <cellStyle name="Comma 8 3 4 3 2" xfId="5947" xr:uid="{00000000-0005-0000-0000-00008B4C0000}"/>
    <cellStyle name="Comma 8 3 4 3 2 2" xfId="41122" xr:uid="{00000000-0005-0000-0000-00008C4C0000}"/>
    <cellStyle name="Comma 8 3 4 3 2 2 2" xfId="43834" xr:uid="{00000000-0005-0000-0000-00008D4C0000}"/>
    <cellStyle name="Comma 8 3 4 3 2 2 3" xfId="46317" xr:uid="{00000000-0005-0000-0000-00008E4C0000}"/>
    <cellStyle name="Comma 8 3 4 3 2 3" xfId="39546" xr:uid="{00000000-0005-0000-0000-00008F4C0000}"/>
    <cellStyle name="Comma 8 3 4 3 2 4" xfId="42506" xr:uid="{00000000-0005-0000-0000-0000904C0000}"/>
    <cellStyle name="Comma 8 3 4 3 2 5" xfId="46318" xr:uid="{00000000-0005-0000-0000-0000914C0000}"/>
    <cellStyle name="Comma 8 3 4 3 2 6" xfId="35679" xr:uid="{00000000-0005-0000-0000-0000924C0000}"/>
    <cellStyle name="Comma 8 3 4 3 3" xfId="40267" xr:uid="{00000000-0005-0000-0000-0000934C0000}"/>
    <cellStyle name="Comma 8 3 4 3 3 2" xfId="43116" xr:uid="{00000000-0005-0000-0000-0000944C0000}"/>
    <cellStyle name="Comma 8 3 4 3 3 3" xfId="46319" xr:uid="{00000000-0005-0000-0000-0000954C0000}"/>
    <cellStyle name="Comma 8 3 4 3 4" xfId="38748" xr:uid="{00000000-0005-0000-0000-0000964C0000}"/>
    <cellStyle name="Comma 8 3 4 3 5" xfId="41788" xr:uid="{00000000-0005-0000-0000-0000974C0000}"/>
    <cellStyle name="Comma 8 3 4 3 6" xfId="46320" xr:uid="{00000000-0005-0000-0000-0000984C0000}"/>
    <cellStyle name="Comma 8 3 4 3 7" xfId="12146" xr:uid="{00000000-0005-0000-0000-0000994C0000}"/>
    <cellStyle name="Comma 8 3 4 4" xfId="5809" xr:uid="{00000000-0005-0000-0000-00009A4C0000}"/>
    <cellStyle name="Comma 8 3 4 4 2" xfId="40132" xr:uid="{00000000-0005-0000-0000-00009B4C0000}"/>
    <cellStyle name="Comma 8 3 4 4 2 2" xfId="43001" xr:uid="{00000000-0005-0000-0000-00009C4C0000}"/>
    <cellStyle name="Comma 8 3 4 4 2 3" xfId="46321" xr:uid="{00000000-0005-0000-0000-00009D4C0000}"/>
    <cellStyle name="Comma 8 3 4 4 3" xfId="38176" xr:uid="{00000000-0005-0000-0000-00009E4C0000}"/>
    <cellStyle name="Comma 8 3 4 4 4" xfId="41673" xr:uid="{00000000-0005-0000-0000-00009F4C0000}"/>
    <cellStyle name="Comma 8 3 4 4 5" xfId="46322" xr:uid="{00000000-0005-0000-0000-0000A04C0000}"/>
    <cellStyle name="Comma 8 3 4 4 6" xfId="15880" xr:uid="{00000000-0005-0000-0000-0000A14C0000}"/>
    <cellStyle name="Comma 8 3 4 5" xfId="6268" xr:uid="{00000000-0005-0000-0000-0000A24C0000}"/>
    <cellStyle name="Comma 8 3 4 5 2" xfId="40677" xr:uid="{00000000-0005-0000-0000-0000A34C0000}"/>
    <cellStyle name="Comma 8 3 4 5 2 2" xfId="43463" xr:uid="{00000000-0005-0000-0000-0000A44C0000}"/>
    <cellStyle name="Comma 8 3 4 5 2 3" xfId="46323" xr:uid="{00000000-0005-0000-0000-0000A54C0000}"/>
    <cellStyle name="Comma 8 3 4 5 3" xfId="39109" xr:uid="{00000000-0005-0000-0000-0000A64C0000}"/>
    <cellStyle name="Comma 8 3 4 5 4" xfId="42135" xr:uid="{00000000-0005-0000-0000-0000A74C0000}"/>
    <cellStyle name="Comma 8 3 4 5 5" xfId="46324" xr:uid="{00000000-0005-0000-0000-0000A84C0000}"/>
    <cellStyle name="Comma 8 3 4 5 6" xfId="30378" xr:uid="{00000000-0005-0000-0000-0000A94C0000}"/>
    <cellStyle name="Comma 8 3 4 6" xfId="30920" xr:uid="{00000000-0005-0000-0000-0000AA4C0000}"/>
    <cellStyle name="Comma 8 3 4 6 2" xfId="40984" xr:uid="{00000000-0005-0000-0000-0000AB4C0000}"/>
    <cellStyle name="Comma 8 3 4 6 2 2" xfId="43719" xr:uid="{00000000-0005-0000-0000-0000AC4C0000}"/>
    <cellStyle name="Comma 8 3 4 6 2 3" xfId="46325" xr:uid="{00000000-0005-0000-0000-0000AD4C0000}"/>
    <cellStyle name="Comma 8 3 4 6 3" xfId="39413" xr:uid="{00000000-0005-0000-0000-0000AE4C0000}"/>
    <cellStyle name="Comma 8 3 4 6 4" xfId="42391" xr:uid="{00000000-0005-0000-0000-0000AF4C0000}"/>
    <cellStyle name="Comma 8 3 4 6 5" xfId="46326" xr:uid="{00000000-0005-0000-0000-0000B04C0000}"/>
    <cellStyle name="Comma 8 3 4 7" xfId="32201" xr:uid="{00000000-0005-0000-0000-0000B14C0000}"/>
    <cellStyle name="Comma 8 3 4 7 2" xfId="39841" xr:uid="{00000000-0005-0000-0000-0000B24C0000}"/>
    <cellStyle name="Comma 8 3 4 7 3" xfId="42749" xr:uid="{00000000-0005-0000-0000-0000B34C0000}"/>
    <cellStyle name="Comma 8 3 4 7 4" xfId="46327" xr:uid="{00000000-0005-0000-0000-0000B44C0000}"/>
    <cellStyle name="Comma 8 3 4 8" xfId="32843" xr:uid="{00000000-0005-0000-0000-0000B54C0000}"/>
    <cellStyle name="Comma 8 3 4 9" xfId="34055" xr:uid="{00000000-0005-0000-0000-0000B64C0000}"/>
    <cellStyle name="Comma 8 3 5" xfId="2840" xr:uid="{00000000-0005-0000-0000-0000B74C0000}"/>
    <cellStyle name="Comma 8 3 5 10" xfId="34670" xr:uid="{00000000-0005-0000-0000-0000B84C0000}"/>
    <cellStyle name="Comma 8 3 5 11" xfId="35402" xr:uid="{00000000-0005-0000-0000-0000B94C0000}"/>
    <cellStyle name="Comma 8 3 5 12" xfId="36406" xr:uid="{00000000-0005-0000-0000-0000BA4C0000}"/>
    <cellStyle name="Comma 8 3 5 13" xfId="37548" xr:uid="{00000000-0005-0000-0000-0000BB4C0000}"/>
    <cellStyle name="Comma 8 3 5 14" xfId="41494" xr:uid="{00000000-0005-0000-0000-0000BC4C0000}"/>
    <cellStyle name="Comma 8 3 5 15" xfId="46328" xr:uid="{00000000-0005-0000-0000-0000BD4C0000}"/>
    <cellStyle name="Comma 8 3 5 16" xfId="11556" xr:uid="{00000000-0005-0000-0000-0000BE4C0000}"/>
    <cellStyle name="Comma 8 3 5 2" xfId="5151" xr:uid="{00000000-0005-0000-0000-0000BF4C0000}"/>
    <cellStyle name="Comma 8 3 5 2 10" xfId="15177" xr:uid="{00000000-0005-0000-0000-0000C04C0000}"/>
    <cellStyle name="Comma 8 3 5 2 2" xfId="6120" xr:uid="{00000000-0005-0000-0000-0000C14C0000}"/>
    <cellStyle name="Comma 8 3 5 2 2 2" xfId="41290" xr:uid="{00000000-0005-0000-0000-0000C24C0000}"/>
    <cellStyle name="Comma 8 3 5 2 2 2 2" xfId="43970" xr:uid="{00000000-0005-0000-0000-0000C34C0000}"/>
    <cellStyle name="Comma 8 3 5 2 2 2 3" xfId="46329" xr:uid="{00000000-0005-0000-0000-0000C44C0000}"/>
    <cellStyle name="Comma 8 3 5 2 2 3" xfId="39707" xr:uid="{00000000-0005-0000-0000-0000C54C0000}"/>
    <cellStyle name="Comma 8 3 5 2 2 4" xfId="42642" xr:uid="{00000000-0005-0000-0000-0000C64C0000}"/>
    <cellStyle name="Comma 8 3 5 2 2 5" xfId="46330" xr:uid="{00000000-0005-0000-0000-0000C74C0000}"/>
    <cellStyle name="Comma 8 3 5 2 2 6" xfId="31584" xr:uid="{00000000-0005-0000-0000-0000C84C0000}"/>
    <cellStyle name="Comma 8 3 5 2 3" xfId="33437" xr:uid="{00000000-0005-0000-0000-0000C94C0000}"/>
    <cellStyle name="Comma 8 3 5 2 3 2" xfId="40434" xr:uid="{00000000-0005-0000-0000-0000CA4C0000}"/>
    <cellStyle name="Comma 8 3 5 2 3 3" xfId="43252" xr:uid="{00000000-0005-0000-0000-0000CB4C0000}"/>
    <cellStyle name="Comma 8 3 5 2 3 4" xfId="46331" xr:uid="{00000000-0005-0000-0000-0000CC4C0000}"/>
    <cellStyle name="Comma 8 3 5 2 4" xfId="35261" xr:uid="{00000000-0005-0000-0000-0000CD4C0000}"/>
    <cellStyle name="Comma 8 3 5 2 5" xfId="36106" xr:uid="{00000000-0005-0000-0000-0000CE4C0000}"/>
    <cellStyle name="Comma 8 3 5 2 6" xfId="37337" xr:uid="{00000000-0005-0000-0000-0000CF4C0000}"/>
    <cellStyle name="Comma 8 3 5 2 7" xfId="38885" xr:uid="{00000000-0005-0000-0000-0000D04C0000}"/>
    <cellStyle name="Comma 8 3 5 2 8" xfId="41924" xr:uid="{00000000-0005-0000-0000-0000D14C0000}"/>
    <cellStyle name="Comma 8 3 5 2 9" xfId="46332" xr:uid="{00000000-0005-0000-0000-0000D24C0000}"/>
    <cellStyle name="Comma 8 3 5 3" xfId="5805" xr:uid="{00000000-0005-0000-0000-0000D34C0000}"/>
    <cellStyle name="Comma 8 3 5 3 2" xfId="40128" xr:uid="{00000000-0005-0000-0000-0000D44C0000}"/>
    <cellStyle name="Comma 8 3 5 3 2 2" xfId="42997" xr:uid="{00000000-0005-0000-0000-0000D54C0000}"/>
    <cellStyle name="Comma 8 3 5 3 2 3" xfId="46333" xr:uid="{00000000-0005-0000-0000-0000D64C0000}"/>
    <cellStyle name="Comma 8 3 5 3 3" xfId="38172" xr:uid="{00000000-0005-0000-0000-0000D74C0000}"/>
    <cellStyle name="Comma 8 3 5 3 4" xfId="41669" xr:uid="{00000000-0005-0000-0000-0000D84C0000}"/>
    <cellStyle name="Comma 8 3 5 3 5" xfId="46334" xr:uid="{00000000-0005-0000-0000-0000D94C0000}"/>
    <cellStyle name="Comma 8 3 5 3 6" xfId="12219" xr:uid="{00000000-0005-0000-0000-0000DA4C0000}"/>
    <cellStyle name="Comma 8 3 5 4" xfId="6440" xr:uid="{00000000-0005-0000-0000-0000DB4C0000}"/>
    <cellStyle name="Comma 8 3 5 4 2" xfId="40673" xr:uid="{00000000-0005-0000-0000-0000DC4C0000}"/>
    <cellStyle name="Comma 8 3 5 4 2 2" xfId="43459" xr:uid="{00000000-0005-0000-0000-0000DD4C0000}"/>
    <cellStyle name="Comma 8 3 5 4 2 3" xfId="46335" xr:uid="{00000000-0005-0000-0000-0000DE4C0000}"/>
    <cellStyle name="Comma 8 3 5 4 3" xfId="39105" xr:uid="{00000000-0005-0000-0000-0000DF4C0000}"/>
    <cellStyle name="Comma 8 3 5 4 4" xfId="42131" xr:uid="{00000000-0005-0000-0000-0000E04C0000}"/>
    <cellStyle name="Comma 8 3 5 4 5" xfId="46336" xr:uid="{00000000-0005-0000-0000-0000E14C0000}"/>
    <cellStyle name="Comma 8 3 5 4 6" xfId="15881" xr:uid="{00000000-0005-0000-0000-0000E24C0000}"/>
    <cellStyle name="Comma 8 3 5 5" xfId="30379" xr:uid="{00000000-0005-0000-0000-0000E34C0000}"/>
    <cellStyle name="Comma 8 3 5 5 2" xfId="40980" xr:uid="{00000000-0005-0000-0000-0000E44C0000}"/>
    <cellStyle name="Comma 8 3 5 5 2 2" xfId="43715" xr:uid="{00000000-0005-0000-0000-0000E54C0000}"/>
    <cellStyle name="Comma 8 3 5 5 2 3" xfId="46337" xr:uid="{00000000-0005-0000-0000-0000E64C0000}"/>
    <cellStyle name="Comma 8 3 5 5 3" xfId="39409" xr:uid="{00000000-0005-0000-0000-0000E74C0000}"/>
    <cellStyle name="Comma 8 3 5 5 4" xfId="42387" xr:uid="{00000000-0005-0000-0000-0000E84C0000}"/>
    <cellStyle name="Comma 8 3 5 5 5" xfId="46338" xr:uid="{00000000-0005-0000-0000-0000E94C0000}"/>
    <cellStyle name="Comma 8 3 5 6" xfId="30993" xr:uid="{00000000-0005-0000-0000-0000EA4C0000}"/>
    <cellStyle name="Comma 8 3 5 6 2" xfId="39923" xr:uid="{00000000-0005-0000-0000-0000EB4C0000}"/>
    <cellStyle name="Comma 8 3 5 6 3" xfId="42822" xr:uid="{00000000-0005-0000-0000-0000EC4C0000}"/>
    <cellStyle name="Comma 8 3 5 6 4" xfId="46339" xr:uid="{00000000-0005-0000-0000-0000ED4C0000}"/>
    <cellStyle name="Comma 8 3 5 7" xfId="32202" xr:uid="{00000000-0005-0000-0000-0000EE4C0000}"/>
    <cellStyle name="Comma 8 3 5 8" xfId="32844" xr:uid="{00000000-0005-0000-0000-0000EF4C0000}"/>
    <cellStyle name="Comma 8 3 5 9" xfId="34056" xr:uid="{00000000-0005-0000-0000-0000F04C0000}"/>
    <cellStyle name="Comma 8 3 6" xfId="4558" xr:uid="{00000000-0005-0000-0000-0000F14C0000}"/>
    <cellStyle name="Comma 8 3 6 10" xfId="36306" xr:uid="{00000000-0005-0000-0000-0000F24C0000}"/>
    <cellStyle name="Comma 8 3 6 11" xfId="38784" xr:uid="{00000000-0005-0000-0000-0000F34C0000}"/>
    <cellStyle name="Comma 8 3 6 12" xfId="41824" xr:uid="{00000000-0005-0000-0000-0000F44C0000}"/>
    <cellStyle name="Comma 8 3 6 13" xfId="46340" xr:uid="{00000000-0005-0000-0000-0000F54C0000}"/>
    <cellStyle name="Comma 8 3 6 14" xfId="12432" xr:uid="{00000000-0005-0000-0000-0000F64C0000}"/>
    <cellStyle name="Comma 8 3 6 2" xfId="6007" xr:uid="{00000000-0005-0000-0000-0000F74C0000}"/>
    <cellStyle name="Comma 8 3 6 2 2" xfId="40565" xr:uid="{00000000-0005-0000-0000-0000F84C0000}"/>
    <cellStyle name="Comma 8 3 6 2 2 2" xfId="43359" xr:uid="{00000000-0005-0000-0000-0000F94C0000}"/>
    <cellStyle name="Comma 8 3 6 2 2 3" xfId="46341" xr:uid="{00000000-0005-0000-0000-0000FA4C0000}"/>
    <cellStyle name="Comma 8 3 6 2 3" xfId="39002" xr:uid="{00000000-0005-0000-0000-0000FB4C0000}"/>
    <cellStyle name="Comma 8 3 6 2 4" xfId="42031" xr:uid="{00000000-0005-0000-0000-0000FC4C0000}"/>
    <cellStyle name="Comma 8 3 6 2 5" xfId="46342" xr:uid="{00000000-0005-0000-0000-0000FD4C0000}"/>
    <cellStyle name="Comma 8 3 6 2 6" xfId="15882" xr:uid="{00000000-0005-0000-0000-0000FE4C0000}"/>
    <cellStyle name="Comma 8 3 6 3" xfId="6328" xr:uid="{00000000-0005-0000-0000-0000FF4C0000}"/>
    <cellStyle name="Comma 8 3 6 3 2" xfId="41180" xr:uid="{00000000-0005-0000-0000-0000004D0000}"/>
    <cellStyle name="Comma 8 3 6 3 2 2" xfId="43870" xr:uid="{00000000-0005-0000-0000-0000014D0000}"/>
    <cellStyle name="Comma 8 3 6 3 2 3" xfId="46343" xr:uid="{00000000-0005-0000-0000-0000024D0000}"/>
    <cellStyle name="Comma 8 3 6 3 3" xfId="39599" xr:uid="{00000000-0005-0000-0000-0000034D0000}"/>
    <cellStyle name="Comma 8 3 6 3 4" xfId="42542" xr:uid="{00000000-0005-0000-0000-0000044D0000}"/>
    <cellStyle name="Comma 8 3 6 3 5" xfId="46344" xr:uid="{00000000-0005-0000-0000-0000054D0000}"/>
    <cellStyle name="Comma 8 3 6 3 6" xfId="30380" xr:uid="{00000000-0005-0000-0000-0000064D0000}"/>
    <cellStyle name="Comma 8 3 6 4" xfId="31143" xr:uid="{00000000-0005-0000-0000-0000074D0000}"/>
    <cellStyle name="Comma 8 3 6 4 2" xfId="40325" xr:uid="{00000000-0005-0000-0000-0000084D0000}"/>
    <cellStyle name="Comma 8 3 6 4 3" xfId="43152" xr:uid="{00000000-0005-0000-0000-0000094D0000}"/>
    <cellStyle name="Comma 8 3 6 4 4" xfId="46345" xr:uid="{00000000-0005-0000-0000-00000A4D0000}"/>
    <cellStyle name="Comma 8 3 6 5" xfId="32203" xr:uid="{00000000-0005-0000-0000-00000B4D0000}"/>
    <cellStyle name="Comma 8 3 6 6" xfId="32845" xr:uid="{00000000-0005-0000-0000-00000C4D0000}"/>
    <cellStyle name="Comma 8 3 6 7" xfId="34057" xr:uid="{00000000-0005-0000-0000-00000D4D0000}"/>
    <cellStyle name="Comma 8 3 6 8" xfId="34820" xr:uid="{00000000-0005-0000-0000-00000E4D0000}"/>
    <cellStyle name="Comma 8 3 6 9" xfId="35719" xr:uid="{00000000-0005-0000-0000-00000F4D0000}"/>
    <cellStyle name="Comma 8 3 7" xfId="4492" xr:uid="{00000000-0005-0000-0000-0000104D0000}"/>
    <cellStyle name="Comma 8 3 7 2" xfId="5943" xr:uid="{00000000-0005-0000-0000-0000114D0000}"/>
    <cellStyle name="Comma 8 3 7 2 2" xfId="40775" xr:uid="{00000000-0005-0000-0000-0000124D0000}"/>
    <cellStyle name="Comma 8 3 7 2 2 2" xfId="43538" xr:uid="{00000000-0005-0000-0000-0000134D0000}"/>
    <cellStyle name="Comma 8 3 7 2 2 3" xfId="46346" xr:uid="{00000000-0005-0000-0000-0000144D0000}"/>
    <cellStyle name="Comma 8 3 7 2 3" xfId="39202" xr:uid="{00000000-0005-0000-0000-0000154D0000}"/>
    <cellStyle name="Comma 8 3 7 2 4" xfId="42210" xr:uid="{00000000-0005-0000-0000-0000164D0000}"/>
    <cellStyle name="Comma 8 3 7 2 5" xfId="46347" xr:uid="{00000000-0005-0000-0000-0000174D0000}"/>
    <cellStyle name="Comma 8 3 7 2 6" xfId="35675" xr:uid="{00000000-0005-0000-0000-0000184D0000}"/>
    <cellStyle name="Comma 8 3 7 3" xfId="39542" xr:uid="{00000000-0005-0000-0000-0000194D0000}"/>
    <cellStyle name="Comma 8 3 7 3 2" xfId="41118" xr:uid="{00000000-0005-0000-0000-00001A4D0000}"/>
    <cellStyle name="Comma 8 3 7 3 2 2" xfId="43830" xr:uid="{00000000-0005-0000-0000-00001B4D0000}"/>
    <cellStyle name="Comma 8 3 7 3 2 3" xfId="46348" xr:uid="{00000000-0005-0000-0000-00001C4D0000}"/>
    <cellStyle name="Comma 8 3 7 3 3" xfId="42502" xr:uid="{00000000-0005-0000-0000-00001D4D0000}"/>
    <cellStyle name="Comma 8 3 7 3 4" xfId="46349" xr:uid="{00000000-0005-0000-0000-00001E4D0000}"/>
    <cellStyle name="Comma 8 3 7 4" xfId="40263" xr:uid="{00000000-0005-0000-0000-00001F4D0000}"/>
    <cellStyle name="Comma 8 3 7 4 2" xfId="43112" xr:uid="{00000000-0005-0000-0000-0000204D0000}"/>
    <cellStyle name="Comma 8 3 7 4 3" xfId="46350" xr:uid="{00000000-0005-0000-0000-0000214D0000}"/>
    <cellStyle name="Comma 8 3 7 5" xfId="38744" xr:uid="{00000000-0005-0000-0000-0000224D0000}"/>
    <cellStyle name="Comma 8 3 7 6" xfId="41784" xr:uid="{00000000-0005-0000-0000-0000234D0000}"/>
    <cellStyle name="Comma 8 3 7 7" xfId="46351" xr:uid="{00000000-0005-0000-0000-0000244D0000}"/>
    <cellStyle name="Comma 8 3 7 8" xfId="11778" xr:uid="{00000000-0005-0000-0000-0000254D0000}"/>
    <cellStyle name="Comma 8 3 8" xfId="5686" xr:uid="{00000000-0005-0000-0000-0000264D0000}"/>
    <cellStyle name="Comma 8 3 8 2" xfId="40020" xr:uid="{00000000-0005-0000-0000-0000274D0000}"/>
    <cellStyle name="Comma 8 3 8 2 2" xfId="42897" xr:uid="{00000000-0005-0000-0000-0000284D0000}"/>
    <cellStyle name="Comma 8 3 8 2 3" xfId="46352" xr:uid="{00000000-0005-0000-0000-0000294D0000}"/>
    <cellStyle name="Comma 8 3 8 3" xfId="37629" xr:uid="{00000000-0005-0000-0000-00002A4D0000}"/>
    <cellStyle name="Comma 8 3 8 4" xfId="41569" xr:uid="{00000000-0005-0000-0000-00002B4D0000}"/>
    <cellStyle name="Comma 8 3 8 5" xfId="46353" xr:uid="{00000000-0005-0000-0000-00002C4D0000}"/>
    <cellStyle name="Comma 8 3 8 6" xfId="15873" xr:uid="{00000000-0005-0000-0000-00002D4D0000}"/>
    <cellStyle name="Comma 8 3 9" xfId="6264" xr:uid="{00000000-0005-0000-0000-00002E4D0000}"/>
    <cellStyle name="Comma 8 3 9 2" xfId="40531" xr:uid="{00000000-0005-0000-0000-00002F4D0000}"/>
    <cellStyle name="Comma 8 3 9 2 2" xfId="43332" xr:uid="{00000000-0005-0000-0000-0000304D0000}"/>
    <cellStyle name="Comma 8 3 9 2 3" xfId="46354" xr:uid="{00000000-0005-0000-0000-0000314D0000}"/>
    <cellStyle name="Comma 8 3 9 3" xfId="38973" xr:uid="{00000000-0005-0000-0000-0000324D0000}"/>
    <cellStyle name="Comma 8 3 9 4" xfId="42004" xr:uid="{00000000-0005-0000-0000-0000334D0000}"/>
    <cellStyle name="Comma 8 3 9 5" xfId="46355" xr:uid="{00000000-0005-0000-0000-0000344D0000}"/>
    <cellStyle name="Comma 8 3 9 6" xfId="30371" xr:uid="{00000000-0005-0000-0000-0000354D0000}"/>
    <cellStyle name="Comma 8 4" xfId="1046" xr:uid="{00000000-0005-0000-0000-0000364D0000}"/>
    <cellStyle name="Comma 8 4 10" xfId="32204" xr:uid="{00000000-0005-0000-0000-0000374D0000}"/>
    <cellStyle name="Comma 8 4 10 2" xfId="40872" xr:uid="{00000000-0005-0000-0000-0000384D0000}"/>
    <cellStyle name="Comma 8 4 10 2 2" xfId="43616" xr:uid="{00000000-0005-0000-0000-0000394D0000}"/>
    <cellStyle name="Comma 8 4 10 2 3" xfId="46356" xr:uid="{00000000-0005-0000-0000-00003A4D0000}"/>
    <cellStyle name="Comma 8 4 10 3" xfId="39307" xr:uid="{00000000-0005-0000-0000-00003B4D0000}"/>
    <cellStyle name="Comma 8 4 10 4" xfId="42288" xr:uid="{00000000-0005-0000-0000-00003C4D0000}"/>
    <cellStyle name="Comma 8 4 10 5" xfId="46357" xr:uid="{00000000-0005-0000-0000-00003D4D0000}"/>
    <cellStyle name="Comma 8 4 11" xfId="32846" xr:uid="{00000000-0005-0000-0000-00003E4D0000}"/>
    <cellStyle name="Comma 8 4 11 2" xfId="39771" xr:uid="{00000000-0005-0000-0000-00003F4D0000}"/>
    <cellStyle name="Comma 8 4 11 3" xfId="42684" xr:uid="{00000000-0005-0000-0000-0000404D0000}"/>
    <cellStyle name="Comma 8 4 11 4" xfId="46358" xr:uid="{00000000-0005-0000-0000-0000414D0000}"/>
    <cellStyle name="Comma 8 4 12" xfId="34058" xr:uid="{00000000-0005-0000-0000-0000424D0000}"/>
    <cellStyle name="Comma 8 4 13" xfId="34281" xr:uid="{00000000-0005-0000-0000-0000434D0000}"/>
    <cellStyle name="Comma 8 4 14" xfId="35300" xr:uid="{00000000-0005-0000-0000-0000444D0000}"/>
    <cellStyle name="Comma 8 4 15" xfId="36270" xr:uid="{00000000-0005-0000-0000-0000454D0000}"/>
    <cellStyle name="Comma 8 4 16" xfId="37408" xr:uid="{00000000-0005-0000-0000-0000464D0000}"/>
    <cellStyle name="Comma 8 4 17" xfId="41356" xr:uid="{00000000-0005-0000-0000-0000474D0000}"/>
    <cellStyle name="Comma 8 4 18" xfId="46359" xr:uid="{00000000-0005-0000-0000-0000484D0000}"/>
    <cellStyle name="Comma 8 4 19" xfId="8444" xr:uid="{00000000-0005-0000-0000-0000494D0000}"/>
    <cellStyle name="Comma 8 4 2" xfId="2846" xr:uid="{00000000-0005-0000-0000-00004A4D0000}"/>
    <cellStyle name="Comma 8 4 2 10" xfId="32847" xr:uid="{00000000-0005-0000-0000-00004B4D0000}"/>
    <cellStyle name="Comma 8 4 2 11" xfId="34059" xr:uid="{00000000-0005-0000-0000-00004C4D0000}"/>
    <cellStyle name="Comma 8 4 2 12" xfId="34231" xr:uid="{00000000-0005-0000-0000-00004D4D0000}"/>
    <cellStyle name="Comma 8 4 2 13" xfId="35408" xr:uid="{00000000-0005-0000-0000-00004E4D0000}"/>
    <cellStyle name="Comma 8 4 2 14" xfId="36271" xr:uid="{00000000-0005-0000-0000-00004F4D0000}"/>
    <cellStyle name="Comma 8 4 2 15" xfId="37478" xr:uid="{00000000-0005-0000-0000-0000504D0000}"/>
    <cellStyle name="Comma 8 4 2 16" xfId="41425" xr:uid="{00000000-0005-0000-0000-0000514D0000}"/>
    <cellStyle name="Comma 8 4 2 17" xfId="46360" xr:uid="{00000000-0005-0000-0000-0000524D0000}"/>
    <cellStyle name="Comma 8 4 2 18" xfId="8196" xr:uid="{00000000-0005-0000-0000-0000534D0000}"/>
    <cellStyle name="Comma 8 4 2 2" xfId="2847" xr:uid="{00000000-0005-0000-0000-0000544D0000}"/>
    <cellStyle name="Comma 8 4 2 2 10" xfId="34601" xr:uid="{00000000-0005-0000-0000-0000554D0000}"/>
    <cellStyle name="Comma 8 4 2 2 11" xfId="35409" xr:uid="{00000000-0005-0000-0000-0000564D0000}"/>
    <cellStyle name="Comma 8 4 2 2 12" xfId="36272" xr:uid="{00000000-0005-0000-0000-0000574D0000}"/>
    <cellStyle name="Comma 8 4 2 2 13" xfId="37595" xr:uid="{00000000-0005-0000-0000-0000584D0000}"/>
    <cellStyle name="Comma 8 4 2 2 14" xfId="41541" xr:uid="{00000000-0005-0000-0000-0000594D0000}"/>
    <cellStyle name="Comma 8 4 2 2 15" xfId="46361" xr:uid="{00000000-0005-0000-0000-00005A4D0000}"/>
    <cellStyle name="Comma 8 4 2 2 16" xfId="8934" xr:uid="{00000000-0005-0000-0000-00005B4D0000}"/>
    <cellStyle name="Comma 8 4 2 2 2" xfId="5158" xr:uid="{00000000-0005-0000-0000-00005C4D0000}"/>
    <cellStyle name="Comma 8 4 2 2 2 10" xfId="36113" xr:uid="{00000000-0005-0000-0000-00005D4D0000}"/>
    <cellStyle name="Comma 8 4 2 2 2 11" xfId="36413" xr:uid="{00000000-0005-0000-0000-00005E4D0000}"/>
    <cellStyle name="Comma 8 4 2 2 2 12" xfId="38892" xr:uid="{00000000-0005-0000-0000-00005F4D0000}"/>
    <cellStyle name="Comma 8 4 2 2 2 13" xfId="41931" xr:uid="{00000000-0005-0000-0000-0000604D0000}"/>
    <cellStyle name="Comma 8 4 2 2 2 14" xfId="46362" xr:uid="{00000000-0005-0000-0000-0000614D0000}"/>
    <cellStyle name="Comma 8 4 2 2 2 15" xfId="12933" xr:uid="{00000000-0005-0000-0000-0000624D0000}"/>
    <cellStyle name="Comma 8 4 2 2 2 2" xfId="6127" xr:uid="{00000000-0005-0000-0000-0000634D0000}"/>
    <cellStyle name="Comma 8 4 2 2 2 2 2" xfId="40828" xr:uid="{00000000-0005-0000-0000-0000644D0000}"/>
    <cellStyle name="Comma 8 4 2 2 2 2 2 2" xfId="43583" xr:uid="{00000000-0005-0000-0000-0000654D0000}"/>
    <cellStyle name="Comma 8 4 2 2 2 2 2 3" xfId="46363" xr:uid="{00000000-0005-0000-0000-0000664D0000}"/>
    <cellStyle name="Comma 8 4 2 2 2 2 3" xfId="39265" xr:uid="{00000000-0005-0000-0000-0000674D0000}"/>
    <cellStyle name="Comma 8 4 2 2 2 2 4" xfId="42255" xr:uid="{00000000-0005-0000-0000-0000684D0000}"/>
    <cellStyle name="Comma 8 4 2 2 2 2 5" xfId="46364" xr:uid="{00000000-0005-0000-0000-0000694D0000}"/>
    <cellStyle name="Comma 8 4 2 2 2 2 6" xfId="15886" xr:uid="{00000000-0005-0000-0000-00006A4D0000}"/>
    <cellStyle name="Comma 8 4 2 2 2 3" xfId="6447" xr:uid="{00000000-0005-0000-0000-00006B4D0000}"/>
    <cellStyle name="Comma 8 4 2 2 2 3 2" xfId="41297" xr:uid="{00000000-0005-0000-0000-00006C4D0000}"/>
    <cellStyle name="Comma 8 4 2 2 2 3 2 2" xfId="43977" xr:uid="{00000000-0005-0000-0000-00006D4D0000}"/>
    <cellStyle name="Comma 8 4 2 2 2 3 2 3" xfId="46365" xr:uid="{00000000-0005-0000-0000-00006E4D0000}"/>
    <cellStyle name="Comma 8 4 2 2 2 3 3" xfId="39714" xr:uid="{00000000-0005-0000-0000-00006F4D0000}"/>
    <cellStyle name="Comma 8 4 2 2 2 3 4" xfId="42649" xr:uid="{00000000-0005-0000-0000-0000704D0000}"/>
    <cellStyle name="Comma 8 4 2 2 2 3 5" xfId="46366" xr:uid="{00000000-0005-0000-0000-0000714D0000}"/>
    <cellStyle name="Comma 8 4 2 2 2 3 6" xfId="30384" xr:uid="{00000000-0005-0000-0000-0000724D0000}"/>
    <cellStyle name="Comma 8 4 2 2 2 4" xfId="31515" xr:uid="{00000000-0005-0000-0000-0000734D0000}"/>
    <cellStyle name="Comma 8 4 2 2 2 4 2" xfId="40441" xr:uid="{00000000-0005-0000-0000-0000744D0000}"/>
    <cellStyle name="Comma 8 4 2 2 2 4 3" xfId="43259" xr:uid="{00000000-0005-0000-0000-0000754D0000}"/>
    <cellStyle name="Comma 8 4 2 2 2 4 4" xfId="46367" xr:uid="{00000000-0005-0000-0000-0000764D0000}"/>
    <cellStyle name="Comma 8 4 2 2 2 5" xfId="32207" xr:uid="{00000000-0005-0000-0000-0000774D0000}"/>
    <cellStyle name="Comma 8 4 2 2 2 6" xfId="32849" xr:uid="{00000000-0005-0000-0000-0000784D0000}"/>
    <cellStyle name="Comma 8 4 2 2 2 7" xfId="33368" xr:uid="{00000000-0005-0000-0000-0000794D0000}"/>
    <cellStyle name="Comma 8 4 2 2 2 8" xfId="34061" xr:uid="{00000000-0005-0000-0000-00007A4D0000}"/>
    <cellStyle name="Comma 8 4 2 2 2 9" xfId="35192" xr:uid="{00000000-0005-0000-0000-00007B4D0000}"/>
    <cellStyle name="Comma 8 4 2 2 3" xfId="4499" xr:uid="{00000000-0005-0000-0000-00007C4D0000}"/>
    <cellStyle name="Comma 8 4 2 2 3 2" xfId="5950" xr:uid="{00000000-0005-0000-0000-00007D4D0000}"/>
    <cellStyle name="Comma 8 4 2 2 3 2 2" xfId="41125" xr:uid="{00000000-0005-0000-0000-00007E4D0000}"/>
    <cellStyle name="Comma 8 4 2 2 3 2 2 2" xfId="43837" xr:uid="{00000000-0005-0000-0000-00007F4D0000}"/>
    <cellStyle name="Comma 8 4 2 2 3 2 2 3" xfId="46368" xr:uid="{00000000-0005-0000-0000-0000804D0000}"/>
    <cellStyle name="Comma 8 4 2 2 3 2 3" xfId="39549" xr:uid="{00000000-0005-0000-0000-0000814D0000}"/>
    <cellStyle name="Comma 8 4 2 2 3 2 4" xfId="42509" xr:uid="{00000000-0005-0000-0000-0000824D0000}"/>
    <cellStyle name="Comma 8 4 2 2 3 2 5" xfId="46369" xr:uid="{00000000-0005-0000-0000-0000834D0000}"/>
    <cellStyle name="Comma 8 4 2 2 3 2 6" xfId="35682" xr:uid="{00000000-0005-0000-0000-0000844D0000}"/>
    <cellStyle name="Comma 8 4 2 2 3 3" xfId="40270" xr:uid="{00000000-0005-0000-0000-0000854D0000}"/>
    <cellStyle name="Comma 8 4 2 2 3 3 2" xfId="43119" xr:uid="{00000000-0005-0000-0000-0000864D0000}"/>
    <cellStyle name="Comma 8 4 2 2 3 3 3" xfId="46370" xr:uid="{00000000-0005-0000-0000-0000874D0000}"/>
    <cellStyle name="Comma 8 4 2 2 3 4" xfId="38751" xr:uid="{00000000-0005-0000-0000-0000884D0000}"/>
    <cellStyle name="Comma 8 4 2 2 3 5" xfId="41791" xr:uid="{00000000-0005-0000-0000-0000894D0000}"/>
    <cellStyle name="Comma 8 4 2 2 3 6" xfId="46371" xr:uid="{00000000-0005-0000-0000-00008A4D0000}"/>
    <cellStyle name="Comma 8 4 2 2 3 7" xfId="12150" xr:uid="{00000000-0005-0000-0000-00008B4D0000}"/>
    <cellStyle name="Comma 8 4 2 2 4" xfId="5812" xr:uid="{00000000-0005-0000-0000-00008C4D0000}"/>
    <cellStyle name="Comma 8 4 2 2 4 2" xfId="40135" xr:uid="{00000000-0005-0000-0000-00008D4D0000}"/>
    <cellStyle name="Comma 8 4 2 2 4 2 2" xfId="43004" xr:uid="{00000000-0005-0000-0000-00008E4D0000}"/>
    <cellStyle name="Comma 8 4 2 2 4 2 3" xfId="46372" xr:uid="{00000000-0005-0000-0000-00008F4D0000}"/>
    <cellStyle name="Comma 8 4 2 2 4 3" xfId="38179" xr:uid="{00000000-0005-0000-0000-0000904D0000}"/>
    <cellStyle name="Comma 8 4 2 2 4 4" xfId="41676" xr:uid="{00000000-0005-0000-0000-0000914D0000}"/>
    <cellStyle name="Comma 8 4 2 2 4 5" xfId="46373" xr:uid="{00000000-0005-0000-0000-0000924D0000}"/>
    <cellStyle name="Comma 8 4 2 2 4 6" xfId="15885" xr:uid="{00000000-0005-0000-0000-0000934D0000}"/>
    <cellStyle name="Comma 8 4 2 2 5" xfId="6271" xr:uid="{00000000-0005-0000-0000-0000944D0000}"/>
    <cellStyle name="Comma 8 4 2 2 5 2" xfId="40680" xr:uid="{00000000-0005-0000-0000-0000954D0000}"/>
    <cellStyle name="Comma 8 4 2 2 5 2 2" xfId="43466" xr:uid="{00000000-0005-0000-0000-0000964D0000}"/>
    <cellStyle name="Comma 8 4 2 2 5 2 3" xfId="46374" xr:uid="{00000000-0005-0000-0000-0000974D0000}"/>
    <cellStyle name="Comma 8 4 2 2 5 3" xfId="39112" xr:uid="{00000000-0005-0000-0000-0000984D0000}"/>
    <cellStyle name="Comma 8 4 2 2 5 4" xfId="42138" xr:uid="{00000000-0005-0000-0000-0000994D0000}"/>
    <cellStyle name="Comma 8 4 2 2 5 5" xfId="46375" xr:uid="{00000000-0005-0000-0000-00009A4D0000}"/>
    <cellStyle name="Comma 8 4 2 2 5 6" xfId="30383" xr:uid="{00000000-0005-0000-0000-00009B4D0000}"/>
    <cellStyle name="Comma 8 4 2 2 6" xfId="30924" xr:uid="{00000000-0005-0000-0000-00009C4D0000}"/>
    <cellStyle name="Comma 8 4 2 2 6 2" xfId="40987" xr:uid="{00000000-0005-0000-0000-00009D4D0000}"/>
    <cellStyle name="Comma 8 4 2 2 6 2 2" xfId="43722" xr:uid="{00000000-0005-0000-0000-00009E4D0000}"/>
    <cellStyle name="Comma 8 4 2 2 6 2 3" xfId="46376" xr:uid="{00000000-0005-0000-0000-00009F4D0000}"/>
    <cellStyle name="Comma 8 4 2 2 6 3" xfId="39416" xr:uid="{00000000-0005-0000-0000-0000A04D0000}"/>
    <cellStyle name="Comma 8 4 2 2 6 4" xfId="42394" xr:uid="{00000000-0005-0000-0000-0000A14D0000}"/>
    <cellStyle name="Comma 8 4 2 2 6 5" xfId="46377" xr:uid="{00000000-0005-0000-0000-0000A24D0000}"/>
    <cellStyle name="Comma 8 4 2 2 7" xfId="32206" xr:uid="{00000000-0005-0000-0000-0000A34D0000}"/>
    <cellStyle name="Comma 8 4 2 2 7 2" xfId="39981" xr:uid="{00000000-0005-0000-0000-0000A44D0000}"/>
    <cellStyle name="Comma 8 4 2 2 7 3" xfId="42869" xr:uid="{00000000-0005-0000-0000-0000A54D0000}"/>
    <cellStyle name="Comma 8 4 2 2 7 4" xfId="46378" xr:uid="{00000000-0005-0000-0000-0000A64D0000}"/>
    <cellStyle name="Comma 8 4 2 2 8" xfId="32848" xr:uid="{00000000-0005-0000-0000-0000A74D0000}"/>
    <cellStyle name="Comma 8 4 2 2 9" xfId="34060" xr:uid="{00000000-0005-0000-0000-0000A84D0000}"/>
    <cellStyle name="Comma 8 4 2 3" xfId="5157" xr:uid="{00000000-0005-0000-0000-0000A94D0000}"/>
    <cellStyle name="Comma 8 4 2 3 10" xfId="34674" xr:uid="{00000000-0005-0000-0000-0000AA4D0000}"/>
    <cellStyle name="Comma 8 4 2 3 11" xfId="36112" xr:uid="{00000000-0005-0000-0000-0000AB4D0000}"/>
    <cellStyle name="Comma 8 4 2 3 12" xfId="36412" xr:uid="{00000000-0005-0000-0000-0000AC4D0000}"/>
    <cellStyle name="Comma 8 4 2 3 13" xfId="37552" xr:uid="{00000000-0005-0000-0000-0000AD4D0000}"/>
    <cellStyle name="Comma 8 4 2 3 14" xfId="41498" xr:uid="{00000000-0005-0000-0000-0000AE4D0000}"/>
    <cellStyle name="Comma 8 4 2 3 15" xfId="46379" xr:uid="{00000000-0005-0000-0000-0000AF4D0000}"/>
    <cellStyle name="Comma 8 4 2 3 16" xfId="11560" xr:uid="{00000000-0005-0000-0000-0000B04D0000}"/>
    <cellStyle name="Comma 8 4 2 3 2" xfId="6126" xr:uid="{00000000-0005-0000-0000-0000B14D0000}"/>
    <cellStyle name="Comma 8 4 2 3 2 10" xfId="37340" xr:uid="{00000000-0005-0000-0000-0000B24D0000}"/>
    <cellStyle name="Comma 8 4 2 3 2 11" xfId="38891" xr:uid="{00000000-0005-0000-0000-0000B34D0000}"/>
    <cellStyle name="Comma 8 4 2 3 2 12" xfId="41930" xr:uid="{00000000-0005-0000-0000-0000B44D0000}"/>
    <cellStyle name="Comma 8 4 2 3 2 13" xfId="46380" xr:uid="{00000000-0005-0000-0000-0000B54D0000}"/>
    <cellStyle name="Comma 8 4 2 3 2 14" xfId="15181" xr:uid="{00000000-0005-0000-0000-0000B64D0000}"/>
    <cellStyle name="Comma 8 4 2 3 2 2" xfId="15888" xr:uid="{00000000-0005-0000-0000-0000B74D0000}"/>
    <cellStyle name="Comma 8 4 2 3 2 2 2" xfId="40440" xr:uid="{00000000-0005-0000-0000-0000B84D0000}"/>
    <cellStyle name="Comma 8 4 2 3 2 2 3" xfId="43258" xr:uid="{00000000-0005-0000-0000-0000B94D0000}"/>
    <cellStyle name="Comma 8 4 2 3 2 2 4" xfId="46381" xr:uid="{00000000-0005-0000-0000-0000BA4D0000}"/>
    <cellStyle name="Comma 8 4 2 3 2 3" xfId="30386" xr:uid="{00000000-0005-0000-0000-0000BB4D0000}"/>
    <cellStyle name="Comma 8 4 2 3 2 4" xfId="31588" xr:uid="{00000000-0005-0000-0000-0000BC4D0000}"/>
    <cellStyle name="Comma 8 4 2 3 2 5" xfId="32209" xr:uid="{00000000-0005-0000-0000-0000BD4D0000}"/>
    <cellStyle name="Comma 8 4 2 3 2 6" xfId="32851" xr:uid="{00000000-0005-0000-0000-0000BE4D0000}"/>
    <cellStyle name="Comma 8 4 2 3 2 7" xfId="33441" xr:uid="{00000000-0005-0000-0000-0000BF4D0000}"/>
    <cellStyle name="Comma 8 4 2 3 2 8" xfId="34063" xr:uid="{00000000-0005-0000-0000-0000C04D0000}"/>
    <cellStyle name="Comma 8 4 2 3 2 9" xfId="35265" xr:uid="{00000000-0005-0000-0000-0000C14D0000}"/>
    <cellStyle name="Comma 8 4 2 3 3" xfId="6446" xr:uid="{00000000-0005-0000-0000-0000C24D0000}"/>
    <cellStyle name="Comma 8 4 2 3 3 2" xfId="40827" xr:uid="{00000000-0005-0000-0000-0000C34D0000}"/>
    <cellStyle name="Comma 8 4 2 3 3 2 2" xfId="43582" xr:uid="{00000000-0005-0000-0000-0000C44D0000}"/>
    <cellStyle name="Comma 8 4 2 3 3 2 3" xfId="46382" xr:uid="{00000000-0005-0000-0000-0000C54D0000}"/>
    <cellStyle name="Comma 8 4 2 3 3 3" xfId="39264" xr:uid="{00000000-0005-0000-0000-0000C64D0000}"/>
    <cellStyle name="Comma 8 4 2 3 3 4" xfId="42254" xr:uid="{00000000-0005-0000-0000-0000C74D0000}"/>
    <cellStyle name="Comma 8 4 2 3 3 5" xfId="46383" xr:uid="{00000000-0005-0000-0000-0000C84D0000}"/>
    <cellStyle name="Comma 8 4 2 3 3 6" xfId="12223" xr:uid="{00000000-0005-0000-0000-0000C94D0000}"/>
    <cellStyle name="Comma 8 4 2 3 4" xfId="15887" xr:uid="{00000000-0005-0000-0000-0000CA4D0000}"/>
    <cellStyle name="Comma 8 4 2 3 4 2" xfId="41296" xr:uid="{00000000-0005-0000-0000-0000CB4D0000}"/>
    <cellStyle name="Comma 8 4 2 3 4 2 2" xfId="43976" xr:uid="{00000000-0005-0000-0000-0000CC4D0000}"/>
    <cellStyle name="Comma 8 4 2 3 4 2 3" xfId="46384" xr:uid="{00000000-0005-0000-0000-0000CD4D0000}"/>
    <cellStyle name="Comma 8 4 2 3 4 3" xfId="39713" xr:uid="{00000000-0005-0000-0000-0000CE4D0000}"/>
    <cellStyle name="Comma 8 4 2 3 4 4" xfId="42648" xr:uid="{00000000-0005-0000-0000-0000CF4D0000}"/>
    <cellStyle name="Comma 8 4 2 3 4 5" xfId="46385" xr:uid="{00000000-0005-0000-0000-0000D04D0000}"/>
    <cellStyle name="Comma 8 4 2 3 5" xfId="30385" xr:uid="{00000000-0005-0000-0000-0000D14D0000}"/>
    <cellStyle name="Comma 8 4 2 3 5 2" xfId="39927" xr:uid="{00000000-0005-0000-0000-0000D24D0000}"/>
    <cellStyle name="Comma 8 4 2 3 5 3" xfId="42826" xr:uid="{00000000-0005-0000-0000-0000D34D0000}"/>
    <cellStyle name="Comma 8 4 2 3 5 4" xfId="46386" xr:uid="{00000000-0005-0000-0000-0000D44D0000}"/>
    <cellStyle name="Comma 8 4 2 3 6" xfId="30997" xr:uid="{00000000-0005-0000-0000-0000D54D0000}"/>
    <cellStyle name="Comma 8 4 2 3 7" xfId="32208" xr:uid="{00000000-0005-0000-0000-0000D64D0000}"/>
    <cellStyle name="Comma 8 4 2 3 8" xfId="32850" xr:uid="{00000000-0005-0000-0000-0000D74D0000}"/>
    <cellStyle name="Comma 8 4 2 3 9" xfId="34062" xr:uid="{00000000-0005-0000-0000-0000D84D0000}"/>
    <cellStyle name="Comma 8 4 2 4" xfId="4498" xr:uid="{00000000-0005-0000-0000-0000D94D0000}"/>
    <cellStyle name="Comma 8 4 2 4 10" xfId="35681" xr:uid="{00000000-0005-0000-0000-0000DA4D0000}"/>
    <cellStyle name="Comma 8 4 2 4 11" xfId="36924" xr:uid="{00000000-0005-0000-0000-0000DB4D0000}"/>
    <cellStyle name="Comma 8 4 2 4 12" xfId="38750" xr:uid="{00000000-0005-0000-0000-0000DC4D0000}"/>
    <cellStyle name="Comma 8 4 2 4 13" xfId="41790" xr:uid="{00000000-0005-0000-0000-0000DD4D0000}"/>
    <cellStyle name="Comma 8 4 2 4 14" xfId="46387" xr:uid="{00000000-0005-0000-0000-0000DE4D0000}"/>
    <cellStyle name="Comma 8 4 2 4 15" xfId="12437" xr:uid="{00000000-0005-0000-0000-0000DF4D0000}"/>
    <cellStyle name="Comma 8 4 2 4 2" xfId="5949" xr:uid="{00000000-0005-0000-0000-0000E04D0000}"/>
    <cellStyle name="Comma 8 4 2 4 2 2" xfId="41124" xr:uid="{00000000-0005-0000-0000-0000E14D0000}"/>
    <cellStyle name="Comma 8 4 2 4 2 2 2" xfId="43836" xr:uid="{00000000-0005-0000-0000-0000E24D0000}"/>
    <cellStyle name="Comma 8 4 2 4 2 2 3" xfId="46388" xr:uid="{00000000-0005-0000-0000-0000E34D0000}"/>
    <cellStyle name="Comma 8 4 2 4 2 3" xfId="39548" xr:uid="{00000000-0005-0000-0000-0000E44D0000}"/>
    <cellStyle name="Comma 8 4 2 4 2 4" xfId="42508" xr:uid="{00000000-0005-0000-0000-0000E54D0000}"/>
    <cellStyle name="Comma 8 4 2 4 2 5" xfId="46389" xr:uid="{00000000-0005-0000-0000-0000E64D0000}"/>
    <cellStyle name="Comma 8 4 2 4 2 6" xfId="15889" xr:uid="{00000000-0005-0000-0000-0000E74D0000}"/>
    <cellStyle name="Comma 8 4 2 4 3" xfId="30387" xr:uid="{00000000-0005-0000-0000-0000E84D0000}"/>
    <cellStyle name="Comma 8 4 2 4 3 2" xfId="40269" xr:uid="{00000000-0005-0000-0000-0000E94D0000}"/>
    <cellStyle name="Comma 8 4 2 4 3 3" xfId="43118" xr:uid="{00000000-0005-0000-0000-0000EA4D0000}"/>
    <cellStyle name="Comma 8 4 2 4 3 4" xfId="46390" xr:uid="{00000000-0005-0000-0000-0000EB4D0000}"/>
    <cellStyle name="Comma 8 4 2 4 4" xfId="31145" xr:uid="{00000000-0005-0000-0000-0000EC4D0000}"/>
    <cellStyle name="Comma 8 4 2 4 5" xfId="32210" xr:uid="{00000000-0005-0000-0000-0000ED4D0000}"/>
    <cellStyle name="Comma 8 4 2 4 6" xfId="32852" xr:uid="{00000000-0005-0000-0000-0000EE4D0000}"/>
    <cellStyle name="Comma 8 4 2 4 7" xfId="33003" xr:uid="{00000000-0005-0000-0000-0000EF4D0000}"/>
    <cellStyle name="Comma 8 4 2 4 8" xfId="34064" xr:uid="{00000000-0005-0000-0000-0000F04D0000}"/>
    <cellStyle name="Comma 8 4 2 4 9" xfId="34822" xr:uid="{00000000-0005-0000-0000-0000F14D0000}"/>
    <cellStyle name="Comma 8 4 2 5" xfId="5811" xr:uid="{00000000-0005-0000-0000-0000F24D0000}"/>
    <cellStyle name="Comma 8 4 2 5 2" xfId="40134" xr:uid="{00000000-0005-0000-0000-0000F34D0000}"/>
    <cellStyle name="Comma 8 4 2 5 2 2" xfId="43003" xr:uid="{00000000-0005-0000-0000-0000F44D0000}"/>
    <cellStyle name="Comma 8 4 2 5 2 3" xfId="46391" xr:uid="{00000000-0005-0000-0000-0000F54D0000}"/>
    <cellStyle name="Comma 8 4 2 5 3" xfId="38178" xr:uid="{00000000-0005-0000-0000-0000F64D0000}"/>
    <cellStyle name="Comma 8 4 2 5 4" xfId="41675" xr:uid="{00000000-0005-0000-0000-0000F74D0000}"/>
    <cellStyle name="Comma 8 4 2 5 5" xfId="46392" xr:uid="{00000000-0005-0000-0000-0000F84D0000}"/>
    <cellStyle name="Comma 8 4 2 5 6" xfId="11780" xr:uid="{00000000-0005-0000-0000-0000F94D0000}"/>
    <cellStyle name="Comma 8 4 2 6" xfId="6270" xr:uid="{00000000-0005-0000-0000-0000FA4D0000}"/>
    <cellStyle name="Comma 8 4 2 6 2" xfId="40679" xr:uid="{00000000-0005-0000-0000-0000FB4D0000}"/>
    <cellStyle name="Comma 8 4 2 6 2 2" xfId="43465" xr:uid="{00000000-0005-0000-0000-0000FC4D0000}"/>
    <cellStyle name="Comma 8 4 2 6 2 3" xfId="46393" xr:uid="{00000000-0005-0000-0000-0000FD4D0000}"/>
    <cellStyle name="Comma 8 4 2 6 3" xfId="39111" xr:uid="{00000000-0005-0000-0000-0000FE4D0000}"/>
    <cellStyle name="Comma 8 4 2 6 4" xfId="42137" xr:uid="{00000000-0005-0000-0000-0000FF4D0000}"/>
    <cellStyle name="Comma 8 4 2 6 5" xfId="46394" xr:uid="{00000000-0005-0000-0000-0000004E0000}"/>
    <cellStyle name="Comma 8 4 2 6 6" xfId="15884" xr:uid="{00000000-0005-0000-0000-0000014E0000}"/>
    <cellStyle name="Comma 8 4 2 7" xfId="30382" xr:uid="{00000000-0005-0000-0000-0000024E0000}"/>
    <cellStyle name="Comma 8 4 2 7 2" xfId="40986" xr:uid="{00000000-0005-0000-0000-0000034E0000}"/>
    <cellStyle name="Comma 8 4 2 7 2 2" xfId="43721" xr:uid="{00000000-0005-0000-0000-0000044E0000}"/>
    <cellStyle name="Comma 8 4 2 7 2 3" xfId="46395" xr:uid="{00000000-0005-0000-0000-0000054E0000}"/>
    <cellStyle name="Comma 8 4 2 7 3" xfId="39415" xr:uid="{00000000-0005-0000-0000-0000064E0000}"/>
    <cellStyle name="Comma 8 4 2 7 4" xfId="42393" xr:uid="{00000000-0005-0000-0000-0000074E0000}"/>
    <cellStyle name="Comma 8 4 2 7 5" xfId="46396" xr:uid="{00000000-0005-0000-0000-0000084E0000}"/>
    <cellStyle name="Comma 8 4 2 8" xfId="30554" xr:uid="{00000000-0005-0000-0000-0000094E0000}"/>
    <cellStyle name="Comma 8 4 2 8 2" xfId="39845" xr:uid="{00000000-0005-0000-0000-00000A4E0000}"/>
    <cellStyle name="Comma 8 4 2 8 3" xfId="42753" xr:uid="{00000000-0005-0000-0000-00000B4E0000}"/>
    <cellStyle name="Comma 8 4 2 8 4" xfId="46397" xr:uid="{00000000-0005-0000-0000-00000C4E0000}"/>
    <cellStyle name="Comma 8 4 2 9" xfId="32205" xr:uid="{00000000-0005-0000-0000-00000D4E0000}"/>
    <cellStyle name="Comma 8 4 3" xfId="2848" xr:uid="{00000000-0005-0000-0000-00000E4E0000}"/>
    <cellStyle name="Comma 8 4 3 10" xfId="34600" xr:uid="{00000000-0005-0000-0000-00000F4E0000}"/>
    <cellStyle name="Comma 8 4 3 11" xfId="35410" xr:uid="{00000000-0005-0000-0000-0000104E0000}"/>
    <cellStyle name="Comma 8 4 3 12" xfId="36273" xr:uid="{00000000-0005-0000-0000-0000114E0000}"/>
    <cellStyle name="Comma 8 4 3 13" xfId="37477" xr:uid="{00000000-0005-0000-0000-0000124E0000}"/>
    <cellStyle name="Comma 8 4 3 14" xfId="41424" xr:uid="{00000000-0005-0000-0000-0000134E0000}"/>
    <cellStyle name="Comma 8 4 3 15" xfId="46398" xr:uid="{00000000-0005-0000-0000-0000144E0000}"/>
    <cellStyle name="Comma 8 4 3 16" xfId="8933" xr:uid="{00000000-0005-0000-0000-0000154E0000}"/>
    <cellStyle name="Comma 8 4 3 2" xfId="5159" xr:uid="{00000000-0005-0000-0000-0000164E0000}"/>
    <cellStyle name="Comma 8 4 3 2 10" xfId="12932" xr:uid="{00000000-0005-0000-0000-0000174E0000}"/>
    <cellStyle name="Comma 8 4 3 2 2" xfId="6128" xr:uid="{00000000-0005-0000-0000-0000184E0000}"/>
    <cellStyle name="Comma 8 4 3 2 2 2" xfId="40442" xr:uid="{00000000-0005-0000-0000-0000194E0000}"/>
    <cellStyle name="Comma 8 4 3 2 2 2 2" xfId="43260" xr:uid="{00000000-0005-0000-0000-00001A4E0000}"/>
    <cellStyle name="Comma 8 4 3 2 2 2 3" xfId="46399" xr:uid="{00000000-0005-0000-0000-00001B4E0000}"/>
    <cellStyle name="Comma 8 4 3 2 2 3" xfId="38893" xr:uid="{00000000-0005-0000-0000-00001C4E0000}"/>
    <cellStyle name="Comma 8 4 3 2 2 4" xfId="41932" xr:uid="{00000000-0005-0000-0000-00001D4E0000}"/>
    <cellStyle name="Comma 8 4 3 2 2 5" xfId="46400" xr:uid="{00000000-0005-0000-0000-00001E4E0000}"/>
    <cellStyle name="Comma 8 4 3 2 2 6" xfId="31514" xr:uid="{00000000-0005-0000-0000-00001F4E0000}"/>
    <cellStyle name="Comma 8 4 3 2 3" xfId="6448" xr:uid="{00000000-0005-0000-0000-0000204E0000}"/>
    <cellStyle name="Comma 8 4 3 2 3 2" xfId="40829" xr:uid="{00000000-0005-0000-0000-0000214E0000}"/>
    <cellStyle name="Comma 8 4 3 2 3 2 2" xfId="43584" xr:uid="{00000000-0005-0000-0000-0000224E0000}"/>
    <cellStyle name="Comma 8 4 3 2 3 2 3" xfId="46401" xr:uid="{00000000-0005-0000-0000-0000234E0000}"/>
    <cellStyle name="Comma 8 4 3 2 3 3" xfId="39266" xr:uid="{00000000-0005-0000-0000-0000244E0000}"/>
    <cellStyle name="Comma 8 4 3 2 3 4" xfId="42256" xr:uid="{00000000-0005-0000-0000-0000254E0000}"/>
    <cellStyle name="Comma 8 4 3 2 3 5" xfId="46402" xr:uid="{00000000-0005-0000-0000-0000264E0000}"/>
    <cellStyle name="Comma 8 4 3 2 3 6" xfId="33367" xr:uid="{00000000-0005-0000-0000-0000274E0000}"/>
    <cellStyle name="Comma 8 4 3 2 4" xfId="35191" xr:uid="{00000000-0005-0000-0000-0000284E0000}"/>
    <cellStyle name="Comma 8 4 3 2 4 2" xfId="41298" xr:uid="{00000000-0005-0000-0000-0000294E0000}"/>
    <cellStyle name="Comma 8 4 3 2 4 2 2" xfId="43978" xr:uid="{00000000-0005-0000-0000-00002A4E0000}"/>
    <cellStyle name="Comma 8 4 3 2 4 2 3" xfId="46403" xr:uid="{00000000-0005-0000-0000-00002B4E0000}"/>
    <cellStyle name="Comma 8 4 3 2 4 3" xfId="39715" xr:uid="{00000000-0005-0000-0000-00002C4E0000}"/>
    <cellStyle name="Comma 8 4 3 2 4 4" xfId="42650" xr:uid="{00000000-0005-0000-0000-00002D4E0000}"/>
    <cellStyle name="Comma 8 4 3 2 4 5" xfId="46404" xr:uid="{00000000-0005-0000-0000-00002E4E0000}"/>
    <cellStyle name="Comma 8 4 3 2 5" xfId="36114" xr:uid="{00000000-0005-0000-0000-00002F4E0000}"/>
    <cellStyle name="Comma 8 4 3 2 5 2" xfId="39980" xr:uid="{00000000-0005-0000-0000-0000304E0000}"/>
    <cellStyle name="Comma 8 4 3 2 5 3" xfId="42868" xr:uid="{00000000-0005-0000-0000-0000314E0000}"/>
    <cellStyle name="Comma 8 4 3 2 5 4" xfId="46405" xr:uid="{00000000-0005-0000-0000-0000324E0000}"/>
    <cellStyle name="Comma 8 4 3 2 6" xfId="36414" xr:uid="{00000000-0005-0000-0000-0000334E0000}"/>
    <cellStyle name="Comma 8 4 3 2 7" xfId="37594" xr:uid="{00000000-0005-0000-0000-0000344E0000}"/>
    <cellStyle name="Comma 8 4 3 2 8" xfId="41540" xr:uid="{00000000-0005-0000-0000-0000354E0000}"/>
    <cellStyle name="Comma 8 4 3 2 9" xfId="46406" xr:uid="{00000000-0005-0000-0000-0000364E0000}"/>
    <cellStyle name="Comma 8 4 3 3" xfId="4500" xr:uid="{00000000-0005-0000-0000-0000374E0000}"/>
    <cellStyle name="Comma 8 4 3 3 2" xfId="5951" xr:uid="{00000000-0005-0000-0000-0000384E0000}"/>
    <cellStyle name="Comma 8 4 3 3 2 2" xfId="41126" xr:uid="{00000000-0005-0000-0000-0000394E0000}"/>
    <cellStyle name="Comma 8 4 3 3 2 2 2" xfId="43838" xr:uid="{00000000-0005-0000-0000-00003A4E0000}"/>
    <cellStyle name="Comma 8 4 3 3 2 2 3" xfId="46407" xr:uid="{00000000-0005-0000-0000-00003B4E0000}"/>
    <cellStyle name="Comma 8 4 3 3 2 3" xfId="39550" xr:uid="{00000000-0005-0000-0000-00003C4E0000}"/>
    <cellStyle name="Comma 8 4 3 3 2 4" xfId="42510" xr:uid="{00000000-0005-0000-0000-00003D4E0000}"/>
    <cellStyle name="Comma 8 4 3 3 2 5" xfId="46408" xr:uid="{00000000-0005-0000-0000-00003E4E0000}"/>
    <cellStyle name="Comma 8 4 3 3 2 6" xfId="35683" xr:uid="{00000000-0005-0000-0000-00003F4E0000}"/>
    <cellStyle name="Comma 8 4 3 3 3" xfId="40271" xr:uid="{00000000-0005-0000-0000-0000404E0000}"/>
    <cellStyle name="Comma 8 4 3 3 3 2" xfId="43120" xr:uid="{00000000-0005-0000-0000-0000414E0000}"/>
    <cellStyle name="Comma 8 4 3 3 3 3" xfId="46409" xr:uid="{00000000-0005-0000-0000-0000424E0000}"/>
    <cellStyle name="Comma 8 4 3 3 4" xfId="38752" xr:uid="{00000000-0005-0000-0000-0000434E0000}"/>
    <cellStyle name="Comma 8 4 3 3 5" xfId="41792" xr:uid="{00000000-0005-0000-0000-0000444E0000}"/>
    <cellStyle name="Comma 8 4 3 3 6" xfId="46410" xr:uid="{00000000-0005-0000-0000-0000454E0000}"/>
    <cellStyle name="Comma 8 4 3 3 7" xfId="12149" xr:uid="{00000000-0005-0000-0000-0000464E0000}"/>
    <cellStyle name="Comma 8 4 3 4" xfId="5813" xr:uid="{00000000-0005-0000-0000-0000474E0000}"/>
    <cellStyle name="Comma 8 4 3 4 2" xfId="40136" xr:uid="{00000000-0005-0000-0000-0000484E0000}"/>
    <cellStyle name="Comma 8 4 3 4 2 2" xfId="43005" xr:uid="{00000000-0005-0000-0000-0000494E0000}"/>
    <cellStyle name="Comma 8 4 3 4 2 3" xfId="46411" xr:uid="{00000000-0005-0000-0000-00004A4E0000}"/>
    <cellStyle name="Comma 8 4 3 4 3" xfId="38180" xr:uid="{00000000-0005-0000-0000-00004B4E0000}"/>
    <cellStyle name="Comma 8 4 3 4 4" xfId="41677" xr:uid="{00000000-0005-0000-0000-00004C4E0000}"/>
    <cellStyle name="Comma 8 4 3 4 5" xfId="46412" xr:uid="{00000000-0005-0000-0000-00004D4E0000}"/>
    <cellStyle name="Comma 8 4 3 4 6" xfId="15890" xr:uid="{00000000-0005-0000-0000-00004E4E0000}"/>
    <cellStyle name="Comma 8 4 3 5" xfId="6272" xr:uid="{00000000-0005-0000-0000-00004F4E0000}"/>
    <cellStyle name="Comma 8 4 3 5 2" xfId="40681" xr:uid="{00000000-0005-0000-0000-0000504E0000}"/>
    <cellStyle name="Comma 8 4 3 5 2 2" xfId="43467" xr:uid="{00000000-0005-0000-0000-0000514E0000}"/>
    <cellStyle name="Comma 8 4 3 5 2 3" xfId="46413" xr:uid="{00000000-0005-0000-0000-0000524E0000}"/>
    <cellStyle name="Comma 8 4 3 5 3" xfId="39113" xr:uid="{00000000-0005-0000-0000-0000534E0000}"/>
    <cellStyle name="Comma 8 4 3 5 4" xfId="42139" xr:uid="{00000000-0005-0000-0000-0000544E0000}"/>
    <cellStyle name="Comma 8 4 3 5 5" xfId="46414" xr:uid="{00000000-0005-0000-0000-0000554E0000}"/>
    <cellStyle name="Comma 8 4 3 5 6" xfId="30388" xr:uid="{00000000-0005-0000-0000-0000564E0000}"/>
    <cellStyle name="Comma 8 4 3 6" xfId="30923" xr:uid="{00000000-0005-0000-0000-0000574E0000}"/>
    <cellStyle name="Comma 8 4 3 6 2" xfId="40988" xr:uid="{00000000-0005-0000-0000-0000584E0000}"/>
    <cellStyle name="Comma 8 4 3 6 2 2" xfId="43723" xr:uid="{00000000-0005-0000-0000-0000594E0000}"/>
    <cellStyle name="Comma 8 4 3 6 2 3" xfId="46415" xr:uid="{00000000-0005-0000-0000-00005A4E0000}"/>
    <cellStyle name="Comma 8 4 3 6 3" xfId="39417" xr:uid="{00000000-0005-0000-0000-00005B4E0000}"/>
    <cellStyle name="Comma 8 4 3 6 4" xfId="42395" xr:uid="{00000000-0005-0000-0000-00005C4E0000}"/>
    <cellStyle name="Comma 8 4 3 6 5" xfId="46416" xr:uid="{00000000-0005-0000-0000-00005D4E0000}"/>
    <cellStyle name="Comma 8 4 3 7" xfId="32211" xr:uid="{00000000-0005-0000-0000-00005E4E0000}"/>
    <cellStyle name="Comma 8 4 3 7 2" xfId="39844" xr:uid="{00000000-0005-0000-0000-00005F4E0000}"/>
    <cellStyle name="Comma 8 4 3 7 3" xfId="42752" xr:uid="{00000000-0005-0000-0000-0000604E0000}"/>
    <cellStyle name="Comma 8 4 3 7 4" xfId="46417" xr:uid="{00000000-0005-0000-0000-0000614E0000}"/>
    <cellStyle name="Comma 8 4 3 8" xfId="32853" xr:uid="{00000000-0005-0000-0000-0000624E0000}"/>
    <cellStyle name="Comma 8 4 3 9" xfId="34065" xr:uid="{00000000-0005-0000-0000-0000634E0000}"/>
    <cellStyle name="Comma 8 4 4" xfId="2849" xr:uid="{00000000-0005-0000-0000-0000644E0000}"/>
    <cellStyle name="Comma 8 4 4 10" xfId="34673" xr:uid="{00000000-0005-0000-0000-0000654E0000}"/>
    <cellStyle name="Comma 8 4 4 11" xfId="35411" xr:uid="{00000000-0005-0000-0000-0000664E0000}"/>
    <cellStyle name="Comma 8 4 4 12" xfId="36274" xr:uid="{00000000-0005-0000-0000-0000674E0000}"/>
    <cellStyle name="Comma 8 4 4 13" xfId="37565" xr:uid="{00000000-0005-0000-0000-0000684E0000}"/>
    <cellStyle name="Comma 8 4 4 14" xfId="41511" xr:uid="{00000000-0005-0000-0000-0000694E0000}"/>
    <cellStyle name="Comma 8 4 4 15" xfId="46418" xr:uid="{00000000-0005-0000-0000-00006A4E0000}"/>
    <cellStyle name="Comma 8 4 4 16" xfId="11559" xr:uid="{00000000-0005-0000-0000-00006B4E0000}"/>
    <cellStyle name="Comma 8 4 4 2" xfId="5160" xr:uid="{00000000-0005-0000-0000-00006C4E0000}"/>
    <cellStyle name="Comma 8 4 4 2 10" xfId="15180" xr:uid="{00000000-0005-0000-0000-00006D4E0000}"/>
    <cellStyle name="Comma 8 4 4 2 2" xfId="6129" xr:uid="{00000000-0005-0000-0000-00006E4E0000}"/>
    <cellStyle name="Comma 8 4 4 2 2 2" xfId="40830" xr:uid="{00000000-0005-0000-0000-00006F4E0000}"/>
    <cellStyle name="Comma 8 4 4 2 2 2 2" xfId="43585" xr:uid="{00000000-0005-0000-0000-0000704E0000}"/>
    <cellStyle name="Comma 8 4 4 2 2 2 3" xfId="46419" xr:uid="{00000000-0005-0000-0000-0000714E0000}"/>
    <cellStyle name="Comma 8 4 4 2 2 3" xfId="39267" xr:uid="{00000000-0005-0000-0000-0000724E0000}"/>
    <cellStyle name="Comma 8 4 4 2 2 4" xfId="42257" xr:uid="{00000000-0005-0000-0000-0000734E0000}"/>
    <cellStyle name="Comma 8 4 4 2 2 5" xfId="46420" xr:uid="{00000000-0005-0000-0000-0000744E0000}"/>
    <cellStyle name="Comma 8 4 4 2 2 6" xfId="31587" xr:uid="{00000000-0005-0000-0000-0000754E0000}"/>
    <cellStyle name="Comma 8 4 4 2 3" xfId="6449" xr:uid="{00000000-0005-0000-0000-0000764E0000}"/>
    <cellStyle name="Comma 8 4 4 2 3 2" xfId="41299" xr:uid="{00000000-0005-0000-0000-0000774E0000}"/>
    <cellStyle name="Comma 8 4 4 2 3 2 2" xfId="43979" xr:uid="{00000000-0005-0000-0000-0000784E0000}"/>
    <cellStyle name="Comma 8 4 4 2 3 2 3" xfId="46421" xr:uid="{00000000-0005-0000-0000-0000794E0000}"/>
    <cellStyle name="Comma 8 4 4 2 3 3" xfId="39716" xr:uid="{00000000-0005-0000-0000-00007A4E0000}"/>
    <cellStyle name="Comma 8 4 4 2 3 4" xfId="42651" xr:uid="{00000000-0005-0000-0000-00007B4E0000}"/>
    <cellStyle name="Comma 8 4 4 2 3 5" xfId="46422" xr:uid="{00000000-0005-0000-0000-00007C4E0000}"/>
    <cellStyle name="Comma 8 4 4 2 3 6" xfId="33440" xr:uid="{00000000-0005-0000-0000-00007D4E0000}"/>
    <cellStyle name="Comma 8 4 4 2 4" xfId="35264" xr:uid="{00000000-0005-0000-0000-00007E4E0000}"/>
    <cellStyle name="Comma 8 4 4 2 4 2" xfId="40443" xr:uid="{00000000-0005-0000-0000-00007F4E0000}"/>
    <cellStyle name="Comma 8 4 4 2 4 3" xfId="43261" xr:uid="{00000000-0005-0000-0000-0000804E0000}"/>
    <cellStyle name="Comma 8 4 4 2 4 4" xfId="46423" xr:uid="{00000000-0005-0000-0000-0000814E0000}"/>
    <cellStyle name="Comma 8 4 4 2 5" xfId="36115" xr:uid="{00000000-0005-0000-0000-0000824E0000}"/>
    <cellStyle name="Comma 8 4 4 2 6" xfId="36415" xr:uid="{00000000-0005-0000-0000-0000834E0000}"/>
    <cellStyle name="Comma 8 4 4 2 7" xfId="38894" xr:uid="{00000000-0005-0000-0000-0000844E0000}"/>
    <cellStyle name="Comma 8 4 4 2 8" xfId="41933" xr:uid="{00000000-0005-0000-0000-0000854E0000}"/>
    <cellStyle name="Comma 8 4 4 2 9" xfId="46424" xr:uid="{00000000-0005-0000-0000-0000864E0000}"/>
    <cellStyle name="Comma 8 4 4 3" xfId="4501" xr:uid="{00000000-0005-0000-0000-0000874E0000}"/>
    <cellStyle name="Comma 8 4 4 3 2" xfId="5952" xr:uid="{00000000-0005-0000-0000-0000884E0000}"/>
    <cellStyle name="Comma 8 4 4 3 2 2" xfId="41127" xr:uid="{00000000-0005-0000-0000-0000894E0000}"/>
    <cellStyle name="Comma 8 4 4 3 2 2 2" xfId="43839" xr:uid="{00000000-0005-0000-0000-00008A4E0000}"/>
    <cellStyle name="Comma 8 4 4 3 2 2 3" xfId="46425" xr:uid="{00000000-0005-0000-0000-00008B4E0000}"/>
    <cellStyle name="Comma 8 4 4 3 2 3" xfId="39551" xr:uid="{00000000-0005-0000-0000-00008C4E0000}"/>
    <cellStyle name="Comma 8 4 4 3 2 4" xfId="42511" xr:uid="{00000000-0005-0000-0000-00008D4E0000}"/>
    <cellStyle name="Comma 8 4 4 3 2 5" xfId="46426" xr:uid="{00000000-0005-0000-0000-00008E4E0000}"/>
    <cellStyle name="Comma 8 4 4 3 2 6" xfId="35684" xr:uid="{00000000-0005-0000-0000-00008F4E0000}"/>
    <cellStyle name="Comma 8 4 4 3 3" xfId="40272" xr:uid="{00000000-0005-0000-0000-0000904E0000}"/>
    <cellStyle name="Comma 8 4 4 3 3 2" xfId="43121" xr:uid="{00000000-0005-0000-0000-0000914E0000}"/>
    <cellStyle name="Comma 8 4 4 3 3 3" xfId="46427" xr:uid="{00000000-0005-0000-0000-0000924E0000}"/>
    <cellStyle name="Comma 8 4 4 3 4" xfId="38753" xr:uid="{00000000-0005-0000-0000-0000934E0000}"/>
    <cellStyle name="Comma 8 4 4 3 5" xfId="41793" xr:uid="{00000000-0005-0000-0000-0000944E0000}"/>
    <cellStyle name="Comma 8 4 4 3 6" xfId="46428" xr:uid="{00000000-0005-0000-0000-0000954E0000}"/>
    <cellStyle name="Comma 8 4 4 3 7" xfId="12222" xr:uid="{00000000-0005-0000-0000-0000964E0000}"/>
    <cellStyle name="Comma 8 4 4 4" xfId="5814" xr:uid="{00000000-0005-0000-0000-0000974E0000}"/>
    <cellStyle name="Comma 8 4 4 4 2" xfId="40137" xr:uid="{00000000-0005-0000-0000-0000984E0000}"/>
    <cellStyle name="Comma 8 4 4 4 2 2" xfId="43006" xr:uid="{00000000-0005-0000-0000-0000994E0000}"/>
    <cellStyle name="Comma 8 4 4 4 2 3" xfId="46429" xr:uid="{00000000-0005-0000-0000-00009A4E0000}"/>
    <cellStyle name="Comma 8 4 4 4 3" xfId="38181" xr:uid="{00000000-0005-0000-0000-00009B4E0000}"/>
    <cellStyle name="Comma 8 4 4 4 4" xfId="41678" xr:uid="{00000000-0005-0000-0000-00009C4E0000}"/>
    <cellStyle name="Comma 8 4 4 4 5" xfId="46430" xr:uid="{00000000-0005-0000-0000-00009D4E0000}"/>
    <cellStyle name="Comma 8 4 4 4 6" xfId="15891" xr:uid="{00000000-0005-0000-0000-00009E4E0000}"/>
    <cellStyle name="Comma 8 4 4 5" xfId="6273" xr:uid="{00000000-0005-0000-0000-00009F4E0000}"/>
    <cellStyle name="Comma 8 4 4 5 2" xfId="40682" xr:uid="{00000000-0005-0000-0000-0000A04E0000}"/>
    <cellStyle name="Comma 8 4 4 5 2 2" xfId="43468" xr:uid="{00000000-0005-0000-0000-0000A14E0000}"/>
    <cellStyle name="Comma 8 4 4 5 2 3" xfId="46431" xr:uid="{00000000-0005-0000-0000-0000A24E0000}"/>
    <cellStyle name="Comma 8 4 4 5 3" xfId="39114" xr:uid="{00000000-0005-0000-0000-0000A34E0000}"/>
    <cellStyle name="Comma 8 4 4 5 4" xfId="42140" xr:uid="{00000000-0005-0000-0000-0000A44E0000}"/>
    <cellStyle name="Comma 8 4 4 5 5" xfId="46432" xr:uid="{00000000-0005-0000-0000-0000A54E0000}"/>
    <cellStyle name="Comma 8 4 4 5 6" xfId="30389" xr:uid="{00000000-0005-0000-0000-0000A64E0000}"/>
    <cellStyle name="Comma 8 4 4 6" xfId="30996" xr:uid="{00000000-0005-0000-0000-0000A74E0000}"/>
    <cellStyle name="Comma 8 4 4 6 2" xfId="40989" xr:uid="{00000000-0005-0000-0000-0000A84E0000}"/>
    <cellStyle name="Comma 8 4 4 6 2 2" xfId="43724" xr:uid="{00000000-0005-0000-0000-0000A94E0000}"/>
    <cellStyle name="Comma 8 4 4 6 2 3" xfId="46433" xr:uid="{00000000-0005-0000-0000-0000AA4E0000}"/>
    <cellStyle name="Comma 8 4 4 6 3" xfId="39418" xr:uid="{00000000-0005-0000-0000-0000AB4E0000}"/>
    <cellStyle name="Comma 8 4 4 6 4" xfId="42396" xr:uid="{00000000-0005-0000-0000-0000AC4E0000}"/>
    <cellStyle name="Comma 8 4 4 6 5" xfId="46434" xr:uid="{00000000-0005-0000-0000-0000AD4E0000}"/>
    <cellStyle name="Comma 8 4 4 7" xfId="32212" xr:uid="{00000000-0005-0000-0000-0000AE4E0000}"/>
    <cellStyle name="Comma 8 4 4 7 2" xfId="39951" xr:uid="{00000000-0005-0000-0000-0000AF4E0000}"/>
    <cellStyle name="Comma 8 4 4 7 3" xfId="42839" xr:uid="{00000000-0005-0000-0000-0000B04E0000}"/>
    <cellStyle name="Comma 8 4 4 7 4" xfId="46435" xr:uid="{00000000-0005-0000-0000-0000B14E0000}"/>
    <cellStyle name="Comma 8 4 4 8" xfId="32854" xr:uid="{00000000-0005-0000-0000-0000B24E0000}"/>
    <cellStyle name="Comma 8 4 4 9" xfId="34066" xr:uid="{00000000-0005-0000-0000-0000B34E0000}"/>
    <cellStyle name="Comma 8 4 5" xfId="2845" xr:uid="{00000000-0005-0000-0000-0000B44E0000}"/>
    <cellStyle name="Comma 8 4 5 10" xfId="36411" xr:uid="{00000000-0005-0000-0000-0000B54E0000}"/>
    <cellStyle name="Comma 8 4 5 11" xfId="37551" xr:uid="{00000000-0005-0000-0000-0000B64E0000}"/>
    <cellStyle name="Comma 8 4 5 12" xfId="41497" xr:uid="{00000000-0005-0000-0000-0000B74E0000}"/>
    <cellStyle name="Comma 8 4 5 13" xfId="46436" xr:uid="{00000000-0005-0000-0000-0000B84E0000}"/>
    <cellStyle name="Comma 8 4 5 14" xfId="12552" xr:uid="{00000000-0005-0000-0000-0000B94E0000}"/>
    <cellStyle name="Comma 8 4 5 2" xfId="5156" xr:uid="{00000000-0005-0000-0000-0000BA4E0000}"/>
    <cellStyle name="Comma 8 4 5 2 2" xfId="6125" xr:uid="{00000000-0005-0000-0000-0000BB4E0000}"/>
    <cellStyle name="Comma 8 4 5 2 2 2" xfId="41295" xr:uid="{00000000-0005-0000-0000-0000BC4E0000}"/>
    <cellStyle name="Comma 8 4 5 2 2 2 2" xfId="43975" xr:uid="{00000000-0005-0000-0000-0000BD4E0000}"/>
    <cellStyle name="Comma 8 4 5 2 2 2 3" xfId="46437" xr:uid="{00000000-0005-0000-0000-0000BE4E0000}"/>
    <cellStyle name="Comma 8 4 5 2 2 3" xfId="39712" xr:uid="{00000000-0005-0000-0000-0000BF4E0000}"/>
    <cellStyle name="Comma 8 4 5 2 2 4" xfId="42647" xr:uid="{00000000-0005-0000-0000-0000C04E0000}"/>
    <cellStyle name="Comma 8 4 5 2 2 5" xfId="46438" xr:uid="{00000000-0005-0000-0000-0000C14E0000}"/>
    <cellStyle name="Comma 8 4 5 2 2 6" xfId="36111" xr:uid="{00000000-0005-0000-0000-0000C24E0000}"/>
    <cellStyle name="Comma 8 4 5 2 3" xfId="40439" xr:uid="{00000000-0005-0000-0000-0000C34E0000}"/>
    <cellStyle name="Comma 8 4 5 2 3 2" xfId="43257" xr:uid="{00000000-0005-0000-0000-0000C44E0000}"/>
    <cellStyle name="Comma 8 4 5 2 3 3" xfId="46439" xr:uid="{00000000-0005-0000-0000-0000C54E0000}"/>
    <cellStyle name="Comma 8 4 5 2 4" xfId="38890" xr:uid="{00000000-0005-0000-0000-0000C64E0000}"/>
    <cellStyle name="Comma 8 4 5 2 5" xfId="41929" xr:uid="{00000000-0005-0000-0000-0000C74E0000}"/>
    <cellStyle name="Comma 8 4 5 2 6" xfId="46440" xr:uid="{00000000-0005-0000-0000-0000C84E0000}"/>
    <cellStyle name="Comma 8 4 5 2 7" xfId="15892" xr:uid="{00000000-0005-0000-0000-0000C94E0000}"/>
    <cellStyle name="Comma 8 4 5 3" xfId="5810" xr:uid="{00000000-0005-0000-0000-0000CA4E0000}"/>
    <cellStyle name="Comma 8 4 5 3 2" xfId="40133" xr:uid="{00000000-0005-0000-0000-0000CB4E0000}"/>
    <cellStyle name="Comma 8 4 5 3 2 2" xfId="43002" xr:uid="{00000000-0005-0000-0000-0000CC4E0000}"/>
    <cellStyle name="Comma 8 4 5 3 2 3" xfId="46441" xr:uid="{00000000-0005-0000-0000-0000CD4E0000}"/>
    <cellStyle name="Comma 8 4 5 3 3" xfId="38177" xr:uid="{00000000-0005-0000-0000-0000CE4E0000}"/>
    <cellStyle name="Comma 8 4 5 3 4" xfId="41674" xr:uid="{00000000-0005-0000-0000-0000CF4E0000}"/>
    <cellStyle name="Comma 8 4 5 3 5" xfId="46442" xr:uid="{00000000-0005-0000-0000-0000D04E0000}"/>
    <cellStyle name="Comma 8 4 5 3 6" xfId="30390" xr:uid="{00000000-0005-0000-0000-0000D14E0000}"/>
    <cellStyle name="Comma 8 4 5 4" xfId="6445" xr:uid="{00000000-0005-0000-0000-0000D24E0000}"/>
    <cellStyle name="Comma 8 4 5 4 2" xfId="40678" xr:uid="{00000000-0005-0000-0000-0000D34E0000}"/>
    <cellStyle name="Comma 8 4 5 4 2 2" xfId="43464" xr:uid="{00000000-0005-0000-0000-0000D44E0000}"/>
    <cellStyle name="Comma 8 4 5 4 2 3" xfId="46443" xr:uid="{00000000-0005-0000-0000-0000D54E0000}"/>
    <cellStyle name="Comma 8 4 5 4 3" xfId="39110" xr:uid="{00000000-0005-0000-0000-0000D64E0000}"/>
    <cellStyle name="Comma 8 4 5 4 4" xfId="42136" xr:uid="{00000000-0005-0000-0000-0000D74E0000}"/>
    <cellStyle name="Comma 8 4 5 4 5" xfId="46444" xr:uid="{00000000-0005-0000-0000-0000D84E0000}"/>
    <cellStyle name="Comma 8 4 5 4 6" xfId="31195" xr:uid="{00000000-0005-0000-0000-0000D94E0000}"/>
    <cellStyle name="Comma 8 4 5 5" xfId="32213" xr:uid="{00000000-0005-0000-0000-0000DA4E0000}"/>
    <cellStyle name="Comma 8 4 5 5 2" xfId="40985" xr:uid="{00000000-0005-0000-0000-0000DB4E0000}"/>
    <cellStyle name="Comma 8 4 5 5 2 2" xfId="43720" xr:uid="{00000000-0005-0000-0000-0000DC4E0000}"/>
    <cellStyle name="Comma 8 4 5 5 2 3" xfId="46445" xr:uid="{00000000-0005-0000-0000-0000DD4E0000}"/>
    <cellStyle name="Comma 8 4 5 5 3" xfId="39414" xr:uid="{00000000-0005-0000-0000-0000DE4E0000}"/>
    <cellStyle name="Comma 8 4 5 5 4" xfId="42392" xr:uid="{00000000-0005-0000-0000-0000DF4E0000}"/>
    <cellStyle name="Comma 8 4 5 5 5" xfId="46446" xr:uid="{00000000-0005-0000-0000-0000E04E0000}"/>
    <cellStyle name="Comma 8 4 5 6" xfId="32855" xr:uid="{00000000-0005-0000-0000-0000E14E0000}"/>
    <cellStyle name="Comma 8 4 5 6 2" xfId="39926" xr:uid="{00000000-0005-0000-0000-0000E24E0000}"/>
    <cellStyle name="Comma 8 4 5 6 3" xfId="42825" xr:uid="{00000000-0005-0000-0000-0000E34E0000}"/>
    <cellStyle name="Comma 8 4 5 6 4" xfId="46447" xr:uid="{00000000-0005-0000-0000-0000E44E0000}"/>
    <cellStyle name="Comma 8 4 5 7" xfId="34067" xr:uid="{00000000-0005-0000-0000-0000E54E0000}"/>
    <cellStyle name="Comma 8 4 5 8" xfId="34872" xr:uid="{00000000-0005-0000-0000-0000E64E0000}"/>
    <cellStyle name="Comma 8 4 5 9" xfId="35407" xr:uid="{00000000-0005-0000-0000-0000E74E0000}"/>
    <cellStyle name="Comma 8 4 6" xfId="4559" xr:uid="{00000000-0005-0000-0000-0000E84E0000}"/>
    <cellStyle name="Comma 8 4 6 2" xfId="6008" xr:uid="{00000000-0005-0000-0000-0000E94E0000}"/>
    <cellStyle name="Comma 8 4 6 2 2" xfId="40566" xr:uid="{00000000-0005-0000-0000-0000EA4E0000}"/>
    <cellStyle name="Comma 8 4 6 2 2 2" xfId="43360" xr:uid="{00000000-0005-0000-0000-0000EB4E0000}"/>
    <cellStyle name="Comma 8 4 6 2 2 3" xfId="46448" xr:uid="{00000000-0005-0000-0000-0000EC4E0000}"/>
    <cellStyle name="Comma 8 4 6 2 3" xfId="39003" xr:uid="{00000000-0005-0000-0000-0000ED4E0000}"/>
    <cellStyle name="Comma 8 4 6 2 4" xfId="42032" xr:uid="{00000000-0005-0000-0000-0000EE4E0000}"/>
    <cellStyle name="Comma 8 4 6 2 5" xfId="46449" xr:uid="{00000000-0005-0000-0000-0000EF4E0000}"/>
    <cellStyle name="Comma 8 4 6 2 6" xfId="35720" xr:uid="{00000000-0005-0000-0000-0000F04E0000}"/>
    <cellStyle name="Comma 8 4 6 3" xfId="6329" xr:uid="{00000000-0005-0000-0000-0000F14E0000}"/>
    <cellStyle name="Comma 8 4 6 3 2" xfId="41181" xr:uid="{00000000-0005-0000-0000-0000F24E0000}"/>
    <cellStyle name="Comma 8 4 6 3 2 2" xfId="43871" xr:uid="{00000000-0005-0000-0000-0000F34E0000}"/>
    <cellStyle name="Comma 8 4 6 3 2 3" xfId="46450" xr:uid="{00000000-0005-0000-0000-0000F44E0000}"/>
    <cellStyle name="Comma 8 4 6 3 3" xfId="39600" xr:uid="{00000000-0005-0000-0000-0000F54E0000}"/>
    <cellStyle name="Comma 8 4 6 3 4" xfId="42543" xr:uid="{00000000-0005-0000-0000-0000F64E0000}"/>
    <cellStyle name="Comma 8 4 6 3 5" xfId="46451" xr:uid="{00000000-0005-0000-0000-0000F74E0000}"/>
    <cellStyle name="Comma 8 4 6 3 6" xfId="36307" xr:uid="{00000000-0005-0000-0000-0000F84E0000}"/>
    <cellStyle name="Comma 8 4 6 4" xfId="40326" xr:uid="{00000000-0005-0000-0000-0000F94E0000}"/>
    <cellStyle name="Comma 8 4 6 4 2" xfId="43153" xr:uid="{00000000-0005-0000-0000-0000FA4E0000}"/>
    <cellStyle name="Comma 8 4 6 4 3" xfId="46452" xr:uid="{00000000-0005-0000-0000-0000FB4E0000}"/>
    <cellStyle name="Comma 8 4 6 5" xfId="38785" xr:uid="{00000000-0005-0000-0000-0000FC4E0000}"/>
    <cellStyle name="Comma 8 4 6 6" xfId="41825" xr:uid="{00000000-0005-0000-0000-0000FD4E0000}"/>
    <cellStyle name="Comma 8 4 6 7" xfId="46453" xr:uid="{00000000-0005-0000-0000-0000FE4E0000}"/>
    <cellStyle name="Comma 8 4 6 8" xfId="11830" xr:uid="{00000000-0005-0000-0000-0000FF4E0000}"/>
    <cellStyle name="Comma 8 4 7" xfId="4497" xr:uid="{00000000-0005-0000-0000-0000004F0000}"/>
    <cellStyle name="Comma 8 4 7 2" xfId="5948" xr:uid="{00000000-0005-0000-0000-0000014F0000}"/>
    <cellStyle name="Comma 8 4 7 2 2" xfId="40777" xr:uid="{00000000-0005-0000-0000-0000024F0000}"/>
    <cellStyle name="Comma 8 4 7 2 2 2" xfId="43540" xr:uid="{00000000-0005-0000-0000-0000034F0000}"/>
    <cellStyle name="Comma 8 4 7 2 2 3" xfId="46454" xr:uid="{00000000-0005-0000-0000-0000044F0000}"/>
    <cellStyle name="Comma 8 4 7 2 3" xfId="39204" xr:uid="{00000000-0005-0000-0000-0000054F0000}"/>
    <cellStyle name="Comma 8 4 7 2 4" xfId="42212" xr:uid="{00000000-0005-0000-0000-0000064F0000}"/>
    <cellStyle name="Comma 8 4 7 2 5" xfId="46455" xr:uid="{00000000-0005-0000-0000-0000074F0000}"/>
    <cellStyle name="Comma 8 4 7 2 6" xfId="35680" xr:uid="{00000000-0005-0000-0000-0000084F0000}"/>
    <cellStyle name="Comma 8 4 7 3" xfId="39547" xr:uid="{00000000-0005-0000-0000-0000094F0000}"/>
    <cellStyle name="Comma 8 4 7 3 2" xfId="41123" xr:uid="{00000000-0005-0000-0000-00000A4F0000}"/>
    <cellStyle name="Comma 8 4 7 3 2 2" xfId="43835" xr:uid="{00000000-0005-0000-0000-00000B4F0000}"/>
    <cellStyle name="Comma 8 4 7 3 2 3" xfId="46456" xr:uid="{00000000-0005-0000-0000-00000C4F0000}"/>
    <cellStyle name="Comma 8 4 7 3 3" xfId="42507" xr:uid="{00000000-0005-0000-0000-00000D4F0000}"/>
    <cellStyle name="Comma 8 4 7 3 4" xfId="46457" xr:uid="{00000000-0005-0000-0000-00000E4F0000}"/>
    <cellStyle name="Comma 8 4 7 4" xfId="40268" xr:uid="{00000000-0005-0000-0000-00000F4F0000}"/>
    <cellStyle name="Comma 8 4 7 4 2" xfId="43117" xr:uid="{00000000-0005-0000-0000-0000104F0000}"/>
    <cellStyle name="Comma 8 4 7 4 3" xfId="46458" xr:uid="{00000000-0005-0000-0000-0000114F0000}"/>
    <cellStyle name="Comma 8 4 7 5" xfId="38749" xr:uid="{00000000-0005-0000-0000-0000124F0000}"/>
    <cellStyle name="Comma 8 4 7 6" xfId="41789" xr:uid="{00000000-0005-0000-0000-0000134F0000}"/>
    <cellStyle name="Comma 8 4 7 7" xfId="46459" xr:uid="{00000000-0005-0000-0000-0000144F0000}"/>
    <cellStyle name="Comma 8 4 7 8" xfId="15883" xr:uid="{00000000-0005-0000-0000-0000154F0000}"/>
    <cellStyle name="Comma 8 4 8" xfId="5687" xr:uid="{00000000-0005-0000-0000-0000164F0000}"/>
    <cellStyle name="Comma 8 4 8 2" xfId="40021" xr:uid="{00000000-0005-0000-0000-0000174F0000}"/>
    <cellStyle name="Comma 8 4 8 2 2" xfId="42898" xr:uid="{00000000-0005-0000-0000-0000184F0000}"/>
    <cellStyle name="Comma 8 4 8 2 3" xfId="46460" xr:uid="{00000000-0005-0000-0000-0000194F0000}"/>
    <cellStyle name="Comma 8 4 8 3" xfId="37630" xr:uid="{00000000-0005-0000-0000-00001A4F0000}"/>
    <cellStyle name="Comma 8 4 8 4" xfId="41570" xr:uid="{00000000-0005-0000-0000-00001B4F0000}"/>
    <cellStyle name="Comma 8 4 8 5" xfId="46461" xr:uid="{00000000-0005-0000-0000-00001C4F0000}"/>
    <cellStyle name="Comma 8 4 8 6" xfId="30381" xr:uid="{00000000-0005-0000-0000-00001D4F0000}"/>
    <cellStyle name="Comma 8 4 9" xfId="6269" xr:uid="{00000000-0005-0000-0000-00001E4F0000}"/>
    <cellStyle name="Comma 8 4 9 2" xfId="40533" xr:uid="{00000000-0005-0000-0000-00001F4F0000}"/>
    <cellStyle name="Comma 8 4 9 2 2" xfId="43334" xr:uid="{00000000-0005-0000-0000-0000204F0000}"/>
    <cellStyle name="Comma 8 4 9 2 3" xfId="46462" xr:uid="{00000000-0005-0000-0000-0000214F0000}"/>
    <cellStyle name="Comma 8 4 9 3" xfId="38975" xr:uid="{00000000-0005-0000-0000-0000224F0000}"/>
    <cellStyle name="Comma 8 4 9 4" xfId="42006" xr:uid="{00000000-0005-0000-0000-0000234F0000}"/>
    <cellStyle name="Comma 8 4 9 5" xfId="46463" xr:uid="{00000000-0005-0000-0000-0000244F0000}"/>
    <cellStyle name="Comma 8 4 9 6" xfId="30604" xr:uid="{00000000-0005-0000-0000-0000254F0000}"/>
    <cellStyle name="Comma 8 5" xfId="1047" xr:uid="{00000000-0005-0000-0000-0000264F0000}"/>
    <cellStyle name="Comma 8 5 10" xfId="32214" xr:uid="{00000000-0005-0000-0000-0000274F0000}"/>
    <cellStyle name="Comma 8 5 11" xfId="32856" xr:uid="{00000000-0005-0000-0000-0000284F0000}"/>
    <cellStyle name="Comma 8 5 12" xfId="34068" xr:uid="{00000000-0005-0000-0000-0000294F0000}"/>
    <cellStyle name="Comma 8 5 13" xfId="34226" xr:uid="{00000000-0005-0000-0000-00002A4F0000}"/>
    <cellStyle name="Comma 8 5 14" xfId="35301" xr:uid="{00000000-0005-0000-0000-00002B4F0000}"/>
    <cellStyle name="Comma 8 5 15" xfId="36275" xr:uid="{00000000-0005-0000-0000-00002C4F0000}"/>
    <cellStyle name="Comma 8 5 16" xfId="37479" xr:uid="{00000000-0005-0000-0000-00002D4F0000}"/>
    <cellStyle name="Comma 8 5 17" xfId="41426" xr:uid="{00000000-0005-0000-0000-00002E4F0000}"/>
    <cellStyle name="Comma 8 5 18" xfId="46464" xr:uid="{00000000-0005-0000-0000-00002F4F0000}"/>
    <cellStyle name="Comma 8 5 19" xfId="8117" xr:uid="{00000000-0005-0000-0000-0000304F0000}"/>
    <cellStyle name="Comma 8 5 2" xfId="2851" xr:uid="{00000000-0005-0000-0000-0000314F0000}"/>
    <cellStyle name="Comma 8 5 2 10" xfId="34069" xr:uid="{00000000-0005-0000-0000-0000324F0000}"/>
    <cellStyle name="Comma 8 5 2 11" xfId="34230" xr:uid="{00000000-0005-0000-0000-0000334F0000}"/>
    <cellStyle name="Comma 8 5 2 12" xfId="35413" xr:uid="{00000000-0005-0000-0000-0000344F0000}"/>
    <cellStyle name="Comma 8 5 2 13" xfId="36276" xr:uid="{00000000-0005-0000-0000-0000354F0000}"/>
    <cellStyle name="Comma 8 5 2 14" xfId="37596" xr:uid="{00000000-0005-0000-0000-0000364F0000}"/>
    <cellStyle name="Comma 8 5 2 15" xfId="41542" xr:uid="{00000000-0005-0000-0000-0000374F0000}"/>
    <cellStyle name="Comma 8 5 2 16" xfId="46465" xr:uid="{00000000-0005-0000-0000-0000384F0000}"/>
    <cellStyle name="Comma 8 5 2 17" xfId="8195" xr:uid="{00000000-0005-0000-0000-0000394F0000}"/>
    <cellStyle name="Comma 8 5 2 2" xfId="5162" xr:uid="{00000000-0005-0000-0000-00003A4F0000}"/>
    <cellStyle name="Comma 8 5 2 2 10" xfId="34603" xr:uid="{00000000-0005-0000-0000-00003B4F0000}"/>
    <cellStyle name="Comma 8 5 2 2 11" xfId="36117" xr:uid="{00000000-0005-0000-0000-00003C4F0000}"/>
    <cellStyle name="Comma 8 5 2 2 12" xfId="36417" xr:uid="{00000000-0005-0000-0000-00003D4F0000}"/>
    <cellStyle name="Comma 8 5 2 2 13" xfId="38896" xr:uid="{00000000-0005-0000-0000-00003E4F0000}"/>
    <cellStyle name="Comma 8 5 2 2 14" xfId="41935" xr:uid="{00000000-0005-0000-0000-00003F4F0000}"/>
    <cellStyle name="Comma 8 5 2 2 15" xfId="46466" xr:uid="{00000000-0005-0000-0000-0000404F0000}"/>
    <cellStyle name="Comma 8 5 2 2 16" xfId="8936" xr:uid="{00000000-0005-0000-0000-0000414F0000}"/>
    <cellStyle name="Comma 8 5 2 2 2" xfId="6131" xr:uid="{00000000-0005-0000-0000-0000424F0000}"/>
    <cellStyle name="Comma 8 5 2 2 2 2" xfId="31517" xr:uid="{00000000-0005-0000-0000-0000434F0000}"/>
    <cellStyle name="Comma 8 5 2 2 2 2 2" xfId="40831" xr:uid="{00000000-0005-0000-0000-0000444F0000}"/>
    <cellStyle name="Comma 8 5 2 2 2 2 3" xfId="43586" xr:uid="{00000000-0005-0000-0000-0000454F0000}"/>
    <cellStyle name="Comma 8 5 2 2 2 2 4" xfId="46467" xr:uid="{00000000-0005-0000-0000-0000464F0000}"/>
    <cellStyle name="Comma 8 5 2 2 2 3" xfId="33370" xr:uid="{00000000-0005-0000-0000-0000474F0000}"/>
    <cellStyle name="Comma 8 5 2 2 2 4" xfId="35194" xr:uid="{00000000-0005-0000-0000-0000484F0000}"/>
    <cellStyle name="Comma 8 5 2 2 2 5" xfId="37275" xr:uid="{00000000-0005-0000-0000-0000494F0000}"/>
    <cellStyle name="Comma 8 5 2 2 2 6" xfId="39268" xr:uid="{00000000-0005-0000-0000-00004A4F0000}"/>
    <cellStyle name="Comma 8 5 2 2 2 7" xfId="42258" xr:uid="{00000000-0005-0000-0000-00004B4F0000}"/>
    <cellStyle name="Comma 8 5 2 2 2 8" xfId="46468" xr:uid="{00000000-0005-0000-0000-00004C4F0000}"/>
    <cellStyle name="Comma 8 5 2 2 2 9" xfId="12935" xr:uid="{00000000-0005-0000-0000-00004D4F0000}"/>
    <cellStyle name="Comma 8 5 2 2 3" xfId="6451" xr:uid="{00000000-0005-0000-0000-00004E4F0000}"/>
    <cellStyle name="Comma 8 5 2 2 3 2" xfId="41301" xr:uid="{00000000-0005-0000-0000-00004F4F0000}"/>
    <cellStyle name="Comma 8 5 2 2 3 2 2" xfId="43981" xr:uid="{00000000-0005-0000-0000-0000504F0000}"/>
    <cellStyle name="Comma 8 5 2 2 3 2 3" xfId="46469" xr:uid="{00000000-0005-0000-0000-0000514F0000}"/>
    <cellStyle name="Comma 8 5 2 2 3 3" xfId="39718" xr:uid="{00000000-0005-0000-0000-0000524F0000}"/>
    <cellStyle name="Comma 8 5 2 2 3 4" xfId="42653" xr:uid="{00000000-0005-0000-0000-0000534F0000}"/>
    <cellStyle name="Comma 8 5 2 2 3 5" xfId="46470" xr:uid="{00000000-0005-0000-0000-0000544F0000}"/>
    <cellStyle name="Comma 8 5 2 2 3 6" xfId="12152" xr:uid="{00000000-0005-0000-0000-0000554F0000}"/>
    <cellStyle name="Comma 8 5 2 2 4" xfId="15895" xr:uid="{00000000-0005-0000-0000-0000564F0000}"/>
    <cellStyle name="Comma 8 5 2 2 4 2" xfId="40445" xr:uid="{00000000-0005-0000-0000-0000574F0000}"/>
    <cellStyle name="Comma 8 5 2 2 4 3" xfId="43263" xr:uid="{00000000-0005-0000-0000-0000584F0000}"/>
    <cellStyle name="Comma 8 5 2 2 4 4" xfId="46471" xr:uid="{00000000-0005-0000-0000-0000594F0000}"/>
    <cellStyle name="Comma 8 5 2 2 5" xfId="30393" xr:uid="{00000000-0005-0000-0000-00005A4F0000}"/>
    <cellStyle name="Comma 8 5 2 2 6" xfId="30926" xr:uid="{00000000-0005-0000-0000-00005B4F0000}"/>
    <cellStyle name="Comma 8 5 2 2 7" xfId="32216" xr:uid="{00000000-0005-0000-0000-00005C4F0000}"/>
    <cellStyle name="Comma 8 5 2 2 8" xfId="32858" xr:uid="{00000000-0005-0000-0000-00005D4F0000}"/>
    <cellStyle name="Comma 8 5 2 2 9" xfId="34070" xr:uid="{00000000-0005-0000-0000-00005E4F0000}"/>
    <cellStyle name="Comma 8 5 2 3" xfId="4503" xr:uid="{00000000-0005-0000-0000-00005F4F0000}"/>
    <cellStyle name="Comma 8 5 2 3 10" xfId="12436" xr:uid="{00000000-0005-0000-0000-0000604F0000}"/>
    <cellStyle name="Comma 8 5 2 3 2" xfId="5954" xr:uid="{00000000-0005-0000-0000-0000614F0000}"/>
    <cellStyle name="Comma 8 5 2 3 2 2" xfId="41129" xr:uid="{00000000-0005-0000-0000-0000624F0000}"/>
    <cellStyle name="Comma 8 5 2 3 2 2 2" xfId="43841" xr:uid="{00000000-0005-0000-0000-0000634F0000}"/>
    <cellStyle name="Comma 8 5 2 3 2 2 3" xfId="46472" xr:uid="{00000000-0005-0000-0000-0000644F0000}"/>
    <cellStyle name="Comma 8 5 2 3 2 3" xfId="39553" xr:uid="{00000000-0005-0000-0000-0000654F0000}"/>
    <cellStyle name="Comma 8 5 2 3 2 4" xfId="42513" xr:uid="{00000000-0005-0000-0000-0000664F0000}"/>
    <cellStyle name="Comma 8 5 2 3 2 5" xfId="46473" xr:uid="{00000000-0005-0000-0000-0000674F0000}"/>
    <cellStyle name="Comma 8 5 2 3 2 6" xfId="31144" xr:uid="{00000000-0005-0000-0000-0000684F0000}"/>
    <cellStyle name="Comma 8 5 2 3 3" xfId="33002" xr:uid="{00000000-0005-0000-0000-0000694F0000}"/>
    <cellStyle name="Comma 8 5 2 3 3 2" xfId="40274" xr:uid="{00000000-0005-0000-0000-00006A4F0000}"/>
    <cellStyle name="Comma 8 5 2 3 3 3" xfId="43123" xr:uid="{00000000-0005-0000-0000-00006B4F0000}"/>
    <cellStyle name="Comma 8 5 2 3 3 4" xfId="46474" xr:uid="{00000000-0005-0000-0000-00006C4F0000}"/>
    <cellStyle name="Comma 8 5 2 3 4" xfId="34821" xr:uid="{00000000-0005-0000-0000-00006D4F0000}"/>
    <cellStyle name="Comma 8 5 2 3 5" xfId="35686" xr:uid="{00000000-0005-0000-0000-00006E4F0000}"/>
    <cellStyle name="Comma 8 5 2 3 6" xfId="36923" xr:uid="{00000000-0005-0000-0000-00006F4F0000}"/>
    <cellStyle name="Comma 8 5 2 3 7" xfId="38755" xr:uid="{00000000-0005-0000-0000-0000704F0000}"/>
    <cellStyle name="Comma 8 5 2 3 8" xfId="41795" xr:uid="{00000000-0005-0000-0000-0000714F0000}"/>
    <cellStyle name="Comma 8 5 2 3 9" xfId="46475" xr:uid="{00000000-0005-0000-0000-0000724F0000}"/>
    <cellStyle name="Comma 8 5 2 4" xfId="5816" xr:uid="{00000000-0005-0000-0000-0000734F0000}"/>
    <cellStyle name="Comma 8 5 2 4 2" xfId="40139" xr:uid="{00000000-0005-0000-0000-0000744F0000}"/>
    <cellStyle name="Comma 8 5 2 4 2 2" xfId="43008" xr:uid="{00000000-0005-0000-0000-0000754F0000}"/>
    <cellStyle name="Comma 8 5 2 4 2 3" xfId="46476" xr:uid="{00000000-0005-0000-0000-0000764F0000}"/>
    <cellStyle name="Comma 8 5 2 4 3" xfId="38183" xr:uid="{00000000-0005-0000-0000-0000774F0000}"/>
    <cellStyle name="Comma 8 5 2 4 4" xfId="41680" xr:uid="{00000000-0005-0000-0000-0000784F0000}"/>
    <cellStyle name="Comma 8 5 2 4 5" xfId="46477" xr:uid="{00000000-0005-0000-0000-0000794F0000}"/>
    <cellStyle name="Comma 8 5 2 4 6" xfId="11779" xr:uid="{00000000-0005-0000-0000-00007A4F0000}"/>
    <cellStyle name="Comma 8 5 2 5" xfId="6275" xr:uid="{00000000-0005-0000-0000-00007B4F0000}"/>
    <cellStyle name="Comma 8 5 2 5 2" xfId="40684" xr:uid="{00000000-0005-0000-0000-00007C4F0000}"/>
    <cellStyle name="Comma 8 5 2 5 2 2" xfId="43470" xr:uid="{00000000-0005-0000-0000-00007D4F0000}"/>
    <cellStyle name="Comma 8 5 2 5 2 3" xfId="46478" xr:uid="{00000000-0005-0000-0000-00007E4F0000}"/>
    <cellStyle name="Comma 8 5 2 5 3" xfId="39116" xr:uid="{00000000-0005-0000-0000-00007F4F0000}"/>
    <cellStyle name="Comma 8 5 2 5 4" xfId="42142" xr:uid="{00000000-0005-0000-0000-0000804F0000}"/>
    <cellStyle name="Comma 8 5 2 5 5" xfId="46479" xr:uid="{00000000-0005-0000-0000-0000814F0000}"/>
    <cellStyle name="Comma 8 5 2 5 6" xfId="15894" xr:uid="{00000000-0005-0000-0000-0000824F0000}"/>
    <cellStyle name="Comma 8 5 2 6" xfId="30392" xr:uid="{00000000-0005-0000-0000-0000834F0000}"/>
    <cellStyle name="Comma 8 5 2 6 2" xfId="40991" xr:uid="{00000000-0005-0000-0000-0000844F0000}"/>
    <cellStyle name="Comma 8 5 2 6 2 2" xfId="43726" xr:uid="{00000000-0005-0000-0000-0000854F0000}"/>
    <cellStyle name="Comma 8 5 2 6 2 3" xfId="46480" xr:uid="{00000000-0005-0000-0000-0000864F0000}"/>
    <cellStyle name="Comma 8 5 2 6 3" xfId="39420" xr:uid="{00000000-0005-0000-0000-0000874F0000}"/>
    <cellStyle name="Comma 8 5 2 6 4" xfId="42398" xr:uid="{00000000-0005-0000-0000-0000884F0000}"/>
    <cellStyle name="Comma 8 5 2 6 5" xfId="46481" xr:uid="{00000000-0005-0000-0000-0000894F0000}"/>
    <cellStyle name="Comma 8 5 2 7" xfId="30553" xr:uid="{00000000-0005-0000-0000-00008A4F0000}"/>
    <cellStyle name="Comma 8 5 2 7 2" xfId="39982" xr:uid="{00000000-0005-0000-0000-00008B4F0000}"/>
    <cellStyle name="Comma 8 5 2 7 3" xfId="42870" xr:uid="{00000000-0005-0000-0000-00008C4F0000}"/>
    <cellStyle name="Comma 8 5 2 7 4" xfId="46482" xr:uid="{00000000-0005-0000-0000-00008D4F0000}"/>
    <cellStyle name="Comma 8 5 2 8" xfId="32215" xr:uid="{00000000-0005-0000-0000-00008E4F0000}"/>
    <cellStyle name="Comma 8 5 2 9" xfId="32857" xr:uid="{00000000-0005-0000-0000-00008F4F0000}"/>
    <cellStyle name="Comma 8 5 3" xfId="2850" xr:uid="{00000000-0005-0000-0000-0000904F0000}"/>
    <cellStyle name="Comma 8 5 3 10" xfId="34602" xr:uid="{00000000-0005-0000-0000-0000914F0000}"/>
    <cellStyle name="Comma 8 5 3 11" xfId="35412" xr:uid="{00000000-0005-0000-0000-0000924F0000}"/>
    <cellStyle name="Comma 8 5 3 12" xfId="36416" xr:uid="{00000000-0005-0000-0000-0000934F0000}"/>
    <cellStyle name="Comma 8 5 3 13" xfId="37553" xr:uid="{00000000-0005-0000-0000-0000944F0000}"/>
    <cellStyle name="Comma 8 5 3 14" xfId="41499" xr:uid="{00000000-0005-0000-0000-0000954F0000}"/>
    <cellStyle name="Comma 8 5 3 15" xfId="46483" xr:uid="{00000000-0005-0000-0000-0000964F0000}"/>
    <cellStyle name="Comma 8 5 3 16" xfId="8935" xr:uid="{00000000-0005-0000-0000-0000974F0000}"/>
    <cellStyle name="Comma 8 5 3 2" xfId="5161" xr:uid="{00000000-0005-0000-0000-0000984F0000}"/>
    <cellStyle name="Comma 8 5 3 2 10" xfId="36116" xr:uid="{00000000-0005-0000-0000-0000994F0000}"/>
    <cellStyle name="Comma 8 5 3 2 11" xfId="37274" xr:uid="{00000000-0005-0000-0000-00009A4F0000}"/>
    <cellStyle name="Comma 8 5 3 2 12" xfId="38895" xr:uid="{00000000-0005-0000-0000-00009B4F0000}"/>
    <cellStyle name="Comma 8 5 3 2 13" xfId="41934" xr:uid="{00000000-0005-0000-0000-00009C4F0000}"/>
    <cellStyle name="Comma 8 5 3 2 14" xfId="46484" xr:uid="{00000000-0005-0000-0000-00009D4F0000}"/>
    <cellStyle name="Comma 8 5 3 2 15" xfId="12934" xr:uid="{00000000-0005-0000-0000-00009E4F0000}"/>
    <cellStyle name="Comma 8 5 3 2 2" xfId="6130" xr:uid="{00000000-0005-0000-0000-00009F4F0000}"/>
    <cellStyle name="Comma 8 5 3 2 2 2" xfId="41300" xr:uid="{00000000-0005-0000-0000-0000A04F0000}"/>
    <cellStyle name="Comma 8 5 3 2 2 2 2" xfId="43980" xr:uid="{00000000-0005-0000-0000-0000A14F0000}"/>
    <cellStyle name="Comma 8 5 3 2 2 2 3" xfId="46485" xr:uid="{00000000-0005-0000-0000-0000A24F0000}"/>
    <cellStyle name="Comma 8 5 3 2 2 3" xfId="39717" xr:uid="{00000000-0005-0000-0000-0000A34F0000}"/>
    <cellStyle name="Comma 8 5 3 2 2 4" xfId="42652" xr:uid="{00000000-0005-0000-0000-0000A44F0000}"/>
    <cellStyle name="Comma 8 5 3 2 2 5" xfId="46486" xr:uid="{00000000-0005-0000-0000-0000A54F0000}"/>
    <cellStyle name="Comma 8 5 3 2 2 6" xfId="15897" xr:uid="{00000000-0005-0000-0000-0000A64F0000}"/>
    <cellStyle name="Comma 8 5 3 2 3" xfId="30395" xr:uid="{00000000-0005-0000-0000-0000A74F0000}"/>
    <cellStyle name="Comma 8 5 3 2 3 2" xfId="40444" xr:uid="{00000000-0005-0000-0000-0000A84F0000}"/>
    <cellStyle name="Comma 8 5 3 2 3 3" xfId="43262" xr:uid="{00000000-0005-0000-0000-0000A94F0000}"/>
    <cellStyle name="Comma 8 5 3 2 3 4" xfId="46487" xr:uid="{00000000-0005-0000-0000-0000AA4F0000}"/>
    <cellStyle name="Comma 8 5 3 2 4" xfId="31516" xr:uid="{00000000-0005-0000-0000-0000AB4F0000}"/>
    <cellStyle name="Comma 8 5 3 2 5" xfId="32218" xr:uid="{00000000-0005-0000-0000-0000AC4F0000}"/>
    <cellStyle name="Comma 8 5 3 2 6" xfId="32860" xr:uid="{00000000-0005-0000-0000-0000AD4F0000}"/>
    <cellStyle name="Comma 8 5 3 2 7" xfId="33369" xr:uid="{00000000-0005-0000-0000-0000AE4F0000}"/>
    <cellStyle name="Comma 8 5 3 2 8" xfId="34072" xr:uid="{00000000-0005-0000-0000-0000AF4F0000}"/>
    <cellStyle name="Comma 8 5 3 2 9" xfId="35193" xr:uid="{00000000-0005-0000-0000-0000B04F0000}"/>
    <cellStyle name="Comma 8 5 3 3" xfId="5815" xr:uid="{00000000-0005-0000-0000-0000B14F0000}"/>
    <cellStyle name="Comma 8 5 3 3 2" xfId="40138" xr:uid="{00000000-0005-0000-0000-0000B24F0000}"/>
    <cellStyle name="Comma 8 5 3 3 2 2" xfId="43007" xr:uid="{00000000-0005-0000-0000-0000B34F0000}"/>
    <cellStyle name="Comma 8 5 3 3 2 3" xfId="46488" xr:uid="{00000000-0005-0000-0000-0000B44F0000}"/>
    <cellStyle name="Comma 8 5 3 3 3" xfId="38182" xr:uid="{00000000-0005-0000-0000-0000B54F0000}"/>
    <cellStyle name="Comma 8 5 3 3 4" xfId="41679" xr:uid="{00000000-0005-0000-0000-0000B64F0000}"/>
    <cellStyle name="Comma 8 5 3 3 5" xfId="46489" xr:uid="{00000000-0005-0000-0000-0000B74F0000}"/>
    <cellStyle name="Comma 8 5 3 3 6" xfId="12151" xr:uid="{00000000-0005-0000-0000-0000B84F0000}"/>
    <cellStyle name="Comma 8 5 3 4" xfId="6450" xr:uid="{00000000-0005-0000-0000-0000B94F0000}"/>
    <cellStyle name="Comma 8 5 3 4 2" xfId="40683" xr:uid="{00000000-0005-0000-0000-0000BA4F0000}"/>
    <cellStyle name="Comma 8 5 3 4 2 2" xfId="43469" xr:uid="{00000000-0005-0000-0000-0000BB4F0000}"/>
    <cellStyle name="Comma 8 5 3 4 2 3" xfId="46490" xr:uid="{00000000-0005-0000-0000-0000BC4F0000}"/>
    <cellStyle name="Comma 8 5 3 4 3" xfId="39115" xr:uid="{00000000-0005-0000-0000-0000BD4F0000}"/>
    <cellStyle name="Comma 8 5 3 4 4" xfId="42141" xr:uid="{00000000-0005-0000-0000-0000BE4F0000}"/>
    <cellStyle name="Comma 8 5 3 4 5" xfId="46491" xr:uid="{00000000-0005-0000-0000-0000BF4F0000}"/>
    <cellStyle name="Comma 8 5 3 4 6" xfId="15896" xr:uid="{00000000-0005-0000-0000-0000C04F0000}"/>
    <cellStyle name="Comma 8 5 3 5" xfId="30394" xr:uid="{00000000-0005-0000-0000-0000C14F0000}"/>
    <cellStyle name="Comma 8 5 3 5 2" xfId="40990" xr:uid="{00000000-0005-0000-0000-0000C24F0000}"/>
    <cellStyle name="Comma 8 5 3 5 2 2" xfId="43725" xr:uid="{00000000-0005-0000-0000-0000C34F0000}"/>
    <cellStyle name="Comma 8 5 3 5 2 3" xfId="46492" xr:uid="{00000000-0005-0000-0000-0000C44F0000}"/>
    <cellStyle name="Comma 8 5 3 5 3" xfId="39419" xr:uid="{00000000-0005-0000-0000-0000C54F0000}"/>
    <cellStyle name="Comma 8 5 3 5 4" xfId="42397" xr:uid="{00000000-0005-0000-0000-0000C64F0000}"/>
    <cellStyle name="Comma 8 5 3 5 5" xfId="46493" xr:uid="{00000000-0005-0000-0000-0000C74F0000}"/>
    <cellStyle name="Comma 8 5 3 6" xfId="30925" xr:uid="{00000000-0005-0000-0000-0000C84F0000}"/>
    <cellStyle name="Comma 8 5 3 6 2" xfId="39928" xr:uid="{00000000-0005-0000-0000-0000C94F0000}"/>
    <cellStyle name="Comma 8 5 3 6 3" xfId="42827" xr:uid="{00000000-0005-0000-0000-0000CA4F0000}"/>
    <cellStyle name="Comma 8 5 3 6 4" xfId="46494" xr:uid="{00000000-0005-0000-0000-0000CB4F0000}"/>
    <cellStyle name="Comma 8 5 3 7" xfId="32217" xr:uid="{00000000-0005-0000-0000-0000CC4F0000}"/>
    <cellStyle name="Comma 8 5 3 8" xfId="32859" xr:uid="{00000000-0005-0000-0000-0000CD4F0000}"/>
    <cellStyle name="Comma 8 5 3 9" xfId="34071" xr:uid="{00000000-0005-0000-0000-0000CE4F0000}"/>
    <cellStyle name="Comma 8 5 4" xfId="4560" xr:uid="{00000000-0005-0000-0000-0000CF4F0000}"/>
    <cellStyle name="Comma 8 5 4 10" xfId="34675" xr:uid="{00000000-0005-0000-0000-0000D04F0000}"/>
    <cellStyle name="Comma 8 5 4 11" xfId="35721" xr:uid="{00000000-0005-0000-0000-0000D14F0000}"/>
    <cellStyle name="Comma 8 5 4 12" xfId="36308" xr:uid="{00000000-0005-0000-0000-0000D24F0000}"/>
    <cellStyle name="Comma 8 5 4 13" xfId="38786" xr:uid="{00000000-0005-0000-0000-0000D34F0000}"/>
    <cellStyle name="Comma 8 5 4 14" xfId="41826" xr:uid="{00000000-0005-0000-0000-0000D44F0000}"/>
    <cellStyle name="Comma 8 5 4 15" xfId="46495" xr:uid="{00000000-0005-0000-0000-0000D54F0000}"/>
    <cellStyle name="Comma 8 5 4 16" xfId="11561" xr:uid="{00000000-0005-0000-0000-0000D64F0000}"/>
    <cellStyle name="Comma 8 5 4 2" xfId="6009" xr:uid="{00000000-0005-0000-0000-0000D74F0000}"/>
    <cellStyle name="Comma 8 5 4 2 2" xfId="31589" xr:uid="{00000000-0005-0000-0000-0000D84F0000}"/>
    <cellStyle name="Comma 8 5 4 2 2 2" xfId="40567" xr:uid="{00000000-0005-0000-0000-0000D94F0000}"/>
    <cellStyle name="Comma 8 5 4 2 2 3" xfId="43361" xr:uid="{00000000-0005-0000-0000-0000DA4F0000}"/>
    <cellStyle name="Comma 8 5 4 2 2 4" xfId="46496" xr:uid="{00000000-0005-0000-0000-0000DB4F0000}"/>
    <cellStyle name="Comma 8 5 4 2 3" xfId="33442" xr:uid="{00000000-0005-0000-0000-0000DC4F0000}"/>
    <cellStyle name="Comma 8 5 4 2 4" xfId="35266" xr:uid="{00000000-0005-0000-0000-0000DD4F0000}"/>
    <cellStyle name="Comma 8 5 4 2 5" xfId="37341" xr:uid="{00000000-0005-0000-0000-0000DE4F0000}"/>
    <cellStyle name="Comma 8 5 4 2 6" xfId="39004" xr:uid="{00000000-0005-0000-0000-0000DF4F0000}"/>
    <cellStyle name="Comma 8 5 4 2 7" xfId="42033" xr:uid="{00000000-0005-0000-0000-0000E04F0000}"/>
    <cellStyle name="Comma 8 5 4 2 8" xfId="46497" xr:uid="{00000000-0005-0000-0000-0000E14F0000}"/>
    <cellStyle name="Comma 8 5 4 2 9" xfId="15182" xr:uid="{00000000-0005-0000-0000-0000E24F0000}"/>
    <cellStyle name="Comma 8 5 4 3" xfId="6330" xr:uid="{00000000-0005-0000-0000-0000E34F0000}"/>
    <cellStyle name="Comma 8 5 4 3 2" xfId="41182" xr:uid="{00000000-0005-0000-0000-0000E44F0000}"/>
    <cellStyle name="Comma 8 5 4 3 2 2" xfId="43872" xr:uid="{00000000-0005-0000-0000-0000E54F0000}"/>
    <cellStyle name="Comma 8 5 4 3 2 3" xfId="46498" xr:uid="{00000000-0005-0000-0000-0000E64F0000}"/>
    <cellStyle name="Comma 8 5 4 3 3" xfId="39601" xr:uid="{00000000-0005-0000-0000-0000E74F0000}"/>
    <cellStyle name="Comma 8 5 4 3 4" xfId="42544" xr:uid="{00000000-0005-0000-0000-0000E84F0000}"/>
    <cellStyle name="Comma 8 5 4 3 5" xfId="46499" xr:uid="{00000000-0005-0000-0000-0000E94F0000}"/>
    <cellStyle name="Comma 8 5 4 3 6" xfId="12224" xr:uid="{00000000-0005-0000-0000-0000EA4F0000}"/>
    <cellStyle name="Comma 8 5 4 4" xfId="15898" xr:uid="{00000000-0005-0000-0000-0000EB4F0000}"/>
    <cellStyle name="Comma 8 5 4 4 2" xfId="40327" xr:uid="{00000000-0005-0000-0000-0000EC4F0000}"/>
    <cellStyle name="Comma 8 5 4 4 3" xfId="43154" xr:uid="{00000000-0005-0000-0000-0000ED4F0000}"/>
    <cellStyle name="Comma 8 5 4 4 4" xfId="46500" xr:uid="{00000000-0005-0000-0000-0000EE4F0000}"/>
    <cellStyle name="Comma 8 5 4 5" xfId="30396" xr:uid="{00000000-0005-0000-0000-0000EF4F0000}"/>
    <cellStyle name="Comma 8 5 4 6" xfId="30998" xr:uid="{00000000-0005-0000-0000-0000F04F0000}"/>
    <cellStyle name="Comma 8 5 4 7" xfId="32219" xr:uid="{00000000-0005-0000-0000-0000F14F0000}"/>
    <cellStyle name="Comma 8 5 4 8" xfId="32861" xr:uid="{00000000-0005-0000-0000-0000F24F0000}"/>
    <cellStyle name="Comma 8 5 4 9" xfId="34073" xr:uid="{00000000-0005-0000-0000-0000F34F0000}"/>
    <cellStyle name="Comma 8 5 5" xfId="4502" xr:uid="{00000000-0005-0000-0000-0000F44F0000}"/>
    <cellStyle name="Comma 8 5 5 10" xfId="35685" xr:uid="{00000000-0005-0000-0000-0000F54F0000}"/>
    <cellStyle name="Comma 8 5 5 11" xfId="36921" xr:uid="{00000000-0005-0000-0000-0000F64F0000}"/>
    <cellStyle name="Comma 8 5 5 12" xfId="38754" xr:uid="{00000000-0005-0000-0000-0000F74F0000}"/>
    <cellStyle name="Comma 8 5 5 13" xfId="41794" xr:uid="{00000000-0005-0000-0000-0000F84F0000}"/>
    <cellStyle name="Comma 8 5 5 14" xfId="46501" xr:uid="{00000000-0005-0000-0000-0000F94F0000}"/>
    <cellStyle name="Comma 8 5 5 15" xfId="12429" xr:uid="{00000000-0005-0000-0000-0000FA4F0000}"/>
    <cellStyle name="Comma 8 5 5 2" xfId="5953" xr:uid="{00000000-0005-0000-0000-0000FB4F0000}"/>
    <cellStyle name="Comma 8 5 5 2 2" xfId="40778" xr:uid="{00000000-0005-0000-0000-0000FC4F0000}"/>
    <cellStyle name="Comma 8 5 5 2 2 2" xfId="43541" xr:uid="{00000000-0005-0000-0000-0000FD4F0000}"/>
    <cellStyle name="Comma 8 5 5 2 2 3" xfId="46502" xr:uid="{00000000-0005-0000-0000-0000FE4F0000}"/>
    <cellStyle name="Comma 8 5 5 2 3" xfId="39205" xr:uid="{00000000-0005-0000-0000-0000FF4F0000}"/>
    <cellStyle name="Comma 8 5 5 2 4" xfId="42213" xr:uid="{00000000-0005-0000-0000-000000500000}"/>
    <cellStyle name="Comma 8 5 5 2 5" xfId="46503" xr:uid="{00000000-0005-0000-0000-000001500000}"/>
    <cellStyle name="Comma 8 5 5 2 6" xfId="15899" xr:uid="{00000000-0005-0000-0000-000002500000}"/>
    <cellStyle name="Comma 8 5 5 3" xfId="30397" xr:uid="{00000000-0005-0000-0000-000003500000}"/>
    <cellStyle name="Comma 8 5 5 3 2" xfId="41128" xr:uid="{00000000-0005-0000-0000-000004500000}"/>
    <cellStyle name="Comma 8 5 5 3 2 2" xfId="43840" xr:uid="{00000000-0005-0000-0000-000005500000}"/>
    <cellStyle name="Comma 8 5 5 3 2 3" xfId="46504" xr:uid="{00000000-0005-0000-0000-000006500000}"/>
    <cellStyle name="Comma 8 5 5 3 3" xfId="39552" xr:uid="{00000000-0005-0000-0000-000007500000}"/>
    <cellStyle name="Comma 8 5 5 3 4" xfId="42512" xr:uid="{00000000-0005-0000-0000-000008500000}"/>
    <cellStyle name="Comma 8 5 5 3 5" xfId="46505" xr:uid="{00000000-0005-0000-0000-000009500000}"/>
    <cellStyle name="Comma 8 5 5 4" xfId="31140" xr:uid="{00000000-0005-0000-0000-00000A500000}"/>
    <cellStyle name="Comma 8 5 5 4 2" xfId="40273" xr:uid="{00000000-0005-0000-0000-00000B500000}"/>
    <cellStyle name="Comma 8 5 5 4 3" xfId="43122" xr:uid="{00000000-0005-0000-0000-00000C500000}"/>
    <cellStyle name="Comma 8 5 5 4 4" xfId="46506" xr:uid="{00000000-0005-0000-0000-00000D500000}"/>
    <cellStyle name="Comma 8 5 5 5" xfId="32220" xr:uid="{00000000-0005-0000-0000-00000E500000}"/>
    <cellStyle name="Comma 8 5 5 6" xfId="32862" xr:uid="{00000000-0005-0000-0000-00000F500000}"/>
    <cellStyle name="Comma 8 5 5 7" xfId="33000" xr:uid="{00000000-0005-0000-0000-000010500000}"/>
    <cellStyle name="Comma 8 5 5 8" xfId="34074" xr:uid="{00000000-0005-0000-0000-000011500000}"/>
    <cellStyle name="Comma 8 5 5 9" xfId="34817" xr:uid="{00000000-0005-0000-0000-000012500000}"/>
    <cellStyle name="Comma 8 5 6" xfId="5688" xr:uid="{00000000-0005-0000-0000-000013500000}"/>
    <cellStyle name="Comma 8 5 6 10" xfId="11775" xr:uid="{00000000-0005-0000-0000-000014500000}"/>
    <cellStyle name="Comma 8 5 6 2" xfId="15900" xr:uid="{00000000-0005-0000-0000-000015500000}"/>
    <cellStyle name="Comma 8 5 6 2 2" xfId="40022" xr:uid="{00000000-0005-0000-0000-000016500000}"/>
    <cellStyle name="Comma 8 5 6 2 3" xfId="42899" xr:uid="{00000000-0005-0000-0000-000017500000}"/>
    <cellStyle name="Comma 8 5 6 2 4" xfId="46507" xr:uid="{00000000-0005-0000-0000-000018500000}"/>
    <cellStyle name="Comma 8 5 6 3" xfId="30398" xr:uid="{00000000-0005-0000-0000-000019500000}"/>
    <cellStyle name="Comma 8 5 6 4" xfId="32221" xr:uid="{00000000-0005-0000-0000-00001A500000}"/>
    <cellStyle name="Comma 8 5 6 5" xfId="32863" xr:uid="{00000000-0005-0000-0000-00001B500000}"/>
    <cellStyle name="Comma 8 5 6 6" xfId="34075" xr:uid="{00000000-0005-0000-0000-00001C500000}"/>
    <cellStyle name="Comma 8 5 6 7" xfId="37631" xr:uid="{00000000-0005-0000-0000-00001D500000}"/>
    <cellStyle name="Comma 8 5 6 8" xfId="41571" xr:uid="{00000000-0005-0000-0000-00001E500000}"/>
    <cellStyle name="Comma 8 5 6 9" xfId="46508" xr:uid="{00000000-0005-0000-0000-00001F500000}"/>
    <cellStyle name="Comma 8 5 7" xfId="6274" xr:uid="{00000000-0005-0000-0000-000020500000}"/>
    <cellStyle name="Comma 8 5 7 2" xfId="40534" xr:uid="{00000000-0005-0000-0000-000021500000}"/>
    <cellStyle name="Comma 8 5 7 2 2" xfId="43335" xr:uid="{00000000-0005-0000-0000-000022500000}"/>
    <cellStyle name="Comma 8 5 7 2 3" xfId="46509" xr:uid="{00000000-0005-0000-0000-000023500000}"/>
    <cellStyle name="Comma 8 5 7 3" xfId="38976" xr:uid="{00000000-0005-0000-0000-000024500000}"/>
    <cellStyle name="Comma 8 5 7 4" xfId="42007" xr:uid="{00000000-0005-0000-0000-000025500000}"/>
    <cellStyle name="Comma 8 5 7 5" xfId="46510" xr:uid="{00000000-0005-0000-0000-000026500000}"/>
    <cellStyle name="Comma 8 5 7 6" xfId="15893" xr:uid="{00000000-0005-0000-0000-000027500000}"/>
    <cellStyle name="Comma 8 5 8" xfId="30391" xr:uid="{00000000-0005-0000-0000-000028500000}"/>
    <cellStyle name="Comma 8 5 8 2" xfId="40873" xr:uid="{00000000-0005-0000-0000-000029500000}"/>
    <cellStyle name="Comma 8 5 8 2 2" xfId="43617" xr:uid="{00000000-0005-0000-0000-00002A500000}"/>
    <cellStyle name="Comma 8 5 8 2 3" xfId="46511" xr:uid="{00000000-0005-0000-0000-00002B500000}"/>
    <cellStyle name="Comma 8 5 8 3" xfId="39308" xr:uid="{00000000-0005-0000-0000-00002C500000}"/>
    <cellStyle name="Comma 8 5 8 4" xfId="42289" xr:uid="{00000000-0005-0000-0000-00002D500000}"/>
    <cellStyle name="Comma 8 5 8 5" xfId="46512" xr:uid="{00000000-0005-0000-0000-00002E500000}"/>
    <cellStyle name="Comma 8 5 9" xfId="30549" xr:uid="{00000000-0005-0000-0000-00002F500000}"/>
    <cellStyle name="Comma 8 5 9 2" xfId="39846" xr:uid="{00000000-0005-0000-0000-000030500000}"/>
    <cellStyle name="Comma 8 5 9 3" xfId="42754" xr:uid="{00000000-0005-0000-0000-000031500000}"/>
    <cellStyle name="Comma 8 5 9 4" xfId="46513" xr:uid="{00000000-0005-0000-0000-000032500000}"/>
    <cellStyle name="Comma 8 6" xfId="2852" xr:uid="{00000000-0005-0000-0000-000033500000}"/>
    <cellStyle name="Comma 8 6 10" xfId="34076" xr:uid="{00000000-0005-0000-0000-000034500000}"/>
    <cellStyle name="Comma 8 6 11" xfId="34604" xr:uid="{00000000-0005-0000-0000-000035500000}"/>
    <cellStyle name="Comma 8 6 12" xfId="35414" xr:uid="{00000000-0005-0000-0000-000036500000}"/>
    <cellStyle name="Comma 8 6 13" xfId="36277" xr:uid="{00000000-0005-0000-0000-000037500000}"/>
    <cellStyle name="Comma 8 6 14" xfId="37480" xr:uid="{00000000-0005-0000-0000-000038500000}"/>
    <cellStyle name="Comma 8 6 15" xfId="41427" xr:uid="{00000000-0005-0000-0000-000039500000}"/>
    <cellStyle name="Comma 8 6 16" xfId="46514" xr:uid="{00000000-0005-0000-0000-00003A500000}"/>
    <cellStyle name="Comma 8 6 17" xfId="8937" xr:uid="{00000000-0005-0000-0000-00003B500000}"/>
    <cellStyle name="Comma 8 6 2" xfId="2853" xr:uid="{00000000-0005-0000-0000-00003C500000}"/>
    <cellStyle name="Comma 8 6 2 10" xfId="34676" xr:uid="{00000000-0005-0000-0000-00003D500000}"/>
    <cellStyle name="Comma 8 6 2 11" xfId="35415" xr:uid="{00000000-0005-0000-0000-00003E500000}"/>
    <cellStyle name="Comma 8 6 2 12" xfId="36278" xr:uid="{00000000-0005-0000-0000-00003F500000}"/>
    <cellStyle name="Comma 8 6 2 13" xfId="37597" xr:uid="{00000000-0005-0000-0000-000040500000}"/>
    <cellStyle name="Comma 8 6 2 14" xfId="41543" xr:uid="{00000000-0005-0000-0000-000041500000}"/>
    <cellStyle name="Comma 8 6 2 15" xfId="46515" xr:uid="{00000000-0005-0000-0000-000042500000}"/>
    <cellStyle name="Comma 8 6 2 16" xfId="11562" xr:uid="{00000000-0005-0000-0000-000043500000}"/>
    <cellStyle name="Comma 8 6 2 2" xfId="5164" xr:uid="{00000000-0005-0000-0000-000044500000}"/>
    <cellStyle name="Comma 8 6 2 2 10" xfId="36119" xr:uid="{00000000-0005-0000-0000-000045500000}"/>
    <cellStyle name="Comma 8 6 2 2 11" xfId="36419" xr:uid="{00000000-0005-0000-0000-000046500000}"/>
    <cellStyle name="Comma 8 6 2 2 12" xfId="38898" xr:uid="{00000000-0005-0000-0000-000047500000}"/>
    <cellStyle name="Comma 8 6 2 2 13" xfId="41937" xr:uid="{00000000-0005-0000-0000-000048500000}"/>
    <cellStyle name="Comma 8 6 2 2 14" xfId="46516" xr:uid="{00000000-0005-0000-0000-000049500000}"/>
    <cellStyle name="Comma 8 6 2 2 15" xfId="15183" xr:uid="{00000000-0005-0000-0000-00004A500000}"/>
    <cellStyle name="Comma 8 6 2 2 2" xfId="6133" xr:uid="{00000000-0005-0000-0000-00004B500000}"/>
    <cellStyle name="Comma 8 6 2 2 2 2" xfId="40833" xr:uid="{00000000-0005-0000-0000-00004C500000}"/>
    <cellStyle name="Comma 8 6 2 2 2 2 2" xfId="43588" xr:uid="{00000000-0005-0000-0000-00004D500000}"/>
    <cellStyle name="Comma 8 6 2 2 2 2 3" xfId="46517" xr:uid="{00000000-0005-0000-0000-00004E500000}"/>
    <cellStyle name="Comma 8 6 2 2 2 3" xfId="39270" xr:uid="{00000000-0005-0000-0000-00004F500000}"/>
    <cellStyle name="Comma 8 6 2 2 2 4" xfId="42260" xr:uid="{00000000-0005-0000-0000-000050500000}"/>
    <cellStyle name="Comma 8 6 2 2 2 5" xfId="46518" xr:uid="{00000000-0005-0000-0000-000051500000}"/>
    <cellStyle name="Comma 8 6 2 2 2 6" xfId="15903" xr:uid="{00000000-0005-0000-0000-000052500000}"/>
    <cellStyle name="Comma 8 6 2 2 3" xfId="6453" xr:uid="{00000000-0005-0000-0000-000053500000}"/>
    <cellStyle name="Comma 8 6 2 2 3 2" xfId="41303" xr:uid="{00000000-0005-0000-0000-000054500000}"/>
    <cellStyle name="Comma 8 6 2 2 3 2 2" xfId="43983" xr:uid="{00000000-0005-0000-0000-000055500000}"/>
    <cellStyle name="Comma 8 6 2 2 3 2 3" xfId="46519" xr:uid="{00000000-0005-0000-0000-000056500000}"/>
    <cellStyle name="Comma 8 6 2 2 3 3" xfId="39720" xr:uid="{00000000-0005-0000-0000-000057500000}"/>
    <cellStyle name="Comma 8 6 2 2 3 4" xfId="42655" xr:uid="{00000000-0005-0000-0000-000058500000}"/>
    <cellStyle name="Comma 8 6 2 2 3 5" xfId="46520" xr:uid="{00000000-0005-0000-0000-000059500000}"/>
    <cellStyle name="Comma 8 6 2 2 3 6" xfId="30401" xr:uid="{00000000-0005-0000-0000-00005A500000}"/>
    <cellStyle name="Comma 8 6 2 2 4" xfId="31590" xr:uid="{00000000-0005-0000-0000-00005B500000}"/>
    <cellStyle name="Comma 8 6 2 2 4 2" xfId="40447" xr:uid="{00000000-0005-0000-0000-00005C500000}"/>
    <cellStyle name="Comma 8 6 2 2 4 3" xfId="43265" xr:uid="{00000000-0005-0000-0000-00005D500000}"/>
    <cellStyle name="Comma 8 6 2 2 4 4" xfId="46521" xr:uid="{00000000-0005-0000-0000-00005E500000}"/>
    <cellStyle name="Comma 8 6 2 2 5" xfId="32224" xr:uid="{00000000-0005-0000-0000-00005F500000}"/>
    <cellStyle name="Comma 8 6 2 2 6" xfId="32866" xr:uid="{00000000-0005-0000-0000-000060500000}"/>
    <cellStyle name="Comma 8 6 2 2 7" xfId="33443" xr:uid="{00000000-0005-0000-0000-000061500000}"/>
    <cellStyle name="Comma 8 6 2 2 8" xfId="34078" xr:uid="{00000000-0005-0000-0000-000062500000}"/>
    <cellStyle name="Comma 8 6 2 2 9" xfId="35267" xr:uid="{00000000-0005-0000-0000-000063500000}"/>
    <cellStyle name="Comma 8 6 2 3" xfId="4505" xr:uid="{00000000-0005-0000-0000-000064500000}"/>
    <cellStyle name="Comma 8 6 2 3 2" xfId="5956" xr:uid="{00000000-0005-0000-0000-000065500000}"/>
    <cellStyle name="Comma 8 6 2 3 2 2" xfId="41131" xr:uid="{00000000-0005-0000-0000-000066500000}"/>
    <cellStyle name="Comma 8 6 2 3 2 2 2" xfId="43843" xr:uid="{00000000-0005-0000-0000-000067500000}"/>
    <cellStyle name="Comma 8 6 2 3 2 2 3" xfId="46522" xr:uid="{00000000-0005-0000-0000-000068500000}"/>
    <cellStyle name="Comma 8 6 2 3 2 3" xfId="39555" xr:uid="{00000000-0005-0000-0000-000069500000}"/>
    <cellStyle name="Comma 8 6 2 3 2 4" xfId="42515" xr:uid="{00000000-0005-0000-0000-00006A500000}"/>
    <cellStyle name="Comma 8 6 2 3 2 5" xfId="46523" xr:uid="{00000000-0005-0000-0000-00006B500000}"/>
    <cellStyle name="Comma 8 6 2 3 2 6" xfId="35688" xr:uid="{00000000-0005-0000-0000-00006C500000}"/>
    <cellStyle name="Comma 8 6 2 3 3" xfId="40276" xr:uid="{00000000-0005-0000-0000-00006D500000}"/>
    <cellStyle name="Comma 8 6 2 3 3 2" xfId="43125" xr:uid="{00000000-0005-0000-0000-00006E500000}"/>
    <cellStyle name="Comma 8 6 2 3 3 3" xfId="46524" xr:uid="{00000000-0005-0000-0000-00006F500000}"/>
    <cellStyle name="Comma 8 6 2 3 4" xfId="38757" xr:uid="{00000000-0005-0000-0000-000070500000}"/>
    <cellStyle name="Comma 8 6 2 3 5" xfId="41797" xr:uid="{00000000-0005-0000-0000-000071500000}"/>
    <cellStyle name="Comma 8 6 2 3 6" xfId="46525" xr:uid="{00000000-0005-0000-0000-000072500000}"/>
    <cellStyle name="Comma 8 6 2 3 7" xfId="12225" xr:uid="{00000000-0005-0000-0000-000073500000}"/>
    <cellStyle name="Comma 8 6 2 4" xfId="5818" xr:uid="{00000000-0005-0000-0000-000074500000}"/>
    <cellStyle name="Comma 8 6 2 4 2" xfId="40141" xr:uid="{00000000-0005-0000-0000-000075500000}"/>
    <cellStyle name="Comma 8 6 2 4 2 2" xfId="43010" xr:uid="{00000000-0005-0000-0000-000076500000}"/>
    <cellStyle name="Comma 8 6 2 4 2 3" xfId="46526" xr:uid="{00000000-0005-0000-0000-000077500000}"/>
    <cellStyle name="Comma 8 6 2 4 3" xfId="38185" xr:uid="{00000000-0005-0000-0000-000078500000}"/>
    <cellStyle name="Comma 8 6 2 4 4" xfId="41682" xr:uid="{00000000-0005-0000-0000-000079500000}"/>
    <cellStyle name="Comma 8 6 2 4 5" xfId="46527" xr:uid="{00000000-0005-0000-0000-00007A500000}"/>
    <cellStyle name="Comma 8 6 2 4 6" xfId="15902" xr:uid="{00000000-0005-0000-0000-00007B500000}"/>
    <cellStyle name="Comma 8 6 2 5" xfId="6277" xr:uid="{00000000-0005-0000-0000-00007C500000}"/>
    <cellStyle name="Comma 8 6 2 5 2" xfId="40686" xr:uid="{00000000-0005-0000-0000-00007D500000}"/>
    <cellStyle name="Comma 8 6 2 5 2 2" xfId="43472" xr:uid="{00000000-0005-0000-0000-00007E500000}"/>
    <cellStyle name="Comma 8 6 2 5 2 3" xfId="46528" xr:uid="{00000000-0005-0000-0000-00007F500000}"/>
    <cellStyle name="Comma 8 6 2 5 3" xfId="39118" xr:uid="{00000000-0005-0000-0000-000080500000}"/>
    <cellStyle name="Comma 8 6 2 5 4" xfId="42144" xr:uid="{00000000-0005-0000-0000-000081500000}"/>
    <cellStyle name="Comma 8 6 2 5 5" xfId="46529" xr:uid="{00000000-0005-0000-0000-000082500000}"/>
    <cellStyle name="Comma 8 6 2 5 6" xfId="30400" xr:uid="{00000000-0005-0000-0000-000083500000}"/>
    <cellStyle name="Comma 8 6 2 6" xfId="30999" xr:uid="{00000000-0005-0000-0000-000084500000}"/>
    <cellStyle name="Comma 8 6 2 6 2" xfId="40993" xr:uid="{00000000-0005-0000-0000-000085500000}"/>
    <cellStyle name="Comma 8 6 2 6 2 2" xfId="43728" xr:uid="{00000000-0005-0000-0000-000086500000}"/>
    <cellStyle name="Comma 8 6 2 6 2 3" xfId="46530" xr:uid="{00000000-0005-0000-0000-000087500000}"/>
    <cellStyle name="Comma 8 6 2 6 3" xfId="39422" xr:uid="{00000000-0005-0000-0000-000088500000}"/>
    <cellStyle name="Comma 8 6 2 6 4" xfId="42400" xr:uid="{00000000-0005-0000-0000-000089500000}"/>
    <cellStyle name="Comma 8 6 2 6 5" xfId="46531" xr:uid="{00000000-0005-0000-0000-00008A500000}"/>
    <cellStyle name="Comma 8 6 2 7" xfId="32223" xr:uid="{00000000-0005-0000-0000-00008B500000}"/>
    <cellStyle name="Comma 8 6 2 7 2" xfId="39983" xr:uid="{00000000-0005-0000-0000-00008C500000}"/>
    <cellStyle name="Comma 8 6 2 7 3" xfId="42871" xr:uid="{00000000-0005-0000-0000-00008D500000}"/>
    <cellStyle name="Comma 8 6 2 7 4" xfId="46532" xr:uid="{00000000-0005-0000-0000-00008E500000}"/>
    <cellStyle name="Comma 8 6 2 8" xfId="32865" xr:uid="{00000000-0005-0000-0000-00008F500000}"/>
    <cellStyle name="Comma 8 6 2 9" xfId="34077" xr:uid="{00000000-0005-0000-0000-000090500000}"/>
    <cellStyle name="Comma 8 6 3" xfId="5163" xr:uid="{00000000-0005-0000-0000-000091500000}"/>
    <cellStyle name="Comma 8 6 3 10" xfId="12936" xr:uid="{00000000-0005-0000-0000-000092500000}"/>
    <cellStyle name="Comma 8 6 3 2" xfId="6132" xr:uid="{00000000-0005-0000-0000-000093500000}"/>
    <cellStyle name="Comma 8 6 3 2 2" xfId="40446" xr:uid="{00000000-0005-0000-0000-000094500000}"/>
    <cellStyle name="Comma 8 6 3 2 2 2" xfId="43264" xr:uid="{00000000-0005-0000-0000-000095500000}"/>
    <cellStyle name="Comma 8 6 3 2 2 3" xfId="46533" xr:uid="{00000000-0005-0000-0000-000096500000}"/>
    <cellStyle name="Comma 8 6 3 2 3" xfId="38897" xr:uid="{00000000-0005-0000-0000-000097500000}"/>
    <cellStyle name="Comma 8 6 3 2 4" xfId="41936" xr:uid="{00000000-0005-0000-0000-000098500000}"/>
    <cellStyle name="Comma 8 6 3 2 5" xfId="46534" xr:uid="{00000000-0005-0000-0000-000099500000}"/>
    <cellStyle name="Comma 8 6 3 2 6" xfId="31518" xr:uid="{00000000-0005-0000-0000-00009A500000}"/>
    <cellStyle name="Comma 8 6 3 3" xfId="6452" xr:uid="{00000000-0005-0000-0000-00009B500000}"/>
    <cellStyle name="Comma 8 6 3 3 2" xfId="40832" xr:uid="{00000000-0005-0000-0000-00009C500000}"/>
    <cellStyle name="Comma 8 6 3 3 2 2" xfId="43587" xr:uid="{00000000-0005-0000-0000-00009D500000}"/>
    <cellStyle name="Comma 8 6 3 3 2 3" xfId="46535" xr:uid="{00000000-0005-0000-0000-00009E500000}"/>
    <cellStyle name="Comma 8 6 3 3 3" xfId="39269" xr:uid="{00000000-0005-0000-0000-00009F500000}"/>
    <cellStyle name="Comma 8 6 3 3 4" xfId="42259" xr:uid="{00000000-0005-0000-0000-0000A0500000}"/>
    <cellStyle name="Comma 8 6 3 3 5" xfId="46536" xr:uid="{00000000-0005-0000-0000-0000A1500000}"/>
    <cellStyle name="Comma 8 6 3 3 6" xfId="33371" xr:uid="{00000000-0005-0000-0000-0000A2500000}"/>
    <cellStyle name="Comma 8 6 3 4" xfId="35195" xr:uid="{00000000-0005-0000-0000-0000A3500000}"/>
    <cellStyle name="Comma 8 6 3 4 2" xfId="41302" xr:uid="{00000000-0005-0000-0000-0000A4500000}"/>
    <cellStyle name="Comma 8 6 3 4 2 2" xfId="43982" xr:uid="{00000000-0005-0000-0000-0000A5500000}"/>
    <cellStyle name="Comma 8 6 3 4 2 3" xfId="46537" xr:uid="{00000000-0005-0000-0000-0000A6500000}"/>
    <cellStyle name="Comma 8 6 3 4 3" xfId="39719" xr:uid="{00000000-0005-0000-0000-0000A7500000}"/>
    <cellStyle name="Comma 8 6 3 4 4" xfId="42654" xr:uid="{00000000-0005-0000-0000-0000A8500000}"/>
    <cellStyle name="Comma 8 6 3 4 5" xfId="46538" xr:uid="{00000000-0005-0000-0000-0000A9500000}"/>
    <cellStyle name="Comma 8 6 3 5" xfId="36118" xr:uid="{00000000-0005-0000-0000-0000AA500000}"/>
    <cellStyle name="Comma 8 6 3 5 2" xfId="39929" xr:uid="{00000000-0005-0000-0000-0000AB500000}"/>
    <cellStyle name="Comma 8 6 3 5 3" xfId="42828" xr:uid="{00000000-0005-0000-0000-0000AC500000}"/>
    <cellStyle name="Comma 8 6 3 5 4" xfId="46539" xr:uid="{00000000-0005-0000-0000-0000AD500000}"/>
    <cellStyle name="Comma 8 6 3 6" xfId="36418" xr:uid="{00000000-0005-0000-0000-0000AE500000}"/>
    <cellStyle name="Comma 8 6 3 7" xfId="37554" xr:uid="{00000000-0005-0000-0000-0000AF500000}"/>
    <cellStyle name="Comma 8 6 3 8" xfId="41500" xr:uid="{00000000-0005-0000-0000-0000B0500000}"/>
    <cellStyle name="Comma 8 6 3 9" xfId="46540" xr:uid="{00000000-0005-0000-0000-0000B1500000}"/>
    <cellStyle name="Comma 8 6 4" xfId="4504" xr:uid="{00000000-0005-0000-0000-0000B2500000}"/>
    <cellStyle name="Comma 8 6 4 2" xfId="5955" xr:uid="{00000000-0005-0000-0000-0000B3500000}"/>
    <cellStyle name="Comma 8 6 4 2 2" xfId="41130" xr:uid="{00000000-0005-0000-0000-0000B4500000}"/>
    <cellStyle name="Comma 8 6 4 2 2 2" xfId="43842" xr:uid="{00000000-0005-0000-0000-0000B5500000}"/>
    <cellStyle name="Comma 8 6 4 2 2 3" xfId="46541" xr:uid="{00000000-0005-0000-0000-0000B6500000}"/>
    <cellStyle name="Comma 8 6 4 2 3" xfId="39554" xr:uid="{00000000-0005-0000-0000-0000B7500000}"/>
    <cellStyle name="Comma 8 6 4 2 4" xfId="42514" xr:uid="{00000000-0005-0000-0000-0000B8500000}"/>
    <cellStyle name="Comma 8 6 4 2 5" xfId="46542" xr:uid="{00000000-0005-0000-0000-0000B9500000}"/>
    <cellStyle name="Comma 8 6 4 2 6" xfId="35687" xr:uid="{00000000-0005-0000-0000-0000BA500000}"/>
    <cellStyle name="Comma 8 6 4 3" xfId="40275" xr:uid="{00000000-0005-0000-0000-0000BB500000}"/>
    <cellStyle name="Comma 8 6 4 3 2" xfId="43124" xr:uid="{00000000-0005-0000-0000-0000BC500000}"/>
    <cellStyle name="Comma 8 6 4 3 3" xfId="46543" xr:uid="{00000000-0005-0000-0000-0000BD500000}"/>
    <cellStyle name="Comma 8 6 4 4" xfId="38756" xr:uid="{00000000-0005-0000-0000-0000BE500000}"/>
    <cellStyle name="Comma 8 6 4 5" xfId="41796" xr:uid="{00000000-0005-0000-0000-0000BF500000}"/>
    <cellStyle name="Comma 8 6 4 6" xfId="46544" xr:uid="{00000000-0005-0000-0000-0000C0500000}"/>
    <cellStyle name="Comma 8 6 4 7" xfId="12153" xr:uid="{00000000-0005-0000-0000-0000C1500000}"/>
    <cellStyle name="Comma 8 6 5" xfId="5817" xr:uid="{00000000-0005-0000-0000-0000C2500000}"/>
    <cellStyle name="Comma 8 6 5 2" xfId="40140" xr:uid="{00000000-0005-0000-0000-0000C3500000}"/>
    <cellStyle name="Comma 8 6 5 2 2" xfId="43009" xr:uid="{00000000-0005-0000-0000-0000C4500000}"/>
    <cellStyle name="Comma 8 6 5 2 3" xfId="46545" xr:uid="{00000000-0005-0000-0000-0000C5500000}"/>
    <cellStyle name="Comma 8 6 5 3" xfId="38184" xr:uid="{00000000-0005-0000-0000-0000C6500000}"/>
    <cellStyle name="Comma 8 6 5 4" xfId="41681" xr:uid="{00000000-0005-0000-0000-0000C7500000}"/>
    <cellStyle name="Comma 8 6 5 5" xfId="46546" xr:uid="{00000000-0005-0000-0000-0000C8500000}"/>
    <cellStyle name="Comma 8 6 5 6" xfId="15901" xr:uid="{00000000-0005-0000-0000-0000C9500000}"/>
    <cellStyle name="Comma 8 6 6" xfId="6276" xr:uid="{00000000-0005-0000-0000-0000CA500000}"/>
    <cellStyle name="Comma 8 6 6 2" xfId="40685" xr:uid="{00000000-0005-0000-0000-0000CB500000}"/>
    <cellStyle name="Comma 8 6 6 2 2" xfId="43471" xr:uid="{00000000-0005-0000-0000-0000CC500000}"/>
    <cellStyle name="Comma 8 6 6 2 3" xfId="46547" xr:uid="{00000000-0005-0000-0000-0000CD500000}"/>
    <cellStyle name="Comma 8 6 6 3" xfId="39117" xr:uid="{00000000-0005-0000-0000-0000CE500000}"/>
    <cellStyle name="Comma 8 6 6 4" xfId="42143" xr:uid="{00000000-0005-0000-0000-0000CF500000}"/>
    <cellStyle name="Comma 8 6 6 5" xfId="46548" xr:uid="{00000000-0005-0000-0000-0000D0500000}"/>
    <cellStyle name="Comma 8 6 6 6" xfId="30399" xr:uid="{00000000-0005-0000-0000-0000D1500000}"/>
    <cellStyle name="Comma 8 6 7" xfId="30927" xr:uid="{00000000-0005-0000-0000-0000D2500000}"/>
    <cellStyle name="Comma 8 6 7 2" xfId="40992" xr:uid="{00000000-0005-0000-0000-0000D3500000}"/>
    <cellStyle name="Comma 8 6 7 2 2" xfId="43727" xr:uid="{00000000-0005-0000-0000-0000D4500000}"/>
    <cellStyle name="Comma 8 6 7 2 3" xfId="46549" xr:uid="{00000000-0005-0000-0000-0000D5500000}"/>
    <cellStyle name="Comma 8 6 7 3" xfId="39421" xr:uid="{00000000-0005-0000-0000-0000D6500000}"/>
    <cellStyle name="Comma 8 6 7 4" xfId="42399" xr:uid="{00000000-0005-0000-0000-0000D7500000}"/>
    <cellStyle name="Comma 8 6 7 5" xfId="46550" xr:uid="{00000000-0005-0000-0000-0000D8500000}"/>
    <cellStyle name="Comma 8 6 8" xfId="32222" xr:uid="{00000000-0005-0000-0000-0000D9500000}"/>
    <cellStyle name="Comma 8 6 8 2" xfId="39847" xr:uid="{00000000-0005-0000-0000-0000DA500000}"/>
    <cellStyle name="Comma 8 6 8 3" xfId="42755" xr:uid="{00000000-0005-0000-0000-0000DB500000}"/>
    <cellStyle name="Comma 8 6 8 4" xfId="46551" xr:uid="{00000000-0005-0000-0000-0000DC500000}"/>
    <cellStyle name="Comma 8 6 9" xfId="32864" xr:uid="{00000000-0005-0000-0000-0000DD500000}"/>
    <cellStyle name="Comma 8 7" xfId="2854" xr:uid="{00000000-0005-0000-0000-0000DE500000}"/>
    <cellStyle name="Comma 8 7 10" xfId="34591" xr:uid="{00000000-0005-0000-0000-0000DF500000}"/>
    <cellStyle name="Comma 8 7 11" xfId="35416" xr:uid="{00000000-0005-0000-0000-0000E0500000}"/>
    <cellStyle name="Comma 8 7 12" xfId="36279" xr:uid="{00000000-0005-0000-0000-0000E1500000}"/>
    <cellStyle name="Comma 8 7 13" xfId="37470" xr:uid="{00000000-0005-0000-0000-0000E2500000}"/>
    <cellStyle name="Comma 8 7 14" xfId="41417" xr:uid="{00000000-0005-0000-0000-0000E3500000}"/>
    <cellStyle name="Comma 8 7 15" xfId="46552" xr:uid="{00000000-0005-0000-0000-0000E4500000}"/>
    <cellStyle name="Comma 8 7 16" xfId="8924" xr:uid="{00000000-0005-0000-0000-0000E5500000}"/>
    <cellStyle name="Comma 8 7 2" xfId="5165" xr:uid="{00000000-0005-0000-0000-0000E6500000}"/>
    <cellStyle name="Comma 8 7 2 10" xfId="12923" xr:uid="{00000000-0005-0000-0000-0000E7500000}"/>
    <cellStyle name="Comma 8 7 2 2" xfId="6134" xr:uid="{00000000-0005-0000-0000-0000E8500000}"/>
    <cellStyle name="Comma 8 7 2 2 2" xfId="40448" xr:uid="{00000000-0005-0000-0000-0000E9500000}"/>
    <cellStyle name="Comma 8 7 2 2 2 2" xfId="43266" xr:uid="{00000000-0005-0000-0000-0000EA500000}"/>
    <cellStyle name="Comma 8 7 2 2 2 3" xfId="46553" xr:uid="{00000000-0005-0000-0000-0000EB500000}"/>
    <cellStyle name="Comma 8 7 2 2 3" xfId="38899" xr:uid="{00000000-0005-0000-0000-0000EC500000}"/>
    <cellStyle name="Comma 8 7 2 2 4" xfId="41938" xr:uid="{00000000-0005-0000-0000-0000ED500000}"/>
    <cellStyle name="Comma 8 7 2 2 5" xfId="46554" xr:uid="{00000000-0005-0000-0000-0000EE500000}"/>
    <cellStyle name="Comma 8 7 2 2 6" xfId="31505" xr:uid="{00000000-0005-0000-0000-0000EF500000}"/>
    <cellStyle name="Comma 8 7 2 3" xfId="6454" xr:uid="{00000000-0005-0000-0000-0000F0500000}"/>
    <cellStyle name="Comma 8 7 2 3 2" xfId="40834" xr:uid="{00000000-0005-0000-0000-0000F1500000}"/>
    <cellStyle name="Comma 8 7 2 3 2 2" xfId="43589" xr:uid="{00000000-0005-0000-0000-0000F2500000}"/>
    <cellStyle name="Comma 8 7 2 3 2 3" xfId="46555" xr:uid="{00000000-0005-0000-0000-0000F3500000}"/>
    <cellStyle name="Comma 8 7 2 3 3" xfId="39271" xr:uid="{00000000-0005-0000-0000-0000F4500000}"/>
    <cellStyle name="Comma 8 7 2 3 4" xfId="42261" xr:uid="{00000000-0005-0000-0000-0000F5500000}"/>
    <cellStyle name="Comma 8 7 2 3 5" xfId="46556" xr:uid="{00000000-0005-0000-0000-0000F6500000}"/>
    <cellStyle name="Comma 8 7 2 3 6" xfId="33358" xr:uid="{00000000-0005-0000-0000-0000F7500000}"/>
    <cellStyle name="Comma 8 7 2 4" xfId="35182" xr:uid="{00000000-0005-0000-0000-0000F8500000}"/>
    <cellStyle name="Comma 8 7 2 4 2" xfId="41304" xr:uid="{00000000-0005-0000-0000-0000F9500000}"/>
    <cellStyle name="Comma 8 7 2 4 2 2" xfId="43984" xr:uid="{00000000-0005-0000-0000-0000FA500000}"/>
    <cellStyle name="Comma 8 7 2 4 2 3" xfId="46557" xr:uid="{00000000-0005-0000-0000-0000FB500000}"/>
    <cellStyle name="Comma 8 7 2 4 3" xfId="39721" xr:uid="{00000000-0005-0000-0000-0000FC500000}"/>
    <cellStyle name="Comma 8 7 2 4 4" xfId="42656" xr:uid="{00000000-0005-0000-0000-0000FD500000}"/>
    <cellStyle name="Comma 8 7 2 4 5" xfId="46558" xr:uid="{00000000-0005-0000-0000-0000FE500000}"/>
    <cellStyle name="Comma 8 7 2 5" xfId="36120" xr:uid="{00000000-0005-0000-0000-0000FF500000}"/>
    <cellStyle name="Comma 8 7 2 5 2" xfId="39974" xr:uid="{00000000-0005-0000-0000-000000510000}"/>
    <cellStyle name="Comma 8 7 2 5 3" xfId="42862" xr:uid="{00000000-0005-0000-0000-000001510000}"/>
    <cellStyle name="Comma 8 7 2 5 4" xfId="46559" xr:uid="{00000000-0005-0000-0000-000002510000}"/>
    <cellStyle name="Comma 8 7 2 6" xfId="36420" xr:uid="{00000000-0005-0000-0000-000003510000}"/>
    <cellStyle name="Comma 8 7 2 7" xfId="37588" xr:uid="{00000000-0005-0000-0000-000004510000}"/>
    <cellStyle name="Comma 8 7 2 8" xfId="41534" xr:uid="{00000000-0005-0000-0000-000005510000}"/>
    <cellStyle name="Comma 8 7 2 9" xfId="46560" xr:uid="{00000000-0005-0000-0000-000006510000}"/>
    <cellStyle name="Comma 8 7 3" xfId="4506" xr:uid="{00000000-0005-0000-0000-000007510000}"/>
    <cellStyle name="Comma 8 7 3 2" xfId="5957" xr:uid="{00000000-0005-0000-0000-000008510000}"/>
    <cellStyle name="Comma 8 7 3 2 2" xfId="41132" xr:uid="{00000000-0005-0000-0000-000009510000}"/>
    <cellStyle name="Comma 8 7 3 2 2 2" xfId="43844" xr:uid="{00000000-0005-0000-0000-00000A510000}"/>
    <cellStyle name="Comma 8 7 3 2 2 3" xfId="46561" xr:uid="{00000000-0005-0000-0000-00000B510000}"/>
    <cellStyle name="Comma 8 7 3 2 3" xfId="39556" xr:uid="{00000000-0005-0000-0000-00000C510000}"/>
    <cellStyle name="Comma 8 7 3 2 4" xfId="42516" xr:uid="{00000000-0005-0000-0000-00000D510000}"/>
    <cellStyle name="Comma 8 7 3 2 5" xfId="46562" xr:uid="{00000000-0005-0000-0000-00000E510000}"/>
    <cellStyle name="Comma 8 7 3 2 6" xfId="35689" xr:uid="{00000000-0005-0000-0000-00000F510000}"/>
    <cellStyle name="Comma 8 7 3 3" xfId="40277" xr:uid="{00000000-0005-0000-0000-000010510000}"/>
    <cellStyle name="Comma 8 7 3 3 2" xfId="43126" xr:uid="{00000000-0005-0000-0000-000011510000}"/>
    <cellStyle name="Comma 8 7 3 3 3" xfId="46563" xr:uid="{00000000-0005-0000-0000-000012510000}"/>
    <cellStyle name="Comma 8 7 3 4" xfId="38758" xr:uid="{00000000-0005-0000-0000-000013510000}"/>
    <cellStyle name="Comma 8 7 3 5" xfId="41798" xr:uid="{00000000-0005-0000-0000-000014510000}"/>
    <cellStyle name="Comma 8 7 3 6" xfId="46564" xr:uid="{00000000-0005-0000-0000-000015510000}"/>
    <cellStyle name="Comma 8 7 3 7" xfId="12140" xr:uid="{00000000-0005-0000-0000-000016510000}"/>
    <cellStyle name="Comma 8 7 4" xfId="5819" xr:uid="{00000000-0005-0000-0000-000017510000}"/>
    <cellStyle name="Comma 8 7 4 2" xfId="40142" xr:uid="{00000000-0005-0000-0000-000018510000}"/>
    <cellStyle name="Comma 8 7 4 2 2" xfId="43011" xr:uid="{00000000-0005-0000-0000-000019510000}"/>
    <cellStyle name="Comma 8 7 4 2 3" xfId="46565" xr:uid="{00000000-0005-0000-0000-00001A510000}"/>
    <cellStyle name="Comma 8 7 4 3" xfId="38186" xr:uid="{00000000-0005-0000-0000-00001B510000}"/>
    <cellStyle name="Comma 8 7 4 4" xfId="41683" xr:uid="{00000000-0005-0000-0000-00001C510000}"/>
    <cellStyle name="Comma 8 7 4 5" xfId="46566" xr:uid="{00000000-0005-0000-0000-00001D510000}"/>
    <cellStyle name="Comma 8 7 4 6" xfId="15904" xr:uid="{00000000-0005-0000-0000-00001E510000}"/>
    <cellStyle name="Comma 8 7 5" xfId="6278" xr:uid="{00000000-0005-0000-0000-00001F510000}"/>
    <cellStyle name="Comma 8 7 5 2" xfId="40687" xr:uid="{00000000-0005-0000-0000-000020510000}"/>
    <cellStyle name="Comma 8 7 5 2 2" xfId="43473" xr:uid="{00000000-0005-0000-0000-000021510000}"/>
    <cellStyle name="Comma 8 7 5 2 3" xfId="46567" xr:uid="{00000000-0005-0000-0000-000022510000}"/>
    <cellStyle name="Comma 8 7 5 3" xfId="39119" xr:uid="{00000000-0005-0000-0000-000023510000}"/>
    <cellStyle name="Comma 8 7 5 4" xfId="42145" xr:uid="{00000000-0005-0000-0000-000024510000}"/>
    <cellStyle name="Comma 8 7 5 5" xfId="46568" xr:uid="{00000000-0005-0000-0000-000025510000}"/>
    <cellStyle name="Comma 8 7 5 6" xfId="30402" xr:uid="{00000000-0005-0000-0000-000026510000}"/>
    <cellStyle name="Comma 8 7 6" xfId="30914" xr:uid="{00000000-0005-0000-0000-000027510000}"/>
    <cellStyle name="Comma 8 7 6 2" xfId="40994" xr:uid="{00000000-0005-0000-0000-000028510000}"/>
    <cellStyle name="Comma 8 7 6 2 2" xfId="43729" xr:uid="{00000000-0005-0000-0000-000029510000}"/>
    <cellStyle name="Comma 8 7 6 2 3" xfId="46569" xr:uid="{00000000-0005-0000-0000-00002A510000}"/>
    <cellStyle name="Comma 8 7 6 3" xfId="39423" xr:uid="{00000000-0005-0000-0000-00002B510000}"/>
    <cellStyle name="Comma 8 7 6 4" xfId="42401" xr:uid="{00000000-0005-0000-0000-00002C510000}"/>
    <cellStyle name="Comma 8 7 6 5" xfId="46570" xr:uid="{00000000-0005-0000-0000-00002D510000}"/>
    <cellStyle name="Comma 8 7 7" xfId="32225" xr:uid="{00000000-0005-0000-0000-00002E510000}"/>
    <cellStyle name="Comma 8 7 7 2" xfId="39837" xr:uid="{00000000-0005-0000-0000-00002F510000}"/>
    <cellStyle name="Comma 8 7 7 3" xfId="42745" xr:uid="{00000000-0005-0000-0000-000030510000}"/>
    <cellStyle name="Comma 8 7 7 4" xfId="46571" xr:uid="{00000000-0005-0000-0000-000031510000}"/>
    <cellStyle name="Comma 8 7 8" xfId="32867" xr:uid="{00000000-0005-0000-0000-000032510000}"/>
    <cellStyle name="Comma 8 7 9" xfId="34079" xr:uid="{00000000-0005-0000-0000-000033510000}"/>
    <cellStyle name="Comma 8 8" xfId="5141" xr:uid="{00000000-0005-0000-0000-000034510000}"/>
    <cellStyle name="Comma 8 8 10" xfId="34666" xr:uid="{00000000-0005-0000-0000-000035510000}"/>
    <cellStyle name="Comma 8 8 11" xfId="36096" xr:uid="{00000000-0005-0000-0000-000036510000}"/>
    <cellStyle name="Comma 8 8 12" xfId="36396" xr:uid="{00000000-0005-0000-0000-000037510000}"/>
    <cellStyle name="Comma 8 8 13" xfId="37544" xr:uid="{00000000-0005-0000-0000-000038510000}"/>
    <cellStyle name="Comma 8 8 14" xfId="41490" xr:uid="{00000000-0005-0000-0000-000039510000}"/>
    <cellStyle name="Comma 8 8 15" xfId="46572" xr:uid="{00000000-0005-0000-0000-00003A510000}"/>
    <cellStyle name="Comma 8 8 16" xfId="11552" xr:uid="{00000000-0005-0000-0000-00003B510000}"/>
    <cellStyle name="Comma 8 8 2" xfId="6110" xr:uid="{00000000-0005-0000-0000-00003C510000}"/>
    <cellStyle name="Comma 8 8 2 10" xfId="37334" xr:uid="{00000000-0005-0000-0000-00003D510000}"/>
    <cellStyle name="Comma 8 8 2 11" xfId="38875" xr:uid="{00000000-0005-0000-0000-00003E510000}"/>
    <cellStyle name="Comma 8 8 2 12" xfId="41914" xr:uid="{00000000-0005-0000-0000-00003F510000}"/>
    <cellStyle name="Comma 8 8 2 13" xfId="46573" xr:uid="{00000000-0005-0000-0000-000040510000}"/>
    <cellStyle name="Comma 8 8 2 14" xfId="15173" xr:uid="{00000000-0005-0000-0000-000041510000}"/>
    <cellStyle name="Comma 8 8 2 2" xfId="15906" xr:uid="{00000000-0005-0000-0000-000042510000}"/>
    <cellStyle name="Comma 8 8 2 2 2" xfId="40424" xr:uid="{00000000-0005-0000-0000-000043510000}"/>
    <cellStyle name="Comma 8 8 2 2 3" xfId="43242" xr:uid="{00000000-0005-0000-0000-000044510000}"/>
    <cellStyle name="Comma 8 8 2 2 4" xfId="46574" xr:uid="{00000000-0005-0000-0000-000045510000}"/>
    <cellStyle name="Comma 8 8 2 3" xfId="30404" xr:uid="{00000000-0005-0000-0000-000046510000}"/>
    <cellStyle name="Comma 8 8 2 4" xfId="31580" xr:uid="{00000000-0005-0000-0000-000047510000}"/>
    <cellStyle name="Comma 8 8 2 5" xfId="32227" xr:uid="{00000000-0005-0000-0000-000048510000}"/>
    <cellStyle name="Comma 8 8 2 6" xfId="32869" xr:uid="{00000000-0005-0000-0000-000049510000}"/>
    <cellStyle name="Comma 8 8 2 7" xfId="33433" xr:uid="{00000000-0005-0000-0000-00004A510000}"/>
    <cellStyle name="Comma 8 8 2 8" xfId="34081" xr:uid="{00000000-0005-0000-0000-00004B510000}"/>
    <cellStyle name="Comma 8 8 2 9" xfId="35257" xr:uid="{00000000-0005-0000-0000-00004C510000}"/>
    <cellStyle name="Comma 8 8 3" xfId="6430" xr:uid="{00000000-0005-0000-0000-00004D510000}"/>
    <cellStyle name="Comma 8 8 3 2" xfId="40663" xr:uid="{00000000-0005-0000-0000-00004E510000}"/>
    <cellStyle name="Comma 8 8 3 2 2" xfId="43449" xr:uid="{00000000-0005-0000-0000-00004F510000}"/>
    <cellStyle name="Comma 8 8 3 2 3" xfId="46575" xr:uid="{00000000-0005-0000-0000-000050510000}"/>
    <cellStyle name="Comma 8 8 3 3" xfId="39095" xr:uid="{00000000-0005-0000-0000-000051510000}"/>
    <cellStyle name="Comma 8 8 3 4" xfId="42121" xr:uid="{00000000-0005-0000-0000-000052510000}"/>
    <cellStyle name="Comma 8 8 3 5" xfId="46576" xr:uid="{00000000-0005-0000-0000-000053510000}"/>
    <cellStyle name="Comma 8 8 3 6" xfId="12215" xr:uid="{00000000-0005-0000-0000-000054510000}"/>
    <cellStyle name="Comma 8 8 4" xfId="15905" xr:uid="{00000000-0005-0000-0000-000055510000}"/>
    <cellStyle name="Comma 8 8 4 2" xfId="41280" xr:uid="{00000000-0005-0000-0000-000056510000}"/>
    <cellStyle name="Comma 8 8 4 2 2" xfId="43960" xr:uid="{00000000-0005-0000-0000-000057510000}"/>
    <cellStyle name="Comma 8 8 4 2 3" xfId="46577" xr:uid="{00000000-0005-0000-0000-000058510000}"/>
    <cellStyle name="Comma 8 8 4 3" xfId="39697" xr:uid="{00000000-0005-0000-0000-000059510000}"/>
    <cellStyle name="Comma 8 8 4 4" xfId="42632" xr:uid="{00000000-0005-0000-0000-00005A510000}"/>
    <cellStyle name="Comma 8 8 4 5" xfId="46578" xr:uid="{00000000-0005-0000-0000-00005B510000}"/>
    <cellStyle name="Comma 8 8 5" xfId="30403" xr:uid="{00000000-0005-0000-0000-00005C510000}"/>
    <cellStyle name="Comma 8 8 5 2" xfId="39919" xr:uid="{00000000-0005-0000-0000-00005D510000}"/>
    <cellStyle name="Comma 8 8 5 3" xfId="42818" xr:uid="{00000000-0005-0000-0000-00005E510000}"/>
    <cellStyle name="Comma 8 8 5 4" xfId="46579" xr:uid="{00000000-0005-0000-0000-00005F510000}"/>
    <cellStyle name="Comma 8 8 6" xfId="30989" xr:uid="{00000000-0005-0000-0000-000060510000}"/>
    <cellStyle name="Comma 8 8 7" xfId="32226" xr:uid="{00000000-0005-0000-0000-000061510000}"/>
    <cellStyle name="Comma 8 8 8" xfId="32868" xr:uid="{00000000-0005-0000-0000-000062510000}"/>
    <cellStyle name="Comma 8 8 9" xfId="34080" xr:uid="{00000000-0005-0000-0000-000063510000}"/>
    <cellStyle name="Comma 8 9" xfId="4482" xr:uid="{00000000-0005-0000-0000-000064510000}"/>
    <cellStyle name="Comma 8 9 10" xfId="12271" xr:uid="{00000000-0005-0000-0000-000065510000}"/>
    <cellStyle name="Comma 8 9 2" xfId="5933" xr:uid="{00000000-0005-0000-0000-000066510000}"/>
    <cellStyle name="Comma 8 9 2 2" xfId="40771" xr:uid="{00000000-0005-0000-0000-000067510000}"/>
    <cellStyle name="Comma 8 9 2 2 2" xfId="43534" xr:uid="{00000000-0005-0000-0000-000068510000}"/>
    <cellStyle name="Comma 8 9 2 2 3" xfId="46580" xr:uid="{00000000-0005-0000-0000-000069510000}"/>
    <cellStyle name="Comma 8 9 2 3" xfId="39198" xr:uid="{00000000-0005-0000-0000-00006A510000}"/>
    <cellStyle name="Comma 8 9 2 4" xfId="42206" xr:uid="{00000000-0005-0000-0000-00006B510000}"/>
    <cellStyle name="Comma 8 9 2 5" xfId="46581" xr:uid="{00000000-0005-0000-0000-00006C510000}"/>
    <cellStyle name="Comma 8 9 2 6" xfId="31044" xr:uid="{00000000-0005-0000-0000-00006D510000}"/>
    <cellStyle name="Comma 8 9 3" xfId="32913" xr:uid="{00000000-0005-0000-0000-00006E510000}"/>
    <cellStyle name="Comma 8 9 3 2" xfId="41108" xr:uid="{00000000-0005-0000-0000-00006F510000}"/>
    <cellStyle name="Comma 8 9 3 2 2" xfId="43820" xr:uid="{00000000-0005-0000-0000-000070510000}"/>
    <cellStyle name="Comma 8 9 3 2 3" xfId="46582" xr:uid="{00000000-0005-0000-0000-000071510000}"/>
    <cellStyle name="Comma 8 9 3 3" xfId="39532" xr:uid="{00000000-0005-0000-0000-000072510000}"/>
    <cellStyle name="Comma 8 9 3 4" xfId="42492" xr:uid="{00000000-0005-0000-0000-000073510000}"/>
    <cellStyle name="Comma 8 9 3 5" xfId="46583" xr:uid="{00000000-0005-0000-0000-000074510000}"/>
    <cellStyle name="Comma 8 9 4" xfId="34721" xr:uid="{00000000-0005-0000-0000-000075510000}"/>
    <cellStyle name="Comma 8 9 4 2" xfId="40253" xr:uid="{00000000-0005-0000-0000-000076510000}"/>
    <cellStyle name="Comma 8 9 4 3" xfId="43102" xr:uid="{00000000-0005-0000-0000-000077510000}"/>
    <cellStyle name="Comma 8 9 4 4" xfId="46584" xr:uid="{00000000-0005-0000-0000-000078510000}"/>
    <cellStyle name="Comma 8 9 5" xfId="35665" xr:uid="{00000000-0005-0000-0000-000079510000}"/>
    <cellStyle name="Comma 8 9 6" xfId="36829" xr:uid="{00000000-0005-0000-0000-00007A510000}"/>
    <cellStyle name="Comma 8 9 7" xfId="38734" xr:uid="{00000000-0005-0000-0000-00007B510000}"/>
    <cellStyle name="Comma 8 9 8" xfId="41774" xr:uid="{00000000-0005-0000-0000-00007C510000}"/>
    <cellStyle name="Comma 8 9 9" xfId="46585" xr:uid="{00000000-0005-0000-0000-00007D510000}"/>
    <cellStyle name="Comma 9" xfId="2855" xr:uid="{00000000-0005-0000-0000-00007E510000}"/>
    <cellStyle name="Comma 9 10" xfId="30454" xr:uid="{00000000-0005-0000-0000-00007F510000}"/>
    <cellStyle name="Comma 9 11" xfId="32228" xr:uid="{00000000-0005-0000-0000-000080510000}"/>
    <cellStyle name="Comma 9 12" xfId="32870" xr:uid="{00000000-0005-0000-0000-000081510000}"/>
    <cellStyle name="Comma 9 13" xfId="34082" xr:uid="{00000000-0005-0000-0000-000082510000}"/>
    <cellStyle name="Comma 9 14" xfId="34131" xr:uid="{00000000-0005-0000-0000-000083510000}"/>
    <cellStyle name="Comma 9 15" xfId="35417" xr:uid="{00000000-0005-0000-0000-000084510000}"/>
    <cellStyle name="Comma 9 16" xfId="36280" xr:uid="{00000000-0005-0000-0000-000085510000}"/>
    <cellStyle name="Comma 9 17" xfId="37481" xr:uid="{00000000-0005-0000-0000-000086510000}"/>
    <cellStyle name="Comma 9 18" xfId="41428" xr:uid="{00000000-0005-0000-0000-000087510000}"/>
    <cellStyle name="Comma 9 19" xfId="46586" xr:uid="{00000000-0005-0000-0000-000088510000}"/>
    <cellStyle name="Comma 9 2" xfId="2856" xr:uid="{00000000-0005-0000-0000-000089510000}"/>
    <cellStyle name="Comma 9 2 10" xfId="32229" xr:uid="{00000000-0005-0000-0000-00008A510000}"/>
    <cellStyle name="Comma 9 2 11" xfId="32871" xr:uid="{00000000-0005-0000-0000-00008B510000}"/>
    <cellStyle name="Comma 9 2 12" xfId="34083" xr:uid="{00000000-0005-0000-0000-00008C510000}"/>
    <cellStyle name="Comma 9 2 13" xfId="34169" xr:uid="{00000000-0005-0000-0000-00008D510000}"/>
    <cellStyle name="Comma 9 2 14" xfId="35418" xr:uid="{00000000-0005-0000-0000-00008E510000}"/>
    <cellStyle name="Comma 9 2 15" xfId="36281" xr:uid="{00000000-0005-0000-0000-00008F510000}"/>
    <cellStyle name="Comma 9 2 16" xfId="37482" xr:uid="{00000000-0005-0000-0000-000090510000}"/>
    <cellStyle name="Comma 9 2 17" xfId="41429" xr:uid="{00000000-0005-0000-0000-000091510000}"/>
    <cellStyle name="Comma 9 2 18" xfId="46587" xr:uid="{00000000-0005-0000-0000-000092510000}"/>
    <cellStyle name="Comma 9 2 19" xfId="6682" xr:uid="{00000000-0005-0000-0000-000093510000}"/>
    <cellStyle name="Comma 9 2 2" xfId="5167" xr:uid="{00000000-0005-0000-0000-000094510000}"/>
    <cellStyle name="Comma 9 2 2 10" xfId="34084" xr:uid="{00000000-0005-0000-0000-000095510000}"/>
    <cellStyle name="Comma 9 2 2 11" xfId="34321" xr:uid="{00000000-0005-0000-0000-000096510000}"/>
    <cellStyle name="Comma 9 2 2 12" xfId="36122" xr:uid="{00000000-0005-0000-0000-000097510000}"/>
    <cellStyle name="Comma 9 2 2 13" xfId="36422" xr:uid="{00000000-0005-0000-0000-000098510000}"/>
    <cellStyle name="Comma 9 2 2 14" xfId="37556" xr:uid="{00000000-0005-0000-0000-000099510000}"/>
    <cellStyle name="Comma 9 2 2 15" xfId="41502" xr:uid="{00000000-0005-0000-0000-00009A510000}"/>
    <cellStyle name="Comma 9 2 2 16" xfId="46588" xr:uid="{00000000-0005-0000-0000-00009B510000}"/>
    <cellStyle name="Comma 9 2 2 17" xfId="8558" xr:uid="{00000000-0005-0000-0000-00009C510000}"/>
    <cellStyle name="Comma 9 2 2 2" xfId="6136" xr:uid="{00000000-0005-0000-0000-00009D510000}"/>
    <cellStyle name="Comma 9 2 2 2 10" xfId="34607" xr:uid="{00000000-0005-0000-0000-00009E510000}"/>
    <cellStyle name="Comma 9 2 2 2 11" xfId="36736" xr:uid="{00000000-0005-0000-0000-00009F510000}"/>
    <cellStyle name="Comma 9 2 2 2 12" xfId="38901" xr:uid="{00000000-0005-0000-0000-0000A0510000}"/>
    <cellStyle name="Comma 9 2 2 2 13" xfId="41940" xr:uid="{00000000-0005-0000-0000-0000A1510000}"/>
    <cellStyle name="Comma 9 2 2 2 14" xfId="46589" xr:uid="{00000000-0005-0000-0000-0000A2510000}"/>
    <cellStyle name="Comma 9 2 2 2 15" xfId="8940" xr:uid="{00000000-0005-0000-0000-0000A3510000}"/>
    <cellStyle name="Comma 9 2 2 2 2" xfId="12939" xr:uid="{00000000-0005-0000-0000-0000A4510000}"/>
    <cellStyle name="Comma 9 2 2 2 2 2" xfId="31521" xr:uid="{00000000-0005-0000-0000-0000A5510000}"/>
    <cellStyle name="Comma 9 2 2 2 2 3" xfId="33374" xr:uid="{00000000-0005-0000-0000-0000A6510000}"/>
    <cellStyle name="Comma 9 2 2 2 2 4" xfId="35198" xr:uid="{00000000-0005-0000-0000-0000A7510000}"/>
    <cellStyle name="Comma 9 2 2 2 2 5" xfId="37278" xr:uid="{00000000-0005-0000-0000-0000A8510000}"/>
    <cellStyle name="Comma 9 2 2 2 2 6" xfId="40450" xr:uid="{00000000-0005-0000-0000-0000A9510000}"/>
    <cellStyle name="Comma 9 2 2 2 2 7" xfId="43268" xr:uid="{00000000-0005-0000-0000-0000AA510000}"/>
    <cellStyle name="Comma 9 2 2 2 2 8" xfId="46590" xr:uid="{00000000-0005-0000-0000-0000AB510000}"/>
    <cellStyle name="Comma 9 2 2 2 3" xfId="12156" xr:uid="{00000000-0005-0000-0000-0000AC510000}"/>
    <cellStyle name="Comma 9 2 2 2 4" xfId="15910" xr:uid="{00000000-0005-0000-0000-0000AD510000}"/>
    <cellStyle name="Comma 9 2 2 2 5" xfId="30408" xr:uid="{00000000-0005-0000-0000-0000AE510000}"/>
    <cellStyle name="Comma 9 2 2 2 6" xfId="30930" xr:uid="{00000000-0005-0000-0000-0000AF510000}"/>
    <cellStyle name="Comma 9 2 2 2 7" xfId="32231" xr:uid="{00000000-0005-0000-0000-0000B0510000}"/>
    <cellStyle name="Comma 9 2 2 2 8" xfId="32873" xr:uid="{00000000-0005-0000-0000-0000B1510000}"/>
    <cellStyle name="Comma 9 2 2 2 9" xfId="34085" xr:uid="{00000000-0005-0000-0000-0000B2510000}"/>
    <cellStyle name="Comma 9 2 2 3" xfId="6456" xr:uid="{00000000-0005-0000-0000-0000B3510000}"/>
    <cellStyle name="Comma 9 2 2 3 2" xfId="31235" xr:uid="{00000000-0005-0000-0000-0000B4510000}"/>
    <cellStyle name="Comma 9 2 2 3 2 2" xfId="40835" xr:uid="{00000000-0005-0000-0000-0000B5510000}"/>
    <cellStyle name="Comma 9 2 2 3 2 3" xfId="43590" xr:uid="{00000000-0005-0000-0000-0000B6510000}"/>
    <cellStyle name="Comma 9 2 2 3 2 4" xfId="46591" xr:uid="{00000000-0005-0000-0000-0000B7510000}"/>
    <cellStyle name="Comma 9 2 2 3 3" xfId="33089" xr:uid="{00000000-0005-0000-0000-0000B8510000}"/>
    <cellStyle name="Comma 9 2 2 3 4" xfId="34912" xr:uid="{00000000-0005-0000-0000-0000B9510000}"/>
    <cellStyle name="Comma 9 2 2 3 5" xfId="37010" xr:uid="{00000000-0005-0000-0000-0000BA510000}"/>
    <cellStyle name="Comma 9 2 2 3 6" xfId="39272" xr:uid="{00000000-0005-0000-0000-0000BB510000}"/>
    <cellStyle name="Comma 9 2 2 3 7" xfId="42262" xr:uid="{00000000-0005-0000-0000-0000BC510000}"/>
    <cellStyle name="Comma 9 2 2 3 8" xfId="46592" xr:uid="{00000000-0005-0000-0000-0000BD510000}"/>
    <cellStyle name="Comma 9 2 2 3 9" xfId="12593" xr:uid="{00000000-0005-0000-0000-0000BE510000}"/>
    <cellStyle name="Comma 9 2 2 4" xfId="11870" xr:uid="{00000000-0005-0000-0000-0000BF510000}"/>
    <cellStyle name="Comma 9 2 2 4 2" xfId="41306" xr:uid="{00000000-0005-0000-0000-0000C0510000}"/>
    <cellStyle name="Comma 9 2 2 4 2 2" xfId="43986" xr:uid="{00000000-0005-0000-0000-0000C1510000}"/>
    <cellStyle name="Comma 9 2 2 4 2 3" xfId="46593" xr:uid="{00000000-0005-0000-0000-0000C2510000}"/>
    <cellStyle name="Comma 9 2 2 4 3" xfId="39723" xr:uid="{00000000-0005-0000-0000-0000C3510000}"/>
    <cellStyle name="Comma 9 2 2 4 4" xfId="42658" xr:uid="{00000000-0005-0000-0000-0000C4510000}"/>
    <cellStyle name="Comma 9 2 2 4 5" xfId="46594" xr:uid="{00000000-0005-0000-0000-0000C5510000}"/>
    <cellStyle name="Comma 9 2 2 5" xfId="15909" xr:uid="{00000000-0005-0000-0000-0000C6510000}"/>
    <cellStyle name="Comma 9 2 2 5 2" xfId="39931" xr:uid="{00000000-0005-0000-0000-0000C7510000}"/>
    <cellStyle name="Comma 9 2 2 5 3" xfId="42830" xr:uid="{00000000-0005-0000-0000-0000C8510000}"/>
    <cellStyle name="Comma 9 2 2 5 4" xfId="46595" xr:uid="{00000000-0005-0000-0000-0000C9510000}"/>
    <cellStyle name="Comma 9 2 2 6" xfId="30407" xr:uid="{00000000-0005-0000-0000-0000CA510000}"/>
    <cellStyle name="Comma 9 2 2 7" xfId="30644" xr:uid="{00000000-0005-0000-0000-0000CB510000}"/>
    <cellStyle name="Comma 9 2 2 8" xfId="32230" xr:uid="{00000000-0005-0000-0000-0000CC510000}"/>
    <cellStyle name="Comma 9 2 2 9" xfId="32872" xr:uid="{00000000-0005-0000-0000-0000CD510000}"/>
    <cellStyle name="Comma 9 2 3" xfId="4508" xr:uid="{00000000-0005-0000-0000-0000CE510000}"/>
    <cellStyle name="Comma 9 2 3 10" xfId="34606" xr:uid="{00000000-0005-0000-0000-0000CF510000}"/>
    <cellStyle name="Comma 9 2 3 11" xfId="35691" xr:uid="{00000000-0005-0000-0000-0000D0510000}"/>
    <cellStyle name="Comma 9 2 3 12" xfId="36735" xr:uid="{00000000-0005-0000-0000-0000D1510000}"/>
    <cellStyle name="Comma 9 2 3 13" xfId="38760" xr:uid="{00000000-0005-0000-0000-0000D2510000}"/>
    <cellStyle name="Comma 9 2 3 14" xfId="41800" xr:uid="{00000000-0005-0000-0000-0000D3510000}"/>
    <cellStyle name="Comma 9 2 3 15" xfId="46596" xr:uid="{00000000-0005-0000-0000-0000D4510000}"/>
    <cellStyle name="Comma 9 2 3 16" xfId="8939" xr:uid="{00000000-0005-0000-0000-0000D5510000}"/>
    <cellStyle name="Comma 9 2 3 2" xfId="5959" xr:uid="{00000000-0005-0000-0000-0000D6510000}"/>
    <cellStyle name="Comma 9 2 3 2 2" xfId="31520" xr:uid="{00000000-0005-0000-0000-0000D7510000}"/>
    <cellStyle name="Comma 9 2 3 2 2 2" xfId="41134" xr:uid="{00000000-0005-0000-0000-0000D8510000}"/>
    <cellStyle name="Comma 9 2 3 2 2 3" xfId="43846" xr:uid="{00000000-0005-0000-0000-0000D9510000}"/>
    <cellStyle name="Comma 9 2 3 2 2 4" xfId="46597" xr:uid="{00000000-0005-0000-0000-0000DA510000}"/>
    <cellStyle name="Comma 9 2 3 2 3" xfId="33373" xr:uid="{00000000-0005-0000-0000-0000DB510000}"/>
    <cellStyle name="Comma 9 2 3 2 4" xfId="35197" xr:uid="{00000000-0005-0000-0000-0000DC510000}"/>
    <cellStyle name="Comma 9 2 3 2 5" xfId="37277" xr:uid="{00000000-0005-0000-0000-0000DD510000}"/>
    <cellStyle name="Comma 9 2 3 2 6" xfId="39558" xr:uid="{00000000-0005-0000-0000-0000DE510000}"/>
    <cellStyle name="Comma 9 2 3 2 7" xfId="42518" xr:uid="{00000000-0005-0000-0000-0000DF510000}"/>
    <cellStyle name="Comma 9 2 3 2 8" xfId="46598" xr:uid="{00000000-0005-0000-0000-0000E0510000}"/>
    <cellStyle name="Comma 9 2 3 2 9" xfId="12938" xr:uid="{00000000-0005-0000-0000-0000E1510000}"/>
    <cellStyle name="Comma 9 2 3 3" xfId="12155" xr:uid="{00000000-0005-0000-0000-0000E2510000}"/>
    <cellStyle name="Comma 9 2 3 3 2" xfId="40279" xr:uid="{00000000-0005-0000-0000-0000E3510000}"/>
    <cellStyle name="Comma 9 2 3 3 3" xfId="43128" xr:uid="{00000000-0005-0000-0000-0000E4510000}"/>
    <cellStyle name="Comma 9 2 3 3 4" xfId="46599" xr:uid="{00000000-0005-0000-0000-0000E5510000}"/>
    <cellStyle name="Comma 9 2 3 4" xfId="15911" xr:uid="{00000000-0005-0000-0000-0000E6510000}"/>
    <cellStyle name="Comma 9 2 3 5" xfId="30409" xr:uid="{00000000-0005-0000-0000-0000E7510000}"/>
    <cellStyle name="Comma 9 2 3 6" xfId="30929" xr:uid="{00000000-0005-0000-0000-0000E8510000}"/>
    <cellStyle name="Comma 9 2 3 7" xfId="32232" xr:uid="{00000000-0005-0000-0000-0000E9510000}"/>
    <cellStyle name="Comma 9 2 3 8" xfId="32874" xr:uid="{00000000-0005-0000-0000-0000EA510000}"/>
    <cellStyle name="Comma 9 2 3 9" xfId="34086" xr:uid="{00000000-0005-0000-0000-0000EB510000}"/>
    <cellStyle name="Comma 9 2 4" xfId="5821" xr:uid="{00000000-0005-0000-0000-0000EC510000}"/>
    <cellStyle name="Comma 9 2 4 10" xfId="34678" xr:uid="{00000000-0005-0000-0000-0000ED510000}"/>
    <cellStyle name="Comma 9 2 4 11" xfId="36786" xr:uid="{00000000-0005-0000-0000-0000EE510000}"/>
    <cellStyle name="Comma 9 2 4 12" xfId="38188" xr:uid="{00000000-0005-0000-0000-0000EF510000}"/>
    <cellStyle name="Comma 9 2 4 13" xfId="41685" xr:uid="{00000000-0005-0000-0000-0000F0510000}"/>
    <cellStyle name="Comma 9 2 4 14" xfId="46600" xr:uid="{00000000-0005-0000-0000-0000F1510000}"/>
    <cellStyle name="Comma 9 2 4 15" xfId="11564" xr:uid="{00000000-0005-0000-0000-0000F2510000}"/>
    <cellStyle name="Comma 9 2 4 2" xfId="15185" xr:uid="{00000000-0005-0000-0000-0000F3510000}"/>
    <cellStyle name="Comma 9 2 4 2 2" xfId="31592" xr:uid="{00000000-0005-0000-0000-0000F4510000}"/>
    <cellStyle name="Comma 9 2 4 2 3" xfId="33445" xr:uid="{00000000-0005-0000-0000-0000F5510000}"/>
    <cellStyle name="Comma 9 2 4 2 4" xfId="35269" xr:uid="{00000000-0005-0000-0000-0000F6510000}"/>
    <cellStyle name="Comma 9 2 4 2 5" xfId="37343" xr:uid="{00000000-0005-0000-0000-0000F7510000}"/>
    <cellStyle name="Comma 9 2 4 2 6" xfId="40144" xr:uid="{00000000-0005-0000-0000-0000F8510000}"/>
    <cellStyle name="Comma 9 2 4 2 7" xfId="43013" xr:uid="{00000000-0005-0000-0000-0000F9510000}"/>
    <cellStyle name="Comma 9 2 4 2 8" xfId="46601" xr:uid="{00000000-0005-0000-0000-0000FA510000}"/>
    <cellStyle name="Comma 9 2 4 3" xfId="12227" xr:uid="{00000000-0005-0000-0000-0000FB510000}"/>
    <cellStyle name="Comma 9 2 4 4" xfId="15912" xr:uid="{00000000-0005-0000-0000-0000FC510000}"/>
    <cellStyle name="Comma 9 2 4 5" xfId="30410" xr:uid="{00000000-0005-0000-0000-0000FD510000}"/>
    <cellStyle name="Comma 9 2 4 6" xfId="31001" xr:uid="{00000000-0005-0000-0000-0000FE510000}"/>
    <cellStyle name="Comma 9 2 4 7" xfId="32233" xr:uid="{00000000-0005-0000-0000-0000FF510000}"/>
    <cellStyle name="Comma 9 2 4 8" xfId="32875" xr:uid="{00000000-0005-0000-0000-000000520000}"/>
    <cellStyle name="Comma 9 2 4 9" xfId="34087" xr:uid="{00000000-0005-0000-0000-000001520000}"/>
    <cellStyle name="Comma 9 2 5" xfId="6280" xr:uid="{00000000-0005-0000-0000-000002520000}"/>
    <cellStyle name="Comma 9 2 5 2" xfId="31083" xr:uid="{00000000-0005-0000-0000-000003520000}"/>
    <cellStyle name="Comma 9 2 5 2 2" xfId="40689" xr:uid="{00000000-0005-0000-0000-000004520000}"/>
    <cellStyle name="Comma 9 2 5 2 3" xfId="43475" xr:uid="{00000000-0005-0000-0000-000005520000}"/>
    <cellStyle name="Comma 9 2 5 2 4" xfId="46602" xr:uid="{00000000-0005-0000-0000-000006520000}"/>
    <cellStyle name="Comma 9 2 5 3" xfId="32945" xr:uid="{00000000-0005-0000-0000-000007520000}"/>
    <cellStyle name="Comma 9 2 5 4" xfId="34760" xr:uid="{00000000-0005-0000-0000-000008520000}"/>
    <cellStyle name="Comma 9 2 5 5" xfId="36866" xr:uid="{00000000-0005-0000-0000-000009520000}"/>
    <cellStyle name="Comma 9 2 5 6" xfId="39121" xr:uid="{00000000-0005-0000-0000-00000A520000}"/>
    <cellStyle name="Comma 9 2 5 7" xfId="42147" xr:uid="{00000000-0005-0000-0000-00000B520000}"/>
    <cellStyle name="Comma 9 2 5 8" xfId="46603" xr:uid="{00000000-0005-0000-0000-00000C520000}"/>
    <cellStyle name="Comma 9 2 5 9" xfId="12310" xr:uid="{00000000-0005-0000-0000-00000D520000}"/>
    <cellStyle name="Comma 9 2 6" xfId="11717" xr:uid="{00000000-0005-0000-0000-00000E520000}"/>
    <cellStyle name="Comma 9 2 6 2" xfId="40996" xr:uid="{00000000-0005-0000-0000-00000F520000}"/>
    <cellStyle name="Comma 9 2 6 2 2" xfId="43731" xr:uid="{00000000-0005-0000-0000-000010520000}"/>
    <cellStyle name="Comma 9 2 6 2 3" xfId="46604" xr:uid="{00000000-0005-0000-0000-000011520000}"/>
    <cellStyle name="Comma 9 2 6 3" xfId="39425" xr:uid="{00000000-0005-0000-0000-000012520000}"/>
    <cellStyle name="Comma 9 2 6 4" xfId="42403" xr:uid="{00000000-0005-0000-0000-000013520000}"/>
    <cellStyle name="Comma 9 2 6 5" xfId="46605" xr:uid="{00000000-0005-0000-0000-000014520000}"/>
    <cellStyle name="Comma 9 2 7" xfId="15908" xr:uid="{00000000-0005-0000-0000-000015520000}"/>
    <cellStyle name="Comma 9 2 7 2" xfId="39849" xr:uid="{00000000-0005-0000-0000-000016520000}"/>
    <cellStyle name="Comma 9 2 7 3" xfId="42757" xr:uid="{00000000-0005-0000-0000-000017520000}"/>
    <cellStyle name="Comma 9 2 7 4" xfId="46606" xr:uid="{00000000-0005-0000-0000-000018520000}"/>
    <cellStyle name="Comma 9 2 8" xfId="30406" xr:uid="{00000000-0005-0000-0000-000019520000}"/>
    <cellStyle name="Comma 9 2 9" xfId="30492" xr:uid="{00000000-0005-0000-0000-00001A520000}"/>
    <cellStyle name="Comma 9 20" xfId="6570" xr:uid="{00000000-0005-0000-0000-00001B520000}"/>
    <cellStyle name="Comma 9 3" xfId="2857" xr:uid="{00000000-0005-0000-0000-00001C520000}"/>
    <cellStyle name="Comma 9 3 10" xfId="34088" xr:uid="{00000000-0005-0000-0000-00001D520000}"/>
    <cellStyle name="Comma 9 3 11" xfId="34282" xr:uid="{00000000-0005-0000-0000-00001E520000}"/>
    <cellStyle name="Comma 9 3 12" xfId="35419" xr:uid="{00000000-0005-0000-0000-00001F520000}"/>
    <cellStyle name="Comma 9 3 13" xfId="36282" xr:uid="{00000000-0005-0000-0000-000020520000}"/>
    <cellStyle name="Comma 9 3 14" xfId="37598" xr:uid="{00000000-0005-0000-0000-000021520000}"/>
    <cellStyle name="Comma 9 3 15" xfId="41544" xr:uid="{00000000-0005-0000-0000-000022520000}"/>
    <cellStyle name="Comma 9 3 16" xfId="46607" xr:uid="{00000000-0005-0000-0000-000023520000}"/>
    <cellStyle name="Comma 9 3 17" xfId="8445" xr:uid="{00000000-0005-0000-0000-000024520000}"/>
    <cellStyle name="Comma 9 3 2" xfId="5168" xr:uid="{00000000-0005-0000-0000-000025520000}"/>
    <cellStyle name="Comma 9 3 2 10" xfId="34608" xr:uid="{00000000-0005-0000-0000-000026520000}"/>
    <cellStyle name="Comma 9 3 2 11" xfId="36123" xr:uid="{00000000-0005-0000-0000-000027520000}"/>
    <cellStyle name="Comma 9 3 2 12" xfId="36423" xr:uid="{00000000-0005-0000-0000-000028520000}"/>
    <cellStyle name="Comma 9 3 2 13" xfId="38902" xr:uid="{00000000-0005-0000-0000-000029520000}"/>
    <cellStyle name="Comma 9 3 2 14" xfId="41941" xr:uid="{00000000-0005-0000-0000-00002A520000}"/>
    <cellStyle name="Comma 9 3 2 15" xfId="46608" xr:uid="{00000000-0005-0000-0000-00002B520000}"/>
    <cellStyle name="Comma 9 3 2 16" xfId="8941" xr:uid="{00000000-0005-0000-0000-00002C520000}"/>
    <cellStyle name="Comma 9 3 2 2" xfId="6137" xr:uid="{00000000-0005-0000-0000-00002D520000}"/>
    <cellStyle name="Comma 9 3 2 2 2" xfId="31522" xr:uid="{00000000-0005-0000-0000-00002E520000}"/>
    <cellStyle name="Comma 9 3 2 2 2 2" xfId="40836" xr:uid="{00000000-0005-0000-0000-00002F520000}"/>
    <cellStyle name="Comma 9 3 2 2 2 3" xfId="43591" xr:uid="{00000000-0005-0000-0000-000030520000}"/>
    <cellStyle name="Comma 9 3 2 2 2 4" xfId="46609" xr:uid="{00000000-0005-0000-0000-000031520000}"/>
    <cellStyle name="Comma 9 3 2 2 3" xfId="33375" xr:uid="{00000000-0005-0000-0000-000032520000}"/>
    <cellStyle name="Comma 9 3 2 2 4" xfId="35199" xr:uid="{00000000-0005-0000-0000-000033520000}"/>
    <cellStyle name="Comma 9 3 2 2 5" xfId="37279" xr:uid="{00000000-0005-0000-0000-000034520000}"/>
    <cellStyle name="Comma 9 3 2 2 6" xfId="39273" xr:uid="{00000000-0005-0000-0000-000035520000}"/>
    <cellStyle name="Comma 9 3 2 2 7" xfId="42263" xr:uid="{00000000-0005-0000-0000-000036520000}"/>
    <cellStyle name="Comma 9 3 2 2 8" xfId="46610" xr:uid="{00000000-0005-0000-0000-000037520000}"/>
    <cellStyle name="Comma 9 3 2 2 9" xfId="12940" xr:uid="{00000000-0005-0000-0000-000038520000}"/>
    <cellStyle name="Comma 9 3 2 3" xfId="6457" xr:uid="{00000000-0005-0000-0000-000039520000}"/>
    <cellStyle name="Comma 9 3 2 3 2" xfId="41307" xr:uid="{00000000-0005-0000-0000-00003A520000}"/>
    <cellStyle name="Comma 9 3 2 3 2 2" xfId="43987" xr:uid="{00000000-0005-0000-0000-00003B520000}"/>
    <cellStyle name="Comma 9 3 2 3 2 3" xfId="46611" xr:uid="{00000000-0005-0000-0000-00003C520000}"/>
    <cellStyle name="Comma 9 3 2 3 3" xfId="39724" xr:uid="{00000000-0005-0000-0000-00003D520000}"/>
    <cellStyle name="Comma 9 3 2 3 4" xfId="42659" xr:uid="{00000000-0005-0000-0000-00003E520000}"/>
    <cellStyle name="Comma 9 3 2 3 5" xfId="46612" xr:uid="{00000000-0005-0000-0000-00003F520000}"/>
    <cellStyle name="Comma 9 3 2 3 6" xfId="12157" xr:uid="{00000000-0005-0000-0000-000040520000}"/>
    <cellStyle name="Comma 9 3 2 4" xfId="15914" xr:uid="{00000000-0005-0000-0000-000041520000}"/>
    <cellStyle name="Comma 9 3 2 4 2" xfId="40451" xr:uid="{00000000-0005-0000-0000-000042520000}"/>
    <cellStyle name="Comma 9 3 2 4 3" xfId="43269" xr:uid="{00000000-0005-0000-0000-000043520000}"/>
    <cellStyle name="Comma 9 3 2 4 4" xfId="46613" xr:uid="{00000000-0005-0000-0000-000044520000}"/>
    <cellStyle name="Comma 9 3 2 5" xfId="30412" xr:uid="{00000000-0005-0000-0000-000045520000}"/>
    <cellStyle name="Comma 9 3 2 6" xfId="30931" xr:uid="{00000000-0005-0000-0000-000046520000}"/>
    <cellStyle name="Comma 9 3 2 7" xfId="32235" xr:uid="{00000000-0005-0000-0000-000047520000}"/>
    <cellStyle name="Comma 9 3 2 8" xfId="32877" xr:uid="{00000000-0005-0000-0000-000048520000}"/>
    <cellStyle name="Comma 9 3 2 9" xfId="34089" xr:uid="{00000000-0005-0000-0000-000049520000}"/>
    <cellStyle name="Comma 9 3 3" xfId="4509" xr:uid="{00000000-0005-0000-0000-00004A520000}"/>
    <cellStyle name="Comma 9 3 3 10" xfId="12553" xr:uid="{00000000-0005-0000-0000-00004B520000}"/>
    <cellStyle name="Comma 9 3 3 2" xfId="5960" xr:uid="{00000000-0005-0000-0000-00004C520000}"/>
    <cellStyle name="Comma 9 3 3 2 2" xfId="41135" xr:uid="{00000000-0005-0000-0000-00004D520000}"/>
    <cellStyle name="Comma 9 3 3 2 2 2" xfId="43847" xr:uid="{00000000-0005-0000-0000-00004E520000}"/>
    <cellStyle name="Comma 9 3 3 2 2 3" xfId="46614" xr:uid="{00000000-0005-0000-0000-00004F520000}"/>
    <cellStyle name="Comma 9 3 3 2 3" xfId="39559" xr:uid="{00000000-0005-0000-0000-000050520000}"/>
    <cellStyle name="Comma 9 3 3 2 4" xfId="42519" xr:uid="{00000000-0005-0000-0000-000051520000}"/>
    <cellStyle name="Comma 9 3 3 2 5" xfId="46615" xr:uid="{00000000-0005-0000-0000-000052520000}"/>
    <cellStyle name="Comma 9 3 3 2 6" xfId="31196" xr:uid="{00000000-0005-0000-0000-000053520000}"/>
    <cellStyle name="Comma 9 3 3 3" xfId="33052" xr:uid="{00000000-0005-0000-0000-000054520000}"/>
    <cellStyle name="Comma 9 3 3 3 2" xfId="40280" xr:uid="{00000000-0005-0000-0000-000055520000}"/>
    <cellStyle name="Comma 9 3 3 3 3" xfId="43129" xr:uid="{00000000-0005-0000-0000-000056520000}"/>
    <cellStyle name="Comma 9 3 3 3 4" xfId="46616" xr:uid="{00000000-0005-0000-0000-000057520000}"/>
    <cellStyle name="Comma 9 3 3 4" xfId="34873" xr:uid="{00000000-0005-0000-0000-000058520000}"/>
    <cellStyle name="Comma 9 3 3 5" xfId="35692" xr:uid="{00000000-0005-0000-0000-000059520000}"/>
    <cellStyle name="Comma 9 3 3 6" xfId="36973" xr:uid="{00000000-0005-0000-0000-00005A520000}"/>
    <cellStyle name="Comma 9 3 3 7" xfId="38761" xr:uid="{00000000-0005-0000-0000-00005B520000}"/>
    <cellStyle name="Comma 9 3 3 8" xfId="41801" xr:uid="{00000000-0005-0000-0000-00005C520000}"/>
    <cellStyle name="Comma 9 3 3 9" xfId="46617" xr:uid="{00000000-0005-0000-0000-00005D520000}"/>
    <cellStyle name="Comma 9 3 4" xfId="5822" xr:uid="{00000000-0005-0000-0000-00005E520000}"/>
    <cellStyle name="Comma 9 3 4 2" xfId="40145" xr:uid="{00000000-0005-0000-0000-00005F520000}"/>
    <cellStyle name="Comma 9 3 4 2 2" xfId="43014" xr:uid="{00000000-0005-0000-0000-000060520000}"/>
    <cellStyle name="Comma 9 3 4 2 3" xfId="46618" xr:uid="{00000000-0005-0000-0000-000061520000}"/>
    <cellStyle name="Comma 9 3 4 3" xfId="38189" xr:uid="{00000000-0005-0000-0000-000062520000}"/>
    <cellStyle name="Comma 9 3 4 4" xfId="41686" xr:uid="{00000000-0005-0000-0000-000063520000}"/>
    <cellStyle name="Comma 9 3 4 5" xfId="46619" xr:uid="{00000000-0005-0000-0000-000064520000}"/>
    <cellStyle name="Comma 9 3 4 6" xfId="11831" xr:uid="{00000000-0005-0000-0000-000065520000}"/>
    <cellStyle name="Comma 9 3 5" xfId="6281" xr:uid="{00000000-0005-0000-0000-000066520000}"/>
    <cellStyle name="Comma 9 3 5 2" xfId="40690" xr:uid="{00000000-0005-0000-0000-000067520000}"/>
    <cellStyle name="Comma 9 3 5 2 2" xfId="43476" xr:uid="{00000000-0005-0000-0000-000068520000}"/>
    <cellStyle name="Comma 9 3 5 2 3" xfId="46620" xr:uid="{00000000-0005-0000-0000-000069520000}"/>
    <cellStyle name="Comma 9 3 5 3" xfId="39122" xr:uid="{00000000-0005-0000-0000-00006A520000}"/>
    <cellStyle name="Comma 9 3 5 4" xfId="42148" xr:uid="{00000000-0005-0000-0000-00006B520000}"/>
    <cellStyle name="Comma 9 3 5 5" xfId="46621" xr:uid="{00000000-0005-0000-0000-00006C520000}"/>
    <cellStyle name="Comma 9 3 5 6" xfId="15913" xr:uid="{00000000-0005-0000-0000-00006D520000}"/>
    <cellStyle name="Comma 9 3 6" xfId="30411" xr:uid="{00000000-0005-0000-0000-00006E520000}"/>
    <cellStyle name="Comma 9 3 6 2" xfId="40997" xr:uid="{00000000-0005-0000-0000-00006F520000}"/>
    <cellStyle name="Comma 9 3 6 2 2" xfId="43732" xr:uid="{00000000-0005-0000-0000-000070520000}"/>
    <cellStyle name="Comma 9 3 6 2 3" xfId="46622" xr:uid="{00000000-0005-0000-0000-000071520000}"/>
    <cellStyle name="Comma 9 3 6 3" xfId="39426" xr:uid="{00000000-0005-0000-0000-000072520000}"/>
    <cellStyle name="Comma 9 3 6 4" xfId="42404" xr:uid="{00000000-0005-0000-0000-000073520000}"/>
    <cellStyle name="Comma 9 3 6 5" xfId="46623" xr:uid="{00000000-0005-0000-0000-000074520000}"/>
    <cellStyle name="Comma 9 3 7" xfId="30605" xr:uid="{00000000-0005-0000-0000-000075520000}"/>
    <cellStyle name="Comma 9 3 7 2" xfId="39984" xr:uid="{00000000-0005-0000-0000-000076520000}"/>
    <cellStyle name="Comma 9 3 7 3" xfId="42872" xr:uid="{00000000-0005-0000-0000-000077520000}"/>
    <cellStyle name="Comma 9 3 7 4" xfId="46624" xr:uid="{00000000-0005-0000-0000-000078520000}"/>
    <cellStyle name="Comma 9 3 8" xfId="32234" xr:uid="{00000000-0005-0000-0000-000079520000}"/>
    <cellStyle name="Comma 9 3 9" xfId="32876" xr:uid="{00000000-0005-0000-0000-00007A520000}"/>
    <cellStyle name="Comma 9 4" xfId="5166" xr:uid="{00000000-0005-0000-0000-00007B520000}"/>
    <cellStyle name="Comma 9 4 10" xfId="34605" xr:uid="{00000000-0005-0000-0000-00007C520000}"/>
    <cellStyle name="Comma 9 4 11" xfId="36121" xr:uid="{00000000-0005-0000-0000-00007D520000}"/>
    <cellStyle name="Comma 9 4 12" xfId="36421" xr:uid="{00000000-0005-0000-0000-00007E520000}"/>
    <cellStyle name="Comma 9 4 13" xfId="37555" xr:uid="{00000000-0005-0000-0000-00007F520000}"/>
    <cellStyle name="Comma 9 4 14" xfId="41501" xr:uid="{00000000-0005-0000-0000-000080520000}"/>
    <cellStyle name="Comma 9 4 15" xfId="46625" xr:uid="{00000000-0005-0000-0000-000081520000}"/>
    <cellStyle name="Comma 9 4 16" xfId="8938" xr:uid="{00000000-0005-0000-0000-000082520000}"/>
    <cellStyle name="Comma 9 4 2" xfId="6135" xr:uid="{00000000-0005-0000-0000-000083520000}"/>
    <cellStyle name="Comma 9 4 2 2" xfId="31519" xr:uid="{00000000-0005-0000-0000-000084520000}"/>
    <cellStyle name="Comma 9 4 2 2 2" xfId="40449" xr:uid="{00000000-0005-0000-0000-000085520000}"/>
    <cellStyle name="Comma 9 4 2 2 3" xfId="43267" xr:uid="{00000000-0005-0000-0000-000086520000}"/>
    <cellStyle name="Comma 9 4 2 2 4" xfId="46626" xr:uid="{00000000-0005-0000-0000-000087520000}"/>
    <cellStyle name="Comma 9 4 2 3" xfId="33372" xr:uid="{00000000-0005-0000-0000-000088520000}"/>
    <cellStyle name="Comma 9 4 2 4" xfId="35196" xr:uid="{00000000-0005-0000-0000-000089520000}"/>
    <cellStyle name="Comma 9 4 2 5" xfId="37276" xr:uid="{00000000-0005-0000-0000-00008A520000}"/>
    <cellStyle name="Comma 9 4 2 6" xfId="38900" xr:uid="{00000000-0005-0000-0000-00008B520000}"/>
    <cellStyle name="Comma 9 4 2 7" xfId="41939" xr:uid="{00000000-0005-0000-0000-00008C520000}"/>
    <cellStyle name="Comma 9 4 2 8" xfId="46627" xr:uid="{00000000-0005-0000-0000-00008D520000}"/>
    <cellStyle name="Comma 9 4 2 9" xfId="12937" xr:uid="{00000000-0005-0000-0000-00008E520000}"/>
    <cellStyle name="Comma 9 4 3" xfId="6455" xr:uid="{00000000-0005-0000-0000-00008F520000}"/>
    <cellStyle name="Comma 9 4 3 2" xfId="40688" xr:uid="{00000000-0005-0000-0000-000090520000}"/>
    <cellStyle name="Comma 9 4 3 2 2" xfId="43474" xr:uid="{00000000-0005-0000-0000-000091520000}"/>
    <cellStyle name="Comma 9 4 3 2 3" xfId="46628" xr:uid="{00000000-0005-0000-0000-000092520000}"/>
    <cellStyle name="Comma 9 4 3 3" xfId="39120" xr:uid="{00000000-0005-0000-0000-000093520000}"/>
    <cellStyle name="Comma 9 4 3 4" xfId="42146" xr:uid="{00000000-0005-0000-0000-000094520000}"/>
    <cellStyle name="Comma 9 4 3 5" xfId="46629" xr:uid="{00000000-0005-0000-0000-000095520000}"/>
    <cellStyle name="Comma 9 4 3 6" xfId="12154" xr:uid="{00000000-0005-0000-0000-000096520000}"/>
    <cellStyle name="Comma 9 4 4" xfId="15915" xr:uid="{00000000-0005-0000-0000-000097520000}"/>
    <cellStyle name="Comma 9 4 4 2" xfId="41305" xr:uid="{00000000-0005-0000-0000-000098520000}"/>
    <cellStyle name="Comma 9 4 4 2 2" xfId="43985" xr:uid="{00000000-0005-0000-0000-000099520000}"/>
    <cellStyle name="Comma 9 4 4 2 3" xfId="46630" xr:uid="{00000000-0005-0000-0000-00009A520000}"/>
    <cellStyle name="Comma 9 4 4 3" xfId="39722" xr:uid="{00000000-0005-0000-0000-00009B520000}"/>
    <cellStyle name="Comma 9 4 4 4" xfId="42657" xr:uid="{00000000-0005-0000-0000-00009C520000}"/>
    <cellStyle name="Comma 9 4 4 5" xfId="46631" xr:uid="{00000000-0005-0000-0000-00009D520000}"/>
    <cellStyle name="Comma 9 4 5" xfId="30413" xr:uid="{00000000-0005-0000-0000-00009E520000}"/>
    <cellStyle name="Comma 9 4 5 2" xfId="39930" xr:uid="{00000000-0005-0000-0000-00009F520000}"/>
    <cellStyle name="Comma 9 4 5 3" xfId="42829" xr:uid="{00000000-0005-0000-0000-0000A0520000}"/>
    <cellStyle name="Comma 9 4 5 4" xfId="46632" xr:uid="{00000000-0005-0000-0000-0000A1520000}"/>
    <cellStyle name="Comma 9 4 6" xfId="30928" xr:uid="{00000000-0005-0000-0000-0000A2520000}"/>
    <cellStyle name="Comma 9 4 7" xfId="32236" xr:uid="{00000000-0005-0000-0000-0000A3520000}"/>
    <cellStyle name="Comma 9 4 8" xfId="32878" xr:uid="{00000000-0005-0000-0000-0000A4520000}"/>
    <cellStyle name="Comma 9 4 9" xfId="34090" xr:uid="{00000000-0005-0000-0000-0000A5520000}"/>
    <cellStyle name="Comma 9 5" xfId="4507" xr:uid="{00000000-0005-0000-0000-0000A6520000}"/>
    <cellStyle name="Comma 9 5 10" xfId="34677" xr:uid="{00000000-0005-0000-0000-0000A7520000}"/>
    <cellStyle name="Comma 9 5 11" xfId="35690" xr:uid="{00000000-0005-0000-0000-0000A8520000}"/>
    <cellStyle name="Comma 9 5 12" xfId="36785" xr:uid="{00000000-0005-0000-0000-0000A9520000}"/>
    <cellStyle name="Comma 9 5 13" xfId="38759" xr:uid="{00000000-0005-0000-0000-0000AA520000}"/>
    <cellStyle name="Comma 9 5 14" xfId="41799" xr:uid="{00000000-0005-0000-0000-0000AB520000}"/>
    <cellStyle name="Comma 9 5 15" xfId="46633" xr:uid="{00000000-0005-0000-0000-0000AC520000}"/>
    <cellStyle name="Comma 9 5 16" xfId="11563" xr:uid="{00000000-0005-0000-0000-0000AD520000}"/>
    <cellStyle name="Comma 9 5 2" xfId="5958" xr:uid="{00000000-0005-0000-0000-0000AE520000}"/>
    <cellStyle name="Comma 9 5 2 10" xfId="37342" xr:uid="{00000000-0005-0000-0000-0000AF520000}"/>
    <cellStyle name="Comma 9 5 2 11" xfId="39206" xr:uid="{00000000-0005-0000-0000-0000B0520000}"/>
    <cellStyle name="Comma 9 5 2 12" xfId="42214" xr:uid="{00000000-0005-0000-0000-0000B1520000}"/>
    <cellStyle name="Comma 9 5 2 13" xfId="46634" xr:uid="{00000000-0005-0000-0000-0000B2520000}"/>
    <cellStyle name="Comma 9 5 2 14" xfId="15184" xr:uid="{00000000-0005-0000-0000-0000B3520000}"/>
    <cellStyle name="Comma 9 5 2 2" xfId="15917" xr:uid="{00000000-0005-0000-0000-0000B4520000}"/>
    <cellStyle name="Comma 9 5 2 2 2" xfId="40779" xr:uid="{00000000-0005-0000-0000-0000B5520000}"/>
    <cellStyle name="Comma 9 5 2 2 3" xfId="43542" xr:uid="{00000000-0005-0000-0000-0000B6520000}"/>
    <cellStyle name="Comma 9 5 2 2 4" xfId="46635" xr:uid="{00000000-0005-0000-0000-0000B7520000}"/>
    <cellStyle name="Comma 9 5 2 3" xfId="30415" xr:uid="{00000000-0005-0000-0000-0000B8520000}"/>
    <cellStyle name="Comma 9 5 2 4" xfId="31591" xr:uid="{00000000-0005-0000-0000-0000B9520000}"/>
    <cellStyle name="Comma 9 5 2 5" xfId="32238" xr:uid="{00000000-0005-0000-0000-0000BA520000}"/>
    <cellStyle name="Comma 9 5 2 6" xfId="32880" xr:uid="{00000000-0005-0000-0000-0000BB520000}"/>
    <cellStyle name="Comma 9 5 2 7" xfId="33444" xr:uid="{00000000-0005-0000-0000-0000BC520000}"/>
    <cellStyle name="Comma 9 5 2 8" xfId="34092" xr:uid="{00000000-0005-0000-0000-0000BD520000}"/>
    <cellStyle name="Comma 9 5 2 9" xfId="35268" xr:uid="{00000000-0005-0000-0000-0000BE520000}"/>
    <cellStyle name="Comma 9 5 3" xfId="12226" xr:uid="{00000000-0005-0000-0000-0000BF520000}"/>
    <cellStyle name="Comma 9 5 3 2" xfId="41133" xr:uid="{00000000-0005-0000-0000-0000C0520000}"/>
    <cellStyle name="Comma 9 5 3 2 2" xfId="43845" xr:uid="{00000000-0005-0000-0000-0000C1520000}"/>
    <cellStyle name="Comma 9 5 3 2 3" xfId="46636" xr:uid="{00000000-0005-0000-0000-0000C2520000}"/>
    <cellStyle name="Comma 9 5 3 3" xfId="39557" xr:uid="{00000000-0005-0000-0000-0000C3520000}"/>
    <cellStyle name="Comma 9 5 3 4" xfId="42517" xr:uid="{00000000-0005-0000-0000-0000C4520000}"/>
    <cellStyle name="Comma 9 5 3 5" xfId="46637" xr:uid="{00000000-0005-0000-0000-0000C5520000}"/>
    <cellStyle name="Comma 9 5 4" xfId="15916" xr:uid="{00000000-0005-0000-0000-0000C6520000}"/>
    <cellStyle name="Comma 9 5 4 2" xfId="40278" xr:uid="{00000000-0005-0000-0000-0000C7520000}"/>
    <cellStyle name="Comma 9 5 4 3" xfId="43127" xr:uid="{00000000-0005-0000-0000-0000C8520000}"/>
    <cellStyle name="Comma 9 5 4 4" xfId="46638" xr:uid="{00000000-0005-0000-0000-0000C9520000}"/>
    <cellStyle name="Comma 9 5 5" xfId="30414" xr:uid="{00000000-0005-0000-0000-0000CA520000}"/>
    <cellStyle name="Comma 9 5 6" xfId="31000" xr:uid="{00000000-0005-0000-0000-0000CB520000}"/>
    <cellStyle name="Comma 9 5 7" xfId="32237" xr:uid="{00000000-0005-0000-0000-0000CC520000}"/>
    <cellStyle name="Comma 9 5 8" xfId="32879" xr:uid="{00000000-0005-0000-0000-0000CD520000}"/>
    <cellStyle name="Comma 9 5 9" xfId="34091" xr:uid="{00000000-0005-0000-0000-0000CE520000}"/>
    <cellStyle name="Comma 9 6" xfId="5820" xr:uid="{00000000-0005-0000-0000-0000CF520000}"/>
    <cellStyle name="Comma 9 6 2" xfId="31045" xr:uid="{00000000-0005-0000-0000-0000D0520000}"/>
    <cellStyle name="Comma 9 6 2 2" xfId="40143" xr:uid="{00000000-0005-0000-0000-0000D1520000}"/>
    <cellStyle name="Comma 9 6 2 3" xfId="43012" xr:uid="{00000000-0005-0000-0000-0000D2520000}"/>
    <cellStyle name="Comma 9 6 2 4" xfId="46639" xr:uid="{00000000-0005-0000-0000-0000D3520000}"/>
    <cellStyle name="Comma 9 6 3" xfId="32914" xr:uid="{00000000-0005-0000-0000-0000D4520000}"/>
    <cellStyle name="Comma 9 6 4" xfId="34722" xr:uid="{00000000-0005-0000-0000-0000D5520000}"/>
    <cellStyle name="Comma 9 6 5" xfId="36830" xr:uid="{00000000-0005-0000-0000-0000D6520000}"/>
    <cellStyle name="Comma 9 6 6" xfId="38187" xr:uid="{00000000-0005-0000-0000-0000D7520000}"/>
    <cellStyle name="Comma 9 6 7" xfId="41684" xr:uid="{00000000-0005-0000-0000-0000D8520000}"/>
    <cellStyle name="Comma 9 6 8" xfId="46640" xr:uid="{00000000-0005-0000-0000-0000D9520000}"/>
    <cellStyle name="Comma 9 6 9" xfId="12272" xr:uid="{00000000-0005-0000-0000-0000DA520000}"/>
    <cellStyle name="Comma 9 7" xfId="6279" xr:uid="{00000000-0005-0000-0000-0000DB520000}"/>
    <cellStyle name="Comma 9 7 2" xfId="40535" xr:uid="{00000000-0005-0000-0000-0000DC520000}"/>
    <cellStyle name="Comma 9 7 2 2" xfId="43336" xr:uid="{00000000-0005-0000-0000-0000DD520000}"/>
    <cellStyle name="Comma 9 7 2 3" xfId="46641" xr:uid="{00000000-0005-0000-0000-0000DE520000}"/>
    <cellStyle name="Comma 9 7 3" xfId="38977" xr:uid="{00000000-0005-0000-0000-0000DF520000}"/>
    <cellStyle name="Comma 9 7 4" xfId="42008" xr:uid="{00000000-0005-0000-0000-0000E0520000}"/>
    <cellStyle name="Comma 9 7 5" xfId="46642" xr:uid="{00000000-0005-0000-0000-0000E1520000}"/>
    <cellStyle name="Comma 9 7 6" xfId="11678" xr:uid="{00000000-0005-0000-0000-0000E2520000}"/>
    <cellStyle name="Comma 9 8" xfId="15907" xr:uid="{00000000-0005-0000-0000-0000E3520000}"/>
    <cellStyle name="Comma 9 8 2" xfId="40995" xr:uid="{00000000-0005-0000-0000-0000E4520000}"/>
    <cellStyle name="Comma 9 8 2 2" xfId="43730" xr:uid="{00000000-0005-0000-0000-0000E5520000}"/>
    <cellStyle name="Comma 9 8 2 3" xfId="46643" xr:uid="{00000000-0005-0000-0000-0000E6520000}"/>
    <cellStyle name="Comma 9 8 3" xfId="39424" xr:uid="{00000000-0005-0000-0000-0000E7520000}"/>
    <cellStyle name="Comma 9 8 4" xfId="42402" xr:uid="{00000000-0005-0000-0000-0000E8520000}"/>
    <cellStyle name="Comma 9 8 5" xfId="46644" xr:uid="{00000000-0005-0000-0000-0000E9520000}"/>
    <cellStyle name="Comma 9 9" xfId="30405" xr:uid="{00000000-0005-0000-0000-0000EA520000}"/>
    <cellStyle name="Comma 9 9 2" xfId="39848" xr:uid="{00000000-0005-0000-0000-0000EB520000}"/>
    <cellStyle name="Comma 9 9 3" xfId="42756" xr:uid="{00000000-0005-0000-0000-0000EC520000}"/>
    <cellStyle name="Comma 9 9 4" xfId="46645" xr:uid="{00000000-0005-0000-0000-0000ED520000}"/>
    <cellStyle name="Cor1" xfId="1048" xr:uid="{00000000-0005-0000-0000-0000EE520000}"/>
    <cellStyle name="Cor2" xfId="1049" xr:uid="{00000000-0005-0000-0000-0000EF520000}"/>
    <cellStyle name="Cor3" xfId="1050" xr:uid="{00000000-0005-0000-0000-0000F0520000}"/>
    <cellStyle name="Cor4" xfId="1051" xr:uid="{00000000-0005-0000-0000-0000F1520000}"/>
    <cellStyle name="Cor5" xfId="1052" xr:uid="{00000000-0005-0000-0000-0000F2520000}"/>
    <cellStyle name="Cor6" xfId="1053" xr:uid="{00000000-0005-0000-0000-0000F3520000}"/>
    <cellStyle name="Correcto" xfId="1054" xr:uid="{00000000-0005-0000-0000-0000F4520000}"/>
    <cellStyle name="CustomizationCells" xfId="1055" xr:uid="{00000000-0005-0000-0000-0000F5520000}"/>
    <cellStyle name="CustomizationGreenCells" xfId="1056" xr:uid="{00000000-0005-0000-0000-0000F6520000}"/>
    <cellStyle name="DADOS" xfId="1057" xr:uid="{00000000-0005-0000-0000-0000F7520000}"/>
    <cellStyle name="Empty_L_border" xfId="1058" xr:uid="{00000000-0005-0000-0000-0000F8520000}"/>
    <cellStyle name="Entrada" xfId="1059" xr:uid="{00000000-0005-0000-0000-0000F9520000}"/>
    <cellStyle name="Entrada 2" xfId="1060" xr:uid="{00000000-0005-0000-0000-0000FA520000}"/>
    <cellStyle name="Euro" xfId="1061" xr:uid="{00000000-0005-0000-0000-0000FB520000}"/>
    <cellStyle name="Euro 10" xfId="1062" xr:uid="{00000000-0005-0000-0000-0000FC520000}"/>
    <cellStyle name="Euro 10 2" xfId="1063" xr:uid="{00000000-0005-0000-0000-0000FD520000}"/>
    <cellStyle name="Euro 10 2 2" xfId="2859" xr:uid="{00000000-0005-0000-0000-0000FE520000}"/>
    <cellStyle name="Euro 10 2 3" xfId="4562" xr:uid="{00000000-0005-0000-0000-0000FF520000}"/>
    <cellStyle name="Euro 10 2 4" xfId="37633" xr:uid="{00000000-0005-0000-0000-000000530000}"/>
    <cellStyle name="Euro 10 3" xfId="1064" xr:uid="{00000000-0005-0000-0000-000001530000}"/>
    <cellStyle name="Euro 10 3 2" xfId="2860" xr:uid="{00000000-0005-0000-0000-000002530000}"/>
    <cellStyle name="Euro 10 3 3" xfId="4563" xr:uid="{00000000-0005-0000-0000-000003530000}"/>
    <cellStyle name="Euro 10 3 4" xfId="37634" xr:uid="{00000000-0005-0000-0000-000004530000}"/>
    <cellStyle name="Euro 10 4" xfId="1065" xr:uid="{00000000-0005-0000-0000-000005530000}"/>
    <cellStyle name="Euro 10 4 2" xfId="2861" xr:uid="{00000000-0005-0000-0000-000006530000}"/>
    <cellStyle name="Euro 10 4 3" xfId="4564" xr:uid="{00000000-0005-0000-0000-000007530000}"/>
    <cellStyle name="Euro 10 4 4" xfId="37635" xr:uid="{00000000-0005-0000-0000-000008530000}"/>
    <cellStyle name="Euro 10 5" xfId="2858" xr:uid="{00000000-0005-0000-0000-000009530000}"/>
    <cellStyle name="Euro 10 6" xfId="4561" xr:uid="{00000000-0005-0000-0000-00000A530000}"/>
    <cellStyle name="Euro 10 7" xfId="37632" xr:uid="{00000000-0005-0000-0000-00000B530000}"/>
    <cellStyle name="Euro 11" xfId="1066" xr:uid="{00000000-0005-0000-0000-00000C530000}"/>
    <cellStyle name="Euro 11 2" xfId="1067" xr:uid="{00000000-0005-0000-0000-00000D530000}"/>
    <cellStyle name="Euro 11 2 2" xfId="2863" xr:uid="{00000000-0005-0000-0000-00000E530000}"/>
    <cellStyle name="Euro 11 2 3" xfId="4566" xr:uid="{00000000-0005-0000-0000-00000F530000}"/>
    <cellStyle name="Euro 11 2 4" xfId="37637" xr:uid="{00000000-0005-0000-0000-000010530000}"/>
    <cellStyle name="Euro 11 3" xfId="1068" xr:uid="{00000000-0005-0000-0000-000011530000}"/>
    <cellStyle name="Euro 11 3 2" xfId="2864" xr:uid="{00000000-0005-0000-0000-000012530000}"/>
    <cellStyle name="Euro 11 3 3" xfId="4567" xr:uid="{00000000-0005-0000-0000-000013530000}"/>
    <cellStyle name="Euro 11 3 4" xfId="37638" xr:uid="{00000000-0005-0000-0000-000014530000}"/>
    <cellStyle name="Euro 11 4" xfId="1069" xr:uid="{00000000-0005-0000-0000-000015530000}"/>
    <cellStyle name="Euro 11 4 2" xfId="2865" xr:uid="{00000000-0005-0000-0000-000016530000}"/>
    <cellStyle name="Euro 11 4 3" xfId="4568" xr:uid="{00000000-0005-0000-0000-000017530000}"/>
    <cellStyle name="Euro 11 4 4" xfId="37639" xr:uid="{00000000-0005-0000-0000-000018530000}"/>
    <cellStyle name="Euro 11 5" xfId="2862" xr:uid="{00000000-0005-0000-0000-000019530000}"/>
    <cellStyle name="Euro 11 6" xfId="4565" xr:uid="{00000000-0005-0000-0000-00001A530000}"/>
    <cellStyle name="Euro 11 7" xfId="37636" xr:uid="{00000000-0005-0000-0000-00001B530000}"/>
    <cellStyle name="Euro 12" xfId="1070" xr:uid="{00000000-0005-0000-0000-00001C530000}"/>
    <cellStyle name="Euro 12 2" xfId="1071" xr:uid="{00000000-0005-0000-0000-00001D530000}"/>
    <cellStyle name="Euro 12 2 2" xfId="2867" xr:uid="{00000000-0005-0000-0000-00001E530000}"/>
    <cellStyle name="Euro 12 2 3" xfId="4570" xr:uid="{00000000-0005-0000-0000-00001F530000}"/>
    <cellStyle name="Euro 12 2 4" xfId="37641" xr:uid="{00000000-0005-0000-0000-000020530000}"/>
    <cellStyle name="Euro 12 3" xfId="1072" xr:uid="{00000000-0005-0000-0000-000021530000}"/>
    <cellStyle name="Euro 12 3 2" xfId="2868" xr:uid="{00000000-0005-0000-0000-000022530000}"/>
    <cellStyle name="Euro 12 3 3" xfId="4571" xr:uid="{00000000-0005-0000-0000-000023530000}"/>
    <cellStyle name="Euro 12 3 4" xfId="37642" xr:uid="{00000000-0005-0000-0000-000024530000}"/>
    <cellStyle name="Euro 12 4" xfId="1073" xr:uid="{00000000-0005-0000-0000-000025530000}"/>
    <cellStyle name="Euro 12 4 2" xfId="2869" xr:uid="{00000000-0005-0000-0000-000026530000}"/>
    <cellStyle name="Euro 12 4 3" xfId="4572" xr:uid="{00000000-0005-0000-0000-000027530000}"/>
    <cellStyle name="Euro 12 4 4" xfId="37643" xr:uid="{00000000-0005-0000-0000-000028530000}"/>
    <cellStyle name="Euro 12 5" xfId="2866" xr:uid="{00000000-0005-0000-0000-000029530000}"/>
    <cellStyle name="Euro 12 6" xfId="4569" xr:uid="{00000000-0005-0000-0000-00002A530000}"/>
    <cellStyle name="Euro 12 7" xfId="37640" xr:uid="{00000000-0005-0000-0000-00002B530000}"/>
    <cellStyle name="Euro 13" xfId="1074" xr:uid="{00000000-0005-0000-0000-00002C530000}"/>
    <cellStyle name="Euro 13 2" xfId="1075" xr:uid="{00000000-0005-0000-0000-00002D530000}"/>
    <cellStyle name="Euro 13 2 2" xfId="2871" xr:uid="{00000000-0005-0000-0000-00002E530000}"/>
    <cellStyle name="Euro 13 2 3" xfId="4574" xr:uid="{00000000-0005-0000-0000-00002F530000}"/>
    <cellStyle name="Euro 13 2 4" xfId="37645" xr:uid="{00000000-0005-0000-0000-000030530000}"/>
    <cellStyle name="Euro 13 3" xfId="1076" xr:uid="{00000000-0005-0000-0000-000031530000}"/>
    <cellStyle name="Euro 13 3 2" xfId="2872" xr:uid="{00000000-0005-0000-0000-000032530000}"/>
    <cellStyle name="Euro 13 3 3" xfId="4575" xr:uid="{00000000-0005-0000-0000-000033530000}"/>
    <cellStyle name="Euro 13 3 4" xfId="37646" xr:uid="{00000000-0005-0000-0000-000034530000}"/>
    <cellStyle name="Euro 13 4" xfId="1077" xr:uid="{00000000-0005-0000-0000-000035530000}"/>
    <cellStyle name="Euro 13 4 2" xfId="2873" xr:uid="{00000000-0005-0000-0000-000036530000}"/>
    <cellStyle name="Euro 13 4 3" xfId="4576" xr:uid="{00000000-0005-0000-0000-000037530000}"/>
    <cellStyle name="Euro 13 4 4" xfId="37647" xr:uid="{00000000-0005-0000-0000-000038530000}"/>
    <cellStyle name="Euro 13 5" xfId="2870" xr:uid="{00000000-0005-0000-0000-000039530000}"/>
    <cellStyle name="Euro 13 6" xfId="4573" xr:uid="{00000000-0005-0000-0000-00003A530000}"/>
    <cellStyle name="Euro 13 7" xfId="37644" xr:uid="{00000000-0005-0000-0000-00003B530000}"/>
    <cellStyle name="Euro 14" xfId="1078" xr:uid="{00000000-0005-0000-0000-00003C530000}"/>
    <cellStyle name="Euro 14 2" xfId="1079" xr:uid="{00000000-0005-0000-0000-00003D530000}"/>
    <cellStyle name="Euro 14 2 2" xfId="2875" xr:uid="{00000000-0005-0000-0000-00003E530000}"/>
    <cellStyle name="Euro 14 2 3" xfId="4578" xr:uid="{00000000-0005-0000-0000-00003F530000}"/>
    <cellStyle name="Euro 14 2 4" xfId="37649" xr:uid="{00000000-0005-0000-0000-000040530000}"/>
    <cellStyle name="Euro 14 3" xfId="1080" xr:uid="{00000000-0005-0000-0000-000041530000}"/>
    <cellStyle name="Euro 14 3 2" xfId="2876" xr:uid="{00000000-0005-0000-0000-000042530000}"/>
    <cellStyle name="Euro 14 3 3" xfId="4579" xr:uid="{00000000-0005-0000-0000-000043530000}"/>
    <cellStyle name="Euro 14 3 4" xfId="37650" xr:uid="{00000000-0005-0000-0000-000044530000}"/>
    <cellStyle name="Euro 14 4" xfId="1081" xr:uid="{00000000-0005-0000-0000-000045530000}"/>
    <cellStyle name="Euro 14 4 2" xfId="2877" xr:uid="{00000000-0005-0000-0000-000046530000}"/>
    <cellStyle name="Euro 14 4 3" xfId="4580" xr:uid="{00000000-0005-0000-0000-000047530000}"/>
    <cellStyle name="Euro 14 4 4" xfId="37651" xr:uid="{00000000-0005-0000-0000-000048530000}"/>
    <cellStyle name="Euro 14 5" xfId="2874" xr:uid="{00000000-0005-0000-0000-000049530000}"/>
    <cellStyle name="Euro 14 6" xfId="4577" xr:uid="{00000000-0005-0000-0000-00004A530000}"/>
    <cellStyle name="Euro 14 7" xfId="37648" xr:uid="{00000000-0005-0000-0000-00004B530000}"/>
    <cellStyle name="Euro 15" xfId="1082" xr:uid="{00000000-0005-0000-0000-00004C530000}"/>
    <cellStyle name="Euro 15 2" xfId="1083" xr:uid="{00000000-0005-0000-0000-00004D530000}"/>
    <cellStyle name="Euro 15 2 2" xfId="2879" xr:uid="{00000000-0005-0000-0000-00004E530000}"/>
    <cellStyle name="Euro 15 2 3" xfId="4582" xr:uid="{00000000-0005-0000-0000-00004F530000}"/>
    <cellStyle name="Euro 15 2 4" xfId="37653" xr:uid="{00000000-0005-0000-0000-000050530000}"/>
    <cellStyle name="Euro 15 3" xfId="1084" xr:uid="{00000000-0005-0000-0000-000051530000}"/>
    <cellStyle name="Euro 15 3 2" xfId="2880" xr:uid="{00000000-0005-0000-0000-000052530000}"/>
    <cellStyle name="Euro 15 3 3" xfId="4583" xr:uid="{00000000-0005-0000-0000-000053530000}"/>
    <cellStyle name="Euro 15 3 4" xfId="37654" xr:uid="{00000000-0005-0000-0000-000054530000}"/>
    <cellStyle name="Euro 15 4" xfId="1085" xr:uid="{00000000-0005-0000-0000-000055530000}"/>
    <cellStyle name="Euro 15 4 2" xfId="2881" xr:uid="{00000000-0005-0000-0000-000056530000}"/>
    <cellStyle name="Euro 15 4 3" xfId="4584" xr:uid="{00000000-0005-0000-0000-000057530000}"/>
    <cellStyle name="Euro 15 4 4" xfId="37655" xr:uid="{00000000-0005-0000-0000-000058530000}"/>
    <cellStyle name="Euro 15 5" xfId="2878" xr:uid="{00000000-0005-0000-0000-000059530000}"/>
    <cellStyle name="Euro 15 6" xfId="4581" xr:uid="{00000000-0005-0000-0000-00005A530000}"/>
    <cellStyle name="Euro 15 7" xfId="37652" xr:uid="{00000000-0005-0000-0000-00005B530000}"/>
    <cellStyle name="Euro 16" xfId="1086" xr:uid="{00000000-0005-0000-0000-00005C530000}"/>
    <cellStyle name="Euro 16 2" xfId="1087" xr:uid="{00000000-0005-0000-0000-00005D530000}"/>
    <cellStyle name="Euro 16 2 2" xfId="2883" xr:uid="{00000000-0005-0000-0000-00005E530000}"/>
    <cellStyle name="Euro 16 2 3" xfId="4586" xr:uid="{00000000-0005-0000-0000-00005F530000}"/>
    <cellStyle name="Euro 16 2 4" xfId="37657" xr:uid="{00000000-0005-0000-0000-000060530000}"/>
    <cellStyle name="Euro 16 3" xfId="1088" xr:uid="{00000000-0005-0000-0000-000061530000}"/>
    <cellStyle name="Euro 16 3 2" xfId="2884" xr:uid="{00000000-0005-0000-0000-000062530000}"/>
    <cellStyle name="Euro 16 3 3" xfId="4587" xr:uid="{00000000-0005-0000-0000-000063530000}"/>
    <cellStyle name="Euro 16 3 4" xfId="37658" xr:uid="{00000000-0005-0000-0000-000064530000}"/>
    <cellStyle name="Euro 16 4" xfId="1089" xr:uid="{00000000-0005-0000-0000-000065530000}"/>
    <cellStyle name="Euro 16 4 2" xfId="2885" xr:uid="{00000000-0005-0000-0000-000066530000}"/>
    <cellStyle name="Euro 16 4 3" xfId="4588" xr:uid="{00000000-0005-0000-0000-000067530000}"/>
    <cellStyle name="Euro 16 4 4" xfId="37659" xr:uid="{00000000-0005-0000-0000-000068530000}"/>
    <cellStyle name="Euro 16 5" xfId="2882" xr:uid="{00000000-0005-0000-0000-000069530000}"/>
    <cellStyle name="Euro 16 6" xfId="4585" xr:uid="{00000000-0005-0000-0000-00006A530000}"/>
    <cellStyle name="Euro 16 7" xfId="37656" xr:uid="{00000000-0005-0000-0000-00006B530000}"/>
    <cellStyle name="Euro 17" xfId="1090" xr:uid="{00000000-0005-0000-0000-00006C530000}"/>
    <cellStyle name="Euro 17 2" xfId="1091" xr:uid="{00000000-0005-0000-0000-00006D530000}"/>
    <cellStyle name="Euro 17 2 2" xfId="2887" xr:uid="{00000000-0005-0000-0000-00006E530000}"/>
    <cellStyle name="Euro 17 2 3" xfId="4590" xr:uid="{00000000-0005-0000-0000-00006F530000}"/>
    <cellStyle name="Euro 17 2 4" xfId="37661" xr:uid="{00000000-0005-0000-0000-000070530000}"/>
    <cellStyle name="Euro 17 3" xfId="1092" xr:uid="{00000000-0005-0000-0000-000071530000}"/>
    <cellStyle name="Euro 17 3 2" xfId="2888" xr:uid="{00000000-0005-0000-0000-000072530000}"/>
    <cellStyle name="Euro 17 3 3" xfId="4591" xr:uid="{00000000-0005-0000-0000-000073530000}"/>
    <cellStyle name="Euro 17 3 4" xfId="37662" xr:uid="{00000000-0005-0000-0000-000074530000}"/>
    <cellStyle name="Euro 17 4" xfId="1093" xr:uid="{00000000-0005-0000-0000-000075530000}"/>
    <cellStyle name="Euro 17 4 2" xfId="2889" xr:uid="{00000000-0005-0000-0000-000076530000}"/>
    <cellStyle name="Euro 17 4 3" xfId="4592" xr:uid="{00000000-0005-0000-0000-000077530000}"/>
    <cellStyle name="Euro 17 4 4" xfId="37663" xr:uid="{00000000-0005-0000-0000-000078530000}"/>
    <cellStyle name="Euro 17 5" xfId="2886" xr:uid="{00000000-0005-0000-0000-000079530000}"/>
    <cellStyle name="Euro 17 6" xfId="4589" xr:uid="{00000000-0005-0000-0000-00007A530000}"/>
    <cellStyle name="Euro 17 7" xfId="37660" xr:uid="{00000000-0005-0000-0000-00007B530000}"/>
    <cellStyle name="Euro 18" xfId="1094" xr:uid="{00000000-0005-0000-0000-00007C530000}"/>
    <cellStyle name="Euro 18 10" xfId="4593" xr:uid="{00000000-0005-0000-0000-00007D530000}"/>
    <cellStyle name="Euro 18 11" xfId="37664" xr:uid="{00000000-0005-0000-0000-00007E530000}"/>
    <cellStyle name="Euro 18 2" xfId="1095" xr:uid="{00000000-0005-0000-0000-00007F530000}"/>
    <cellStyle name="Euro 18 2 2" xfId="2892" xr:uid="{00000000-0005-0000-0000-000080530000}"/>
    <cellStyle name="Euro 18 2 2 2" xfId="5169" xr:uid="{00000000-0005-0000-0000-000081530000}"/>
    <cellStyle name="Euro 18 2 2 3" xfId="38190" xr:uid="{00000000-0005-0000-0000-000082530000}"/>
    <cellStyle name="Euro 18 2 3" xfId="2893" xr:uid="{00000000-0005-0000-0000-000083530000}"/>
    <cellStyle name="Euro 18 2 3 2" xfId="5170" xr:uid="{00000000-0005-0000-0000-000084530000}"/>
    <cellStyle name="Euro 18 2 3 3" xfId="38191" xr:uid="{00000000-0005-0000-0000-000085530000}"/>
    <cellStyle name="Euro 18 2 4" xfId="2891" xr:uid="{00000000-0005-0000-0000-000086530000}"/>
    <cellStyle name="Euro 18 2 5" xfId="4594" xr:uid="{00000000-0005-0000-0000-000087530000}"/>
    <cellStyle name="Euro 18 2 6" xfId="37665" xr:uid="{00000000-0005-0000-0000-000088530000}"/>
    <cellStyle name="Euro 18 3" xfId="1096" xr:uid="{00000000-0005-0000-0000-000089530000}"/>
    <cellStyle name="Euro 18 3 2" xfId="2895" xr:uid="{00000000-0005-0000-0000-00008A530000}"/>
    <cellStyle name="Euro 18 3 2 2" xfId="5171" xr:uid="{00000000-0005-0000-0000-00008B530000}"/>
    <cellStyle name="Euro 18 3 2 3" xfId="38192" xr:uid="{00000000-0005-0000-0000-00008C530000}"/>
    <cellStyle name="Euro 18 3 3" xfId="2896" xr:uid="{00000000-0005-0000-0000-00008D530000}"/>
    <cellStyle name="Euro 18 3 3 2" xfId="5172" xr:uid="{00000000-0005-0000-0000-00008E530000}"/>
    <cellStyle name="Euro 18 3 3 3" xfId="38193" xr:uid="{00000000-0005-0000-0000-00008F530000}"/>
    <cellStyle name="Euro 18 3 4" xfId="2894" xr:uid="{00000000-0005-0000-0000-000090530000}"/>
    <cellStyle name="Euro 18 3 5" xfId="4595" xr:uid="{00000000-0005-0000-0000-000091530000}"/>
    <cellStyle name="Euro 18 3 6" xfId="37666" xr:uid="{00000000-0005-0000-0000-000092530000}"/>
    <cellStyle name="Euro 18 4" xfId="1097" xr:uid="{00000000-0005-0000-0000-000093530000}"/>
    <cellStyle name="Euro 18 4 2" xfId="2897" xr:uid="{00000000-0005-0000-0000-000094530000}"/>
    <cellStyle name="Euro 18 4 3" xfId="4596" xr:uid="{00000000-0005-0000-0000-000095530000}"/>
    <cellStyle name="Euro 18 4 4" xfId="37667" xr:uid="{00000000-0005-0000-0000-000096530000}"/>
    <cellStyle name="Euro 18 5" xfId="2898" xr:uid="{00000000-0005-0000-0000-000097530000}"/>
    <cellStyle name="Euro 18 5 2" xfId="5173" xr:uid="{00000000-0005-0000-0000-000098530000}"/>
    <cellStyle name="Euro 18 5 3" xfId="38194" xr:uid="{00000000-0005-0000-0000-000099530000}"/>
    <cellStyle name="Euro 18 6" xfId="2899" xr:uid="{00000000-0005-0000-0000-00009A530000}"/>
    <cellStyle name="Euro 18 6 2" xfId="5174" xr:uid="{00000000-0005-0000-0000-00009B530000}"/>
    <cellStyle name="Euro 18 6 3" xfId="38195" xr:uid="{00000000-0005-0000-0000-00009C530000}"/>
    <cellStyle name="Euro 18 7" xfId="2900" xr:uid="{00000000-0005-0000-0000-00009D530000}"/>
    <cellStyle name="Euro 18 7 2" xfId="5175" xr:uid="{00000000-0005-0000-0000-00009E530000}"/>
    <cellStyle name="Euro 18 7 3" xfId="38196" xr:uid="{00000000-0005-0000-0000-00009F530000}"/>
    <cellStyle name="Euro 18 8" xfId="2901" xr:uid="{00000000-0005-0000-0000-0000A0530000}"/>
    <cellStyle name="Euro 18 8 2" xfId="5176" xr:uid="{00000000-0005-0000-0000-0000A1530000}"/>
    <cellStyle name="Euro 18 8 3" xfId="38197" xr:uid="{00000000-0005-0000-0000-0000A2530000}"/>
    <cellStyle name="Euro 18 9" xfId="2890" xr:uid="{00000000-0005-0000-0000-0000A3530000}"/>
    <cellStyle name="Euro 19" xfId="1098" xr:uid="{00000000-0005-0000-0000-0000A4530000}"/>
    <cellStyle name="Euro 19 10" xfId="4597" xr:uid="{00000000-0005-0000-0000-0000A5530000}"/>
    <cellStyle name="Euro 19 11" xfId="37668" xr:uid="{00000000-0005-0000-0000-0000A6530000}"/>
    <cellStyle name="Euro 19 2" xfId="1099" xr:uid="{00000000-0005-0000-0000-0000A7530000}"/>
    <cellStyle name="Euro 19 2 2" xfId="2904" xr:uid="{00000000-0005-0000-0000-0000A8530000}"/>
    <cellStyle name="Euro 19 2 2 2" xfId="5177" xr:uid="{00000000-0005-0000-0000-0000A9530000}"/>
    <cellStyle name="Euro 19 2 2 3" xfId="38198" xr:uid="{00000000-0005-0000-0000-0000AA530000}"/>
    <cellStyle name="Euro 19 2 3" xfId="2905" xr:uid="{00000000-0005-0000-0000-0000AB530000}"/>
    <cellStyle name="Euro 19 2 3 2" xfId="5178" xr:uid="{00000000-0005-0000-0000-0000AC530000}"/>
    <cellStyle name="Euro 19 2 3 3" xfId="38199" xr:uid="{00000000-0005-0000-0000-0000AD530000}"/>
    <cellStyle name="Euro 19 2 4" xfId="2903" xr:uid="{00000000-0005-0000-0000-0000AE530000}"/>
    <cellStyle name="Euro 19 2 5" xfId="4598" xr:uid="{00000000-0005-0000-0000-0000AF530000}"/>
    <cellStyle name="Euro 19 2 6" xfId="37669" xr:uid="{00000000-0005-0000-0000-0000B0530000}"/>
    <cellStyle name="Euro 19 3" xfId="1100" xr:uid="{00000000-0005-0000-0000-0000B1530000}"/>
    <cellStyle name="Euro 19 3 2" xfId="2907" xr:uid="{00000000-0005-0000-0000-0000B2530000}"/>
    <cellStyle name="Euro 19 3 2 2" xfId="5179" xr:uid="{00000000-0005-0000-0000-0000B3530000}"/>
    <cellStyle name="Euro 19 3 2 3" xfId="38200" xr:uid="{00000000-0005-0000-0000-0000B4530000}"/>
    <cellStyle name="Euro 19 3 3" xfId="2908" xr:uid="{00000000-0005-0000-0000-0000B5530000}"/>
    <cellStyle name="Euro 19 3 3 2" xfId="5180" xr:uid="{00000000-0005-0000-0000-0000B6530000}"/>
    <cellStyle name="Euro 19 3 3 3" xfId="38201" xr:uid="{00000000-0005-0000-0000-0000B7530000}"/>
    <cellStyle name="Euro 19 3 4" xfId="2906" xr:uid="{00000000-0005-0000-0000-0000B8530000}"/>
    <cellStyle name="Euro 19 3 5" xfId="4599" xr:uid="{00000000-0005-0000-0000-0000B9530000}"/>
    <cellStyle name="Euro 19 3 6" xfId="37670" xr:uid="{00000000-0005-0000-0000-0000BA530000}"/>
    <cellStyle name="Euro 19 4" xfId="1101" xr:uid="{00000000-0005-0000-0000-0000BB530000}"/>
    <cellStyle name="Euro 19 4 2" xfId="2909" xr:uid="{00000000-0005-0000-0000-0000BC530000}"/>
    <cellStyle name="Euro 19 4 3" xfId="4600" xr:uid="{00000000-0005-0000-0000-0000BD530000}"/>
    <cellStyle name="Euro 19 4 4" xfId="37671" xr:uid="{00000000-0005-0000-0000-0000BE530000}"/>
    <cellStyle name="Euro 19 5" xfId="2910" xr:uid="{00000000-0005-0000-0000-0000BF530000}"/>
    <cellStyle name="Euro 19 5 2" xfId="5181" xr:uid="{00000000-0005-0000-0000-0000C0530000}"/>
    <cellStyle name="Euro 19 5 3" xfId="38202" xr:uid="{00000000-0005-0000-0000-0000C1530000}"/>
    <cellStyle name="Euro 19 6" xfId="2911" xr:uid="{00000000-0005-0000-0000-0000C2530000}"/>
    <cellStyle name="Euro 19 6 2" xfId="5182" xr:uid="{00000000-0005-0000-0000-0000C3530000}"/>
    <cellStyle name="Euro 19 6 3" xfId="38203" xr:uid="{00000000-0005-0000-0000-0000C4530000}"/>
    <cellStyle name="Euro 19 7" xfId="2912" xr:uid="{00000000-0005-0000-0000-0000C5530000}"/>
    <cellStyle name="Euro 19 7 2" xfId="5183" xr:uid="{00000000-0005-0000-0000-0000C6530000}"/>
    <cellStyle name="Euro 19 7 3" xfId="38204" xr:uid="{00000000-0005-0000-0000-0000C7530000}"/>
    <cellStyle name="Euro 19 8" xfId="2913" xr:uid="{00000000-0005-0000-0000-0000C8530000}"/>
    <cellStyle name="Euro 19 8 2" xfId="5184" xr:uid="{00000000-0005-0000-0000-0000C9530000}"/>
    <cellStyle name="Euro 19 8 3" xfId="38205" xr:uid="{00000000-0005-0000-0000-0000CA530000}"/>
    <cellStyle name="Euro 19 9" xfId="2902" xr:uid="{00000000-0005-0000-0000-0000CB530000}"/>
    <cellStyle name="Euro 2" xfId="1102" xr:uid="{00000000-0005-0000-0000-0000CC530000}"/>
    <cellStyle name="Euro 2 10" xfId="1103" xr:uid="{00000000-0005-0000-0000-0000CD530000}"/>
    <cellStyle name="Euro 2 10 2" xfId="2915" xr:uid="{00000000-0005-0000-0000-0000CE530000}"/>
    <cellStyle name="Euro 2 10 3" xfId="4602" xr:uid="{00000000-0005-0000-0000-0000CF530000}"/>
    <cellStyle name="Euro 2 10 4" xfId="7354" xr:uid="{00000000-0005-0000-0000-0000D0530000}"/>
    <cellStyle name="Euro 2 11" xfId="1104" xr:uid="{00000000-0005-0000-0000-0000D1530000}"/>
    <cellStyle name="Euro 2 11 2" xfId="2916" xr:uid="{00000000-0005-0000-0000-0000D2530000}"/>
    <cellStyle name="Euro 2 11 3" xfId="4603" xr:uid="{00000000-0005-0000-0000-0000D3530000}"/>
    <cellStyle name="Euro 2 11 4" xfId="37672" xr:uid="{00000000-0005-0000-0000-0000D4530000}"/>
    <cellStyle name="Euro 2 12" xfId="1105" xr:uid="{00000000-0005-0000-0000-0000D5530000}"/>
    <cellStyle name="Euro 2 12 2" xfId="2917" xr:uid="{00000000-0005-0000-0000-0000D6530000}"/>
    <cellStyle name="Euro 2 12 3" xfId="4604" xr:uid="{00000000-0005-0000-0000-0000D7530000}"/>
    <cellStyle name="Euro 2 12 4" xfId="37673" xr:uid="{00000000-0005-0000-0000-0000D8530000}"/>
    <cellStyle name="Euro 2 13" xfId="1106" xr:uid="{00000000-0005-0000-0000-0000D9530000}"/>
    <cellStyle name="Euro 2 13 2" xfId="2918" xr:uid="{00000000-0005-0000-0000-0000DA530000}"/>
    <cellStyle name="Euro 2 13 3" xfId="4605" xr:uid="{00000000-0005-0000-0000-0000DB530000}"/>
    <cellStyle name="Euro 2 13 4" xfId="37674" xr:uid="{00000000-0005-0000-0000-0000DC530000}"/>
    <cellStyle name="Euro 2 14" xfId="1107" xr:uid="{00000000-0005-0000-0000-0000DD530000}"/>
    <cellStyle name="Euro 2 14 2" xfId="2919" xr:uid="{00000000-0005-0000-0000-0000DE530000}"/>
    <cellStyle name="Euro 2 14 3" xfId="4606" xr:uid="{00000000-0005-0000-0000-0000DF530000}"/>
    <cellStyle name="Euro 2 14 4" xfId="37675" xr:uid="{00000000-0005-0000-0000-0000E0530000}"/>
    <cellStyle name="Euro 2 15" xfId="1108" xr:uid="{00000000-0005-0000-0000-0000E1530000}"/>
    <cellStyle name="Euro 2 15 2" xfId="2920" xr:uid="{00000000-0005-0000-0000-0000E2530000}"/>
    <cellStyle name="Euro 2 15 3" xfId="4607" xr:uid="{00000000-0005-0000-0000-0000E3530000}"/>
    <cellStyle name="Euro 2 15 4" xfId="37676" xr:uid="{00000000-0005-0000-0000-0000E4530000}"/>
    <cellStyle name="Euro 2 16" xfId="1109" xr:uid="{00000000-0005-0000-0000-0000E5530000}"/>
    <cellStyle name="Euro 2 16 2" xfId="2921" xr:uid="{00000000-0005-0000-0000-0000E6530000}"/>
    <cellStyle name="Euro 2 16 3" xfId="4608" xr:uid="{00000000-0005-0000-0000-0000E7530000}"/>
    <cellStyle name="Euro 2 16 4" xfId="37677" xr:uid="{00000000-0005-0000-0000-0000E8530000}"/>
    <cellStyle name="Euro 2 17" xfId="1110" xr:uid="{00000000-0005-0000-0000-0000E9530000}"/>
    <cellStyle name="Euro 2 17 2" xfId="2922" xr:uid="{00000000-0005-0000-0000-0000EA530000}"/>
    <cellStyle name="Euro 2 17 3" xfId="4609" xr:uid="{00000000-0005-0000-0000-0000EB530000}"/>
    <cellStyle name="Euro 2 17 4" xfId="37678" xr:uid="{00000000-0005-0000-0000-0000EC530000}"/>
    <cellStyle name="Euro 2 18" xfId="1111" xr:uid="{00000000-0005-0000-0000-0000ED530000}"/>
    <cellStyle name="Euro 2 18 2" xfId="2923" xr:uid="{00000000-0005-0000-0000-0000EE530000}"/>
    <cellStyle name="Euro 2 18 3" xfId="4610" xr:uid="{00000000-0005-0000-0000-0000EF530000}"/>
    <cellStyle name="Euro 2 18 4" xfId="37679" xr:uid="{00000000-0005-0000-0000-0000F0530000}"/>
    <cellStyle name="Euro 2 19" xfId="1112" xr:uid="{00000000-0005-0000-0000-0000F1530000}"/>
    <cellStyle name="Euro 2 19 2" xfId="2924" xr:uid="{00000000-0005-0000-0000-0000F2530000}"/>
    <cellStyle name="Euro 2 19 3" xfId="4611" xr:uid="{00000000-0005-0000-0000-0000F3530000}"/>
    <cellStyle name="Euro 2 19 4" xfId="37680" xr:uid="{00000000-0005-0000-0000-0000F4530000}"/>
    <cellStyle name="Euro 2 2" xfId="1113" xr:uid="{00000000-0005-0000-0000-0000F5530000}"/>
    <cellStyle name="Euro 2 2 10" xfId="4612" xr:uid="{00000000-0005-0000-0000-0000F6530000}"/>
    <cellStyle name="Euro 2 2 11" xfId="5690" xr:uid="{00000000-0005-0000-0000-0000F7530000}"/>
    <cellStyle name="Euro 2 2 2" xfId="1114" xr:uid="{00000000-0005-0000-0000-0000F8530000}"/>
    <cellStyle name="Euro 2 2 2 2" xfId="2926" xr:uid="{00000000-0005-0000-0000-0000F9530000}"/>
    <cellStyle name="Euro 2 2 2 3" xfId="4613" xr:uid="{00000000-0005-0000-0000-0000FA530000}"/>
    <cellStyle name="Euro 2 2 2 4" xfId="37681" xr:uid="{00000000-0005-0000-0000-0000FB530000}"/>
    <cellStyle name="Euro 2 2 3" xfId="1115" xr:uid="{00000000-0005-0000-0000-0000FC530000}"/>
    <cellStyle name="Euro 2 2 3 2" xfId="2927" xr:uid="{00000000-0005-0000-0000-0000FD530000}"/>
    <cellStyle name="Euro 2 2 3 3" xfId="4614" xr:uid="{00000000-0005-0000-0000-0000FE530000}"/>
    <cellStyle name="Euro 2 2 3 4" xfId="37682" xr:uid="{00000000-0005-0000-0000-0000FF530000}"/>
    <cellStyle name="Euro 2 2 4" xfId="1116" xr:uid="{00000000-0005-0000-0000-000000540000}"/>
    <cellStyle name="Euro 2 2 4 2" xfId="2928" xr:uid="{00000000-0005-0000-0000-000001540000}"/>
    <cellStyle name="Euro 2 2 4 3" xfId="4615" xr:uid="{00000000-0005-0000-0000-000002540000}"/>
    <cellStyle name="Euro 2 2 4 4" xfId="37683" xr:uid="{00000000-0005-0000-0000-000003540000}"/>
    <cellStyle name="Euro 2 2 5" xfId="2929" xr:uid="{00000000-0005-0000-0000-000004540000}"/>
    <cellStyle name="Euro 2 2 5 2" xfId="5185" xr:uid="{00000000-0005-0000-0000-000005540000}"/>
    <cellStyle name="Euro 2 2 5 3" xfId="38206" xr:uid="{00000000-0005-0000-0000-000006540000}"/>
    <cellStyle name="Euro 2 2 6" xfId="2930" xr:uid="{00000000-0005-0000-0000-000007540000}"/>
    <cellStyle name="Euro 2 2 6 2" xfId="5186" xr:uid="{00000000-0005-0000-0000-000008540000}"/>
    <cellStyle name="Euro 2 2 6 3" xfId="38207" xr:uid="{00000000-0005-0000-0000-000009540000}"/>
    <cellStyle name="Euro 2 2 7" xfId="2931" xr:uid="{00000000-0005-0000-0000-00000A540000}"/>
    <cellStyle name="Euro 2 2 7 2" xfId="5187" xr:uid="{00000000-0005-0000-0000-00000B540000}"/>
    <cellStyle name="Euro 2 2 7 3" xfId="38208" xr:uid="{00000000-0005-0000-0000-00000C540000}"/>
    <cellStyle name="Euro 2 2 8" xfId="2932" xr:uid="{00000000-0005-0000-0000-00000D540000}"/>
    <cellStyle name="Euro 2 2 8 2" xfId="5188" xr:uid="{00000000-0005-0000-0000-00000E540000}"/>
    <cellStyle name="Euro 2 2 8 3" xfId="38209" xr:uid="{00000000-0005-0000-0000-00000F540000}"/>
    <cellStyle name="Euro 2 2 9" xfId="2925" xr:uid="{00000000-0005-0000-0000-000010540000}"/>
    <cellStyle name="Euro 2 20" xfId="1117" xr:uid="{00000000-0005-0000-0000-000011540000}"/>
    <cellStyle name="Euro 2 20 2" xfId="2933" xr:uid="{00000000-0005-0000-0000-000012540000}"/>
    <cellStyle name="Euro 2 20 3" xfId="4616" xr:uid="{00000000-0005-0000-0000-000013540000}"/>
    <cellStyle name="Euro 2 20 4" xfId="37684" xr:uid="{00000000-0005-0000-0000-000014540000}"/>
    <cellStyle name="Euro 2 21" xfId="1118" xr:uid="{00000000-0005-0000-0000-000015540000}"/>
    <cellStyle name="Euro 2 21 2" xfId="1119" xr:uid="{00000000-0005-0000-0000-000016540000}"/>
    <cellStyle name="Euro 2 21 2 2" xfId="2935" xr:uid="{00000000-0005-0000-0000-000017540000}"/>
    <cellStyle name="Euro 2 21 2 3" xfId="4618" xr:uid="{00000000-0005-0000-0000-000018540000}"/>
    <cellStyle name="Euro 2 21 2 4" xfId="37686" xr:uid="{00000000-0005-0000-0000-000019540000}"/>
    <cellStyle name="Euro 2 21 3" xfId="2934" xr:uid="{00000000-0005-0000-0000-00001A540000}"/>
    <cellStyle name="Euro 2 21 4" xfId="4617" xr:uid="{00000000-0005-0000-0000-00001B540000}"/>
    <cellStyle name="Euro 2 21 5" xfId="37685" xr:uid="{00000000-0005-0000-0000-00001C540000}"/>
    <cellStyle name="Euro 2 22" xfId="1120" xr:uid="{00000000-0005-0000-0000-00001D540000}"/>
    <cellStyle name="Euro 2 22 2" xfId="2936" xr:uid="{00000000-0005-0000-0000-00001E540000}"/>
    <cellStyle name="Euro 2 22 3" xfId="4619" xr:uid="{00000000-0005-0000-0000-00001F540000}"/>
    <cellStyle name="Euro 2 22 4" xfId="37687" xr:uid="{00000000-0005-0000-0000-000020540000}"/>
    <cellStyle name="Euro 2 23" xfId="2937" xr:uid="{00000000-0005-0000-0000-000021540000}"/>
    <cellStyle name="Euro 2 23 2" xfId="5189" xr:uid="{00000000-0005-0000-0000-000022540000}"/>
    <cellStyle name="Euro 2 23 3" xfId="38210" xr:uid="{00000000-0005-0000-0000-000023540000}"/>
    <cellStyle name="Euro 2 24" xfId="2914" xr:uid="{00000000-0005-0000-0000-000024540000}"/>
    <cellStyle name="Euro 2 25" xfId="4601" xr:uid="{00000000-0005-0000-0000-000025540000}"/>
    <cellStyle name="Euro 2 26" xfId="5689" xr:uid="{00000000-0005-0000-0000-000026540000}"/>
    <cellStyle name="Euro 2 3" xfId="1121" xr:uid="{00000000-0005-0000-0000-000027540000}"/>
    <cellStyle name="Euro 2 3 2" xfId="2938" xr:uid="{00000000-0005-0000-0000-000028540000}"/>
    <cellStyle name="Euro 2 3 3" xfId="4620" xr:uid="{00000000-0005-0000-0000-000029540000}"/>
    <cellStyle name="Euro 2 3 4" xfId="5691" xr:uid="{00000000-0005-0000-0000-00002A540000}"/>
    <cellStyle name="Euro 2 4" xfId="1122" xr:uid="{00000000-0005-0000-0000-00002B540000}"/>
    <cellStyle name="Euro 2 4 2" xfId="2939" xr:uid="{00000000-0005-0000-0000-00002C540000}"/>
    <cellStyle name="Euro 2 4 3" xfId="4621" xr:uid="{00000000-0005-0000-0000-00002D540000}"/>
    <cellStyle name="Euro 2 4 4" xfId="37688" xr:uid="{00000000-0005-0000-0000-00002E540000}"/>
    <cellStyle name="Euro 2 5" xfId="1123" xr:uid="{00000000-0005-0000-0000-00002F540000}"/>
    <cellStyle name="Euro 2 5 2" xfId="2940" xr:uid="{00000000-0005-0000-0000-000030540000}"/>
    <cellStyle name="Euro 2 5 3" xfId="4622" xr:uid="{00000000-0005-0000-0000-000031540000}"/>
    <cellStyle name="Euro 2 5 4" xfId="37689" xr:uid="{00000000-0005-0000-0000-000032540000}"/>
    <cellStyle name="Euro 2 6" xfId="1124" xr:uid="{00000000-0005-0000-0000-000033540000}"/>
    <cellStyle name="Euro 2 6 2" xfId="2941" xr:uid="{00000000-0005-0000-0000-000034540000}"/>
    <cellStyle name="Euro 2 6 3" xfId="4623" xr:uid="{00000000-0005-0000-0000-000035540000}"/>
    <cellStyle name="Euro 2 6 4" xfId="37690" xr:uid="{00000000-0005-0000-0000-000036540000}"/>
    <cellStyle name="Euro 2 7" xfId="1125" xr:uid="{00000000-0005-0000-0000-000037540000}"/>
    <cellStyle name="Euro 2 7 2" xfId="2942" xr:uid="{00000000-0005-0000-0000-000038540000}"/>
    <cellStyle name="Euro 2 7 3" xfId="4624" xr:uid="{00000000-0005-0000-0000-000039540000}"/>
    <cellStyle name="Euro 2 7 4" xfId="37691" xr:uid="{00000000-0005-0000-0000-00003A540000}"/>
    <cellStyle name="Euro 2 8" xfId="1126" xr:uid="{00000000-0005-0000-0000-00003B540000}"/>
    <cellStyle name="Euro 2 8 2" xfId="2943" xr:uid="{00000000-0005-0000-0000-00003C540000}"/>
    <cellStyle name="Euro 2 8 3" xfId="4625" xr:uid="{00000000-0005-0000-0000-00003D540000}"/>
    <cellStyle name="Euro 2 8 4" xfId="37692" xr:uid="{00000000-0005-0000-0000-00003E540000}"/>
    <cellStyle name="Euro 2 9" xfId="1127" xr:uid="{00000000-0005-0000-0000-00003F540000}"/>
    <cellStyle name="Euro 2 9 2" xfId="2944" xr:uid="{00000000-0005-0000-0000-000040540000}"/>
    <cellStyle name="Euro 2 9 3" xfId="4626" xr:uid="{00000000-0005-0000-0000-000041540000}"/>
    <cellStyle name="Euro 2 9 4" xfId="7355" xr:uid="{00000000-0005-0000-0000-000042540000}"/>
    <cellStyle name="Euro 20" xfId="1128" xr:uid="{00000000-0005-0000-0000-000043540000}"/>
    <cellStyle name="Euro 20 10" xfId="4627" xr:uid="{00000000-0005-0000-0000-000044540000}"/>
    <cellStyle name="Euro 20 11" xfId="37693" xr:uid="{00000000-0005-0000-0000-000045540000}"/>
    <cellStyle name="Euro 20 2" xfId="1129" xr:uid="{00000000-0005-0000-0000-000046540000}"/>
    <cellStyle name="Euro 20 2 2" xfId="2947" xr:uid="{00000000-0005-0000-0000-000047540000}"/>
    <cellStyle name="Euro 20 2 2 2" xfId="5190" xr:uid="{00000000-0005-0000-0000-000048540000}"/>
    <cellStyle name="Euro 20 2 2 3" xfId="38211" xr:uid="{00000000-0005-0000-0000-000049540000}"/>
    <cellStyle name="Euro 20 2 3" xfId="2948" xr:uid="{00000000-0005-0000-0000-00004A540000}"/>
    <cellStyle name="Euro 20 2 3 2" xfId="5191" xr:uid="{00000000-0005-0000-0000-00004B540000}"/>
    <cellStyle name="Euro 20 2 3 3" xfId="38212" xr:uid="{00000000-0005-0000-0000-00004C540000}"/>
    <cellStyle name="Euro 20 2 4" xfId="2946" xr:uid="{00000000-0005-0000-0000-00004D540000}"/>
    <cellStyle name="Euro 20 2 5" xfId="4628" xr:uid="{00000000-0005-0000-0000-00004E540000}"/>
    <cellStyle name="Euro 20 2 6" xfId="37694" xr:uid="{00000000-0005-0000-0000-00004F540000}"/>
    <cellStyle name="Euro 20 3" xfId="1130" xr:uid="{00000000-0005-0000-0000-000050540000}"/>
    <cellStyle name="Euro 20 3 2" xfId="2950" xr:uid="{00000000-0005-0000-0000-000051540000}"/>
    <cellStyle name="Euro 20 3 2 2" xfId="5192" xr:uid="{00000000-0005-0000-0000-000052540000}"/>
    <cellStyle name="Euro 20 3 2 3" xfId="38213" xr:uid="{00000000-0005-0000-0000-000053540000}"/>
    <cellStyle name="Euro 20 3 3" xfId="2951" xr:uid="{00000000-0005-0000-0000-000054540000}"/>
    <cellStyle name="Euro 20 3 3 2" xfId="5193" xr:uid="{00000000-0005-0000-0000-000055540000}"/>
    <cellStyle name="Euro 20 3 3 3" xfId="38214" xr:uid="{00000000-0005-0000-0000-000056540000}"/>
    <cellStyle name="Euro 20 3 4" xfId="2949" xr:uid="{00000000-0005-0000-0000-000057540000}"/>
    <cellStyle name="Euro 20 3 5" xfId="4629" xr:uid="{00000000-0005-0000-0000-000058540000}"/>
    <cellStyle name="Euro 20 3 6" xfId="37695" xr:uid="{00000000-0005-0000-0000-000059540000}"/>
    <cellStyle name="Euro 20 4" xfId="1131" xr:uid="{00000000-0005-0000-0000-00005A540000}"/>
    <cellStyle name="Euro 20 4 2" xfId="2952" xr:uid="{00000000-0005-0000-0000-00005B540000}"/>
    <cellStyle name="Euro 20 4 3" xfId="4630" xr:uid="{00000000-0005-0000-0000-00005C540000}"/>
    <cellStyle name="Euro 20 4 4" xfId="37696" xr:uid="{00000000-0005-0000-0000-00005D540000}"/>
    <cellStyle name="Euro 20 5" xfId="2953" xr:uid="{00000000-0005-0000-0000-00005E540000}"/>
    <cellStyle name="Euro 20 5 2" xfId="5194" xr:uid="{00000000-0005-0000-0000-00005F540000}"/>
    <cellStyle name="Euro 20 5 3" xfId="38215" xr:uid="{00000000-0005-0000-0000-000060540000}"/>
    <cellStyle name="Euro 20 6" xfId="2954" xr:uid="{00000000-0005-0000-0000-000061540000}"/>
    <cellStyle name="Euro 20 6 2" xfId="5195" xr:uid="{00000000-0005-0000-0000-000062540000}"/>
    <cellStyle name="Euro 20 6 3" xfId="38216" xr:uid="{00000000-0005-0000-0000-000063540000}"/>
    <cellStyle name="Euro 20 7" xfId="2955" xr:uid="{00000000-0005-0000-0000-000064540000}"/>
    <cellStyle name="Euro 20 7 2" xfId="5196" xr:uid="{00000000-0005-0000-0000-000065540000}"/>
    <cellStyle name="Euro 20 7 3" xfId="38217" xr:uid="{00000000-0005-0000-0000-000066540000}"/>
    <cellStyle name="Euro 20 8" xfId="2956" xr:uid="{00000000-0005-0000-0000-000067540000}"/>
    <cellStyle name="Euro 20 8 2" xfId="5197" xr:uid="{00000000-0005-0000-0000-000068540000}"/>
    <cellStyle name="Euro 20 8 3" xfId="38218" xr:uid="{00000000-0005-0000-0000-000069540000}"/>
    <cellStyle name="Euro 20 9" xfId="2945" xr:uid="{00000000-0005-0000-0000-00006A540000}"/>
    <cellStyle name="Euro 21" xfId="1132" xr:uid="{00000000-0005-0000-0000-00006B540000}"/>
    <cellStyle name="Euro 21 10" xfId="4631" xr:uid="{00000000-0005-0000-0000-00006C540000}"/>
    <cellStyle name="Euro 21 11" xfId="37697" xr:uid="{00000000-0005-0000-0000-00006D540000}"/>
    <cellStyle name="Euro 21 2" xfId="1133" xr:uid="{00000000-0005-0000-0000-00006E540000}"/>
    <cellStyle name="Euro 21 2 2" xfId="2958" xr:uid="{00000000-0005-0000-0000-00006F540000}"/>
    <cellStyle name="Euro 21 2 3" xfId="4632" xr:uid="{00000000-0005-0000-0000-000070540000}"/>
    <cellStyle name="Euro 21 2 4" xfId="37698" xr:uid="{00000000-0005-0000-0000-000071540000}"/>
    <cellStyle name="Euro 21 3" xfId="2959" xr:uid="{00000000-0005-0000-0000-000072540000}"/>
    <cellStyle name="Euro 21 3 2" xfId="5198" xr:uid="{00000000-0005-0000-0000-000073540000}"/>
    <cellStyle name="Euro 21 3 3" xfId="38219" xr:uid="{00000000-0005-0000-0000-000074540000}"/>
    <cellStyle name="Euro 21 4" xfId="2960" xr:uid="{00000000-0005-0000-0000-000075540000}"/>
    <cellStyle name="Euro 21 4 2" xfId="5199" xr:uid="{00000000-0005-0000-0000-000076540000}"/>
    <cellStyle name="Euro 21 4 3" xfId="38220" xr:uid="{00000000-0005-0000-0000-000077540000}"/>
    <cellStyle name="Euro 21 5" xfId="2961" xr:uid="{00000000-0005-0000-0000-000078540000}"/>
    <cellStyle name="Euro 21 5 2" xfId="5200" xr:uid="{00000000-0005-0000-0000-000079540000}"/>
    <cellStyle name="Euro 21 5 3" xfId="38221" xr:uid="{00000000-0005-0000-0000-00007A540000}"/>
    <cellStyle name="Euro 21 6" xfId="2962" xr:uid="{00000000-0005-0000-0000-00007B540000}"/>
    <cellStyle name="Euro 21 6 2" xfId="5201" xr:uid="{00000000-0005-0000-0000-00007C540000}"/>
    <cellStyle name="Euro 21 6 3" xfId="38222" xr:uid="{00000000-0005-0000-0000-00007D540000}"/>
    <cellStyle name="Euro 21 7" xfId="2963" xr:uid="{00000000-0005-0000-0000-00007E540000}"/>
    <cellStyle name="Euro 21 7 2" xfId="5202" xr:uid="{00000000-0005-0000-0000-00007F540000}"/>
    <cellStyle name="Euro 21 7 3" xfId="38223" xr:uid="{00000000-0005-0000-0000-000080540000}"/>
    <cellStyle name="Euro 21 8" xfId="2964" xr:uid="{00000000-0005-0000-0000-000081540000}"/>
    <cellStyle name="Euro 21 8 2" xfId="5203" xr:uid="{00000000-0005-0000-0000-000082540000}"/>
    <cellStyle name="Euro 21 8 3" xfId="38224" xr:uid="{00000000-0005-0000-0000-000083540000}"/>
    <cellStyle name="Euro 21 9" xfId="2957" xr:uid="{00000000-0005-0000-0000-000084540000}"/>
    <cellStyle name="Euro 22" xfId="1134" xr:uid="{00000000-0005-0000-0000-000085540000}"/>
    <cellStyle name="Euro 22 10" xfId="4633" xr:uid="{00000000-0005-0000-0000-000086540000}"/>
    <cellStyle name="Euro 22 11" xfId="37699" xr:uid="{00000000-0005-0000-0000-000087540000}"/>
    <cellStyle name="Euro 22 2" xfId="1135" xr:uid="{00000000-0005-0000-0000-000088540000}"/>
    <cellStyle name="Euro 22 2 2" xfId="2966" xr:uid="{00000000-0005-0000-0000-000089540000}"/>
    <cellStyle name="Euro 22 2 3" xfId="4634" xr:uid="{00000000-0005-0000-0000-00008A540000}"/>
    <cellStyle name="Euro 22 2 4" xfId="37700" xr:uid="{00000000-0005-0000-0000-00008B540000}"/>
    <cellStyle name="Euro 22 3" xfId="2967" xr:uid="{00000000-0005-0000-0000-00008C540000}"/>
    <cellStyle name="Euro 22 3 2" xfId="5204" xr:uid="{00000000-0005-0000-0000-00008D540000}"/>
    <cellStyle name="Euro 22 3 3" xfId="38225" xr:uid="{00000000-0005-0000-0000-00008E540000}"/>
    <cellStyle name="Euro 22 4" xfId="2968" xr:uid="{00000000-0005-0000-0000-00008F540000}"/>
    <cellStyle name="Euro 22 4 2" xfId="5205" xr:uid="{00000000-0005-0000-0000-000090540000}"/>
    <cellStyle name="Euro 22 4 3" xfId="38226" xr:uid="{00000000-0005-0000-0000-000091540000}"/>
    <cellStyle name="Euro 22 5" xfId="2969" xr:uid="{00000000-0005-0000-0000-000092540000}"/>
    <cellStyle name="Euro 22 5 2" xfId="5206" xr:uid="{00000000-0005-0000-0000-000093540000}"/>
    <cellStyle name="Euro 22 5 3" xfId="38227" xr:uid="{00000000-0005-0000-0000-000094540000}"/>
    <cellStyle name="Euro 22 6" xfId="2970" xr:uid="{00000000-0005-0000-0000-000095540000}"/>
    <cellStyle name="Euro 22 6 2" xfId="5207" xr:uid="{00000000-0005-0000-0000-000096540000}"/>
    <cellStyle name="Euro 22 6 3" xfId="38228" xr:uid="{00000000-0005-0000-0000-000097540000}"/>
    <cellStyle name="Euro 22 7" xfId="2971" xr:uid="{00000000-0005-0000-0000-000098540000}"/>
    <cellStyle name="Euro 22 7 2" xfId="5208" xr:uid="{00000000-0005-0000-0000-000099540000}"/>
    <cellStyle name="Euro 22 7 3" xfId="38229" xr:uid="{00000000-0005-0000-0000-00009A540000}"/>
    <cellStyle name="Euro 22 8" xfId="2972" xr:uid="{00000000-0005-0000-0000-00009B540000}"/>
    <cellStyle name="Euro 22 8 2" xfId="5209" xr:uid="{00000000-0005-0000-0000-00009C540000}"/>
    <cellStyle name="Euro 22 8 3" xfId="38230" xr:uid="{00000000-0005-0000-0000-00009D540000}"/>
    <cellStyle name="Euro 22 9" xfId="2965" xr:uid="{00000000-0005-0000-0000-00009E540000}"/>
    <cellStyle name="Euro 23" xfId="1136" xr:uid="{00000000-0005-0000-0000-00009F540000}"/>
    <cellStyle name="Euro 23 10" xfId="4635" xr:uid="{00000000-0005-0000-0000-0000A0540000}"/>
    <cellStyle name="Euro 23 11" xfId="37701" xr:uid="{00000000-0005-0000-0000-0000A1540000}"/>
    <cellStyle name="Euro 23 2" xfId="1137" xr:uid="{00000000-0005-0000-0000-0000A2540000}"/>
    <cellStyle name="Euro 23 2 2" xfId="2974" xr:uid="{00000000-0005-0000-0000-0000A3540000}"/>
    <cellStyle name="Euro 23 2 3" xfId="4636" xr:uid="{00000000-0005-0000-0000-0000A4540000}"/>
    <cellStyle name="Euro 23 2 4" xfId="37702" xr:uid="{00000000-0005-0000-0000-0000A5540000}"/>
    <cellStyle name="Euro 23 3" xfId="2975" xr:uid="{00000000-0005-0000-0000-0000A6540000}"/>
    <cellStyle name="Euro 23 3 2" xfId="5210" xr:uid="{00000000-0005-0000-0000-0000A7540000}"/>
    <cellStyle name="Euro 23 3 3" xfId="38231" xr:uid="{00000000-0005-0000-0000-0000A8540000}"/>
    <cellStyle name="Euro 23 4" xfId="2976" xr:uid="{00000000-0005-0000-0000-0000A9540000}"/>
    <cellStyle name="Euro 23 4 2" xfId="5211" xr:uid="{00000000-0005-0000-0000-0000AA540000}"/>
    <cellStyle name="Euro 23 4 3" xfId="38232" xr:uid="{00000000-0005-0000-0000-0000AB540000}"/>
    <cellStyle name="Euro 23 5" xfId="2977" xr:uid="{00000000-0005-0000-0000-0000AC540000}"/>
    <cellStyle name="Euro 23 5 2" xfId="5212" xr:uid="{00000000-0005-0000-0000-0000AD540000}"/>
    <cellStyle name="Euro 23 5 3" xfId="38233" xr:uid="{00000000-0005-0000-0000-0000AE540000}"/>
    <cellStyle name="Euro 23 6" xfId="2978" xr:uid="{00000000-0005-0000-0000-0000AF540000}"/>
    <cellStyle name="Euro 23 6 2" xfId="5213" xr:uid="{00000000-0005-0000-0000-0000B0540000}"/>
    <cellStyle name="Euro 23 6 3" xfId="38234" xr:uid="{00000000-0005-0000-0000-0000B1540000}"/>
    <cellStyle name="Euro 23 7" xfId="2979" xr:uid="{00000000-0005-0000-0000-0000B2540000}"/>
    <cellStyle name="Euro 23 7 2" xfId="5214" xr:uid="{00000000-0005-0000-0000-0000B3540000}"/>
    <cellStyle name="Euro 23 7 3" xfId="38235" xr:uid="{00000000-0005-0000-0000-0000B4540000}"/>
    <cellStyle name="Euro 23 8" xfId="2980" xr:uid="{00000000-0005-0000-0000-0000B5540000}"/>
    <cellStyle name="Euro 23 8 2" xfId="5215" xr:uid="{00000000-0005-0000-0000-0000B6540000}"/>
    <cellStyle name="Euro 23 8 3" xfId="38236" xr:uid="{00000000-0005-0000-0000-0000B7540000}"/>
    <cellStyle name="Euro 23 9" xfId="2973" xr:uid="{00000000-0005-0000-0000-0000B8540000}"/>
    <cellStyle name="Euro 24" xfId="1138" xr:uid="{00000000-0005-0000-0000-0000B9540000}"/>
    <cellStyle name="Euro 24 10" xfId="4637" xr:uid="{00000000-0005-0000-0000-0000BA540000}"/>
    <cellStyle name="Euro 24 11" xfId="37703" xr:uid="{00000000-0005-0000-0000-0000BB540000}"/>
    <cellStyle name="Euro 24 2" xfId="1139" xr:uid="{00000000-0005-0000-0000-0000BC540000}"/>
    <cellStyle name="Euro 24 2 2" xfId="2982" xr:uid="{00000000-0005-0000-0000-0000BD540000}"/>
    <cellStyle name="Euro 24 2 3" xfId="4638" xr:uid="{00000000-0005-0000-0000-0000BE540000}"/>
    <cellStyle name="Euro 24 2 4" xfId="37704" xr:uid="{00000000-0005-0000-0000-0000BF540000}"/>
    <cellStyle name="Euro 24 3" xfId="1140" xr:uid="{00000000-0005-0000-0000-0000C0540000}"/>
    <cellStyle name="Euro 24 3 2" xfId="2983" xr:uid="{00000000-0005-0000-0000-0000C1540000}"/>
    <cellStyle name="Euro 24 3 3" xfId="4639" xr:uid="{00000000-0005-0000-0000-0000C2540000}"/>
    <cellStyle name="Euro 24 3 4" xfId="37705" xr:uid="{00000000-0005-0000-0000-0000C3540000}"/>
    <cellStyle name="Euro 24 4" xfId="2984" xr:uid="{00000000-0005-0000-0000-0000C4540000}"/>
    <cellStyle name="Euro 24 4 2" xfId="5216" xr:uid="{00000000-0005-0000-0000-0000C5540000}"/>
    <cellStyle name="Euro 24 4 3" xfId="38237" xr:uid="{00000000-0005-0000-0000-0000C6540000}"/>
    <cellStyle name="Euro 24 5" xfId="2985" xr:uid="{00000000-0005-0000-0000-0000C7540000}"/>
    <cellStyle name="Euro 24 5 2" xfId="5217" xr:uid="{00000000-0005-0000-0000-0000C8540000}"/>
    <cellStyle name="Euro 24 5 3" xfId="38238" xr:uid="{00000000-0005-0000-0000-0000C9540000}"/>
    <cellStyle name="Euro 24 6" xfId="2986" xr:uid="{00000000-0005-0000-0000-0000CA540000}"/>
    <cellStyle name="Euro 24 6 2" xfId="5218" xr:uid="{00000000-0005-0000-0000-0000CB540000}"/>
    <cellStyle name="Euro 24 6 3" xfId="38239" xr:uid="{00000000-0005-0000-0000-0000CC540000}"/>
    <cellStyle name="Euro 24 7" xfId="2987" xr:uid="{00000000-0005-0000-0000-0000CD540000}"/>
    <cellStyle name="Euro 24 7 2" xfId="5219" xr:uid="{00000000-0005-0000-0000-0000CE540000}"/>
    <cellStyle name="Euro 24 7 3" xfId="38240" xr:uid="{00000000-0005-0000-0000-0000CF540000}"/>
    <cellStyle name="Euro 24 8" xfId="2988" xr:uid="{00000000-0005-0000-0000-0000D0540000}"/>
    <cellStyle name="Euro 24 8 2" xfId="5220" xr:uid="{00000000-0005-0000-0000-0000D1540000}"/>
    <cellStyle name="Euro 24 8 3" xfId="38241" xr:uid="{00000000-0005-0000-0000-0000D2540000}"/>
    <cellStyle name="Euro 24 9" xfId="2981" xr:uid="{00000000-0005-0000-0000-0000D3540000}"/>
    <cellStyle name="Euro 25" xfId="1141" xr:uid="{00000000-0005-0000-0000-0000D4540000}"/>
    <cellStyle name="Euro 25 10" xfId="4640" xr:uid="{00000000-0005-0000-0000-0000D5540000}"/>
    <cellStyle name="Euro 25 11" xfId="37706" xr:uid="{00000000-0005-0000-0000-0000D6540000}"/>
    <cellStyle name="Euro 25 2" xfId="1142" xr:uid="{00000000-0005-0000-0000-0000D7540000}"/>
    <cellStyle name="Euro 25 2 2" xfId="2990" xr:uid="{00000000-0005-0000-0000-0000D8540000}"/>
    <cellStyle name="Euro 25 2 3" xfId="4641" xr:uid="{00000000-0005-0000-0000-0000D9540000}"/>
    <cellStyle name="Euro 25 2 4" xfId="37707" xr:uid="{00000000-0005-0000-0000-0000DA540000}"/>
    <cellStyle name="Euro 25 3" xfId="1143" xr:uid="{00000000-0005-0000-0000-0000DB540000}"/>
    <cellStyle name="Euro 25 3 2" xfId="2991" xr:uid="{00000000-0005-0000-0000-0000DC540000}"/>
    <cellStyle name="Euro 25 3 3" xfId="4642" xr:uid="{00000000-0005-0000-0000-0000DD540000}"/>
    <cellStyle name="Euro 25 3 4" xfId="37708" xr:uid="{00000000-0005-0000-0000-0000DE540000}"/>
    <cellStyle name="Euro 25 4" xfId="2992" xr:uid="{00000000-0005-0000-0000-0000DF540000}"/>
    <cellStyle name="Euro 25 4 2" xfId="5221" xr:uid="{00000000-0005-0000-0000-0000E0540000}"/>
    <cellStyle name="Euro 25 4 3" xfId="38242" xr:uid="{00000000-0005-0000-0000-0000E1540000}"/>
    <cellStyle name="Euro 25 5" xfId="2993" xr:uid="{00000000-0005-0000-0000-0000E2540000}"/>
    <cellStyle name="Euro 25 5 2" xfId="5222" xr:uid="{00000000-0005-0000-0000-0000E3540000}"/>
    <cellStyle name="Euro 25 5 3" xfId="38243" xr:uid="{00000000-0005-0000-0000-0000E4540000}"/>
    <cellStyle name="Euro 25 6" xfId="2994" xr:uid="{00000000-0005-0000-0000-0000E5540000}"/>
    <cellStyle name="Euro 25 6 2" xfId="5223" xr:uid="{00000000-0005-0000-0000-0000E6540000}"/>
    <cellStyle name="Euro 25 6 3" xfId="38244" xr:uid="{00000000-0005-0000-0000-0000E7540000}"/>
    <cellStyle name="Euro 25 7" xfId="2995" xr:uid="{00000000-0005-0000-0000-0000E8540000}"/>
    <cellStyle name="Euro 25 7 2" xfId="5224" xr:uid="{00000000-0005-0000-0000-0000E9540000}"/>
    <cellStyle name="Euro 25 7 3" xfId="38245" xr:uid="{00000000-0005-0000-0000-0000EA540000}"/>
    <cellStyle name="Euro 25 8" xfId="2996" xr:uid="{00000000-0005-0000-0000-0000EB540000}"/>
    <cellStyle name="Euro 25 8 2" xfId="5225" xr:uid="{00000000-0005-0000-0000-0000EC540000}"/>
    <cellStyle name="Euro 25 8 3" xfId="38246" xr:uid="{00000000-0005-0000-0000-0000ED540000}"/>
    <cellStyle name="Euro 25 9" xfId="2989" xr:uid="{00000000-0005-0000-0000-0000EE540000}"/>
    <cellStyle name="Euro 26" xfId="1144" xr:uid="{00000000-0005-0000-0000-0000EF540000}"/>
    <cellStyle name="Euro 26 10" xfId="4643" xr:uid="{00000000-0005-0000-0000-0000F0540000}"/>
    <cellStyle name="Euro 26 11" xfId="37709" xr:uid="{00000000-0005-0000-0000-0000F1540000}"/>
    <cellStyle name="Euro 26 2" xfId="1145" xr:uid="{00000000-0005-0000-0000-0000F2540000}"/>
    <cellStyle name="Euro 26 2 2" xfId="2998" xr:uid="{00000000-0005-0000-0000-0000F3540000}"/>
    <cellStyle name="Euro 26 2 3" xfId="4644" xr:uid="{00000000-0005-0000-0000-0000F4540000}"/>
    <cellStyle name="Euro 26 2 4" xfId="37710" xr:uid="{00000000-0005-0000-0000-0000F5540000}"/>
    <cellStyle name="Euro 26 3" xfId="1146" xr:uid="{00000000-0005-0000-0000-0000F6540000}"/>
    <cellStyle name="Euro 26 3 2" xfId="2999" xr:uid="{00000000-0005-0000-0000-0000F7540000}"/>
    <cellStyle name="Euro 26 3 3" xfId="4645" xr:uid="{00000000-0005-0000-0000-0000F8540000}"/>
    <cellStyle name="Euro 26 3 4" xfId="37711" xr:uid="{00000000-0005-0000-0000-0000F9540000}"/>
    <cellStyle name="Euro 26 4" xfId="3000" xr:uid="{00000000-0005-0000-0000-0000FA540000}"/>
    <cellStyle name="Euro 26 4 2" xfId="5226" xr:uid="{00000000-0005-0000-0000-0000FB540000}"/>
    <cellStyle name="Euro 26 4 3" xfId="38247" xr:uid="{00000000-0005-0000-0000-0000FC540000}"/>
    <cellStyle name="Euro 26 5" xfId="3001" xr:uid="{00000000-0005-0000-0000-0000FD540000}"/>
    <cellStyle name="Euro 26 5 2" xfId="5227" xr:uid="{00000000-0005-0000-0000-0000FE540000}"/>
    <cellStyle name="Euro 26 5 3" xfId="38248" xr:uid="{00000000-0005-0000-0000-0000FF540000}"/>
    <cellStyle name="Euro 26 6" xfId="3002" xr:uid="{00000000-0005-0000-0000-000000550000}"/>
    <cellStyle name="Euro 26 6 2" xfId="5228" xr:uid="{00000000-0005-0000-0000-000001550000}"/>
    <cellStyle name="Euro 26 6 3" xfId="38249" xr:uid="{00000000-0005-0000-0000-000002550000}"/>
    <cellStyle name="Euro 26 7" xfId="3003" xr:uid="{00000000-0005-0000-0000-000003550000}"/>
    <cellStyle name="Euro 26 7 2" xfId="5229" xr:uid="{00000000-0005-0000-0000-000004550000}"/>
    <cellStyle name="Euro 26 7 3" xfId="38250" xr:uid="{00000000-0005-0000-0000-000005550000}"/>
    <cellStyle name="Euro 26 8" xfId="3004" xr:uid="{00000000-0005-0000-0000-000006550000}"/>
    <cellStyle name="Euro 26 8 2" xfId="5230" xr:uid="{00000000-0005-0000-0000-000007550000}"/>
    <cellStyle name="Euro 26 8 3" xfId="38251" xr:uid="{00000000-0005-0000-0000-000008550000}"/>
    <cellStyle name="Euro 26 9" xfId="2997" xr:uid="{00000000-0005-0000-0000-000009550000}"/>
    <cellStyle name="Euro 27" xfId="1147" xr:uid="{00000000-0005-0000-0000-00000A550000}"/>
    <cellStyle name="Euro 27 2" xfId="1148" xr:uid="{00000000-0005-0000-0000-00000B550000}"/>
    <cellStyle name="Euro 27 2 2" xfId="3006" xr:uid="{00000000-0005-0000-0000-00000C550000}"/>
    <cellStyle name="Euro 27 2 3" xfId="4647" xr:uid="{00000000-0005-0000-0000-00000D550000}"/>
    <cellStyle name="Euro 27 2 4" xfId="37713" xr:uid="{00000000-0005-0000-0000-00000E550000}"/>
    <cellStyle name="Euro 27 3" xfId="1149" xr:uid="{00000000-0005-0000-0000-00000F550000}"/>
    <cellStyle name="Euro 27 3 2" xfId="3007" xr:uid="{00000000-0005-0000-0000-000010550000}"/>
    <cellStyle name="Euro 27 3 3" xfId="4648" xr:uid="{00000000-0005-0000-0000-000011550000}"/>
    <cellStyle name="Euro 27 3 4" xfId="37714" xr:uid="{00000000-0005-0000-0000-000012550000}"/>
    <cellStyle name="Euro 27 4" xfId="3008" xr:uid="{00000000-0005-0000-0000-000013550000}"/>
    <cellStyle name="Euro 27 4 2" xfId="5231" xr:uid="{00000000-0005-0000-0000-000014550000}"/>
    <cellStyle name="Euro 27 4 3" xfId="38252" xr:uid="{00000000-0005-0000-0000-000015550000}"/>
    <cellStyle name="Euro 27 5" xfId="3009" xr:uid="{00000000-0005-0000-0000-000016550000}"/>
    <cellStyle name="Euro 27 5 2" xfId="5232" xr:uid="{00000000-0005-0000-0000-000017550000}"/>
    <cellStyle name="Euro 27 5 3" xfId="38253" xr:uid="{00000000-0005-0000-0000-000018550000}"/>
    <cellStyle name="Euro 27 6" xfId="3010" xr:uid="{00000000-0005-0000-0000-000019550000}"/>
    <cellStyle name="Euro 27 6 2" xfId="5233" xr:uid="{00000000-0005-0000-0000-00001A550000}"/>
    <cellStyle name="Euro 27 6 3" xfId="38254" xr:uid="{00000000-0005-0000-0000-00001B550000}"/>
    <cellStyle name="Euro 27 7" xfId="3005" xr:uid="{00000000-0005-0000-0000-00001C550000}"/>
    <cellStyle name="Euro 27 8" xfId="4646" xr:uid="{00000000-0005-0000-0000-00001D550000}"/>
    <cellStyle name="Euro 27 9" xfId="37712" xr:uid="{00000000-0005-0000-0000-00001E550000}"/>
    <cellStyle name="Euro 28" xfId="1150" xr:uid="{00000000-0005-0000-0000-00001F550000}"/>
    <cellStyle name="Euro 28 2" xfId="1151" xr:uid="{00000000-0005-0000-0000-000020550000}"/>
    <cellStyle name="Euro 28 2 2" xfId="3012" xr:uid="{00000000-0005-0000-0000-000021550000}"/>
    <cellStyle name="Euro 28 2 3" xfId="4650" xr:uid="{00000000-0005-0000-0000-000022550000}"/>
    <cellStyle name="Euro 28 2 4" xfId="37716" xr:uid="{00000000-0005-0000-0000-000023550000}"/>
    <cellStyle name="Euro 28 3" xfId="1152" xr:uid="{00000000-0005-0000-0000-000024550000}"/>
    <cellStyle name="Euro 28 3 2" xfId="3013" xr:uid="{00000000-0005-0000-0000-000025550000}"/>
    <cellStyle name="Euro 28 3 3" xfId="4651" xr:uid="{00000000-0005-0000-0000-000026550000}"/>
    <cellStyle name="Euro 28 3 4" xfId="37717" xr:uid="{00000000-0005-0000-0000-000027550000}"/>
    <cellStyle name="Euro 28 4" xfId="3014" xr:uid="{00000000-0005-0000-0000-000028550000}"/>
    <cellStyle name="Euro 28 4 2" xfId="5234" xr:uid="{00000000-0005-0000-0000-000029550000}"/>
    <cellStyle name="Euro 28 4 3" xfId="38255" xr:uid="{00000000-0005-0000-0000-00002A550000}"/>
    <cellStyle name="Euro 28 5" xfId="3015" xr:uid="{00000000-0005-0000-0000-00002B550000}"/>
    <cellStyle name="Euro 28 5 2" xfId="5235" xr:uid="{00000000-0005-0000-0000-00002C550000}"/>
    <cellStyle name="Euro 28 5 3" xfId="38256" xr:uid="{00000000-0005-0000-0000-00002D550000}"/>
    <cellStyle name="Euro 28 6" xfId="3016" xr:uid="{00000000-0005-0000-0000-00002E550000}"/>
    <cellStyle name="Euro 28 6 2" xfId="5236" xr:uid="{00000000-0005-0000-0000-00002F550000}"/>
    <cellStyle name="Euro 28 6 3" xfId="38257" xr:uid="{00000000-0005-0000-0000-000030550000}"/>
    <cellStyle name="Euro 28 7" xfId="3011" xr:uid="{00000000-0005-0000-0000-000031550000}"/>
    <cellStyle name="Euro 28 8" xfId="4649" xr:uid="{00000000-0005-0000-0000-000032550000}"/>
    <cellStyle name="Euro 28 9" xfId="37715" xr:uid="{00000000-0005-0000-0000-000033550000}"/>
    <cellStyle name="Euro 29" xfId="1153" xr:uid="{00000000-0005-0000-0000-000034550000}"/>
    <cellStyle name="Euro 29 2" xfId="1154" xr:uid="{00000000-0005-0000-0000-000035550000}"/>
    <cellStyle name="Euro 29 2 2" xfId="3018" xr:uid="{00000000-0005-0000-0000-000036550000}"/>
    <cellStyle name="Euro 29 2 3" xfId="4653" xr:uid="{00000000-0005-0000-0000-000037550000}"/>
    <cellStyle name="Euro 29 2 4" xfId="37719" xr:uid="{00000000-0005-0000-0000-000038550000}"/>
    <cellStyle name="Euro 29 3" xfId="1155" xr:uid="{00000000-0005-0000-0000-000039550000}"/>
    <cellStyle name="Euro 29 3 2" xfId="3019" xr:uid="{00000000-0005-0000-0000-00003A550000}"/>
    <cellStyle name="Euro 29 3 3" xfId="4654" xr:uid="{00000000-0005-0000-0000-00003B550000}"/>
    <cellStyle name="Euro 29 3 4" xfId="37720" xr:uid="{00000000-0005-0000-0000-00003C550000}"/>
    <cellStyle name="Euro 29 4" xfId="3020" xr:uid="{00000000-0005-0000-0000-00003D550000}"/>
    <cellStyle name="Euro 29 4 2" xfId="5237" xr:uid="{00000000-0005-0000-0000-00003E550000}"/>
    <cellStyle name="Euro 29 4 3" xfId="38258" xr:uid="{00000000-0005-0000-0000-00003F550000}"/>
    <cellStyle name="Euro 29 5" xfId="3021" xr:uid="{00000000-0005-0000-0000-000040550000}"/>
    <cellStyle name="Euro 29 5 2" xfId="5238" xr:uid="{00000000-0005-0000-0000-000041550000}"/>
    <cellStyle name="Euro 29 5 3" xfId="38259" xr:uid="{00000000-0005-0000-0000-000042550000}"/>
    <cellStyle name="Euro 29 6" xfId="3022" xr:uid="{00000000-0005-0000-0000-000043550000}"/>
    <cellStyle name="Euro 29 6 2" xfId="5239" xr:uid="{00000000-0005-0000-0000-000044550000}"/>
    <cellStyle name="Euro 29 6 3" xfId="38260" xr:uid="{00000000-0005-0000-0000-000045550000}"/>
    <cellStyle name="Euro 29 7" xfId="3017" xr:uid="{00000000-0005-0000-0000-000046550000}"/>
    <cellStyle name="Euro 29 8" xfId="4652" xr:uid="{00000000-0005-0000-0000-000047550000}"/>
    <cellStyle name="Euro 29 9" xfId="37718" xr:uid="{00000000-0005-0000-0000-000048550000}"/>
    <cellStyle name="Euro 3" xfId="1156" xr:uid="{00000000-0005-0000-0000-000049550000}"/>
    <cellStyle name="Euro 3 10" xfId="3024" xr:uid="{00000000-0005-0000-0000-00004A550000}"/>
    <cellStyle name="Euro 3 10 2" xfId="5240" xr:uid="{00000000-0005-0000-0000-00004B550000}"/>
    <cellStyle name="Euro 3 10 3" xfId="38261" xr:uid="{00000000-0005-0000-0000-00004C550000}"/>
    <cellStyle name="Euro 3 11" xfId="3025" xr:uid="{00000000-0005-0000-0000-00004D550000}"/>
    <cellStyle name="Euro 3 11 2" xfId="5241" xr:uid="{00000000-0005-0000-0000-00004E550000}"/>
    <cellStyle name="Euro 3 11 3" xfId="8122" xr:uid="{00000000-0005-0000-0000-00004F550000}"/>
    <cellStyle name="Euro 3 11 3 2" xfId="38262" xr:uid="{00000000-0005-0000-0000-000050550000}"/>
    <cellStyle name="Euro 3 12" xfId="3026" xr:uid="{00000000-0005-0000-0000-000051550000}"/>
    <cellStyle name="Euro 3 12 2" xfId="5242" xr:uid="{00000000-0005-0000-0000-000052550000}"/>
    <cellStyle name="Euro 3 12 3" xfId="8123" xr:uid="{00000000-0005-0000-0000-000053550000}"/>
    <cellStyle name="Euro 3 12 3 2" xfId="12433" xr:uid="{00000000-0005-0000-0000-000054550000}"/>
    <cellStyle name="Euro 3 12 3 2 2" xfId="15918" xr:uid="{00000000-0005-0000-0000-000055550000}"/>
    <cellStyle name="Euro 3 13" xfId="3027" xr:uid="{00000000-0005-0000-0000-000056550000}"/>
    <cellStyle name="Euro 3 13 2" xfId="5243" xr:uid="{00000000-0005-0000-0000-000057550000}"/>
    <cellStyle name="Euro 3 14" xfId="3023" xr:uid="{00000000-0005-0000-0000-000058550000}"/>
    <cellStyle name="Euro 3 15" xfId="5692" xr:uid="{00000000-0005-0000-0000-000059550000}"/>
    <cellStyle name="Euro 3 2" xfId="1157" xr:uid="{00000000-0005-0000-0000-00005A550000}"/>
    <cellStyle name="Euro 3 2 2" xfId="3029" xr:uid="{00000000-0005-0000-0000-00005B550000}"/>
    <cellStyle name="Euro 3 2 2 2" xfId="5244" xr:uid="{00000000-0005-0000-0000-00005C550000}"/>
    <cellStyle name="Euro 3 2 2 3" xfId="38263" xr:uid="{00000000-0005-0000-0000-00005D550000}"/>
    <cellStyle name="Euro 3 2 3" xfId="3028" xr:uid="{00000000-0005-0000-0000-00005E550000}"/>
    <cellStyle name="Euro 3 2 4" xfId="4655" xr:uid="{00000000-0005-0000-0000-00005F550000}"/>
    <cellStyle name="Euro 3 2 5" xfId="37721" xr:uid="{00000000-0005-0000-0000-000060550000}"/>
    <cellStyle name="Euro 3 3" xfId="1158" xr:uid="{00000000-0005-0000-0000-000061550000}"/>
    <cellStyle name="Euro 3 3 2" xfId="3030" xr:uid="{00000000-0005-0000-0000-000062550000}"/>
    <cellStyle name="Euro 3 3 3" xfId="4656" xr:uid="{00000000-0005-0000-0000-000063550000}"/>
    <cellStyle name="Euro 3 3 4" xfId="37722" xr:uid="{00000000-0005-0000-0000-000064550000}"/>
    <cellStyle name="Euro 3 4" xfId="1159" xr:uid="{00000000-0005-0000-0000-000065550000}"/>
    <cellStyle name="Euro 3 4 2" xfId="1160" xr:uid="{00000000-0005-0000-0000-000066550000}"/>
    <cellStyle name="Euro 3 4 2 2" xfId="1161" xr:uid="{00000000-0005-0000-0000-000067550000}"/>
    <cellStyle name="Euro 3 4 2 2 2" xfId="3033" xr:uid="{00000000-0005-0000-0000-000068550000}"/>
    <cellStyle name="Euro 3 4 2 2 3" xfId="4659" xr:uid="{00000000-0005-0000-0000-000069550000}"/>
    <cellStyle name="Euro 3 4 2 2 4" xfId="37724" xr:uid="{00000000-0005-0000-0000-00006A550000}"/>
    <cellStyle name="Euro 3 4 2 3" xfId="3032" xr:uid="{00000000-0005-0000-0000-00006B550000}"/>
    <cellStyle name="Euro 3 4 2 4" xfId="4658" xr:uid="{00000000-0005-0000-0000-00006C550000}"/>
    <cellStyle name="Euro 3 4 2 5" xfId="37723" xr:uid="{00000000-0005-0000-0000-00006D550000}"/>
    <cellStyle name="Euro 3 4 3" xfId="1162" xr:uid="{00000000-0005-0000-0000-00006E550000}"/>
    <cellStyle name="Euro 3 4 3 2" xfId="3034" xr:uid="{00000000-0005-0000-0000-00006F550000}"/>
    <cellStyle name="Euro 3 4 3 3" xfId="4660" xr:uid="{00000000-0005-0000-0000-000070550000}"/>
    <cellStyle name="Euro 3 4 3 4" xfId="37725" xr:uid="{00000000-0005-0000-0000-000071550000}"/>
    <cellStyle name="Euro 3 4 4" xfId="3035" xr:uid="{00000000-0005-0000-0000-000072550000}"/>
    <cellStyle name="Euro 3 4 4 2" xfId="5245" xr:uid="{00000000-0005-0000-0000-000073550000}"/>
    <cellStyle name="Euro 3 4 4 3" xfId="15919" xr:uid="{00000000-0005-0000-0000-000074550000}"/>
    <cellStyle name="Euro 3 4 4 3 2" xfId="38264" xr:uid="{00000000-0005-0000-0000-000075550000}"/>
    <cellStyle name="Euro 3 4 5" xfId="3036" xr:uid="{00000000-0005-0000-0000-000076550000}"/>
    <cellStyle name="Euro 3 4 5 2" xfId="5246" xr:uid="{00000000-0005-0000-0000-000077550000}"/>
    <cellStyle name="Euro 3 4 5 2 2" xfId="15186" xr:uid="{00000000-0005-0000-0000-000078550000}"/>
    <cellStyle name="Euro 3 4 5 2 2 2" xfId="15920" xr:uid="{00000000-0005-0000-0000-000079550000}"/>
    <cellStyle name="Euro 3 4 6" xfId="3031" xr:uid="{00000000-0005-0000-0000-00007A550000}"/>
    <cellStyle name="Euro 3 4 7" xfId="4657" xr:uid="{00000000-0005-0000-0000-00007B550000}"/>
    <cellStyle name="Euro 3 4 8" xfId="39207" xr:uid="{00000000-0005-0000-0000-00007C550000}"/>
    <cellStyle name="Euro 3 5" xfId="1163" xr:uid="{00000000-0005-0000-0000-00007D550000}"/>
    <cellStyle name="Euro 3 5 2" xfId="3037" xr:uid="{00000000-0005-0000-0000-00007E550000}"/>
    <cellStyle name="Euro 3 5 3" xfId="4661" xr:uid="{00000000-0005-0000-0000-00007F550000}"/>
    <cellStyle name="Euro 3 5 4" xfId="37726" xr:uid="{00000000-0005-0000-0000-000080550000}"/>
    <cellStyle name="Euro 3 6" xfId="1164" xr:uid="{00000000-0005-0000-0000-000081550000}"/>
    <cellStyle name="Euro 3 6 2" xfId="1165" xr:uid="{00000000-0005-0000-0000-000082550000}"/>
    <cellStyle name="Euro 3 6 2 2" xfId="3039" xr:uid="{00000000-0005-0000-0000-000083550000}"/>
    <cellStyle name="Euro 3 6 2 3" xfId="4663" xr:uid="{00000000-0005-0000-0000-000084550000}"/>
    <cellStyle name="Euro 3 6 2 4" xfId="37728" xr:uid="{00000000-0005-0000-0000-000085550000}"/>
    <cellStyle name="Euro 3 6 3" xfId="3038" xr:uid="{00000000-0005-0000-0000-000086550000}"/>
    <cellStyle name="Euro 3 6 4" xfId="4662" xr:uid="{00000000-0005-0000-0000-000087550000}"/>
    <cellStyle name="Euro 3 6 5" xfId="37727" xr:uid="{00000000-0005-0000-0000-000088550000}"/>
    <cellStyle name="Euro 3 7" xfId="1166" xr:uid="{00000000-0005-0000-0000-000089550000}"/>
    <cellStyle name="Euro 3 7 2" xfId="3041" xr:uid="{00000000-0005-0000-0000-00008A550000}"/>
    <cellStyle name="Euro 3 7 2 2" xfId="5247" xr:uid="{00000000-0005-0000-0000-00008B550000}"/>
    <cellStyle name="Euro 3 7 2 3" xfId="8124" xr:uid="{00000000-0005-0000-0000-00008C550000}"/>
    <cellStyle name="Euro 3 7 2 3 2" xfId="38265" xr:uid="{00000000-0005-0000-0000-00008D550000}"/>
    <cellStyle name="Euro 3 7 3" xfId="3042" xr:uid="{00000000-0005-0000-0000-00008E550000}"/>
    <cellStyle name="Euro 3 7 3 2" xfId="5248" xr:uid="{00000000-0005-0000-0000-00008F550000}"/>
    <cellStyle name="Euro 3 7 3 3" xfId="38266" xr:uid="{00000000-0005-0000-0000-000090550000}"/>
    <cellStyle name="Euro 3 7 4" xfId="3043" xr:uid="{00000000-0005-0000-0000-000091550000}"/>
    <cellStyle name="Euro 3 7 4 2" xfId="5249" xr:uid="{00000000-0005-0000-0000-000092550000}"/>
    <cellStyle name="Euro 3 7 4 3" xfId="38267" xr:uid="{00000000-0005-0000-0000-000093550000}"/>
    <cellStyle name="Euro 3 7 5" xfId="3040" xr:uid="{00000000-0005-0000-0000-000094550000}"/>
    <cellStyle name="Euro 3 7 6" xfId="4664" xr:uid="{00000000-0005-0000-0000-000095550000}"/>
    <cellStyle name="Euro 3 7 7" xfId="37729" xr:uid="{00000000-0005-0000-0000-000096550000}"/>
    <cellStyle name="Euro 3 8" xfId="3044" xr:uid="{00000000-0005-0000-0000-000097550000}"/>
    <cellStyle name="Euro 3 8 2" xfId="3045" xr:uid="{00000000-0005-0000-0000-000098550000}"/>
    <cellStyle name="Euro 3 8 2 2" xfId="5251" xr:uid="{00000000-0005-0000-0000-000099550000}"/>
    <cellStyle name="Euro 3 8 2 3" xfId="38268" xr:uid="{00000000-0005-0000-0000-00009A550000}"/>
    <cellStyle name="Euro 3 8 3" xfId="3046" xr:uid="{00000000-0005-0000-0000-00009B550000}"/>
    <cellStyle name="Euro 3 8 3 2" xfId="5252" xr:uid="{00000000-0005-0000-0000-00009C550000}"/>
    <cellStyle name="Euro 3 8 3 3" xfId="38269" xr:uid="{00000000-0005-0000-0000-00009D550000}"/>
    <cellStyle name="Euro 3 8 4" xfId="5250" xr:uid="{00000000-0005-0000-0000-00009E550000}"/>
    <cellStyle name="Euro 3 8 4 2" xfId="15187" xr:uid="{00000000-0005-0000-0000-00009F550000}"/>
    <cellStyle name="Euro 3 8 4 2 2" xfId="15921" xr:uid="{00000000-0005-0000-0000-0000A0550000}"/>
    <cellStyle name="Euro 3 8 5" xfId="39208" xr:uid="{00000000-0005-0000-0000-0000A1550000}"/>
    <cellStyle name="Euro 3 9" xfId="3047" xr:uid="{00000000-0005-0000-0000-0000A2550000}"/>
    <cellStyle name="Euro 3 9 2" xfId="5253" xr:uid="{00000000-0005-0000-0000-0000A3550000}"/>
    <cellStyle name="Euro 3 9 3" xfId="38270" xr:uid="{00000000-0005-0000-0000-0000A4550000}"/>
    <cellStyle name="Euro 30" xfId="1167" xr:uid="{00000000-0005-0000-0000-0000A5550000}"/>
    <cellStyle name="Euro 30 2" xfId="1168" xr:uid="{00000000-0005-0000-0000-0000A6550000}"/>
    <cellStyle name="Euro 30 2 2" xfId="3049" xr:uid="{00000000-0005-0000-0000-0000A7550000}"/>
    <cellStyle name="Euro 30 2 3" xfId="4666" xr:uid="{00000000-0005-0000-0000-0000A8550000}"/>
    <cellStyle name="Euro 30 2 4" xfId="37731" xr:uid="{00000000-0005-0000-0000-0000A9550000}"/>
    <cellStyle name="Euro 30 3" xfId="1169" xr:uid="{00000000-0005-0000-0000-0000AA550000}"/>
    <cellStyle name="Euro 30 3 2" xfId="3050" xr:uid="{00000000-0005-0000-0000-0000AB550000}"/>
    <cellStyle name="Euro 30 3 3" xfId="4667" xr:uid="{00000000-0005-0000-0000-0000AC550000}"/>
    <cellStyle name="Euro 30 3 4" xfId="37732" xr:uid="{00000000-0005-0000-0000-0000AD550000}"/>
    <cellStyle name="Euro 30 4" xfId="3051" xr:uid="{00000000-0005-0000-0000-0000AE550000}"/>
    <cellStyle name="Euro 30 4 2" xfId="5254" xr:uid="{00000000-0005-0000-0000-0000AF550000}"/>
    <cellStyle name="Euro 30 4 3" xfId="38271" xr:uid="{00000000-0005-0000-0000-0000B0550000}"/>
    <cellStyle name="Euro 30 5" xfId="3052" xr:uid="{00000000-0005-0000-0000-0000B1550000}"/>
    <cellStyle name="Euro 30 5 2" xfId="5255" xr:uid="{00000000-0005-0000-0000-0000B2550000}"/>
    <cellStyle name="Euro 30 5 3" xfId="38272" xr:uid="{00000000-0005-0000-0000-0000B3550000}"/>
    <cellStyle name="Euro 30 6" xfId="3053" xr:uid="{00000000-0005-0000-0000-0000B4550000}"/>
    <cellStyle name="Euro 30 6 2" xfId="5256" xr:uid="{00000000-0005-0000-0000-0000B5550000}"/>
    <cellStyle name="Euro 30 6 3" xfId="38273" xr:uid="{00000000-0005-0000-0000-0000B6550000}"/>
    <cellStyle name="Euro 30 7" xfId="3048" xr:uid="{00000000-0005-0000-0000-0000B7550000}"/>
    <cellStyle name="Euro 30 8" xfId="4665" xr:uid="{00000000-0005-0000-0000-0000B8550000}"/>
    <cellStyle name="Euro 30 9" xfId="37730" xr:uid="{00000000-0005-0000-0000-0000B9550000}"/>
    <cellStyle name="Euro 31" xfId="1170" xr:uid="{00000000-0005-0000-0000-0000BA550000}"/>
    <cellStyle name="Euro 31 2" xfId="1171" xr:uid="{00000000-0005-0000-0000-0000BB550000}"/>
    <cellStyle name="Euro 31 2 2" xfId="3055" xr:uid="{00000000-0005-0000-0000-0000BC550000}"/>
    <cellStyle name="Euro 31 2 3" xfId="4669" xr:uid="{00000000-0005-0000-0000-0000BD550000}"/>
    <cellStyle name="Euro 31 2 4" xfId="37734" xr:uid="{00000000-0005-0000-0000-0000BE550000}"/>
    <cellStyle name="Euro 31 3" xfId="1172" xr:uid="{00000000-0005-0000-0000-0000BF550000}"/>
    <cellStyle name="Euro 31 3 2" xfId="3056" xr:uid="{00000000-0005-0000-0000-0000C0550000}"/>
    <cellStyle name="Euro 31 3 3" xfId="4670" xr:uid="{00000000-0005-0000-0000-0000C1550000}"/>
    <cellStyle name="Euro 31 3 4" xfId="37735" xr:uid="{00000000-0005-0000-0000-0000C2550000}"/>
    <cellStyle name="Euro 31 4" xfId="3057" xr:uid="{00000000-0005-0000-0000-0000C3550000}"/>
    <cellStyle name="Euro 31 4 2" xfId="5257" xr:uid="{00000000-0005-0000-0000-0000C4550000}"/>
    <cellStyle name="Euro 31 4 3" xfId="38274" xr:uid="{00000000-0005-0000-0000-0000C5550000}"/>
    <cellStyle name="Euro 31 5" xfId="3058" xr:uid="{00000000-0005-0000-0000-0000C6550000}"/>
    <cellStyle name="Euro 31 5 2" xfId="5258" xr:uid="{00000000-0005-0000-0000-0000C7550000}"/>
    <cellStyle name="Euro 31 5 3" xfId="38275" xr:uid="{00000000-0005-0000-0000-0000C8550000}"/>
    <cellStyle name="Euro 31 6" xfId="3059" xr:uid="{00000000-0005-0000-0000-0000C9550000}"/>
    <cellStyle name="Euro 31 6 2" xfId="5259" xr:uid="{00000000-0005-0000-0000-0000CA550000}"/>
    <cellStyle name="Euro 31 6 3" xfId="38276" xr:uid="{00000000-0005-0000-0000-0000CB550000}"/>
    <cellStyle name="Euro 31 7" xfId="3054" xr:uid="{00000000-0005-0000-0000-0000CC550000}"/>
    <cellStyle name="Euro 31 8" xfId="4668" xr:uid="{00000000-0005-0000-0000-0000CD550000}"/>
    <cellStyle name="Euro 31 9" xfId="37733" xr:uid="{00000000-0005-0000-0000-0000CE550000}"/>
    <cellStyle name="Euro 32" xfId="1173" xr:uid="{00000000-0005-0000-0000-0000CF550000}"/>
    <cellStyle name="Euro 32 10" xfId="7356" xr:uid="{00000000-0005-0000-0000-0000D0550000}"/>
    <cellStyle name="Euro 32 11" xfId="7357" xr:uid="{00000000-0005-0000-0000-0000D1550000}"/>
    <cellStyle name="Euro 32 12" xfId="7358" xr:uid="{00000000-0005-0000-0000-0000D2550000}"/>
    <cellStyle name="Euro 32 2" xfId="3061" xr:uid="{00000000-0005-0000-0000-0000D3550000}"/>
    <cellStyle name="Euro 32 2 2" xfId="5260" xr:uid="{00000000-0005-0000-0000-0000D4550000}"/>
    <cellStyle name="Euro 32 2 3" xfId="38277" xr:uid="{00000000-0005-0000-0000-0000D5550000}"/>
    <cellStyle name="Euro 32 3" xfId="3060" xr:uid="{00000000-0005-0000-0000-0000D6550000}"/>
    <cellStyle name="Euro 32 4" xfId="4671" xr:uid="{00000000-0005-0000-0000-0000D7550000}"/>
    <cellStyle name="Euro 32 5" xfId="7359" xr:uid="{00000000-0005-0000-0000-0000D8550000}"/>
    <cellStyle name="Euro 32 6" xfId="7360" xr:uid="{00000000-0005-0000-0000-0000D9550000}"/>
    <cellStyle name="Euro 32 7" xfId="7361" xr:uid="{00000000-0005-0000-0000-0000DA550000}"/>
    <cellStyle name="Euro 32 8" xfId="7362" xr:uid="{00000000-0005-0000-0000-0000DB550000}"/>
    <cellStyle name="Euro 32 9" xfId="7363" xr:uid="{00000000-0005-0000-0000-0000DC550000}"/>
    <cellStyle name="Euro 33" xfId="1174" xr:uid="{00000000-0005-0000-0000-0000DD550000}"/>
    <cellStyle name="Euro 33 10" xfId="7364" xr:uid="{00000000-0005-0000-0000-0000DE550000}"/>
    <cellStyle name="Euro 33 11" xfId="7365" xr:uid="{00000000-0005-0000-0000-0000DF550000}"/>
    <cellStyle name="Euro 33 12" xfId="7366" xr:uid="{00000000-0005-0000-0000-0000E0550000}"/>
    <cellStyle name="Euro 33 2" xfId="3063" xr:uid="{00000000-0005-0000-0000-0000E1550000}"/>
    <cellStyle name="Euro 33 2 2" xfId="5261" xr:uid="{00000000-0005-0000-0000-0000E2550000}"/>
    <cellStyle name="Euro 33 2 3" xfId="38278" xr:uid="{00000000-0005-0000-0000-0000E3550000}"/>
    <cellStyle name="Euro 33 3" xfId="3062" xr:uid="{00000000-0005-0000-0000-0000E4550000}"/>
    <cellStyle name="Euro 33 4" xfId="4672" xr:uid="{00000000-0005-0000-0000-0000E5550000}"/>
    <cellStyle name="Euro 33 5" xfId="7367" xr:uid="{00000000-0005-0000-0000-0000E6550000}"/>
    <cellStyle name="Euro 33 6" xfId="7368" xr:uid="{00000000-0005-0000-0000-0000E7550000}"/>
    <cellStyle name="Euro 33 7" xfId="7369" xr:uid="{00000000-0005-0000-0000-0000E8550000}"/>
    <cellStyle name="Euro 33 8" xfId="7370" xr:uid="{00000000-0005-0000-0000-0000E9550000}"/>
    <cellStyle name="Euro 33 9" xfId="7371" xr:uid="{00000000-0005-0000-0000-0000EA550000}"/>
    <cellStyle name="Euro 34" xfId="1175" xr:uid="{00000000-0005-0000-0000-0000EB550000}"/>
    <cellStyle name="Euro 34 2" xfId="3065" xr:uid="{00000000-0005-0000-0000-0000EC550000}"/>
    <cellStyle name="Euro 34 2 2" xfId="5262" xr:uid="{00000000-0005-0000-0000-0000ED550000}"/>
    <cellStyle name="Euro 34 2 3" xfId="38279" xr:uid="{00000000-0005-0000-0000-0000EE550000}"/>
    <cellStyle name="Euro 34 3" xfId="3064" xr:uid="{00000000-0005-0000-0000-0000EF550000}"/>
    <cellStyle name="Euro 34 4" xfId="4673" xr:uid="{00000000-0005-0000-0000-0000F0550000}"/>
    <cellStyle name="Euro 34 5" xfId="37736" xr:uid="{00000000-0005-0000-0000-0000F1550000}"/>
    <cellStyle name="Euro 35" xfId="1176" xr:uid="{00000000-0005-0000-0000-0000F2550000}"/>
    <cellStyle name="Euro 35 2" xfId="3067" xr:uid="{00000000-0005-0000-0000-0000F3550000}"/>
    <cellStyle name="Euro 35 2 2" xfId="5263" xr:uid="{00000000-0005-0000-0000-0000F4550000}"/>
    <cellStyle name="Euro 35 2 3" xfId="38280" xr:uid="{00000000-0005-0000-0000-0000F5550000}"/>
    <cellStyle name="Euro 35 3" xfId="3066" xr:uid="{00000000-0005-0000-0000-0000F6550000}"/>
    <cellStyle name="Euro 35 4" xfId="4674" xr:uid="{00000000-0005-0000-0000-0000F7550000}"/>
    <cellStyle name="Euro 35 5" xfId="37737" xr:uid="{00000000-0005-0000-0000-0000F8550000}"/>
    <cellStyle name="Euro 36" xfId="1177" xr:uid="{00000000-0005-0000-0000-0000F9550000}"/>
    <cellStyle name="Euro 36 2" xfId="3069" xr:uid="{00000000-0005-0000-0000-0000FA550000}"/>
    <cellStyle name="Euro 36 2 2" xfId="5264" xr:uid="{00000000-0005-0000-0000-0000FB550000}"/>
    <cellStyle name="Euro 36 2 3" xfId="38281" xr:uid="{00000000-0005-0000-0000-0000FC550000}"/>
    <cellStyle name="Euro 36 3" xfId="3068" xr:uid="{00000000-0005-0000-0000-0000FD550000}"/>
    <cellStyle name="Euro 36 4" xfId="4675" xr:uid="{00000000-0005-0000-0000-0000FE550000}"/>
    <cellStyle name="Euro 36 5" xfId="37738" xr:uid="{00000000-0005-0000-0000-0000FF550000}"/>
    <cellStyle name="Euro 37" xfId="1178" xr:uid="{00000000-0005-0000-0000-000000560000}"/>
    <cellStyle name="Euro 37 2" xfId="3071" xr:uid="{00000000-0005-0000-0000-000001560000}"/>
    <cellStyle name="Euro 37 2 2" xfId="5265" xr:uid="{00000000-0005-0000-0000-000002560000}"/>
    <cellStyle name="Euro 37 2 3" xfId="38282" xr:uid="{00000000-0005-0000-0000-000003560000}"/>
    <cellStyle name="Euro 37 3" xfId="3070" xr:uid="{00000000-0005-0000-0000-000004560000}"/>
    <cellStyle name="Euro 37 4" xfId="4676" xr:uid="{00000000-0005-0000-0000-000005560000}"/>
    <cellStyle name="Euro 37 5" xfId="37739" xr:uid="{00000000-0005-0000-0000-000006560000}"/>
    <cellStyle name="Euro 38" xfId="1179" xr:uid="{00000000-0005-0000-0000-000007560000}"/>
    <cellStyle name="Euro 38 2" xfId="3073" xr:uid="{00000000-0005-0000-0000-000008560000}"/>
    <cellStyle name="Euro 38 2 2" xfId="5266" xr:uid="{00000000-0005-0000-0000-000009560000}"/>
    <cellStyle name="Euro 38 2 3" xfId="38283" xr:uid="{00000000-0005-0000-0000-00000A560000}"/>
    <cellStyle name="Euro 38 3" xfId="3072" xr:uid="{00000000-0005-0000-0000-00000B560000}"/>
    <cellStyle name="Euro 38 4" xfId="4677" xr:uid="{00000000-0005-0000-0000-00000C560000}"/>
    <cellStyle name="Euro 38 5" xfId="37740" xr:uid="{00000000-0005-0000-0000-00000D560000}"/>
    <cellStyle name="Euro 39" xfId="1180" xr:uid="{00000000-0005-0000-0000-00000E560000}"/>
    <cellStyle name="Euro 39 2" xfId="1181" xr:uid="{00000000-0005-0000-0000-00000F560000}"/>
    <cellStyle name="Euro 39 2 2" xfId="3075" xr:uid="{00000000-0005-0000-0000-000010560000}"/>
    <cellStyle name="Euro 39 2 3" xfId="4679" xr:uid="{00000000-0005-0000-0000-000011560000}"/>
    <cellStyle name="Euro 39 2 4" xfId="37742" xr:uid="{00000000-0005-0000-0000-000012560000}"/>
    <cellStyle name="Euro 39 3" xfId="1182" xr:uid="{00000000-0005-0000-0000-000013560000}"/>
    <cellStyle name="Euro 39 3 2" xfId="3076" xr:uid="{00000000-0005-0000-0000-000014560000}"/>
    <cellStyle name="Euro 39 3 3" xfId="4680" xr:uid="{00000000-0005-0000-0000-000015560000}"/>
    <cellStyle name="Euro 39 3 4" xfId="37743" xr:uid="{00000000-0005-0000-0000-000016560000}"/>
    <cellStyle name="Euro 39 4" xfId="3074" xr:uid="{00000000-0005-0000-0000-000017560000}"/>
    <cellStyle name="Euro 39 5" xfId="4678" xr:uid="{00000000-0005-0000-0000-000018560000}"/>
    <cellStyle name="Euro 39 6" xfId="37741" xr:uid="{00000000-0005-0000-0000-000019560000}"/>
    <cellStyle name="Euro 4" xfId="1183" xr:uid="{00000000-0005-0000-0000-00001A560000}"/>
    <cellStyle name="Euro 4 2" xfId="1184" xr:uid="{00000000-0005-0000-0000-00001B560000}"/>
    <cellStyle name="Euro 4 2 2" xfId="1185" xr:uid="{00000000-0005-0000-0000-00001C560000}"/>
    <cellStyle name="Euro 4 2 2 2" xfId="1186" xr:uid="{00000000-0005-0000-0000-00001D560000}"/>
    <cellStyle name="Euro 4 2 2 2 2" xfId="3080" xr:uid="{00000000-0005-0000-0000-00001E560000}"/>
    <cellStyle name="Euro 4 2 2 2 3" xfId="4683" xr:uid="{00000000-0005-0000-0000-00001F560000}"/>
    <cellStyle name="Euro 4 2 2 2 4" xfId="37745" xr:uid="{00000000-0005-0000-0000-000020560000}"/>
    <cellStyle name="Euro 4 2 2 3" xfId="3079" xr:uid="{00000000-0005-0000-0000-000021560000}"/>
    <cellStyle name="Euro 4 2 2 3 2" xfId="35420" xr:uid="{00000000-0005-0000-0000-000022560000}"/>
    <cellStyle name="Euro 4 2 2 3 3" xfId="8125" xr:uid="{00000000-0005-0000-0000-000023560000}"/>
    <cellStyle name="Euro 4 2 2 4" xfId="4682" xr:uid="{00000000-0005-0000-0000-000024560000}"/>
    <cellStyle name="Euro 4 2 2 5" xfId="37744" xr:uid="{00000000-0005-0000-0000-000025560000}"/>
    <cellStyle name="Euro 4 2 3" xfId="1187" xr:uid="{00000000-0005-0000-0000-000026560000}"/>
    <cellStyle name="Euro 4 2 3 2" xfId="3081" xr:uid="{00000000-0005-0000-0000-000027560000}"/>
    <cellStyle name="Euro 4 2 3 3" xfId="4684" xr:uid="{00000000-0005-0000-0000-000028560000}"/>
    <cellStyle name="Euro 4 2 3 4" xfId="37746" xr:uid="{00000000-0005-0000-0000-000029560000}"/>
    <cellStyle name="Euro 4 2 4" xfId="3082" xr:uid="{00000000-0005-0000-0000-00002A560000}"/>
    <cellStyle name="Euro 4 2 4 2" xfId="5267" xr:uid="{00000000-0005-0000-0000-00002B560000}"/>
    <cellStyle name="Euro 4 2 4 3" xfId="8126" xr:uid="{00000000-0005-0000-0000-00002C560000}"/>
    <cellStyle name="Euro 4 2 4 3 2" xfId="12434" xr:uid="{00000000-0005-0000-0000-00002D560000}"/>
    <cellStyle name="Euro 4 2 4 3 2 2" xfId="15922" xr:uid="{00000000-0005-0000-0000-00002E560000}"/>
    <cellStyle name="Euro 4 2 4 3 3" xfId="38284" xr:uid="{00000000-0005-0000-0000-00002F560000}"/>
    <cellStyle name="Euro 4 2 5" xfId="3083" xr:uid="{00000000-0005-0000-0000-000030560000}"/>
    <cellStyle name="Euro 4 2 5 2" xfId="5268" xr:uid="{00000000-0005-0000-0000-000031560000}"/>
    <cellStyle name="Euro 4 2 5 3" xfId="38285" xr:uid="{00000000-0005-0000-0000-000032560000}"/>
    <cellStyle name="Euro 4 2 6" xfId="3084" xr:uid="{00000000-0005-0000-0000-000033560000}"/>
    <cellStyle name="Euro 4 2 6 2" xfId="5269" xr:uid="{00000000-0005-0000-0000-000034560000}"/>
    <cellStyle name="Euro 4 2 6 2 2" xfId="15188" xr:uid="{00000000-0005-0000-0000-000035560000}"/>
    <cellStyle name="Euro 4 2 6 2 2 2" xfId="15923" xr:uid="{00000000-0005-0000-0000-000036560000}"/>
    <cellStyle name="Euro 4 2 6 3" xfId="8942" xr:uid="{00000000-0005-0000-0000-000037560000}"/>
    <cellStyle name="Euro 4 2 7" xfId="3078" xr:uid="{00000000-0005-0000-0000-000038560000}"/>
    <cellStyle name="Euro 4 2 8" xfId="4681" xr:uid="{00000000-0005-0000-0000-000039560000}"/>
    <cellStyle name="Euro 4 2 9" xfId="39209" xr:uid="{00000000-0005-0000-0000-00003A560000}"/>
    <cellStyle name="Euro 4 3" xfId="1188" xr:uid="{00000000-0005-0000-0000-00003B560000}"/>
    <cellStyle name="Euro 4 3 2" xfId="3085" xr:uid="{00000000-0005-0000-0000-00003C560000}"/>
    <cellStyle name="Euro 4 3 3" xfId="4685" xr:uid="{00000000-0005-0000-0000-00003D560000}"/>
    <cellStyle name="Euro 4 3 4" xfId="37747" xr:uid="{00000000-0005-0000-0000-00003E560000}"/>
    <cellStyle name="Euro 4 4" xfId="1189" xr:uid="{00000000-0005-0000-0000-00003F560000}"/>
    <cellStyle name="Euro 4 4 2" xfId="3086" xr:uid="{00000000-0005-0000-0000-000040560000}"/>
    <cellStyle name="Euro 4 4 3" xfId="4686" xr:uid="{00000000-0005-0000-0000-000041560000}"/>
    <cellStyle name="Euro 4 4 4" xfId="37748" xr:uid="{00000000-0005-0000-0000-000042560000}"/>
    <cellStyle name="Euro 4 5" xfId="1190" xr:uid="{00000000-0005-0000-0000-000043560000}"/>
    <cellStyle name="Euro 4 5 2" xfId="1191" xr:uid="{00000000-0005-0000-0000-000044560000}"/>
    <cellStyle name="Euro 4 5 2 2" xfId="3089" xr:uid="{00000000-0005-0000-0000-000045560000}"/>
    <cellStyle name="Euro 4 5 2 2 2" xfId="5270" xr:uid="{00000000-0005-0000-0000-000046560000}"/>
    <cellStyle name="Euro 4 5 2 2 3" xfId="38286" xr:uid="{00000000-0005-0000-0000-000047560000}"/>
    <cellStyle name="Euro 4 5 2 3" xfId="3088" xr:uid="{00000000-0005-0000-0000-000048560000}"/>
    <cellStyle name="Euro 4 5 2 4" xfId="4688" xr:uid="{00000000-0005-0000-0000-000049560000}"/>
    <cellStyle name="Euro 4 5 2 5" xfId="37750" xr:uid="{00000000-0005-0000-0000-00004A560000}"/>
    <cellStyle name="Euro 4 5 2 5 2" xfId="39210" xr:uid="{00000000-0005-0000-0000-00004B560000}"/>
    <cellStyle name="Euro 4 5 3" xfId="3090" xr:uid="{00000000-0005-0000-0000-00004C560000}"/>
    <cellStyle name="Euro 4 5 3 2" xfId="5271" xr:uid="{00000000-0005-0000-0000-00004D560000}"/>
    <cellStyle name="Euro 4 5 3 3" xfId="38287" xr:uid="{00000000-0005-0000-0000-00004E560000}"/>
    <cellStyle name="Euro 4 5 4" xfId="3087" xr:uid="{00000000-0005-0000-0000-00004F560000}"/>
    <cellStyle name="Euro 4 5 5" xfId="4687" xr:uid="{00000000-0005-0000-0000-000050560000}"/>
    <cellStyle name="Euro 4 5 6" xfId="37749" xr:uid="{00000000-0005-0000-0000-000051560000}"/>
    <cellStyle name="Euro 4 6" xfId="1192" xr:uid="{00000000-0005-0000-0000-000052560000}"/>
    <cellStyle name="Euro 4 6 2" xfId="3091" xr:uid="{00000000-0005-0000-0000-000053560000}"/>
    <cellStyle name="Euro 4 6 3" xfId="4689" xr:uid="{00000000-0005-0000-0000-000054560000}"/>
    <cellStyle name="Euro 4 6 3 2" xfId="12435" xr:uid="{00000000-0005-0000-0000-000055560000}"/>
    <cellStyle name="Euro 4 6 3 2 2" xfId="15924" xr:uid="{00000000-0005-0000-0000-000056560000}"/>
    <cellStyle name="Euro 4 6 4" xfId="39211" xr:uid="{00000000-0005-0000-0000-000057560000}"/>
    <cellStyle name="Euro 4 7" xfId="3092" xr:uid="{00000000-0005-0000-0000-000058560000}"/>
    <cellStyle name="Euro 4 7 2" xfId="5272" xr:uid="{00000000-0005-0000-0000-000059560000}"/>
    <cellStyle name="Euro 4 8" xfId="3077" xr:uid="{00000000-0005-0000-0000-00005A560000}"/>
    <cellStyle name="Euro 4 9" xfId="5693" xr:uid="{00000000-0005-0000-0000-00005B560000}"/>
    <cellStyle name="Euro 40" xfId="1193" xr:uid="{00000000-0005-0000-0000-00005C560000}"/>
    <cellStyle name="Euro 40 2" xfId="1194" xr:uid="{00000000-0005-0000-0000-00005D560000}"/>
    <cellStyle name="Euro 40 2 2" xfId="3094" xr:uid="{00000000-0005-0000-0000-00005E560000}"/>
    <cellStyle name="Euro 40 2 3" xfId="4691" xr:uid="{00000000-0005-0000-0000-00005F560000}"/>
    <cellStyle name="Euro 40 2 4" xfId="37752" xr:uid="{00000000-0005-0000-0000-000060560000}"/>
    <cellStyle name="Euro 40 3" xfId="1195" xr:uid="{00000000-0005-0000-0000-000061560000}"/>
    <cellStyle name="Euro 40 3 2" xfId="3095" xr:uid="{00000000-0005-0000-0000-000062560000}"/>
    <cellStyle name="Euro 40 3 3" xfId="4692" xr:uid="{00000000-0005-0000-0000-000063560000}"/>
    <cellStyle name="Euro 40 3 4" xfId="37753" xr:uid="{00000000-0005-0000-0000-000064560000}"/>
    <cellStyle name="Euro 40 4" xfId="3093" xr:uid="{00000000-0005-0000-0000-000065560000}"/>
    <cellStyle name="Euro 40 5" xfId="4690" xr:uid="{00000000-0005-0000-0000-000066560000}"/>
    <cellStyle name="Euro 40 6" xfId="37751" xr:uid="{00000000-0005-0000-0000-000067560000}"/>
    <cellStyle name="Euro 41" xfId="1196" xr:uid="{00000000-0005-0000-0000-000068560000}"/>
    <cellStyle name="Euro 41 2" xfId="1197" xr:uid="{00000000-0005-0000-0000-000069560000}"/>
    <cellStyle name="Euro 41 2 2" xfId="3097" xr:uid="{00000000-0005-0000-0000-00006A560000}"/>
    <cellStyle name="Euro 41 2 3" xfId="4694" xr:uid="{00000000-0005-0000-0000-00006B560000}"/>
    <cellStyle name="Euro 41 2 4" xfId="37755" xr:uid="{00000000-0005-0000-0000-00006C560000}"/>
    <cellStyle name="Euro 41 3" xfId="1198" xr:uid="{00000000-0005-0000-0000-00006D560000}"/>
    <cellStyle name="Euro 41 3 2" xfId="3098" xr:uid="{00000000-0005-0000-0000-00006E560000}"/>
    <cellStyle name="Euro 41 3 3" xfId="4695" xr:uid="{00000000-0005-0000-0000-00006F560000}"/>
    <cellStyle name="Euro 41 3 4" xfId="37756" xr:uid="{00000000-0005-0000-0000-000070560000}"/>
    <cellStyle name="Euro 41 4" xfId="3096" xr:uid="{00000000-0005-0000-0000-000071560000}"/>
    <cellStyle name="Euro 41 5" xfId="4693" xr:uid="{00000000-0005-0000-0000-000072560000}"/>
    <cellStyle name="Euro 41 6" xfId="37754" xr:uid="{00000000-0005-0000-0000-000073560000}"/>
    <cellStyle name="Euro 42" xfId="1199" xr:uid="{00000000-0005-0000-0000-000074560000}"/>
    <cellStyle name="Euro 42 2" xfId="1200" xr:uid="{00000000-0005-0000-0000-000075560000}"/>
    <cellStyle name="Euro 42 2 2" xfId="3100" xr:uid="{00000000-0005-0000-0000-000076560000}"/>
    <cellStyle name="Euro 42 2 3" xfId="4697" xr:uid="{00000000-0005-0000-0000-000077560000}"/>
    <cellStyle name="Euro 42 2 4" xfId="37758" xr:uid="{00000000-0005-0000-0000-000078560000}"/>
    <cellStyle name="Euro 42 3" xfId="1201" xr:uid="{00000000-0005-0000-0000-000079560000}"/>
    <cellStyle name="Euro 42 3 2" xfId="3101" xr:uid="{00000000-0005-0000-0000-00007A560000}"/>
    <cellStyle name="Euro 42 3 3" xfId="4698" xr:uid="{00000000-0005-0000-0000-00007B560000}"/>
    <cellStyle name="Euro 42 3 4" xfId="37759" xr:uid="{00000000-0005-0000-0000-00007C560000}"/>
    <cellStyle name="Euro 42 4" xfId="3099" xr:uid="{00000000-0005-0000-0000-00007D560000}"/>
    <cellStyle name="Euro 42 5" xfId="4696" xr:uid="{00000000-0005-0000-0000-00007E560000}"/>
    <cellStyle name="Euro 42 6" xfId="37757" xr:uid="{00000000-0005-0000-0000-00007F560000}"/>
    <cellStyle name="Euro 43" xfId="1202" xr:uid="{00000000-0005-0000-0000-000080560000}"/>
    <cellStyle name="Euro 43 2" xfId="1203" xr:uid="{00000000-0005-0000-0000-000081560000}"/>
    <cellStyle name="Euro 43 2 2" xfId="3103" xr:uid="{00000000-0005-0000-0000-000082560000}"/>
    <cellStyle name="Euro 43 2 3" xfId="4700" xr:uid="{00000000-0005-0000-0000-000083560000}"/>
    <cellStyle name="Euro 43 2 4" xfId="37761" xr:uid="{00000000-0005-0000-0000-000084560000}"/>
    <cellStyle name="Euro 43 3" xfId="1204" xr:uid="{00000000-0005-0000-0000-000085560000}"/>
    <cellStyle name="Euro 43 3 2" xfId="3104" xr:uid="{00000000-0005-0000-0000-000086560000}"/>
    <cellStyle name="Euro 43 3 3" xfId="4701" xr:uid="{00000000-0005-0000-0000-000087560000}"/>
    <cellStyle name="Euro 43 3 4" xfId="37762" xr:uid="{00000000-0005-0000-0000-000088560000}"/>
    <cellStyle name="Euro 43 4" xfId="3102" xr:uid="{00000000-0005-0000-0000-000089560000}"/>
    <cellStyle name="Euro 43 5" xfId="4699" xr:uid="{00000000-0005-0000-0000-00008A560000}"/>
    <cellStyle name="Euro 43 6" xfId="37760" xr:uid="{00000000-0005-0000-0000-00008B560000}"/>
    <cellStyle name="Euro 44" xfId="1205" xr:uid="{00000000-0005-0000-0000-00008C560000}"/>
    <cellStyle name="Euro 44 2" xfId="1206" xr:uid="{00000000-0005-0000-0000-00008D560000}"/>
    <cellStyle name="Euro 44 2 2" xfId="3106" xr:uid="{00000000-0005-0000-0000-00008E560000}"/>
    <cellStyle name="Euro 44 2 3" xfId="4703" xr:uid="{00000000-0005-0000-0000-00008F560000}"/>
    <cellStyle name="Euro 44 2 4" xfId="37764" xr:uid="{00000000-0005-0000-0000-000090560000}"/>
    <cellStyle name="Euro 44 3" xfId="1207" xr:uid="{00000000-0005-0000-0000-000091560000}"/>
    <cellStyle name="Euro 44 3 2" xfId="3107" xr:uid="{00000000-0005-0000-0000-000092560000}"/>
    <cellStyle name="Euro 44 3 3" xfId="4704" xr:uid="{00000000-0005-0000-0000-000093560000}"/>
    <cellStyle name="Euro 44 3 4" xfId="37765" xr:uid="{00000000-0005-0000-0000-000094560000}"/>
    <cellStyle name="Euro 44 4" xfId="3105" xr:uid="{00000000-0005-0000-0000-000095560000}"/>
    <cellStyle name="Euro 44 5" xfId="4702" xr:uid="{00000000-0005-0000-0000-000096560000}"/>
    <cellStyle name="Euro 44 6" xfId="37763" xr:uid="{00000000-0005-0000-0000-000097560000}"/>
    <cellStyle name="Euro 45" xfId="1208" xr:uid="{00000000-0005-0000-0000-000098560000}"/>
    <cellStyle name="Euro 45 2" xfId="3108" xr:uid="{00000000-0005-0000-0000-000099560000}"/>
    <cellStyle name="Euro 45 3" xfId="4705" xr:uid="{00000000-0005-0000-0000-00009A560000}"/>
    <cellStyle name="Euro 45 4" xfId="7372" xr:uid="{00000000-0005-0000-0000-00009B560000}"/>
    <cellStyle name="Euro 46" xfId="1209" xr:uid="{00000000-0005-0000-0000-00009C560000}"/>
    <cellStyle name="Euro 46 2" xfId="3109" xr:uid="{00000000-0005-0000-0000-00009D560000}"/>
    <cellStyle name="Euro 46 3" xfId="4706" xr:uid="{00000000-0005-0000-0000-00009E560000}"/>
    <cellStyle name="Euro 46 4" xfId="7373" xr:uid="{00000000-0005-0000-0000-00009F560000}"/>
    <cellStyle name="Euro 47" xfId="1210" xr:uid="{00000000-0005-0000-0000-0000A0560000}"/>
    <cellStyle name="Euro 47 2" xfId="3111" xr:uid="{00000000-0005-0000-0000-0000A1560000}"/>
    <cellStyle name="Euro 47 2 2" xfId="5273" xr:uid="{00000000-0005-0000-0000-0000A2560000}"/>
    <cellStyle name="Euro 47 2 3" xfId="38288" xr:uid="{00000000-0005-0000-0000-0000A3560000}"/>
    <cellStyle name="Euro 47 3" xfId="3112" xr:uid="{00000000-0005-0000-0000-0000A4560000}"/>
    <cellStyle name="Euro 47 3 2" xfId="5274" xr:uid="{00000000-0005-0000-0000-0000A5560000}"/>
    <cellStyle name="Euro 47 3 3" xfId="38289" xr:uid="{00000000-0005-0000-0000-0000A6560000}"/>
    <cellStyle name="Euro 47 4" xfId="3113" xr:uid="{00000000-0005-0000-0000-0000A7560000}"/>
    <cellStyle name="Euro 47 4 2" xfId="5275" xr:uid="{00000000-0005-0000-0000-0000A8560000}"/>
    <cellStyle name="Euro 47 4 3" xfId="38290" xr:uid="{00000000-0005-0000-0000-0000A9560000}"/>
    <cellStyle name="Euro 47 5" xfId="3114" xr:uid="{00000000-0005-0000-0000-0000AA560000}"/>
    <cellStyle name="Euro 47 5 2" xfId="5276" xr:uid="{00000000-0005-0000-0000-0000AB560000}"/>
    <cellStyle name="Euro 47 5 3" xfId="38291" xr:uid="{00000000-0005-0000-0000-0000AC560000}"/>
    <cellStyle name="Euro 47 6" xfId="3115" xr:uid="{00000000-0005-0000-0000-0000AD560000}"/>
    <cellStyle name="Euro 47 6 2" xfId="5277" xr:uid="{00000000-0005-0000-0000-0000AE560000}"/>
    <cellStyle name="Euro 47 6 3" xfId="38292" xr:uid="{00000000-0005-0000-0000-0000AF560000}"/>
    <cellStyle name="Euro 47 7" xfId="3110" xr:uid="{00000000-0005-0000-0000-0000B0560000}"/>
    <cellStyle name="Euro 47 8" xfId="4707" xr:uid="{00000000-0005-0000-0000-0000B1560000}"/>
    <cellStyle name="Euro 47 9" xfId="37766" xr:uid="{00000000-0005-0000-0000-0000B2560000}"/>
    <cellStyle name="Euro 48" xfId="1211" xr:uid="{00000000-0005-0000-0000-0000B3560000}"/>
    <cellStyle name="Euro 48 2" xfId="3117" xr:uid="{00000000-0005-0000-0000-0000B4560000}"/>
    <cellStyle name="Euro 48 2 2" xfId="5278" xr:uid="{00000000-0005-0000-0000-0000B5560000}"/>
    <cellStyle name="Euro 48 2 3" xfId="38293" xr:uid="{00000000-0005-0000-0000-0000B6560000}"/>
    <cellStyle name="Euro 48 3" xfId="3118" xr:uid="{00000000-0005-0000-0000-0000B7560000}"/>
    <cellStyle name="Euro 48 3 2" xfId="5279" xr:uid="{00000000-0005-0000-0000-0000B8560000}"/>
    <cellStyle name="Euro 48 3 3" xfId="38294" xr:uid="{00000000-0005-0000-0000-0000B9560000}"/>
    <cellStyle name="Euro 48 4" xfId="3119" xr:uid="{00000000-0005-0000-0000-0000BA560000}"/>
    <cellStyle name="Euro 48 4 2" xfId="5280" xr:uid="{00000000-0005-0000-0000-0000BB560000}"/>
    <cellStyle name="Euro 48 4 3" xfId="38295" xr:uid="{00000000-0005-0000-0000-0000BC560000}"/>
    <cellStyle name="Euro 48 5" xfId="3120" xr:uid="{00000000-0005-0000-0000-0000BD560000}"/>
    <cellStyle name="Euro 48 5 2" xfId="5281" xr:uid="{00000000-0005-0000-0000-0000BE560000}"/>
    <cellStyle name="Euro 48 5 3" xfId="38296" xr:uid="{00000000-0005-0000-0000-0000BF560000}"/>
    <cellStyle name="Euro 48 6" xfId="3121" xr:uid="{00000000-0005-0000-0000-0000C0560000}"/>
    <cellStyle name="Euro 48 6 2" xfId="5282" xr:uid="{00000000-0005-0000-0000-0000C1560000}"/>
    <cellStyle name="Euro 48 6 3" xfId="38297" xr:uid="{00000000-0005-0000-0000-0000C2560000}"/>
    <cellStyle name="Euro 48 7" xfId="3116" xr:uid="{00000000-0005-0000-0000-0000C3560000}"/>
    <cellStyle name="Euro 48 8" xfId="4708" xr:uid="{00000000-0005-0000-0000-0000C4560000}"/>
    <cellStyle name="Euro 48 9" xfId="37767" xr:uid="{00000000-0005-0000-0000-0000C5560000}"/>
    <cellStyle name="Euro 49" xfId="1212" xr:uid="{00000000-0005-0000-0000-0000C6560000}"/>
    <cellStyle name="Euro 49 2" xfId="3122" xr:uid="{00000000-0005-0000-0000-0000C7560000}"/>
    <cellStyle name="Euro 49 3" xfId="4709" xr:uid="{00000000-0005-0000-0000-0000C8560000}"/>
    <cellStyle name="Euro 49 4" xfId="7374" xr:uid="{00000000-0005-0000-0000-0000C9560000}"/>
    <cellStyle name="Euro 5" xfId="1213" xr:uid="{00000000-0005-0000-0000-0000CA560000}"/>
    <cellStyle name="Euro 5 2" xfId="1214" xr:uid="{00000000-0005-0000-0000-0000CB560000}"/>
    <cellStyle name="Euro 5 2 2" xfId="3125" xr:uid="{00000000-0005-0000-0000-0000CC560000}"/>
    <cellStyle name="Euro 5 2 2 2" xfId="5283" xr:uid="{00000000-0005-0000-0000-0000CD560000}"/>
    <cellStyle name="Euro 5 2 2 3" xfId="8127" xr:uid="{00000000-0005-0000-0000-0000CE560000}"/>
    <cellStyle name="Euro 5 2 2 3 2" xfId="38298" xr:uid="{00000000-0005-0000-0000-0000CF560000}"/>
    <cellStyle name="Euro 5 2 3" xfId="3126" xr:uid="{00000000-0005-0000-0000-0000D0560000}"/>
    <cellStyle name="Euro 5 2 3 2" xfId="5284" xr:uid="{00000000-0005-0000-0000-0000D1560000}"/>
    <cellStyle name="Euro 5 2 3 3" xfId="38299" xr:uid="{00000000-0005-0000-0000-0000D2560000}"/>
    <cellStyle name="Euro 5 2 4" xfId="3127" xr:uid="{00000000-0005-0000-0000-0000D3560000}"/>
    <cellStyle name="Euro 5 2 4 2" xfId="5285" xr:uid="{00000000-0005-0000-0000-0000D4560000}"/>
    <cellStyle name="Euro 5 2 4 3" xfId="38300" xr:uid="{00000000-0005-0000-0000-0000D5560000}"/>
    <cellStyle name="Euro 5 2 5" xfId="3124" xr:uid="{00000000-0005-0000-0000-0000D6560000}"/>
    <cellStyle name="Euro 5 2 6" xfId="4711" xr:uid="{00000000-0005-0000-0000-0000D7560000}"/>
    <cellStyle name="Euro 5 2 7" xfId="37769" xr:uid="{00000000-0005-0000-0000-0000D8560000}"/>
    <cellStyle name="Euro 5 3" xfId="1215" xr:uid="{00000000-0005-0000-0000-0000D9560000}"/>
    <cellStyle name="Euro 5 3 2" xfId="3128" xr:uid="{00000000-0005-0000-0000-0000DA560000}"/>
    <cellStyle name="Euro 5 3 3" xfId="4712" xr:uid="{00000000-0005-0000-0000-0000DB560000}"/>
    <cellStyle name="Euro 5 3 4" xfId="37770" xr:uid="{00000000-0005-0000-0000-0000DC560000}"/>
    <cellStyle name="Euro 5 4" xfId="1216" xr:uid="{00000000-0005-0000-0000-0000DD560000}"/>
    <cellStyle name="Euro 5 4 2" xfId="3129" xr:uid="{00000000-0005-0000-0000-0000DE560000}"/>
    <cellStyle name="Euro 5 4 3" xfId="4713" xr:uid="{00000000-0005-0000-0000-0000DF560000}"/>
    <cellStyle name="Euro 5 4 4" xfId="37771" xr:uid="{00000000-0005-0000-0000-0000E0560000}"/>
    <cellStyle name="Euro 5 5" xfId="3130" xr:uid="{00000000-0005-0000-0000-0000E1560000}"/>
    <cellStyle name="Euro 5 5 2" xfId="5286" xr:uid="{00000000-0005-0000-0000-0000E2560000}"/>
    <cellStyle name="Euro 5 5 3" xfId="8128" xr:uid="{00000000-0005-0000-0000-0000E3560000}"/>
    <cellStyle name="Euro 5 5 3 2" xfId="38301" xr:uid="{00000000-0005-0000-0000-0000E4560000}"/>
    <cellStyle name="Euro 5 6" xfId="3123" xr:uid="{00000000-0005-0000-0000-0000E5560000}"/>
    <cellStyle name="Euro 5 7" xfId="4710" xr:uid="{00000000-0005-0000-0000-0000E6560000}"/>
    <cellStyle name="Euro 5 8" xfId="37768" xr:uid="{00000000-0005-0000-0000-0000E7560000}"/>
    <cellStyle name="Euro 50" xfId="1217" xr:uid="{00000000-0005-0000-0000-0000E8560000}"/>
    <cellStyle name="Euro 50 2" xfId="3132" xr:uid="{00000000-0005-0000-0000-0000E9560000}"/>
    <cellStyle name="Euro 50 2 2" xfId="5287" xr:uid="{00000000-0005-0000-0000-0000EA560000}"/>
    <cellStyle name="Euro 50 2 3" xfId="38302" xr:uid="{00000000-0005-0000-0000-0000EB560000}"/>
    <cellStyle name="Euro 50 3" xfId="3133" xr:uid="{00000000-0005-0000-0000-0000EC560000}"/>
    <cellStyle name="Euro 50 3 2" xfId="5288" xr:uid="{00000000-0005-0000-0000-0000ED560000}"/>
    <cellStyle name="Euro 50 3 3" xfId="38303" xr:uid="{00000000-0005-0000-0000-0000EE560000}"/>
    <cellStyle name="Euro 50 4" xfId="3134" xr:uid="{00000000-0005-0000-0000-0000EF560000}"/>
    <cellStyle name="Euro 50 4 2" xfId="5289" xr:uid="{00000000-0005-0000-0000-0000F0560000}"/>
    <cellStyle name="Euro 50 4 3" xfId="38304" xr:uid="{00000000-0005-0000-0000-0000F1560000}"/>
    <cellStyle name="Euro 50 5" xfId="3135" xr:uid="{00000000-0005-0000-0000-0000F2560000}"/>
    <cellStyle name="Euro 50 5 2" xfId="5290" xr:uid="{00000000-0005-0000-0000-0000F3560000}"/>
    <cellStyle name="Euro 50 5 3" xfId="38305" xr:uid="{00000000-0005-0000-0000-0000F4560000}"/>
    <cellStyle name="Euro 50 6" xfId="3136" xr:uid="{00000000-0005-0000-0000-0000F5560000}"/>
    <cellStyle name="Euro 50 6 2" xfId="5291" xr:uid="{00000000-0005-0000-0000-0000F6560000}"/>
    <cellStyle name="Euro 50 6 3" xfId="38306" xr:uid="{00000000-0005-0000-0000-0000F7560000}"/>
    <cellStyle name="Euro 50 7" xfId="3131" xr:uid="{00000000-0005-0000-0000-0000F8560000}"/>
    <cellStyle name="Euro 50 8" xfId="4714" xr:uid="{00000000-0005-0000-0000-0000F9560000}"/>
    <cellStyle name="Euro 50 9" xfId="37772" xr:uid="{00000000-0005-0000-0000-0000FA560000}"/>
    <cellStyle name="Euro 51" xfId="1218" xr:uid="{00000000-0005-0000-0000-0000FB560000}"/>
    <cellStyle name="Euro 51 2" xfId="3138" xr:uid="{00000000-0005-0000-0000-0000FC560000}"/>
    <cellStyle name="Euro 51 2 2" xfId="5292" xr:uid="{00000000-0005-0000-0000-0000FD560000}"/>
    <cellStyle name="Euro 51 2 3" xfId="38307" xr:uid="{00000000-0005-0000-0000-0000FE560000}"/>
    <cellStyle name="Euro 51 3" xfId="3139" xr:uid="{00000000-0005-0000-0000-0000FF560000}"/>
    <cellStyle name="Euro 51 3 2" xfId="5293" xr:uid="{00000000-0005-0000-0000-000000570000}"/>
    <cellStyle name="Euro 51 3 3" xfId="38308" xr:uid="{00000000-0005-0000-0000-000001570000}"/>
    <cellStyle name="Euro 51 4" xfId="3140" xr:uid="{00000000-0005-0000-0000-000002570000}"/>
    <cellStyle name="Euro 51 4 2" xfId="5294" xr:uid="{00000000-0005-0000-0000-000003570000}"/>
    <cellStyle name="Euro 51 4 3" xfId="38309" xr:uid="{00000000-0005-0000-0000-000004570000}"/>
    <cellStyle name="Euro 51 5" xfId="3141" xr:uid="{00000000-0005-0000-0000-000005570000}"/>
    <cellStyle name="Euro 51 5 2" xfId="5295" xr:uid="{00000000-0005-0000-0000-000006570000}"/>
    <cellStyle name="Euro 51 5 3" xfId="38310" xr:uid="{00000000-0005-0000-0000-000007570000}"/>
    <cellStyle name="Euro 51 6" xfId="3142" xr:uid="{00000000-0005-0000-0000-000008570000}"/>
    <cellStyle name="Euro 51 6 2" xfId="5296" xr:uid="{00000000-0005-0000-0000-000009570000}"/>
    <cellStyle name="Euro 51 6 3" xfId="38311" xr:uid="{00000000-0005-0000-0000-00000A570000}"/>
    <cellStyle name="Euro 51 7" xfId="3137" xr:uid="{00000000-0005-0000-0000-00000B570000}"/>
    <cellStyle name="Euro 51 8" xfId="4715" xr:uid="{00000000-0005-0000-0000-00000C570000}"/>
    <cellStyle name="Euro 51 9" xfId="37773" xr:uid="{00000000-0005-0000-0000-00000D570000}"/>
    <cellStyle name="Euro 52" xfId="1219" xr:uid="{00000000-0005-0000-0000-00000E570000}"/>
    <cellStyle name="Euro 52 2" xfId="3144" xr:uid="{00000000-0005-0000-0000-00000F570000}"/>
    <cellStyle name="Euro 52 2 2" xfId="5297" xr:uid="{00000000-0005-0000-0000-000010570000}"/>
    <cellStyle name="Euro 52 2 3" xfId="38312" xr:uid="{00000000-0005-0000-0000-000011570000}"/>
    <cellStyle name="Euro 52 3" xfId="3145" xr:uid="{00000000-0005-0000-0000-000012570000}"/>
    <cellStyle name="Euro 52 3 2" xfId="5298" xr:uid="{00000000-0005-0000-0000-000013570000}"/>
    <cellStyle name="Euro 52 3 3" xfId="38313" xr:uid="{00000000-0005-0000-0000-000014570000}"/>
    <cellStyle name="Euro 52 4" xfId="3146" xr:uid="{00000000-0005-0000-0000-000015570000}"/>
    <cellStyle name="Euro 52 4 2" xfId="5299" xr:uid="{00000000-0005-0000-0000-000016570000}"/>
    <cellStyle name="Euro 52 4 3" xfId="38314" xr:uid="{00000000-0005-0000-0000-000017570000}"/>
    <cellStyle name="Euro 52 5" xfId="3147" xr:uid="{00000000-0005-0000-0000-000018570000}"/>
    <cellStyle name="Euro 52 5 2" xfId="5300" xr:uid="{00000000-0005-0000-0000-000019570000}"/>
    <cellStyle name="Euro 52 5 3" xfId="38315" xr:uid="{00000000-0005-0000-0000-00001A570000}"/>
    <cellStyle name="Euro 52 6" xfId="3148" xr:uid="{00000000-0005-0000-0000-00001B570000}"/>
    <cellStyle name="Euro 52 6 2" xfId="5301" xr:uid="{00000000-0005-0000-0000-00001C570000}"/>
    <cellStyle name="Euro 52 6 3" xfId="38316" xr:uid="{00000000-0005-0000-0000-00001D570000}"/>
    <cellStyle name="Euro 52 7" xfId="3143" xr:uid="{00000000-0005-0000-0000-00001E570000}"/>
    <cellStyle name="Euro 52 8" xfId="4716" xr:uid="{00000000-0005-0000-0000-00001F570000}"/>
    <cellStyle name="Euro 52 9" xfId="37774" xr:uid="{00000000-0005-0000-0000-000020570000}"/>
    <cellStyle name="Euro 53" xfId="1220" xr:uid="{00000000-0005-0000-0000-000021570000}"/>
    <cellStyle name="Euro 53 2" xfId="3150" xr:uid="{00000000-0005-0000-0000-000022570000}"/>
    <cellStyle name="Euro 53 2 2" xfId="5302" xr:uid="{00000000-0005-0000-0000-000023570000}"/>
    <cellStyle name="Euro 53 2 3" xfId="38317" xr:uid="{00000000-0005-0000-0000-000024570000}"/>
    <cellStyle name="Euro 53 3" xfId="3151" xr:uid="{00000000-0005-0000-0000-000025570000}"/>
    <cellStyle name="Euro 53 3 2" xfId="5303" xr:uid="{00000000-0005-0000-0000-000026570000}"/>
    <cellStyle name="Euro 53 3 3" xfId="38318" xr:uid="{00000000-0005-0000-0000-000027570000}"/>
    <cellStyle name="Euro 53 4" xfId="3152" xr:uid="{00000000-0005-0000-0000-000028570000}"/>
    <cellStyle name="Euro 53 4 2" xfId="5304" xr:uid="{00000000-0005-0000-0000-000029570000}"/>
    <cellStyle name="Euro 53 4 3" xfId="38319" xr:uid="{00000000-0005-0000-0000-00002A570000}"/>
    <cellStyle name="Euro 53 5" xfId="3153" xr:uid="{00000000-0005-0000-0000-00002B570000}"/>
    <cellStyle name="Euro 53 5 2" xfId="5305" xr:uid="{00000000-0005-0000-0000-00002C570000}"/>
    <cellStyle name="Euro 53 5 3" xfId="38320" xr:uid="{00000000-0005-0000-0000-00002D570000}"/>
    <cellStyle name="Euro 53 6" xfId="3154" xr:uid="{00000000-0005-0000-0000-00002E570000}"/>
    <cellStyle name="Euro 53 6 2" xfId="5306" xr:uid="{00000000-0005-0000-0000-00002F570000}"/>
    <cellStyle name="Euro 53 6 3" xfId="38321" xr:uid="{00000000-0005-0000-0000-000030570000}"/>
    <cellStyle name="Euro 53 7" xfId="3149" xr:uid="{00000000-0005-0000-0000-000031570000}"/>
    <cellStyle name="Euro 53 8" xfId="4717" xr:uid="{00000000-0005-0000-0000-000032570000}"/>
    <cellStyle name="Euro 53 9" xfId="37775" xr:uid="{00000000-0005-0000-0000-000033570000}"/>
    <cellStyle name="Euro 54" xfId="1221" xr:uid="{00000000-0005-0000-0000-000034570000}"/>
    <cellStyle name="Euro 54 2" xfId="3156" xr:uid="{00000000-0005-0000-0000-000035570000}"/>
    <cellStyle name="Euro 54 2 2" xfId="5307" xr:uid="{00000000-0005-0000-0000-000036570000}"/>
    <cellStyle name="Euro 54 2 3" xfId="38322" xr:uid="{00000000-0005-0000-0000-000037570000}"/>
    <cellStyle name="Euro 54 3" xfId="3157" xr:uid="{00000000-0005-0000-0000-000038570000}"/>
    <cellStyle name="Euro 54 3 2" xfId="5308" xr:uid="{00000000-0005-0000-0000-000039570000}"/>
    <cellStyle name="Euro 54 3 3" xfId="38323" xr:uid="{00000000-0005-0000-0000-00003A570000}"/>
    <cellStyle name="Euro 54 4" xfId="3158" xr:uid="{00000000-0005-0000-0000-00003B570000}"/>
    <cellStyle name="Euro 54 4 2" xfId="5309" xr:uid="{00000000-0005-0000-0000-00003C570000}"/>
    <cellStyle name="Euro 54 4 3" xfId="38324" xr:uid="{00000000-0005-0000-0000-00003D570000}"/>
    <cellStyle name="Euro 54 5" xfId="3159" xr:uid="{00000000-0005-0000-0000-00003E570000}"/>
    <cellStyle name="Euro 54 5 2" xfId="5310" xr:uid="{00000000-0005-0000-0000-00003F570000}"/>
    <cellStyle name="Euro 54 5 3" xfId="38325" xr:uid="{00000000-0005-0000-0000-000040570000}"/>
    <cellStyle name="Euro 54 6" xfId="3160" xr:uid="{00000000-0005-0000-0000-000041570000}"/>
    <cellStyle name="Euro 54 6 2" xfId="5311" xr:uid="{00000000-0005-0000-0000-000042570000}"/>
    <cellStyle name="Euro 54 6 3" xfId="38326" xr:uid="{00000000-0005-0000-0000-000043570000}"/>
    <cellStyle name="Euro 54 7" xfId="3155" xr:uid="{00000000-0005-0000-0000-000044570000}"/>
    <cellStyle name="Euro 54 8" xfId="4718" xr:uid="{00000000-0005-0000-0000-000045570000}"/>
    <cellStyle name="Euro 54 9" xfId="37776" xr:uid="{00000000-0005-0000-0000-000046570000}"/>
    <cellStyle name="Euro 55" xfId="1222" xr:uid="{00000000-0005-0000-0000-000047570000}"/>
    <cellStyle name="Euro 55 2" xfId="3162" xr:uid="{00000000-0005-0000-0000-000048570000}"/>
    <cellStyle name="Euro 55 2 2" xfId="5312" xr:uid="{00000000-0005-0000-0000-000049570000}"/>
    <cellStyle name="Euro 55 2 3" xfId="38327" xr:uid="{00000000-0005-0000-0000-00004A570000}"/>
    <cellStyle name="Euro 55 3" xfId="3163" xr:uid="{00000000-0005-0000-0000-00004B570000}"/>
    <cellStyle name="Euro 55 3 2" xfId="5313" xr:uid="{00000000-0005-0000-0000-00004C570000}"/>
    <cellStyle name="Euro 55 3 3" xfId="38328" xr:uid="{00000000-0005-0000-0000-00004D570000}"/>
    <cellStyle name="Euro 55 4" xfId="3164" xr:uid="{00000000-0005-0000-0000-00004E570000}"/>
    <cellStyle name="Euro 55 4 2" xfId="5314" xr:uid="{00000000-0005-0000-0000-00004F570000}"/>
    <cellStyle name="Euro 55 4 3" xfId="38329" xr:uid="{00000000-0005-0000-0000-000050570000}"/>
    <cellStyle name="Euro 55 5" xfId="3165" xr:uid="{00000000-0005-0000-0000-000051570000}"/>
    <cellStyle name="Euro 55 5 2" xfId="5315" xr:uid="{00000000-0005-0000-0000-000052570000}"/>
    <cellStyle name="Euro 55 5 3" xfId="38330" xr:uid="{00000000-0005-0000-0000-000053570000}"/>
    <cellStyle name="Euro 55 6" xfId="3166" xr:uid="{00000000-0005-0000-0000-000054570000}"/>
    <cellStyle name="Euro 55 6 2" xfId="5316" xr:uid="{00000000-0005-0000-0000-000055570000}"/>
    <cellStyle name="Euro 55 6 3" xfId="38331" xr:uid="{00000000-0005-0000-0000-000056570000}"/>
    <cellStyle name="Euro 55 7" xfId="3161" xr:uid="{00000000-0005-0000-0000-000057570000}"/>
    <cellStyle name="Euro 55 8" xfId="4719" xr:uid="{00000000-0005-0000-0000-000058570000}"/>
    <cellStyle name="Euro 55 9" xfId="37777" xr:uid="{00000000-0005-0000-0000-000059570000}"/>
    <cellStyle name="Euro 56" xfId="1223" xr:uid="{00000000-0005-0000-0000-00005A570000}"/>
    <cellStyle name="Euro 56 2" xfId="3168" xr:uid="{00000000-0005-0000-0000-00005B570000}"/>
    <cellStyle name="Euro 56 2 2" xfId="5317" xr:uid="{00000000-0005-0000-0000-00005C570000}"/>
    <cellStyle name="Euro 56 2 3" xfId="38332" xr:uid="{00000000-0005-0000-0000-00005D570000}"/>
    <cellStyle name="Euro 56 3" xfId="3169" xr:uid="{00000000-0005-0000-0000-00005E570000}"/>
    <cellStyle name="Euro 56 3 2" xfId="5318" xr:uid="{00000000-0005-0000-0000-00005F570000}"/>
    <cellStyle name="Euro 56 3 3" xfId="38333" xr:uid="{00000000-0005-0000-0000-000060570000}"/>
    <cellStyle name="Euro 56 4" xfId="3170" xr:uid="{00000000-0005-0000-0000-000061570000}"/>
    <cellStyle name="Euro 56 4 2" xfId="5319" xr:uid="{00000000-0005-0000-0000-000062570000}"/>
    <cellStyle name="Euro 56 4 3" xfId="38334" xr:uid="{00000000-0005-0000-0000-000063570000}"/>
    <cellStyle name="Euro 56 5" xfId="3171" xr:uid="{00000000-0005-0000-0000-000064570000}"/>
    <cellStyle name="Euro 56 5 2" xfId="5320" xr:uid="{00000000-0005-0000-0000-000065570000}"/>
    <cellStyle name="Euro 56 5 3" xfId="38335" xr:uid="{00000000-0005-0000-0000-000066570000}"/>
    <cellStyle name="Euro 56 6" xfId="3172" xr:uid="{00000000-0005-0000-0000-000067570000}"/>
    <cellStyle name="Euro 56 6 2" xfId="5321" xr:uid="{00000000-0005-0000-0000-000068570000}"/>
    <cellStyle name="Euro 56 6 3" xfId="38336" xr:uid="{00000000-0005-0000-0000-000069570000}"/>
    <cellStyle name="Euro 56 7" xfId="3167" xr:uid="{00000000-0005-0000-0000-00006A570000}"/>
    <cellStyle name="Euro 56 8" xfId="4720" xr:uid="{00000000-0005-0000-0000-00006B570000}"/>
    <cellStyle name="Euro 56 9" xfId="37778" xr:uid="{00000000-0005-0000-0000-00006C570000}"/>
    <cellStyle name="Euro 57" xfId="1224" xr:uid="{00000000-0005-0000-0000-00006D570000}"/>
    <cellStyle name="Euro 57 2" xfId="3174" xr:uid="{00000000-0005-0000-0000-00006E570000}"/>
    <cellStyle name="Euro 57 2 2" xfId="5322" xr:uid="{00000000-0005-0000-0000-00006F570000}"/>
    <cellStyle name="Euro 57 2 3" xfId="38337" xr:uid="{00000000-0005-0000-0000-000070570000}"/>
    <cellStyle name="Euro 57 3" xfId="3175" xr:uid="{00000000-0005-0000-0000-000071570000}"/>
    <cellStyle name="Euro 57 3 2" xfId="5323" xr:uid="{00000000-0005-0000-0000-000072570000}"/>
    <cellStyle name="Euro 57 3 3" xfId="38338" xr:uid="{00000000-0005-0000-0000-000073570000}"/>
    <cellStyle name="Euro 57 4" xfId="3176" xr:uid="{00000000-0005-0000-0000-000074570000}"/>
    <cellStyle name="Euro 57 4 2" xfId="5324" xr:uid="{00000000-0005-0000-0000-000075570000}"/>
    <cellStyle name="Euro 57 4 3" xfId="38339" xr:uid="{00000000-0005-0000-0000-000076570000}"/>
    <cellStyle name="Euro 57 5" xfId="3177" xr:uid="{00000000-0005-0000-0000-000077570000}"/>
    <cellStyle name="Euro 57 5 2" xfId="5325" xr:uid="{00000000-0005-0000-0000-000078570000}"/>
    <cellStyle name="Euro 57 5 3" xfId="38340" xr:uid="{00000000-0005-0000-0000-000079570000}"/>
    <cellStyle name="Euro 57 6" xfId="3178" xr:uid="{00000000-0005-0000-0000-00007A570000}"/>
    <cellStyle name="Euro 57 6 2" xfId="5326" xr:uid="{00000000-0005-0000-0000-00007B570000}"/>
    <cellStyle name="Euro 57 6 3" xfId="38341" xr:uid="{00000000-0005-0000-0000-00007C570000}"/>
    <cellStyle name="Euro 57 7" xfId="3173" xr:uid="{00000000-0005-0000-0000-00007D570000}"/>
    <cellStyle name="Euro 57 8" xfId="4721" xr:uid="{00000000-0005-0000-0000-00007E570000}"/>
    <cellStyle name="Euro 57 9" xfId="37779" xr:uid="{00000000-0005-0000-0000-00007F570000}"/>
    <cellStyle name="Euro 58" xfId="1225" xr:uid="{00000000-0005-0000-0000-000080570000}"/>
    <cellStyle name="Euro 58 2" xfId="3180" xr:uid="{00000000-0005-0000-0000-000081570000}"/>
    <cellStyle name="Euro 58 2 2" xfId="5327" xr:uid="{00000000-0005-0000-0000-000082570000}"/>
    <cellStyle name="Euro 58 2 3" xfId="38342" xr:uid="{00000000-0005-0000-0000-000083570000}"/>
    <cellStyle name="Euro 58 3" xfId="3181" xr:uid="{00000000-0005-0000-0000-000084570000}"/>
    <cellStyle name="Euro 58 3 2" xfId="5328" xr:uid="{00000000-0005-0000-0000-000085570000}"/>
    <cellStyle name="Euro 58 3 3" xfId="38343" xr:uid="{00000000-0005-0000-0000-000086570000}"/>
    <cellStyle name="Euro 58 4" xfId="3182" xr:uid="{00000000-0005-0000-0000-000087570000}"/>
    <cellStyle name="Euro 58 4 2" xfId="5329" xr:uid="{00000000-0005-0000-0000-000088570000}"/>
    <cellStyle name="Euro 58 4 3" xfId="38344" xr:uid="{00000000-0005-0000-0000-000089570000}"/>
    <cellStyle name="Euro 58 5" xfId="3183" xr:uid="{00000000-0005-0000-0000-00008A570000}"/>
    <cellStyle name="Euro 58 5 2" xfId="5330" xr:uid="{00000000-0005-0000-0000-00008B570000}"/>
    <cellStyle name="Euro 58 5 3" xfId="38345" xr:uid="{00000000-0005-0000-0000-00008C570000}"/>
    <cellStyle name="Euro 58 6" xfId="3184" xr:uid="{00000000-0005-0000-0000-00008D570000}"/>
    <cellStyle name="Euro 58 6 2" xfId="5331" xr:uid="{00000000-0005-0000-0000-00008E570000}"/>
    <cellStyle name="Euro 58 6 3" xfId="38346" xr:uid="{00000000-0005-0000-0000-00008F570000}"/>
    <cellStyle name="Euro 58 7" xfId="3179" xr:uid="{00000000-0005-0000-0000-000090570000}"/>
    <cellStyle name="Euro 58 8" xfId="4722" xr:uid="{00000000-0005-0000-0000-000091570000}"/>
    <cellStyle name="Euro 58 9" xfId="37780" xr:uid="{00000000-0005-0000-0000-000092570000}"/>
    <cellStyle name="Euro 59" xfId="1226" xr:uid="{00000000-0005-0000-0000-000093570000}"/>
    <cellStyle name="Euro 59 2" xfId="3186" xr:uid="{00000000-0005-0000-0000-000094570000}"/>
    <cellStyle name="Euro 59 2 2" xfId="5332" xr:uid="{00000000-0005-0000-0000-000095570000}"/>
    <cellStyle name="Euro 59 2 3" xfId="38347" xr:uid="{00000000-0005-0000-0000-000096570000}"/>
    <cellStyle name="Euro 59 3" xfId="3187" xr:uid="{00000000-0005-0000-0000-000097570000}"/>
    <cellStyle name="Euro 59 3 2" xfId="5333" xr:uid="{00000000-0005-0000-0000-000098570000}"/>
    <cellStyle name="Euro 59 3 3" xfId="38348" xr:uid="{00000000-0005-0000-0000-000099570000}"/>
    <cellStyle name="Euro 59 4" xfId="3188" xr:uid="{00000000-0005-0000-0000-00009A570000}"/>
    <cellStyle name="Euro 59 4 2" xfId="5334" xr:uid="{00000000-0005-0000-0000-00009B570000}"/>
    <cellStyle name="Euro 59 4 2 2" xfId="15926" xr:uid="{00000000-0005-0000-0000-00009C570000}"/>
    <cellStyle name="Euro 59 4 3" xfId="15925" xr:uid="{00000000-0005-0000-0000-00009D570000}"/>
    <cellStyle name="Euro 59 4 3 2" xfId="38349" xr:uid="{00000000-0005-0000-0000-00009E570000}"/>
    <cellStyle name="Euro 59 5" xfId="3189" xr:uid="{00000000-0005-0000-0000-00009F570000}"/>
    <cellStyle name="Euro 59 5 2" xfId="5335" xr:uid="{00000000-0005-0000-0000-0000A0570000}"/>
    <cellStyle name="Euro 59 5 2 2" xfId="15928" xr:uid="{00000000-0005-0000-0000-0000A1570000}"/>
    <cellStyle name="Euro 59 5 3" xfId="15927" xr:uid="{00000000-0005-0000-0000-0000A2570000}"/>
    <cellStyle name="Euro 59 5 3 2" xfId="38350" xr:uid="{00000000-0005-0000-0000-0000A3570000}"/>
    <cellStyle name="Euro 59 6" xfId="3190" xr:uid="{00000000-0005-0000-0000-0000A4570000}"/>
    <cellStyle name="Euro 59 6 2" xfId="5336" xr:uid="{00000000-0005-0000-0000-0000A5570000}"/>
    <cellStyle name="Euro 59 6 2 2" xfId="15930" xr:uid="{00000000-0005-0000-0000-0000A6570000}"/>
    <cellStyle name="Euro 59 6 3" xfId="15929" xr:uid="{00000000-0005-0000-0000-0000A7570000}"/>
    <cellStyle name="Euro 59 6 3 2" xfId="38351" xr:uid="{00000000-0005-0000-0000-0000A8570000}"/>
    <cellStyle name="Euro 59 7" xfId="3185" xr:uid="{00000000-0005-0000-0000-0000A9570000}"/>
    <cellStyle name="Euro 59 7 2" xfId="15931" xr:uid="{00000000-0005-0000-0000-0000AA570000}"/>
    <cellStyle name="Euro 59 8" xfId="4723" xr:uid="{00000000-0005-0000-0000-0000AB570000}"/>
    <cellStyle name="Euro 59 9" xfId="37781" xr:uid="{00000000-0005-0000-0000-0000AC570000}"/>
    <cellStyle name="Euro 6" xfId="1227" xr:uid="{00000000-0005-0000-0000-0000AD570000}"/>
    <cellStyle name="Euro 6 2" xfId="1228" xr:uid="{00000000-0005-0000-0000-0000AE570000}"/>
    <cellStyle name="Euro 6 2 2" xfId="3193" xr:uid="{00000000-0005-0000-0000-0000AF570000}"/>
    <cellStyle name="Euro 6 2 2 2" xfId="5337" xr:uid="{00000000-0005-0000-0000-0000B0570000}"/>
    <cellStyle name="Euro 6 2 2 2 2" xfId="15935" xr:uid="{00000000-0005-0000-0000-0000B1570000}"/>
    <cellStyle name="Euro 6 2 2 3" xfId="8129" xr:uid="{00000000-0005-0000-0000-0000B2570000}"/>
    <cellStyle name="Euro 6 2 2 3 2" xfId="15936" xr:uid="{00000000-0005-0000-0000-0000B3570000}"/>
    <cellStyle name="Euro 6 2 2 3 3" xfId="38352" xr:uid="{00000000-0005-0000-0000-0000B4570000}"/>
    <cellStyle name="Euro 6 2 2 4" xfId="15934" xr:uid="{00000000-0005-0000-0000-0000B5570000}"/>
    <cellStyle name="Euro 6 2 3" xfId="3194" xr:uid="{00000000-0005-0000-0000-0000B6570000}"/>
    <cellStyle name="Euro 6 2 3 2" xfId="5338" xr:uid="{00000000-0005-0000-0000-0000B7570000}"/>
    <cellStyle name="Euro 6 2 3 2 2" xfId="15938" xr:uid="{00000000-0005-0000-0000-0000B8570000}"/>
    <cellStyle name="Euro 6 2 3 3" xfId="15937" xr:uid="{00000000-0005-0000-0000-0000B9570000}"/>
    <cellStyle name="Euro 6 2 3 3 2" xfId="38353" xr:uid="{00000000-0005-0000-0000-0000BA570000}"/>
    <cellStyle name="Euro 6 2 4" xfId="3195" xr:uid="{00000000-0005-0000-0000-0000BB570000}"/>
    <cellStyle name="Euro 6 2 4 2" xfId="5339" xr:uid="{00000000-0005-0000-0000-0000BC570000}"/>
    <cellStyle name="Euro 6 2 4 2 2" xfId="36124" xr:uid="{00000000-0005-0000-0000-0000BD570000}"/>
    <cellStyle name="Euro 6 2 4 2 3" xfId="15939" xr:uid="{00000000-0005-0000-0000-0000BE570000}"/>
    <cellStyle name="Euro 6 2 4 3" xfId="38354" xr:uid="{00000000-0005-0000-0000-0000BF570000}"/>
    <cellStyle name="Euro 6 2 5" xfId="3192" xr:uid="{00000000-0005-0000-0000-0000C0570000}"/>
    <cellStyle name="Euro 6 2 5 2" xfId="35421" xr:uid="{00000000-0005-0000-0000-0000C1570000}"/>
    <cellStyle name="Euro 6 2 5 3" xfId="15933" xr:uid="{00000000-0005-0000-0000-0000C2570000}"/>
    <cellStyle name="Euro 6 2 6" xfId="4725" xr:uid="{00000000-0005-0000-0000-0000C3570000}"/>
    <cellStyle name="Euro 6 2 7" xfId="37783" xr:uid="{00000000-0005-0000-0000-0000C4570000}"/>
    <cellStyle name="Euro 6 3" xfId="1229" xr:uid="{00000000-0005-0000-0000-0000C5570000}"/>
    <cellStyle name="Euro 6 3 2" xfId="3196" xr:uid="{00000000-0005-0000-0000-0000C6570000}"/>
    <cellStyle name="Euro 6 3 2 2" xfId="15941" xr:uid="{00000000-0005-0000-0000-0000C7570000}"/>
    <cellStyle name="Euro 6 3 3" xfId="4726" xr:uid="{00000000-0005-0000-0000-0000C8570000}"/>
    <cellStyle name="Euro 6 3 3 2" xfId="35723" xr:uid="{00000000-0005-0000-0000-0000C9570000}"/>
    <cellStyle name="Euro 6 3 3 3" xfId="15940" xr:uid="{00000000-0005-0000-0000-0000CA570000}"/>
    <cellStyle name="Euro 6 3 4" xfId="37784" xr:uid="{00000000-0005-0000-0000-0000CB570000}"/>
    <cellStyle name="Euro 6 4" xfId="1230" xr:uid="{00000000-0005-0000-0000-0000CC570000}"/>
    <cellStyle name="Euro 6 4 2" xfId="3197" xr:uid="{00000000-0005-0000-0000-0000CD570000}"/>
    <cellStyle name="Euro 6 4 2 2" xfId="15943" xr:uid="{00000000-0005-0000-0000-0000CE570000}"/>
    <cellStyle name="Euro 6 4 3" xfId="4727" xr:uid="{00000000-0005-0000-0000-0000CF570000}"/>
    <cellStyle name="Euro 6 4 3 2" xfId="35724" xr:uid="{00000000-0005-0000-0000-0000D0570000}"/>
    <cellStyle name="Euro 6 4 3 3" xfId="15942" xr:uid="{00000000-0005-0000-0000-0000D1570000}"/>
    <cellStyle name="Euro 6 4 4" xfId="37785" xr:uid="{00000000-0005-0000-0000-0000D2570000}"/>
    <cellStyle name="Euro 6 5" xfId="3198" xr:uid="{00000000-0005-0000-0000-0000D3570000}"/>
    <cellStyle name="Euro 6 5 2" xfId="5340" xr:uid="{00000000-0005-0000-0000-0000D4570000}"/>
    <cellStyle name="Euro 6 5 2 2" xfId="15945" xr:uid="{00000000-0005-0000-0000-0000D5570000}"/>
    <cellStyle name="Euro 6 5 3" xfId="8130" xr:uid="{00000000-0005-0000-0000-0000D6570000}"/>
    <cellStyle name="Euro 6 5 3 2" xfId="15946" xr:uid="{00000000-0005-0000-0000-0000D7570000}"/>
    <cellStyle name="Euro 6 5 3 3" xfId="38355" xr:uid="{00000000-0005-0000-0000-0000D8570000}"/>
    <cellStyle name="Euro 6 5 4" xfId="15944" xr:uid="{00000000-0005-0000-0000-0000D9570000}"/>
    <cellStyle name="Euro 6 6" xfId="3191" xr:uid="{00000000-0005-0000-0000-0000DA570000}"/>
    <cellStyle name="Euro 6 6 2" xfId="15947" xr:uid="{00000000-0005-0000-0000-0000DB570000}"/>
    <cellStyle name="Euro 6 7" xfId="4724" xr:uid="{00000000-0005-0000-0000-0000DC570000}"/>
    <cellStyle name="Euro 6 7 2" xfId="35722" xr:uid="{00000000-0005-0000-0000-0000DD570000}"/>
    <cellStyle name="Euro 6 7 3" xfId="15932" xr:uid="{00000000-0005-0000-0000-0000DE570000}"/>
    <cellStyle name="Euro 6 8" xfId="37782" xr:uid="{00000000-0005-0000-0000-0000DF570000}"/>
    <cellStyle name="Euro 60" xfId="1231" xr:uid="{00000000-0005-0000-0000-0000E0570000}"/>
    <cellStyle name="Euro 60 2" xfId="3200" xr:uid="{00000000-0005-0000-0000-0000E1570000}"/>
    <cellStyle name="Euro 60 2 2" xfId="5341" xr:uid="{00000000-0005-0000-0000-0000E2570000}"/>
    <cellStyle name="Euro 60 2 2 2" xfId="15950" xr:uid="{00000000-0005-0000-0000-0000E3570000}"/>
    <cellStyle name="Euro 60 2 3" xfId="15949" xr:uid="{00000000-0005-0000-0000-0000E4570000}"/>
    <cellStyle name="Euro 60 2 3 2" xfId="38356" xr:uid="{00000000-0005-0000-0000-0000E5570000}"/>
    <cellStyle name="Euro 60 3" xfId="3201" xr:uid="{00000000-0005-0000-0000-0000E6570000}"/>
    <cellStyle name="Euro 60 3 2" xfId="5342" xr:uid="{00000000-0005-0000-0000-0000E7570000}"/>
    <cellStyle name="Euro 60 3 2 2" xfId="15952" xr:uid="{00000000-0005-0000-0000-0000E8570000}"/>
    <cellStyle name="Euro 60 3 3" xfId="15951" xr:uid="{00000000-0005-0000-0000-0000E9570000}"/>
    <cellStyle name="Euro 60 3 3 2" xfId="38357" xr:uid="{00000000-0005-0000-0000-0000EA570000}"/>
    <cellStyle name="Euro 60 4" xfId="3202" xr:uid="{00000000-0005-0000-0000-0000EB570000}"/>
    <cellStyle name="Euro 60 4 2" xfId="5343" xr:uid="{00000000-0005-0000-0000-0000EC570000}"/>
    <cellStyle name="Euro 60 4 2 2" xfId="15954" xr:uid="{00000000-0005-0000-0000-0000ED570000}"/>
    <cellStyle name="Euro 60 4 3" xfId="15953" xr:uid="{00000000-0005-0000-0000-0000EE570000}"/>
    <cellStyle name="Euro 60 4 3 2" xfId="38358" xr:uid="{00000000-0005-0000-0000-0000EF570000}"/>
    <cellStyle name="Euro 60 5" xfId="3203" xr:uid="{00000000-0005-0000-0000-0000F0570000}"/>
    <cellStyle name="Euro 60 5 2" xfId="5344" xr:uid="{00000000-0005-0000-0000-0000F1570000}"/>
    <cellStyle name="Euro 60 5 2 2" xfId="15956" xr:uid="{00000000-0005-0000-0000-0000F2570000}"/>
    <cellStyle name="Euro 60 5 3" xfId="15955" xr:uid="{00000000-0005-0000-0000-0000F3570000}"/>
    <cellStyle name="Euro 60 5 3 2" xfId="38359" xr:uid="{00000000-0005-0000-0000-0000F4570000}"/>
    <cellStyle name="Euro 60 6" xfId="3204" xr:uid="{00000000-0005-0000-0000-0000F5570000}"/>
    <cellStyle name="Euro 60 6 2" xfId="5345" xr:uid="{00000000-0005-0000-0000-0000F6570000}"/>
    <cellStyle name="Euro 60 6 2 2" xfId="15958" xr:uid="{00000000-0005-0000-0000-0000F7570000}"/>
    <cellStyle name="Euro 60 6 3" xfId="15957" xr:uid="{00000000-0005-0000-0000-0000F8570000}"/>
    <cellStyle name="Euro 60 6 3 2" xfId="38360" xr:uid="{00000000-0005-0000-0000-0000F9570000}"/>
    <cellStyle name="Euro 60 7" xfId="3199" xr:uid="{00000000-0005-0000-0000-0000FA570000}"/>
    <cellStyle name="Euro 60 7 2" xfId="15959" xr:uid="{00000000-0005-0000-0000-0000FB570000}"/>
    <cellStyle name="Euro 60 8" xfId="4728" xr:uid="{00000000-0005-0000-0000-0000FC570000}"/>
    <cellStyle name="Euro 60 8 2" xfId="35725" xr:uid="{00000000-0005-0000-0000-0000FD570000}"/>
    <cellStyle name="Euro 60 8 3" xfId="15948" xr:uid="{00000000-0005-0000-0000-0000FE570000}"/>
    <cellStyle name="Euro 60 9" xfId="37786" xr:uid="{00000000-0005-0000-0000-0000FF570000}"/>
    <cellStyle name="Euro 61" xfId="1232" xr:uid="{00000000-0005-0000-0000-000000580000}"/>
    <cellStyle name="Euro 61 2" xfId="3206" xr:uid="{00000000-0005-0000-0000-000001580000}"/>
    <cellStyle name="Euro 61 2 2" xfId="5346" xr:uid="{00000000-0005-0000-0000-000002580000}"/>
    <cellStyle name="Euro 61 2 2 2" xfId="15963" xr:uid="{00000000-0005-0000-0000-000003580000}"/>
    <cellStyle name="Euro 61 2 2 3" xfId="15964" xr:uid="{00000000-0005-0000-0000-000004580000}"/>
    <cellStyle name="Euro 61 2 2 4" xfId="15962" xr:uid="{00000000-0005-0000-0000-000005580000}"/>
    <cellStyle name="Euro 61 2 3" xfId="15961" xr:uid="{00000000-0005-0000-0000-000006580000}"/>
    <cellStyle name="Euro 61 2 3 2" xfId="38361" xr:uid="{00000000-0005-0000-0000-000007580000}"/>
    <cellStyle name="Euro 61 3" xfId="3207" xr:uid="{00000000-0005-0000-0000-000008580000}"/>
    <cellStyle name="Euro 61 3 2" xfId="5347" xr:uid="{00000000-0005-0000-0000-000009580000}"/>
    <cellStyle name="Euro 61 3 2 2" xfId="15967" xr:uid="{00000000-0005-0000-0000-00000A580000}"/>
    <cellStyle name="Euro 61 3 2 3" xfId="15968" xr:uid="{00000000-0005-0000-0000-00000B580000}"/>
    <cellStyle name="Euro 61 3 2 4" xfId="15966" xr:uid="{00000000-0005-0000-0000-00000C580000}"/>
    <cellStyle name="Euro 61 3 3" xfId="15969" xr:uid="{00000000-0005-0000-0000-00000D580000}"/>
    <cellStyle name="Euro 61 3 3 2" xfId="38362" xr:uid="{00000000-0005-0000-0000-00000E580000}"/>
    <cellStyle name="Euro 61 3 4" xfId="15970" xr:uid="{00000000-0005-0000-0000-00000F580000}"/>
    <cellStyle name="Euro 61 3 5" xfId="15965" xr:uid="{00000000-0005-0000-0000-000010580000}"/>
    <cellStyle name="Euro 61 4" xfId="3208" xr:uid="{00000000-0005-0000-0000-000011580000}"/>
    <cellStyle name="Euro 61 4 2" xfId="5348" xr:uid="{00000000-0005-0000-0000-000012580000}"/>
    <cellStyle name="Euro 61 4 2 2" xfId="15973" xr:uid="{00000000-0005-0000-0000-000013580000}"/>
    <cellStyle name="Euro 61 4 2 3" xfId="15974" xr:uid="{00000000-0005-0000-0000-000014580000}"/>
    <cellStyle name="Euro 61 4 2 4" xfId="15972" xr:uid="{00000000-0005-0000-0000-000015580000}"/>
    <cellStyle name="Euro 61 4 3" xfId="15975" xr:uid="{00000000-0005-0000-0000-000016580000}"/>
    <cellStyle name="Euro 61 4 3 2" xfId="38363" xr:uid="{00000000-0005-0000-0000-000017580000}"/>
    <cellStyle name="Euro 61 4 4" xfId="15976" xr:uid="{00000000-0005-0000-0000-000018580000}"/>
    <cellStyle name="Euro 61 4 5" xfId="15971" xr:uid="{00000000-0005-0000-0000-000019580000}"/>
    <cellStyle name="Euro 61 5" xfId="3209" xr:uid="{00000000-0005-0000-0000-00001A580000}"/>
    <cellStyle name="Euro 61 5 2" xfId="5349" xr:uid="{00000000-0005-0000-0000-00001B580000}"/>
    <cellStyle name="Euro 61 5 2 2" xfId="15979" xr:uid="{00000000-0005-0000-0000-00001C580000}"/>
    <cellStyle name="Euro 61 5 2 3" xfId="15980" xr:uid="{00000000-0005-0000-0000-00001D580000}"/>
    <cellStyle name="Euro 61 5 2 4" xfId="15981" xr:uid="{00000000-0005-0000-0000-00001E580000}"/>
    <cellStyle name="Euro 61 5 2 5" xfId="15978" xr:uid="{00000000-0005-0000-0000-00001F580000}"/>
    <cellStyle name="Euro 61 5 3" xfId="15982" xr:uid="{00000000-0005-0000-0000-000020580000}"/>
    <cellStyle name="Euro 61 5 3 2" xfId="38364" xr:uid="{00000000-0005-0000-0000-000021580000}"/>
    <cellStyle name="Euro 61 5 4" xfId="15983" xr:uid="{00000000-0005-0000-0000-000022580000}"/>
    <cellStyle name="Euro 61 5 5" xfId="15984" xr:uid="{00000000-0005-0000-0000-000023580000}"/>
    <cellStyle name="Euro 61 5 6" xfId="15977" xr:uid="{00000000-0005-0000-0000-000024580000}"/>
    <cellStyle name="Euro 61 6" xfId="3210" xr:uid="{00000000-0005-0000-0000-000025580000}"/>
    <cellStyle name="Euro 61 6 2" xfId="5350" xr:uid="{00000000-0005-0000-0000-000026580000}"/>
    <cellStyle name="Euro 61 6 2 2" xfId="15987" xr:uid="{00000000-0005-0000-0000-000027580000}"/>
    <cellStyle name="Euro 61 6 2 3" xfId="15988" xr:uid="{00000000-0005-0000-0000-000028580000}"/>
    <cellStyle name="Euro 61 6 2 4" xfId="15989" xr:uid="{00000000-0005-0000-0000-000029580000}"/>
    <cellStyle name="Euro 61 6 2 5" xfId="15986" xr:uid="{00000000-0005-0000-0000-00002A580000}"/>
    <cellStyle name="Euro 61 6 3" xfId="15990" xr:uid="{00000000-0005-0000-0000-00002B580000}"/>
    <cellStyle name="Euro 61 6 3 2" xfId="38365" xr:uid="{00000000-0005-0000-0000-00002C580000}"/>
    <cellStyle name="Euro 61 6 4" xfId="15991" xr:uid="{00000000-0005-0000-0000-00002D580000}"/>
    <cellStyle name="Euro 61 6 5" xfId="15992" xr:uid="{00000000-0005-0000-0000-00002E580000}"/>
    <cellStyle name="Euro 61 6 6" xfId="15985" xr:uid="{00000000-0005-0000-0000-00002F580000}"/>
    <cellStyle name="Euro 61 7" xfId="3205" xr:uid="{00000000-0005-0000-0000-000030580000}"/>
    <cellStyle name="Euro 61 7 2" xfId="15994" xr:uid="{00000000-0005-0000-0000-000031580000}"/>
    <cellStyle name="Euro 61 7 3" xfId="15995" xr:uid="{00000000-0005-0000-0000-000032580000}"/>
    <cellStyle name="Euro 61 7 4" xfId="15996" xr:uid="{00000000-0005-0000-0000-000033580000}"/>
    <cellStyle name="Euro 61 7 5" xfId="15993" xr:uid="{00000000-0005-0000-0000-000034580000}"/>
    <cellStyle name="Euro 61 8" xfId="4729" xr:uid="{00000000-0005-0000-0000-000035580000}"/>
    <cellStyle name="Euro 61 8 2" xfId="35726" xr:uid="{00000000-0005-0000-0000-000036580000}"/>
    <cellStyle name="Euro 61 8 3" xfId="15960" xr:uid="{00000000-0005-0000-0000-000037580000}"/>
    <cellStyle name="Euro 61 9" xfId="37787" xr:uid="{00000000-0005-0000-0000-000038580000}"/>
    <cellStyle name="Euro 62" xfId="1233" xr:uid="{00000000-0005-0000-0000-000039580000}"/>
    <cellStyle name="Euro 62 10" xfId="15998" xr:uid="{00000000-0005-0000-0000-00003A580000}"/>
    <cellStyle name="Euro 62 11" xfId="15997" xr:uid="{00000000-0005-0000-0000-00003B580000}"/>
    <cellStyle name="Euro 62 2" xfId="3212" xr:uid="{00000000-0005-0000-0000-00003C580000}"/>
    <cellStyle name="Euro 62 2 2" xfId="5351" xr:uid="{00000000-0005-0000-0000-00003D580000}"/>
    <cellStyle name="Euro 62 2 2 2" xfId="16001" xr:uid="{00000000-0005-0000-0000-00003E580000}"/>
    <cellStyle name="Euro 62 2 2 3" xfId="16002" xr:uid="{00000000-0005-0000-0000-00003F580000}"/>
    <cellStyle name="Euro 62 2 2 4" xfId="16003" xr:uid="{00000000-0005-0000-0000-000040580000}"/>
    <cellStyle name="Euro 62 2 2 5" xfId="16000" xr:uid="{00000000-0005-0000-0000-000041580000}"/>
    <cellStyle name="Euro 62 2 3" xfId="16004" xr:uid="{00000000-0005-0000-0000-000042580000}"/>
    <cellStyle name="Euro 62 2 3 2" xfId="38366" xr:uid="{00000000-0005-0000-0000-000043580000}"/>
    <cellStyle name="Euro 62 2 4" xfId="16005" xr:uid="{00000000-0005-0000-0000-000044580000}"/>
    <cellStyle name="Euro 62 2 5" xfId="16006" xr:uid="{00000000-0005-0000-0000-000045580000}"/>
    <cellStyle name="Euro 62 2 6" xfId="15999" xr:uid="{00000000-0005-0000-0000-000046580000}"/>
    <cellStyle name="Euro 62 3" xfId="3213" xr:uid="{00000000-0005-0000-0000-000047580000}"/>
    <cellStyle name="Euro 62 3 2" xfId="5352" xr:uid="{00000000-0005-0000-0000-000048580000}"/>
    <cellStyle name="Euro 62 3 2 2" xfId="16009" xr:uid="{00000000-0005-0000-0000-000049580000}"/>
    <cellStyle name="Euro 62 3 2 3" xfId="16010" xr:uid="{00000000-0005-0000-0000-00004A580000}"/>
    <cellStyle name="Euro 62 3 2 4" xfId="16011" xr:uid="{00000000-0005-0000-0000-00004B580000}"/>
    <cellStyle name="Euro 62 3 2 5" xfId="16008" xr:uid="{00000000-0005-0000-0000-00004C580000}"/>
    <cellStyle name="Euro 62 3 3" xfId="16012" xr:uid="{00000000-0005-0000-0000-00004D580000}"/>
    <cellStyle name="Euro 62 3 3 2" xfId="38367" xr:uid="{00000000-0005-0000-0000-00004E580000}"/>
    <cellStyle name="Euro 62 3 4" xfId="16013" xr:uid="{00000000-0005-0000-0000-00004F580000}"/>
    <cellStyle name="Euro 62 3 5" xfId="16014" xr:uid="{00000000-0005-0000-0000-000050580000}"/>
    <cellStyle name="Euro 62 3 6" xfId="16007" xr:uid="{00000000-0005-0000-0000-000051580000}"/>
    <cellStyle name="Euro 62 4" xfId="3214" xr:uid="{00000000-0005-0000-0000-000052580000}"/>
    <cellStyle name="Euro 62 4 2" xfId="5353" xr:uid="{00000000-0005-0000-0000-000053580000}"/>
    <cellStyle name="Euro 62 4 2 2" xfId="16017" xr:uid="{00000000-0005-0000-0000-000054580000}"/>
    <cellStyle name="Euro 62 4 2 3" xfId="16018" xr:uid="{00000000-0005-0000-0000-000055580000}"/>
    <cellStyle name="Euro 62 4 2 4" xfId="16019" xr:uid="{00000000-0005-0000-0000-000056580000}"/>
    <cellStyle name="Euro 62 4 2 5" xfId="16016" xr:uid="{00000000-0005-0000-0000-000057580000}"/>
    <cellStyle name="Euro 62 4 3" xfId="16020" xr:uid="{00000000-0005-0000-0000-000058580000}"/>
    <cellStyle name="Euro 62 4 3 2" xfId="38368" xr:uid="{00000000-0005-0000-0000-000059580000}"/>
    <cellStyle name="Euro 62 4 4" xfId="16021" xr:uid="{00000000-0005-0000-0000-00005A580000}"/>
    <cellStyle name="Euro 62 4 5" xfId="16022" xr:uid="{00000000-0005-0000-0000-00005B580000}"/>
    <cellStyle name="Euro 62 4 6" xfId="16015" xr:uid="{00000000-0005-0000-0000-00005C580000}"/>
    <cellStyle name="Euro 62 5" xfId="3215" xr:uid="{00000000-0005-0000-0000-00005D580000}"/>
    <cellStyle name="Euro 62 5 2" xfId="5354" xr:uid="{00000000-0005-0000-0000-00005E580000}"/>
    <cellStyle name="Euro 62 5 2 2" xfId="16025" xr:uid="{00000000-0005-0000-0000-00005F580000}"/>
    <cellStyle name="Euro 62 5 2 3" xfId="16026" xr:uid="{00000000-0005-0000-0000-000060580000}"/>
    <cellStyle name="Euro 62 5 2 4" xfId="16027" xr:uid="{00000000-0005-0000-0000-000061580000}"/>
    <cellStyle name="Euro 62 5 2 5" xfId="16024" xr:uid="{00000000-0005-0000-0000-000062580000}"/>
    <cellStyle name="Euro 62 5 3" xfId="16028" xr:uid="{00000000-0005-0000-0000-000063580000}"/>
    <cellStyle name="Euro 62 5 3 2" xfId="38369" xr:uid="{00000000-0005-0000-0000-000064580000}"/>
    <cellStyle name="Euro 62 5 4" xfId="16029" xr:uid="{00000000-0005-0000-0000-000065580000}"/>
    <cellStyle name="Euro 62 5 5" xfId="16030" xr:uid="{00000000-0005-0000-0000-000066580000}"/>
    <cellStyle name="Euro 62 5 6" xfId="16023" xr:uid="{00000000-0005-0000-0000-000067580000}"/>
    <cellStyle name="Euro 62 6" xfId="3216" xr:uid="{00000000-0005-0000-0000-000068580000}"/>
    <cellStyle name="Euro 62 6 2" xfId="5355" xr:uid="{00000000-0005-0000-0000-000069580000}"/>
    <cellStyle name="Euro 62 6 2 2" xfId="16033" xr:uid="{00000000-0005-0000-0000-00006A580000}"/>
    <cellStyle name="Euro 62 6 2 3" xfId="16034" xr:uid="{00000000-0005-0000-0000-00006B580000}"/>
    <cellStyle name="Euro 62 6 2 4" xfId="16035" xr:uid="{00000000-0005-0000-0000-00006C580000}"/>
    <cellStyle name="Euro 62 6 2 5" xfId="16032" xr:uid="{00000000-0005-0000-0000-00006D580000}"/>
    <cellStyle name="Euro 62 6 3" xfId="16036" xr:uid="{00000000-0005-0000-0000-00006E580000}"/>
    <cellStyle name="Euro 62 6 3 2" xfId="38370" xr:uid="{00000000-0005-0000-0000-00006F580000}"/>
    <cellStyle name="Euro 62 6 4" xfId="16037" xr:uid="{00000000-0005-0000-0000-000070580000}"/>
    <cellStyle name="Euro 62 6 5" xfId="16038" xr:uid="{00000000-0005-0000-0000-000071580000}"/>
    <cellStyle name="Euro 62 6 6" xfId="16031" xr:uid="{00000000-0005-0000-0000-000072580000}"/>
    <cellStyle name="Euro 62 7" xfId="3211" xr:uid="{00000000-0005-0000-0000-000073580000}"/>
    <cellStyle name="Euro 62 7 2" xfId="16040" xr:uid="{00000000-0005-0000-0000-000074580000}"/>
    <cellStyle name="Euro 62 7 3" xfId="16041" xr:uid="{00000000-0005-0000-0000-000075580000}"/>
    <cellStyle name="Euro 62 7 4" xfId="16042" xr:uid="{00000000-0005-0000-0000-000076580000}"/>
    <cellStyle name="Euro 62 7 5" xfId="16039" xr:uid="{00000000-0005-0000-0000-000077580000}"/>
    <cellStyle name="Euro 62 8" xfId="4730" xr:uid="{00000000-0005-0000-0000-000078580000}"/>
    <cellStyle name="Euro 62 8 2" xfId="35727" xr:uid="{00000000-0005-0000-0000-000079580000}"/>
    <cellStyle name="Euro 62 8 3" xfId="16043" xr:uid="{00000000-0005-0000-0000-00007A580000}"/>
    <cellStyle name="Euro 62 9" xfId="16044" xr:uid="{00000000-0005-0000-0000-00007B580000}"/>
    <cellStyle name="Euro 62 9 2" xfId="37788" xr:uid="{00000000-0005-0000-0000-00007C580000}"/>
    <cellStyle name="Euro 63" xfId="1234" xr:uid="{00000000-0005-0000-0000-00007D580000}"/>
    <cellStyle name="Euro 63 10" xfId="16046" xr:uid="{00000000-0005-0000-0000-00007E580000}"/>
    <cellStyle name="Euro 63 11" xfId="16045" xr:uid="{00000000-0005-0000-0000-00007F580000}"/>
    <cellStyle name="Euro 63 2" xfId="3218" xr:uid="{00000000-0005-0000-0000-000080580000}"/>
    <cellStyle name="Euro 63 2 2" xfId="5356" xr:uid="{00000000-0005-0000-0000-000081580000}"/>
    <cellStyle name="Euro 63 2 2 2" xfId="16049" xr:uid="{00000000-0005-0000-0000-000082580000}"/>
    <cellStyle name="Euro 63 2 2 3" xfId="16050" xr:uid="{00000000-0005-0000-0000-000083580000}"/>
    <cellStyle name="Euro 63 2 2 4" xfId="16051" xr:uid="{00000000-0005-0000-0000-000084580000}"/>
    <cellStyle name="Euro 63 2 2 5" xfId="16048" xr:uid="{00000000-0005-0000-0000-000085580000}"/>
    <cellStyle name="Euro 63 2 3" xfId="16052" xr:uid="{00000000-0005-0000-0000-000086580000}"/>
    <cellStyle name="Euro 63 2 3 2" xfId="38371" xr:uid="{00000000-0005-0000-0000-000087580000}"/>
    <cellStyle name="Euro 63 2 4" xfId="16053" xr:uid="{00000000-0005-0000-0000-000088580000}"/>
    <cellStyle name="Euro 63 2 5" xfId="16054" xr:uid="{00000000-0005-0000-0000-000089580000}"/>
    <cellStyle name="Euro 63 2 6" xfId="16047" xr:uid="{00000000-0005-0000-0000-00008A580000}"/>
    <cellStyle name="Euro 63 3" xfId="3219" xr:uid="{00000000-0005-0000-0000-00008B580000}"/>
    <cellStyle name="Euro 63 3 2" xfId="5357" xr:uid="{00000000-0005-0000-0000-00008C580000}"/>
    <cellStyle name="Euro 63 3 2 2" xfId="16057" xr:uid="{00000000-0005-0000-0000-00008D580000}"/>
    <cellStyle name="Euro 63 3 2 3" xfId="16058" xr:uid="{00000000-0005-0000-0000-00008E580000}"/>
    <cellStyle name="Euro 63 3 2 4" xfId="16059" xr:uid="{00000000-0005-0000-0000-00008F580000}"/>
    <cellStyle name="Euro 63 3 2 5" xfId="16056" xr:uid="{00000000-0005-0000-0000-000090580000}"/>
    <cellStyle name="Euro 63 3 3" xfId="16060" xr:uid="{00000000-0005-0000-0000-000091580000}"/>
    <cellStyle name="Euro 63 3 3 2" xfId="38372" xr:uid="{00000000-0005-0000-0000-000092580000}"/>
    <cellStyle name="Euro 63 3 4" xfId="16061" xr:uid="{00000000-0005-0000-0000-000093580000}"/>
    <cellStyle name="Euro 63 3 5" xfId="16062" xr:uid="{00000000-0005-0000-0000-000094580000}"/>
    <cellStyle name="Euro 63 3 6" xfId="16055" xr:uid="{00000000-0005-0000-0000-000095580000}"/>
    <cellStyle name="Euro 63 4" xfId="3220" xr:uid="{00000000-0005-0000-0000-000096580000}"/>
    <cellStyle name="Euro 63 4 2" xfId="5358" xr:uid="{00000000-0005-0000-0000-000097580000}"/>
    <cellStyle name="Euro 63 4 2 2" xfId="16065" xr:uid="{00000000-0005-0000-0000-000098580000}"/>
    <cellStyle name="Euro 63 4 2 3" xfId="16066" xr:uid="{00000000-0005-0000-0000-000099580000}"/>
    <cellStyle name="Euro 63 4 2 4" xfId="16067" xr:uid="{00000000-0005-0000-0000-00009A580000}"/>
    <cellStyle name="Euro 63 4 2 5" xfId="16064" xr:uid="{00000000-0005-0000-0000-00009B580000}"/>
    <cellStyle name="Euro 63 4 3" xfId="16068" xr:uid="{00000000-0005-0000-0000-00009C580000}"/>
    <cellStyle name="Euro 63 4 3 2" xfId="38373" xr:uid="{00000000-0005-0000-0000-00009D580000}"/>
    <cellStyle name="Euro 63 4 4" xfId="16069" xr:uid="{00000000-0005-0000-0000-00009E580000}"/>
    <cellStyle name="Euro 63 4 5" xfId="16070" xr:uid="{00000000-0005-0000-0000-00009F580000}"/>
    <cellStyle name="Euro 63 4 6" xfId="16063" xr:uid="{00000000-0005-0000-0000-0000A0580000}"/>
    <cellStyle name="Euro 63 5" xfId="3221" xr:uid="{00000000-0005-0000-0000-0000A1580000}"/>
    <cellStyle name="Euro 63 5 2" xfId="5359" xr:uid="{00000000-0005-0000-0000-0000A2580000}"/>
    <cellStyle name="Euro 63 5 2 2" xfId="16073" xr:uid="{00000000-0005-0000-0000-0000A3580000}"/>
    <cellStyle name="Euro 63 5 2 3" xfId="16074" xr:uid="{00000000-0005-0000-0000-0000A4580000}"/>
    <cellStyle name="Euro 63 5 2 4" xfId="16075" xr:uid="{00000000-0005-0000-0000-0000A5580000}"/>
    <cellStyle name="Euro 63 5 2 5" xfId="16076" xr:uid="{00000000-0005-0000-0000-0000A6580000}"/>
    <cellStyle name="Euro 63 5 2 6" xfId="16072" xr:uid="{00000000-0005-0000-0000-0000A7580000}"/>
    <cellStyle name="Euro 63 5 3" xfId="16077" xr:uid="{00000000-0005-0000-0000-0000A8580000}"/>
    <cellStyle name="Euro 63 5 3 2" xfId="38374" xr:uid="{00000000-0005-0000-0000-0000A9580000}"/>
    <cellStyle name="Euro 63 5 4" xfId="16078" xr:uid="{00000000-0005-0000-0000-0000AA580000}"/>
    <cellStyle name="Euro 63 5 5" xfId="16079" xr:uid="{00000000-0005-0000-0000-0000AB580000}"/>
    <cellStyle name="Euro 63 5 6" xfId="16071" xr:uid="{00000000-0005-0000-0000-0000AC580000}"/>
    <cellStyle name="Euro 63 6" xfId="3222" xr:uid="{00000000-0005-0000-0000-0000AD580000}"/>
    <cellStyle name="Euro 63 6 2" xfId="5360" xr:uid="{00000000-0005-0000-0000-0000AE580000}"/>
    <cellStyle name="Euro 63 6 2 2" xfId="16082" xr:uid="{00000000-0005-0000-0000-0000AF580000}"/>
    <cellStyle name="Euro 63 6 2 3" xfId="16083" xr:uid="{00000000-0005-0000-0000-0000B0580000}"/>
    <cellStyle name="Euro 63 6 2 4" xfId="16084" xr:uid="{00000000-0005-0000-0000-0000B1580000}"/>
    <cellStyle name="Euro 63 6 2 5" xfId="16085" xr:uid="{00000000-0005-0000-0000-0000B2580000}"/>
    <cellStyle name="Euro 63 6 2 6" xfId="16081" xr:uid="{00000000-0005-0000-0000-0000B3580000}"/>
    <cellStyle name="Euro 63 6 3" xfId="16086" xr:uid="{00000000-0005-0000-0000-0000B4580000}"/>
    <cellStyle name="Euro 63 6 3 2" xfId="38375" xr:uid="{00000000-0005-0000-0000-0000B5580000}"/>
    <cellStyle name="Euro 63 6 4" xfId="16087" xr:uid="{00000000-0005-0000-0000-0000B6580000}"/>
    <cellStyle name="Euro 63 6 5" xfId="16088" xr:uid="{00000000-0005-0000-0000-0000B7580000}"/>
    <cellStyle name="Euro 63 6 6" xfId="16089" xr:uid="{00000000-0005-0000-0000-0000B8580000}"/>
    <cellStyle name="Euro 63 6 7" xfId="16080" xr:uid="{00000000-0005-0000-0000-0000B9580000}"/>
    <cellStyle name="Euro 63 7" xfId="3217" xr:uid="{00000000-0005-0000-0000-0000BA580000}"/>
    <cellStyle name="Euro 63 7 2" xfId="16091" xr:uid="{00000000-0005-0000-0000-0000BB580000}"/>
    <cellStyle name="Euro 63 7 3" xfId="16092" xr:uid="{00000000-0005-0000-0000-0000BC580000}"/>
    <cellStyle name="Euro 63 7 4" xfId="16093" xr:uid="{00000000-0005-0000-0000-0000BD580000}"/>
    <cellStyle name="Euro 63 7 5" xfId="16094" xr:uid="{00000000-0005-0000-0000-0000BE580000}"/>
    <cellStyle name="Euro 63 7 6" xfId="16090" xr:uid="{00000000-0005-0000-0000-0000BF580000}"/>
    <cellStyle name="Euro 63 8" xfId="4731" xr:uid="{00000000-0005-0000-0000-0000C0580000}"/>
    <cellStyle name="Euro 63 8 2" xfId="35728" xr:uid="{00000000-0005-0000-0000-0000C1580000}"/>
    <cellStyle name="Euro 63 8 3" xfId="16095" xr:uid="{00000000-0005-0000-0000-0000C2580000}"/>
    <cellStyle name="Euro 63 9" xfId="16096" xr:uid="{00000000-0005-0000-0000-0000C3580000}"/>
    <cellStyle name="Euro 63 9 2" xfId="37789" xr:uid="{00000000-0005-0000-0000-0000C4580000}"/>
    <cellStyle name="Euro 64" xfId="1235" xr:uid="{00000000-0005-0000-0000-0000C5580000}"/>
    <cellStyle name="Euro 64 10" xfId="16098" xr:uid="{00000000-0005-0000-0000-0000C6580000}"/>
    <cellStyle name="Euro 64 11" xfId="16099" xr:uid="{00000000-0005-0000-0000-0000C7580000}"/>
    <cellStyle name="Euro 64 12" xfId="16100" xr:uid="{00000000-0005-0000-0000-0000C8580000}"/>
    <cellStyle name="Euro 64 13" xfId="16097" xr:uid="{00000000-0005-0000-0000-0000C9580000}"/>
    <cellStyle name="Euro 64 2" xfId="3224" xr:uid="{00000000-0005-0000-0000-0000CA580000}"/>
    <cellStyle name="Euro 64 2 2" xfId="5361" xr:uid="{00000000-0005-0000-0000-0000CB580000}"/>
    <cellStyle name="Euro 64 2 2 2" xfId="16103" xr:uid="{00000000-0005-0000-0000-0000CC580000}"/>
    <cellStyle name="Euro 64 2 2 3" xfId="16104" xr:uid="{00000000-0005-0000-0000-0000CD580000}"/>
    <cellStyle name="Euro 64 2 2 4" xfId="16105" xr:uid="{00000000-0005-0000-0000-0000CE580000}"/>
    <cellStyle name="Euro 64 2 2 5" xfId="16106" xr:uid="{00000000-0005-0000-0000-0000CF580000}"/>
    <cellStyle name="Euro 64 2 2 6" xfId="16102" xr:uid="{00000000-0005-0000-0000-0000D0580000}"/>
    <cellStyle name="Euro 64 2 3" xfId="16107" xr:uid="{00000000-0005-0000-0000-0000D1580000}"/>
    <cellStyle name="Euro 64 2 3 2" xfId="38376" xr:uid="{00000000-0005-0000-0000-0000D2580000}"/>
    <cellStyle name="Euro 64 2 4" xfId="16108" xr:uid="{00000000-0005-0000-0000-0000D3580000}"/>
    <cellStyle name="Euro 64 2 5" xfId="16109" xr:uid="{00000000-0005-0000-0000-0000D4580000}"/>
    <cellStyle name="Euro 64 2 6" xfId="16110" xr:uid="{00000000-0005-0000-0000-0000D5580000}"/>
    <cellStyle name="Euro 64 2 7" xfId="16101" xr:uid="{00000000-0005-0000-0000-0000D6580000}"/>
    <cellStyle name="Euro 64 3" xfId="3225" xr:uid="{00000000-0005-0000-0000-0000D7580000}"/>
    <cellStyle name="Euro 64 3 2" xfId="5362" xr:uid="{00000000-0005-0000-0000-0000D8580000}"/>
    <cellStyle name="Euro 64 3 2 2" xfId="16113" xr:uid="{00000000-0005-0000-0000-0000D9580000}"/>
    <cellStyle name="Euro 64 3 2 3" xfId="16114" xr:uid="{00000000-0005-0000-0000-0000DA580000}"/>
    <cellStyle name="Euro 64 3 2 4" xfId="16115" xr:uid="{00000000-0005-0000-0000-0000DB580000}"/>
    <cellStyle name="Euro 64 3 2 5" xfId="16116" xr:uid="{00000000-0005-0000-0000-0000DC580000}"/>
    <cellStyle name="Euro 64 3 2 6" xfId="16112" xr:uid="{00000000-0005-0000-0000-0000DD580000}"/>
    <cellStyle name="Euro 64 3 3" xfId="16117" xr:uid="{00000000-0005-0000-0000-0000DE580000}"/>
    <cellStyle name="Euro 64 3 3 2" xfId="38377" xr:uid="{00000000-0005-0000-0000-0000DF580000}"/>
    <cellStyle name="Euro 64 3 4" xfId="16118" xr:uid="{00000000-0005-0000-0000-0000E0580000}"/>
    <cellStyle name="Euro 64 3 5" xfId="16119" xr:uid="{00000000-0005-0000-0000-0000E1580000}"/>
    <cellStyle name="Euro 64 3 6" xfId="16120" xr:uid="{00000000-0005-0000-0000-0000E2580000}"/>
    <cellStyle name="Euro 64 3 7" xfId="16111" xr:uid="{00000000-0005-0000-0000-0000E3580000}"/>
    <cellStyle name="Euro 64 4" xfId="3226" xr:uid="{00000000-0005-0000-0000-0000E4580000}"/>
    <cellStyle name="Euro 64 4 2" xfId="5363" xr:uid="{00000000-0005-0000-0000-0000E5580000}"/>
    <cellStyle name="Euro 64 4 2 2" xfId="16123" xr:uid="{00000000-0005-0000-0000-0000E6580000}"/>
    <cellStyle name="Euro 64 4 2 3" xfId="16124" xr:uid="{00000000-0005-0000-0000-0000E7580000}"/>
    <cellStyle name="Euro 64 4 2 4" xfId="16125" xr:uid="{00000000-0005-0000-0000-0000E8580000}"/>
    <cellStyle name="Euro 64 4 2 5" xfId="16126" xr:uid="{00000000-0005-0000-0000-0000E9580000}"/>
    <cellStyle name="Euro 64 4 2 6" xfId="16122" xr:uid="{00000000-0005-0000-0000-0000EA580000}"/>
    <cellStyle name="Euro 64 4 3" xfId="16127" xr:uid="{00000000-0005-0000-0000-0000EB580000}"/>
    <cellStyle name="Euro 64 4 3 2" xfId="38378" xr:uid="{00000000-0005-0000-0000-0000EC580000}"/>
    <cellStyle name="Euro 64 4 4" xfId="16128" xr:uid="{00000000-0005-0000-0000-0000ED580000}"/>
    <cellStyle name="Euro 64 4 5" xfId="16129" xr:uid="{00000000-0005-0000-0000-0000EE580000}"/>
    <cellStyle name="Euro 64 4 6" xfId="16130" xr:uid="{00000000-0005-0000-0000-0000EF580000}"/>
    <cellStyle name="Euro 64 4 7" xfId="16121" xr:uid="{00000000-0005-0000-0000-0000F0580000}"/>
    <cellStyle name="Euro 64 5" xfId="3227" xr:uid="{00000000-0005-0000-0000-0000F1580000}"/>
    <cellStyle name="Euro 64 5 2" xfId="5364" xr:uid="{00000000-0005-0000-0000-0000F2580000}"/>
    <cellStyle name="Euro 64 5 2 2" xfId="16133" xr:uid="{00000000-0005-0000-0000-0000F3580000}"/>
    <cellStyle name="Euro 64 5 2 3" xfId="16134" xr:uid="{00000000-0005-0000-0000-0000F4580000}"/>
    <cellStyle name="Euro 64 5 2 4" xfId="16135" xr:uid="{00000000-0005-0000-0000-0000F5580000}"/>
    <cellStyle name="Euro 64 5 2 5" xfId="16136" xr:uid="{00000000-0005-0000-0000-0000F6580000}"/>
    <cellStyle name="Euro 64 5 2 6" xfId="16132" xr:uid="{00000000-0005-0000-0000-0000F7580000}"/>
    <cellStyle name="Euro 64 5 3" xfId="16137" xr:uid="{00000000-0005-0000-0000-0000F8580000}"/>
    <cellStyle name="Euro 64 5 3 2" xfId="38379" xr:uid="{00000000-0005-0000-0000-0000F9580000}"/>
    <cellStyle name="Euro 64 5 4" xfId="16138" xr:uid="{00000000-0005-0000-0000-0000FA580000}"/>
    <cellStyle name="Euro 64 5 5" xfId="16139" xr:uid="{00000000-0005-0000-0000-0000FB580000}"/>
    <cellStyle name="Euro 64 5 6" xfId="16140" xr:uid="{00000000-0005-0000-0000-0000FC580000}"/>
    <cellStyle name="Euro 64 5 7" xfId="16131" xr:uid="{00000000-0005-0000-0000-0000FD580000}"/>
    <cellStyle name="Euro 64 6" xfId="3228" xr:uid="{00000000-0005-0000-0000-0000FE580000}"/>
    <cellStyle name="Euro 64 6 2" xfId="5365" xr:uid="{00000000-0005-0000-0000-0000FF580000}"/>
    <cellStyle name="Euro 64 6 2 2" xfId="16143" xr:uid="{00000000-0005-0000-0000-000000590000}"/>
    <cellStyle name="Euro 64 6 2 3" xfId="16144" xr:uid="{00000000-0005-0000-0000-000001590000}"/>
    <cellStyle name="Euro 64 6 2 4" xfId="16145" xr:uid="{00000000-0005-0000-0000-000002590000}"/>
    <cellStyle name="Euro 64 6 2 5" xfId="16146" xr:uid="{00000000-0005-0000-0000-000003590000}"/>
    <cellStyle name="Euro 64 6 2 6" xfId="16142" xr:uid="{00000000-0005-0000-0000-000004590000}"/>
    <cellStyle name="Euro 64 6 3" xfId="16147" xr:uid="{00000000-0005-0000-0000-000005590000}"/>
    <cellStyle name="Euro 64 6 3 2" xfId="38380" xr:uid="{00000000-0005-0000-0000-000006590000}"/>
    <cellStyle name="Euro 64 6 4" xfId="16148" xr:uid="{00000000-0005-0000-0000-000007590000}"/>
    <cellStyle name="Euro 64 6 5" xfId="16149" xr:uid="{00000000-0005-0000-0000-000008590000}"/>
    <cellStyle name="Euro 64 6 6" xfId="16150" xr:uid="{00000000-0005-0000-0000-000009590000}"/>
    <cellStyle name="Euro 64 6 7" xfId="16141" xr:uid="{00000000-0005-0000-0000-00000A590000}"/>
    <cellStyle name="Euro 64 7" xfId="3223" xr:uid="{00000000-0005-0000-0000-00000B590000}"/>
    <cellStyle name="Euro 64 7 2" xfId="16152" xr:uid="{00000000-0005-0000-0000-00000C590000}"/>
    <cellStyle name="Euro 64 7 3" xfId="16153" xr:uid="{00000000-0005-0000-0000-00000D590000}"/>
    <cellStyle name="Euro 64 7 4" xfId="16154" xr:uid="{00000000-0005-0000-0000-00000E590000}"/>
    <cellStyle name="Euro 64 7 5" xfId="16155" xr:uid="{00000000-0005-0000-0000-00000F590000}"/>
    <cellStyle name="Euro 64 7 6" xfId="16151" xr:uid="{00000000-0005-0000-0000-000010590000}"/>
    <cellStyle name="Euro 64 8" xfId="4732" xr:uid="{00000000-0005-0000-0000-000011590000}"/>
    <cellStyle name="Euro 64 8 2" xfId="35729" xr:uid="{00000000-0005-0000-0000-000012590000}"/>
    <cellStyle name="Euro 64 8 3" xfId="16156" xr:uid="{00000000-0005-0000-0000-000013590000}"/>
    <cellStyle name="Euro 64 9" xfId="16157" xr:uid="{00000000-0005-0000-0000-000014590000}"/>
    <cellStyle name="Euro 64 9 2" xfId="37790" xr:uid="{00000000-0005-0000-0000-000015590000}"/>
    <cellStyle name="Euro 65" xfId="1236" xr:uid="{00000000-0005-0000-0000-000016590000}"/>
    <cellStyle name="Euro 65 2" xfId="3229" xr:uid="{00000000-0005-0000-0000-000017590000}"/>
    <cellStyle name="Euro 65 2 2" xfId="16160" xr:uid="{00000000-0005-0000-0000-000018590000}"/>
    <cellStyle name="Euro 65 2 3" xfId="16161" xr:uid="{00000000-0005-0000-0000-000019590000}"/>
    <cellStyle name="Euro 65 2 4" xfId="16162" xr:uid="{00000000-0005-0000-0000-00001A590000}"/>
    <cellStyle name="Euro 65 2 5" xfId="16163" xr:uid="{00000000-0005-0000-0000-00001B590000}"/>
    <cellStyle name="Euro 65 2 6" xfId="16159" xr:uid="{00000000-0005-0000-0000-00001C590000}"/>
    <cellStyle name="Euro 65 3" xfId="4733" xr:uid="{00000000-0005-0000-0000-00001D590000}"/>
    <cellStyle name="Euro 65 3 2" xfId="35730" xr:uid="{00000000-0005-0000-0000-00001E590000}"/>
    <cellStyle name="Euro 65 3 3" xfId="16164" xr:uid="{00000000-0005-0000-0000-00001F590000}"/>
    <cellStyle name="Euro 65 4" xfId="16165" xr:uid="{00000000-0005-0000-0000-000020590000}"/>
    <cellStyle name="Euro 65 4 2" xfId="37791" xr:uid="{00000000-0005-0000-0000-000021590000}"/>
    <cellStyle name="Euro 65 5" xfId="16166" xr:uid="{00000000-0005-0000-0000-000022590000}"/>
    <cellStyle name="Euro 65 6" xfId="16167" xr:uid="{00000000-0005-0000-0000-000023590000}"/>
    <cellStyle name="Euro 65 7" xfId="16168" xr:uid="{00000000-0005-0000-0000-000024590000}"/>
    <cellStyle name="Euro 65 8" xfId="16158" xr:uid="{00000000-0005-0000-0000-000025590000}"/>
    <cellStyle name="Euro 66" xfId="1237" xr:uid="{00000000-0005-0000-0000-000026590000}"/>
    <cellStyle name="Euro 66 2" xfId="3230" xr:uid="{00000000-0005-0000-0000-000027590000}"/>
    <cellStyle name="Euro 66 2 2" xfId="16171" xr:uid="{00000000-0005-0000-0000-000028590000}"/>
    <cellStyle name="Euro 66 2 3" xfId="16172" xr:uid="{00000000-0005-0000-0000-000029590000}"/>
    <cellStyle name="Euro 66 2 4" xfId="16173" xr:uid="{00000000-0005-0000-0000-00002A590000}"/>
    <cellStyle name="Euro 66 2 5" xfId="16174" xr:uid="{00000000-0005-0000-0000-00002B590000}"/>
    <cellStyle name="Euro 66 2 6" xfId="16170" xr:uid="{00000000-0005-0000-0000-00002C590000}"/>
    <cellStyle name="Euro 66 3" xfId="4734" xr:uid="{00000000-0005-0000-0000-00002D590000}"/>
    <cellStyle name="Euro 66 3 2" xfId="35731" xr:uid="{00000000-0005-0000-0000-00002E590000}"/>
    <cellStyle name="Euro 66 3 3" xfId="16175" xr:uid="{00000000-0005-0000-0000-00002F590000}"/>
    <cellStyle name="Euro 66 4" xfId="16176" xr:uid="{00000000-0005-0000-0000-000030590000}"/>
    <cellStyle name="Euro 66 4 2" xfId="37792" xr:uid="{00000000-0005-0000-0000-000031590000}"/>
    <cellStyle name="Euro 66 5" xfId="16177" xr:uid="{00000000-0005-0000-0000-000032590000}"/>
    <cellStyle name="Euro 66 6" xfId="16178" xr:uid="{00000000-0005-0000-0000-000033590000}"/>
    <cellStyle name="Euro 66 7" xfId="16179" xr:uid="{00000000-0005-0000-0000-000034590000}"/>
    <cellStyle name="Euro 66 8" xfId="16169" xr:uid="{00000000-0005-0000-0000-000035590000}"/>
    <cellStyle name="Euro 67" xfId="1238" xr:uid="{00000000-0005-0000-0000-000036590000}"/>
    <cellStyle name="Euro 67 2" xfId="3231" xr:uid="{00000000-0005-0000-0000-000037590000}"/>
    <cellStyle name="Euro 67 2 2" xfId="16182" xr:uid="{00000000-0005-0000-0000-000038590000}"/>
    <cellStyle name="Euro 67 2 3" xfId="16183" xr:uid="{00000000-0005-0000-0000-000039590000}"/>
    <cellStyle name="Euro 67 2 4" xfId="16184" xr:uid="{00000000-0005-0000-0000-00003A590000}"/>
    <cellStyle name="Euro 67 2 5" xfId="16185" xr:uid="{00000000-0005-0000-0000-00003B590000}"/>
    <cellStyle name="Euro 67 2 6" xfId="16181" xr:uid="{00000000-0005-0000-0000-00003C590000}"/>
    <cellStyle name="Euro 67 3" xfId="4735" xr:uid="{00000000-0005-0000-0000-00003D590000}"/>
    <cellStyle name="Euro 67 3 2" xfId="35732" xr:uid="{00000000-0005-0000-0000-00003E590000}"/>
    <cellStyle name="Euro 67 3 3" xfId="16186" xr:uid="{00000000-0005-0000-0000-00003F590000}"/>
    <cellStyle name="Euro 67 4" xfId="16187" xr:uid="{00000000-0005-0000-0000-000040590000}"/>
    <cellStyle name="Euro 67 4 2" xfId="37793" xr:uid="{00000000-0005-0000-0000-000041590000}"/>
    <cellStyle name="Euro 67 5" xfId="16188" xr:uid="{00000000-0005-0000-0000-000042590000}"/>
    <cellStyle name="Euro 67 6" xfId="16189" xr:uid="{00000000-0005-0000-0000-000043590000}"/>
    <cellStyle name="Euro 67 7" xfId="16190" xr:uid="{00000000-0005-0000-0000-000044590000}"/>
    <cellStyle name="Euro 67 8" xfId="16180" xr:uid="{00000000-0005-0000-0000-000045590000}"/>
    <cellStyle name="Euro 68" xfId="1239" xr:uid="{00000000-0005-0000-0000-000046590000}"/>
    <cellStyle name="Euro 68 2" xfId="3232" xr:uid="{00000000-0005-0000-0000-000047590000}"/>
    <cellStyle name="Euro 68 2 2" xfId="16193" xr:uid="{00000000-0005-0000-0000-000048590000}"/>
    <cellStyle name="Euro 68 2 3" xfId="16194" xr:uid="{00000000-0005-0000-0000-000049590000}"/>
    <cellStyle name="Euro 68 2 4" xfId="16195" xr:uid="{00000000-0005-0000-0000-00004A590000}"/>
    <cellStyle name="Euro 68 2 5" xfId="16196" xr:uid="{00000000-0005-0000-0000-00004B590000}"/>
    <cellStyle name="Euro 68 2 6" xfId="16192" xr:uid="{00000000-0005-0000-0000-00004C590000}"/>
    <cellStyle name="Euro 68 3" xfId="4736" xr:uid="{00000000-0005-0000-0000-00004D590000}"/>
    <cellStyle name="Euro 68 3 2" xfId="35733" xr:uid="{00000000-0005-0000-0000-00004E590000}"/>
    <cellStyle name="Euro 68 3 3" xfId="16197" xr:uid="{00000000-0005-0000-0000-00004F590000}"/>
    <cellStyle name="Euro 68 4" xfId="16198" xr:uid="{00000000-0005-0000-0000-000050590000}"/>
    <cellStyle name="Euro 68 4 2" xfId="37794" xr:uid="{00000000-0005-0000-0000-000051590000}"/>
    <cellStyle name="Euro 68 5" xfId="16199" xr:uid="{00000000-0005-0000-0000-000052590000}"/>
    <cellStyle name="Euro 68 6" xfId="16200" xr:uid="{00000000-0005-0000-0000-000053590000}"/>
    <cellStyle name="Euro 68 7" xfId="16201" xr:uid="{00000000-0005-0000-0000-000054590000}"/>
    <cellStyle name="Euro 68 8" xfId="16191" xr:uid="{00000000-0005-0000-0000-000055590000}"/>
    <cellStyle name="Euro 69" xfId="1240" xr:uid="{00000000-0005-0000-0000-000056590000}"/>
    <cellStyle name="Euro 69 10" xfId="16202" xr:uid="{00000000-0005-0000-0000-000057590000}"/>
    <cellStyle name="Euro 69 2" xfId="1241" xr:uid="{00000000-0005-0000-0000-000058590000}"/>
    <cellStyle name="Euro 69 2 2" xfId="3234" xr:uid="{00000000-0005-0000-0000-000059590000}"/>
    <cellStyle name="Euro 69 2 2 2" xfId="35422" xr:uid="{00000000-0005-0000-0000-00005A590000}"/>
    <cellStyle name="Euro 69 2 2 3" xfId="16204" xr:uid="{00000000-0005-0000-0000-00005B590000}"/>
    <cellStyle name="Euro 69 2 3" xfId="4738" xr:uid="{00000000-0005-0000-0000-00005C590000}"/>
    <cellStyle name="Euro 69 2 3 2" xfId="35735" xr:uid="{00000000-0005-0000-0000-00005D590000}"/>
    <cellStyle name="Euro 69 2 3 3" xfId="16205" xr:uid="{00000000-0005-0000-0000-00005E590000}"/>
    <cellStyle name="Euro 69 2 4" xfId="16206" xr:uid="{00000000-0005-0000-0000-00005F590000}"/>
    <cellStyle name="Euro 69 2 4 2" xfId="37796" xr:uid="{00000000-0005-0000-0000-000060590000}"/>
    <cellStyle name="Euro 69 2 5" xfId="16207" xr:uid="{00000000-0005-0000-0000-000061590000}"/>
    <cellStyle name="Euro 69 2 6" xfId="16208" xr:uid="{00000000-0005-0000-0000-000062590000}"/>
    <cellStyle name="Euro 69 2 7" xfId="16203" xr:uid="{00000000-0005-0000-0000-000063590000}"/>
    <cellStyle name="Euro 69 3" xfId="1242" xr:uid="{00000000-0005-0000-0000-000064590000}"/>
    <cellStyle name="Euro 69 3 10" xfId="16209" xr:uid="{00000000-0005-0000-0000-000065590000}"/>
    <cellStyle name="Euro 69 3 2" xfId="3235" xr:uid="{00000000-0005-0000-0000-000066590000}"/>
    <cellStyle name="Euro 69 3 2 2" xfId="16211" xr:uid="{00000000-0005-0000-0000-000067590000}"/>
    <cellStyle name="Euro 69 3 2 3" xfId="16212" xr:uid="{00000000-0005-0000-0000-000068590000}"/>
    <cellStyle name="Euro 69 3 2 4" xfId="16213" xr:uid="{00000000-0005-0000-0000-000069590000}"/>
    <cellStyle name="Euro 69 3 2 5" xfId="16214" xr:uid="{00000000-0005-0000-0000-00006A590000}"/>
    <cellStyle name="Euro 69 3 2 6" xfId="16210" xr:uid="{00000000-0005-0000-0000-00006B590000}"/>
    <cellStyle name="Euro 69 3 3" xfId="4739" xr:uid="{00000000-0005-0000-0000-00006C590000}"/>
    <cellStyle name="Euro 69 3 3 2" xfId="35736" xr:uid="{00000000-0005-0000-0000-00006D590000}"/>
    <cellStyle name="Euro 69 3 3 3" xfId="16215" xr:uid="{00000000-0005-0000-0000-00006E590000}"/>
    <cellStyle name="Euro 69 3 4" xfId="16216" xr:uid="{00000000-0005-0000-0000-00006F590000}"/>
    <cellStyle name="Euro 69 3 4 2" xfId="37797" xr:uid="{00000000-0005-0000-0000-000070590000}"/>
    <cellStyle name="Euro 69 3 5" xfId="16217" xr:uid="{00000000-0005-0000-0000-000071590000}"/>
    <cellStyle name="Euro 69 3 6" xfId="16218" xr:uid="{00000000-0005-0000-0000-000072590000}"/>
    <cellStyle name="Euro 69 3 7" xfId="16219" xr:uid="{00000000-0005-0000-0000-000073590000}"/>
    <cellStyle name="Euro 69 3 8" xfId="16220" xr:uid="{00000000-0005-0000-0000-000074590000}"/>
    <cellStyle name="Euro 69 3 9" xfId="16221" xr:uid="{00000000-0005-0000-0000-000075590000}"/>
    <cellStyle name="Euro 69 4" xfId="3233" xr:uid="{00000000-0005-0000-0000-000076590000}"/>
    <cellStyle name="Euro 69 4 2" xfId="16223" xr:uid="{00000000-0005-0000-0000-000077590000}"/>
    <cellStyle name="Euro 69 4 3" xfId="16224" xr:uid="{00000000-0005-0000-0000-000078590000}"/>
    <cellStyle name="Euro 69 4 4" xfId="16225" xr:uid="{00000000-0005-0000-0000-000079590000}"/>
    <cellStyle name="Euro 69 4 5" xfId="16226" xr:uid="{00000000-0005-0000-0000-00007A590000}"/>
    <cellStyle name="Euro 69 4 6" xfId="16222" xr:uid="{00000000-0005-0000-0000-00007B590000}"/>
    <cellStyle name="Euro 69 5" xfId="4737" xr:uid="{00000000-0005-0000-0000-00007C590000}"/>
    <cellStyle name="Euro 69 5 2" xfId="35734" xr:uid="{00000000-0005-0000-0000-00007D590000}"/>
    <cellStyle name="Euro 69 5 3" xfId="16227" xr:uid="{00000000-0005-0000-0000-00007E590000}"/>
    <cellStyle name="Euro 69 6" xfId="16228" xr:uid="{00000000-0005-0000-0000-00007F590000}"/>
    <cellStyle name="Euro 69 6 2" xfId="37795" xr:uid="{00000000-0005-0000-0000-000080590000}"/>
    <cellStyle name="Euro 69 7" xfId="16229" xr:uid="{00000000-0005-0000-0000-000081590000}"/>
    <cellStyle name="Euro 69 8" xfId="16230" xr:uid="{00000000-0005-0000-0000-000082590000}"/>
    <cellStyle name="Euro 69 9" xfId="16231" xr:uid="{00000000-0005-0000-0000-000083590000}"/>
    <cellStyle name="Euro 7" xfId="1243" xr:uid="{00000000-0005-0000-0000-000084590000}"/>
    <cellStyle name="Euro 7 10" xfId="16233" xr:uid="{00000000-0005-0000-0000-000085590000}"/>
    <cellStyle name="Euro 7 11" xfId="16234" xr:uid="{00000000-0005-0000-0000-000086590000}"/>
    <cellStyle name="Euro 7 12" xfId="16232" xr:uid="{00000000-0005-0000-0000-000087590000}"/>
    <cellStyle name="Euro 7 2" xfId="1244" xr:uid="{00000000-0005-0000-0000-000088590000}"/>
    <cellStyle name="Euro 7 2 10" xfId="16235" xr:uid="{00000000-0005-0000-0000-000089590000}"/>
    <cellStyle name="Euro 7 2 2" xfId="3238" xr:uid="{00000000-0005-0000-0000-00008A590000}"/>
    <cellStyle name="Euro 7 2 2 2" xfId="5366" xr:uid="{00000000-0005-0000-0000-00008B590000}"/>
    <cellStyle name="Euro 7 2 2 2 2" xfId="16238" xr:uid="{00000000-0005-0000-0000-00008C590000}"/>
    <cellStyle name="Euro 7 2 2 2 3" xfId="16239" xr:uid="{00000000-0005-0000-0000-00008D590000}"/>
    <cellStyle name="Euro 7 2 2 2 4" xfId="16240" xr:uid="{00000000-0005-0000-0000-00008E590000}"/>
    <cellStyle name="Euro 7 2 2 2 5" xfId="16241" xr:uid="{00000000-0005-0000-0000-00008F590000}"/>
    <cellStyle name="Euro 7 2 2 2 6" xfId="16237" xr:uid="{00000000-0005-0000-0000-000090590000}"/>
    <cellStyle name="Euro 7 2 2 3" xfId="8131" xr:uid="{00000000-0005-0000-0000-000091590000}"/>
    <cellStyle name="Euro 7 2 2 3 2" xfId="16243" xr:uid="{00000000-0005-0000-0000-000092590000}"/>
    <cellStyle name="Euro 7 2 2 3 3" xfId="16244" xr:uid="{00000000-0005-0000-0000-000093590000}"/>
    <cellStyle name="Euro 7 2 2 3 4" xfId="16245" xr:uid="{00000000-0005-0000-0000-000094590000}"/>
    <cellStyle name="Euro 7 2 2 3 5" xfId="16246" xr:uid="{00000000-0005-0000-0000-000095590000}"/>
    <cellStyle name="Euro 7 2 2 3 6" xfId="16242" xr:uid="{00000000-0005-0000-0000-000096590000}"/>
    <cellStyle name="Euro 7 2 2 3 7" xfId="38381" xr:uid="{00000000-0005-0000-0000-000097590000}"/>
    <cellStyle name="Euro 7 2 2 4" xfId="16247" xr:uid="{00000000-0005-0000-0000-000098590000}"/>
    <cellStyle name="Euro 7 2 2 5" xfId="16248" xr:uid="{00000000-0005-0000-0000-000099590000}"/>
    <cellStyle name="Euro 7 2 2 6" xfId="16249" xr:uid="{00000000-0005-0000-0000-00009A590000}"/>
    <cellStyle name="Euro 7 2 2 7" xfId="16250" xr:uid="{00000000-0005-0000-0000-00009B590000}"/>
    <cellStyle name="Euro 7 2 2 8" xfId="16236" xr:uid="{00000000-0005-0000-0000-00009C590000}"/>
    <cellStyle name="Euro 7 2 3" xfId="3239" xr:uid="{00000000-0005-0000-0000-00009D590000}"/>
    <cellStyle name="Euro 7 2 3 2" xfId="5367" xr:uid="{00000000-0005-0000-0000-00009E590000}"/>
    <cellStyle name="Euro 7 2 3 2 2" xfId="16253" xr:uid="{00000000-0005-0000-0000-00009F590000}"/>
    <cellStyle name="Euro 7 2 3 2 3" xfId="16254" xr:uid="{00000000-0005-0000-0000-0000A0590000}"/>
    <cellStyle name="Euro 7 2 3 2 4" xfId="16255" xr:uid="{00000000-0005-0000-0000-0000A1590000}"/>
    <cellStyle name="Euro 7 2 3 2 5" xfId="16256" xr:uid="{00000000-0005-0000-0000-0000A2590000}"/>
    <cellStyle name="Euro 7 2 3 2 6" xfId="16252" xr:uid="{00000000-0005-0000-0000-0000A3590000}"/>
    <cellStyle name="Euro 7 2 3 3" xfId="16257" xr:uid="{00000000-0005-0000-0000-0000A4590000}"/>
    <cellStyle name="Euro 7 2 3 3 2" xfId="38382" xr:uid="{00000000-0005-0000-0000-0000A5590000}"/>
    <cellStyle name="Euro 7 2 3 4" xfId="16258" xr:uid="{00000000-0005-0000-0000-0000A6590000}"/>
    <cellStyle name="Euro 7 2 3 5" xfId="16259" xr:uid="{00000000-0005-0000-0000-0000A7590000}"/>
    <cellStyle name="Euro 7 2 3 6" xfId="16260" xr:uid="{00000000-0005-0000-0000-0000A8590000}"/>
    <cellStyle name="Euro 7 2 3 7" xfId="16251" xr:uid="{00000000-0005-0000-0000-0000A9590000}"/>
    <cellStyle name="Euro 7 2 4" xfId="3240" xr:uid="{00000000-0005-0000-0000-0000AA590000}"/>
    <cellStyle name="Euro 7 2 4 2" xfId="5368" xr:uid="{00000000-0005-0000-0000-0000AB590000}"/>
    <cellStyle name="Euro 7 2 4 2 2" xfId="36125" xr:uid="{00000000-0005-0000-0000-0000AC590000}"/>
    <cellStyle name="Euro 7 2 4 2 3" xfId="16262" xr:uid="{00000000-0005-0000-0000-0000AD590000}"/>
    <cellStyle name="Euro 7 2 4 3" xfId="16263" xr:uid="{00000000-0005-0000-0000-0000AE590000}"/>
    <cellStyle name="Euro 7 2 4 3 2" xfId="38383" xr:uid="{00000000-0005-0000-0000-0000AF590000}"/>
    <cellStyle name="Euro 7 2 4 4" xfId="16264" xr:uid="{00000000-0005-0000-0000-0000B0590000}"/>
    <cellStyle name="Euro 7 2 4 5" xfId="16265" xr:uid="{00000000-0005-0000-0000-0000B1590000}"/>
    <cellStyle name="Euro 7 2 4 6" xfId="16261" xr:uid="{00000000-0005-0000-0000-0000B2590000}"/>
    <cellStyle name="Euro 7 2 5" xfId="3237" xr:uid="{00000000-0005-0000-0000-0000B3590000}"/>
    <cellStyle name="Euro 7 2 5 2" xfId="35423" xr:uid="{00000000-0005-0000-0000-0000B4590000}"/>
    <cellStyle name="Euro 7 2 5 3" xfId="16266" xr:uid="{00000000-0005-0000-0000-0000B5590000}"/>
    <cellStyle name="Euro 7 2 6" xfId="4741" xr:uid="{00000000-0005-0000-0000-0000B6590000}"/>
    <cellStyle name="Euro 7 2 6 2" xfId="35738" xr:uid="{00000000-0005-0000-0000-0000B7590000}"/>
    <cellStyle name="Euro 7 2 6 3" xfId="16267" xr:uid="{00000000-0005-0000-0000-0000B8590000}"/>
    <cellStyle name="Euro 7 2 7" xfId="16268" xr:uid="{00000000-0005-0000-0000-0000B9590000}"/>
    <cellStyle name="Euro 7 2 7 2" xfId="37799" xr:uid="{00000000-0005-0000-0000-0000BA590000}"/>
    <cellStyle name="Euro 7 2 8" xfId="16269" xr:uid="{00000000-0005-0000-0000-0000BB590000}"/>
    <cellStyle name="Euro 7 2 9" xfId="16270" xr:uid="{00000000-0005-0000-0000-0000BC590000}"/>
    <cellStyle name="Euro 7 3" xfId="1245" xr:uid="{00000000-0005-0000-0000-0000BD590000}"/>
    <cellStyle name="Euro 7 3 2" xfId="3241" xr:uid="{00000000-0005-0000-0000-0000BE590000}"/>
    <cellStyle name="Euro 7 3 2 2" xfId="16273" xr:uid="{00000000-0005-0000-0000-0000BF590000}"/>
    <cellStyle name="Euro 7 3 2 3" xfId="16274" xr:uid="{00000000-0005-0000-0000-0000C0590000}"/>
    <cellStyle name="Euro 7 3 2 4" xfId="16275" xr:uid="{00000000-0005-0000-0000-0000C1590000}"/>
    <cellStyle name="Euro 7 3 2 5" xfId="16276" xr:uid="{00000000-0005-0000-0000-0000C2590000}"/>
    <cellStyle name="Euro 7 3 2 6" xfId="16272" xr:uid="{00000000-0005-0000-0000-0000C3590000}"/>
    <cellStyle name="Euro 7 3 3" xfId="4742" xr:uid="{00000000-0005-0000-0000-0000C4590000}"/>
    <cellStyle name="Euro 7 3 3 2" xfId="35739" xr:uid="{00000000-0005-0000-0000-0000C5590000}"/>
    <cellStyle name="Euro 7 3 3 3" xfId="16277" xr:uid="{00000000-0005-0000-0000-0000C6590000}"/>
    <cellStyle name="Euro 7 3 4" xfId="16278" xr:uid="{00000000-0005-0000-0000-0000C7590000}"/>
    <cellStyle name="Euro 7 3 4 2" xfId="37800" xr:uid="{00000000-0005-0000-0000-0000C8590000}"/>
    <cellStyle name="Euro 7 3 5" xfId="16279" xr:uid="{00000000-0005-0000-0000-0000C9590000}"/>
    <cellStyle name="Euro 7 3 6" xfId="16280" xr:uid="{00000000-0005-0000-0000-0000CA590000}"/>
    <cellStyle name="Euro 7 3 7" xfId="16281" xr:uid="{00000000-0005-0000-0000-0000CB590000}"/>
    <cellStyle name="Euro 7 3 8" xfId="16271" xr:uid="{00000000-0005-0000-0000-0000CC590000}"/>
    <cellStyle name="Euro 7 4" xfId="1246" xr:uid="{00000000-0005-0000-0000-0000CD590000}"/>
    <cellStyle name="Euro 7 4 2" xfId="3242" xr:uid="{00000000-0005-0000-0000-0000CE590000}"/>
    <cellStyle name="Euro 7 4 2 2" xfId="16284" xr:uid="{00000000-0005-0000-0000-0000CF590000}"/>
    <cellStyle name="Euro 7 4 2 3" xfId="16285" xr:uid="{00000000-0005-0000-0000-0000D0590000}"/>
    <cellStyle name="Euro 7 4 2 4" xfId="16286" xr:uid="{00000000-0005-0000-0000-0000D1590000}"/>
    <cellStyle name="Euro 7 4 2 5" xfId="16287" xr:uid="{00000000-0005-0000-0000-0000D2590000}"/>
    <cellStyle name="Euro 7 4 2 6" xfId="16283" xr:uid="{00000000-0005-0000-0000-0000D3590000}"/>
    <cellStyle name="Euro 7 4 3" xfId="4743" xr:uid="{00000000-0005-0000-0000-0000D4590000}"/>
    <cellStyle name="Euro 7 4 3 2" xfId="35740" xr:uid="{00000000-0005-0000-0000-0000D5590000}"/>
    <cellStyle name="Euro 7 4 3 3" xfId="16288" xr:uid="{00000000-0005-0000-0000-0000D6590000}"/>
    <cellStyle name="Euro 7 4 4" xfId="16289" xr:uid="{00000000-0005-0000-0000-0000D7590000}"/>
    <cellStyle name="Euro 7 4 4 2" xfId="37801" xr:uid="{00000000-0005-0000-0000-0000D8590000}"/>
    <cellStyle name="Euro 7 4 5" xfId="16290" xr:uid="{00000000-0005-0000-0000-0000D9590000}"/>
    <cellStyle name="Euro 7 4 6" xfId="16291" xr:uid="{00000000-0005-0000-0000-0000DA590000}"/>
    <cellStyle name="Euro 7 4 7" xfId="16292" xr:uid="{00000000-0005-0000-0000-0000DB590000}"/>
    <cellStyle name="Euro 7 4 8" xfId="16282" xr:uid="{00000000-0005-0000-0000-0000DC590000}"/>
    <cellStyle name="Euro 7 5" xfId="3243" xr:uid="{00000000-0005-0000-0000-0000DD590000}"/>
    <cellStyle name="Euro 7 5 2" xfId="5369" xr:uid="{00000000-0005-0000-0000-0000DE590000}"/>
    <cellStyle name="Euro 7 5 2 2" xfId="16295" xr:uid="{00000000-0005-0000-0000-0000DF590000}"/>
    <cellStyle name="Euro 7 5 2 3" xfId="16296" xr:uid="{00000000-0005-0000-0000-0000E0590000}"/>
    <cellStyle name="Euro 7 5 2 4" xfId="16297" xr:uid="{00000000-0005-0000-0000-0000E1590000}"/>
    <cellStyle name="Euro 7 5 2 5" xfId="16298" xr:uid="{00000000-0005-0000-0000-0000E2590000}"/>
    <cellStyle name="Euro 7 5 2 6" xfId="16294" xr:uid="{00000000-0005-0000-0000-0000E3590000}"/>
    <cellStyle name="Euro 7 5 3" xfId="8132" xr:uid="{00000000-0005-0000-0000-0000E4590000}"/>
    <cellStyle name="Euro 7 5 3 2" xfId="16300" xr:uid="{00000000-0005-0000-0000-0000E5590000}"/>
    <cellStyle name="Euro 7 5 3 3" xfId="16301" xr:uid="{00000000-0005-0000-0000-0000E6590000}"/>
    <cellStyle name="Euro 7 5 3 4" xfId="16302" xr:uid="{00000000-0005-0000-0000-0000E7590000}"/>
    <cellStyle name="Euro 7 5 3 5" xfId="16303" xr:uid="{00000000-0005-0000-0000-0000E8590000}"/>
    <cellStyle name="Euro 7 5 3 6" xfId="16299" xr:uid="{00000000-0005-0000-0000-0000E9590000}"/>
    <cellStyle name="Euro 7 5 3 7" xfId="38384" xr:uid="{00000000-0005-0000-0000-0000EA590000}"/>
    <cellStyle name="Euro 7 5 4" xfId="16304" xr:uid="{00000000-0005-0000-0000-0000EB590000}"/>
    <cellStyle name="Euro 7 5 5" xfId="16305" xr:uid="{00000000-0005-0000-0000-0000EC590000}"/>
    <cellStyle name="Euro 7 5 6" xfId="16306" xr:uid="{00000000-0005-0000-0000-0000ED590000}"/>
    <cellStyle name="Euro 7 5 7" xfId="16307" xr:uid="{00000000-0005-0000-0000-0000EE590000}"/>
    <cellStyle name="Euro 7 5 8" xfId="16293" xr:uid="{00000000-0005-0000-0000-0000EF590000}"/>
    <cellStyle name="Euro 7 6" xfId="3236" xr:uid="{00000000-0005-0000-0000-0000F0590000}"/>
    <cellStyle name="Euro 7 6 2" xfId="16309" xr:uid="{00000000-0005-0000-0000-0000F1590000}"/>
    <cellStyle name="Euro 7 6 3" xfId="16310" xr:uid="{00000000-0005-0000-0000-0000F2590000}"/>
    <cellStyle name="Euro 7 6 4" xfId="16311" xr:uid="{00000000-0005-0000-0000-0000F3590000}"/>
    <cellStyle name="Euro 7 6 5" xfId="16312" xr:uid="{00000000-0005-0000-0000-0000F4590000}"/>
    <cellStyle name="Euro 7 6 6" xfId="16308" xr:uid="{00000000-0005-0000-0000-0000F5590000}"/>
    <cellStyle name="Euro 7 7" xfId="4740" xr:uid="{00000000-0005-0000-0000-0000F6590000}"/>
    <cellStyle name="Euro 7 7 2" xfId="35737" xr:uid="{00000000-0005-0000-0000-0000F7590000}"/>
    <cellStyle name="Euro 7 7 3" xfId="16313" xr:uid="{00000000-0005-0000-0000-0000F8590000}"/>
    <cellStyle name="Euro 7 8" xfId="16314" xr:uid="{00000000-0005-0000-0000-0000F9590000}"/>
    <cellStyle name="Euro 7 8 2" xfId="37798" xr:uid="{00000000-0005-0000-0000-0000FA590000}"/>
    <cellStyle name="Euro 7 9" xfId="16315" xr:uid="{00000000-0005-0000-0000-0000FB590000}"/>
    <cellStyle name="Euro 70" xfId="1247" xr:uid="{00000000-0005-0000-0000-0000FC590000}"/>
    <cellStyle name="Euro 70 10" xfId="16316" xr:uid="{00000000-0005-0000-0000-0000FD590000}"/>
    <cellStyle name="Euro 70 2" xfId="3244" xr:uid="{00000000-0005-0000-0000-0000FE590000}"/>
    <cellStyle name="Euro 70 2 2" xfId="8563" xr:uid="{00000000-0005-0000-0000-0000FF590000}"/>
    <cellStyle name="Euro 70 2 2 2" xfId="16319" xr:uid="{00000000-0005-0000-0000-0000005A0000}"/>
    <cellStyle name="Euro 70 2 2 3" xfId="16320" xr:uid="{00000000-0005-0000-0000-0000015A0000}"/>
    <cellStyle name="Euro 70 2 2 4" xfId="16321" xr:uid="{00000000-0005-0000-0000-0000025A0000}"/>
    <cellStyle name="Euro 70 2 2 5" xfId="16322" xr:uid="{00000000-0005-0000-0000-0000035A0000}"/>
    <cellStyle name="Euro 70 2 2 6" xfId="16318" xr:uid="{00000000-0005-0000-0000-0000045A0000}"/>
    <cellStyle name="Euro 70 2 3" xfId="8381" xr:uid="{00000000-0005-0000-0000-0000055A0000}"/>
    <cellStyle name="Euro 70 2 3 2" xfId="12505" xr:uid="{00000000-0005-0000-0000-0000065A0000}"/>
    <cellStyle name="Euro 70 2 3 2 2" xfId="16324" xr:uid="{00000000-0005-0000-0000-0000075A0000}"/>
    <cellStyle name="Euro 70 2 3 3" xfId="16325" xr:uid="{00000000-0005-0000-0000-0000085A0000}"/>
    <cellStyle name="Euro 70 2 3 4" xfId="16326" xr:uid="{00000000-0005-0000-0000-0000095A0000}"/>
    <cellStyle name="Euro 70 2 3 5" xfId="16327" xr:uid="{00000000-0005-0000-0000-00000A5A0000}"/>
    <cellStyle name="Euro 70 2 3 6" xfId="16328" xr:uid="{00000000-0005-0000-0000-00000B5A0000}"/>
    <cellStyle name="Euro 70 2 3 7" xfId="16329" xr:uid="{00000000-0005-0000-0000-00000C5A0000}"/>
    <cellStyle name="Euro 70 2 3 8" xfId="16323" xr:uid="{00000000-0005-0000-0000-00000D5A0000}"/>
    <cellStyle name="Euro 70 2 4" xfId="16330" xr:uid="{00000000-0005-0000-0000-00000E5A0000}"/>
    <cellStyle name="Euro 70 2 5" xfId="16331" xr:uid="{00000000-0005-0000-0000-00000F5A0000}"/>
    <cellStyle name="Euro 70 2 6" xfId="16332" xr:uid="{00000000-0005-0000-0000-0000105A0000}"/>
    <cellStyle name="Euro 70 2 7" xfId="16333" xr:uid="{00000000-0005-0000-0000-0000115A0000}"/>
    <cellStyle name="Euro 70 2 8" xfId="16317" xr:uid="{00000000-0005-0000-0000-0000125A0000}"/>
    <cellStyle name="Euro 70 3" xfId="4744" xr:uid="{00000000-0005-0000-0000-0000135A0000}"/>
    <cellStyle name="Euro 70 3 2" xfId="16335" xr:uid="{00000000-0005-0000-0000-0000145A0000}"/>
    <cellStyle name="Euro 70 3 3" xfId="16336" xr:uid="{00000000-0005-0000-0000-0000155A0000}"/>
    <cellStyle name="Euro 70 3 4" xfId="16337" xr:uid="{00000000-0005-0000-0000-0000165A0000}"/>
    <cellStyle name="Euro 70 3 5" xfId="16338" xr:uid="{00000000-0005-0000-0000-0000175A0000}"/>
    <cellStyle name="Euro 70 3 6" xfId="16334" xr:uid="{00000000-0005-0000-0000-0000185A0000}"/>
    <cellStyle name="Euro 70 4" xfId="16339" xr:uid="{00000000-0005-0000-0000-0000195A0000}"/>
    <cellStyle name="Euro 70 4 2" xfId="37802" xr:uid="{00000000-0005-0000-0000-00001A5A0000}"/>
    <cellStyle name="Euro 70 5" xfId="16340" xr:uid="{00000000-0005-0000-0000-00001B5A0000}"/>
    <cellStyle name="Euro 70 6" xfId="16341" xr:uid="{00000000-0005-0000-0000-00001C5A0000}"/>
    <cellStyle name="Euro 70 7" xfId="16342" xr:uid="{00000000-0005-0000-0000-00001D5A0000}"/>
    <cellStyle name="Euro 70 8" xfId="16343" xr:uid="{00000000-0005-0000-0000-00001E5A0000}"/>
    <cellStyle name="Euro 70 9" xfId="16344" xr:uid="{00000000-0005-0000-0000-00001F5A0000}"/>
    <cellStyle name="Euro 71" xfId="1248" xr:uid="{00000000-0005-0000-0000-0000205A0000}"/>
    <cellStyle name="Euro 71 10" xfId="16345" xr:uid="{00000000-0005-0000-0000-0000215A0000}"/>
    <cellStyle name="Euro 71 2" xfId="3246" xr:uid="{00000000-0005-0000-0000-0000225A0000}"/>
    <cellStyle name="Euro 71 2 2" xfId="5370" xr:uid="{00000000-0005-0000-0000-0000235A0000}"/>
    <cellStyle name="Euro 71 2 2 2" xfId="36126" xr:uid="{00000000-0005-0000-0000-0000245A0000}"/>
    <cellStyle name="Euro 71 2 2 3" xfId="16347" xr:uid="{00000000-0005-0000-0000-0000255A0000}"/>
    <cellStyle name="Euro 71 2 3" xfId="16348" xr:uid="{00000000-0005-0000-0000-0000265A0000}"/>
    <cellStyle name="Euro 71 2 3 2" xfId="38385" xr:uid="{00000000-0005-0000-0000-0000275A0000}"/>
    <cellStyle name="Euro 71 2 4" xfId="16349" xr:uid="{00000000-0005-0000-0000-0000285A0000}"/>
    <cellStyle name="Euro 71 2 5" xfId="16350" xr:uid="{00000000-0005-0000-0000-0000295A0000}"/>
    <cellStyle name="Euro 71 2 6" xfId="16346" xr:uid="{00000000-0005-0000-0000-00002A5A0000}"/>
    <cellStyle name="Euro 71 3" xfId="3247" xr:uid="{00000000-0005-0000-0000-00002B5A0000}"/>
    <cellStyle name="Euro 71 3 2" xfId="5371" xr:uid="{00000000-0005-0000-0000-00002C5A0000}"/>
    <cellStyle name="Euro 71 3 2 2" xfId="36127" xr:uid="{00000000-0005-0000-0000-00002D5A0000}"/>
    <cellStyle name="Euro 71 3 2 3" xfId="16352" xr:uid="{00000000-0005-0000-0000-00002E5A0000}"/>
    <cellStyle name="Euro 71 3 3" xfId="16353" xr:uid="{00000000-0005-0000-0000-00002F5A0000}"/>
    <cellStyle name="Euro 71 3 3 2" xfId="38386" xr:uid="{00000000-0005-0000-0000-0000305A0000}"/>
    <cellStyle name="Euro 71 3 4" xfId="16354" xr:uid="{00000000-0005-0000-0000-0000315A0000}"/>
    <cellStyle name="Euro 71 3 5" xfId="16355" xr:uid="{00000000-0005-0000-0000-0000325A0000}"/>
    <cellStyle name="Euro 71 3 6" xfId="16351" xr:uid="{00000000-0005-0000-0000-0000335A0000}"/>
    <cellStyle name="Euro 71 4" xfId="3245" xr:uid="{00000000-0005-0000-0000-0000345A0000}"/>
    <cellStyle name="Euro 71 4 2" xfId="15189" xr:uid="{00000000-0005-0000-0000-0000355A0000}"/>
    <cellStyle name="Euro 71 4 2 2" xfId="16357" xr:uid="{00000000-0005-0000-0000-0000365A0000}"/>
    <cellStyle name="Euro 71 4 3" xfId="16358" xr:uid="{00000000-0005-0000-0000-0000375A0000}"/>
    <cellStyle name="Euro 71 4 4" xfId="16359" xr:uid="{00000000-0005-0000-0000-0000385A0000}"/>
    <cellStyle name="Euro 71 4 5" xfId="16360" xr:uid="{00000000-0005-0000-0000-0000395A0000}"/>
    <cellStyle name="Euro 71 4 6" xfId="16361" xr:uid="{00000000-0005-0000-0000-00003A5A0000}"/>
    <cellStyle name="Euro 71 4 7" xfId="16356" xr:uid="{00000000-0005-0000-0000-00003B5A0000}"/>
    <cellStyle name="Euro 71 5" xfId="4745" xr:uid="{00000000-0005-0000-0000-00003C5A0000}"/>
    <cellStyle name="Euro 71 5 2" xfId="35741" xr:uid="{00000000-0005-0000-0000-00003D5A0000}"/>
    <cellStyle name="Euro 71 5 3" xfId="16362" xr:uid="{00000000-0005-0000-0000-00003E5A0000}"/>
    <cellStyle name="Euro 71 6" xfId="16363" xr:uid="{00000000-0005-0000-0000-00003F5A0000}"/>
    <cellStyle name="Euro 71 6 2" xfId="39212" xr:uid="{00000000-0005-0000-0000-0000405A0000}"/>
    <cellStyle name="Euro 71 7" xfId="16364" xr:uid="{00000000-0005-0000-0000-0000415A0000}"/>
    <cellStyle name="Euro 71 8" xfId="16365" xr:uid="{00000000-0005-0000-0000-0000425A0000}"/>
    <cellStyle name="Euro 71 9" xfId="16366" xr:uid="{00000000-0005-0000-0000-0000435A0000}"/>
    <cellStyle name="Euro 72" xfId="3248" xr:uid="{00000000-0005-0000-0000-0000445A0000}"/>
    <cellStyle name="Euro 72 2" xfId="5372" xr:uid="{00000000-0005-0000-0000-0000455A0000}"/>
    <cellStyle name="Euro 72 2 2" xfId="16369" xr:uid="{00000000-0005-0000-0000-0000465A0000}"/>
    <cellStyle name="Euro 72 2 3" xfId="16370" xr:uid="{00000000-0005-0000-0000-0000475A0000}"/>
    <cellStyle name="Euro 72 2 4" xfId="16371" xr:uid="{00000000-0005-0000-0000-0000485A0000}"/>
    <cellStyle name="Euro 72 2 5" xfId="16372" xr:uid="{00000000-0005-0000-0000-0000495A0000}"/>
    <cellStyle name="Euro 72 2 6" xfId="16368" xr:uid="{00000000-0005-0000-0000-00004A5A0000}"/>
    <cellStyle name="Euro 72 3" xfId="16373" xr:uid="{00000000-0005-0000-0000-00004B5A0000}"/>
    <cellStyle name="Euro 72 3 2" xfId="38387" xr:uid="{00000000-0005-0000-0000-00004C5A0000}"/>
    <cellStyle name="Euro 72 4" xfId="16374" xr:uid="{00000000-0005-0000-0000-00004D5A0000}"/>
    <cellStyle name="Euro 72 5" xfId="16375" xr:uid="{00000000-0005-0000-0000-00004E5A0000}"/>
    <cellStyle name="Euro 72 6" xfId="16376" xr:uid="{00000000-0005-0000-0000-00004F5A0000}"/>
    <cellStyle name="Euro 72 7" xfId="16367" xr:uid="{00000000-0005-0000-0000-0000505A0000}"/>
    <cellStyle name="Euro 73" xfId="7375" xr:uid="{00000000-0005-0000-0000-0000515A0000}"/>
    <cellStyle name="Euro 73 2" xfId="16378" xr:uid="{00000000-0005-0000-0000-0000525A0000}"/>
    <cellStyle name="Euro 73 3" xfId="16379" xr:uid="{00000000-0005-0000-0000-0000535A0000}"/>
    <cellStyle name="Euro 73 4" xfId="16380" xr:uid="{00000000-0005-0000-0000-0000545A0000}"/>
    <cellStyle name="Euro 73 5" xfId="16381" xr:uid="{00000000-0005-0000-0000-0000555A0000}"/>
    <cellStyle name="Euro 73 6" xfId="16377" xr:uid="{00000000-0005-0000-0000-0000565A0000}"/>
    <cellStyle name="Euro 74" xfId="7376" xr:uid="{00000000-0005-0000-0000-0000575A0000}"/>
    <cellStyle name="Euro 74 2" xfId="16383" xr:uid="{00000000-0005-0000-0000-0000585A0000}"/>
    <cellStyle name="Euro 74 3" xfId="16384" xr:uid="{00000000-0005-0000-0000-0000595A0000}"/>
    <cellStyle name="Euro 74 4" xfId="16385" xr:uid="{00000000-0005-0000-0000-00005A5A0000}"/>
    <cellStyle name="Euro 74 5" xfId="16386" xr:uid="{00000000-0005-0000-0000-00005B5A0000}"/>
    <cellStyle name="Euro 74 6" xfId="16382" xr:uid="{00000000-0005-0000-0000-00005C5A0000}"/>
    <cellStyle name="Euro 75" xfId="7377" xr:uid="{00000000-0005-0000-0000-00005D5A0000}"/>
    <cellStyle name="Euro 75 2" xfId="16388" xr:uid="{00000000-0005-0000-0000-00005E5A0000}"/>
    <cellStyle name="Euro 75 3" xfId="16389" xr:uid="{00000000-0005-0000-0000-00005F5A0000}"/>
    <cellStyle name="Euro 75 4" xfId="16390" xr:uid="{00000000-0005-0000-0000-0000605A0000}"/>
    <cellStyle name="Euro 75 5" xfId="16391" xr:uid="{00000000-0005-0000-0000-0000615A0000}"/>
    <cellStyle name="Euro 75 6" xfId="16387" xr:uid="{00000000-0005-0000-0000-0000625A0000}"/>
    <cellStyle name="Euro 76" xfId="7378" xr:uid="{00000000-0005-0000-0000-0000635A0000}"/>
    <cellStyle name="Euro 76 2" xfId="16393" xr:uid="{00000000-0005-0000-0000-0000645A0000}"/>
    <cellStyle name="Euro 76 3" xfId="16394" xr:uid="{00000000-0005-0000-0000-0000655A0000}"/>
    <cellStyle name="Euro 76 4" xfId="16395" xr:uid="{00000000-0005-0000-0000-0000665A0000}"/>
    <cellStyle name="Euro 76 5" xfId="16396" xr:uid="{00000000-0005-0000-0000-0000675A0000}"/>
    <cellStyle name="Euro 76 6" xfId="16392" xr:uid="{00000000-0005-0000-0000-0000685A0000}"/>
    <cellStyle name="Euro 77" xfId="7379" xr:uid="{00000000-0005-0000-0000-0000695A0000}"/>
    <cellStyle name="Euro 77 2" xfId="16398" xr:uid="{00000000-0005-0000-0000-00006A5A0000}"/>
    <cellStyle name="Euro 77 3" xfId="16399" xr:uid="{00000000-0005-0000-0000-00006B5A0000}"/>
    <cellStyle name="Euro 77 4" xfId="16400" xr:uid="{00000000-0005-0000-0000-00006C5A0000}"/>
    <cellStyle name="Euro 77 5" xfId="16401" xr:uid="{00000000-0005-0000-0000-00006D5A0000}"/>
    <cellStyle name="Euro 77 6" xfId="16397" xr:uid="{00000000-0005-0000-0000-00006E5A0000}"/>
    <cellStyle name="Euro 8" xfId="1249" xr:uid="{00000000-0005-0000-0000-00006F5A0000}"/>
    <cellStyle name="Euro 8 10" xfId="16403" xr:uid="{00000000-0005-0000-0000-0000705A0000}"/>
    <cellStyle name="Euro 8 11" xfId="16404" xr:uid="{00000000-0005-0000-0000-0000715A0000}"/>
    <cellStyle name="Euro 8 12" xfId="16402" xr:uid="{00000000-0005-0000-0000-0000725A0000}"/>
    <cellStyle name="Euro 8 2" xfId="1250" xr:uid="{00000000-0005-0000-0000-0000735A0000}"/>
    <cellStyle name="Euro 8 2 10" xfId="16405" xr:uid="{00000000-0005-0000-0000-0000745A0000}"/>
    <cellStyle name="Euro 8 2 2" xfId="3251" xr:uid="{00000000-0005-0000-0000-0000755A0000}"/>
    <cellStyle name="Euro 8 2 2 2" xfId="5373" xr:uid="{00000000-0005-0000-0000-0000765A0000}"/>
    <cellStyle name="Euro 8 2 2 2 2" xfId="16408" xr:uid="{00000000-0005-0000-0000-0000775A0000}"/>
    <cellStyle name="Euro 8 2 2 2 3" xfId="16409" xr:uid="{00000000-0005-0000-0000-0000785A0000}"/>
    <cellStyle name="Euro 8 2 2 2 4" xfId="16410" xr:uid="{00000000-0005-0000-0000-0000795A0000}"/>
    <cellStyle name="Euro 8 2 2 2 5" xfId="16411" xr:uid="{00000000-0005-0000-0000-00007A5A0000}"/>
    <cellStyle name="Euro 8 2 2 2 6" xfId="16407" xr:uid="{00000000-0005-0000-0000-00007B5A0000}"/>
    <cellStyle name="Euro 8 2 2 3" xfId="8133" xr:uid="{00000000-0005-0000-0000-00007C5A0000}"/>
    <cellStyle name="Euro 8 2 2 3 2" xfId="16413" xr:uid="{00000000-0005-0000-0000-00007D5A0000}"/>
    <cellStyle name="Euro 8 2 2 3 3" xfId="16414" xr:uid="{00000000-0005-0000-0000-00007E5A0000}"/>
    <cellStyle name="Euro 8 2 2 3 4" xfId="16415" xr:uid="{00000000-0005-0000-0000-00007F5A0000}"/>
    <cellStyle name="Euro 8 2 2 3 5" xfId="16416" xr:uid="{00000000-0005-0000-0000-0000805A0000}"/>
    <cellStyle name="Euro 8 2 2 3 6" xfId="16412" xr:uid="{00000000-0005-0000-0000-0000815A0000}"/>
    <cellStyle name="Euro 8 2 2 3 7" xfId="38388" xr:uid="{00000000-0005-0000-0000-0000825A0000}"/>
    <cellStyle name="Euro 8 2 2 4" xfId="16417" xr:uid="{00000000-0005-0000-0000-0000835A0000}"/>
    <cellStyle name="Euro 8 2 2 5" xfId="16418" xr:uid="{00000000-0005-0000-0000-0000845A0000}"/>
    <cellStyle name="Euro 8 2 2 6" xfId="16419" xr:uid="{00000000-0005-0000-0000-0000855A0000}"/>
    <cellStyle name="Euro 8 2 2 7" xfId="16420" xr:uid="{00000000-0005-0000-0000-0000865A0000}"/>
    <cellStyle name="Euro 8 2 2 8" xfId="16406" xr:uid="{00000000-0005-0000-0000-0000875A0000}"/>
    <cellStyle name="Euro 8 2 3" xfId="3252" xr:uid="{00000000-0005-0000-0000-0000885A0000}"/>
    <cellStyle name="Euro 8 2 3 2" xfId="5374" xr:uid="{00000000-0005-0000-0000-0000895A0000}"/>
    <cellStyle name="Euro 8 2 3 2 2" xfId="16423" xr:uid="{00000000-0005-0000-0000-00008A5A0000}"/>
    <cellStyle name="Euro 8 2 3 2 3" xfId="16424" xr:uid="{00000000-0005-0000-0000-00008B5A0000}"/>
    <cellStyle name="Euro 8 2 3 2 4" xfId="16425" xr:uid="{00000000-0005-0000-0000-00008C5A0000}"/>
    <cellStyle name="Euro 8 2 3 2 5" xfId="16426" xr:uid="{00000000-0005-0000-0000-00008D5A0000}"/>
    <cellStyle name="Euro 8 2 3 2 6" xfId="16422" xr:uid="{00000000-0005-0000-0000-00008E5A0000}"/>
    <cellStyle name="Euro 8 2 3 3" xfId="16427" xr:uid="{00000000-0005-0000-0000-00008F5A0000}"/>
    <cellStyle name="Euro 8 2 3 3 2" xfId="38389" xr:uid="{00000000-0005-0000-0000-0000905A0000}"/>
    <cellStyle name="Euro 8 2 3 4" xfId="16428" xr:uid="{00000000-0005-0000-0000-0000915A0000}"/>
    <cellStyle name="Euro 8 2 3 5" xfId="16429" xr:uid="{00000000-0005-0000-0000-0000925A0000}"/>
    <cellStyle name="Euro 8 2 3 6" xfId="16430" xr:uid="{00000000-0005-0000-0000-0000935A0000}"/>
    <cellStyle name="Euro 8 2 3 7" xfId="16421" xr:uid="{00000000-0005-0000-0000-0000945A0000}"/>
    <cellStyle name="Euro 8 2 4" xfId="3253" xr:uid="{00000000-0005-0000-0000-0000955A0000}"/>
    <cellStyle name="Euro 8 2 4 2" xfId="5375" xr:uid="{00000000-0005-0000-0000-0000965A0000}"/>
    <cellStyle name="Euro 8 2 4 2 2" xfId="36128" xr:uid="{00000000-0005-0000-0000-0000975A0000}"/>
    <cellStyle name="Euro 8 2 4 2 3" xfId="16432" xr:uid="{00000000-0005-0000-0000-0000985A0000}"/>
    <cellStyle name="Euro 8 2 4 3" xfId="16433" xr:uid="{00000000-0005-0000-0000-0000995A0000}"/>
    <cellStyle name="Euro 8 2 4 3 2" xfId="38390" xr:uid="{00000000-0005-0000-0000-00009A5A0000}"/>
    <cellStyle name="Euro 8 2 4 4" xfId="16434" xr:uid="{00000000-0005-0000-0000-00009B5A0000}"/>
    <cellStyle name="Euro 8 2 4 5" xfId="16435" xr:uid="{00000000-0005-0000-0000-00009C5A0000}"/>
    <cellStyle name="Euro 8 2 4 6" xfId="16431" xr:uid="{00000000-0005-0000-0000-00009D5A0000}"/>
    <cellStyle name="Euro 8 2 5" xfId="3250" xr:uid="{00000000-0005-0000-0000-00009E5A0000}"/>
    <cellStyle name="Euro 8 2 5 2" xfId="35424" xr:uid="{00000000-0005-0000-0000-00009F5A0000}"/>
    <cellStyle name="Euro 8 2 5 3" xfId="16436" xr:uid="{00000000-0005-0000-0000-0000A05A0000}"/>
    <cellStyle name="Euro 8 2 6" xfId="4747" xr:uid="{00000000-0005-0000-0000-0000A15A0000}"/>
    <cellStyle name="Euro 8 2 6 2" xfId="35743" xr:uid="{00000000-0005-0000-0000-0000A25A0000}"/>
    <cellStyle name="Euro 8 2 6 3" xfId="16437" xr:uid="{00000000-0005-0000-0000-0000A35A0000}"/>
    <cellStyle name="Euro 8 2 7" xfId="16438" xr:uid="{00000000-0005-0000-0000-0000A45A0000}"/>
    <cellStyle name="Euro 8 2 7 2" xfId="37804" xr:uid="{00000000-0005-0000-0000-0000A55A0000}"/>
    <cellStyle name="Euro 8 2 8" xfId="16439" xr:uid="{00000000-0005-0000-0000-0000A65A0000}"/>
    <cellStyle name="Euro 8 2 9" xfId="16440" xr:uid="{00000000-0005-0000-0000-0000A75A0000}"/>
    <cellStyle name="Euro 8 3" xfId="1251" xr:uid="{00000000-0005-0000-0000-0000A85A0000}"/>
    <cellStyle name="Euro 8 3 2" xfId="3254" xr:uid="{00000000-0005-0000-0000-0000A95A0000}"/>
    <cellStyle name="Euro 8 3 2 2" xfId="16443" xr:uid="{00000000-0005-0000-0000-0000AA5A0000}"/>
    <cellStyle name="Euro 8 3 2 3" xfId="16444" xr:uid="{00000000-0005-0000-0000-0000AB5A0000}"/>
    <cellStyle name="Euro 8 3 2 4" xfId="16445" xr:uid="{00000000-0005-0000-0000-0000AC5A0000}"/>
    <cellStyle name="Euro 8 3 2 5" xfId="16446" xr:uid="{00000000-0005-0000-0000-0000AD5A0000}"/>
    <cellStyle name="Euro 8 3 2 6" xfId="16442" xr:uid="{00000000-0005-0000-0000-0000AE5A0000}"/>
    <cellStyle name="Euro 8 3 3" xfId="4748" xr:uid="{00000000-0005-0000-0000-0000AF5A0000}"/>
    <cellStyle name="Euro 8 3 3 2" xfId="35744" xr:uid="{00000000-0005-0000-0000-0000B05A0000}"/>
    <cellStyle name="Euro 8 3 3 3" xfId="16447" xr:uid="{00000000-0005-0000-0000-0000B15A0000}"/>
    <cellStyle name="Euro 8 3 4" xfId="16448" xr:uid="{00000000-0005-0000-0000-0000B25A0000}"/>
    <cellStyle name="Euro 8 3 4 2" xfId="37805" xr:uid="{00000000-0005-0000-0000-0000B35A0000}"/>
    <cellStyle name="Euro 8 3 5" xfId="16449" xr:uid="{00000000-0005-0000-0000-0000B45A0000}"/>
    <cellStyle name="Euro 8 3 6" xfId="16450" xr:uid="{00000000-0005-0000-0000-0000B55A0000}"/>
    <cellStyle name="Euro 8 3 7" xfId="16451" xr:uid="{00000000-0005-0000-0000-0000B65A0000}"/>
    <cellStyle name="Euro 8 3 8" xfId="16441" xr:uid="{00000000-0005-0000-0000-0000B75A0000}"/>
    <cellStyle name="Euro 8 4" xfId="1252" xr:uid="{00000000-0005-0000-0000-0000B85A0000}"/>
    <cellStyle name="Euro 8 4 2" xfId="3255" xr:uid="{00000000-0005-0000-0000-0000B95A0000}"/>
    <cellStyle name="Euro 8 4 2 2" xfId="16454" xr:uid="{00000000-0005-0000-0000-0000BA5A0000}"/>
    <cellStyle name="Euro 8 4 2 3" xfId="16455" xr:uid="{00000000-0005-0000-0000-0000BB5A0000}"/>
    <cellStyle name="Euro 8 4 2 4" xfId="16456" xr:uid="{00000000-0005-0000-0000-0000BC5A0000}"/>
    <cellStyle name="Euro 8 4 2 5" xfId="16457" xr:uid="{00000000-0005-0000-0000-0000BD5A0000}"/>
    <cellStyle name="Euro 8 4 2 6" xfId="16453" xr:uid="{00000000-0005-0000-0000-0000BE5A0000}"/>
    <cellStyle name="Euro 8 4 3" xfId="4749" xr:uid="{00000000-0005-0000-0000-0000BF5A0000}"/>
    <cellStyle name="Euro 8 4 3 2" xfId="35745" xr:uid="{00000000-0005-0000-0000-0000C05A0000}"/>
    <cellStyle name="Euro 8 4 3 3" xfId="16458" xr:uid="{00000000-0005-0000-0000-0000C15A0000}"/>
    <cellStyle name="Euro 8 4 4" xfId="16459" xr:uid="{00000000-0005-0000-0000-0000C25A0000}"/>
    <cellStyle name="Euro 8 4 4 2" xfId="37806" xr:uid="{00000000-0005-0000-0000-0000C35A0000}"/>
    <cellStyle name="Euro 8 4 5" xfId="16460" xr:uid="{00000000-0005-0000-0000-0000C45A0000}"/>
    <cellStyle name="Euro 8 4 6" xfId="16461" xr:uid="{00000000-0005-0000-0000-0000C55A0000}"/>
    <cellStyle name="Euro 8 4 7" xfId="16462" xr:uid="{00000000-0005-0000-0000-0000C65A0000}"/>
    <cellStyle name="Euro 8 4 8" xfId="16452" xr:uid="{00000000-0005-0000-0000-0000C75A0000}"/>
    <cellStyle name="Euro 8 5" xfId="3256" xr:uid="{00000000-0005-0000-0000-0000C85A0000}"/>
    <cellStyle name="Euro 8 5 2" xfId="5376" xr:uid="{00000000-0005-0000-0000-0000C95A0000}"/>
    <cellStyle name="Euro 8 5 2 2" xfId="16465" xr:uid="{00000000-0005-0000-0000-0000CA5A0000}"/>
    <cellStyle name="Euro 8 5 2 3" xfId="16466" xr:uid="{00000000-0005-0000-0000-0000CB5A0000}"/>
    <cellStyle name="Euro 8 5 2 4" xfId="16467" xr:uid="{00000000-0005-0000-0000-0000CC5A0000}"/>
    <cellStyle name="Euro 8 5 2 5" xfId="16468" xr:uid="{00000000-0005-0000-0000-0000CD5A0000}"/>
    <cellStyle name="Euro 8 5 2 6" xfId="16464" xr:uid="{00000000-0005-0000-0000-0000CE5A0000}"/>
    <cellStyle name="Euro 8 5 3" xfId="8134" xr:uid="{00000000-0005-0000-0000-0000CF5A0000}"/>
    <cellStyle name="Euro 8 5 3 2" xfId="16470" xr:uid="{00000000-0005-0000-0000-0000D05A0000}"/>
    <cellStyle name="Euro 8 5 3 3" xfId="16471" xr:uid="{00000000-0005-0000-0000-0000D15A0000}"/>
    <cellStyle name="Euro 8 5 3 4" xfId="16472" xr:uid="{00000000-0005-0000-0000-0000D25A0000}"/>
    <cellStyle name="Euro 8 5 3 5" xfId="16473" xr:uid="{00000000-0005-0000-0000-0000D35A0000}"/>
    <cellStyle name="Euro 8 5 3 6" xfId="16469" xr:uid="{00000000-0005-0000-0000-0000D45A0000}"/>
    <cellStyle name="Euro 8 5 3 7" xfId="38391" xr:uid="{00000000-0005-0000-0000-0000D55A0000}"/>
    <cellStyle name="Euro 8 5 4" xfId="16474" xr:uid="{00000000-0005-0000-0000-0000D65A0000}"/>
    <cellStyle name="Euro 8 5 5" xfId="16475" xr:uid="{00000000-0005-0000-0000-0000D75A0000}"/>
    <cellStyle name="Euro 8 5 6" xfId="16476" xr:uid="{00000000-0005-0000-0000-0000D85A0000}"/>
    <cellStyle name="Euro 8 5 7" xfId="16477" xr:uid="{00000000-0005-0000-0000-0000D95A0000}"/>
    <cellStyle name="Euro 8 5 8" xfId="16463" xr:uid="{00000000-0005-0000-0000-0000DA5A0000}"/>
    <cellStyle name="Euro 8 6" xfId="3249" xr:uid="{00000000-0005-0000-0000-0000DB5A0000}"/>
    <cellStyle name="Euro 8 6 2" xfId="16479" xr:uid="{00000000-0005-0000-0000-0000DC5A0000}"/>
    <cellStyle name="Euro 8 6 3" xfId="16480" xr:uid="{00000000-0005-0000-0000-0000DD5A0000}"/>
    <cellStyle name="Euro 8 6 4" xfId="16481" xr:uid="{00000000-0005-0000-0000-0000DE5A0000}"/>
    <cellStyle name="Euro 8 6 5" xfId="16482" xr:uid="{00000000-0005-0000-0000-0000DF5A0000}"/>
    <cellStyle name="Euro 8 6 6" xfId="16478" xr:uid="{00000000-0005-0000-0000-0000E05A0000}"/>
    <cellStyle name="Euro 8 7" xfId="4746" xr:uid="{00000000-0005-0000-0000-0000E15A0000}"/>
    <cellStyle name="Euro 8 7 2" xfId="35742" xr:uid="{00000000-0005-0000-0000-0000E25A0000}"/>
    <cellStyle name="Euro 8 7 3" xfId="16483" xr:uid="{00000000-0005-0000-0000-0000E35A0000}"/>
    <cellStyle name="Euro 8 8" xfId="16484" xr:uid="{00000000-0005-0000-0000-0000E45A0000}"/>
    <cellStyle name="Euro 8 8 2" xfId="37803" xr:uid="{00000000-0005-0000-0000-0000E55A0000}"/>
    <cellStyle name="Euro 8 9" xfId="16485" xr:uid="{00000000-0005-0000-0000-0000E65A0000}"/>
    <cellStyle name="Euro 9" xfId="1253" xr:uid="{00000000-0005-0000-0000-0000E75A0000}"/>
    <cellStyle name="Euro 9 10" xfId="16486" xr:uid="{00000000-0005-0000-0000-0000E85A0000}"/>
    <cellStyle name="Euro 9 2" xfId="1254" xr:uid="{00000000-0005-0000-0000-0000E95A0000}"/>
    <cellStyle name="Euro 9 2 2" xfId="3258" xr:uid="{00000000-0005-0000-0000-0000EA5A0000}"/>
    <cellStyle name="Euro 9 2 2 2" xfId="35426" xr:uid="{00000000-0005-0000-0000-0000EB5A0000}"/>
    <cellStyle name="Euro 9 2 2 3" xfId="16488" xr:uid="{00000000-0005-0000-0000-0000EC5A0000}"/>
    <cellStyle name="Euro 9 2 3" xfId="4751" xr:uid="{00000000-0005-0000-0000-0000ED5A0000}"/>
    <cellStyle name="Euro 9 2 3 2" xfId="35747" xr:uid="{00000000-0005-0000-0000-0000EE5A0000}"/>
    <cellStyle name="Euro 9 2 3 3" xfId="16489" xr:uid="{00000000-0005-0000-0000-0000EF5A0000}"/>
    <cellStyle name="Euro 9 2 4" xfId="16490" xr:uid="{00000000-0005-0000-0000-0000F05A0000}"/>
    <cellStyle name="Euro 9 2 4 2" xfId="37808" xr:uid="{00000000-0005-0000-0000-0000F15A0000}"/>
    <cellStyle name="Euro 9 2 5" xfId="16491" xr:uid="{00000000-0005-0000-0000-0000F25A0000}"/>
    <cellStyle name="Euro 9 2 6" xfId="16492" xr:uid="{00000000-0005-0000-0000-0000F35A0000}"/>
    <cellStyle name="Euro 9 2 7" xfId="16487" xr:uid="{00000000-0005-0000-0000-0000F45A0000}"/>
    <cellStyle name="Euro 9 3" xfId="1255" xr:uid="{00000000-0005-0000-0000-0000F55A0000}"/>
    <cellStyle name="Euro 9 3 2" xfId="3259" xr:uid="{00000000-0005-0000-0000-0000F65A0000}"/>
    <cellStyle name="Euro 9 3 2 2" xfId="35427" xr:uid="{00000000-0005-0000-0000-0000F75A0000}"/>
    <cellStyle name="Euro 9 3 2 3" xfId="16494" xr:uid="{00000000-0005-0000-0000-0000F85A0000}"/>
    <cellStyle name="Euro 9 3 3" xfId="4752" xr:uid="{00000000-0005-0000-0000-0000F95A0000}"/>
    <cellStyle name="Euro 9 3 3 2" xfId="35748" xr:uid="{00000000-0005-0000-0000-0000FA5A0000}"/>
    <cellStyle name="Euro 9 3 3 3" xfId="16495" xr:uid="{00000000-0005-0000-0000-0000FB5A0000}"/>
    <cellStyle name="Euro 9 3 4" xfId="16496" xr:uid="{00000000-0005-0000-0000-0000FC5A0000}"/>
    <cellStyle name="Euro 9 3 4 2" xfId="37809" xr:uid="{00000000-0005-0000-0000-0000FD5A0000}"/>
    <cellStyle name="Euro 9 3 5" xfId="16497" xr:uid="{00000000-0005-0000-0000-0000FE5A0000}"/>
    <cellStyle name="Euro 9 3 6" xfId="16498" xr:uid="{00000000-0005-0000-0000-0000FF5A0000}"/>
    <cellStyle name="Euro 9 3 7" xfId="16493" xr:uid="{00000000-0005-0000-0000-0000005B0000}"/>
    <cellStyle name="Euro 9 4" xfId="1256" xr:uid="{00000000-0005-0000-0000-0000015B0000}"/>
    <cellStyle name="Euro 9 4 2" xfId="3260" xr:uid="{00000000-0005-0000-0000-0000025B0000}"/>
    <cellStyle name="Euro 9 4 2 2" xfId="35428" xr:uid="{00000000-0005-0000-0000-0000035B0000}"/>
    <cellStyle name="Euro 9 4 2 3" xfId="16500" xr:uid="{00000000-0005-0000-0000-0000045B0000}"/>
    <cellStyle name="Euro 9 4 3" xfId="4753" xr:uid="{00000000-0005-0000-0000-0000055B0000}"/>
    <cellStyle name="Euro 9 4 3 2" xfId="35749" xr:uid="{00000000-0005-0000-0000-0000065B0000}"/>
    <cellStyle name="Euro 9 4 3 3" xfId="16501" xr:uid="{00000000-0005-0000-0000-0000075B0000}"/>
    <cellStyle name="Euro 9 4 4" xfId="16502" xr:uid="{00000000-0005-0000-0000-0000085B0000}"/>
    <cellStyle name="Euro 9 4 4 2" xfId="37810" xr:uid="{00000000-0005-0000-0000-0000095B0000}"/>
    <cellStyle name="Euro 9 4 5" xfId="16503" xr:uid="{00000000-0005-0000-0000-00000A5B0000}"/>
    <cellStyle name="Euro 9 4 6" xfId="16504" xr:uid="{00000000-0005-0000-0000-00000B5B0000}"/>
    <cellStyle name="Euro 9 4 7" xfId="16499" xr:uid="{00000000-0005-0000-0000-00000C5B0000}"/>
    <cellStyle name="Euro 9 5" xfId="3257" xr:uid="{00000000-0005-0000-0000-00000D5B0000}"/>
    <cellStyle name="Euro 9 5 2" xfId="35425" xr:uid="{00000000-0005-0000-0000-00000E5B0000}"/>
    <cellStyle name="Euro 9 5 3" xfId="16505" xr:uid="{00000000-0005-0000-0000-00000F5B0000}"/>
    <cellStyle name="Euro 9 6" xfId="4750" xr:uid="{00000000-0005-0000-0000-0000105B0000}"/>
    <cellStyle name="Euro 9 6 2" xfId="35746" xr:uid="{00000000-0005-0000-0000-0000115B0000}"/>
    <cellStyle name="Euro 9 6 3" xfId="16506" xr:uid="{00000000-0005-0000-0000-0000125B0000}"/>
    <cellStyle name="Euro 9 7" xfId="16507" xr:uid="{00000000-0005-0000-0000-0000135B0000}"/>
    <cellStyle name="Euro 9 7 2" xfId="37807" xr:uid="{00000000-0005-0000-0000-0000145B0000}"/>
    <cellStyle name="Euro 9 8" xfId="16508" xr:uid="{00000000-0005-0000-0000-0000155B0000}"/>
    <cellStyle name="Euro 9 9" xfId="16509" xr:uid="{00000000-0005-0000-0000-0000165B0000}"/>
    <cellStyle name="Explanatory Text 10" xfId="1257" xr:uid="{00000000-0005-0000-0000-0000175B0000}"/>
    <cellStyle name="Explanatory Text 10 2" xfId="3261" xr:uid="{00000000-0005-0000-0000-0000185B0000}"/>
    <cellStyle name="Explanatory Text 10 2 2" xfId="16512" xr:uid="{00000000-0005-0000-0000-0000195B0000}"/>
    <cellStyle name="Explanatory Text 10 2 3" xfId="16513" xr:uid="{00000000-0005-0000-0000-00001A5B0000}"/>
    <cellStyle name="Explanatory Text 10 2 4" xfId="16514" xr:uid="{00000000-0005-0000-0000-00001B5B0000}"/>
    <cellStyle name="Explanatory Text 10 2 5" xfId="16515" xr:uid="{00000000-0005-0000-0000-00001C5B0000}"/>
    <cellStyle name="Explanatory Text 10 2 6" xfId="16511" xr:uid="{00000000-0005-0000-0000-00001D5B0000}"/>
    <cellStyle name="Explanatory Text 10 3" xfId="16516" xr:uid="{00000000-0005-0000-0000-00001E5B0000}"/>
    <cellStyle name="Explanatory Text 10 4" xfId="16517" xr:uid="{00000000-0005-0000-0000-00001F5B0000}"/>
    <cellStyle name="Explanatory Text 10 5" xfId="16518" xr:uid="{00000000-0005-0000-0000-0000205B0000}"/>
    <cellStyle name="Explanatory Text 10 6" xfId="16519" xr:uid="{00000000-0005-0000-0000-0000215B0000}"/>
    <cellStyle name="Explanatory Text 10 7" xfId="16520" xr:uid="{00000000-0005-0000-0000-0000225B0000}"/>
    <cellStyle name="Explanatory Text 10 8" xfId="16510" xr:uid="{00000000-0005-0000-0000-0000235B0000}"/>
    <cellStyle name="Explanatory Text 11" xfId="1258" xr:uid="{00000000-0005-0000-0000-0000245B0000}"/>
    <cellStyle name="Explanatory Text 11 2" xfId="8135" xr:uid="{00000000-0005-0000-0000-0000255B0000}"/>
    <cellStyle name="Explanatory Text 11 2 2" xfId="16523" xr:uid="{00000000-0005-0000-0000-0000265B0000}"/>
    <cellStyle name="Explanatory Text 11 2 3" xfId="16524" xr:uid="{00000000-0005-0000-0000-0000275B0000}"/>
    <cellStyle name="Explanatory Text 11 2 4" xfId="16525" xr:uid="{00000000-0005-0000-0000-0000285B0000}"/>
    <cellStyle name="Explanatory Text 11 2 5" xfId="16526" xr:uid="{00000000-0005-0000-0000-0000295B0000}"/>
    <cellStyle name="Explanatory Text 11 2 6" xfId="16522" xr:uid="{00000000-0005-0000-0000-00002A5B0000}"/>
    <cellStyle name="Explanatory Text 11 3" xfId="16527" xr:uid="{00000000-0005-0000-0000-00002B5B0000}"/>
    <cellStyle name="Explanatory Text 11 4" xfId="16528" xr:uid="{00000000-0005-0000-0000-00002C5B0000}"/>
    <cellStyle name="Explanatory Text 11 5" xfId="16529" xr:uid="{00000000-0005-0000-0000-00002D5B0000}"/>
    <cellStyle name="Explanatory Text 11 6" xfId="16530" xr:uid="{00000000-0005-0000-0000-00002E5B0000}"/>
    <cellStyle name="Explanatory Text 11 7" xfId="16531" xr:uid="{00000000-0005-0000-0000-00002F5B0000}"/>
    <cellStyle name="Explanatory Text 11 8" xfId="16521" xr:uid="{00000000-0005-0000-0000-0000305B0000}"/>
    <cellStyle name="Explanatory Text 12" xfId="1259" xr:uid="{00000000-0005-0000-0000-0000315B0000}"/>
    <cellStyle name="Explanatory Text 12 2" xfId="8136" xr:uid="{00000000-0005-0000-0000-0000325B0000}"/>
    <cellStyle name="Explanatory Text 12 2 2" xfId="16534" xr:uid="{00000000-0005-0000-0000-0000335B0000}"/>
    <cellStyle name="Explanatory Text 12 2 3" xfId="16535" xr:uid="{00000000-0005-0000-0000-0000345B0000}"/>
    <cellStyle name="Explanatory Text 12 2 4" xfId="16536" xr:uid="{00000000-0005-0000-0000-0000355B0000}"/>
    <cellStyle name="Explanatory Text 12 2 5" xfId="16537" xr:uid="{00000000-0005-0000-0000-0000365B0000}"/>
    <cellStyle name="Explanatory Text 12 2 6" xfId="16533" xr:uid="{00000000-0005-0000-0000-0000375B0000}"/>
    <cellStyle name="Explanatory Text 12 3" xfId="16538" xr:uid="{00000000-0005-0000-0000-0000385B0000}"/>
    <cellStyle name="Explanatory Text 12 4" xfId="16539" xr:uid="{00000000-0005-0000-0000-0000395B0000}"/>
    <cellStyle name="Explanatory Text 12 5" xfId="16540" xr:uid="{00000000-0005-0000-0000-00003A5B0000}"/>
    <cellStyle name="Explanatory Text 12 6" xfId="16541" xr:uid="{00000000-0005-0000-0000-00003B5B0000}"/>
    <cellStyle name="Explanatory Text 12 7" xfId="16542" xr:uid="{00000000-0005-0000-0000-00003C5B0000}"/>
    <cellStyle name="Explanatory Text 12 8" xfId="16532" xr:uid="{00000000-0005-0000-0000-00003D5B0000}"/>
    <cellStyle name="Explanatory Text 13" xfId="1260" xr:uid="{00000000-0005-0000-0000-00003E5B0000}"/>
    <cellStyle name="Explanatory Text 13 2" xfId="8137" xr:uid="{00000000-0005-0000-0000-00003F5B0000}"/>
    <cellStyle name="Explanatory Text 13 2 2" xfId="16545" xr:uid="{00000000-0005-0000-0000-0000405B0000}"/>
    <cellStyle name="Explanatory Text 13 2 3" xfId="16546" xr:uid="{00000000-0005-0000-0000-0000415B0000}"/>
    <cellStyle name="Explanatory Text 13 2 4" xfId="16547" xr:uid="{00000000-0005-0000-0000-0000425B0000}"/>
    <cellStyle name="Explanatory Text 13 2 5" xfId="16548" xr:uid="{00000000-0005-0000-0000-0000435B0000}"/>
    <cellStyle name="Explanatory Text 13 2 6" xfId="16544" xr:uid="{00000000-0005-0000-0000-0000445B0000}"/>
    <cellStyle name="Explanatory Text 13 3" xfId="16549" xr:uid="{00000000-0005-0000-0000-0000455B0000}"/>
    <cellStyle name="Explanatory Text 13 4" xfId="16550" xr:uid="{00000000-0005-0000-0000-0000465B0000}"/>
    <cellStyle name="Explanatory Text 13 5" xfId="16551" xr:uid="{00000000-0005-0000-0000-0000475B0000}"/>
    <cellStyle name="Explanatory Text 13 6" xfId="16552" xr:uid="{00000000-0005-0000-0000-0000485B0000}"/>
    <cellStyle name="Explanatory Text 13 7" xfId="16553" xr:uid="{00000000-0005-0000-0000-0000495B0000}"/>
    <cellStyle name="Explanatory Text 13 8" xfId="16543" xr:uid="{00000000-0005-0000-0000-00004A5B0000}"/>
    <cellStyle name="Explanatory Text 14" xfId="1261" xr:uid="{00000000-0005-0000-0000-00004B5B0000}"/>
    <cellStyle name="Explanatory Text 14 2" xfId="8138" xr:uid="{00000000-0005-0000-0000-00004C5B0000}"/>
    <cellStyle name="Explanatory Text 14 2 2" xfId="16556" xr:uid="{00000000-0005-0000-0000-00004D5B0000}"/>
    <cellStyle name="Explanatory Text 14 2 3" xfId="16557" xr:uid="{00000000-0005-0000-0000-00004E5B0000}"/>
    <cellStyle name="Explanatory Text 14 2 4" xfId="16558" xr:uid="{00000000-0005-0000-0000-00004F5B0000}"/>
    <cellStyle name="Explanatory Text 14 2 5" xfId="16559" xr:uid="{00000000-0005-0000-0000-0000505B0000}"/>
    <cellStyle name="Explanatory Text 14 2 6" xfId="16555" xr:uid="{00000000-0005-0000-0000-0000515B0000}"/>
    <cellStyle name="Explanatory Text 14 3" xfId="16560" xr:uid="{00000000-0005-0000-0000-0000525B0000}"/>
    <cellStyle name="Explanatory Text 14 4" xfId="16561" xr:uid="{00000000-0005-0000-0000-0000535B0000}"/>
    <cellStyle name="Explanatory Text 14 5" xfId="16562" xr:uid="{00000000-0005-0000-0000-0000545B0000}"/>
    <cellStyle name="Explanatory Text 14 6" xfId="16563" xr:uid="{00000000-0005-0000-0000-0000555B0000}"/>
    <cellStyle name="Explanatory Text 14 7" xfId="16564" xr:uid="{00000000-0005-0000-0000-0000565B0000}"/>
    <cellStyle name="Explanatory Text 14 8" xfId="16554" xr:uid="{00000000-0005-0000-0000-0000575B0000}"/>
    <cellStyle name="Explanatory Text 15" xfId="3262" xr:uid="{00000000-0005-0000-0000-0000585B0000}"/>
    <cellStyle name="Explanatory Text 15 2" xfId="8139" xr:uid="{00000000-0005-0000-0000-0000595B0000}"/>
    <cellStyle name="Explanatory Text 15 2 2" xfId="16567" xr:uid="{00000000-0005-0000-0000-00005A5B0000}"/>
    <cellStyle name="Explanatory Text 15 2 3" xfId="16568" xr:uid="{00000000-0005-0000-0000-00005B5B0000}"/>
    <cellStyle name="Explanatory Text 15 2 4" xfId="16569" xr:uid="{00000000-0005-0000-0000-00005C5B0000}"/>
    <cellStyle name="Explanatory Text 15 2 5" xfId="16570" xr:uid="{00000000-0005-0000-0000-00005D5B0000}"/>
    <cellStyle name="Explanatory Text 15 2 6" xfId="16566" xr:uid="{00000000-0005-0000-0000-00005E5B0000}"/>
    <cellStyle name="Explanatory Text 15 3" xfId="16571" xr:uid="{00000000-0005-0000-0000-00005F5B0000}"/>
    <cellStyle name="Explanatory Text 15 4" xfId="16572" xr:uid="{00000000-0005-0000-0000-0000605B0000}"/>
    <cellStyle name="Explanatory Text 15 5" xfId="16573" xr:uid="{00000000-0005-0000-0000-0000615B0000}"/>
    <cellStyle name="Explanatory Text 15 6" xfId="16574" xr:uid="{00000000-0005-0000-0000-0000625B0000}"/>
    <cellStyle name="Explanatory Text 15 7" xfId="16565" xr:uid="{00000000-0005-0000-0000-0000635B0000}"/>
    <cellStyle name="Explanatory Text 16" xfId="3263" xr:uid="{00000000-0005-0000-0000-0000645B0000}"/>
    <cellStyle name="Explanatory Text 16 2" xfId="8140" xr:uid="{00000000-0005-0000-0000-0000655B0000}"/>
    <cellStyle name="Explanatory Text 16 2 2" xfId="16577" xr:uid="{00000000-0005-0000-0000-0000665B0000}"/>
    <cellStyle name="Explanatory Text 16 2 3" xfId="16578" xr:uid="{00000000-0005-0000-0000-0000675B0000}"/>
    <cellStyle name="Explanatory Text 16 2 4" xfId="16579" xr:uid="{00000000-0005-0000-0000-0000685B0000}"/>
    <cellStyle name="Explanatory Text 16 2 5" xfId="16580" xr:uid="{00000000-0005-0000-0000-0000695B0000}"/>
    <cellStyle name="Explanatory Text 16 2 6" xfId="16576" xr:uid="{00000000-0005-0000-0000-00006A5B0000}"/>
    <cellStyle name="Explanatory Text 16 3" xfId="16581" xr:uid="{00000000-0005-0000-0000-00006B5B0000}"/>
    <cellStyle name="Explanatory Text 16 4" xfId="16582" xr:uid="{00000000-0005-0000-0000-00006C5B0000}"/>
    <cellStyle name="Explanatory Text 16 5" xfId="16583" xr:uid="{00000000-0005-0000-0000-00006D5B0000}"/>
    <cellStyle name="Explanatory Text 16 6" xfId="16584" xr:uid="{00000000-0005-0000-0000-00006E5B0000}"/>
    <cellStyle name="Explanatory Text 16 7" xfId="16575" xr:uid="{00000000-0005-0000-0000-00006F5B0000}"/>
    <cellStyle name="Explanatory Text 17" xfId="3264" xr:uid="{00000000-0005-0000-0000-0000705B0000}"/>
    <cellStyle name="Explanatory Text 17 2" xfId="8141" xr:uid="{00000000-0005-0000-0000-0000715B0000}"/>
    <cellStyle name="Explanatory Text 17 2 2" xfId="16587" xr:uid="{00000000-0005-0000-0000-0000725B0000}"/>
    <cellStyle name="Explanatory Text 17 2 3" xfId="16588" xr:uid="{00000000-0005-0000-0000-0000735B0000}"/>
    <cellStyle name="Explanatory Text 17 2 4" xfId="16589" xr:uid="{00000000-0005-0000-0000-0000745B0000}"/>
    <cellStyle name="Explanatory Text 17 2 5" xfId="16590" xr:uid="{00000000-0005-0000-0000-0000755B0000}"/>
    <cellStyle name="Explanatory Text 17 2 6" xfId="16586" xr:uid="{00000000-0005-0000-0000-0000765B0000}"/>
    <cellStyle name="Explanatory Text 17 3" xfId="16591" xr:uid="{00000000-0005-0000-0000-0000775B0000}"/>
    <cellStyle name="Explanatory Text 17 4" xfId="16592" xr:uid="{00000000-0005-0000-0000-0000785B0000}"/>
    <cellStyle name="Explanatory Text 17 5" xfId="16593" xr:uid="{00000000-0005-0000-0000-0000795B0000}"/>
    <cellStyle name="Explanatory Text 17 6" xfId="16594" xr:uid="{00000000-0005-0000-0000-00007A5B0000}"/>
    <cellStyle name="Explanatory Text 17 7" xfId="16585" xr:uid="{00000000-0005-0000-0000-00007B5B0000}"/>
    <cellStyle name="Explanatory Text 18" xfId="3265" xr:uid="{00000000-0005-0000-0000-00007C5B0000}"/>
    <cellStyle name="Explanatory Text 18 2" xfId="8142" xr:uid="{00000000-0005-0000-0000-00007D5B0000}"/>
    <cellStyle name="Explanatory Text 18 2 2" xfId="16597" xr:uid="{00000000-0005-0000-0000-00007E5B0000}"/>
    <cellStyle name="Explanatory Text 18 2 3" xfId="16598" xr:uid="{00000000-0005-0000-0000-00007F5B0000}"/>
    <cellStyle name="Explanatory Text 18 2 4" xfId="16599" xr:uid="{00000000-0005-0000-0000-0000805B0000}"/>
    <cellStyle name="Explanatory Text 18 2 5" xfId="16600" xr:uid="{00000000-0005-0000-0000-0000815B0000}"/>
    <cellStyle name="Explanatory Text 18 2 6" xfId="16596" xr:uid="{00000000-0005-0000-0000-0000825B0000}"/>
    <cellStyle name="Explanatory Text 18 3" xfId="16601" xr:uid="{00000000-0005-0000-0000-0000835B0000}"/>
    <cellStyle name="Explanatory Text 18 4" xfId="16602" xr:uid="{00000000-0005-0000-0000-0000845B0000}"/>
    <cellStyle name="Explanatory Text 18 5" xfId="16603" xr:uid="{00000000-0005-0000-0000-0000855B0000}"/>
    <cellStyle name="Explanatory Text 18 6" xfId="16604" xr:uid="{00000000-0005-0000-0000-0000865B0000}"/>
    <cellStyle name="Explanatory Text 18 7" xfId="16595" xr:uid="{00000000-0005-0000-0000-0000875B0000}"/>
    <cellStyle name="Explanatory Text 19" xfId="3266" xr:uid="{00000000-0005-0000-0000-0000885B0000}"/>
    <cellStyle name="Explanatory Text 19 2" xfId="8143" xr:uid="{00000000-0005-0000-0000-0000895B0000}"/>
    <cellStyle name="Explanatory Text 19 2 2" xfId="16607" xr:uid="{00000000-0005-0000-0000-00008A5B0000}"/>
    <cellStyle name="Explanatory Text 19 2 3" xfId="16608" xr:uid="{00000000-0005-0000-0000-00008B5B0000}"/>
    <cellStyle name="Explanatory Text 19 2 4" xfId="16609" xr:uid="{00000000-0005-0000-0000-00008C5B0000}"/>
    <cellStyle name="Explanatory Text 19 2 5" xfId="16610" xr:uid="{00000000-0005-0000-0000-00008D5B0000}"/>
    <cellStyle name="Explanatory Text 19 2 6" xfId="16606" xr:uid="{00000000-0005-0000-0000-00008E5B0000}"/>
    <cellStyle name="Explanatory Text 19 3" xfId="16611" xr:uid="{00000000-0005-0000-0000-00008F5B0000}"/>
    <cellStyle name="Explanatory Text 19 4" xfId="16612" xr:uid="{00000000-0005-0000-0000-0000905B0000}"/>
    <cellStyle name="Explanatory Text 19 5" xfId="16613" xr:uid="{00000000-0005-0000-0000-0000915B0000}"/>
    <cellStyle name="Explanatory Text 19 6" xfId="16614" xr:uid="{00000000-0005-0000-0000-0000925B0000}"/>
    <cellStyle name="Explanatory Text 19 7" xfId="16605" xr:uid="{00000000-0005-0000-0000-0000935B0000}"/>
    <cellStyle name="Explanatory Text 2" xfId="1262" xr:uid="{00000000-0005-0000-0000-0000945B0000}"/>
    <cellStyle name="Explanatory Text 2 10" xfId="16616" xr:uid="{00000000-0005-0000-0000-0000955B0000}"/>
    <cellStyle name="Explanatory Text 2 11" xfId="16617" xr:uid="{00000000-0005-0000-0000-0000965B0000}"/>
    <cellStyle name="Explanatory Text 2 12" xfId="16618" xr:uid="{00000000-0005-0000-0000-0000975B0000}"/>
    <cellStyle name="Explanatory Text 2 13" xfId="16619" xr:uid="{00000000-0005-0000-0000-0000985B0000}"/>
    <cellStyle name="Explanatory Text 2 14" xfId="16620" xr:uid="{00000000-0005-0000-0000-0000995B0000}"/>
    <cellStyle name="Explanatory Text 2 15" xfId="16621" xr:uid="{00000000-0005-0000-0000-00009A5B0000}"/>
    <cellStyle name="Explanatory Text 2 16" xfId="16615" xr:uid="{00000000-0005-0000-0000-00009B5B0000}"/>
    <cellStyle name="Explanatory Text 2 2" xfId="1263" xr:uid="{00000000-0005-0000-0000-00009C5B0000}"/>
    <cellStyle name="Explanatory Text 2 2 2" xfId="16623" xr:uid="{00000000-0005-0000-0000-00009D5B0000}"/>
    <cellStyle name="Explanatory Text 2 2 3" xfId="16624" xr:uid="{00000000-0005-0000-0000-00009E5B0000}"/>
    <cellStyle name="Explanatory Text 2 2 4" xfId="16625" xr:uid="{00000000-0005-0000-0000-00009F5B0000}"/>
    <cellStyle name="Explanatory Text 2 2 5" xfId="16626" xr:uid="{00000000-0005-0000-0000-0000A05B0000}"/>
    <cellStyle name="Explanatory Text 2 2 6" xfId="16627" xr:uid="{00000000-0005-0000-0000-0000A15B0000}"/>
    <cellStyle name="Explanatory Text 2 2 7" xfId="16622" xr:uid="{00000000-0005-0000-0000-0000A25B0000}"/>
    <cellStyle name="Explanatory Text 2 3" xfId="1264" xr:uid="{00000000-0005-0000-0000-0000A35B0000}"/>
    <cellStyle name="Explanatory Text 2 3 2" xfId="16629" xr:uid="{00000000-0005-0000-0000-0000A45B0000}"/>
    <cellStyle name="Explanatory Text 2 3 3" xfId="16630" xr:uid="{00000000-0005-0000-0000-0000A55B0000}"/>
    <cellStyle name="Explanatory Text 2 3 4" xfId="16631" xr:uid="{00000000-0005-0000-0000-0000A65B0000}"/>
    <cellStyle name="Explanatory Text 2 3 5" xfId="16632" xr:uid="{00000000-0005-0000-0000-0000A75B0000}"/>
    <cellStyle name="Explanatory Text 2 3 6" xfId="16633" xr:uid="{00000000-0005-0000-0000-0000A85B0000}"/>
    <cellStyle name="Explanatory Text 2 3 7" xfId="16628" xr:uid="{00000000-0005-0000-0000-0000A95B0000}"/>
    <cellStyle name="Explanatory Text 2 4" xfId="1265" xr:uid="{00000000-0005-0000-0000-0000AA5B0000}"/>
    <cellStyle name="Explanatory Text 2 4 2" xfId="16635" xr:uid="{00000000-0005-0000-0000-0000AB5B0000}"/>
    <cellStyle name="Explanatory Text 2 4 3" xfId="16636" xr:uid="{00000000-0005-0000-0000-0000AC5B0000}"/>
    <cellStyle name="Explanatory Text 2 4 4" xfId="16637" xr:uid="{00000000-0005-0000-0000-0000AD5B0000}"/>
    <cellStyle name="Explanatory Text 2 4 5" xfId="16638" xr:uid="{00000000-0005-0000-0000-0000AE5B0000}"/>
    <cellStyle name="Explanatory Text 2 4 6" xfId="16639" xr:uid="{00000000-0005-0000-0000-0000AF5B0000}"/>
    <cellStyle name="Explanatory Text 2 4 7" xfId="16634" xr:uid="{00000000-0005-0000-0000-0000B05B0000}"/>
    <cellStyle name="Explanatory Text 2 5" xfId="1266" xr:uid="{00000000-0005-0000-0000-0000B15B0000}"/>
    <cellStyle name="Explanatory Text 2 5 2" xfId="16641" xr:uid="{00000000-0005-0000-0000-0000B25B0000}"/>
    <cellStyle name="Explanatory Text 2 5 3" xfId="16642" xr:uid="{00000000-0005-0000-0000-0000B35B0000}"/>
    <cellStyle name="Explanatory Text 2 5 4" xfId="16643" xr:uid="{00000000-0005-0000-0000-0000B45B0000}"/>
    <cellStyle name="Explanatory Text 2 5 5" xfId="16644" xr:uid="{00000000-0005-0000-0000-0000B55B0000}"/>
    <cellStyle name="Explanatory Text 2 5 6" xfId="16645" xr:uid="{00000000-0005-0000-0000-0000B65B0000}"/>
    <cellStyle name="Explanatory Text 2 5 7" xfId="16640" xr:uid="{00000000-0005-0000-0000-0000B75B0000}"/>
    <cellStyle name="Explanatory Text 2 6" xfId="1267" xr:uid="{00000000-0005-0000-0000-0000B85B0000}"/>
    <cellStyle name="Explanatory Text 2 6 2" xfId="16647" xr:uid="{00000000-0005-0000-0000-0000B95B0000}"/>
    <cellStyle name="Explanatory Text 2 6 3" xfId="16648" xr:uid="{00000000-0005-0000-0000-0000BA5B0000}"/>
    <cellStyle name="Explanatory Text 2 6 4" xfId="16649" xr:uid="{00000000-0005-0000-0000-0000BB5B0000}"/>
    <cellStyle name="Explanatory Text 2 6 5" xfId="16650" xr:uid="{00000000-0005-0000-0000-0000BC5B0000}"/>
    <cellStyle name="Explanatory Text 2 6 6" xfId="16651" xr:uid="{00000000-0005-0000-0000-0000BD5B0000}"/>
    <cellStyle name="Explanatory Text 2 6 7" xfId="16646" xr:uid="{00000000-0005-0000-0000-0000BE5B0000}"/>
    <cellStyle name="Explanatory Text 2 7" xfId="1268" xr:uid="{00000000-0005-0000-0000-0000BF5B0000}"/>
    <cellStyle name="Explanatory Text 2 7 2" xfId="16653" xr:uid="{00000000-0005-0000-0000-0000C05B0000}"/>
    <cellStyle name="Explanatory Text 2 7 3" xfId="16654" xr:uid="{00000000-0005-0000-0000-0000C15B0000}"/>
    <cellStyle name="Explanatory Text 2 7 4" xfId="16655" xr:uid="{00000000-0005-0000-0000-0000C25B0000}"/>
    <cellStyle name="Explanatory Text 2 7 5" xfId="16656" xr:uid="{00000000-0005-0000-0000-0000C35B0000}"/>
    <cellStyle name="Explanatory Text 2 7 6" xfId="16657" xr:uid="{00000000-0005-0000-0000-0000C45B0000}"/>
    <cellStyle name="Explanatory Text 2 7 7" xfId="16652" xr:uid="{00000000-0005-0000-0000-0000C55B0000}"/>
    <cellStyle name="Explanatory Text 2 8" xfId="1269" xr:uid="{00000000-0005-0000-0000-0000C65B0000}"/>
    <cellStyle name="Explanatory Text 2 8 2" xfId="16659" xr:uid="{00000000-0005-0000-0000-0000C75B0000}"/>
    <cellStyle name="Explanatory Text 2 8 3" xfId="16660" xr:uid="{00000000-0005-0000-0000-0000C85B0000}"/>
    <cellStyle name="Explanatory Text 2 8 4" xfId="16661" xr:uid="{00000000-0005-0000-0000-0000C95B0000}"/>
    <cellStyle name="Explanatory Text 2 8 5" xfId="16662" xr:uid="{00000000-0005-0000-0000-0000CA5B0000}"/>
    <cellStyle name="Explanatory Text 2 8 6" xfId="16663" xr:uid="{00000000-0005-0000-0000-0000CB5B0000}"/>
    <cellStyle name="Explanatory Text 2 8 7" xfId="16658" xr:uid="{00000000-0005-0000-0000-0000CC5B0000}"/>
    <cellStyle name="Explanatory Text 2 9" xfId="1270" xr:uid="{00000000-0005-0000-0000-0000CD5B0000}"/>
    <cellStyle name="Explanatory Text 2 9 2" xfId="16665" xr:uid="{00000000-0005-0000-0000-0000CE5B0000}"/>
    <cellStyle name="Explanatory Text 2 9 3" xfId="16666" xr:uid="{00000000-0005-0000-0000-0000CF5B0000}"/>
    <cellStyle name="Explanatory Text 2 9 4" xfId="16667" xr:uid="{00000000-0005-0000-0000-0000D05B0000}"/>
    <cellStyle name="Explanatory Text 2 9 5" xfId="16668" xr:uid="{00000000-0005-0000-0000-0000D15B0000}"/>
    <cellStyle name="Explanatory Text 2 9 6" xfId="16669" xr:uid="{00000000-0005-0000-0000-0000D25B0000}"/>
    <cellStyle name="Explanatory Text 2 9 7" xfId="16664" xr:uid="{00000000-0005-0000-0000-0000D35B0000}"/>
    <cellStyle name="Explanatory Text 20" xfId="3267" xr:uid="{00000000-0005-0000-0000-0000D45B0000}"/>
    <cellStyle name="Explanatory Text 20 2" xfId="8144" xr:uid="{00000000-0005-0000-0000-0000D55B0000}"/>
    <cellStyle name="Explanatory Text 20 2 2" xfId="16672" xr:uid="{00000000-0005-0000-0000-0000D65B0000}"/>
    <cellStyle name="Explanatory Text 20 2 3" xfId="16673" xr:uid="{00000000-0005-0000-0000-0000D75B0000}"/>
    <cellStyle name="Explanatory Text 20 2 4" xfId="16674" xr:uid="{00000000-0005-0000-0000-0000D85B0000}"/>
    <cellStyle name="Explanatory Text 20 2 5" xfId="16675" xr:uid="{00000000-0005-0000-0000-0000D95B0000}"/>
    <cellStyle name="Explanatory Text 20 2 6" xfId="16671" xr:uid="{00000000-0005-0000-0000-0000DA5B0000}"/>
    <cellStyle name="Explanatory Text 20 3" xfId="16676" xr:uid="{00000000-0005-0000-0000-0000DB5B0000}"/>
    <cellStyle name="Explanatory Text 20 4" xfId="16677" xr:uid="{00000000-0005-0000-0000-0000DC5B0000}"/>
    <cellStyle name="Explanatory Text 20 5" xfId="16678" xr:uid="{00000000-0005-0000-0000-0000DD5B0000}"/>
    <cellStyle name="Explanatory Text 20 6" xfId="16679" xr:uid="{00000000-0005-0000-0000-0000DE5B0000}"/>
    <cellStyle name="Explanatory Text 20 7" xfId="16670" xr:uid="{00000000-0005-0000-0000-0000DF5B0000}"/>
    <cellStyle name="Explanatory Text 21" xfId="8145" xr:uid="{00000000-0005-0000-0000-0000E05B0000}"/>
    <cellStyle name="Explanatory Text 21 2" xfId="16681" xr:uid="{00000000-0005-0000-0000-0000E15B0000}"/>
    <cellStyle name="Explanatory Text 21 3" xfId="16682" xr:uid="{00000000-0005-0000-0000-0000E25B0000}"/>
    <cellStyle name="Explanatory Text 21 4" xfId="16683" xr:uid="{00000000-0005-0000-0000-0000E35B0000}"/>
    <cellStyle name="Explanatory Text 21 5" xfId="16684" xr:uid="{00000000-0005-0000-0000-0000E45B0000}"/>
    <cellStyle name="Explanatory Text 21 6" xfId="16680" xr:uid="{00000000-0005-0000-0000-0000E55B0000}"/>
    <cellStyle name="Explanatory Text 22" xfId="6571" xr:uid="{00000000-0005-0000-0000-0000E65B0000}"/>
    <cellStyle name="Explanatory Text 22 2" xfId="16686" xr:uid="{00000000-0005-0000-0000-0000E75B0000}"/>
    <cellStyle name="Explanatory Text 22 3" xfId="16685" xr:uid="{00000000-0005-0000-0000-0000E85B0000}"/>
    <cellStyle name="Explanatory Text 23" xfId="16687" xr:uid="{00000000-0005-0000-0000-0000E95B0000}"/>
    <cellStyle name="Explanatory Text 24" xfId="16688" xr:uid="{00000000-0005-0000-0000-0000EA5B0000}"/>
    <cellStyle name="Explanatory Text 25" xfId="16689" xr:uid="{00000000-0005-0000-0000-0000EB5B0000}"/>
    <cellStyle name="Explanatory Text 3" xfId="1271" xr:uid="{00000000-0005-0000-0000-0000EC5B0000}"/>
    <cellStyle name="Explanatory Text 3 10" xfId="3268" xr:uid="{00000000-0005-0000-0000-0000ED5B0000}"/>
    <cellStyle name="Explanatory Text 3 10 2" xfId="16692" xr:uid="{00000000-0005-0000-0000-0000EE5B0000}"/>
    <cellStyle name="Explanatory Text 3 10 3" xfId="16693" xr:uid="{00000000-0005-0000-0000-0000EF5B0000}"/>
    <cellStyle name="Explanatory Text 3 10 4" xfId="16694" xr:uid="{00000000-0005-0000-0000-0000F05B0000}"/>
    <cellStyle name="Explanatory Text 3 10 5" xfId="16695" xr:uid="{00000000-0005-0000-0000-0000F15B0000}"/>
    <cellStyle name="Explanatory Text 3 10 6" xfId="16691" xr:uid="{00000000-0005-0000-0000-0000F25B0000}"/>
    <cellStyle name="Explanatory Text 3 11" xfId="3269" xr:uid="{00000000-0005-0000-0000-0000F35B0000}"/>
    <cellStyle name="Explanatory Text 3 11 2" xfId="16697" xr:uid="{00000000-0005-0000-0000-0000F45B0000}"/>
    <cellStyle name="Explanatory Text 3 11 3" xfId="16698" xr:uid="{00000000-0005-0000-0000-0000F55B0000}"/>
    <cellStyle name="Explanatory Text 3 11 4" xfId="16699" xr:uid="{00000000-0005-0000-0000-0000F65B0000}"/>
    <cellStyle name="Explanatory Text 3 11 5" xfId="16700" xr:uid="{00000000-0005-0000-0000-0000F75B0000}"/>
    <cellStyle name="Explanatory Text 3 11 6" xfId="16696" xr:uid="{00000000-0005-0000-0000-0000F85B0000}"/>
    <cellStyle name="Explanatory Text 3 12" xfId="3270" xr:uid="{00000000-0005-0000-0000-0000F95B0000}"/>
    <cellStyle name="Explanatory Text 3 12 2" xfId="16702" xr:uid="{00000000-0005-0000-0000-0000FA5B0000}"/>
    <cellStyle name="Explanatory Text 3 12 3" xfId="16703" xr:uid="{00000000-0005-0000-0000-0000FB5B0000}"/>
    <cellStyle name="Explanatory Text 3 12 4" xfId="16704" xr:uid="{00000000-0005-0000-0000-0000FC5B0000}"/>
    <cellStyle name="Explanatory Text 3 12 5" xfId="16705" xr:uid="{00000000-0005-0000-0000-0000FD5B0000}"/>
    <cellStyle name="Explanatory Text 3 12 6" xfId="16701" xr:uid="{00000000-0005-0000-0000-0000FE5B0000}"/>
    <cellStyle name="Explanatory Text 3 13" xfId="3271" xr:uid="{00000000-0005-0000-0000-0000FF5B0000}"/>
    <cellStyle name="Explanatory Text 3 13 2" xfId="16707" xr:uid="{00000000-0005-0000-0000-0000005C0000}"/>
    <cellStyle name="Explanatory Text 3 13 3" xfId="16708" xr:uid="{00000000-0005-0000-0000-0000015C0000}"/>
    <cellStyle name="Explanatory Text 3 13 4" xfId="16709" xr:uid="{00000000-0005-0000-0000-0000025C0000}"/>
    <cellStyle name="Explanatory Text 3 13 5" xfId="16710" xr:uid="{00000000-0005-0000-0000-0000035C0000}"/>
    <cellStyle name="Explanatory Text 3 13 6" xfId="16706" xr:uid="{00000000-0005-0000-0000-0000045C0000}"/>
    <cellStyle name="Explanatory Text 3 14" xfId="3272" xr:uid="{00000000-0005-0000-0000-0000055C0000}"/>
    <cellStyle name="Explanatory Text 3 14 2" xfId="16712" xr:uid="{00000000-0005-0000-0000-0000065C0000}"/>
    <cellStyle name="Explanatory Text 3 14 3" xfId="16713" xr:uid="{00000000-0005-0000-0000-0000075C0000}"/>
    <cellStyle name="Explanatory Text 3 14 4" xfId="16714" xr:uid="{00000000-0005-0000-0000-0000085C0000}"/>
    <cellStyle name="Explanatory Text 3 14 5" xfId="16715" xr:uid="{00000000-0005-0000-0000-0000095C0000}"/>
    <cellStyle name="Explanatory Text 3 14 6" xfId="16711" xr:uid="{00000000-0005-0000-0000-00000A5C0000}"/>
    <cellStyle name="Explanatory Text 3 15" xfId="8146" xr:uid="{00000000-0005-0000-0000-00000B5C0000}"/>
    <cellStyle name="Explanatory Text 3 15 2" xfId="16717" xr:uid="{00000000-0005-0000-0000-00000C5C0000}"/>
    <cellStyle name="Explanatory Text 3 15 3" xfId="16718" xr:uid="{00000000-0005-0000-0000-00000D5C0000}"/>
    <cellStyle name="Explanatory Text 3 15 4" xfId="16719" xr:uid="{00000000-0005-0000-0000-00000E5C0000}"/>
    <cellStyle name="Explanatory Text 3 15 5" xfId="16720" xr:uid="{00000000-0005-0000-0000-00000F5C0000}"/>
    <cellStyle name="Explanatory Text 3 15 6" xfId="16716" xr:uid="{00000000-0005-0000-0000-0000105C0000}"/>
    <cellStyle name="Explanatory Text 3 16" xfId="16721" xr:uid="{00000000-0005-0000-0000-0000115C0000}"/>
    <cellStyle name="Explanatory Text 3 17" xfId="16722" xr:uid="{00000000-0005-0000-0000-0000125C0000}"/>
    <cellStyle name="Explanatory Text 3 18" xfId="16723" xr:uid="{00000000-0005-0000-0000-0000135C0000}"/>
    <cellStyle name="Explanatory Text 3 19" xfId="16724" xr:uid="{00000000-0005-0000-0000-0000145C0000}"/>
    <cellStyle name="Explanatory Text 3 2" xfId="1272" xr:uid="{00000000-0005-0000-0000-0000155C0000}"/>
    <cellStyle name="Explanatory Text 3 2 2" xfId="16726" xr:uid="{00000000-0005-0000-0000-0000165C0000}"/>
    <cellStyle name="Explanatory Text 3 2 3" xfId="16727" xr:uid="{00000000-0005-0000-0000-0000175C0000}"/>
    <cellStyle name="Explanatory Text 3 2 4" xfId="16728" xr:uid="{00000000-0005-0000-0000-0000185C0000}"/>
    <cellStyle name="Explanatory Text 3 2 5" xfId="16729" xr:uid="{00000000-0005-0000-0000-0000195C0000}"/>
    <cellStyle name="Explanatory Text 3 2 6" xfId="16730" xr:uid="{00000000-0005-0000-0000-00001A5C0000}"/>
    <cellStyle name="Explanatory Text 3 2 7" xfId="16725" xr:uid="{00000000-0005-0000-0000-00001B5C0000}"/>
    <cellStyle name="Explanatory Text 3 20" xfId="16731" xr:uid="{00000000-0005-0000-0000-00001C5C0000}"/>
    <cellStyle name="Explanatory Text 3 21" xfId="16690" xr:uid="{00000000-0005-0000-0000-00001D5C0000}"/>
    <cellStyle name="Explanatory Text 3 3" xfId="3273" xr:uid="{00000000-0005-0000-0000-00001E5C0000}"/>
    <cellStyle name="Explanatory Text 3 3 2" xfId="16733" xr:uid="{00000000-0005-0000-0000-00001F5C0000}"/>
    <cellStyle name="Explanatory Text 3 3 3" xfId="16734" xr:uid="{00000000-0005-0000-0000-0000205C0000}"/>
    <cellStyle name="Explanatory Text 3 3 4" xfId="16735" xr:uid="{00000000-0005-0000-0000-0000215C0000}"/>
    <cellStyle name="Explanatory Text 3 3 5" xfId="16736" xr:uid="{00000000-0005-0000-0000-0000225C0000}"/>
    <cellStyle name="Explanatory Text 3 3 6" xfId="16732" xr:uid="{00000000-0005-0000-0000-0000235C0000}"/>
    <cellStyle name="Explanatory Text 3 4" xfId="3274" xr:uid="{00000000-0005-0000-0000-0000245C0000}"/>
    <cellStyle name="Explanatory Text 3 4 2" xfId="16738" xr:uid="{00000000-0005-0000-0000-0000255C0000}"/>
    <cellStyle name="Explanatory Text 3 4 3" xfId="16739" xr:uid="{00000000-0005-0000-0000-0000265C0000}"/>
    <cellStyle name="Explanatory Text 3 4 4" xfId="16740" xr:uid="{00000000-0005-0000-0000-0000275C0000}"/>
    <cellStyle name="Explanatory Text 3 4 5" xfId="16741" xr:uid="{00000000-0005-0000-0000-0000285C0000}"/>
    <cellStyle name="Explanatory Text 3 4 6" xfId="16737" xr:uid="{00000000-0005-0000-0000-0000295C0000}"/>
    <cellStyle name="Explanatory Text 3 5" xfId="3275" xr:uid="{00000000-0005-0000-0000-00002A5C0000}"/>
    <cellStyle name="Explanatory Text 3 5 2" xfId="16743" xr:uid="{00000000-0005-0000-0000-00002B5C0000}"/>
    <cellStyle name="Explanatory Text 3 5 3" xfId="16744" xr:uid="{00000000-0005-0000-0000-00002C5C0000}"/>
    <cellStyle name="Explanatory Text 3 5 4" xfId="16745" xr:uid="{00000000-0005-0000-0000-00002D5C0000}"/>
    <cellStyle name="Explanatory Text 3 5 5" xfId="16746" xr:uid="{00000000-0005-0000-0000-00002E5C0000}"/>
    <cellStyle name="Explanatory Text 3 5 6" xfId="16742" xr:uid="{00000000-0005-0000-0000-00002F5C0000}"/>
    <cellStyle name="Explanatory Text 3 6" xfId="3276" xr:uid="{00000000-0005-0000-0000-0000305C0000}"/>
    <cellStyle name="Explanatory Text 3 6 2" xfId="16748" xr:uid="{00000000-0005-0000-0000-0000315C0000}"/>
    <cellStyle name="Explanatory Text 3 6 3" xfId="16749" xr:uid="{00000000-0005-0000-0000-0000325C0000}"/>
    <cellStyle name="Explanatory Text 3 6 4" xfId="16750" xr:uid="{00000000-0005-0000-0000-0000335C0000}"/>
    <cellStyle name="Explanatory Text 3 6 5" xfId="16751" xr:uid="{00000000-0005-0000-0000-0000345C0000}"/>
    <cellStyle name="Explanatory Text 3 6 6" xfId="16747" xr:uid="{00000000-0005-0000-0000-0000355C0000}"/>
    <cellStyle name="Explanatory Text 3 7" xfId="3277" xr:uid="{00000000-0005-0000-0000-0000365C0000}"/>
    <cellStyle name="Explanatory Text 3 7 2" xfId="16753" xr:uid="{00000000-0005-0000-0000-0000375C0000}"/>
    <cellStyle name="Explanatory Text 3 7 3" xfId="16754" xr:uid="{00000000-0005-0000-0000-0000385C0000}"/>
    <cellStyle name="Explanatory Text 3 7 4" xfId="16755" xr:uid="{00000000-0005-0000-0000-0000395C0000}"/>
    <cellStyle name="Explanatory Text 3 7 5" xfId="16756" xr:uid="{00000000-0005-0000-0000-00003A5C0000}"/>
    <cellStyle name="Explanatory Text 3 7 6" xfId="16752" xr:uid="{00000000-0005-0000-0000-00003B5C0000}"/>
    <cellStyle name="Explanatory Text 3 8" xfId="3278" xr:uid="{00000000-0005-0000-0000-00003C5C0000}"/>
    <cellStyle name="Explanatory Text 3 8 2" xfId="16758" xr:uid="{00000000-0005-0000-0000-00003D5C0000}"/>
    <cellStyle name="Explanatory Text 3 8 3" xfId="16759" xr:uid="{00000000-0005-0000-0000-00003E5C0000}"/>
    <cellStyle name="Explanatory Text 3 8 4" xfId="16760" xr:uid="{00000000-0005-0000-0000-00003F5C0000}"/>
    <cellStyle name="Explanatory Text 3 8 5" xfId="16761" xr:uid="{00000000-0005-0000-0000-0000405C0000}"/>
    <cellStyle name="Explanatory Text 3 8 6" xfId="16757" xr:uid="{00000000-0005-0000-0000-0000415C0000}"/>
    <cellStyle name="Explanatory Text 3 9" xfId="3279" xr:uid="{00000000-0005-0000-0000-0000425C0000}"/>
    <cellStyle name="Explanatory Text 3 9 2" xfId="16763" xr:uid="{00000000-0005-0000-0000-0000435C0000}"/>
    <cellStyle name="Explanatory Text 3 9 3" xfId="16764" xr:uid="{00000000-0005-0000-0000-0000445C0000}"/>
    <cellStyle name="Explanatory Text 3 9 4" xfId="16765" xr:uid="{00000000-0005-0000-0000-0000455C0000}"/>
    <cellStyle name="Explanatory Text 3 9 5" xfId="16766" xr:uid="{00000000-0005-0000-0000-0000465C0000}"/>
    <cellStyle name="Explanatory Text 3 9 6" xfId="16762" xr:uid="{00000000-0005-0000-0000-0000475C0000}"/>
    <cellStyle name="Explanatory Text 4" xfId="1273" xr:uid="{00000000-0005-0000-0000-0000485C0000}"/>
    <cellStyle name="Explanatory Text 4 2" xfId="1274" xr:uid="{00000000-0005-0000-0000-0000495C0000}"/>
    <cellStyle name="Explanatory Text 4 2 2" xfId="16769" xr:uid="{00000000-0005-0000-0000-00004A5C0000}"/>
    <cellStyle name="Explanatory Text 4 2 3" xfId="16770" xr:uid="{00000000-0005-0000-0000-00004B5C0000}"/>
    <cellStyle name="Explanatory Text 4 2 4" xfId="16771" xr:uid="{00000000-0005-0000-0000-00004C5C0000}"/>
    <cellStyle name="Explanatory Text 4 2 5" xfId="16772" xr:uid="{00000000-0005-0000-0000-00004D5C0000}"/>
    <cellStyle name="Explanatory Text 4 2 6" xfId="16773" xr:uid="{00000000-0005-0000-0000-00004E5C0000}"/>
    <cellStyle name="Explanatory Text 4 2 7" xfId="16768" xr:uid="{00000000-0005-0000-0000-00004F5C0000}"/>
    <cellStyle name="Explanatory Text 4 3" xfId="16774" xr:uid="{00000000-0005-0000-0000-0000505C0000}"/>
    <cellStyle name="Explanatory Text 4 4" xfId="16775" xr:uid="{00000000-0005-0000-0000-0000515C0000}"/>
    <cellStyle name="Explanatory Text 4 5" xfId="16776" xr:uid="{00000000-0005-0000-0000-0000525C0000}"/>
    <cellStyle name="Explanatory Text 4 6" xfId="16777" xr:uid="{00000000-0005-0000-0000-0000535C0000}"/>
    <cellStyle name="Explanatory Text 4 7" xfId="16778" xr:uid="{00000000-0005-0000-0000-0000545C0000}"/>
    <cellStyle name="Explanatory Text 4 8" xfId="16767" xr:uid="{00000000-0005-0000-0000-0000555C0000}"/>
    <cellStyle name="Explanatory Text 5" xfId="1275" xr:uid="{00000000-0005-0000-0000-0000565C0000}"/>
    <cellStyle name="Explanatory Text 5 2" xfId="1276" xr:uid="{00000000-0005-0000-0000-0000575C0000}"/>
    <cellStyle name="Explanatory Text 5 2 2" xfId="16781" xr:uid="{00000000-0005-0000-0000-0000585C0000}"/>
    <cellStyle name="Explanatory Text 5 2 3" xfId="16782" xr:uid="{00000000-0005-0000-0000-0000595C0000}"/>
    <cellStyle name="Explanatory Text 5 2 4" xfId="16783" xr:uid="{00000000-0005-0000-0000-00005A5C0000}"/>
    <cellStyle name="Explanatory Text 5 2 5" xfId="16784" xr:uid="{00000000-0005-0000-0000-00005B5C0000}"/>
    <cellStyle name="Explanatory Text 5 2 6" xfId="16785" xr:uid="{00000000-0005-0000-0000-00005C5C0000}"/>
    <cellStyle name="Explanatory Text 5 2 7" xfId="16780" xr:uid="{00000000-0005-0000-0000-00005D5C0000}"/>
    <cellStyle name="Explanatory Text 5 3" xfId="16786" xr:uid="{00000000-0005-0000-0000-00005E5C0000}"/>
    <cellStyle name="Explanatory Text 5 4" xfId="16787" xr:uid="{00000000-0005-0000-0000-00005F5C0000}"/>
    <cellStyle name="Explanatory Text 5 5" xfId="16788" xr:uid="{00000000-0005-0000-0000-0000605C0000}"/>
    <cellStyle name="Explanatory Text 5 6" xfId="16789" xr:uid="{00000000-0005-0000-0000-0000615C0000}"/>
    <cellStyle name="Explanatory Text 5 7" xfId="16790" xr:uid="{00000000-0005-0000-0000-0000625C0000}"/>
    <cellStyle name="Explanatory Text 5 8" xfId="16779" xr:uid="{00000000-0005-0000-0000-0000635C0000}"/>
    <cellStyle name="Explanatory Text 6" xfId="1277" xr:uid="{00000000-0005-0000-0000-0000645C0000}"/>
    <cellStyle name="Explanatory Text 6 2" xfId="1278" xr:uid="{00000000-0005-0000-0000-0000655C0000}"/>
    <cellStyle name="Explanatory Text 6 2 2" xfId="16793" xr:uid="{00000000-0005-0000-0000-0000665C0000}"/>
    <cellStyle name="Explanatory Text 6 2 3" xfId="16794" xr:uid="{00000000-0005-0000-0000-0000675C0000}"/>
    <cellStyle name="Explanatory Text 6 2 4" xfId="16795" xr:uid="{00000000-0005-0000-0000-0000685C0000}"/>
    <cellStyle name="Explanatory Text 6 2 5" xfId="16796" xr:uid="{00000000-0005-0000-0000-0000695C0000}"/>
    <cellStyle name="Explanatory Text 6 2 6" xfId="16797" xr:uid="{00000000-0005-0000-0000-00006A5C0000}"/>
    <cellStyle name="Explanatory Text 6 2 7" xfId="16792" xr:uid="{00000000-0005-0000-0000-00006B5C0000}"/>
    <cellStyle name="Explanatory Text 6 3" xfId="3280" xr:uid="{00000000-0005-0000-0000-00006C5C0000}"/>
    <cellStyle name="Explanatory Text 6 3 2" xfId="16799" xr:uid="{00000000-0005-0000-0000-00006D5C0000}"/>
    <cellStyle name="Explanatory Text 6 3 3" xfId="16800" xr:uid="{00000000-0005-0000-0000-00006E5C0000}"/>
    <cellStyle name="Explanatory Text 6 3 4" xfId="16801" xr:uid="{00000000-0005-0000-0000-00006F5C0000}"/>
    <cellStyle name="Explanatory Text 6 3 5" xfId="16802" xr:uid="{00000000-0005-0000-0000-0000705C0000}"/>
    <cellStyle name="Explanatory Text 6 3 6" xfId="16798" xr:uid="{00000000-0005-0000-0000-0000715C0000}"/>
    <cellStyle name="Explanatory Text 6 4" xfId="16803" xr:uid="{00000000-0005-0000-0000-0000725C0000}"/>
    <cellStyle name="Explanatory Text 6 5" xfId="16804" xr:uid="{00000000-0005-0000-0000-0000735C0000}"/>
    <cellStyle name="Explanatory Text 6 6" xfId="16805" xr:uid="{00000000-0005-0000-0000-0000745C0000}"/>
    <cellStyle name="Explanatory Text 6 7" xfId="16806" xr:uid="{00000000-0005-0000-0000-0000755C0000}"/>
    <cellStyle name="Explanatory Text 6 8" xfId="16807" xr:uid="{00000000-0005-0000-0000-0000765C0000}"/>
    <cellStyle name="Explanatory Text 6 9" xfId="16791" xr:uid="{00000000-0005-0000-0000-0000775C0000}"/>
    <cellStyle name="Explanatory Text 7" xfId="1279" xr:uid="{00000000-0005-0000-0000-0000785C0000}"/>
    <cellStyle name="Explanatory Text 7 2" xfId="1280" xr:uid="{00000000-0005-0000-0000-0000795C0000}"/>
    <cellStyle name="Explanatory Text 7 2 2" xfId="16810" xr:uid="{00000000-0005-0000-0000-00007A5C0000}"/>
    <cellStyle name="Explanatory Text 7 2 3" xfId="16811" xr:uid="{00000000-0005-0000-0000-00007B5C0000}"/>
    <cellStyle name="Explanatory Text 7 2 4" xfId="16812" xr:uid="{00000000-0005-0000-0000-00007C5C0000}"/>
    <cellStyle name="Explanatory Text 7 2 5" xfId="16813" xr:uid="{00000000-0005-0000-0000-00007D5C0000}"/>
    <cellStyle name="Explanatory Text 7 2 6" xfId="16814" xr:uid="{00000000-0005-0000-0000-00007E5C0000}"/>
    <cellStyle name="Explanatory Text 7 2 7" xfId="16809" xr:uid="{00000000-0005-0000-0000-00007F5C0000}"/>
    <cellStyle name="Explanatory Text 7 3" xfId="3281" xr:uid="{00000000-0005-0000-0000-0000805C0000}"/>
    <cellStyle name="Explanatory Text 7 3 2" xfId="16816" xr:uid="{00000000-0005-0000-0000-0000815C0000}"/>
    <cellStyle name="Explanatory Text 7 3 3" xfId="16817" xr:uid="{00000000-0005-0000-0000-0000825C0000}"/>
    <cellStyle name="Explanatory Text 7 3 4" xfId="16818" xr:uid="{00000000-0005-0000-0000-0000835C0000}"/>
    <cellStyle name="Explanatory Text 7 3 5" xfId="16819" xr:uid="{00000000-0005-0000-0000-0000845C0000}"/>
    <cellStyle name="Explanatory Text 7 3 6" xfId="16815" xr:uid="{00000000-0005-0000-0000-0000855C0000}"/>
    <cellStyle name="Explanatory Text 7 4" xfId="16820" xr:uid="{00000000-0005-0000-0000-0000865C0000}"/>
    <cellStyle name="Explanatory Text 7 5" xfId="16821" xr:uid="{00000000-0005-0000-0000-0000875C0000}"/>
    <cellStyle name="Explanatory Text 7 6" xfId="16822" xr:uid="{00000000-0005-0000-0000-0000885C0000}"/>
    <cellStyle name="Explanatory Text 7 7" xfId="16823" xr:uid="{00000000-0005-0000-0000-0000895C0000}"/>
    <cellStyle name="Explanatory Text 7 8" xfId="16824" xr:uid="{00000000-0005-0000-0000-00008A5C0000}"/>
    <cellStyle name="Explanatory Text 7 9" xfId="16808" xr:uid="{00000000-0005-0000-0000-00008B5C0000}"/>
    <cellStyle name="Explanatory Text 8" xfId="1281" xr:uid="{00000000-0005-0000-0000-00008C5C0000}"/>
    <cellStyle name="Explanatory Text 8 2" xfId="1282" xr:uid="{00000000-0005-0000-0000-00008D5C0000}"/>
    <cellStyle name="Explanatory Text 8 2 2" xfId="16827" xr:uid="{00000000-0005-0000-0000-00008E5C0000}"/>
    <cellStyle name="Explanatory Text 8 2 3" xfId="16828" xr:uid="{00000000-0005-0000-0000-00008F5C0000}"/>
    <cellStyle name="Explanatory Text 8 2 4" xfId="16829" xr:uid="{00000000-0005-0000-0000-0000905C0000}"/>
    <cellStyle name="Explanatory Text 8 2 5" xfId="16830" xr:uid="{00000000-0005-0000-0000-0000915C0000}"/>
    <cellStyle name="Explanatory Text 8 2 6" xfId="16831" xr:uid="{00000000-0005-0000-0000-0000925C0000}"/>
    <cellStyle name="Explanatory Text 8 2 7" xfId="16826" xr:uid="{00000000-0005-0000-0000-0000935C0000}"/>
    <cellStyle name="Explanatory Text 8 3" xfId="3282" xr:uid="{00000000-0005-0000-0000-0000945C0000}"/>
    <cellStyle name="Explanatory Text 8 3 2" xfId="16833" xr:uid="{00000000-0005-0000-0000-0000955C0000}"/>
    <cellStyle name="Explanatory Text 8 3 3" xfId="16834" xr:uid="{00000000-0005-0000-0000-0000965C0000}"/>
    <cellStyle name="Explanatory Text 8 3 4" xfId="16835" xr:uid="{00000000-0005-0000-0000-0000975C0000}"/>
    <cellStyle name="Explanatory Text 8 3 5" xfId="16836" xr:uid="{00000000-0005-0000-0000-0000985C0000}"/>
    <cellStyle name="Explanatory Text 8 3 6" xfId="16832" xr:uid="{00000000-0005-0000-0000-0000995C0000}"/>
    <cellStyle name="Explanatory Text 8 4" xfId="16837" xr:uid="{00000000-0005-0000-0000-00009A5C0000}"/>
    <cellStyle name="Explanatory Text 8 5" xfId="16838" xr:uid="{00000000-0005-0000-0000-00009B5C0000}"/>
    <cellStyle name="Explanatory Text 8 6" xfId="16839" xr:uid="{00000000-0005-0000-0000-00009C5C0000}"/>
    <cellStyle name="Explanatory Text 8 7" xfId="16840" xr:uid="{00000000-0005-0000-0000-00009D5C0000}"/>
    <cellStyle name="Explanatory Text 8 8" xfId="16841" xr:uid="{00000000-0005-0000-0000-00009E5C0000}"/>
    <cellStyle name="Explanatory Text 8 9" xfId="16825" xr:uid="{00000000-0005-0000-0000-00009F5C0000}"/>
    <cellStyle name="Explanatory Text 9" xfId="1283" xr:uid="{00000000-0005-0000-0000-0000A05C0000}"/>
    <cellStyle name="Explanatory Text 9 2" xfId="3283" xr:uid="{00000000-0005-0000-0000-0000A15C0000}"/>
    <cellStyle name="Explanatory Text 9 2 2" xfId="16844" xr:uid="{00000000-0005-0000-0000-0000A25C0000}"/>
    <cellStyle name="Explanatory Text 9 2 3" xfId="16845" xr:uid="{00000000-0005-0000-0000-0000A35C0000}"/>
    <cellStyle name="Explanatory Text 9 2 4" xfId="16846" xr:uid="{00000000-0005-0000-0000-0000A45C0000}"/>
    <cellStyle name="Explanatory Text 9 2 5" xfId="16847" xr:uid="{00000000-0005-0000-0000-0000A55C0000}"/>
    <cellStyle name="Explanatory Text 9 2 6" xfId="16843" xr:uid="{00000000-0005-0000-0000-0000A65C0000}"/>
    <cellStyle name="Explanatory Text 9 3" xfId="16848" xr:uid="{00000000-0005-0000-0000-0000A75C0000}"/>
    <cellStyle name="Explanatory Text 9 4" xfId="16849" xr:uid="{00000000-0005-0000-0000-0000A85C0000}"/>
    <cellStyle name="Explanatory Text 9 5" xfId="16850" xr:uid="{00000000-0005-0000-0000-0000A95C0000}"/>
    <cellStyle name="Explanatory Text 9 6" xfId="16851" xr:uid="{00000000-0005-0000-0000-0000AA5C0000}"/>
    <cellStyle name="Explanatory Text 9 7" xfId="16852" xr:uid="{00000000-0005-0000-0000-0000AB5C0000}"/>
    <cellStyle name="Explanatory Text 9 8" xfId="16842" xr:uid="{00000000-0005-0000-0000-0000AC5C0000}"/>
    <cellStyle name="Good 10" xfId="1284" xr:uid="{00000000-0005-0000-0000-0000AD5C0000}"/>
    <cellStyle name="Good 10 2" xfId="3284" xr:uid="{00000000-0005-0000-0000-0000AE5C0000}"/>
    <cellStyle name="Good 10 2 2" xfId="16855" xr:uid="{00000000-0005-0000-0000-0000AF5C0000}"/>
    <cellStyle name="Good 10 2 3" xfId="16856" xr:uid="{00000000-0005-0000-0000-0000B05C0000}"/>
    <cellStyle name="Good 10 2 4" xfId="16857" xr:uid="{00000000-0005-0000-0000-0000B15C0000}"/>
    <cellStyle name="Good 10 2 5" xfId="16858" xr:uid="{00000000-0005-0000-0000-0000B25C0000}"/>
    <cellStyle name="Good 10 2 6" xfId="16854" xr:uid="{00000000-0005-0000-0000-0000B35C0000}"/>
    <cellStyle name="Good 10 3" xfId="16859" xr:uid="{00000000-0005-0000-0000-0000B45C0000}"/>
    <cellStyle name="Good 10 4" xfId="16860" xr:uid="{00000000-0005-0000-0000-0000B55C0000}"/>
    <cellStyle name="Good 10 5" xfId="16861" xr:uid="{00000000-0005-0000-0000-0000B65C0000}"/>
    <cellStyle name="Good 10 6" xfId="16862" xr:uid="{00000000-0005-0000-0000-0000B75C0000}"/>
    <cellStyle name="Good 10 7" xfId="16863" xr:uid="{00000000-0005-0000-0000-0000B85C0000}"/>
    <cellStyle name="Good 10 8" xfId="16853" xr:uid="{00000000-0005-0000-0000-0000B95C0000}"/>
    <cellStyle name="Good 11" xfId="1285" xr:uid="{00000000-0005-0000-0000-0000BA5C0000}"/>
    <cellStyle name="Good 11 2" xfId="8147" xr:uid="{00000000-0005-0000-0000-0000BB5C0000}"/>
    <cellStyle name="Good 11 2 2" xfId="16866" xr:uid="{00000000-0005-0000-0000-0000BC5C0000}"/>
    <cellStyle name="Good 11 2 3" xfId="16867" xr:uid="{00000000-0005-0000-0000-0000BD5C0000}"/>
    <cellStyle name="Good 11 2 4" xfId="16868" xr:uid="{00000000-0005-0000-0000-0000BE5C0000}"/>
    <cellStyle name="Good 11 2 5" xfId="16869" xr:uid="{00000000-0005-0000-0000-0000BF5C0000}"/>
    <cellStyle name="Good 11 2 6" xfId="16865" xr:uid="{00000000-0005-0000-0000-0000C05C0000}"/>
    <cellStyle name="Good 11 3" xfId="16870" xr:uid="{00000000-0005-0000-0000-0000C15C0000}"/>
    <cellStyle name="Good 11 4" xfId="16871" xr:uid="{00000000-0005-0000-0000-0000C25C0000}"/>
    <cellStyle name="Good 11 5" xfId="16872" xr:uid="{00000000-0005-0000-0000-0000C35C0000}"/>
    <cellStyle name="Good 11 6" xfId="16873" xr:uid="{00000000-0005-0000-0000-0000C45C0000}"/>
    <cellStyle name="Good 11 7" xfId="16874" xr:uid="{00000000-0005-0000-0000-0000C55C0000}"/>
    <cellStyle name="Good 11 8" xfId="16864" xr:uid="{00000000-0005-0000-0000-0000C65C0000}"/>
    <cellStyle name="Good 12" xfId="1286" xr:uid="{00000000-0005-0000-0000-0000C75C0000}"/>
    <cellStyle name="Good 12 2" xfId="8148" xr:uid="{00000000-0005-0000-0000-0000C85C0000}"/>
    <cellStyle name="Good 12 2 2" xfId="16877" xr:uid="{00000000-0005-0000-0000-0000C95C0000}"/>
    <cellStyle name="Good 12 2 3" xfId="16878" xr:uid="{00000000-0005-0000-0000-0000CA5C0000}"/>
    <cellStyle name="Good 12 2 4" xfId="16879" xr:uid="{00000000-0005-0000-0000-0000CB5C0000}"/>
    <cellStyle name="Good 12 2 5" xfId="16880" xr:uid="{00000000-0005-0000-0000-0000CC5C0000}"/>
    <cellStyle name="Good 12 2 6" xfId="16876" xr:uid="{00000000-0005-0000-0000-0000CD5C0000}"/>
    <cellStyle name="Good 12 3" xfId="16881" xr:uid="{00000000-0005-0000-0000-0000CE5C0000}"/>
    <cellStyle name="Good 12 4" xfId="16882" xr:uid="{00000000-0005-0000-0000-0000CF5C0000}"/>
    <cellStyle name="Good 12 5" xfId="16883" xr:uid="{00000000-0005-0000-0000-0000D05C0000}"/>
    <cellStyle name="Good 12 6" xfId="16884" xr:uid="{00000000-0005-0000-0000-0000D15C0000}"/>
    <cellStyle name="Good 12 7" xfId="16885" xr:uid="{00000000-0005-0000-0000-0000D25C0000}"/>
    <cellStyle name="Good 12 8" xfId="16875" xr:uid="{00000000-0005-0000-0000-0000D35C0000}"/>
    <cellStyle name="Good 13" xfId="1287" xr:uid="{00000000-0005-0000-0000-0000D45C0000}"/>
    <cellStyle name="Good 13 2" xfId="8149" xr:uid="{00000000-0005-0000-0000-0000D55C0000}"/>
    <cellStyle name="Good 13 2 2" xfId="16888" xr:uid="{00000000-0005-0000-0000-0000D65C0000}"/>
    <cellStyle name="Good 13 2 3" xfId="16889" xr:uid="{00000000-0005-0000-0000-0000D75C0000}"/>
    <cellStyle name="Good 13 2 4" xfId="16890" xr:uid="{00000000-0005-0000-0000-0000D85C0000}"/>
    <cellStyle name="Good 13 2 5" xfId="16891" xr:uid="{00000000-0005-0000-0000-0000D95C0000}"/>
    <cellStyle name="Good 13 2 6" xfId="16887" xr:uid="{00000000-0005-0000-0000-0000DA5C0000}"/>
    <cellStyle name="Good 13 3" xfId="16892" xr:uid="{00000000-0005-0000-0000-0000DB5C0000}"/>
    <cellStyle name="Good 13 4" xfId="16893" xr:uid="{00000000-0005-0000-0000-0000DC5C0000}"/>
    <cellStyle name="Good 13 5" xfId="16894" xr:uid="{00000000-0005-0000-0000-0000DD5C0000}"/>
    <cellStyle name="Good 13 6" xfId="16895" xr:uid="{00000000-0005-0000-0000-0000DE5C0000}"/>
    <cellStyle name="Good 13 7" xfId="16896" xr:uid="{00000000-0005-0000-0000-0000DF5C0000}"/>
    <cellStyle name="Good 13 8" xfId="16886" xr:uid="{00000000-0005-0000-0000-0000E05C0000}"/>
    <cellStyle name="Good 14" xfId="1288" xr:uid="{00000000-0005-0000-0000-0000E15C0000}"/>
    <cellStyle name="Good 14 2" xfId="8150" xr:uid="{00000000-0005-0000-0000-0000E25C0000}"/>
    <cellStyle name="Good 14 2 2" xfId="16899" xr:uid="{00000000-0005-0000-0000-0000E35C0000}"/>
    <cellStyle name="Good 14 2 3" xfId="16900" xr:uid="{00000000-0005-0000-0000-0000E45C0000}"/>
    <cellStyle name="Good 14 2 4" xfId="16901" xr:uid="{00000000-0005-0000-0000-0000E55C0000}"/>
    <cellStyle name="Good 14 2 5" xfId="16902" xr:uid="{00000000-0005-0000-0000-0000E65C0000}"/>
    <cellStyle name="Good 14 2 6" xfId="16898" xr:uid="{00000000-0005-0000-0000-0000E75C0000}"/>
    <cellStyle name="Good 14 3" xfId="16903" xr:uid="{00000000-0005-0000-0000-0000E85C0000}"/>
    <cellStyle name="Good 14 4" xfId="16904" xr:uid="{00000000-0005-0000-0000-0000E95C0000}"/>
    <cellStyle name="Good 14 5" xfId="16905" xr:uid="{00000000-0005-0000-0000-0000EA5C0000}"/>
    <cellStyle name="Good 14 6" xfId="16906" xr:uid="{00000000-0005-0000-0000-0000EB5C0000}"/>
    <cellStyle name="Good 14 7" xfId="16907" xr:uid="{00000000-0005-0000-0000-0000EC5C0000}"/>
    <cellStyle name="Good 14 8" xfId="16897" xr:uid="{00000000-0005-0000-0000-0000ED5C0000}"/>
    <cellStyle name="Good 15" xfId="3285" xr:uid="{00000000-0005-0000-0000-0000EE5C0000}"/>
    <cellStyle name="Good 15 2" xfId="8151" xr:uid="{00000000-0005-0000-0000-0000EF5C0000}"/>
    <cellStyle name="Good 15 2 2" xfId="16910" xr:uid="{00000000-0005-0000-0000-0000F05C0000}"/>
    <cellStyle name="Good 15 2 3" xfId="16911" xr:uid="{00000000-0005-0000-0000-0000F15C0000}"/>
    <cellStyle name="Good 15 2 4" xfId="16912" xr:uid="{00000000-0005-0000-0000-0000F25C0000}"/>
    <cellStyle name="Good 15 2 5" xfId="16913" xr:uid="{00000000-0005-0000-0000-0000F35C0000}"/>
    <cellStyle name="Good 15 2 6" xfId="16909" xr:uid="{00000000-0005-0000-0000-0000F45C0000}"/>
    <cellStyle name="Good 15 3" xfId="16914" xr:uid="{00000000-0005-0000-0000-0000F55C0000}"/>
    <cellStyle name="Good 15 4" xfId="16915" xr:uid="{00000000-0005-0000-0000-0000F65C0000}"/>
    <cellStyle name="Good 15 5" xfId="16916" xr:uid="{00000000-0005-0000-0000-0000F75C0000}"/>
    <cellStyle name="Good 15 6" xfId="16917" xr:uid="{00000000-0005-0000-0000-0000F85C0000}"/>
    <cellStyle name="Good 15 7" xfId="16908" xr:uid="{00000000-0005-0000-0000-0000F95C0000}"/>
    <cellStyle name="Good 16" xfId="3286" xr:uid="{00000000-0005-0000-0000-0000FA5C0000}"/>
    <cellStyle name="Good 16 2" xfId="8152" xr:uid="{00000000-0005-0000-0000-0000FB5C0000}"/>
    <cellStyle name="Good 16 2 2" xfId="16920" xr:uid="{00000000-0005-0000-0000-0000FC5C0000}"/>
    <cellStyle name="Good 16 2 3" xfId="16921" xr:uid="{00000000-0005-0000-0000-0000FD5C0000}"/>
    <cellStyle name="Good 16 2 4" xfId="16922" xr:uid="{00000000-0005-0000-0000-0000FE5C0000}"/>
    <cellStyle name="Good 16 2 5" xfId="16923" xr:uid="{00000000-0005-0000-0000-0000FF5C0000}"/>
    <cellStyle name="Good 16 2 6" xfId="16919" xr:uid="{00000000-0005-0000-0000-0000005D0000}"/>
    <cellStyle name="Good 16 3" xfId="16924" xr:uid="{00000000-0005-0000-0000-0000015D0000}"/>
    <cellStyle name="Good 16 4" xfId="16925" xr:uid="{00000000-0005-0000-0000-0000025D0000}"/>
    <cellStyle name="Good 16 5" xfId="16926" xr:uid="{00000000-0005-0000-0000-0000035D0000}"/>
    <cellStyle name="Good 16 6" xfId="16927" xr:uid="{00000000-0005-0000-0000-0000045D0000}"/>
    <cellStyle name="Good 16 7" xfId="16918" xr:uid="{00000000-0005-0000-0000-0000055D0000}"/>
    <cellStyle name="Good 17" xfId="3287" xr:uid="{00000000-0005-0000-0000-0000065D0000}"/>
    <cellStyle name="Good 17 2" xfId="8153" xr:uid="{00000000-0005-0000-0000-0000075D0000}"/>
    <cellStyle name="Good 17 2 2" xfId="16930" xr:uid="{00000000-0005-0000-0000-0000085D0000}"/>
    <cellStyle name="Good 17 2 3" xfId="16931" xr:uid="{00000000-0005-0000-0000-0000095D0000}"/>
    <cellStyle name="Good 17 2 4" xfId="16932" xr:uid="{00000000-0005-0000-0000-00000A5D0000}"/>
    <cellStyle name="Good 17 2 5" xfId="16933" xr:uid="{00000000-0005-0000-0000-00000B5D0000}"/>
    <cellStyle name="Good 17 2 6" xfId="16929" xr:uid="{00000000-0005-0000-0000-00000C5D0000}"/>
    <cellStyle name="Good 17 3" xfId="16934" xr:uid="{00000000-0005-0000-0000-00000D5D0000}"/>
    <cellStyle name="Good 17 4" xfId="16935" xr:uid="{00000000-0005-0000-0000-00000E5D0000}"/>
    <cellStyle name="Good 17 5" xfId="16936" xr:uid="{00000000-0005-0000-0000-00000F5D0000}"/>
    <cellStyle name="Good 17 6" xfId="16937" xr:uid="{00000000-0005-0000-0000-0000105D0000}"/>
    <cellStyle name="Good 17 7" xfId="16928" xr:uid="{00000000-0005-0000-0000-0000115D0000}"/>
    <cellStyle name="Good 18" xfId="3288" xr:uid="{00000000-0005-0000-0000-0000125D0000}"/>
    <cellStyle name="Good 18 2" xfId="8154" xr:uid="{00000000-0005-0000-0000-0000135D0000}"/>
    <cellStyle name="Good 18 2 2" xfId="16940" xr:uid="{00000000-0005-0000-0000-0000145D0000}"/>
    <cellStyle name="Good 18 2 3" xfId="16941" xr:uid="{00000000-0005-0000-0000-0000155D0000}"/>
    <cellStyle name="Good 18 2 4" xfId="16942" xr:uid="{00000000-0005-0000-0000-0000165D0000}"/>
    <cellStyle name="Good 18 2 5" xfId="16943" xr:uid="{00000000-0005-0000-0000-0000175D0000}"/>
    <cellStyle name="Good 18 2 6" xfId="16939" xr:uid="{00000000-0005-0000-0000-0000185D0000}"/>
    <cellStyle name="Good 18 3" xfId="16944" xr:uid="{00000000-0005-0000-0000-0000195D0000}"/>
    <cellStyle name="Good 18 4" xfId="16945" xr:uid="{00000000-0005-0000-0000-00001A5D0000}"/>
    <cellStyle name="Good 18 5" xfId="16946" xr:uid="{00000000-0005-0000-0000-00001B5D0000}"/>
    <cellStyle name="Good 18 6" xfId="16947" xr:uid="{00000000-0005-0000-0000-00001C5D0000}"/>
    <cellStyle name="Good 18 7" xfId="16938" xr:uid="{00000000-0005-0000-0000-00001D5D0000}"/>
    <cellStyle name="Good 19" xfId="3289" xr:uid="{00000000-0005-0000-0000-00001E5D0000}"/>
    <cellStyle name="Good 19 2" xfId="8155" xr:uid="{00000000-0005-0000-0000-00001F5D0000}"/>
    <cellStyle name="Good 19 2 2" xfId="16950" xr:uid="{00000000-0005-0000-0000-0000205D0000}"/>
    <cellStyle name="Good 19 2 3" xfId="16951" xr:uid="{00000000-0005-0000-0000-0000215D0000}"/>
    <cellStyle name="Good 19 2 4" xfId="16952" xr:uid="{00000000-0005-0000-0000-0000225D0000}"/>
    <cellStyle name="Good 19 2 5" xfId="16953" xr:uid="{00000000-0005-0000-0000-0000235D0000}"/>
    <cellStyle name="Good 19 2 6" xfId="16949" xr:uid="{00000000-0005-0000-0000-0000245D0000}"/>
    <cellStyle name="Good 19 3" xfId="16954" xr:uid="{00000000-0005-0000-0000-0000255D0000}"/>
    <cellStyle name="Good 19 4" xfId="16955" xr:uid="{00000000-0005-0000-0000-0000265D0000}"/>
    <cellStyle name="Good 19 5" xfId="16956" xr:uid="{00000000-0005-0000-0000-0000275D0000}"/>
    <cellStyle name="Good 19 6" xfId="16957" xr:uid="{00000000-0005-0000-0000-0000285D0000}"/>
    <cellStyle name="Good 19 7" xfId="16948" xr:uid="{00000000-0005-0000-0000-0000295D0000}"/>
    <cellStyle name="Good 2" xfId="1289" xr:uid="{00000000-0005-0000-0000-00002A5D0000}"/>
    <cellStyle name="Good 2 10" xfId="16959" xr:uid="{00000000-0005-0000-0000-00002B5D0000}"/>
    <cellStyle name="Good 2 11" xfId="16960" xr:uid="{00000000-0005-0000-0000-00002C5D0000}"/>
    <cellStyle name="Good 2 12" xfId="16961" xr:uid="{00000000-0005-0000-0000-00002D5D0000}"/>
    <cellStyle name="Good 2 13" xfId="16962" xr:uid="{00000000-0005-0000-0000-00002E5D0000}"/>
    <cellStyle name="Good 2 14" xfId="16963" xr:uid="{00000000-0005-0000-0000-00002F5D0000}"/>
    <cellStyle name="Good 2 15" xfId="16964" xr:uid="{00000000-0005-0000-0000-0000305D0000}"/>
    <cellStyle name="Good 2 16" xfId="16958" xr:uid="{00000000-0005-0000-0000-0000315D0000}"/>
    <cellStyle name="Good 2 2" xfId="1290" xr:uid="{00000000-0005-0000-0000-0000325D0000}"/>
    <cellStyle name="Good 2 2 2" xfId="16966" xr:uid="{00000000-0005-0000-0000-0000335D0000}"/>
    <cellStyle name="Good 2 2 3" xfId="16967" xr:uid="{00000000-0005-0000-0000-0000345D0000}"/>
    <cellStyle name="Good 2 2 4" xfId="16968" xr:uid="{00000000-0005-0000-0000-0000355D0000}"/>
    <cellStyle name="Good 2 2 5" xfId="16969" xr:uid="{00000000-0005-0000-0000-0000365D0000}"/>
    <cellStyle name="Good 2 2 6" xfId="16970" xr:uid="{00000000-0005-0000-0000-0000375D0000}"/>
    <cellStyle name="Good 2 2 7" xfId="16965" xr:uid="{00000000-0005-0000-0000-0000385D0000}"/>
    <cellStyle name="Good 2 3" xfId="1291" xr:uid="{00000000-0005-0000-0000-0000395D0000}"/>
    <cellStyle name="Good 2 3 2" xfId="16972" xr:uid="{00000000-0005-0000-0000-00003A5D0000}"/>
    <cellStyle name="Good 2 3 3" xfId="16973" xr:uid="{00000000-0005-0000-0000-00003B5D0000}"/>
    <cellStyle name="Good 2 3 4" xfId="16974" xr:uid="{00000000-0005-0000-0000-00003C5D0000}"/>
    <cellStyle name="Good 2 3 5" xfId="16975" xr:uid="{00000000-0005-0000-0000-00003D5D0000}"/>
    <cellStyle name="Good 2 3 6" xfId="16976" xr:uid="{00000000-0005-0000-0000-00003E5D0000}"/>
    <cellStyle name="Good 2 3 7" xfId="16971" xr:uid="{00000000-0005-0000-0000-00003F5D0000}"/>
    <cellStyle name="Good 2 4" xfId="1292" xr:uid="{00000000-0005-0000-0000-0000405D0000}"/>
    <cellStyle name="Good 2 4 2" xfId="16978" xr:uid="{00000000-0005-0000-0000-0000415D0000}"/>
    <cellStyle name="Good 2 4 3" xfId="16979" xr:uid="{00000000-0005-0000-0000-0000425D0000}"/>
    <cellStyle name="Good 2 4 4" xfId="16980" xr:uid="{00000000-0005-0000-0000-0000435D0000}"/>
    <cellStyle name="Good 2 4 5" xfId="16981" xr:uid="{00000000-0005-0000-0000-0000445D0000}"/>
    <cellStyle name="Good 2 4 6" xfId="16982" xr:uid="{00000000-0005-0000-0000-0000455D0000}"/>
    <cellStyle name="Good 2 4 7" xfId="16977" xr:uid="{00000000-0005-0000-0000-0000465D0000}"/>
    <cellStyle name="Good 2 5" xfId="1293" xr:uid="{00000000-0005-0000-0000-0000475D0000}"/>
    <cellStyle name="Good 2 5 2" xfId="16984" xr:uid="{00000000-0005-0000-0000-0000485D0000}"/>
    <cellStyle name="Good 2 5 3" xfId="16985" xr:uid="{00000000-0005-0000-0000-0000495D0000}"/>
    <cellStyle name="Good 2 5 4" xfId="16986" xr:uid="{00000000-0005-0000-0000-00004A5D0000}"/>
    <cellStyle name="Good 2 5 5" xfId="16987" xr:uid="{00000000-0005-0000-0000-00004B5D0000}"/>
    <cellStyle name="Good 2 5 6" xfId="16988" xr:uid="{00000000-0005-0000-0000-00004C5D0000}"/>
    <cellStyle name="Good 2 5 7" xfId="16983" xr:uid="{00000000-0005-0000-0000-00004D5D0000}"/>
    <cellStyle name="Good 2 6" xfId="1294" xr:uid="{00000000-0005-0000-0000-00004E5D0000}"/>
    <cellStyle name="Good 2 6 2" xfId="16990" xr:uid="{00000000-0005-0000-0000-00004F5D0000}"/>
    <cellStyle name="Good 2 6 3" xfId="16991" xr:uid="{00000000-0005-0000-0000-0000505D0000}"/>
    <cellStyle name="Good 2 6 4" xfId="16992" xr:uid="{00000000-0005-0000-0000-0000515D0000}"/>
    <cellStyle name="Good 2 6 5" xfId="16993" xr:uid="{00000000-0005-0000-0000-0000525D0000}"/>
    <cellStyle name="Good 2 6 6" xfId="16994" xr:uid="{00000000-0005-0000-0000-0000535D0000}"/>
    <cellStyle name="Good 2 6 7" xfId="16989" xr:uid="{00000000-0005-0000-0000-0000545D0000}"/>
    <cellStyle name="Good 2 7" xfId="1295" xr:uid="{00000000-0005-0000-0000-0000555D0000}"/>
    <cellStyle name="Good 2 7 2" xfId="16996" xr:uid="{00000000-0005-0000-0000-0000565D0000}"/>
    <cellStyle name="Good 2 7 3" xfId="16997" xr:uid="{00000000-0005-0000-0000-0000575D0000}"/>
    <cellStyle name="Good 2 7 4" xfId="16998" xr:uid="{00000000-0005-0000-0000-0000585D0000}"/>
    <cellStyle name="Good 2 7 5" xfId="16999" xr:uid="{00000000-0005-0000-0000-0000595D0000}"/>
    <cellStyle name="Good 2 7 6" xfId="17000" xr:uid="{00000000-0005-0000-0000-00005A5D0000}"/>
    <cellStyle name="Good 2 7 7" xfId="16995" xr:uid="{00000000-0005-0000-0000-00005B5D0000}"/>
    <cellStyle name="Good 2 8" xfId="1296" xr:uid="{00000000-0005-0000-0000-00005C5D0000}"/>
    <cellStyle name="Good 2 8 2" xfId="17002" xr:uid="{00000000-0005-0000-0000-00005D5D0000}"/>
    <cellStyle name="Good 2 8 3" xfId="17003" xr:uid="{00000000-0005-0000-0000-00005E5D0000}"/>
    <cellStyle name="Good 2 8 4" xfId="17004" xr:uid="{00000000-0005-0000-0000-00005F5D0000}"/>
    <cellStyle name="Good 2 8 5" xfId="17005" xr:uid="{00000000-0005-0000-0000-0000605D0000}"/>
    <cellStyle name="Good 2 8 6" xfId="17006" xr:uid="{00000000-0005-0000-0000-0000615D0000}"/>
    <cellStyle name="Good 2 8 7" xfId="17001" xr:uid="{00000000-0005-0000-0000-0000625D0000}"/>
    <cellStyle name="Good 2 9" xfId="1297" xr:uid="{00000000-0005-0000-0000-0000635D0000}"/>
    <cellStyle name="Good 2 9 2" xfId="17008" xr:uid="{00000000-0005-0000-0000-0000645D0000}"/>
    <cellStyle name="Good 2 9 3" xfId="17009" xr:uid="{00000000-0005-0000-0000-0000655D0000}"/>
    <cellStyle name="Good 2 9 4" xfId="17010" xr:uid="{00000000-0005-0000-0000-0000665D0000}"/>
    <cellStyle name="Good 2 9 5" xfId="17011" xr:uid="{00000000-0005-0000-0000-0000675D0000}"/>
    <cellStyle name="Good 2 9 6" xfId="17012" xr:uid="{00000000-0005-0000-0000-0000685D0000}"/>
    <cellStyle name="Good 2 9 7" xfId="17007" xr:uid="{00000000-0005-0000-0000-0000695D0000}"/>
    <cellStyle name="Good 20" xfId="3290" xr:uid="{00000000-0005-0000-0000-00006A5D0000}"/>
    <cellStyle name="Good 20 2" xfId="8156" xr:uid="{00000000-0005-0000-0000-00006B5D0000}"/>
    <cellStyle name="Good 20 2 2" xfId="17015" xr:uid="{00000000-0005-0000-0000-00006C5D0000}"/>
    <cellStyle name="Good 20 2 3" xfId="17016" xr:uid="{00000000-0005-0000-0000-00006D5D0000}"/>
    <cellStyle name="Good 20 2 4" xfId="17017" xr:uid="{00000000-0005-0000-0000-00006E5D0000}"/>
    <cellStyle name="Good 20 2 5" xfId="17018" xr:uid="{00000000-0005-0000-0000-00006F5D0000}"/>
    <cellStyle name="Good 20 2 6" xfId="17014" xr:uid="{00000000-0005-0000-0000-0000705D0000}"/>
    <cellStyle name="Good 20 3" xfId="17019" xr:uid="{00000000-0005-0000-0000-0000715D0000}"/>
    <cellStyle name="Good 20 4" xfId="17020" xr:uid="{00000000-0005-0000-0000-0000725D0000}"/>
    <cellStyle name="Good 20 5" xfId="17021" xr:uid="{00000000-0005-0000-0000-0000735D0000}"/>
    <cellStyle name="Good 20 6" xfId="17022" xr:uid="{00000000-0005-0000-0000-0000745D0000}"/>
    <cellStyle name="Good 20 7" xfId="17013" xr:uid="{00000000-0005-0000-0000-0000755D0000}"/>
    <cellStyle name="Good 21" xfId="8157" xr:uid="{00000000-0005-0000-0000-0000765D0000}"/>
    <cellStyle name="Good 21 2" xfId="17024" xr:uid="{00000000-0005-0000-0000-0000775D0000}"/>
    <cellStyle name="Good 21 3" xfId="17025" xr:uid="{00000000-0005-0000-0000-0000785D0000}"/>
    <cellStyle name="Good 21 4" xfId="17026" xr:uid="{00000000-0005-0000-0000-0000795D0000}"/>
    <cellStyle name="Good 21 5" xfId="17027" xr:uid="{00000000-0005-0000-0000-00007A5D0000}"/>
    <cellStyle name="Good 21 6" xfId="17023" xr:uid="{00000000-0005-0000-0000-00007B5D0000}"/>
    <cellStyle name="Good 22" xfId="6572" xr:uid="{00000000-0005-0000-0000-00007C5D0000}"/>
    <cellStyle name="Good 22 2" xfId="17029" xr:uid="{00000000-0005-0000-0000-00007D5D0000}"/>
    <cellStyle name="Good 22 3" xfId="17028" xr:uid="{00000000-0005-0000-0000-00007E5D0000}"/>
    <cellStyle name="Good 23" xfId="17030" xr:uid="{00000000-0005-0000-0000-00007F5D0000}"/>
    <cellStyle name="Good 24" xfId="17031" xr:uid="{00000000-0005-0000-0000-0000805D0000}"/>
    <cellStyle name="Good 25" xfId="17032" xr:uid="{00000000-0005-0000-0000-0000815D0000}"/>
    <cellStyle name="Good 3" xfId="1298" xr:uid="{00000000-0005-0000-0000-0000825D0000}"/>
    <cellStyle name="Good 3 10" xfId="3291" xr:uid="{00000000-0005-0000-0000-0000835D0000}"/>
    <cellStyle name="Good 3 10 2" xfId="17035" xr:uid="{00000000-0005-0000-0000-0000845D0000}"/>
    <cellStyle name="Good 3 10 3" xfId="17036" xr:uid="{00000000-0005-0000-0000-0000855D0000}"/>
    <cellStyle name="Good 3 10 4" xfId="17037" xr:uid="{00000000-0005-0000-0000-0000865D0000}"/>
    <cellStyle name="Good 3 10 5" xfId="17038" xr:uid="{00000000-0005-0000-0000-0000875D0000}"/>
    <cellStyle name="Good 3 10 6" xfId="17034" xr:uid="{00000000-0005-0000-0000-0000885D0000}"/>
    <cellStyle name="Good 3 11" xfId="3292" xr:uid="{00000000-0005-0000-0000-0000895D0000}"/>
    <cellStyle name="Good 3 11 2" xfId="17040" xr:uid="{00000000-0005-0000-0000-00008A5D0000}"/>
    <cellStyle name="Good 3 11 3" xfId="17041" xr:uid="{00000000-0005-0000-0000-00008B5D0000}"/>
    <cellStyle name="Good 3 11 4" xfId="17042" xr:uid="{00000000-0005-0000-0000-00008C5D0000}"/>
    <cellStyle name="Good 3 11 5" xfId="17043" xr:uid="{00000000-0005-0000-0000-00008D5D0000}"/>
    <cellStyle name="Good 3 11 6" xfId="17039" xr:uid="{00000000-0005-0000-0000-00008E5D0000}"/>
    <cellStyle name="Good 3 12" xfId="3293" xr:uid="{00000000-0005-0000-0000-00008F5D0000}"/>
    <cellStyle name="Good 3 12 2" xfId="17045" xr:uid="{00000000-0005-0000-0000-0000905D0000}"/>
    <cellStyle name="Good 3 12 3" xfId="17046" xr:uid="{00000000-0005-0000-0000-0000915D0000}"/>
    <cellStyle name="Good 3 12 4" xfId="17047" xr:uid="{00000000-0005-0000-0000-0000925D0000}"/>
    <cellStyle name="Good 3 12 5" xfId="17048" xr:uid="{00000000-0005-0000-0000-0000935D0000}"/>
    <cellStyle name="Good 3 12 6" xfId="17044" xr:uid="{00000000-0005-0000-0000-0000945D0000}"/>
    <cellStyle name="Good 3 13" xfId="3294" xr:uid="{00000000-0005-0000-0000-0000955D0000}"/>
    <cellStyle name="Good 3 13 2" xfId="17050" xr:uid="{00000000-0005-0000-0000-0000965D0000}"/>
    <cellStyle name="Good 3 13 3" xfId="17051" xr:uid="{00000000-0005-0000-0000-0000975D0000}"/>
    <cellStyle name="Good 3 13 4" xfId="17052" xr:uid="{00000000-0005-0000-0000-0000985D0000}"/>
    <cellStyle name="Good 3 13 5" xfId="17053" xr:uid="{00000000-0005-0000-0000-0000995D0000}"/>
    <cellStyle name="Good 3 13 6" xfId="17049" xr:uid="{00000000-0005-0000-0000-00009A5D0000}"/>
    <cellStyle name="Good 3 14" xfId="3295" xr:uid="{00000000-0005-0000-0000-00009B5D0000}"/>
    <cellStyle name="Good 3 14 2" xfId="17055" xr:uid="{00000000-0005-0000-0000-00009C5D0000}"/>
    <cellStyle name="Good 3 14 3" xfId="17056" xr:uid="{00000000-0005-0000-0000-00009D5D0000}"/>
    <cellStyle name="Good 3 14 4" xfId="17057" xr:uid="{00000000-0005-0000-0000-00009E5D0000}"/>
    <cellStyle name="Good 3 14 5" xfId="17058" xr:uid="{00000000-0005-0000-0000-00009F5D0000}"/>
    <cellStyle name="Good 3 14 6" xfId="17054" xr:uid="{00000000-0005-0000-0000-0000A05D0000}"/>
    <cellStyle name="Good 3 15" xfId="8158" xr:uid="{00000000-0005-0000-0000-0000A15D0000}"/>
    <cellStyle name="Good 3 15 2" xfId="17060" xr:uid="{00000000-0005-0000-0000-0000A25D0000}"/>
    <cellStyle name="Good 3 15 3" xfId="17061" xr:uid="{00000000-0005-0000-0000-0000A35D0000}"/>
    <cellStyle name="Good 3 15 4" xfId="17062" xr:uid="{00000000-0005-0000-0000-0000A45D0000}"/>
    <cellStyle name="Good 3 15 5" xfId="17063" xr:uid="{00000000-0005-0000-0000-0000A55D0000}"/>
    <cellStyle name="Good 3 15 6" xfId="17059" xr:uid="{00000000-0005-0000-0000-0000A65D0000}"/>
    <cellStyle name="Good 3 16" xfId="17064" xr:uid="{00000000-0005-0000-0000-0000A75D0000}"/>
    <cellStyle name="Good 3 17" xfId="17065" xr:uid="{00000000-0005-0000-0000-0000A85D0000}"/>
    <cellStyle name="Good 3 18" xfId="17066" xr:uid="{00000000-0005-0000-0000-0000A95D0000}"/>
    <cellStyle name="Good 3 19" xfId="17067" xr:uid="{00000000-0005-0000-0000-0000AA5D0000}"/>
    <cellStyle name="Good 3 2" xfId="1299" xr:uid="{00000000-0005-0000-0000-0000AB5D0000}"/>
    <cellStyle name="Good 3 2 2" xfId="17069" xr:uid="{00000000-0005-0000-0000-0000AC5D0000}"/>
    <cellStyle name="Good 3 2 3" xfId="17070" xr:uid="{00000000-0005-0000-0000-0000AD5D0000}"/>
    <cellStyle name="Good 3 2 4" xfId="17071" xr:uid="{00000000-0005-0000-0000-0000AE5D0000}"/>
    <cellStyle name="Good 3 2 5" xfId="17072" xr:uid="{00000000-0005-0000-0000-0000AF5D0000}"/>
    <cellStyle name="Good 3 2 6" xfId="17073" xr:uid="{00000000-0005-0000-0000-0000B05D0000}"/>
    <cellStyle name="Good 3 2 7" xfId="17068" xr:uid="{00000000-0005-0000-0000-0000B15D0000}"/>
    <cellStyle name="Good 3 20" xfId="17074" xr:uid="{00000000-0005-0000-0000-0000B25D0000}"/>
    <cellStyle name="Good 3 21" xfId="17033" xr:uid="{00000000-0005-0000-0000-0000B35D0000}"/>
    <cellStyle name="Good 3 3" xfId="3296" xr:uid="{00000000-0005-0000-0000-0000B45D0000}"/>
    <cellStyle name="Good 3 3 2" xfId="17076" xr:uid="{00000000-0005-0000-0000-0000B55D0000}"/>
    <cellStyle name="Good 3 3 3" xfId="17077" xr:uid="{00000000-0005-0000-0000-0000B65D0000}"/>
    <cellStyle name="Good 3 3 4" xfId="17078" xr:uid="{00000000-0005-0000-0000-0000B75D0000}"/>
    <cellStyle name="Good 3 3 5" xfId="17079" xr:uid="{00000000-0005-0000-0000-0000B85D0000}"/>
    <cellStyle name="Good 3 3 6" xfId="17075" xr:uid="{00000000-0005-0000-0000-0000B95D0000}"/>
    <cellStyle name="Good 3 4" xfId="3297" xr:uid="{00000000-0005-0000-0000-0000BA5D0000}"/>
    <cellStyle name="Good 3 4 2" xfId="17081" xr:uid="{00000000-0005-0000-0000-0000BB5D0000}"/>
    <cellStyle name="Good 3 4 3" xfId="17082" xr:uid="{00000000-0005-0000-0000-0000BC5D0000}"/>
    <cellStyle name="Good 3 4 4" xfId="17083" xr:uid="{00000000-0005-0000-0000-0000BD5D0000}"/>
    <cellStyle name="Good 3 4 5" xfId="17084" xr:uid="{00000000-0005-0000-0000-0000BE5D0000}"/>
    <cellStyle name="Good 3 4 6" xfId="17080" xr:uid="{00000000-0005-0000-0000-0000BF5D0000}"/>
    <cellStyle name="Good 3 5" xfId="3298" xr:uid="{00000000-0005-0000-0000-0000C05D0000}"/>
    <cellStyle name="Good 3 5 2" xfId="17086" xr:uid="{00000000-0005-0000-0000-0000C15D0000}"/>
    <cellStyle name="Good 3 5 3" xfId="17087" xr:uid="{00000000-0005-0000-0000-0000C25D0000}"/>
    <cellStyle name="Good 3 5 4" xfId="17088" xr:uid="{00000000-0005-0000-0000-0000C35D0000}"/>
    <cellStyle name="Good 3 5 5" xfId="17089" xr:uid="{00000000-0005-0000-0000-0000C45D0000}"/>
    <cellStyle name="Good 3 5 6" xfId="17085" xr:uid="{00000000-0005-0000-0000-0000C55D0000}"/>
    <cellStyle name="Good 3 6" xfId="3299" xr:uid="{00000000-0005-0000-0000-0000C65D0000}"/>
    <cellStyle name="Good 3 6 2" xfId="17091" xr:uid="{00000000-0005-0000-0000-0000C75D0000}"/>
    <cellStyle name="Good 3 6 3" xfId="17092" xr:uid="{00000000-0005-0000-0000-0000C85D0000}"/>
    <cellStyle name="Good 3 6 4" xfId="17093" xr:uid="{00000000-0005-0000-0000-0000C95D0000}"/>
    <cellStyle name="Good 3 6 5" xfId="17094" xr:uid="{00000000-0005-0000-0000-0000CA5D0000}"/>
    <cellStyle name="Good 3 6 6" xfId="17090" xr:uid="{00000000-0005-0000-0000-0000CB5D0000}"/>
    <cellStyle name="Good 3 7" xfId="3300" xr:uid="{00000000-0005-0000-0000-0000CC5D0000}"/>
    <cellStyle name="Good 3 7 2" xfId="17096" xr:uid="{00000000-0005-0000-0000-0000CD5D0000}"/>
    <cellStyle name="Good 3 7 3" xfId="17097" xr:uid="{00000000-0005-0000-0000-0000CE5D0000}"/>
    <cellStyle name="Good 3 7 4" xfId="17098" xr:uid="{00000000-0005-0000-0000-0000CF5D0000}"/>
    <cellStyle name="Good 3 7 5" xfId="17099" xr:uid="{00000000-0005-0000-0000-0000D05D0000}"/>
    <cellStyle name="Good 3 7 6" xfId="17095" xr:uid="{00000000-0005-0000-0000-0000D15D0000}"/>
    <cellStyle name="Good 3 8" xfId="3301" xr:uid="{00000000-0005-0000-0000-0000D25D0000}"/>
    <cellStyle name="Good 3 8 2" xfId="17101" xr:uid="{00000000-0005-0000-0000-0000D35D0000}"/>
    <cellStyle name="Good 3 8 3" xfId="17102" xr:uid="{00000000-0005-0000-0000-0000D45D0000}"/>
    <cellStyle name="Good 3 8 4" xfId="17103" xr:uid="{00000000-0005-0000-0000-0000D55D0000}"/>
    <cellStyle name="Good 3 8 5" xfId="17104" xr:uid="{00000000-0005-0000-0000-0000D65D0000}"/>
    <cellStyle name="Good 3 8 6" xfId="17100" xr:uid="{00000000-0005-0000-0000-0000D75D0000}"/>
    <cellStyle name="Good 3 9" xfId="3302" xr:uid="{00000000-0005-0000-0000-0000D85D0000}"/>
    <cellStyle name="Good 3 9 2" xfId="17106" xr:uid="{00000000-0005-0000-0000-0000D95D0000}"/>
    <cellStyle name="Good 3 9 3" xfId="17107" xr:uid="{00000000-0005-0000-0000-0000DA5D0000}"/>
    <cellStyle name="Good 3 9 4" xfId="17108" xr:uid="{00000000-0005-0000-0000-0000DB5D0000}"/>
    <cellStyle name="Good 3 9 5" xfId="17109" xr:uid="{00000000-0005-0000-0000-0000DC5D0000}"/>
    <cellStyle name="Good 3 9 6" xfId="17105" xr:uid="{00000000-0005-0000-0000-0000DD5D0000}"/>
    <cellStyle name="Good 4" xfId="1300" xr:uid="{00000000-0005-0000-0000-0000DE5D0000}"/>
    <cellStyle name="Good 4 2" xfId="1301" xr:uid="{00000000-0005-0000-0000-0000DF5D0000}"/>
    <cellStyle name="Good 4 2 2" xfId="17112" xr:uid="{00000000-0005-0000-0000-0000E05D0000}"/>
    <cellStyle name="Good 4 2 3" xfId="17113" xr:uid="{00000000-0005-0000-0000-0000E15D0000}"/>
    <cellStyle name="Good 4 2 4" xfId="17114" xr:uid="{00000000-0005-0000-0000-0000E25D0000}"/>
    <cellStyle name="Good 4 2 5" xfId="17115" xr:uid="{00000000-0005-0000-0000-0000E35D0000}"/>
    <cellStyle name="Good 4 2 6" xfId="17116" xr:uid="{00000000-0005-0000-0000-0000E45D0000}"/>
    <cellStyle name="Good 4 2 7" xfId="17111" xr:uid="{00000000-0005-0000-0000-0000E55D0000}"/>
    <cellStyle name="Good 4 3" xfId="17117" xr:uid="{00000000-0005-0000-0000-0000E65D0000}"/>
    <cellStyle name="Good 4 4" xfId="17118" xr:uid="{00000000-0005-0000-0000-0000E75D0000}"/>
    <cellStyle name="Good 4 5" xfId="17119" xr:uid="{00000000-0005-0000-0000-0000E85D0000}"/>
    <cellStyle name="Good 4 6" xfId="17120" xr:uid="{00000000-0005-0000-0000-0000E95D0000}"/>
    <cellStyle name="Good 4 7" xfId="17121" xr:uid="{00000000-0005-0000-0000-0000EA5D0000}"/>
    <cellStyle name="Good 4 8" xfId="17110" xr:uid="{00000000-0005-0000-0000-0000EB5D0000}"/>
    <cellStyle name="Good 5" xfId="1302" xr:uid="{00000000-0005-0000-0000-0000EC5D0000}"/>
    <cellStyle name="Good 5 2" xfId="1303" xr:uid="{00000000-0005-0000-0000-0000ED5D0000}"/>
    <cellStyle name="Good 5 2 2" xfId="17124" xr:uid="{00000000-0005-0000-0000-0000EE5D0000}"/>
    <cellStyle name="Good 5 2 3" xfId="17125" xr:uid="{00000000-0005-0000-0000-0000EF5D0000}"/>
    <cellStyle name="Good 5 2 4" xfId="17126" xr:uid="{00000000-0005-0000-0000-0000F05D0000}"/>
    <cellStyle name="Good 5 2 5" xfId="17127" xr:uid="{00000000-0005-0000-0000-0000F15D0000}"/>
    <cellStyle name="Good 5 2 6" xfId="17128" xr:uid="{00000000-0005-0000-0000-0000F25D0000}"/>
    <cellStyle name="Good 5 2 7" xfId="17123" xr:uid="{00000000-0005-0000-0000-0000F35D0000}"/>
    <cellStyle name="Good 5 3" xfId="17129" xr:uid="{00000000-0005-0000-0000-0000F45D0000}"/>
    <cellStyle name="Good 5 4" xfId="17130" xr:uid="{00000000-0005-0000-0000-0000F55D0000}"/>
    <cellStyle name="Good 5 5" xfId="17131" xr:uid="{00000000-0005-0000-0000-0000F65D0000}"/>
    <cellStyle name="Good 5 6" xfId="17132" xr:uid="{00000000-0005-0000-0000-0000F75D0000}"/>
    <cellStyle name="Good 5 7" xfId="17133" xr:uid="{00000000-0005-0000-0000-0000F85D0000}"/>
    <cellStyle name="Good 5 8" xfId="17122" xr:uid="{00000000-0005-0000-0000-0000F95D0000}"/>
    <cellStyle name="Good 6" xfId="1304" xr:uid="{00000000-0005-0000-0000-0000FA5D0000}"/>
    <cellStyle name="Good 6 2" xfId="1305" xr:uid="{00000000-0005-0000-0000-0000FB5D0000}"/>
    <cellStyle name="Good 6 2 2" xfId="17136" xr:uid="{00000000-0005-0000-0000-0000FC5D0000}"/>
    <cellStyle name="Good 6 2 3" xfId="17137" xr:uid="{00000000-0005-0000-0000-0000FD5D0000}"/>
    <cellStyle name="Good 6 2 4" xfId="17138" xr:uid="{00000000-0005-0000-0000-0000FE5D0000}"/>
    <cellStyle name="Good 6 2 5" xfId="17139" xr:uid="{00000000-0005-0000-0000-0000FF5D0000}"/>
    <cellStyle name="Good 6 2 6" xfId="17140" xr:uid="{00000000-0005-0000-0000-0000005E0000}"/>
    <cellStyle name="Good 6 2 7" xfId="17135" xr:uid="{00000000-0005-0000-0000-0000015E0000}"/>
    <cellStyle name="Good 6 3" xfId="3303" xr:uid="{00000000-0005-0000-0000-0000025E0000}"/>
    <cellStyle name="Good 6 3 2" xfId="17142" xr:uid="{00000000-0005-0000-0000-0000035E0000}"/>
    <cellStyle name="Good 6 3 3" xfId="17143" xr:uid="{00000000-0005-0000-0000-0000045E0000}"/>
    <cellStyle name="Good 6 3 4" xfId="17144" xr:uid="{00000000-0005-0000-0000-0000055E0000}"/>
    <cellStyle name="Good 6 3 5" xfId="17145" xr:uid="{00000000-0005-0000-0000-0000065E0000}"/>
    <cellStyle name="Good 6 3 6" xfId="17141" xr:uid="{00000000-0005-0000-0000-0000075E0000}"/>
    <cellStyle name="Good 6 4" xfId="17146" xr:uid="{00000000-0005-0000-0000-0000085E0000}"/>
    <cellStyle name="Good 6 5" xfId="17147" xr:uid="{00000000-0005-0000-0000-0000095E0000}"/>
    <cellStyle name="Good 6 6" xfId="17148" xr:uid="{00000000-0005-0000-0000-00000A5E0000}"/>
    <cellStyle name="Good 6 7" xfId="17149" xr:uid="{00000000-0005-0000-0000-00000B5E0000}"/>
    <cellStyle name="Good 6 8" xfId="17150" xr:uid="{00000000-0005-0000-0000-00000C5E0000}"/>
    <cellStyle name="Good 6 9" xfId="17134" xr:uid="{00000000-0005-0000-0000-00000D5E0000}"/>
    <cellStyle name="Good 7" xfId="1306" xr:uid="{00000000-0005-0000-0000-00000E5E0000}"/>
    <cellStyle name="Good 7 2" xfId="1307" xr:uid="{00000000-0005-0000-0000-00000F5E0000}"/>
    <cellStyle name="Good 7 2 2" xfId="17153" xr:uid="{00000000-0005-0000-0000-0000105E0000}"/>
    <cellStyle name="Good 7 2 3" xfId="17154" xr:uid="{00000000-0005-0000-0000-0000115E0000}"/>
    <cellStyle name="Good 7 2 4" xfId="17155" xr:uid="{00000000-0005-0000-0000-0000125E0000}"/>
    <cellStyle name="Good 7 2 5" xfId="17156" xr:uid="{00000000-0005-0000-0000-0000135E0000}"/>
    <cellStyle name="Good 7 2 6" xfId="17157" xr:uid="{00000000-0005-0000-0000-0000145E0000}"/>
    <cellStyle name="Good 7 2 7" xfId="17152" xr:uid="{00000000-0005-0000-0000-0000155E0000}"/>
    <cellStyle name="Good 7 3" xfId="3304" xr:uid="{00000000-0005-0000-0000-0000165E0000}"/>
    <cellStyle name="Good 7 3 2" xfId="17159" xr:uid="{00000000-0005-0000-0000-0000175E0000}"/>
    <cellStyle name="Good 7 3 3" xfId="17160" xr:uid="{00000000-0005-0000-0000-0000185E0000}"/>
    <cellStyle name="Good 7 3 4" xfId="17161" xr:uid="{00000000-0005-0000-0000-0000195E0000}"/>
    <cellStyle name="Good 7 3 5" xfId="17162" xr:uid="{00000000-0005-0000-0000-00001A5E0000}"/>
    <cellStyle name="Good 7 3 6" xfId="17158" xr:uid="{00000000-0005-0000-0000-00001B5E0000}"/>
    <cellStyle name="Good 7 4" xfId="17163" xr:uid="{00000000-0005-0000-0000-00001C5E0000}"/>
    <cellStyle name="Good 7 5" xfId="17164" xr:uid="{00000000-0005-0000-0000-00001D5E0000}"/>
    <cellStyle name="Good 7 6" xfId="17165" xr:uid="{00000000-0005-0000-0000-00001E5E0000}"/>
    <cellStyle name="Good 7 7" xfId="17166" xr:uid="{00000000-0005-0000-0000-00001F5E0000}"/>
    <cellStyle name="Good 7 8" xfId="17167" xr:uid="{00000000-0005-0000-0000-0000205E0000}"/>
    <cellStyle name="Good 7 9" xfId="17151" xr:uid="{00000000-0005-0000-0000-0000215E0000}"/>
    <cellStyle name="Good 8" xfId="1308" xr:uid="{00000000-0005-0000-0000-0000225E0000}"/>
    <cellStyle name="Good 8 2" xfId="1309" xr:uid="{00000000-0005-0000-0000-0000235E0000}"/>
    <cellStyle name="Good 8 2 2" xfId="17170" xr:uid="{00000000-0005-0000-0000-0000245E0000}"/>
    <cellStyle name="Good 8 2 3" xfId="17171" xr:uid="{00000000-0005-0000-0000-0000255E0000}"/>
    <cellStyle name="Good 8 2 4" xfId="17172" xr:uid="{00000000-0005-0000-0000-0000265E0000}"/>
    <cellStyle name="Good 8 2 5" xfId="17173" xr:uid="{00000000-0005-0000-0000-0000275E0000}"/>
    <cellStyle name="Good 8 2 6" xfId="17174" xr:uid="{00000000-0005-0000-0000-0000285E0000}"/>
    <cellStyle name="Good 8 2 7" xfId="17169" xr:uid="{00000000-0005-0000-0000-0000295E0000}"/>
    <cellStyle name="Good 8 3" xfId="3305" xr:uid="{00000000-0005-0000-0000-00002A5E0000}"/>
    <cellStyle name="Good 8 3 2" xfId="17176" xr:uid="{00000000-0005-0000-0000-00002B5E0000}"/>
    <cellStyle name="Good 8 3 3" xfId="17177" xr:uid="{00000000-0005-0000-0000-00002C5E0000}"/>
    <cellStyle name="Good 8 3 4" xfId="17178" xr:uid="{00000000-0005-0000-0000-00002D5E0000}"/>
    <cellStyle name="Good 8 3 5" xfId="17179" xr:uid="{00000000-0005-0000-0000-00002E5E0000}"/>
    <cellStyle name="Good 8 3 6" xfId="17175" xr:uid="{00000000-0005-0000-0000-00002F5E0000}"/>
    <cellStyle name="Good 8 4" xfId="17180" xr:uid="{00000000-0005-0000-0000-0000305E0000}"/>
    <cellStyle name="Good 8 5" xfId="17181" xr:uid="{00000000-0005-0000-0000-0000315E0000}"/>
    <cellStyle name="Good 8 6" xfId="17182" xr:uid="{00000000-0005-0000-0000-0000325E0000}"/>
    <cellStyle name="Good 8 7" xfId="17183" xr:uid="{00000000-0005-0000-0000-0000335E0000}"/>
    <cellStyle name="Good 8 8" xfId="17184" xr:uid="{00000000-0005-0000-0000-0000345E0000}"/>
    <cellStyle name="Good 8 9" xfId="17168" xr:uid="{00000000-0005-0000-0000-0000355E0000}"/>
    <cellStyle name="Good 9" xfId="1310" xr:uid="{00000000-0005-0000-0000-0000365E0000}"/>
    <cellStyle name="Good 9 2" xfId="3306" xr:uid="{00000000-0005-0000-0000-0000375E0000}"/>
    <cellStyle name="Good 9 2 2" xfId="17187" xr:uid="{00000000-0005-0000-0000-0000385E0000}"/>
    <cellStyle name="Good 9 2 3" xfId="17188" xr:uid="{00000000-0005-0000-0000-0000395E0000}"/>
    <cellStyle name="Good 9 2 4" xfId="17189" xr:uid="{00000000-0005-0000-0000-00003A5E0000}"/>
    <cellStyle name="Good 9 2 5" xfId="17190" xr:uid="{00000000-0005-0000-0000-00003B5E0000}"/>
    <cellStyle name="Good 9 2 6" xfId="17186" xr:uid="{00000000-0005-0000-0000-00003C5E0000}"/>
    <cellStyle name="Good 9 3" xfId="17191" xr:uid="{00000000-0005-0000-0000-00003D5E0000}"/>
    <cellStyle name="Good 9 4" xfId="17192" xr:uid="{00000000-0005-0000-0000-00003E5E0000}"/>
    <cellStyle name="Good 9 5" xfId="17193" xr:uid="{00000000-0005-0000-0000-00003F5E0000}"/>
    <cellStyle name="Good 9 6" xfId="17194" xr:uid="{00000000-0005-0000-0000-0000405E0000}"/>
    <cellStyle name="Good 9 7" xfId="17195" xr:uid="{00000000-0005-0000-0000-0000415E0000}"/>
    <cellStyle name="Good 9 8" xfId="17185" xr:uid="{00000000-0005-0000-0000-0000425E0000}"/>
    <cellStyle name="Heading 1 10" xfId="1311" xr:uid="{00000000-0005-0000-0000-0000435E0000}"/>
    <cellStyle name="Heading 1 10 2" xfId="3307" xr:uid="{00000000-0005-0000-0000-0000445E0000}"/>
    <cellStyle name="Heading 1 10 2 2" xfId="17198" xr:uid="{00000000-0005-0000-0000-0000455E0000}"/>
    <cellStyle name="Heading 1 10 2 3" xfId="17199" xr:uid="{00000000-0005-0000-0000-0000465E0000}"/>
    <cellStyle name="Heading 1 10 2 4" xfId="17200" xr:uid="{00000000-0005-0000-0000-0000475E0000}"/>
    <cellStyle name="Heading 1 10 2 5" xfId="17201" xr:uid="{00000000-0005-0000-0000-0000485E0000}"/>
    <cellStyle name="Heading 1 10 2 6" xfId="17197" xr:uid="{00000000-0005-0000-0000-0000495E0000}"/>
    <cellStyle name="Heading 1 10 3" xfId="17202" xr:uid="{00000000-0005-0000-0000-00004A5E0000}"/>
    <cellStyle name="Heading 1 10 4" xfId="17203" xr:uid="{00000000-0005-0000-0000-00004B5E0000}"/>
    <cellStyle name="Heading 1 10 5" xfId="17204" xr:uid="{00000000-0005-0000-0000-00004C5E0000}"/>
    <cellStyle name="Heading 1 10 6" xfId="17205" xr:uid="{00000000-0005-0000-0000-00004D5E0000}"/>
    <cellStyle name="Heading 1 10 7" xfId="17206" xr:uid="{00000000-0005-0000-0000-00004E5E0000}"/>
    <cellStyle name="Heading 1 10 8" xfId="17196" xr:uid="{00000000-0005-0000-0000-00004F5E0000}"/>
    <cellStyle name="Heading 1 11" xfId="1312" xr:uid="{00000000-0005-0000-0000-0000505E0000}"/>
    <cellStyle name="Heading 1 11 2" xfId="8159" xr:uid="{00000000-0005-0000-0000-0000515E0000}"/>
    <cellStyle name="Heading 1 11 2 2" xfId="17209" xr:uid="{00000000-0005-0000-0000-0000525E0000}"/>
    <cellStyle name="Heading 1 11 2 3" xfId="17210" xr:uid="{00000000-0005-0000-0000-0000535E0000}"/>
    <cellStyle name="Heading 1 11 2 4" xfId="17211" xr:uid="{00000000-0005-0000-0000-0000545E0000}"/>
    <cellStyle name="Heading 1 11 2 5" xfId="17212" xr:uid="{00000000-0005-0000-0000-0000555E0000}"/>
    <cellStyle name="Heading 1 11 2 6" xfId="17208" xr:uid="{00000000-0005-0000-0000-0000565E0000}"/>
    <cellStyle name="Heading 1 11 3" xfId="17213" xr:uid="{00000000-0005-0000-0000-0000575E0000}"/>
    <cellStyle name="Heading 1 11 4" xfId="17214" xr:uid="{00000000-0005-0000-0000-0000585E0000}"/>
    <cellStyle name="Heading 1 11 5" xfId="17215" xr:uid="{00000000-0005-0000-0000-0000595E0000}"/>
    <cellStyle name="Heading 1 11 6" xfId="17216" xr:uid="{00000000-0005-0000-0000-00005A5E0000}"/>
    <cellStyle name="Heading 1 11 7" xfId="17217" xr:uid="{00000000-0005-0000-0000-00005B5E0000}"/>
    <cellStyle name="Heading 1 11 8" xfId="17207" xr:uid="{00000000-0005-0000-0000-00005C5E0000}"/>
    <cellStyle name="Heading 1 12" xfId="1313" xr:uid="{00000000-0005-0000-0000-00005D5E0000}"/>
    <cellStyle name="Heading 1 12 2" xfId="8160" xr:uid="{00000000-0005-0000-0000-00005E5E0000}"/>
    <cellStyle name="Heading 1 12 2 2" xfId="17220" xr:uid="{00000000-0005-0000-0000-00005F5E0000}"/>
    <cellStyle name="Heading 1 12 2 3" xfId="17221" xr:uid="{00000000-0005-0000-0000-0000605E0000}"/>
    <cellStyle name="Heading 1 12 2 4" xfId="17222" xr:uid="{00000000-0005-0000-0000-0000615E0000}"/>
    <cellStyle name="Heading 1 12 2 5" xfId="17223" xr:uid="{00000000-0005-0000-0000-0000625E0000}"/>
    <cellStyle name="Heading 1 12 2 6" xfId="17219" xr:uid="{00000000-0005-0000-0000-0000635E0000}"/>
    <cellStyle name="Heading 1 12 3" xfId="17224" xr:uid="{00000000-0005-0000-0000-0000645E0000}"/>
    <cellStyle name="Heading 1 12 4" xfId="17225" xr:uid="{00000000-0005-0000-0000-0000655E0000}"/>
    <cellStyle name="Heading 1 12 5" xfId="17226" xr:uid="{00000000-0005-0000-0000-0000665E0000}"/>
    <cellStyle name="Heading 1 12 6" xfId="17227" xr:uid="{00000000-0005-0000-0000-0000675E0000}"/>
    <cellStyle name="Heading 1 12 7" xfId="17228" xr:uid="{00000000-0005-0000-0000-0000685E0000}"/>
    <cellStyle name="Heading 1 12 8" xfId="17218" xr:uid="{00000000-0005-0000-0000-0000695E0000}"/>
    <cellStyle name="Heading 1 13" xfId="1314" xr:uid="{00000000-0005-0000-0000-00006A5E0000}"/>
    <cellStyle name="Heading 1 13 2" xfId="8161" xr:uid="{00000000-0005-0000-0000-00006B5E0000}"/>
    <cellStyle name="Heading 1 13 2 2" xfId="17231" xr:uid="{00000000-0005-0000-0000-00006C5E0000}"/>
    <cellStyle name="Heading 1 13 2 3" xfId="17232" xr:uid="{00000000-0005-0000-0000-00006D5E0000}"/>
    <cellStyle name="Heading 1 13 2 4" xfId="17233" xr:uid="{00000000-0005-0000-0000-00006E5E0000}"/>
    <cellStyle name="Heading 1 13 2 5" xfId="17234" xr:uid="{00000000-0005-0000-0000-00006F5E0000}"/>
    <cellStyle name="Heading 1 13 2 6" xfId="17230" xr:uid="{00000000-0005-0000-0000-0000705E0000}"/>
    <cellStyle name="Heading 1 13 3" xfId="17235" xr:uid="{00000000-0005-0000-0000-0000715E0000}"/>
    <cellStyle name="Heading 1 13 4" xfId="17236" xr:uid="{00000000-0005-0000-0000-0000725E0000}"/>
    <cellStyle name="Heading 1 13 5" xfId="17237" xr:uid="{00000000-0005-0000-0000-0000735E0000}"/>
    <cellStyle name="Heading 1 13 6" xfId="17238" xr:uid="{00000000-0005-0000-0000-0000745E0000}"/>
    <cellStyle name="Heading 1 13 7" xfId="17239" xr:uid="{00000000-0005-0000-0000-0000755E0000}"/>
    <cellStyle name="Heading 1 13 8" xfId="17229" xr:uid="{00000000-0005-0000-0000-0000765E0000}"/>
    <cellStyle name="Heading 1 14" xfId="1315" xr:uid="{00000000-0005-0000-0000-0000775E0000}"/>
    <cellStyle name="Heading 1 14 2" xfId="8162" xr:uid="{00000000-0005-0000-0000-0000785E0000}"/>
    <cellStyle name="Heading 1 14 2 2" xfId="17242" xr:uid="{00000000-0005-0000-0000-0000795E0000}"/>
    <cellStyle name="Heading 1 14 2 3" xfId="17243" xr:uid="{00000000-0005-0000-0000-00007A5E0000}"/>
    <cellStyle name="Heading 1 14 2 4" xfId="17244" xr:uid="{00000000-0005-0000-0000-00007B5E0000}"/>
    <cellStyle name="Heading 1 14 2 5" xfId="17245" xr:uid="{00000000-0005-0000-0000-00007C5E0000}"/>
    <cellStyle name="Heading 1 14 2 6" xfId="17241" xr:uid="{00000000-0005-0000-0000-00007D5E0000}"/>
    <cellStyle name="Heading 1 14 3" xfId="17246" xr:uid="{00000000-0005-0000-0000-00007E5E0000}"/>
    <cellStyle name="Heading 1 14 4" xfId="17247" xr:uid="{00000000-0005-0000-0000-00007F5E0000}"/>
    <cellStyle name="Heading 1 14 5" xfId="17248" xr:uid="{00000000-0005-0000-0000-0000805E0000}"/>
    <cellStyle name="Heading 1 14 6" xfId="17249" xr:uid="{00000000-0005-0000-0000-0000815E0000}"/>
    <cellStyle name="Heading 1 14 7" xfId="17250" xr:uid="{00000000-0005-0000-0000-0000825E0000}"/>
    <cellStyle name="Heading 1 14 8" xfId="17240" xr:uid="{00000000-0005-0000-0000-0000835E0000}"/>
    <cellStyle name="Heading 1 15" xfId="3308" xr:uid="{00000000-0005-0000-0000-0000845E0000}"/>
    <cellStyle name="Heading 1 15 2" xfId="8163" xr:uid="{00000000-0005-0000-0000-0000855E0000}"/>
    <cellStyle name="Heading 1 15 2 2" xfId="17253" xr:uid="{00000000-0005-0000-0000-0000865E0000}"/>
    <cellStyle name="Heading 1 15 2 3" xfId="17254" xr:uid="{00000000-0005-0000-0000-0000875E0000}"/>
    <cellStyle name="Heading 1 15 2 4" xfId="17255" xr:uid="{00000000-0005-0000-0000-0000885E0000}"/>
    <cellStyle name="Heading 1 15 2 5" xfId="17256" xr:uid="{00000000-0005-0000-0000-0000895E0000}"/>
    <cellStyle name="Heading 1 15 2 6" xfId="17252" xr:uid="{00000000-0005-0000-0000-00008A5E0000}"/>
    <cellStyle name="Heading 1 15 3" xfId="17257" xr:uid="{00000000-0005-0000-0000-00008B5E0000}"/>
    <cellStyle name="Heading 1 15 4" xfId="17258" xr:uid="{00000000-0005-0000-0000-00008C5E0000}"/>
    <cellStyle name="Heading 1 15 5" xfId="17259" xr:uid="{00000000-0005-0000-0000-00008D5E0000}"/>
    <cellStyle name="Heading 1 15 6" xfId="17260" xr:uid="{00000000-0005-0000-0000-00008E5E0000}"/>
    <cellStyle name="Heading 1 15 7" xfId="17251" xr:uid="{00000000-0005-0000-0000-00008F5E0000}"/>
    <cellStyle name="Heading 1 16" xfId="3309" xr:uid="{00000000-0005-0000-0000-0000905E0000}"/>
    <cellStyle name="Heading 1 16 2" xfId="8164" xr:uid="{00000000-0005-0000-0000-0000915E0000}"/>
    <cellStyle name="Heading 1 16 2 2" xfId="17263" xr:uid="{00000000-0005-0000-0000-0000925E0000}"/>
    <cellStyle name="Heading 1 16 2 3" xfId="17264" xr:uid="{00000000-0005-0000-0000-0000935E0000}"/>
    <cellStyle name="Heading 1 16 2 4" xfId="17265" xr:uid="{00000000-0005-0000-0000-0000945E0000}"/>
    <cellStyle name="Heading 1 16 2 5" xfId="17266" xr:uid="{00000000-0005-0000-0000-0000955E0000}"/>
    <cellStyle name="Heading 1 16 2 6" xfId="17262" xr:uid="{00000000-0005-0000-0000-0000965E0000}"/>
    <cellStyle name="Heading 1 16 3" xfId="17267" xr:uid="{00000000-0005-0000-0000-0000975E0000}"/>
    <cellStyle name="Heading 1 16 4" xfId="17268" xr:uid="{00000000-0005-0000-0000-0000985E0000}"/>
    <cellStyle name="Heading 1 16 5" xfId="17269" xr:uid="{00000000-0005-0000-0000-0000995E0000}"/>
    <cellStyle name="Heading 1 16 6" xfId="17270" xr:uid="{00000000-0005-0000-0000-00009A5E0000}"/>
    <cellStyle name="Heading 1 16 7" xfId="17261" xr:uid="{00000000-0005-0000-0000-00009B5E0000}"/>
    <cellStyle name="Heading 1 17" xfId="3310" xr:uid="{00000000-0005-0000-0000-00009C5E0000}"/>
    <cellStyle name="Heading 1 17 2" xfId="8165" xr:uid="{00000000-0005-0000-0000-00009D5E0000}"/>
    <cellStyle name="Heading 1 17 2 2" xfId="17273" xr:uid="{00000000-0005-0000-0000-00009E5E0000}"/>
    <cellStyle name="Heading 1 17 2 3" xfId="17274" xr:uid="{00000000-0005-0000-0000-00009F5E0000}"/>
    <cellStyle name="Heading 1 17 2 4" xfId="17275" xr:uid="{00000000-0005-0000-0000-0000A05E0000}"/>
    <cellStyle name="Heading 1 17 2 5" xfId="17276" xr:uid="{00000000-0005-0000-0000-0000A15E0000}"/>
    <cellStyle name="Heading 1 17 2 6" xfId="17272" xr:uid="{00000000-0005-0000-0000-0000A25E0000}"/>
    <cellStyle name="Heading 1 17 3" xfId="17277" xr:uid="{00000000-0005-0000-0000-0000A35E0000}"/>
    <cellStyle name="Heading 1 17 4" xfId="17278" xr:uid="{00000000-0005-0000-0000-0000A45E0000}"/>
    <cellStyle name="Heading 1 17 5" xfId="17279" xr:uid="{00000000-0005-0000-0000-0000A55E0000}"/>
    <cellStyle name="Heading 1 17 6" xfId="17280" xr:uid="{00000000-0005-0000-0000-0000A65E0000}"/>
    <cellStyle name="Heading 1 17 7" xfId="17271" xr:uid="{00000000-0005-0000-0000-0000A75E0000}"/>
    <cellStyle name="Heading 1 18" xfId="3311" xr:uid="{00000000-0005-0000-0000-0000A85E0000}"/>
    <cellStyle name="Heading 1 18 2" xfId="8166" xr:uid="{00000000-0005-0000-0000-0000A95E0000}"/>
    <cellStyle name="Heading 1 18 2 2" xfId="17283" xr:uid="{00000000-0005-0000-0000-0000AA5E0000}"/>
    <cellStyle name="Heading 1 18 2 3" xfId="17284" xr:uid="{00000000-0005-0000-0000-0000AB5E0000}"/>
    <cellStyle name="Heading 1 18 2 4" xfId="17285" xr:uid="{00000000-0005-0000-0000-0000AC5E0000}"/>
    <cellStyle name="Heading 1 18 2 5" xfId="17286" xr:uid="{00000000-0005-0000-0000-0000AD5E0000}"/>
    <cellStyle name="Heading 1 18 2 6" xfId="17282" xr:uid="{00000000-0005-0000-0000-0000AE5E0000}"/>
    <cellStyle name="Heading 1 18 3" xfId="17287" xr:uid="{00000000-0005-0000-0000-0000AF5E0000}"/>
    <cellStyle name="Heading 1 18 4" xfId="17288" xr:uid="{00000000-0005-0000-0000-0000B05E0000}"/>
    <cellStyle name="Heading 1 18 5" xfId="17289" xr:uid="{00000000-0005-0000-0000-0000B15E0000}"/>
    <cellStyle name="Heading 1 18 6" xfId="17290" xr:uid="{00000000-0005-0000-0000-0000B25E0000}"/>
    <cellStyle name="Heading 1 18 7" xfId="17281" xr:uid="{00000000-0005-0000-0000-0000B35E0000}"/>
    <cellStyle name="Heading 1 19" xfId="3312" xr:uid="{00000000-0005-0000-0000-0000B45E0000}"/>
    <cellStyle name="Heading 1 19 2" xfId="8167" xr:uid="{00000000-0005-0000-0000-0000B55E0000}"/>
    <cellStyle name="Heading 1 19 2 2" xfId="17293" xr:uid="{00000000-0005-0000-0000-0000B65E0000}"/>
    <cellStyle name="Heading 1 19 2 3" xfId="17294" xr:uid="{00000000-0005-0000-0000-0000B75E0000}"/>
    <cellStyle name="Heading 1 19 2 4" xfId="17295" xr:uid="{00000000-0005-0000-0000-0000B85E0000}"/>
    <cellStyle name="Heading 1 19 2 5" xfId="17296" xr:uid="{00000000-0005-0000-0000-0000B95E0000}"/>
    <cellStyle name="Heading 1 19 2 6" xfId="17292" xr:uid="{00000000-0005-0000-0000-0000BA5E0000}"/>
    <cellStyle name="Heading 1 19 3" xfId="17297" xr:uid="{00000000-0005-0000-0000-0000BB5E0000}"/>
    <cellStyle name="Heading 1 19 4" xfId="17298" xr:uid="{00000000-0005-0000-0000-0000BC5E0000}"/>
    <cellStyle name="Heading 1 19 5" xfId="17299" xr:uid="{00000000-0005-0000-0000-0000BD5E0000}"/>
    <cellStyle name="Heading 1 19 6" xfId="17300" xr:uid="{00000000-0005-0000-0000-0000BE5E0000}"/>
    <cellStyle name="Heading 1 19 7" xfId="17291" xr:uid="{00000000-0005-0000-0000-0000BF5E0000}"/>
    <cellStyle name="Heading 1 2" xfId="1316" xr:uid="{00000000-0005-0000-0000-0000C05E0000}"/>
    <cellStyle name="Heading 1 2 10" xfId="17302" xr:uid="{00000000-0005-0000-0000-0000C15E0000}"/>
    <cellStyle name="Heading 1 2 11" xfId="17303" xr:uid="{00000000-0005-0000-0000-0000C25E0000}"/>
    <cellStyle name="Heading 1 2 12" xfId="17304" xr:uid="{00000000-0005-0000-0000-0000C35E0000}"/>
    <cellStyle name="Heading 1 2 13" xfId="17305" xr:uid="{00000000-0005-0000-0000-0000C45E0000}"/>
    <cellStyle name="Heading 1 2 14" xfId="17306" xr:uid="{00000000-0005-0000-0000-0000C55E0000}"/>
    <cellStyle name="Heading 1 2 15" xfId="17307" xr:uid="{00000000-0005-0000-0000-0000C65E0000}"/>
    <cellStyle name="Heading 1 2 16" xfId="17301" xr:uid="{00000000-0005-0000-0000-0000C75E0000}"/>
    <cellStyle name="Heading 1 2 2" xfId="1317" xr:uid="{00000000-0005-0000-0000-0000C85E0000}"/>
    <cellStyle name="Heading 1 2 2 2" xfId="17309" xr:uid="{00000000-0005-0000-0000-0000C95E0000}"/>
    <cellStyle name="Heading 1 2 2 3" xfId="17310" xr:uid="{00000000-0005-0000-0000-0000CA5E0000}"/>
    <cellStyle name="Heading 1 2 2 4" xfId="17311" xr:uid="{00000000-0005-0000-0000-0000CB5E0000}"/>
    <cellStyle name="Heading 1 2 2 5" xfId="17312" xr:uid="{00000000-0005-0000-0000-0000CC5E0000}"/>
    <cellStyle name="Heading 1 2 2 6" xfId="17313" xr:uid="{00000000-0005-0000-0000-0000CD5E0000}"/>
    <cellStyle name="Heading 1 2 2 7" xfId="17308" xr:uid="{00000000-0005-0000-0000-0000CE5E0000}"/>
    <cellStyle name="Heading 1 2 3" xfId="1318" xr:uid="{00000000-0005-0000-0000-0000CF5E0000}"/>
    <cellStyle name="Heading 1 2 3 2" xfId="17315" xr:uid="{00000000-0005-0000-0000-0000D05E0000}"/>
    <cellStyle name="Heading 1 2 3 3" xfId="17316" xr:uid="{00000000-0005-0000-0000-0000D15E0000}"/>
    <cellStyle name="Heading 1 2 3 4" xfId="17317" xr:uid="{00000000-0005-0000-0000-0000D25E0000}"/>
    <cellStyle name="Heading 1 2 3 5" xfId="17318" xr:uid="{00000000-0005-0000-0000-0000D35E0000}"/>
    <cellStyle name="Heading 1 2 3 6" xfId="17319" xr:uid="{00000000-0005-0000-0000-0000D45E0000}"/>
    <cellStyle name="Heading 1 2 3 7" xfId="17314" xr:uid="{00000000-0005-0000-0000-0000D55E0000}"/>
    <cellStyle name="Heading 1 2 4" xfId="1319" xr:uid="{00000000-0005-0000-0000-0000D65E0000}"/>
    <cellStyle name="Heading 1 2 4 2" xfId="17321" xr:uid="{00000000-0005-0000-0000-0000D75E0000}"/>
    <cellStyle name="Heading 1 2 4 3" xfId="17322" xr:uid="{00000000-0005-0000-0000-0000D85E0000}"/>
    <cellStyle name="Heading 1 2 4 4" xfId="17323" xr:uid="{00000000-0005-0000-0000-0000D95E0000}"/>
    <cellStyle name="Heading 1 2 4 5" xfId="17324" xr:uid="{00000000-0005-0000-0000-0000DA5E0000}"/>
    <cellStyle name="Heading 1 2 4 6" xfId="17325" xr:uid="{00000000-0005-0000-0000-0000DB5E0000}"/>
    <cellStyle name="Heading 1 2 4 7" xfId="17320" xr:uid="{00000000-0005-0000-0000-0000DC5E0000}"/>
    <cellStyle name="Heading 1 2 5" xfId="1320" xr:uid="{00000000-0005-0000-0000-0000DD5E0000}"/>
    <cellStyle name="Heading 1 2 5 2" xfId="17327" xr:uid="{00000000-0005-0000-0000-0000DE5E0000}"/>
    <cellStyle name="Heading 1 2 5 3" xfId="17328" xr:uid="{00000000-0005-0000-0000-0000DF5E0000}"/>
    <cellStyle name="Heading 1 2 5 4" xfId="17329" xr:uid="{00000000-0005-0000-0000-0000E05E0000}"/>
    <cellStyle name="Heading 1 2 5 5" xfId="17330" xr:uid="{00000000-0005-0000-0000-0000E15E0000}"/>
    <cellStyle name="Heading 1 2 5 6" xfId="17331" xr:uid="{00000000-0005-0000-0000-0000E25E0000}"/>
    <cellStyle name="Heading 1 2 5 7" xfId="17326" xr:uid="{00000000-0005-0000-0000-0000E35E0000}"/>
    <cellStyle name="Heading 1 2 6" xfId="1321" xr:uid="{00000000-0005-0000-0000-0000E45E0000}"/>
    <cellStyle name="Heading 1 2 6 2" xfId="17333" xr:uid="{00000000-0005-0000-0000-0000E55E0000}"/>
    <cellStyle name="Heading 1 2 6 3" xfId="17334" xr:uid="{00000000-0005-0000-0000-0000E65E0000}"/>
    <cellStyle name="Heading 1 2 6 4" xfId="17335" xr:uid="{00000000-0005-0000-0000-0000E75E0000}"/>
    <cellStyle name="Heading 1 2 6 5" xfId="17336" xr:uid="{00000000-0005-0000-0000-0000E85E0000}"/>
    <cellStyle name="Heading 1 2 6 6" xfId="17337" xr:uid="{00000000-0005-0000-0000-0000E95E0000}"/>
    <cellStyle name="Heading 1 2 6 7" xfId="17332" xr:uid="{00000000-0005-0000-0000-0000EA5E0000}"/>
    <cellStyle name="Heading 1 2 7" xfId="1322" xr:uid="{00000000-0005-0000-0000-0000EB5E0000}"/>
    <cellStyle name="Heading 1 2 7 2" xfId="17339" xr:uid="{00000000-0005-0000-0000-0000EC5E0000}"/>
    <cellStyle name="Heading 1 2 7 3" xfId="17340" xr:uid="{00000000-0005-0000-0000-0000ED5E0000}"/>
    <cellStyle name="Heading 1 2 7 4" xfId="17341" xr:uid="{00000000-0005-0000-0000-0000EE5E0000}"/>
    <cellStyle name="Heading 1 2 7 5" xfId="17342" xr:uid="{00000000-0005-0000-0000-0000EF5E0000}"/>
    <cellStyle name="Heading 1 2 7 6" xfId="17343" xr:uid="{00000000-0005-0000-0000-0000F05E0000}"/>
    <cellStyle name="Heading 1 2 7 7" xfId="17338" xr:uid="{00000000-0005-0000-0000-0000F15E0000}"/>
    <cellStyle name="Heading 1 2 8" xfId="1323" xr:uid="{00000000-0005-0000-0000-0000F25E0000}"/>
    <cellStyle name="Heading 1 2 8 2" xfId="17345" xr:uid="{00000000-0005-0000-0000-0000F35E0000}"/>
    <cellStyle name="Heading 1 2 8 3" xfId="17346" xr:uid="{00000000-0005-0000-0000-0000F45E0000}"/>
    <cellStyle name="Heading 1 2 8 4" xfId="17347" xr:uid="{00000000-0005-0000-0000-0000F55E0000}"/>
    <cellStyle name="Heading 1 2 8 5" xfId="17348" xr:uid="{00000000-0005-0000-0000-0000F65E0000}"/>
    <cellStyle name="Heading 1 2 8 6" xfId="17349" xr:uid="{00000000-0005-0000-0000-0000F75E0000}"/>
    <cellStyle name="Heading 1 2 8 7" xfId="17344" xr:uid="{00000000-0005-0000-0000-0000F85E0000}"/>
    <cellStyle name="Heading 1 2 9" xfId="1324" xr:uid="{00000000-0005-0000-0000-0000F95E0000}"/>
    <cellStyle name="Heading 1 2 9 2" xfId="17351" xr:uid="{00000000-0005-0000-0000-0000FA5E0000}"/>
    <cellStyle name="Heading 1 2 9 3" xfId="17352" xr:uid="{00000000-0005-0000-0000-0000FB5E0000}"/>
    <cellStyle name="Heading 1 2 9 4" xfId="17353" xr:uid="{00000000-0005-0000-0000-0000FC5E0000}"/>
    <cellStyle name="Heading 1 2 9 5" xfId="17354" xr:uid="{00000000-0005-0000-0000-0000FD5E0000}"/>
    <cellStyle name="Heading 1 2 9 6" xfId="17355" xr:uid="{00000000-0005-0000-0000-0000FE5E0000}"/>
    <cellStyle name="Heading 1 2 9 7" xfId="17350" xr:uid="{00000000-0005-0000-0000-0000FF5E0000}"/>
    <cellStyle name="Heading 1 2_IND_UC" xfId="6574" xr:uid="{00000000-0005-0000-0000-0000005F0000}"/>
    <cellStyle name="Heading 1 20" xfId="3313" xr:uid="{00000000-0005-0000-0000-0000015F0000}"/>
    <cellStyle name="Heading 1 20 2" xfId="8168" xr:uid="{00000000-0005-0000-0000-0000025F0000}"/>
    <cellStyle name="Heading 1 20 2 2" xfId="17358" xr:uid="{00000000-0005-0000-0000-0000035F0000}"/>
    <cellStyle name="Heading 1 20 2 3" xfId="17359" xr:uid="{00000000-0005-0000-0000-0000045F0000}"/>
    <cellStyle name="Heading 1 20 2 4" xfId="17360" xr:uid="{00000000-0005-0000-0000-0000055F0000}"/>
    <cellStyle name="Heading 1 20 2 5" xfId="17361" xr:uid="{00000000-0005-0000-0000-0000065F0000}"/>
    <cellStyle name="Heading 1 20 2 6" xfId="17357" xr:uid="{00000000-0005-0000-0000-0000075F0000}"/>
    <cellStyle name="Heading 1 20 3" xfId="17362" xr:uid="{00000000-0005-0000-0000-0000085F0000}"/>
    <cellStyle name="Heading 1 20 4" xfId="17363" xr:uid="{00000000-0005-0000-0000-0000095F0000}"/>
    <cellStyle name="Heading 1 20 5" xfId="17364" xr:uid="{00000000-0005-0000-0000-00000A5F0000}"/>
    <cellStyle name="Heading 1 20 6" xfId="17365" xr:uid="{00000000-0005-0000-0000-00000B5F0000}"/>
    <cellStyle name="Heading 1 20 7" xfId="17356" xr:uid="{00000000-0005-0000-0000-00000C5F0000}"/>
    <cellStyle name="Heading 1 21" xfId="8169" xr:uid="{00000000-0005-0000-0000-00000D5F0000}"/>
    <cellStyle name="Heading 1 21 2" xfId="17367" xr:uid="{00000000-0005-0000-0000-00000E5F0000}"/>
    <cellStyle name="Heading 1 21 3" xfId="17368" xr:uid="{00000000-0005-0000-0000-00000F5F0000}"/>
    <cellStyle name="Heading 1 21 4" xfId="17369" xr:uid="{00000000-0005-0000-0000-0000105F0000}"/>
    <cellStyle name="Heading 1 21 5" xfId="17370" xr:uid="{00000000-0005-0000-0000-0000115F0000}"/>
    <cellStyle name="Heading 1 21 6" xfId="17366" xr:uid="{00000000-0005-0000-0000-0000125F0000}"/>
    <cellStyle name="Heading 1 22" xfId="6573" xr:uid="{00000000-0005-0000-0000-0000135F0000}"/>
    <cellStyle name="Heading 1 22 2" xfId="17372" xr:uid="{00000000-0005-0000-0000-0000145F0000}"/>
    <cellStyle name="Heading 1 22 3" xfId="17371" xr:uid="{00000000-0005-0000-0000-0000155F0000}"/>
    <cellStyle name="Heading 1 23" xfId="17373" xr:uid="{00000000-0005-0000-0000-0000165F0000}"/>
    <cellStyle name="Heading 1 24" xfId="17374" xr:uid="{00000000-0005-0000-0000-0000175F0000}"/>
    <cellStyle name="Heading 1 25" xfId="17375" xr:uid="{00000000-0005-0000-0000-0000185F0000}"/>
    <cellStyle name="Heading 1 3" xfId="1325" xr:uid="{00000000-0005-0000-0000-0000195F0000}"/>
    <cellStyle name="Heading 1 3 10" xfId="3314" xr:uid="{00000000-0005-0000-0000-00001A5F0000}"/>
    <cellStyle name="Heading 1 3 10 2" xfId="17378" xr:uid="{00000000-0005-0000-0000-00001B5F0000}"/>
    <cellStyle name="Heading 1 3 10 3" xfId="17379" xr:uid="{00000000-0005-0000-0000-00001C5F0000}"/>
    <cellStyle name="Heading 1 3 10 4" xfId="17380" xr:uid="{00000000-0005-0000-0000-00001D5F0000}"/>
    <cellStyle name="Heading 1 3 10 5" xfId="17381" xr:uid="{00000000-0005-0000-0000-00001E5F0000}"/>
    <cellStyle name="Heading 1 3 10 6" xfId="17377" xr:uid="{00000000-0005-0000-0000-00001F5F0000}"/>
    <cellStyle name="Heading 1 3 11" xfId="3315" xr:uid="{00000000-0005-0000-0000-0000205F0000}"/>
    <cellStyle name="Heading 1 3 11 2" xfId="17383" xr:uid="{00000000-0005-0000-0000-0000215F0000}"/>
    <cellStyle name="Heading 1 3 11 3" xfId="17384" xr:uid="{00000000-0005-0000-0000-0000225F0000}"/>
    <cellStyle name="Heading 1 3 11 4" xfId="17385" xr:uid="{00000000-0005-0000-0000-0000235F0000}"/>
    <cellStyle name="Heading 1 3 11 5" xfId="17386" xr:uid="{00000000-0005-0000-0000-0000245F0000}"/>
    <cellStyle name="Heading 1 3 11 6" xfId="17382" xr:uid="{00000000-0005-0000-0000-0000255F0000}"/>
    <cellStyle name="Heading 1 3 12" xfId="3316" xr:uid="{00000000-0005-0000-0000-0000265F0000}"/>
    <cellStyle name="Heading 1 3 12 2" xfId="17388" xr:uid="{00000000-0005-0000-0000-0000275F0000}"/>
    <cellStyle name="Heading 1 3 12 3" xfId="17389" xr:uid="{00000000-0005-0000-0000-0000285F0000}"/>
    <cellStyle name="Heading 1 3 12 4" xfId="17390" xr:uid="{00000000-0005-0000-0000-0000295F0000}"/>
    <cellStyle name="Heading 1 3 12 5" xfId="17391" xr:uid="{00000000-0005-0000-0000-00002A5F0000}"/>
    <cellStyle name="Heading 1 3 12 6" xfId="17387" xr:uid="{00000000-0005-0000-0000-00002B5F0000}"/>
    <cellStyle name="Heading 1 3 13" xfId="3317" xr:uid="{00000000-0005-0000-0000-00002C5F0000}"/>
    <cellStyle name="Heading 1 3 13 2" xfId="17393" xr:uid="{00000000-0005-0000-0000-00002D5F0000}"/>
    <cellStyle name="Heading 1 3 13 3" xfId="17394" xr:uid="{00000000-0005-0000-0000-00002E5F0000}"/>
    <cellStyle name="Heading 1 3 13 4" xfId="17395" xr:uid="{00000000-0005-0000-0000-00002F5F0000}"/>
    <cellStyle name="Heading 1 3 13 5" xfId="17396" xr:uid="{00000000-0005-0000-0000-0000305F0000}"/>
    <cellStyle name="Heading 1 3 13 6" xfId="17392" xr:uid="{00000000-0005-0000-0000-0000315F0000}"/>
    <cellStyle name="Heading 1 3 14" xfId="3318" xr:uid="{00000000-0005-0000-0000-0000325F0000}"/>
    <cellStyle name="Heading 1 3 14 2" xfId="17398" xr:uid="{00000000-0005-0000-0000-0000335F0000}"/>
    <cellStyle name="Heading 1 3 14 3" xfId="17399" xr:uid="{00000000-0005-0000-0000-0000345F0000}"/>
    <cellStyle name="Heading 1 3 14 4" xfId="17400" xr:uid="{00000000-0005-0000-0000-0000355F0000}"/>
    <cellStyle name="Heading 1 3 14 5" xfId="17401" xr:uid="{00000000-0005-0000-0000-0000365F0000}"/>
    <cellStyle name="Heading 1 3 14 6" xfId="17397" xr:uid="{00000000-0005-0000-0000-0000375F0000}"/>
    <cellStyle name="Heading 1 3 15" xfId="8170" xr:uid="{00000000-0005-0000-0000-0000385F0000}"/>
    <cellStyle name="Heading 1 3 15 2" xfId="17403" xr:uid="{00000000-0005-0000-0000-0000395F0000}"/>
    <cellStyle name="Heading 1 3 15 3" xfId="17404" xr:uid="{00000000-0005-0000-0000-00003A5F0000}"/>
    <cellStyle name="Heading 1 3 15 4" xfId="17405" xr:uid="{00000000-0005-0000-0000-00003B5F0000}"/>
    <cellStyle name="Heading 1 3 15 5" xfId="17406" xr:uid="{00000000-0005-0000-0000-00003C5F0000}"/>
    <cellStyle name="Heading 1 3 15 6" xfId="17402" xr:uid="{00000000-0005-0000-0000-00003D5F0000}"/>
    <cellStyle name="Heading 1 3 16" xfId="17407" xr:uid="{00000000-0005-0000-0000-00003E5F0000}"/>
    <cellStyle name="Heading 1 3 17" xfId="17408" xr:uid="{00000000-0005-0000-0000-00003F5F0000}"/>
    <cellStyle name="Heading 1 3 18" xfId="17409" xr:uid="{00000000-0005-0000-0000-0000405F0000}"/>
    <cellStyle name="Heading 1 3 19" xfId="17410" xr:uid="{00000000-0005-0000-0000-0000415F0000}"/>
    <cellStyle name="Heading 1 3 2" xfId="1326" xr:uid="{00000000-0005-0000-0000-0000425F0000}"/>
    <cellStyle name="Heading 1 3 2 2" xfId="17412" xr:uid="{00000000-0005-0000-0000-0000435F0000}"/>
    <cellStyle name="Heading 1 3 2 3" xfId="17413" xr:uid="{00000000-0005-0000-0000-0000445F0000}"/>
    <cellStyle name="Heading 1 3 2 4" xfId="17414" xr:uid="{00000000-0005-0000-0000-0000455F0000}"/>
    <cellStyle name="Heading 1 3 2 5" xfId="17415" xr:uid="{00000000-0005-0000-0000-0000465F0000}"/>
    <cellStyle name="Heading 1 3 2 6" xfId="17416" xr:uid="{00000000-0005-0000-0000-0000475F0000}"/>
    <cellStyle name="Heading 1 3 2 7" xfId="17411" xr:uid="{00000000-0005-0000-0000-0000485F0000}"/>
    <cellStyle name="Heading 1 3 20" xfId="17417" xr:uid="{00000000-0005-0000-0000-0000495F0000}"/>
    <cellStyle name="Heading 1 3 21" xfId="17376" xr:uid="{00000000-0005-0000-0000-00004A5F0000}"/>
    <cellStyle name="Heading 1 3 3" xfId="3319" xr:uid="{00000000-0005-0000-0000-00004B5F0000}"/>
    <cellStyle name="Heading 1 3 3 2" xfId="17419" xr:uid="{00000000-0005-0000-0000-00004C5F0000}"/>
    <cellStyle name="Heading 1 3 3 3" xfId="17420" xr:uid="{00000000-0005-0000-0000-00004D5F0000}"/>
    <cellStyle name="Heading 1 3 3 4" xfId="17421" xr:uid="{00000000-0005-0000-0000-00004E5F0000}"/>
    <cellStyle name="Heading 1 3 3 5" xfId="17422" xr:uid="{00000000-0005-0000-0000-00004F5F0000}"/>
    <cellStyle name="Heading 1 3 3 6" xfId="17418" xr:uid="{00000000-0005-0000-0000-0000505F0000}"/>
    <cellStyle name="Heading 1 3 4" xfId="3320" xr:uid="{00000000-0005-0000-0000-0000515F0000}"/>
    <cellStyle name="Heading 1 3 4 2" xfId="17424" xr:uid="{00000000-0005-0000-0000-0000525F0000}"/>
    <cellStyle name="Heading 1 3 4 3" xfId="17425" xr:uid="{00000000-0005-0000-0000-0000535F0000}"/>
    <cellStyle name="Heading 1 3 4 4" xfId="17426" xr:uid="{00000000-0005-0000-0000-0000545F0000}"/>
    <cellStyle name="Heading 1 3 4 5" xfId="17427" xr:uid="{00000000-0005-0000-0000-0000555F0000}"/>
    <cellStyle name="Heading 1 3 4 6" xfId="17423" xr:uid="{00000000-0005-0000-0000-0000565F0000}"/>
    <cellStyle name="Heading 1 3 5" xfId="3321" xr:uid="{00000000-0005-0000-0000-0000575F0000}"/>
    <cellStyle name="Heading 1 3 5 2" xfId="17429" xr:uid="{00000000-0005-0000-0000-0000585F0000}"/>
    <cellStyle name="Heading 1 3 5 3" xfId="17430" xr:uid="{00000000-0005-0000-0000-0000595F0000}"/>
    <cellStyle name="Heading 1 3 5 4" xfId="17431" xr:uid="{00000000-0005-0000-0000-00005A5F0000}"/>
    <cellStyle name="Heading 1 3 5 5" xfId="17432" xr:uid="{00000000-0005-0000-0000-00005B5F0000}"/>
    <cellStyle name="Heading 1 3 5 6" xfId="17428" xr:uid="{00000000-0005-0000-0000-00005C5F0000}"/>
    <cellStyle name="Heading 1 3 6" xfId="3322" xr:uid="{00000000-0005-0000-0000-00005D5F0000}"/>
    <cellStyle name="Heading 1 3 6 2" xfId="17434" xr:uid="{00000000-0005-0000-0000-00005E5F0000}"/>
    <cellStyle name="Heading 1 3 6 3" xfId="17435" xr:uid="{00000000-0005-0000-0000-00005F5F0000}"/>
    <cellStyle name="Heading 1 3 6 4" xfId="17436" xr:uid="{00000000-0005-0000-0000-0000605F0000}"/>
    <cellStyle name="Heading 1 3 6 5" xfId="17437" xr:uid="{00000000-0005-0000-0000-0000615F0000}"/>
    <cellStyle name="Heading 1 3 6 6" xfId="17433" xr:uid="{00000000-0005-0000-0000-0000625F0000}"/>
    <cellStyle name="Heading 1 3 7" xfId="3323" xr:uid="{00000000-0005-0000-0000-0000635F0000}"/>
    <cellStyle name="Heading 1 3 7 2" xfId="17439" xr:uid="{00000000-0005-0000-0000-0000645F0000}"/>
    <cellStyle name="Heading 1 3 7 3" xfId="17440" xr:uid="{00000000-0005-0000-0000-0000655F0000}"/>
    <cellStyle name="Heading 1 3 7 4" xfId="17441" xr:uid="{00000000-0005-0000-0000-0000665F0000}"/>
    <cellStyle name="Heading 1 3 7 5" xfId="17442" xr:uid="{00000000-0005-0000-0000-0000675F0000}"/>
    <cellStyle name="Heading 1 3 7 6" xfId="17438" xr:uid="{00000000-0005-0000-0000-0000685F0000}"/>
    <cellStyle name="Heading 1 3 8" xfId="3324" xr:uid="{00000000-0005-0000-0000-0000695F0000}"/>
    <cellStyle name="Heading 1 3 8 2" xfId="17444" xr:uid="{00000000-0005-0000-0000-00006A5F0000}"/>
    <cellStyle name="Heading 1 3 8 3" xfId="17445" xr:uid="{00000000-0005-0000-0000-00006B5F0000}"/>
    <cellStyle name="Heading 1 3 8 4" xfId="17446" xr:uid="{00000000-0005-0000-0000-00006C5F0000}"/>
    <cellStyle name="Heading 1 3 8 5" xfId="17447" xr:uid="{00000000-0005-0000-0000-00006D5F0000}"/>
    <cellStyle name="Heading 1 3 8 6" xfId="17443" xr:uid="{00000000-0005-0000-0000-00006E5F0000}"/>
    <cellStyle name="Heading 1 3 9" xfId="3325" xr:uid="{00000000-0005-0000-0000-00006F5F0000}"/>
    <cellStyle name="Heading 1 3 9 2" xfId="17449" xr:uid="{00000000-0005-0000-0000-0000705F0000}"/>
    <cellStyle name="Heading 1 3 9 3" xfId="17450" xr:uid="{00000000-0005-0000-0000-0000715F0000}"/>
    <cellStyle name="Heading 1 3 9 4" xfId="17451" xr:uid="{00000000-0005-0000-0000-0000725F0000}"/>
    <cellStyle name="Heading 1 3 9 5" xfId="17452" xr:uid="{00000000-0005-0000-0000-0000735F0000}"/>
    <cellStyle name="Heading 1 3 9 6" xfId="17448" xr:uid="{00000000-0005-0000-0000-0000745F0000}"/>
    <cellStyle name="Heading 1 3_IND_UC" xfId="6575" xr:uid="{00000000-0005-0000-0000-0000755F0000}"/>
    <cellStyle name="Heading 1 4" xfId="1327" xr:uid="{00000000-0005-0000-0000-0000765F0000}"/>
    <cellStyle name="Heading 1 4 2" xfId="1328" xr:uid="{00000000-0005-0000-0000-0000775F0000}"/>
    <cellStyle name="Heading 1 4 2 2" xfId="17455" xr:uid="{00000000-0005-0000-0000-0000785F0000}"/>
    <cellStyle name="Heading 1 4 2 3" xfId="17456" xr:uid="{00000000-0005-0000-0000-0000795F0000}"/>
    <cellStyle name="Heading 1 4 2 4" xfId="17457" xr:uid="{00000000-0005-0000-0000-00007A5F0000}"/>
    <cellStyle name="Heading 1 4 2 5" xfId="17458" xr:uid="{00000000-0005-0000-0000-00007B5F0000}"/>
    <cellStyle name="Heading 1 4 2 6" xfId="17459" xr:uid="{00000000-0005-0000-0000-00007C5F0000}"/>
    <cellStyle name="Heading 1 4 2 7" xfId="17454" xr:uid="{00000000-0005-0000-0000-00007D5F0000}"/>
    <cellStyle name="Heading 1 4 3" xfId="17460" xr:uid="{00000000-0005-0000-0000-00007E5F0000}"/>
    <cellStyle name="Heading 1 4 4" xfId="17461" xr:uid="{00000000-0005-0000-0000-00007F5F0000}"/>
    <cellStyle name="Heading 1 4 5" xfId="17462" xr:uid="{00000000-0005-0000-0000-0000805F0000}"/>
    <cellStyle name="Heading 1 4 6" xfId="17463" xr:uid="{00000000-0005-0000-0000-0000815F0000}"/>
    <cellStyle name="Heading 1 4 7" xfId="17464" xr:uid="{00000000-0005-0000-0000-0000825F0000}"/>
    <cellStyle name="Heading 1 4 8" xfId="17453" xr:uid="{00000000-0005-0000-0000-0000835F0000}"/>
    <cellStyle name="Heading 1 5" xfId="1329" xr:uid="{00000000-0005-0000-0000-0000845F0000}"/>
    <cellStyle name="Heading 1 5 2" xfId="1330" xr:uid="{00000000-0005-0000-0000-0000855F0000}"/>
    <cellStyle name="Heading 1 5 2 2" xfId="17467" xr:uid="{00000000-0005-0000-0000-0000865F0000}"/>
    <cellStyle name="Heading 1 5 2 3" xfId="17468" xr:uid="{00000000-0005-0000-0000-0000875F0000}"/>
    <cellStyle name="Heading 1 5 2 4" xfId="17469" xr:uid="{00000000-0005-0000-0000-0000885F0000}"/>
    <cellStyle name="Heading 1 5 2 5" xfId="17470" xr:uid="{00000000-0005-0000-0000-0000895F0000}"/>
    <cellStyle name="Heading 1 5 2 6" xfId="17471" xr:uid="{00000000-0005-0000-0000-00008A5F0000}"/>
    <cellStyle name="Heading 1 5 2 7" xfId="17466" xr:uid="{00000000-0005-0000-0000-00008B5F0000}"/>
    <cellStyle name="Heading 1 5 3" xfId="17472" xr:uid="{00000000-0005-0000-0000-00008C5F0000}"/>
    <cellStyle name="Heading 1 5 4" xfId="17473" xr:uid="{00000000-0005-0000-0000-00008D5F0000}"/>
    <cellStyle name="Heading 1 5 5" xfId="17474" xr:uid="{00000000-0005-0000-0000-00008E5F0000}"/>
    <cellStyle name="Heading 1 5 6" xfId="17475" xr:uid="{00000000-0005-0000-0000-00008F5F0000}"/>
    <cellStyle name="Heading 1 5 7" xfId="17476" xr:uid="{00000000-0005-0000-0000-0000905F0000}"/>
    <cellStyle name="Heading 1 5 8" xfId="17465" xr:uid="{00000000-0005-0000-0000-0000915F0000}"/>
    <cellStyle name="Heading 1 6" xfId="1331" xr:uid="{00000000-0005-0000-0000-0000925F0000}"/>
    <cellStyle name="Heading 1 6 2" xfId="1332" xr:uid="{00000000-0005-0000-0000-0000935F0000}"/>
    <cellStyle name="Heading 1 6 2 2" xfId="17479" xr:uid="{00000000-0005-0000-0000-0000945F0000}"/>
    <cellStyle name="Heading 1 6 2 3" xfId="17480" xr:uid="{00000000-0005-0000-0000-0000955F0000}"/>
    <cellStyle name="Heading 1 6 2 4" xfId="17481" xr:uid="{00000000-0005-0000-0000-0000965F0000}"/>
    <cellStyle name="Heading 1 6 2 5" xfId="17482" xr:uid="{00000000-0005-0000-0000-0000975F0000}"/>
    <cellStyle name="Heading 1 6 2 6" xfId="17483" xr:uid="{00000000-0005-0000-0000-0000985F0000}"/>
    <cellStyle name="Heading 1 6 2 7" xfId="17478" xr:uid="{00000000-0005-0000-0000-0000995F0000}"/>
    <cellStyle name="Heading 1 6 3" xfId="3326" xr:uid="{00000000-0005-0000-0000-00009A5F0000}"/>
    <cellStyle name="Heading 1 6 3 2" xfId="17485" xr:uid="{00000000-0005-0000-0000-00009B5F0000}"/>
    <cellStyle name="Heading 1 6 3 3" xfId="17486" xr:uid="{00000000-0005-0000-0000-00009C5F0000}"/>
    <cellStyle name="Heading 1 6 3 4" xfId="17487" xr:uid="{00000000-0005-0000-0000-00009D5F0000}"/>
    <cellStyle name="Heading 1 6 3 5" xfId="17488" xr:uid="{00000000-0005-0000-0000-00009E5F0000}"/>
    <cellStyle name="Heading 1 6 3 6" xfId="17484" xr:uid="{00000000-0005-0000-0000-00009F5F0000}"/>
    <cellStyle name="Heading 1 6 4" xfId="17489" xr:uid="{00000000-0005-0000-0000-0000A05F0000}"/>
    <cellStyle name="Heading 1 6 5" xfId="17490" xr:uid="{00000000-0005-0000-0000-0000A15F0000}"/>
    <cellStyle name="Heading 1 6 6" xfId="17491" xr:uid="{00000000-0005-0000-0000-0000A25F0000}"/>
    <cellStyle name="Heading 1 6 7" xfId="17492" xr:uid="{00000000-0005-0000-0000-0000A35F0000}"/>
    <cellStyle name="Heading 1 6 8" xfId="17493" xr:uid="{00000000-0005-0000-0000-0000A45F0000}"/>
    <cellStyle name="Heading 1 6 9" xfId="17477" xr:uid="{00000000-0005-0000-0000-0000A55F0000}"/>
    <cellStyle name="Heading 1 7" xfId="1333" xr:uid="{00000000-0005-0000-0000-0000A65F0000}"/>
    <cellStyle name="Heading 1 7 2" xfId="1334" xr:uid="{00000000-0005-0000-0000-0000A75F0000}"/>
    <cellStyle name="Heading 1 7 2 2" xfId="17496" xr:uid="{00000000-0005-0000-0000-0000A85F0000}"/>
    <cellStyle name="Heading 1 7 2 3" xfId="17497" xr:uid="{00000000-0005-0000-0000-0000A95F0000}"/>
    <cellStyle name="Heading 1 7 2 4" xfId="17498" xr:uid="{00000000-0005-0000-0000-0000AA5F0000}"/>
    <cellStyle name="Heading 1 7 2 5" xfId="17499" xr:uid="{00000000-0005-0000-0000-0000AB5F0000}"/>
    <cellStyle name="Heading 1 7 2 6" xfId="17500" xr:uid="{00000000-0005-0000-0000-0000AC5F0000}"/>
    <cellStyle name="Heading 1 7 2 7" xfId="17495" xr:uid="{00000000-0005-0000-0000-0000AD5F0000}"/>
    <cellStyle name="Heading 1 7 3" xfId="3327" xr:uid="{00000000-0005-0000-0000-0000AE5F0000}"/>
    <cellStyle name="Heading 1 7 3 2" xfId="17502" xr:uid="{00000000-0005-0000-0000-0000AF5F0000}"/>
    <cellStyle name="Heading 1 7 3 3" xfId="17503" xr:uid="{00000000-0005-0000-0000-0000B05F0000}"/>
    <cellStyle name="Heading 1 7 3 4" xfId="17504" xr:uid="{00000000-0005-0000-0000-0000B15F0000}"/>
    <cellStyle name="Heading 1 7 3 5" xfId="17505" xr:uid="{00000000-0005-0000-0000-0000B25F0000}"/>
    <cellStyle name="Heading 1 7 3 6" xfId="17501" xr:uid="{00000000-0005-0000-0000-0000B35F0000}"/>
    <cellStyle name="Heading 1 7 4" xfId="17506" xr:uid="{00000000-0005-0000-0000-0000B45F0000}"/>
    <cellStyle name="Heading 1 7 5" xfId="17507" xr:uid="{00000000-0005-0000-0000-0000B55F0000}"/>
    <cellStyle name="Heading 1 7 6" xfId="17508" xr:uid="{00000000-0005-0000-0000-0000B65F0000}"/>
    <cellStyle name="Heading 1 7 7" xfId="17509" xr:uid="{00000000-0005-0000-0000-0000B75F0000}"/>
    <cellStyle name="Heading 1 7 8" xfId="17510" xr:uid="{00000000-0005-0000-0000-0000B85F0000}"/>
    <cellStyle name="Heading 1 7 9" xfId="17494" xr:uid="{00000000-0005-0000-0000-0000B95F0000}"/>
    <cellStyle name="Heading 1 8" xfId="1335" xr:uid="{00000000-0005-0000-0000-0000BA5F0000}"/>
    <cellStyle name="Heading 1 8 2" xfId="1336" xr:uid="{00000000-0005-0000-0000-0000BB5F0000}"/>
    <cellStyle name="Heading 1 8 2 2" xfId="17513" xr:uid="{00000000-0005-0000-0000-0000BC5F0000}"/>
    <cellStyle name="Heading 1 8 2 3" xfId="17514" xr:uid="{00000000-0005-0000-0000-0000BD5F0000}"/>
    <cellStyle name="Heading 1 8 2 4" xfId="17515" xr:uid="{00000000-0005-0000-0000-0000BE5F0000}"/>
    <cellStyle name="Heading 1 8 2 5" xfId="17516" xr:uid="{00000000-0005-0000-0000-0000BF5F0000}"/>
    <cellStyle name="Heading 1 8 2 6" xfId="17517" xr:uid="{00000000-0005-0000-0000-0000C05F0000}"/>
    <cellStyle name="Heading 1 8 2 7" xfId="17512" xr:uid="{00000000-0005-0000-0000-0000C15F0000}"/>
    <cellStyle name="Heading 1 8 3" xfId="3328" xr:uid="{00000000-0005-0000-0000-0000C25F0000}"/>
    <cellStyle name="Heading 1 8 3 2" xfId="17519" xr:uid="{00000000-0005-0000-0000-0000C35F0000}"/>
    <cellStyle name="Heading 1 8 3 3" xfId="17520" xr:uid="{00000000-0005-0000-0000-0000C45F0000}"/>
    <cellStyle name="Heading 1 8 3 4" xfId="17521" xr:uid="{00000000-0005-0000-0000-0000C55F0000}"/>
    <cellStyle name="Heading 1 8 3 5" xfId="17522" xr:uid="{00000000-0005-0000-0000-0000C65F0000}"/>
    <cellStyle name="Heading 1 8 3 6" xfId="17518" xr:uid="{00000000-0005-0000-0000-0000C75F0000}"/>
    <cellStyle name="Heading 1 8 4" xfId="17523" xr:uid="{00000000-0005-0000-0000-0000C85F0000}"/>
    <cellStyle name="Heading 1 8 5" xfId="17524" xr:uid="{00000000-0005-0000-0000-0000C95F0000}"/>
    <cellStyle name="Heading 1 8 6" xfId="17525" xr:uid="{00000000-0005-0000-0000-0000CA5F0000}"/>
    <cellStyle name="Heading 1 8 7" xfId="17526" xr:uid="{00000000-0005-0000-0000-0000CB5F0000}"/>
    <cellStyle name="Heading 1 8 8" xfId="17527" xr:uid="{00000000-0005-0000-0000-0000CC5F0000}"/>
    <cellStyle name="Heading 1 8 9" xfId="17511" xr:uid="{00000000-0005-0000-0000-0000CD5F0000}"/>
    <cellStyle name="Heading 1 9" xfId="1337" xr:uid="{00000000-0005-0000-0000-0000CE5F0000}"/>
    <cellStyle name="Heading 1 9 2" xfId="3329" xr:uid="{00000000-0005-0000-0000-0000CF5F0000}"/>
    <cellStyle name="Heading 1 9 2 2" xfId="17530" xr:uid="{00000000-0005-0000-0000-0000D05F0000}"/>
    <cellStyle name="Heading 1 9 2 3" xfId="17531" xr:uid="{00000000-0005-0000-0000-0000D15F0000}"/>
    <cellStyle name="Heading 1 9 2 4" xfId="17532" xr:uid="{00000000-0005-0000-0000-0000D25F0000}"/>
    <cellStyle name="Heading 1 9 2 5" xfId="17533" xr:uid="{00000000-0005-0000-0000-0000D35F0000}"/>
    <cellStyle name="Heading 1 9 2 6" xfId="17529" xr:uid="{00000000-0005-0000-0000-0000D45F0000}"/>
    <cellStyle name="Heading 1 9 3" xfId="17534" xr:uid="{00000000-0005-0000-0000-0000D55F0000}"/>
    <cellStyle name="Heading 1 9 4" xfId="17535" xr:uid="{00000000-0005-0000-0000-0000D65F0000}"/>
    <cellStyle name="Heading 1 9 5" xfId="17536" xr:uid="{00000000-0005-0000-0000-0000D75F0000}"/>
    <cellStyle name="Heading 1 9 6" xfId="17537" xr:uid="{00000000-0005-0000-0000-0000D85F0000}"/>
    <cellStyle name="Heading 1 9 7" xfId="17538" xr:uid="{00000000-0005-0000-0000-0000D95F0000}"/>
    <cellStyle name="Heading 1 9 8" xfId="17528" xr:uid="{00000000-0005-0000-0000-0000DA5F0000}"/>
    <cellStyle name="Heading 2 10" xfId="1338" xr:uid="{00000000-0005-0000-0000-0000DB5F0000}"/>
    <cellStyle name="Heading 2 10 2" xfId="3330" xr:uid="{00000000-0005-0000-0000-0000DC5F0000}"/>
    <cellStyle name="Heading 2 10 2 2" xfId="17541" xr:uid="{00000000-0005-0000-0000-0000DD5F0000}"/>
    <cellStyle name="Heading 2 10 2 3" xfId="17542" xr:uid="{00000000-0005-0000-0000-0000DE5F0000}"/>
    <cellStyle name="Heading 2 10 2 4" xfId="17543" xr:uid="{00000000-0005-0000-0000-0000DF5F0000}"/>
    <cellStyle name="Heading 2 10 2 5" xfId="17544" xr:uid="{00000000-0005-0000-0000-0000E05F0000}"/>
    <cellStyle name="Heading 2 10 2 6" xfId="17540" xr:uid="{00000000-0005-0000-0000-0000E15F0000}"/>
    <cellStyle name="Heading 2 10 3" xfId="17545" xr:uid="{00000000-0005-0000-0000-0000E25F0000}"/>
    <cellStyle name="Heading 2 10 4" xfId="17546" xr:uid="{00000000-0005-0000-0000-0000E35F0000}"/>
    <cellStyle name="Heading 2 10 5" xfId="17547" xr:uid="{00000000-0005-0000-0000-0000E45F0000}"/>
    <cellStyle name="Heading 2 10 6" xfId="17548" xr:uid="{00000000-0005-0000-0000-0000E55F0000}"/>
    <cellStyle name="Heading 2 10 7" xfId="17549" xr:uid="{00000000-0005-0000-0000-0000E65F0000}"/>
    <cellStyle name="Heading 2 10 8" xfId="17539" xr:uid="{00000000-0005-0000-0000-0000E75F0000}"/>
    <cellStyle name="Heading 2 11" xfId="1339" xr:uid="{00000000-0005-0000-0000-0000E85F0000}"/>
    <cellStyle name="Heading 2 11 2" xfId="8171" xr:uid="{00000000-0005-0000-0000-0000E95F0000}"/>
    <cellStyle name="Heading 2 11 2 2" xfId="17552" xr:uid="{00000000-0005-0000-0000-0000EA5F0000}"/>
    <cellStyle name="Heading 2 11 2 3" xfId="17553" xr:uid="{00000000-0005-0000-0000-0000EB5F0000}"/>
    <cellStyle name="Heading 2 11 2 4" xfId="17554" xr:uid="{00000000-0005-0000-0000-0000EC5F0000}"/>
    <cellStyle name="Heading 2 11 2 5" xfId="17555" xr:uid="{00000000-0005-0000-0000-0000ED5F0000}"/>
    <cellStyle name="Heading 2 11 2 6" xfId="17551" xr:uid="{00000000-0005-0000-0000-0000EE5F0000}"/>
    <cellStyle name="Heading 2 11 3" xfId="17556" xr:uid="{00000000-0005-0000-0000-0000EF5F0000}"/>
    <cellStyle name="Heading 2 11 4" xfId="17557" xr:uid="{00000000-0005-0000-0000-0000F05F0000}"/>
    <cellStyle name="Heading 2 11 5" xfId="17558" xr:uid="{00000000-0005-0000-0000-0000F15F0000}"/>
    <cellStyle name="Heading 2 11 6" xfId="17559" xr:uid="{00000000-0005-0000-0000-0000F25F0000}"/>
    <cellStyle name="Heading 2 11 7" xfId="17560" xr:uid="{00000000-0005-0000-0000-0000F35F0000}"/>
    <cellStyle name="Heading 2 11 8" xfId="17550" xr:uid="{00000000-0005-0000-0000-0000F45F0000}"/>
    <cellStyle name="Heading 2 12" xfId="1340" xr:uid="{00000000-0005-0000-0000-0000F55F0000}"/>
    <cellStyle name="Heading 2 12 2" xfId="8172" xr:uid="{00000000-0005-0000-0000-0000F65F0000}"/>
    <cellStyle name="Heading 2 12 2 2" xfId="17563" xr:uid="{00000000-0005-0000-0000-0000F75F0000}"/>
    <cellStyle name="Heading 2 12 2 3" xfId="17564" xr:uid="{00000000-0005-0000-0000-0000F85F0000}"/>
    <cellStyle name="Heading 2 12 2 4" xfId="17565" xr:uid="{00000000-0005-0000-0000-0000F95F0000}"/>
    <cellStyle name="Heading 2 12 2 5" xfId="17566" xr:uid="{00000000-0005-0000-0000-0000FA5F0000}"/>
    <cellStyle name="Heading 2 12 2 6" xfId="17562" xr:uid="{00000000-0005-0000-0000-0000FB5F0000}"/>
    <cellStyle name="Heading 2 12 3" xfId="17567" xr:uid="{00000000-0005-0000-0000-0000FC5F0000}"/>
    <cellStyle name="Heading 2 12 4" xfId="17568" xr:uid="{00000000-0005-0000-0000-0000FD5F0000}"/>
    <cellStyle name="Heading 2 12 5" xfId="17569" xr:uid="{00000000-0005-0000-0000-0000FE5F0000}"/>
    <cellStyle name="Heading 2 12 6" xfId="17570" xr:uid="{00000000-0005-0000-0000-0000FF5F0000}"/>
    <cellStyle name="Heading 2 12 7" xfId="17571" xr:uid="{00000000-0005-0000-0000-000000600000}"/>
    <cellStyle name="Heading 2 12 8" xfId="17561" xr:uid="{00000000-0005-0000-0000-000001600000}"/>
    <cellStyle name="Heading 2 13" xfId="1341" xr:uid="{00000000-0005-0000-0000-000002600000}"/>
    <cellStyle name="Heading 2 13 2" xfId="8173" xr:uid="{00000000-0005-0000-0000-000003600000}"/>
    <cellStyle name="Heading 2 13 2 2" xfId="17574" xr:uid="{00000000-0005-0000-0000-000004600000}"/>
    <cellStyle name="Heading 2 13 2 3" xfId="17575" xr:uid="{00000000-0005-0000-0000-000005600000}"/>
    <cellStyle name="Heading 2 13 2 4" xfId="17576" xr:uid="{00000000-0005-0000-0000-000006600000}"/>
    <cellStyle name="Heading 2 13 2 5" xfId="17577" xr:uid="{00000000-0005-0000-0000-000007600000}"/>
    <cellStyle name="Heading 2 13 2 6" xfId="17573" xr:uid="{00000000-0005-0000-0000-000008600000}"/>
    <cellStyle name="Heading 2 13 3" xfId="17578" xr:uid="{00000000-0005-0000-0000-000009600000}"/>
    <cellStyle name="Heading 2 13 4" xfId="17579" xr:uid="{00000000-0005-0000-0000-00000A600000}"/>
    <cellStyle name="Heading 2 13 5" xfId="17580" xr:uid="{00000000-0005-0000-0000-00000B600000}"/>
    <cellStyle name="Heading 2 13 6" xfId="17581" xr:uid="{00000000-0005-0000-0000-00000C600000}"/>
    <cellStyle name="Heading 2 13 7" xfId="17582" xr:uid="{00000000-0005-0000-0000-00000D600000}"/>
    <cellStyle name="Heading 2 13 8" xfId="17572" xr:uid="{00000000-0005-0000-0000-00000E600000}"/>
    <cellStyle name="Heading 2 14" xfId="1342" xr:uid="{00000000-0005-0000-0000-00000F600000}"/>
    <cellStyle name="Heading 2 14 2" xfId="8174" xr:uid="{00000000-0005-0000-0000-000010600000}"/>
    <cellStyle name="Heading 2 14 2 2" xfId="17585" xr:uid="{00000000-0005-0000-0000-000011600000}"/>
    <cellStyle name="Heading 2 14 2 3" xfId="17586" xr:uid="{00000000-0005-0000-0000-000012600000}"/>
    <cellStyle name="Heading 2 14 2 4" xfId="17587" xr:uid="{00000000-0005-0000-0000-000013600000}"/>
    <cellStyle name="Heading 2 14 2 5" xfId="17588" xr:uid="{00000000-0005-0000-0000-000014600000}"/>
    <cellStyle name="Heading 2 14 2 6" xfId="17584" xr:uid="{00000000-0005-0000-0000-000015600000}"/>
    <cellStyle name="Heading 2 14 3" xfId="17589" xr:uid="{00000000-0005-0000-0000-000016600000}"/>
    <cellStyle name="Heading 2 14 4" xfId="17590" xr:uid="{00000000-0005-0000-0000-000017600000}"/>
    <cellStyle name="Heading 2 14 5" xfId="17591" xr:uid="{00000000-0005-0000-0000-000018600000}"/>
    <cellStyle name="Heading 2 14 6" xfId="17592" xr:uid="{00000000-0005-0000-0000-000019600000}"/>
    <cellStyle name="Heading 2 14 7" xfId="17593" xr:uid="{00000000-0005-0000-0000-00001A600000}"/>
    <cellStyle name="Heading 2 14 8" xfId="17583" xr:uid="{00000000-0005-0000-0000-00001B600000}"/>
    <cellStyle name="Heading 2 15" xfId="3331" xr:uid="{00000000-0005-0000-0000-00001C600000}"/>
    <cellStyle name="Heading 2 15 2" xfId="8175" xr:uid="{00000000-0005-0000-0000-00001D600000}"/>
    <cellStyle name="Heading 2 15 2 2" xfId="17596" xr:uid="{00000000-0005-0000-0000-00001E600000}"/>
    <cellStyle name="Heading 2 15 2 3" xfId="17597" xr:uid="{00000000-0005-0000-0000-00001F600000}"/>
    <cellStyle name="Heading 2 15 2 4" xfId="17598" xr:uid="{00000000-0005-0000-0000-000020600000}"/>
    <cellStyle name="Heading 2 15 2 5" xfId="17599" xr:uid="{00000000-0005-0000-0000-000021600000}"/>
    <cellStyle name="Heading 2 15 2 6" xfId="17595" xr:uid="{00000000-0005-0000-0000-000022600000}"/>
    <cellStyle name="Heading 2 15 3" xfId="17600" xr:uid="{00000000-0005-0000-0000-000023600000}"/>
    <cellStyle name="Heading 2 15 4" xfId="17601" xr:uid="{00000000-0005-0000-0000-000024600000}"/>
    <cellStyle name="Heading 2 15 5" xfId="17602" xr:uid="{00000000-0005-0000-0000-000025600000}"/>
    <cellStyle name="Heading 2 15 6" xfId="17603" xr:uid="{00000000-0005-0000-0000-000026600000}"/>
    <cellStyle name="Heading 2 15 7" xfId="17594" xr:uid="{00000000-0005-0000-0000-000027600000}"/>
    <cellStyle name="Heading 2 16" xfId="3332" xr:uid="{00000000-0005-0000-0000-000028600000}"/>
    <cellStyle name="Heading 2 16 2" xfId="8176" xr:uid="{00000000-0005-0000-0000-000029600000}"/>
    <cellStyle name="Heading 2 16 2 2" xfId="17606" xr:uid="{00000000-0005-0000-0000-00002A600000}"/>
    <cellStyle name="Heading 2 16 2 3" xfId="17607" xr:uid="{00000000-0005-0000-0000-00002B600000}"/>
    <cellStyle name="Heading 2 16 2 4" xfId="17608" xr:uid="{00000000-0005-0000-0000-00002C600000}"/>
    <cellStyle name="Heading 2 16 2 5" xfId="17609" xr:uid="{00000000-0005-0000-0000-00002D600000}"/>
    <cellStyle name="Heading 2 16 2 6" xfId="17605" xr:uid="{00000000-0005-0000-0000-00002E600000}"/>
    <cellStyle name="Heading 2 16 3" xfId="17610" xr:uid="{00000000-0005-0000-0000-00002F600000}"/>
    <cellStyle name="Heading 2 16 4" xfId="17611" xr:uid="{00000000-0005-0000-0000-000030600000}"/>
    <cellStyle name="Heading 2 16 5" xfId="17612" xr:uid="{00000000-0005-0000-0000-000031600000}"/>
    <cellStyle name="Heading 2 16 6" xfId="17613" xr:uid="{00000000-0005-0000-0000-000032600000}"/>
    <cellStyle name="Heading 2 16 7" xfId="17604" xr:uid="{00000000-0005-0000-0000-000033600000}"/>
    <cellStyle name="Heading 2 17" xfId="3333" xr:uid="{00000000-0005-0000-0000-000034600000}"/>
    <cellStyle name="Heading 2 17 2" xfId="8177" xr:uid="{00000000-0005-0000-0000-000035600000}"/>
    <cellStyle name="Heading 2 17 2 2" xfId="17616" xr:uid="{00000000-0005-0000-0000-000036600000}"/>
    <cellStyle name="Heading 2 17 2 3" xfId="17617" xr:uid="{00000000-0005-0000-0000-000037600000}"/>
    <cellStyle name="Heading 2 17 2 4" xfId="17618" xr:uid="{00000000-0005-0000-0000-000038600000}"/>
    <cellStyle name="Heading 2 17 2 5" xfId="17619" xr:uid="{00000000-0005-0000-0000-000039600000}"/>
    <cellStyle name="Heading 2 17 2 6" xfId="17615" xr:uid="{00000000-0005-0000-0000-00003A600000}"/>
    <cellStyle name="Heading 2 17 3" xfId="17620" xr:uid="{00000000-0005-0000-0000-00003B600000}"/>
    <cellStyle name="Heading 2 17 4" xfId="17621" xr:uid="{00000000-0005-0000-0000-00003C600000}"/>
    <cellStyle name="Heading 2 17 5" xfId="17622" xr:uid="{00000000-0005-0000-0000-00003D600000}"/>
    <cellStyle name="Heading 2 17 6" xfId="17623" xr:uid="{00000000-0005-0000-0000-00003E600000}"/>
    <cellStyle name="Heading 2 17 7" xfId="17614" xr:uid="{00000000-0005-0000-0000-00003F600000}"/>
    <cellStyle name="Heading 2 18" xfId="3334" xr:uid="{00000000-0005-0000-0000-000040600000}"/>
    <cellStyle name="Heading 2 18 2" xfId="8178" xr:uid="{00000000-0005-0000-0000-000041600000}"/>
    <cellStyle name="Heading 2 18 2 2" xfId="17626" xr:uid="{00000000-0005-0000-0000-000042600000}"/>
    <cellStyle name="Heading 2 18 2 3" xfId="17627" xr:uid="{00000000-0005-0000-0000-000043600000}"/>
    <cellStyle name="Heading 2 18 2 4" xfId="17628" xr:uid="{00000000-0005-0000-0000-000044600000}"/>
    <cellStyle name="Heading 2 18 2 5" xfId="17629" xr:uid="{00000000-0005-0000-0000-000045600000}"/>
    <cellStyle name="Heading 2 18 2 6" xfId="17625" xr:uid="{00000000-0005-0000-0000-000046600000}"/>
    <cellStyle name="Heading 2 18 3" xfId="17630" xr:uid="{00000000-0005-0000-0000-000047600000}"/>
    <cellStyle name="Heading 2 18 4" xfId="17631" xr:uid="{00000000-0005-0000-0000-000048600000}"/>
    <cellStyle name="Heading 2 18 5" xfId="17632" xr:uid="{00000000-0005-0000-0000-000049600000}"/>
    <cellStyle name="Heading 2 18 6" xfId="17633" xr:uid="{00000000-0005-0000-0000-00004A600000}"/>
    <cellStyle name="Heading 2 18 7" xfId="17624" xr:uid="{00000000-0005-0000-0000-00004B600000}"/>
    <cellStyle name="Heading 2 19" xfId="3335" xr:uid="{00000000-0005-0000-0000-00004C600000}"/>
    <cellStyle name="Heading 2 19 2" xfId="8179" xr:uid="{00000000-0005-0000-0000-00004D600000}"/>
    <cellStyle name="Heading 2 19 2 2" xfId="17636" xr:uid="{00000000-0005-0000-0000-00004E600000}"/>
    <cellStyle name="Heading 2 19 2 3" xfId="17637" xr:uid="{00000000-0005-0000-0000-00004F600000}"/>
    <cellStyle name="Heading 2 19 2 4" xfId="17638" xr:uid="{00000000-0005-0000-0000-000050600000}"/>
    <cellStyle name="Heading 2 19 2 5" xfId="17639" xr:uid="{00000000-0005-0000-0000-000051600000}"/>
    <cellStyle name="Heading 2 19 2 6" xfId="17635" xr:uid="{00000000-0005-0000-0000-000052600000}"/>
    <cellStyle name="Heading 2 19 3" xfId="17640" xr:uid="{00000000-0005-0000-0000-000053600000}"/>
    <cellStyle name="Heading 2 19 4" xfId="17641" xr:uid="{00000000-0005-0000-0000-000054600000}"/>
    <cellStyle name="Heading 2 19 5" xfId="17642" xr:uid="{00000000-0005-0000-0000-000055600000}"/>
    <cellStyle name="Heading 2 19 6" xfId="17643" xr:uid="{00000000-0005-0000-0000-000056600000}"/>
    <cellStyle name="Heading 2 19 7" xfId="17634" xr:uid="{00000000-0005-0000-0000-000057600000}"/>
    <cellStyle name="Heading 2 2" xfId="1343" xr:uid="{00000000-0005-0000-0000-000058600000}"/>
    <cellStyle name="Heading 2 2 10" xfId="17645" xr:uid="{00000000-0005-0000-0000-000059600000}"/>
    <cellStyle name="Heading 2 2 11" xfId="17646" xr:uid="{00000000-0005-0000-0000-00005A600000}"/>
    <cellStyle name="Heading 2 2 12" xfId="17647" xr:uid="{00000000-0005-0000-0000-00005B600000}"/>
    <cellStyle name="Heading 2 2 13" xfId="17648" xr:uid="{00000000-0005-0000-0000-00005C600000}"/>
    <cellStyle name="Heading 2 2 14" xfId="17649" xr:uid="{00000000-0005-0000-0000-00005D600000}"/>
    <cellStyle name="Heading 2 2 15" xfId="17650" xr:uid="{00000000-0005-0000-0000-00005E600000}"/>
    <cellStyle name="Heading 2 2 16" xfId="17644" xr:uid="{00000000-0005-0000-0000-00005F600000}"/>
    <cellStyle name="Heading 2 2 2" xfId="1344" xr:uid="{00000000-0005-0000-0000-000060600000}"/>
    <cellStyle name="Heading 2 2 2 2" xfId="17652" xr:uid="{00000000-0005-0000-0000-000061600000}"/>
    <cellStyle name="Heading 2 2 2 3" xfId="17653" xr:uid="{00000000-0005-0000-0000-000062600000}"/>
    <cellStyle name="Heading 2 2 2 4" xfId="17654" xr:uid="{00000000-0005-0000-0000-000063600000}"/>
    <cellStyle name="Heading 2 2 2 5" xfId="17655" xr:uid="{00000000-0005-0000-0000-000064600000}"/>
    <cellStyle name="Heading 2 2 2 6" xfId="17656" xr:uid="{00000000-0005-0000-0000-000065600000}"/>
    <cellStyle name="Heading 2 2 2 7" xfId="17651" xr:uid="{00000000-0005-0000-0000-000066600000}"/>
    <cellStyle name="Heading 2 2 3" xfId="1345" xr:uid="{00000000-0005-0000-0000-000067600000}"/>
    <cellStyle name="Heading 2 2 3 2" xfId="17658" xr:uid="{00000000-0005-0000-0000-000068600000}"/>
    <cellStyle name="Heading 2 2 3 3" xfId="17659" xr:uid="{00000000-0005-0000-0000-000069600000}"/>
    <cellStyle name="Heading 2 2 3 4" xfId="17660" xr:uid="{00000000-0005-0000-0000-00006A600000}"/>
    <cellStyle name="Heading 2 2 3 5" xfId="17661" xr:uid="{00000000-0005-0000-0000-00006B600000}"/>
    <cellStyle name="Heading 2 2 3 6" xfId="17662" xr:uid="{00000000-0005-0000-0000-00006C600000}"/>
    <cellStyle name="Heading 2 2 3 7" xfId="17657" xr:uid="{00000000-0005-0000-0000-00006D600000}"/>
    <cellStyle name="Heading 2 2 4" xfId="1346" xr:uid="{00000000-0005-0000-0000-00006E600000}"/>
    <cellStyle name="Heading 2 2 4 2" xfId="17664" xr:uid="{00000000-0005-0000-0000-00006F600000}"/>
    <cellStyle name="Heading 2 2 4 3" xfId="17665" xr:uid="{00000000-0005-0000-0000-000070600000}"/>
    <cellStyle name="Heading 2 2 4 4" xfId="17666" xr:uid="{00000000-0005-0000-0000-000071600000}"/>
    <cellStyle name="Heading 2 2 4 5" xfId="17667" xr:uid="{00000000-0005-0000-0000-000072600000}"/>
    <cellStyle name="Heading 2 2 4 6" xfId="17668" xr:uid="{00000000-0005-0000-0000-000073600000}"/>
    <cellStyle name="Heading 2 2 4 7" xfId="17663" xr:uid="{00000000-0005-0000-0000-000074600000}"/>
    <cellStyle name="Heading 2 2 5" xfId="1347" xr:uid="{00000000-0005-0000-0000-000075600000}"/>
    <cellStyle name="Heading 2 2 5 2" xfId="17670" xr:uid="{00000000-0005-0000-0000-000076600000}"/>
    <cellStyle name="Heading 2 2 5 3" xfId="17671" xr:uid="{00000000-0005-0000-0000-000077600000}"/>
    <cellStyle name="Heading 2 2 5 4" xfId="17672" xr:uid="{00000000-0005-0000-0000-000078600000}"/>
    <cellStyle name="Heading 2 2 5 5" xfId="17673" xr:uid="{00000000-0005-0000-0000-000079600000}"/>
    <cellStyle name="Heading 2 2 5 6" xfId="17674" xr:uid="{00000000-0005-0000-0000-00007A600000}"/>
    <cellStyle name="Heading 2 2 5 7" xfId="17669" xr:uid="{00000000-0005-0000-0000-00007B600000}"/>
    <cellStyle name="Heading 2 2 6" xfId="1348" xr:uid="{00000000-0005-0000-0000-00007C600000}"/>
    <cellStyle name="Heading 2 2 6 2" xfId="17676" xr:uid="{00000000-0005-0000-0000-00007D600000}"/>
    <cellStyle name="Heading 2 2 6 3" xfId="17677" xr:uid="{00000000-0005-0000-0000-00007E600000}"/>
    <cellStyle name="Heading 2 2 6 4" xfId="17678" xr:uid="{00000000-0005-0000-0000-00007F600000}"/>
    <cellStyle name="Heading 2 2 6 5" xfId="17679" xr:uid="{00000000-0005-0000-0000-000080600000}"/>
    <cellStyle name="Heading 2 2 6 6" xfId="17680" xr:uid="{00000000-0005-0000-0000-000081600000}"/>
    <cellStyle name="Heading 2 2 6 7" xfId="17675" xr:uid="{00000000-0005-0000-0000-000082600000}"/>
    <cellStyle name="Heading 2 2 7" xfId="1349" xr:uid="{00000000-0005-0000-0000-000083600000}"/>
    <cellStyle name="Heading 2 2 7 2" xfId="17682" xr:uid="{00000000-0005-0000-0000-000084600000}"/>
    <cellStyle name="Heading 2 2 7 3" xfId="17683" xr:uid="{00000000-0005-0000-0000-000085600000}"/>
    <cellStyle name="Heading 2 2 7 4" xfId="17684" xr:uid="{00000000-0005-0000-0000-000086600000}"/>
    <cellStyle name="Heading 2 2 7 5" xfId="17685" xr:uid="{00000000-0005-0000-0000-000087600000}"/>
    <cellStyle name="Heading 2 2 7 6" xfId="17686" xr:uid="{00000000-0005-0000-0000-000088600000}"/>
    <cellStyle name="Heading 2 2 7 7" xfId="17681" xr:uid="{00000000-0005-0000-0000-000089600000}"/>
    <cellStyle name="Heading 2 2 8" xfId="1350" xr:uid="{00000000-0005-0000-0000-00008A600000}"/>
    <cellStyle name="Heading 2 2 8 2" xfId="17688" xr:uid="{00000000-0005-0000-0000-00008B600000}"/>
    <cellStyle name="Heading 2 2 8 3" xfId="17689" xr:uid="{00000000-0005-0000-0000-00008C600000}"/>
    <cellStyle name="Heading 2 2 8 4" xfId="17690" xr:uid="{00000000-0005-0000-0000-00008D600000}"/>
    <cellStyle name="Heading 2 2 8 5" xfId="17691" xr:uid="{00000000-0005-0000-0000-00008E600000}"/>
    <cellStyle name="Heading 2 2 8 6" xfId="17692" xr:uid="{00000000-0005-0000-0000-00008F600000}"/>
    <cellStyle name="Heading 2 2 8 7" xfId="17687" xr:uid="{00000000-0005-0000-0000-000090600000}"/>
    <cellStyle name="Heading 2 2 9" xfId="1351" xr:uid="{00000000-0005-0000-0000-000091600000}"/>
    <cellStyle name="Heading 2 2 9 2" xfId="17694" xr:uid="{00000000-0005-0000-0000-000092600000}"/>
    <cellStyle name="Heading 2 2 9 3" xfId="17695" xr:uid="{00000000-0005-0000-0000-000093600000}"/>
    <cellStyle name="Heading 2 2 9 4" xfId="17696" xr:uid="{00000000-0005-0000-0000-000094600000}"/>
    <cellStyle name="Heading 2 2 9 5" xfId="17697" xr:uid="{00000000-0005-0000-0000-000095600000}"/>
    <cellStyle name="Heading 2 2 9 6" xfId="17698" xr:uid="{00000000-0005-0000-0000-000096600000}"/>
    <cellStyle name="Heading 2 2 9 7" xfId="17693" xr:uid="{00000000-0005-0000-0000-000097600000}"/>
    <cellStyle name="Heading 2 2_IND_UC" xfId="6577" xr:uid="{00000000-0005-0000-0000-000098600000}"/>
    <cellStyle name="Heading 2 20" xfId="3336" xr:uid="{00000000-0005-0000-0000-000099600000}"/>
    <cellStyle name="Heading 2 20 2" xfId="8180" xr:uid="{00000000-0005-0000-0000-00009A600000}"/>
    <cellStyle name="Heading 2 20 2 2" xfId="17701" xr:uid="{00000000-0005-0000-0000-00009B600000}"/>
    <cellStyle name="Heading 2 20 2 3" xfId="17702" xr:uid="{00000000-0005-0000-0000-00009C600000}"/>
    <cellStyle name="Heading 2 20 2 4" xfId="17703" xr:uid="{00000000-0005-0000-0000-00009D600000}"/>
    <cellStyle name="Heading 2 20 2 5" xfId="17704" xr:uid="{00000000-0005-0000-0000-00009E600000}"/>
    <cellStyle name="Heading 2 20 2 6" xfId="17700" xr:uid="{00000000-0005-0000-0000-00009F600000}"/>
    <cellStyle name="Heading 2 20 3" xfId="17705" xr:uid="{00000000-0005-0000-0000-0000A0600000}"/>
    <cellStyle name="Heading 2 20 4" xfId="17706" xr:uid="{00000000-0005-0000-0000-0000A1600000}"/>
    <cellStyle name="Heading 2 20 5" xfId="17707" xr:uid="{00000000-0005-0000-0000-0000A2600000}"/>
    <cellStyle name="Heading 2 20 6" xfId="17708" xr:uid="{00000000-0005-0000-0000-0000A3600000}"/>
    <cellStyle name="Heading 2 20 7" xfId="17699" xr:uid="{00000000-0005-0000-0000-0000A4600000}"/>
    <cellStyle name="Heading 2 21" xfId="8181" xr:uid="{00000000-0005-0000-0000-0000A5600000}"/>
    <cellStyle name="Heading 2 21 2" xfId="17710" xr:uid="{00000000-0005-0000-0000-0000A6600000}"/>
    <cellStyle name="Heading 2 21 3" xfId="17711" xr:uid="{00000000-0005-0000-0000-0000A7600000}"/>
    <cellStyle name="Heading 2 21 4" xfId="17712" xr:uid="{00000000-0005-0000-0000-0000A8600000}"/>
    <cellStyle name="Heading 2 21 5" xfId="17713" xr:uid="{00000000-0005-0000-0000-0000A9600000}"/>
    <cellStyle name="Heading 2 21 6" xfId="17709" xr:uid="{00000000-0005-0000-0000-0000AA600000}"/>
    <cellStyle name="Heading 2 22" xfId="6576" xr:uid="{00000000-0005-0000-0000-0000AB600000}"/>
    <cellStyle name="Heading 2 22 2" xfId="17715" xr:uid="{00000000-0005-0000-0000-0000AC600000}"/>
    <cellStyle name="Heading 2 22 3" xfId="17714" xr:uid="{00000000-0005-0000-0000-0000AD600000}"/>
    <cellStyle name="Heading 2 23" xfId="17716" xr:uid="{00000000-0005-0000-0000-0000AE600000}"/>
    <cellStyle name="Heading 2 24" xfId="17717" xr:uid="{00000000-0005-0000-0000-0000AF600000}"/>
    <cellStyle name="Heading 2 25" xfId="17718" xr:uid="{00000000-0005-0000-0000-0000B0600000}"/>
    <cellStyle name="Heading 2 3" xfId="1352" xr:uid="{00000000-0005-0000-0000-0000B1600000}"/>
    <cellStyle name="Heading 2 3 10" xfId="3337" xr:uid="{00000000-0005-0000-0000-0000B2600000}"/>
    <cellStyle name="Heading 2 3 10 2" xfId="17721" xr:uid="{00000000-0005-0000-0000-0000B3600000}"/>
    <cellStyle name="Heading 2 3 10 3" xfId="17722" xr:uid="{00000000-0005-0000-0000-0000B4600000}"/>
    <cellStyle name="Heading 2 3 10 4" xfId="17723" xr:uid="{00000000-0005-0000-0000-0000B5600000}"/>
    <cellStyle name="Heading 2 3 10 5" xfId="17724" xr:uid="{00000000-0005-0000-0000-0000B6600000}"/>
    <cellStyle name="Heading 2 3 10 6" xfId="17720" xr:uid="{00000000-0005-0000-0000-0000B7600000}"/>
    <cellStyle name="Heading 2 3 11" xfId="3338" xr:uid="{00000000-0005-0000-0000-0000B8600000}"/>
    <cellStyle name="Heading 2 3 11 2" xfId="17726" xr:uid="{00000000-0005-0000-0000-0000B9600000}"/>
    <cellStyle name="Heading 2 3 11 3" xfId="17727" xr:uid="{00000000-0005-0000-0000-0000BA600000}"/>
    <cellStyle name="Heading 2 3 11 4" xfId="17728" xr:uid="{00000000-0005-0000-0000-0000BB600000}"/>
    <cellStyle name="Heading 2 3 11 5" xfId="17729" xr:uid="{00000000-0005-0000-0000-0000BC600000}"/>
    <cellStyle name="Heading 2 3 11 6" xfId="17725" xr:uid="{00000000-0005-0000-0000-0000BD600000}"/>
    <cellStyle name="Heading 2 3 12" xfId="3339" xr:uid="{00000000-0005-0000-0000-0000BE600000}"/>
    <cellStyle name="Heading 2 3 12 2" xfId="17731" xr:uid="{00000000-0005-0000-0000-0000BF600000}"/>
    <cellStyle name="Heading 2 3 12 3" xfId="17732" xr:uid="{00000000-0005-0000-0000-0000C0600000}"/>
    <cellStyle name="Heading 2 3 12 4" xfId="17733" xr:uid="{00000000-0005-0000-0000-0000C1600000}"/>
    <cellStyle name="Heading 2 3 12 5" xfId="17734" xr:uid="{00000000-0005-0000-0000-0000C2600000}"/>
    <cellStyle name="Heading 2 3 12 6" xfId="17730" xr:uid="{00000000-0005-0000-0000-0000C3600000}"/>
    <cellStyle name="Heading 2 3 13" xfId="3340" xr:uid="{00000000-0005-0000-0000-0000C4600000}"/>
    <cellStyle name="Heading 2 3 13 2" xfId="17736" xr:uid="{00000000-0005-0000-0000-0000C5600000}"/>
    <cellStyle name="Heading 2 3 13 3" xfId="17737" xr:uid="{00000000-0005-0000-0000-0000C6600000}"/>
    <cellStyle name="Heading 2 3 13 4" xfId="17738" xr:uid="{00000000-0005-0000-0000-0000C7600000}"/>
    <cellStyle name="Heading 2 3 13 5" xfId="17739" xr:uid="{00000000-0005-0000-0000-0000C8600000}"/>
    <cellStyle name="Heading 2 3 13 6" xfId="17735" xr:uid="{00000000-0005-0000-0000-0000C9600000}"/>
    <cellStyle name="Heading 2 3 14" xfId="3341" xr:uid="{00000000-0005-0000-0000-0000CA600000}"/>
    <cellStyle name="Heading 2 3 14 2" xfId="17741" xr:uid="{00000000-0005-0000-0000-0000CB600000}"/>
    <cellStyle name="Heading 2 3 14 3" xfId="17742" xr:uid="{00000000-0005-0000-0000-0000CC600000}"/>
    <cellStyle name="Heading 2 3 14 4" xfId="17743" xr:uid="{00000000-0005-0000-0000-0000CD600000}"/>
    <cellStyle name="Heading 2 3 14 5" xfId="17744" xr:uid="{00000000-0005-0000-0000-0000CE600000}"/>
    <cellStyle name="Heading 2 3 14 6" xfId="17740" xr:uid="{00000000-0005-0000-0000-0000CF600000}"/>
    <cellStyle name="Heading 2 3 15" xfId="8182" xr:uid="{00000000-0005-0000-0000-0000D0600000}"/>
    <cellStyle name="Heading 2 3 15 2" xfId="17746" xr:uid="{00000000-0005-0000-0000-0000D1600000}"/>
    <cellStyle name="Heading 2 3 15 3" xfId="17747" xr:uid="{00000000-0005-0000-0000-0000D2600000}"/>
    <cellStyle name="Heading 2 3 15 4" xfId="17748" xr:uid="{00000000-0005-0000-0000-0000D3600000}"/>
    <cellStyle name="Heading 2 3 15 5" xfId="17749" xr:uid="{00000000-0005-0000-0000-0000D4600000}"/>
    <cellStyle name="Heading 2 3 15 6" xfId="17745" xr:uid="{00000000-0005-0000-0000-0000D5600000}"/>
    <cellStyle name="Heading 2 3 16" xfId="17750" xr:uid="{00000000-0005-0000-0000-0000D6600000}"/>
    <cellStyle name="Heading 2 3 17" xfId="17751" xr:uid="{00000000-0005-0000-0000-0000D7600000}"/>
    <cellStyle name="Heading 2 3 18" xfId="17752" xr:uid="{00000000-0005-0000-0000-0000D8600000}"/>
    <cellStyle name="Heading 2 3 19" xfId="17753" xr:uid="{00000000-0005-0000-0000-0000D9600000}"/>
    <cellStyle name="Heading 2 3 2" xfId="1353" xr:uid="{00000000-0005-0000-0000-0000DA600000}"/>
    <cellStyle name="Heading 2 3 2 2" xfId="17755" xr:uid="{00000000-0005-0000-0000-0000DB600000}"/>
    <cellStyle name="Heading 2 3 2 3" xfId="17756" xr:uid="{00000000-0005-0000-0000-0000DC600000}"/>
    <cellStyle name="Heading 2 3 2 4" xfId="17757" xr:uid="{00000000-0005-0000-0000-0000DD600000}"/>
    <cellStyle name="Heading 2 3 2 5" xfId="17758" xr:uid="{00000000-0005-0000-0000-0000DE600000}"/>
    <cellStyle name="Heading 2 3 2 6" xfId="17759" xr:uid="{00000000-0005-0000-0000-0000DF600000}"/>
    <cellStyle name="Heading 2 3 2 7" xfId="17754" xr:uid="{00000000-0005-0000-0000-0000E0600000}"/>
    <cellStyle name="Heading 2 3 20" xfId="17760" xr:uid="{00000000-0005-0000-0000-0000E1600000}"/>
    <cellStyle name="Heading 2 3 21" xfId="17719" xr:uid="{00000000-0005-0000-0000-0000E2600000}"/>
    <cellStyle name="Heading 2 3 3" xfId="3342" xr:uid="{00000000-0005-0000-0000-0000E3600000}"/>
    <cellStyle name="Heading 2 3 3 2" xfId="17762" xr:uid="{00000000-0005-0000-0000-0000E4600000}"/>
    <cellStyle name="Heading 2 3 3 3" xfId="17763" xr:uid="{00000000-0005-0000-0000-0000E5600000}"/>
    <cellStyle name="Heading 2 3 3 4" xfId="17764" xr:uid="{00000000-0005-0000-0000-0000E6600000}"/>
    <cellStyle name="Heading 2 3 3 5" xfId="17765" xr:uid="{00000000-0005-0000-0000-0000E7600000}"/>
    <cellStyle name="Heading 2 3 3 6" xfId="17761" xr:uid="{00000000-0005-0000-0000-0000E8600000}"/>
    <cellStyle name="Heading 2 3 4" xfId="3343" xr:uid="{00000000-0005-0000-0000-0000E9600000}"/>
    <cellStyle name="Heading 2 3 4 2" xfId="17767" xr:uid="{00000000-0005-0000-0000-0000EA600000}"/>
    <cellStyle name="Heading 2 3 4 3" xfId="17768" xr:uid="{00000000-0005-0000-0000-0000EB600000}"/>
    <cellStyle name="Heading 2 3 4 4" xfId="17769" xr:uid="{00000000-0005-0000-0000-0000EC600000}"/>
    <cellStyle name="Heading 2 3 4 5" xfId="17770" xr:uid="{00000000-0005-0000-0000-0000ED600000}"/>
    <cellStyle name="Heading 2 3 4 6" xfId="17766" xr:uid="{00000000-0005-0000-0000-0000EE600000}"/>
    <cellStyle name="Heading 2 3 5" xfId="3344" xr:uid="{00000000-0005-0000-0000-0000EF600000}"/>
    <cellStyle name="Heading 2 3 5 2" xfId="17772" xr:uid="{00000000-0005-0000-0000-0000F0600000}"/>
    <cellStyle name="Heading 2 3 5 3" xfId="17773" xr:uid="{00000000-0005-0000-0000-0000F1600000}"/>
    <cellStyle name="Heading 2 3 5 4" xfId="17774" xr:uid="{00000000-0005-0000-0000-0000F2600000}"/>
    <cellStyle name="Heading 2 3 5 5" xfId="17775" xr:uid="{00000000-0005-0000-0000-0000F3600000}"/>
    <cellStyle name="Heading 2 3 5 6" xfId="17771" xr:uid="{00000000-0005-0000-0000-0000F4600000}"/>
    <cellStyle name="Heading 2 3 6" xfId="3345" xr:uid="{00000000-0005-0000-0000-0000F5600000}"/>
    <cellStyle name="Heading 2 3 6 2" xfId="17777" xr:uid="{00000000-0005-0000-0000-0000F6600000}"/>
    <cellStyle name="Heading 2 3 6 3" xfId="17778" xr:uid="{00000000-0005-0000-0000-0000F7600000}"/>
    <cellStyle name="Heading 2 3 6 4" xfId="17779" xr:uid="{00000000-0005-0000-0000-0000F8600000}"/>
    <cellStyle name="Heading 2 3 6 5" xfId="17780" xr:uid="{00000000-0005-0000-0000-0000F9600000}"/>
    <cellStyle name="Heading 2 3 6 6" xfId="17776" xr:uid="{00000000-0005-0000-0000-0000FA600000}"/>
    <cellStyle name="Heading 2 3 7" xfId="3346" xr:uid="{00000000-0005-0000-0000-0000FB600000}"/>
    <cellStyle name="Heading 2 3 7 2" xfId="17782" xr:uid="{00000000-0005-0000-0000-0000FC600000}"/>
    <cellStyle name="Heading 2 3 7 3" xfId="17783" xr:uid="{00000000-0005-0000-0000-0000FD600000}"/>
    <cellStyle name="Heading 2 3 7 4" xfId="17784" xr:uid="{00000000-0005-0000-0000-0000FE600000}"/>
    <cellStyle name="Heading 2 3 7 5" xfId="17785" xr:uid="{00000000-0005-0000-0000-0000FF600000}"/>
    <cellStyle name="Heading 2 3 7 6" xfId="17781" xr:uid="{00000000-0005-0000-0000-000000610000}"/>
    <cellStyle name="Heading 2 3 8" xfId="3347" xr:uid="{00000000-0005-0000-0000-000001610000}"/>
    <cellStyle name="Heading 2 3 8 2" xfId="17787" xr:uid="{00000000-0005-0000-0000-000002610000}"/>
    <cellStyle name="Heading 2 3 8 3" xfId="17788" xr:uid="{00000000-0005-0000-0000-000003610000}"/>
    <cellStyle name="Heading 2 3 8 4" xfId="17789" xr:uid="{00000000-0005-0000-0000-000004610000}"/>
    <cellStyle name="Heading 2 3 8 5" xfId="17790" xr:uid="{00000000-0005-0000-0000-000005610000}"/>
    <cellStyle name="Heading 2 3 8 6" xfId="17786" xr:uid="{00000000-0005-0000-0000-000006610000}"/>
    <cellStyle name="Heading 2 3 9" xfId="3348" xr:uid="{00000000-0005-0000-0000-000007610000}"/>
    <cellStyle name="Heading 2 3 9 2" xfId="17792" xr:uid="{00000000-0005-0000-0000-000008610000}"/>
    <cellStyle name="Heading 2 3 9 3" xfId="17793" xr:uid="{00000000-0005-0000-0000-000009610000}"/>
    <cellStyle name="Heading 2 3 9 4" xfId="17794" xr:uid="{00000000-0005-0000-0000-00000A610000}"/>
    <cellStyle name="Heading 2 3 9 5" xfId="17795" xr:uid="{00000000-0005-0000-0000-00000B610000}"/>
    <cellStyle name="Heading 2 3 9 6" xfId="17791" xr:uid="{00000000-0005-0000-0000-00000C610000}"/>
    <cellStyle name="Heading 2 3_IND_UC" xfId="6578" xr:uid="{00000000-0005-0000-0000-00000D610000}"/>
    <cellStyle name="Heading 2 4" xfId="1354" xr:uid="{00000000-0005-0000-0000-00000E610000}"/>
    <cellStyle name="Heading 2 4 2" xfId="1355" xr:uid="{00000000-0005-0000-0000-00000F610000}"/>
    <cellStyle name="Heading 2 4 2 2" xfId="17798" xr:uid="{00000000-0005-0000-0000-000010610000}"/>
    <cellStyle name="Heading 2 4 2 3" xfId="17799" xr:uid="{00000000-0005-0000-0000-000011610000}"/>
    <cellStyle name="Heading 2 4 2 4" xfId="17800" xr:uid="{00000000-0005-0000-0000-000012610000}"/>
    <cellStyle name="Heading 2 4 2 5" xfId="17801" xr:uid="{00000000-0005-0000-0000-000013610000}"/>
    <cellStyle name="Heading 2 4 2 6" xfId="17802" xr:uid="{00000000-0005-0000-0000-000014610000}"/>
    <cellStyle name="Heading 2 4 2 7" xfId="17797" xr:uid="{00000000-0005-0000-0000-000015610000}"/>
    <cellStyle name="Heading 2 4 3" xfId="17803" xr:uid="{00000000-0005-0000-0000-000016610000}"/>
    <cellStyle name="Heading 2 4 4" xfId="17804" xr:uid="{00000000-0005-0000-0000-000017610000}"/>
    <cellStyle name="Heading 2 4 5" xfId="17805" xr:uid="{00000000-0005-0000-0000-000018610000}"/>
    <cellStyle name="Heading 2 4 6" xfId="17806" xr:uid="{00000000-0005-0000-0000-000019610000}"/>
    <cellStyle name="Heading 2 4 7" xfId="17807" xr:uid="{00000000-0005-0000-0000-00001A610000}"/>
    <cellStyle name="Heading 2 4 8" xfId="17796" xr:uid="{00000000-0005-0000-0000-00001B610000}"/>
    <cellStyle name="Heading 2 5" xfId="1356" xr:uid="{00000000-0005-0000-0000-00001C610000}"/>
    <cellStyle name="Heading 2 5 2" xfId="1357" xr:uid="{00000000-0005-0000-0000-00001D610000}"/>
    <cellStyle name="Heading 2 5 2 2" xfId="17810" xr:uid="{00000000-0005-0000-0000-00001E610000}"/>
    <cellStyle name="Heading 2 5 2 3" xfId="17811" xr:uid="{00000000-0005-0000-0000-00001F610000}"/>
    <cellStyle name="Heading 2 5 2 4" xfId="17812" xr:uid="{00000000-0005-0000-0000-000020610000}"/>
    <cellStyle name="Heading 2 5 2 5" xfId="17813" xr:uid="{00000000-0005-0000-0000-000021610000}"/>
    <cellStyle name="Heading 2 5 2 6" xfId="17814" xr:uid="{00000000-0005-0000-0000-000022610000}"/>
    <cellStyle name="Heading 2 5 2 7" xfId="17809" xr:uid="{00000000-0005-0000-0000-000023610000}"/>
    <cellStyle name="Heading 2 5 3" xfId="17815" xr:uid="{00000000-0005-0000-0000-000024610000}"/>
    <cellStyle name="Heading 2 5 4" xfId="17816" xr:uid="{00000000-0005-0000-0000-000025610000}"/>
    <cellStyle name="Heading 2 5 5" xfId="17817" xr:uid="{00000000-0005-0000-0000-000026610000}"/>
    <cellStyle name="Heading 2 5 6" xfId="17818" xr:uid="{00000000-0005-0000-0000-000027610000}"/>
    <cellStyle name="Heading 2 5 7" xfId="17819" xr:uid="{00000000-0005-0000-0000-000028610000}"/>
    <cellStyle name="Heading 2 5 8" xfId="17808" xr:uid="{00000000-0005-0000-0000-000029610000}"/>
    <cellStyle name="Heading 2 6" xfId="1358" xr:uid="{00000000-0005-0000-0000-00002A610000}"/>
    <cellStyle name="Heading 2 6 2" xfId="1359" xr:uid="{00000000-0005-0000-0000-00002B610000}"/>
    <cellStyle name="Heading 2 6 2 2" xfId="17822" xr:uid="{00000000-0005-0000-0000-00002C610000}"/>
    <cellStyle name="Heading 2 6 2 3" xfId="17823" xr:uid="{00000000-0005-0000-0000-00002D610000}"/>
    <cellStyle name="Heading 2 6 2 4" xfId="17824" xr:uid="{00000000-0005-0000-0000-00002E610000}"/>
    <cellStyle name="Heading 2 6 2 5" xfId="17825" xr:uid="{00000000-0005-0000-0000-00002F610000}"/>
    <cellStyle name="Heading 2 6 2 6" xfId="17826" xr:uid="{00000000-0005-0000-0000-000030610000}"/>
    <cellStyle name="Heading 2 6 2 7" xfId="17821" xr:uid="{00000000-0005-0000-0000-000031610000}"/>
    <cellStyle name="Heading 2 6 3" xfId="3349" xr:uid="{00000000-0005-0000-0000-000032610000}"/>
    <cellStyle name="Heading 2 6 3 2" xfId="17828" xr:uid="{00000000-0005-0000-0000-000033610000}"/>
    <cellStyle name="Heading 2 6 3 3" xfId="17829" xr:uid="{00000000-0005-0000-0000-000034610000}"/>
    <cellStyle name="Heading 2 6 3 4" xfId="17830" xr:uid="{00000000-0005-0000-0000-000035610000}"/>
    <cellStyle name="Heading 2 6 3 5" xfId="17831" xr:uid="{00000000-0005-0000-0000-000036610000}"/>
    <cellStyle name="Heading 2 6 3 6" xfId="17827" xr:uid="{00000000-0005-0000-0000-000037610000}"/>
    <cellStyle name="Heading 2 6 4" xfId="17832" xr:uid="{00000000-0005-0000-0000-000038610000}"/>
    <cellStyle name="Heading 2 6 5" xfId="17833" xr:uid="{00000000-0005-0000-0000-000039610000}"/>
    <cellStyle name="Heading 2 6 6" xfId="17834" xr:uid="{00000000-0005-0000-0000-00003A610000}"/>
    <cellStyle name="Heading 2 6 7" xfId="17835" xr:uid="{00000000-0005-0000-0000-00003B610000}"/>
    <cellStyle name="Heading 2 6 8" xfId="17836" xr:uid="{00000000-0005-0000-0000-00003C610000}"/>
    <cellStyle name="Heading 2 6 9" xfId="17820" xr:uid="{00000000-0005-0000-0000-00003D610000}"/>
    <cellStyle name="Heading 2 7" xfId="1360" xr:uid="{00000000-0005-0000-0000-00003E610000}"/>
    <cellStyle name="Heading 2 7 2" xfId="1361" xr:uid="{00000000-0005-0000-0000-00003F610000}"/>
    <cellStyle name="Heading 2 7 2 2" xfId="17839" xr:uid="{00000000-0005-0000-0000-000040610000}"/>
    <cellStyle name="Heading 2 7 2 3" xfId="17840" xr:uid="{00000000-0005-0000-0000-000041610000}"/>
    <cellStyle name="Heading 2 7 2 4" xfId="17841" xr:uid="{00000000-0005-0000-0000-000042610000}"/>
    <cellStyle name="Heading 2 7 2 5" xfId="17842" xr:uid="{00000000-0005-0000-0000-000043610000}"/>
    <cellStyle name="Heading 2 7 2 6" xfId="17843" xr:uid="{00000000-0005-0000-0000-000044610000}"/>
    <cellStyle name="Heading 2 7 2 7" xfId="17838" xr:uid="{00000000-0005-0000-0000-000045610000}"/>
    <cellStyle name="Heading 2 7 3" xfId="3350" xr:uid="{00000000-0005-0000-0000-000046610000}"/>
    <cellStyle name="Heading 2 7 3 2" xfId="17845" xr:uid="{00000000-0005-0000-0000-000047610000}"/>
    <cellStyle name="Heading 2 7 3 3" xfId="17846" xr:uid="{00000000-0005-0000-0000-000048610000}"/>
    <cellStyle name="Heading 2 7 3 4" xfId="17847" xr:uid="{00000000-0005-0000-0000-000049610000}"/>
    <cellStyle name="Heading 2 7 3 5" xfId="17848" xr:uid="{00000000-0005-0000-0000-00004A610000}"/>
    <cellStyle name="Heading 2 7 3 6" xfId="17844" xr:uid="{00000000-0005-0000-0000-00004B610000}"/>
    <cellStyle name="Heading 2 7 4" xfId="17849" xr:uid="{00000000-0005-0000-0000-00004C610000}"/>
    <cellStyle name="Heading 2 7 5" xfId="17850" xr:uid="{00000000-0005-0000-0000-00004D610000}"/>
    <cellStyle name="Heading 2 7 6" xfId="17851" xr:uid="{00000000-0005-0000-0000-00004E610000}"/>
    <cellStyle name="Heading 2 7 7" xfId="17852" xr:uid="{00000000-0005-0000-0000-00004F610000}"/>
    <cellStyle name="Heading 2 7 8" xfId="17853" xr:uid="{00000000-0005-0000-0000-000050610000}"/>
    <cellStyle name="Heading 2 7 9" xfId="17837" xr:uid="{00000000-0005-0000-0000-000051610000}"/>
    <cellStyle name="Heading 2 8" xfId="1362" xr:uid="{00000000-0005-0000-0000-000052610000}"/>
    <cellStyle name="Heading 2 8 2" xfId="1363" xr:uid="{00000000-0005-0000-0000-000053610000}"/>
    <cellStyle name="Heading 2 8 2 2" xfId="17856" xr:uid="{00000000-0005-0000-0000-000054610000}"/>
    <cellStyle name="Heading 2 8 2 3" xfId="17857" xr:uid="{00000000-0005-0000-0000-000055610000}"/>
    <cellStyle name="Heading 2 8 2 4" xfId="17858" xr:uid="{00000000-0005-0000-0000-000056610000}"/>
    <cellStyle name="Heading 2 8 2 5" xfId="17859" xr:uid="{00000000-0005-0000-0000-000057610000}"/>
    <cellStyle name="Heading 2 8 2 6" xfId="17860" xr:uid="{00000000-0005-0000-0000-000058610000}"/>
    <cellStyle name="Heading 2 8 2 7" xfId="17855" xr:uid="{00000000-0005-0000-0000-000059610000}"/>
    <cellStyle name="Heading 2 8 3" xfId="3351" xr:uid="{00000000-0005-0000-0000-00005A610000}"/>
    <cellStyle name="Heading 2 8 3 2" xfId="17862" xr:uid="{00000000-0005-0000-0000-00005B610000}"/>
    <cellStyle name="Heading 2 8 3 3" xfId="17863" xr:uid="{00000000-0005-0000-0000-00005C610000}"/>
    <cellStyle name="Heading 2 8 3 4" xfId="17864" xr:uid="{00000000-0005-0000-0000-00005D610000}"/>
    <cellStyle name="Heading 2 8 3 5" xfId="17865" xr:uid="{00000000-0005-0000-0000-00005E610000}"/>
    <cellStyle name="Heading 2 8 3 6" xfId="17861" xr:uid="{00000000-0005-0000-0000-00005F610000}"/>
    <cellStyle name="Heading 2 8 4" xfId="17866" xr:uid="{00000000-0005-0000-0000-000060610000}"/>
    <cellStyle name="Heading 2 8 5" xfId="17867" xr:uid="{00000000-0005-0000-0000-000061610000}"/>
    <cellStyle name="Heading 2 8 6" xfId="17868" xr:uid="{00000000-0005-0000-0000-000062610000}"/>
    <cellStyle name="Heading 2 8 7" xfId="17869" xr:uid="{00000000-0005-0000-0000-000063610000}"/>
    <cellStyle name="Heading 2 8 8" xfId="17870" xr:uid="{00000000-0005-0000-0000-000064610000}"/>
    <cellStyle name="Heading 2 8 9" xfId="17854" xr:uid="{00000000-0005-0000-0000-000065610000}"/>
    <cellStyle name="Heading 2 9" xfId="1364" xr:uid="{00000000-0005-0000-0000-000066610000}"/>
    <cellStyle name="Heading 2 9 2" xfId="3352" xr:uid="{00000000-0005-0000-0000-000067610000}"/>
    <cellStyle name="Heading 2 9 2 2" xfId="17873" xr:uid="{00000000-0005-0000-0000-000068610000}"/>
    <cellStyle name="Heading 2 9 2 3" xfId="17874" xr:uid="{00000000-0005-0000-0000-000069610000}"/>
    <cellStyle name="Heading 2 9 2 4" xfId="17875" xr:uid="{00000000-0005-0000-0000-00006A610000}"/>
    <cellStyle name="Heading 2 9 2 5" xfId="17876" xr:uid="{00000000-0005-0000-0000-00006B610000}"/>
    <cellStyle name="Heading 2 9 2 6" xfId="17872" xr:uid="{00000000-0005-0000-0000-00006C610000}"/>
    <cellStyle name="Heading 2 9 3" xfId="17877" xr:uid="{00000000-0005-0000-0000-00006D610000}"/>
    <cellStyle name="Heading 2 9 4" xfId="17878" xr:uid="{00000000-0005-0000-0000-00006E610000}"/>
    <cellStyle name="Heading 2 9 5" xfId="17879" xr:uid="{00000000-0005-0000-0000-00006F610000}"/>
    <cellStyle name="Heading 2 9 6" xfId="17880" xr:uid="{00000000-0005-0000-0000-000070610000}"/>
    <cellStyle name="Heading 2 9 7" xfId="17881" xr:uid="{00000000-0005-0000-0000-000071610000}"/>
    <cellStyle name="Heading 2 9 8" xfId="17871" xr:uid="{00000000-0005-0000-0000-000072610000}"/>
    <cellStyle name="Heading 3 10" xfId="1365" xr:uid="{00000000-0005-0000-0000-000073610000}"/>
    <cellStyle name="Heading 3 10 2" xfId="3353" xr:uid="{00000000-0005-0000-0000-000074610000}"/>
    <cellStyle name="Heading 3 10 2 2" xfId="17884" xr:uid="{00000000-0005-0000-0000-000075610000}"/>
    <cellStyle name="Heading 3 10 2 3" xfId="17885" xr:uid="{00000000-0005-0000-0000-000076610000}"/>
    <cellStyle name="Heading 3 10 2 4" xfId="17886" xr:uid="{00000000-0005-0000-0000-000077610000}"/>
    <cellStyle name="Heading 3 10 2 5" xfId="17887" xr:uid="{00000000-0005-0000-0000-000078610000}"/>
    <cellStyle name="Heading 3 10 2 6" xfId="17883" xr:uid="{00000000-0005-0000-0000-000079610000}"/>
    <cellStyle name="Heading 3 10 3" xfId="17888" xr:uid="{00000000-0005-0000-0000-00007A610000}"/>
    <cellStyle name="Heading 3 10 4" xfId="17889" xr:uid="{00000000-0005-0000-0000-00007B610000}"/>
    <cellStyle name="Heading 3 10 5" xfId="17890" xr:uid="{00000000-0005-0000-0000-00007C610000}"/>
    <cellStyle name="Heading 3 10 6" xfId="17891" xr:uid="{00000000-0005-0000-0000-00007D610000}"/>
    <cellStyle name="Heading 3 10 7" xfId="17892" xr:uid="{00000000-0005-0000-0000-00007E610000}"/>
    <cellStyle name="Heading 3 10 8" xfId="17882" xr:uid="{00000000-0005-0000-0000-00007F610000}"/>
    <cellStyle name="Heading 3 11" xfId="1366" xr:uid="{00000000-0005-0000-0000-000080610000}"/>
    <cellStyle name="Heading 3 11 2" xfId="8183" xr:uid="{00000000-0005-0000-0000-000081610000}"/>
    <cellStyle name="Heading 3 11 2 2" xfId="17895" xr:uid="{00000000-0005-0000-0000-000082610000}"/>
    <cellStyle name="Heading 3 11 2 3" xfId="17896" xr:uid="{00000000-0005-0000-0000-000083610000}"/>
    <cellStyle name="Heading 3 11 2 4" xfId="17897" xr:uid="{00000000-0005-0000-0000-000084610000}"/>
    <cellStyle name="Heading 3 11 2 5" xfId="17898" xr:uid="{00000000-0005-0000-0000-000085610000}"/>
    <cellStyle name="Heading 3 11 2 6" xfId="17894" xr:uid="{00000000-0005-0000-0000-000086610000}"/>
    <cellStyle name="Heading 3 11 3" xfId="17899" xr:uid="{00000000-0005-0000-0000-000087610000}"/>
    <cellStyle name="Heading 3 11 4" xfId="17900" xr:uid="{00000000-0005-0000-0000-000088610000}"/>
    <cellStyle name="Heading 3 11 5" xfId="17901" xr:uid="{00000000-0005-0000-0000-000089610000}"/>
    <cellStyle name="Heading 3 11 6" xfId="17902" xr:uid="{00000000-0005-0000-0000-00008A610000}"/>
    <cellStyle name="Heading 3 11 7" xfId="17903" xr:uid="{00000000-0005-0000-0000-00008B610000}"/>
    <cellStyle name="Heading 3 11 8" xfId="17893" xr:uid="{00000000-0005-0000-0000-00008C610000}"/>
    <cellStyle name="Heading 3 12" xfId="1367" xr:uid="{00000000-0005-0000-0000-00008D610000}"/>
    <cellStyle name="Heading 3 12 2" xfId="8184" xr:uid="{00000000-0005-0000-0000-00008E610000}"/>
    <cellStyle name="Heading 3 12 2 2" xfId="17906" xr:uid="{00000000-0005-0000-0000-00008F610000}"/>
    <cellStyle name="Heading 3 12 2 3" xfId="17907" xr:uid="{00000000-0005-0000-0000-000090610000}"/>
    <cellStyle name="Heading 3 12 2 4" xfId="17908" xr:uid="{00000000-0005-0000-0000-000091610000}"/>
    <cellStyle name="Heading 3 12 2 5" xfId="17909" xr:uid="{00000000-0005-0000-0000-000092610000}"/>
    <cellStyle name="Heading 3 12 2 6" xfId="17905" xr:uid="{00000000-0005-0000-0000-000093610000}"/>
    <cellStyle name="Heading 3 12 3" xfId="17910" xr:uid="{00000000-0005-0000-0000-000094610000}"/>
    <cellStyle name="Heading 3 12 4" xfId="17911" xr:uid="{00000000-0005-0000-0000-000095610000}"/>
    <cellStyle name="Heading 3 12 5" xfId="17912" xr:uid="{00000000-0005-0000-0000-000096610000}"/>
    <cellStyle name="Heading 3 12 6" xfId="17913" xr:uid="{00000000-0005-0000-0000-000097610000}"/>
    <cellStyle name="Heading 3 12 7" xfId="17914" xr:uid="{00000000-0005-0000-0000-000098610000}"/>
    <cellStyle name="Heading 3 12 8" xfId="17904" xr:uid="{00000000-0005-0000-0000-000099610000}"/>
    <cellStyle name="Heading 3 13" xfId="1368" xr:uid="{00000000-0005-0000-0000-00009A610000}"/>
    <cellStyle name="Heading 3 13 2" xfId="8185" xr:uid="{00000000-0005-0000-0000-00009B610000}"/>
    <cellStyle name="Heading 3 13 2 2" xfId="17917" xr:uid="{00000000-0005-0000-0000-00009C610000}"/>
    <cellStyle name="Heading 3 13 2 3" xfId="17918" xr:uid="{00000000-0005-0000-0000-00009D610000}"/>
    <cellStyle name="Heading 3 13 2 4" xfId="17919" xr:uid="{00000000-0005-0000-0000-00009E610000}"/>
    <cellStyle name="Heading 3 13 2 5" xfId="17920" xr:uid="{00000000-0005-0000-0000-00009F610000}"/>
    <cellStyle name="Heading 3 13 2 6" xfId="17916" xr:uid="{00000000-0005-0000-0000-0000A0610000}"/>
    <cellStyle name="Heading 3 13 3" xfId="17921" xr:uid="{00000000-0005-0000-0000-0000A1610000}"/>
    <cellStyle name="Heading 3 13 4" xfId="17922" xr:uid="{00000000-0005-0000-0000-0000A2610000}"/>
    <cellStyle name="Heading 3 13 5" xfId="17923" xr:uid="{00000000-0005-0000-0000-0000A3610000}"/>
    <cellStyle name="Heading 3 13 6" xfId="17924" xr:uid="{00000000-0005-0000-0000-0000A4610000}"/>
    <cellStyle name="Heading 3 13 7" xfId="17925" xr:uid="{00000000-0005-0000-0000-0000A5610000}"/>
    <cellStyle name="Heading 3 13 8" xfId="17915" xr:uid="{00000000-0005-0000-0000-0000A6610000}"/>
    <cellStyle name="Heading 3 14" xfId="1369" xr:uid="{00000000-0005-0000-0000-0000A7610000}"/>
    <cellStyle name="Heading 3 14 2" xfId="8186" xr:uid="{00000000-0005-0000-0000-0000A8610000}"/>
    <cellStyle name="Heading 3 14 2 2" xfId="17928" xr:uid="{00000000-0005-0000-0000-0000A9610000}"/>
    <cellStyle name="Heading 3 14 2 3" xfId="17929" xr:uid="{00000000-0005-0000-0000-0000AA610000}"/>
    <cellStyle name="Heading 3 14 2 4" xfId="17930" xr:uid="{00000000-0005-0000-0000-0000AB610000}"/>
    <cellStyle name="Heading 3 14 2 5" xfId="17931" xr:uid="{00000000-0005-0000-0000-0000AC610000}"/>
    <cellStyle name="Heading 3 14 2 6" xfId="17927" xr:uid="{00000000-0005-0000-0000-0000AD610000}"/>
    <cellStyle name="Heading 3 14 3" xfId="17932" xr:uid="{00000000-0005-0000-0000-0000AE610000}"/>
    <cellStyle name="Heading 3 14 4" xfId="17933" xr:uid="{00000000-0005-0000-0000-0000AF610000}"/>
    <cellStyle name="Heading 3 14 5" xfId="17934" xr:uid="{00000000-0005-0000-0000-0000B0610000}"/>
    <cellStyle name="Heading 3 14 6" xfId="17935" xr:uid="{00000000-0005-0000-0000-0000B1610000}"/>
    <cellStyle name="Heading 3 14 7" xfId="17936" xr:uid="{00000000-0005-0000-0000-0000B2610000}"/>
    <cellStyle name="Heading 3 14 8" xfId="17926" xr:uid="{00000000-0005-0000-0000-0000B3610000}"/>
    <cellStyle name="Heading 3 15" xfId="3354" xr:uid="{00000000-0005-0000-0000-0000B4610000}"/>
    <cellStyle name="Heading 3 15 2" xfId="8187" xr:uid="{00000000-0005-0000-0000-0000B5610000}"/>
    <cellStyle name="Heading 3 15 2 2" xfId="17939" xr:uid="{00000000-0005-0000-0000-0000B6610000}"/>
    <cellStyle name="Heading 3 15 2 3" xfId="17940" xr:uid="{00000000-0005-0000-0000-0000B7610000}"/>
    <cellStyle name="Heading 3 15 2 4" xfId="17941" xr:uid="{00000000-0005-0000-0000-0000B8610000}"/>
    <cellStyle name="Heading 3 15 2 5" xfId="17942" xr:uid="{00000000-0005-0000-0000-0000B9610000}"/>
    <cellStyle name="Heading 3 15 2 6" xfId="17938" xr:uid="{00000000-0005-0000-0000-0000BA610000}"/>
    <cellStyle name="Heading 3 15 3" xfId="17943" xr:uid="{00000000-0005-0000-0000-0000BB610000}"/>
    <cellStyle name="Heading 3 15 4" xfId="17944" xr:uid="{00000000-0005-0000-0000-0000BC610000}"/>
    <cellStyle name="Heading 3 15 5" xfId="17945" xr:uid="{00000000-0005-0000-0000-0000BD610000}"/>
    <cellStyle name="Heading 3 15 6" xfId="17946" xr:uid="{00000000-0005-0000-0000-0000BE610000}"/>
    <cellStyle name="Heading 3 15 7" xfId="17937" xr:uid="{00000000-0005-0000-0000-0000BF610000}"/>
    <cellStyle name="Heading 3 16" xfId="3355" xr:uid="{00000000-0005-0000-0000-0000C0610000}"/>
    <cellStyle name="Heading 3 16 2" xfId="8188" xr:uid="{00000000-0005-0000-0000-0000C1610000}"/>
    <cellStyle name="Heading 3 16 2 2" xfId="17949" xr:uid="{00000000-0005-0000-0000-0000C2610000}"/>
    <cellStyle name="Heading 3 16 2 3" xfId="17950" xr:uid="{00000000-0005-0000-0000-0000C3610000}"/>
    <cellStyle name="Heading 3 16 2 4" xfId="17951" xr:uid="{00000000-0005-0000-0000-0000C4610000}"/>
    <cellStyle name="Heading 3 16 2 5" xfId="17952" xr:uid="{00000000-0005-0000-0000-0000C5610000}"/>
    <cellStyle name="Heading 3 16 2 6" xfId="17948" xr:uid="{00000000-0005-0000-0000-0000C6610000}"/>
    <cellStyle name="Heading 3 16 3" xfId="17953" xr:uid="{00000000-0005-0000-0000-0000C7610000}"/>
    <cellStyle name="Heading 3 16 4" xfId="17954" xr:uid="{00000000-0005-0000-0000-0000C8610000}"/>
    <cellStyle name="Heading 3 16 5" xfId="17955" xr:uid="{00000000-0005-0000-0000-0000C9610000}"/>
    <cellStyle name="Heading 3 16 6" xfId="17956" xr:uid="{00000000-0005-0000-0000-0000CA610000}"/>
    <cellStyle name="Heading 3 16 7" xfId="17947" xr:uid="{00000000-0005-0000-0000-0000CB610000}"/>
    <cellStyle name="Heading 3 17" xfId="3356" xr:uid="{00000000-0005-0000-0000-0000CC610000}"/>
    <cellStyle name="Heading 3 17 2" xfId="8189" xr:uid="{00000000-0005-0000-0000-0000CD610000}"/>
    <cellStyle name="Heading 3 17 2 2" xfId="17959" xr:uid="{00000000-0005-0000-0000-0000CE610000}"/>
    <cellStyle name="Heading 3 17 2 3" xfId="17960" xr:uid="{00000000-0005-0000-0000-0000CF610000}"/>
    <cellStyle name="Heading 3 17 2 4" xfId="17961" xr:uid="{00000000-0005-0000-0000-0000D0610000}"/>
    <cellStyle name="Heading 3 17 2 5" xfId="17962" xr:uid="{00000000-0005-0000-0000-0000D1610000}"/>
    <cellStyle name="Heading 3 17 2 6" xfId="17958" xr:uid="{00000000-0005-0000-0000-0000D2610000}"/>
    <cellStyle name="Heading 3 17 3" xfId="17963" xr:uid="{00000000-0005-0000-0000-0000D3610000}"/>
    <cellStyle name="Heading 3 17 4" xfId="17964" xr:uid="{00000000-0005-0000-0000-0000D4610000}"/>
    <cellStyle name="Heading 3 17 5" xfId="17965" xr:uid="{00000000-0005-0000-0000-0000D5610000}"/>
    <cellStyle name="Heading 3 17 6" xfId="17966" xr:uid="{00000000-0005-0000-0000-0000D6610000}"/>
    <cellStyle name="Heading 3 17 7" xfId="17957" xr:uid="{00000000-0005-0000-0000-0000D7610000}"/>
    <cellStyle name="Heading 3 18" xfId="3357" xr:uid="{00000000-0005-0000-0000-0000D8610000}"/>
    <cellStyle name="Heading 3 18 2" xfId="8190" xr:uid="{00000000-0005-0000-0000-0000D9610000}"/>
    <cellStyle name="Heading 3 18 2 2" xfId="17969" xr:uid="{00000000-0005-0000-0000-0000DA610000}"/>
    <cellStyle name="Heading 3 18 2 3" xfId="17970" xr:uid="{00000000-0005-0000-0000-0000DB610000}"/>
    <cellStyle name="Heading 3 18 2 4" xfId="17971" xr:uid="{00000000-0005-0000-0000-0000DC610000}"/>
    <cellStyle name="Heading 3 18 2 5" xfId="17972" xr:uid="{00000000-0005-0000-0000-0000DD610000}"/>
    <cellStyle name="Heading 3 18 2 6" xfId="17968" xr:uid="{00000000-0005-0000-0000-0000DE610000}"/>
    <cellStyle name="Heading 3 18 3" xfId="17973" xr:uid="{00000000-0005-0000-0000-0000DF610000}"/>
    <cellStyle name="Heading 3 18 4" xfId="17974" xr:uid="{00000000-0005-0000-0000-0000E0610000}"/>
    <cellStyle name="Heading 3 18 5" xfId="17975" xr:uid="{00000000-0005-0000-0000-0000E1610000}"/>
    <cellStyle name="Heading 3 18 6" xfId="17976" xr:uid="{00000000-0005-0000-0000-0000E2610000}"/>
    <cellStyle name="Heading 3 18 7" xfId="17967" xr:uid="{00000000-0005-0000-0000-0000E3610000}"/>
    <cellStyle name="Heading 3 19" xfId="3358" xr:uid="{00000000-0005-0000-0000-0000E4610000}"/>
    <cellStyle name="Heading 3 19 2" xfId="8191" xr:uid="{00000000-0005-0000-0000-0000E5610000}"/>
    <cellStyle name="Heading 3 19 2 2" xfId="17979" xr:uid="{00000000-0005-0000-0000-0000E6610000}"/>
    <cellStyle name="Heading 3 19 2 3" xfId="17980" xr:uid="{00000000-0005-0000-0000-0000E7610000}"/>
    <cellStyle name="Heading 3 19 2 4" xfId="17981" xr:uid="{00000000-0005-0000-0000-0000E8610000}"/>
    <cellStyle name="Heading 3 19 2 5" xfId="17982" xr:uid="{00000000-0005-0000-0000-0000E9610000}"/>
    <cellStyle name="Heading 3 19 2 6" xfId="17978" xr:uid="{00000000-0005-0000-0000-0000EA610000}"/>
    <cellStyle name="Heading 3 19 3" xfId="17983" xr:uid="{00000000-0005-0000-0000-0000EB610000}"/>
    <cellStyle name="Heading 3 19 4" xfId="17984" xr:uid="{00000000-0005-0000-0000-0000EC610000}"/>
    <cellStyle name="Heading 3 19 5" xfId="17985" xr:uid="{00000000-0005-0000-0000-0000ED610000}"/>
    <cellStyle name="Heading 3 19 6" xfId="17986" xr:uid="{00000000-0005-0000-0000-0000EE610000}"/>
    <cellStyle name="Heading 3 19 7" xfId="17977" xr:uid="{00000000-0005-0000-0000-0000EF610000}"/>
    <cellStyle name="Heading 3 2" xfId="1370" xr:uid="{00000000-0005-0000-0000-0000F0610000}"/>
    <cellStyle name="Heading 3 2 10" xfId="17988" xr:uid="{00000000-0005-0000-0000-0000F1610000}"/>
    <cellStyle name="Heading 3 2 11" xfId="17989" xr:uid="{00000000-0005-0000-0000-0000F2610000}"/>
    <cellStyle name="Heading 3 2 12" xfId="17990" xr:uid="{00000000-0005-0000-0000-0000F3610000}"/>
    <cellStyle name="Heading 3 2 13" xfId="17991" xr:uid="{00000000-0005-0000-0000-0000F4610000}"/>
    <cellStyle name="Heading 3 2 14" xfId="17992" xr:uid="{00000000-0005-0000-0000-0000F5610000}"/>
    <cellStyle name="Heading 3 2 15" xfId="17993" xr:uid="{00000000-0005-0000-0000-0000F6610000}"/>
    <cellStyle name="Heading 3 2 16" xfId="17987" xr:uid="{00000000-0005-0000-0000-0000F7610000}"/>
    <cellStyle name="Heading 3 2 2" xfId="1371" xr:uid="{00000000-0005-0000-0000-0000F8610000}"/>
    <cellStyle name="Heading 3 2 2 2" xfId="17995" xr:uid="{00000000-0005-0000-0000-0000F9610000}"/>
    <cellStyle name="Heading 3 2 2 3" xfId="17996" xr:uid="{00000000-0005-0000-0000-0000FA610000}"/>
    <cellStyle name="Heading 3 2 2 4" xfId="17997" xr:uid="{00000000-0005-0000-0000-0000FB610000}"/>
    <cellStyle name="Heading 3 2 2 5" xfId="17998" xr:uid="{00000000-0005-0000-0000-0000FC610000}"/>
    <cellStyle name="Heading 3 2 2 6" xfId="17999" xr:uid="{00000000-0005-0000-0000-0000FD610000}"/>
    <cellStyle name="Heading 3 2 2 7" xfId="17994" xr:uid="{00000000-0005-0000-0000-0000FE610000}"/>
    <cellStyle name="Heading 3 2 3" xfId="1372" xr:uid="{00000000-0005-0000-0000-0000FF610000}"/>
    <cellStyle name="Heading 3 2 3 2" xfId="18001" xr:uid="{00000000-0005-0000-0000-000000620000}"/>
    <cellStyle name="Heading 3 2 3 3" xfId="18002" xr:uid="{00000000-0005-0000-0000-000001620000}"/>
    <cellStyle name="Heading 3 2 3 4" xfId="18003" xr:uid="{00000000-0005-0000-0000-000002620000}"/>
    <cellStyle name="Heading 3 2 3 5" xfId="18004" xr:uid="{00000000-0005-0000-0000-000003620000}"/>
    <cellStyle name="Heading 3 2 3 6" xfId="18005" xr:uid="{00000000-0005-0000-0000-000004620000}"/>
    <cellStyle name="Heading 3 2 3 7" xfId="18000" xr:uid="{00000000-0005-0000-0000-000005620000}"/>
    <cellStyle name="Heading 3 2 4" xfId="1373" xr:uid="{00000000-0005-0000-0000-000006620000}"/>
    <cellStyle name="Heading 3 2 4 2" xfId="18007" xr:uid="{00000000-0005-0000-0000-000007620000}"/>
    <cellStyle name="Heading 3 2 4 3" xfId="18008" xr:uid="{00000000-0005-0000-0000-000008620000}"/>
    <cellStyle name="Heading 3 2 4 4" xfId="18009" xr:uid="{00000000-0005-0000-0000-000009620000}"/>
    <cellStyle name="Heading 3 2 4 5" xfId="18010" xr:uid="{00000000-0005-0000-0000-00000A620000}"/>
    <cellStyle name="Heading 3 2 4 6" xfId="18011" xr:uid="{00000000-0005-0000-0000-00000B620000}"/>
    <cellStyle name="Heading 3 2 4 7" xfId="18006" xr:uid="{00000000-0005-0000-0000-00000C620000}"/>
    <cellStyle name="Heading 3 2 5" xfId="1374" xr:uid="{00000000-0005-0000-0000-00000D620000}"/>
    <cellStyle name="Heading 3 2 5 2" xfId="18013" xr:uid="{00000000-0005-0000-0000-00000E620000}"/>
    <cellStyle name="Heading 3 2 5 3" xfId="18014" xr:uid="{00000000-0005-0000-0000-00000F620000}"/>
    <cellStyle name="Heading 3 2 5 4" xfId="18015" xr:uid="{00000000-0005-0000-0000-000010620000}"/>
    <cellStyle name="Heading 3 2 5 5" xfId="18016" xr:uid="{00000000-0005-0000-0000-000011620000}"/>
    <cellStyle name="Heading 3 2 5 6" xfId="18017" xr:uid="{00000000-0005-0000-0000-000012620000}"/>
    <cellStyle name="Heading 3 2 5 7" xfId="18012" xr:uid="{00000000-0005-0000-0000-000013620000}"/>
    <cellStyle name="Heading 3 2 6" xfId="1375" xr:uid="{00000000-0005-0000-0000-000014620000}"/>
    <cellStyle name="Heading 3 2 6 2" xfId="18019" xr:uid="{00000000-0005-0000-0000-000015620000}"/>
    <cellStyle name="Heading 3 2 6 3" xfId="18020" xr:uid="{00000000-0005-0000-0000-000016620000}"/>
    <cellStyle name="Heading 3 2 6 4" xfId="18021" xr:uid="{00000000-0005-0000-0000-000017620000}"/>
    <cellStyle name="Heading 3 2 6 5" xfId="18022" xr:uid="{00000000-0005-0000-0000-000018620000}"/>
    <cellStyle name="Heading 3 2 6 6" xfId="18023" xr:uid="{00000000-0005-0000-0000-000019620000}"/>
    <cellStyle name="Heading 3 2 6 7" xfId="18018" xr:uid="{00000000-0005-0000-0000-00001A620000}"/>
    <cellStyle name="Heading 3 2 7" xfId="1376" xr:uid="{00000000-0005-0000-0000-00001B620000}"/>
    <cellStyle name="Heading 3 2 7 2" xfId="18025" xr:uid="{00000000-0005-0000-0000-00001C620000}"/>
    <cellStyle name="Heading 3 2 7 3" xfId="18026" xr:uid="{00000000-0005-0000-0000-00001D620000}"/>
    <cellStyle name="Heading 3 2 7 4" xfId="18027" xr:uid="{00000000-0005-0000-0000-00001E620000}"/>
    <cellStyle name="Heading 3 2 7 5" xfId="18028" xr:uid="{00000000-0005-0000-0000-00001F620000}"/>
    <cellStyle name="Heading 3 2 7 6" xfId="18029" xr:uid="{00000000-0005-0000-0000-000020620000}"/>
    <cellStyle name="Heading 3 2 7 7" xfId="18024" xr:uid="{00000000-0005-0000-0000-000021620000}"/>
    <cellStyle name="Heading 3 2 8" xfId="1377" xr:uid="{00000000-0005-0000-0000-000022620000}"/>
    <cellStyle name="Heading 3 2 8 2" xfId="18031" xr:uid="{00000000-0005-0000-0000-000023620000}"/>
    <cellStyle name="Heading 3 2 8 3" xfId="18032" xr:uid="{00000000-0005-0000-0000-000024620000}"/>
    <cellStyle name="Heading 3 2 8 4" xfId="18033" xr:uid="{00000000-0005-0000-0000-000025620000}"/>
    <cellStyle name="Heading 3 2 8 5" xfId="18034" xr:uid="{00000000-0005-0000-0000-000026620000}"/>
    <cellStyle name="Heading 3 2 8 6" xfId="18035" xr:uid="{00000000-0005-0000-0000-000027620000}"/>
    <cellStyle name="Heading 3 2 8 7" xfId="18030" xr:uid="{00000000-0005-0000-0000-000028620000}"/>
    <cellStyle name="Heading 3 2 9" xfId="1378" xr:uid="{00000000-0005-0000-0000-000029620000}"/>
    <cellStyle name="Heading 3 2 9 2" xfId="18037" xr:uid="{00000000-0005-0000-0000-00002A620000}"/>
    <cellStyle name="Heading 3 2 9 3" xfId="18038" xr:uid="{00000000-0005-0000-0000-00002B620000}"/>
    <cellStyle name="Heading 3 2 9 4" xfId="18039" xr:uid="{00000000-0005-0000-0000-00002C620000}"/>
    <cellStyle name="Heading 3 2 9 5" xfId="18040" xr:uid="{00000000-0005-0000-0000-00002D620000}"/>
    <cellStyle name="Heading 3 2 9 6" xfId="18041" xr:uid="{00000000-0005-0000-0000-00002E620000}"/>
    <cellStyle name="Heading 3 2 9 7" xfId="18036" xr:uid="{00000000-0005-0000-0000-00002F620000}"/>
    <cellStyle name="Heading 3 2_IND_UC" xfId="6580" xr:uid="{00000000-0005-0000-0000-000030620000}"/>
    <cellStyle name="Heading 3 20" xfId="3359" xr:uid="{00000000-0005-0000-0000-000031620000}"/>
    <cellStyle name="Heading 3 20 2" xfId="8192" xr:uid="{00000000-0005-0000-0000-000032620000}"/>
    <cellStyle name="Heading 3 20 2 2" xfId="18044" xr:uid="{00000000-0005-0000-0000-000033620000}"/>
    <cellStyle name="Heading 3 20 2 3" xfId="18045" xr:uid="{00000000-0005-0000-0000-000034620000}"/>
    <cellStyle name="Heading 3 20 2 4" xfId="18046" xr:uid="{00000000-0005-0000-0000-000035620000}"/>
    <cellStyle name="Heading 3 20 2 5" xfId="18047" xr:uid="{00000000-0005-0000-0000-000036620000}"/>
    <cellStyle name="Heading 3 20 2 6" xfId="18043" xr:uid="{00000000-0005-0000-0000-000037620000}"/>
    <cellStyle name="Heading 3 20 3" xfId="18048" xr:uid="{00000000-0005-0000-0000-000038620000}"/>
    <cellStyle name="Heading 3 20 4" xfId="18049" xr:uid="{00000000-0005-0000-0000-000039620000}"/>
    <cellStyle name="Heading 3 20 5" xfId="18050" xr:uid="{00000000-0005-0000-0000-00003A620000}"/>
    <cellStyle name="Heading 3 20 6" xfId="18051" xr:uid="{00000000-0005-0000-0000-00003B620000}"/>
    <cellStyle name="Heading 3 20 7" xfId="18042" xr:uid="{00000000-0005-0000-0000-00003C620000}"/>
    <cellStyle name="Heading 3 21" xfId="8193" xr:uid="{00000000-0005-0000-0000-00003D620000}"/>
    <cellStyle name="Heading 3 21 2" xfId="18053" xr:uid="{00000000-0005-0000-0000-00003E620000}"/>
    <cellStyle name="Heading 3 21 3" xfId="18054" xr:uid="{00000000-0005-0000-0000-00003F620000}"/>
    <cellStyle name="Heading 3 21 4" xfId="18055" xr:uid="{00000000-0005-0000-0000-000040620000}"/>
    <cellStyle name="Heading 3 21 5" xfId="18056" xr:uid="{00000000-0005-0000-0000-000041620000}"/>
    <cellStyle name="Heading 3 21 6" xfId="18052" xr:uid="{00000000-0005-0000-0000-000042620000}"/>
    <cellStyle name="Heading 3 22" xfId="6579" xr:uid="{00000000-0005-0000-0000-000043620000}"/>
    <cellStyle name="Heading 3 22 2" xfId="18058" xr:uid="{00000000-0005-0000-0000-000044620000}"/>
    <cellStyle name="Heading 3 22 3" xfId="18057" xr:uid="{00000000-0005-0000-0000-000045620000}"/>
    <cellStyle name="Heading 3 23" xfId="18059" xr:uid="{00000000-0005-0000-0000-000046620000}"/>
    <cellStyle name="Heading 3 24" xfId="18060" xr:uid="{00000000-0005-0000-0000-000047620000}"/>
    <cellStyle name="Heading 3 25" xfId="18061" xr:uid="{00000000-0005-0000-0000-000048620000}"/>
    <cellStyle name="Heading 3 3" xfId="1379" xr:uid="{00000000-0005-0000-0000-000049620000}"/>
    <cellStyle name="Heading 3 3 10" xfId="3360" xr:uid="{00000000-0005-0000-0000-00004A620000}"/>
    <cellStyle name="Heading 3 3 10 2" xfId="18064" xr:uid="{00000000-0005-0000-0000-00004B620000}"/>
    <cellStyle name="Heading 3 3 10 3" xfId="18065" xr:uid="{00000000-0005-0000-0000-00004C620000}"/>
    <cellStyle name="Heading 3 3 10 4" xfId="18066" xr:uid="{00000000-0005-0000-0000-00004D620000}"/>
    <cellStyle name="Heading 3 3 10 5" xfId="18067" xr:uid="{00000000-0005-0000-0000-00004E620000}"/>
    <cellStyle name="Heading 3 3 10 6" xfId="18063" xr:uid="{00000000-0005-0000-0000-00004F620000}"/>
    <cellStyle name="Heading 3 3 11" xfId="3361" xr:uid="{00000000-0005-0000-0000-000050620000}"/>
    <cellStyle name="Heading 3 3 11 2" xfId="18069" xr:uid="{00000000-0005-0000-0000-000051620000}"/>
    <cellStyle name="Heading 3 3 11 3" xfId="18070" xr:uid="{00000000-0005-0000-0000-000052620000}"/>
    <cellStyle name="Heading 3 3 11 4" xfId="18071" xr:uid="{00000000-0005-0000-0000-000053620000}"/>
    <cellStyle name="Heading 3 3 11 5" xfId="18072" xr:uid="{00000000-0005-0000-0000-000054620000}"/>
    <cellStyle name="Heading 3 3 11 6" xfId="18068" xr:uid="{00000000-0005-0000-0000-000055620000}"/>
    <cellStyle name="Heading 3 3 12" xfId="3362" xr:uid="{00000000-0005-0000-0000-000056620000}"/>
    <cellStyle name="Heading 3 3 12 2" xfId="18074" xr:uid="{00000000-0005-0000-0000-000057620000}"/>
    <cellStyle name="Heading 3 3 12 3" xfId="18075" xr:uid="{00000000-0005-0000-0000-000058620000}"/>
    <cellStyle name="Heading 3 3 12 4" xfId="18076" xr:uid="{00000000-0005-0000-0000-000059620000}"/>
    <cellStyle name="Heading 3 3 12 5" xfId="18077" xr:uid="{00000000-0005-0000-0000-00005A620000}"/>
    <cellStyle name="Heading 3 3 12 6" xfId="18073" xr:uid="{00000000-0005-0000-0000-00005B620000}"/>
    <cellStyle name="Heading 3 3 13" xfId="3363" xr:uid="{00000000-0005-0000-0000-00005C620000}"/>
    <cellStyle name="Heading 3 3 13 2" xfId="18079" xr:uid="{00000000-0005-0000-0000-00005D620000}"/>
    <cellStyle name="Heading 3 3 13 3" xfId="18080" xr:uid="{00000000-0005-0000-0000-00005E620000}"/>
    <cellStyle name="Heading 3 3 13 4" xfId="18081" xr:uid="{00000000-0005-0000-0000-00005F620000}"/>
    <cellStyle name="Heading 3 3 13 5" xfId="18082" xr:uid="{00000000-0005-0000-0000-000060620000}"/>
    <cellStyle name="Heading 3 3 13 6" xfId="18078" xr:uid="{00000000-0005-0000-0000-000061620000}"/>
    <cellStyle name="Heading 3 3 14" xfId="3364" xr:uid="{00000000-0005-0000-0000-000062620000}"/>
    <cellStyle name="Heading 3 3 14 2" xfId="18084" xr:uid="{00000000-0005-0000-0000-000063620000}"/>
    <cellStyle name="Heading 3 3 14 3" xfId="18085" xr:uid="{00000000-0005-0000-0000-000064620000}"/>
    <cellStyle name="Heading 3 3 14 4" xfId="18086" xr:uid="{00000000-0005-0000-0000-000065620000}"/>
    <cellStyle name="Heading 3 3 14 5" xfId="18087" xr:uid="{00000000-0005-0000-0000-000066620000}"/>
    <cellStyle name="Heading 3 3 14 6" xfId="18083" xr:uid="{00000000-0005-0000-0000-000067620000}"/>
    <cellStyle name="Heading 3 3 15" xfId="8194" xr:uid="{00000000-0005-0000-0000-000068620000}"/>
    <cellStyle name="Heading 3 3 15 2" xfId="18089" xr:uid="{00000000-0005-0000-0000-000069620000}"/>
    <cellStyle name="Heading 3 3 15 3" xfId="18090" xr:uid="{00000000-0005-0000-0000-00006A620000}"/>
    <cellStyle name="Heading 3 3 15 4" xfId="18091" xr:uid="{00000000-0005-0000-0000-00006B620000}"/>
    <cellStyle name="Heading 3 3 15 5" xfId="18092" xr:uid="{00000000-0005-0000-0000-00006C620000}"/>
    <cellStyle name="Heading 3 3 15 6" xfId="18088" xr:uid="{00000000-0005-0000-0000-00006D620000}"/>
    <cellStyle name="Heading 3 3 16" xfId="18093" xr:uid="{00000000-0005-0000-0000-00006E620000}"/>
    <cellStyle name="Heading 3 3 17" xfId="18094" xr:uid="{00000000-0005-0000-0000-00006F620000}"/>
    <cellStyle name="Heading 3 3 18" xfId="18095" xr:uid="{00000000-0005-0000-0000-000070620000}"/>
    <cellStyle name="Heading 3 3 19" xfId="18096" xr:uid="{00000000-0005-0000-0000-000071620000}"/>
    <cellStyle name="Heading 3 3 2" xfId="1380" xr:uid="{00000000-0005-0000-0000-000072620000}"/>
    <cellStyle name="Heading 3 3 2 2" xfId="18098" xr:uid="{00000000-0005-0000-0000-000073620000}"/>
    <cellStyle name="Heading 3 3 2 3" xfId="18099" xr:uid="{00000000-0005-0000-0000-000074620000}"/>
    <cellStyle name="Heading 3 3 2 4" xfId="18100" xr:uid="{00000000-0005-0000-0000-000075620000}"/>
    <cellStyle name="Heading 3 3 2 5" xfId="18101" xr:uid="{00000000-0005-0000-0000-000076620000}"/>
    <cellStyle name="Heading 3 3 2 6" xfId="18102" xr:uid="{00000000-0005-0000-0000-000077620000}"/>
    <cellStyle name="Heading 3 3 2 7" xfId="18097" xr:uid="{00000000-0005-0000-0000-000078620000}"/>
    <cellStyle name="Heading 3 3 20" xfId="18103" xr:uid="{00000000-0005-0000-0000-000079620000}"/>
    <cellStyle name="Heading 3 3 21" xfId="18062" xr:uid="{00000000-0005-0000-0000-00007A620000}"/>
    <cellStyle name="Heading 3 3 3" xfId="3365" xr:uid="{00000000-0005-0000-0000-00007B620000}"/>
    <cellStyle name="Heading 3 3 3 2" xfId="18105" xr:uid="{00000000-0005-0000-0000-00007C620000}"/>
    <cellStyle name="Heading 3 3 3 3" xfId="18106" xr:uid="{00000000-0005-0000-0000-00007D620000}"/>
    <cellStyle name="Heading 3 3 3 4" xfId="18107" xr:uid="{00000000-0005-0000-0000-00007E620000}"/>
    <cellStyle name="Heading 3 3 3 5" xfId="18108" xr:uid="{00000000-0005-0000-0000-00007F620000}"/>
    <cellStyle name="Heading 3 3 3 6" xfId="18104" xr:uid="{00000000-0005-0000-0000-000080620000}"/>
    <cellStyle name="Heading 3 3 4" xfId="3366" xr:uid="{00000000-0005-0000-0000-000081620000}"/>
    <cellStyle name="Heading 3 3 4 2" xfId="18110" xr:uid="{00000000-0005-0000-0000-000082620000}"/>
    <cellStyle name="Heading 3 3 4 3" xfId="18111" xr:uid="{00000000-0005-0000-0000-000083620000}"/>
    <cellStyle name="Heading 3 3 4 4" xfId="18112" xr:uid="{00000000-0005-0000-0000-000084620000}"/>
    <cellStyle name="Heading 3 3 4 5" xfId="18113" xr:uid="{00000000-0005-0000-0000-000085620000}"/>
    <cellStyle name="Heading 3 3 4 6" xfId="18109" xr:uid="{00000000-0005-0000-0000-000086620000}"/>
    <cellStyle name="Heading 3 3 5" xfId="3367" xr:uid="{00000000-0005-0000-0000-000087620000}"/>
    <cellStyle name="Heading 3 3 5 2" xfId="18115" xr:uid="{00000000-0005-0000-0000-000088620000}"/>
    <cellStyle name="Heading 3 3 5 3" xfId="18116" xr:uid="{00000000-0005-0000-0000-000089620000}"/>
    <cellStyle name="Heading 3 3 5 4" xfId="18117" xr:uid="{00000000-0005-0000-0000-00008A620000}"/>
    <cellStyle name="Heading 3 3 5 5" xfId="18118" xr:uid="{00000000-0005-0000-0000-00008B620000}"/>
    <cellStyle name="Heading 3 3 5 6" xfId="18114" xr:uid="{00000000-0005-0000-0000-00008C620000}"/>
    <cellStyle name="Heading 3 3 6" xfId="3368" xr:uid="{00000000-0005-0000-0000-00008D620000}"/>
    <cellStyle name="Heading 3 3 6 2" xfId="18120" xr:uid="{00000000-0005-0000-0000-00008E620000}"/>
    <cellStyle name="Heading 3 3 6 3" xfId="18121" xr:uid="{00000000-0005-0000-0000-00008F620000}"/>
    <cellStyle name="Heading 3 3 6 4" xfId="18122" xr:uid="{00000000-0005-0000-0000-000090620000}"/>
    <cellStyle name="Heading 3 3 6 5" xfId="18123" xr:uid="{00000000-0005-0000-0000-000091620000}"/>
    <cellStyle name="Heading 3 3 6 6" xfId="18119" xr:uid="{00000000-0005-0000-0000-000092620000}"/>
    <cellStyle name="Heading 3 3 7" xfId="3369" xr:uid="{00000000-0005-0000-0000-000093620000}"/>
    <cellStyle name="Heading 3 3 7 2" xfId="18125" xr:uid="{00000000-0005-0000-0000-000094620000}"/>
    <cellStyle name="Heading 3 3 7 3" xfId="18126" xr:uid="{00000000-0005-0000-0000-000095620000}"/>
    <cellStyle name="Heading 3 3 7 4" xfId="18127" xr:uid="{00000000-0005-0000-0000-000096620000}"/>
    <cellStyle name="Heading 3 3 7 5" xfId="18128" xr:uid="{00000000-0005-0000-0000-000097620000}"/>
    <cellStyle name="Heading 3 3 7 6" xfId="18124" xr:uid="{00000000-0005-0000-0000-000098620000}"/>
    <cellStyle name="Heading 3 3 8" xfId="3370" xr:uid="{00000000-0005-0000-0000-000099620000}"/>
    <cellStyle name="Heading 3 3 8 2" xfId="18130" xr:uid="{00000000-0005-0000-0000-00009A620000}"/>
    <cellStyle name="Heading 3 3 8 3" xfId="18131" xr:uid="{00000000-0005-0000-0000-00009B620000}"/>
    <cellStyle name="Heading 3 3 8 4" xfId="18132" xr:uid="{00000000-0005-0000-0000-00009C620000}"/>
    <cellStyle name="Heading 3 3 8 5" xfId="18133" xr:uid="{00000000-0005-0000-0000-00009D620000}"/>
    <cellStyle name="Heading 3 3 8 6" xfId="18129" xr:uid="{00000000-0005-0000-0000-00009E620000}"/>
    <cellStyle name="Heading 3 3 9" xfId="3371" xr:uid="{00000000-0005-0000-0000-00009F620000}"/>
    <cellStyle name="Heading 3 3 9 2" xfId="18135" xr:uid="{00000000-0005-0000-0000-0000A0620000}"/>
    <cellStyle name="Heading 3 3 9 3" xfId="18136" xr:uid="{00000000-0005-0000-0000-0000A1620000}"/>
    <cellStyle name="Heading 3 3 9 4" xfId="18137" xr:uid="{00000000-0005-0000-0000-0000A2620000}"/>
    <cellStyle name="Heading 3 3 9 5" xfId="18138" xr:uid="{00000000-0005-0000-0000-0000A3620000}"/>
    <cellStyle name="Heading 3 3 9 6" xfId="18134" xr:uid="{00000000-0005-0000-0000-0000A4620000}"/>
    <cellStyle name="Heading 3 3_IND_UC" xfId="6581" xr:uid="{00000000-0005-0000-0000-0000A5620000}"/>
    <cellStyle name="Heading 3 4" xfId="1381" xr:uid="{00000000-0005-0000-0000-0000A6620000}"/>
    <cellStyle name="Heading 3 4 2" xfId="1382" xr:uid="{00000000-0005-0000-0000-0000A7620000}"/>
    <cellStyle name="Heading 3 4 2 2" xfId="8944" xr:uid="{00000000-0005-0000-0000-0000A8620000}"/>
    <cellStyle name="Heading 3 4 2 2 2" xfId="18139" xr:uid="{00000000-0005-0000-0000-0000A9620000}"/>
    <cellStyle name="Heading 3 4 2 2 3" xfId="18140" xr:uid="{00000000-0005-0000-0000-0000AA620000}"/>
    <cellStyle name="Heading 3 4 2 2 4" xfId="18141" xr:uid="{00000000-0005-0000-0000-0000AB620000}"/>
    <cellStyle name="Heading 3 4 2 2 5" xfId="18142" xr:uid="{00000000-0005-0000-0000-0000AC620000}"/>
    <cellStyle name="Heading 3 4 2 3" xfId="18143" xr:uid="{00000000-0005-0000-0000-0000AD620000}"/>
    <cellStyle name="Heading 3 4 2 4" xfId="18144" xr:uid="{00000000-0005-0000-0000-0000AE620000}"/>
    <cellStyle name="Heading 3 4 2 5" xfId="18145" xr:uid="{00000000-0005-0000-0000-0000AF620000}"/>
    <cellStyle name="Heading 3 4 2 6" xfId="18146" xr:uid="{00000000-0005-0000-0000-0000B0620000}"/>
    <cellStyle name="Heading 3 4 2 7" xfId="18147" xr:uid="{00000000-0005-0000-0000-0000B1620000}"/>
    <cellStyle name="Heading 3 4 3" xfId="8943" xr:uid="{00000000-0005-0000-0000-0000B2620000}"/>
    <cellStyle name="Heading 3 4 3 2" xfId="18148" xr:uid="{00000000-0005-0000-0000-0000B3620000}"/>
    <cellStyle name="Heading 3 4 3 3" xfId="18149" xr:uid="{00000000-0005-0000-0000-0000B4620000}"/>
    <cellStyle name="Heading 3 4 3 4" xfId="18150" xr:uid="{00000000-0005-0000-0000-0000B5620000}"/>
    <cellStyle name="Heading 3 4 3 5" xfId="18151" xr:uid="{00000000-0005-0000-0000-0000B6620000}"/>
    <cellStyle name="Heading 3 4 4" xfId="18152" xr:uid="{00000000-0005-0000-0000-0000B7620000}"/>
    <cellStyle name="Heading 3 4 5" xfId="18153" xr:uid="{00000000-0005-0000-0000-0000B8620000}"/>
    <cellStyle name="Heading 3 4 6" xfId="18154" xr:uid="{00000000-0005-0000-0000-0000B9620000}"/>
    <cellStyle name="Heading 3 4 7" xfId="18155" xr:uid="{00000000-0005-0000-0000-0000BA620000}"/>
    <cellStyle name="Heading 3 4 8" xfId="18156" xr:uid="{00000000-0005-0000-0000-0000BB620000}"/>
    <cellStyle name="Heading 3 5" xfId="1383" xr:uid="{00000000-0005-0000-0000-0000BC620000}"/>
    <cellStyle name="Heading 3 5 2" xfId="1384" xr:uid="{00000000-0005-0000-0000-0000BD620000}"/>
    <cellStyle name="Heading 3 5 2 2" xfId="8946" xr:uid="{00000000-0005-0000-0000-0000BE620000}"/>
    <cellStyle name="Heading 3 5 2 2 2" xfId="18157" xr:uid="{00000000-0005-0000-0000-0000BF620000}"/>
    <cellStyle name="Heading 3 5 2 2 3" xfId="18158" xr:uid="{00000000-0005-0000-0000-0000C0620000}"/>
    <cellStyle name="Heading 3 5 2 2 4" xfId="18159" xr:uid="{00000000-0005-0000-0000-0000C1620000}"/>
    <cellStyle name="Heading 3 5 2 2 5" xfId="18160" xr:uid="{00000000-0005-0000-0000-0000C2620000}"/>
    <cellStyle name="Heading 3 5 2 3" xfId="18161" xr:uid="{00000000-0005-0000-0000-0000C3620000}"/>
    <cellStyle name="Heading 3 5 2 4" xfId="18162" xr:uid="{00000000-0005-0000-0000-0000C4620000}"/>
    <cellStyle name="Heading 3 5 2 5" xfId="18163" xr:uid="{00000000-0005-0000-0000-0000C5620000}"/>
    <cellStyle name="Heading 3 5 2 6" xfId="18164" xr:uid="{00000000-0005-0000-0000-0000C6620000}"/>
    <cellStyle name="Heading 3 5 2 7" xfId="18165" xr:uid="{00000000-0005-0000-0000-0000C7620000}"/>
    <cellStyle name="Heading 3 5 3" xfId="8945" xr:uid="{00000000-0005-0000-0000-0000C8620000}"/>
    <cellStyle name="Heading 3 5 3 2" xfId="18166" xr:uid="{00000000-0005-0000-0000-0000C9620000}"/>
    <cellStyle name="Heading 3 5 3 3" xfId="18167" xr:uid="{00000000-0005-0000-0000-0000CA620000}"/>
    <cellStyle name="Heading 3 5 3 4" xfId="18168" xr:uid="{00000000-0005-0000-0000-0000CB620000}"/>
    <cellStyle name="Heading 3 5 3 5" xfId="18169" xr:uid="{00000000-0005-0000-0000-0000CC620000}"/>
    <cellStyle name="Heading 3 5 4" xfId="18170" xr:uid="{00000000-0005-0000-0000-0000CD620000}"/>
    <cellStyle name="Heading 3 5 5" xfId="18171" xr:uid="{00000000-0005-0000-0000-0000CE620000}"/>
    <cellStyle name="Heading 3 5 6" xfId="18172" xr:uid="{00000000-0005-0000-0000-0000CF620000}"/>
    <cellStyle name="Heading 3 5 7" xfId="18173" xr:uid="{00000000-0005-0000-0000-0000D0620000}"/>
    <cellStyle name="Heading 3 5 8" xfId="18174" xr:uid="{00000000-0005-0000-0000-0000D1620000}"/>
    <cellStyle name="Heading 3 6" xfId="1385" xr:uid="{00000000-0005-0000-0000-0000D2620000}"/>
    <cellStyle name="Heading 3 6 2" xfId="1386" xr:uid="{00000000-0005-0000-0000-0000D3620000}"/>
    <cellStyle name="Heading 3 6 2 2" xfId="8948" xr:uid="{00000000-0005-0000-0000-0000D4620000}"/>
    <cellStyle name="Heading 3 6 2 2 2" xfId="18175" xr:uid="{00000000-0005-0000-0000-0000D5620000}"/>
    <cellStyle name="Heading 3 6 2 2 3" xfId="18176" xr:uid="{00000000-0005-0000-0000-0000D6620000}"/>
    <cellStyle name="Heading 3 6 2 2 4" xfId="18177" xr:uid="{00000000-0005-0000-0000-0000D7620000}"/>
    <cellStyle name="Heading 3 6 2 2 5" xfId="18178" xr:uid="{00000000-0005-0000-0000-0000D8620000}"/>
    <cellStyle name="Heading 3 6 2 3" xfId="18179" xr:uid="{00000000-0005-0000-0000-0000D9620000}"/>
    <cellStyle name="Heading 3 6 2 4" xfId="18180" xr:uid="{00000000-0005-0000-0000-0000DA620000}"/>
    <cellStyle name="Heading 3 6 2 5" xfId="18181" xr:uid="{00000000-0005-0000-0000-0000DB620000}"/>
    <cellStyle name="Heading 3 6 2 6" xfId="18182" xr:uid="{00000000-0005-0000-0000-0000DC620000}"/>
    <cellStyle name="Heading 3 6 2 7" xfId="18183" xr:uid="{00000000-0005-0000-0000-0000DD620000}"/>
    <cellStyle name="Heading 3 6 3" xfId="3372" xr:uid="{00000000-0005-0000-0000-0000DE620000}"/>
    <cellStyle name="Heading 3 6 3 2" xfId="8949" xr:uid="{00000000-0005-0000-0000-0000DF620000}"/>
    <cellStyle name="Heading 3 6 3 2 2" xfId="18184" xr:uid="{00000000-0005-0000-0000-0000E0620000}"/>
    <cellStyle name="Heading 3 6 3 2 3" xfId="18185" xr:uid="{00000000-0005-0000-0000-0000E1620000}"/>
    <cellStyle name="Heading 3 6 3 2 4" xfId="18186" xr:uid="{00000000-0005-0000-0000-0000E2620000}"/>
    <cellStyle name="Heading 3 6 3 2 5" xfId="18187" xr:uid="{00000000-0005-0000-0000-0000E3620000}"/>
    <cellStyle name="Heading 3 6 3 3" xfId="18188" xr:uid="{00000000-0005-0000-0000-0000E4620000}"/>
    <cellStyle name="Heading 3 6 3 4" xfId="18189" xr:uid="{00000000-0005-0000-0000-0000E5620000}"/>
    <cellStyle name="Heading 3 6 3 5" xfId="18190" xr:uid="{00000000-0005-0000-0000-0000E6620000}"/>
    <cellStyle name="Heading 3 6 3 6" xfId="18191" xr:uid="{00000000-0005-0000-0000-0000E7620000}"/>
    <cellStyle name="Heading 3 6 4" xfId="8947" xr:uid="{00000000-0005-0000-0000-0000E8620000}"/>
    <cellStyle name="Heading 3 6 4 2" xfId="18192" xr:uid="{00000000-0005-0000-0000-0000E9620000}"/>
    <cellStyle name="Heading 3 6 4 3" xfId="18193" xr:uid="{00000000-0005-0000-0000-0000EA620000}"/>
    <cellStyle name="Heading 3 6 4 4" xfId="18194" xr:uid="{00000000-0005-0000-0000-0000EB620000}"/>
    <cellStyle name="Heading 3 6 4 5" xfId="18195" xr:uid="{00000000-0005-0000-0000-0000EC620000}"/>
    <cellStyle name="Heading 3 6 5" xfId="18196" xr:uid="{00000000-0005-0000-0000-0000ED620000}"/>
    <cellStyle name="Heading 3 6 6" xfId="18197" xr:uid="{00000000-0005-0000-0000-0000EE620000}"/>
    <cellStyle name="Heading 3 6 7" xfId="18198" xr:uid="{00000000-0005-0000-0000-0000EF620000}"/>
    <cellStyle name="Heading 3 6 8" xfId="18199" xr:uid="{00000000-0005-0000-0000-0000F0620000}"/>
    <cellStyle name="Heading 3 6 9" xfId="18200" xr:uid="{00000000-0005-0000-0000-0000F1620000}"/>
    <cellStyle name="Heading 3 7" xfId="1387" xr:uid="{00000000-0005-0000-0000-0000F2620000}"/>
    <cellStyle name="Heading 3 7 2" xfId="1388" xr:uid="{00000000-0005-0000-0000-0000F3620000}"/>
    <cellStyle name="Heading 3 7 2 2" xfId="8951" xr:uid="{00000000-0005-0000-0000-0000F4620000}"/>
    <cellStyle name="Heading 3 7 2 2 2" xfId="18201" xr:uid="{00000000-0005-0000-0000-0000F5620000}"/>
    <cellStyle name="Heading 3 7 2 2 3" xfId="18202" xr:uid="{00000000-0005-0000-0000-0000F6620000}"/>
    <cellStyle name="Heading 3 7 2 2 4" xfId="18203" xr:uid="{00000000-0005-0000-0000-0000F7620000}"/>
    <cellStyle name="Heading 3 7 2 2 5" xfId="18204" xr:uid="{00000000-0005-0000-0000-0000F8620000}"/>
    <cellStyle name="Heading 3 7 2 3" xfId="18205" xr:uid="{00000000-0005-0000-0000-0000F9620000}"/>
    <cellStyle name="Heading 3 7 2 4" xfId="18206" xr:uid="{00000000-0005-0000-0000-0000FA620000}"/>
    <cellStyle name="Heading 3 7 2 5" xfId="18207" xr:uid="{00000000-0005-0000-0000-0000FB620000}"/>
    <cellStyle name="Heading 3 7 2 6" xfId="18208" xr:uid="{00000000-0005-0000-0000-0000FC620000}"/>
    <cellStyle name="Heading 3 7 2 7" xfId="18209" xr:uid="{00000000-0005-0000-0000-0000FD620000}"/>
    <cellStyle name="Heading 3 7 3" xfId="3373" xr:uid="{00000000-0005-0000-0000-0000FE620000}"/>
    <cellStyle name="Heading 3 7 3 2" xfId="8952" xr:uid="{00000000-0005-0000-0000-0000FF620000}"/>
    <cellStyle name="Heading 3 7 3 2 2" xfId="18210" xr:uid="{00000000-0005-0000-0000-000000630000}"/>
    <cellStyle name="Heading 3 7 3 2 3" xfId="18211" xr:uid="{00000000-0005-0000-0000-000001630000}"/>
    <cellStyle name="Heading 3 7 3 2 4" xfId="18212" xr:uid="{00000000-0005-0000-0000-000002630000}"/>
    <cellStyle name="Heading 3 7 3 2 5" xfId="18213" xr:uid="{00000000-0005-0000-0000-000003630000}"/>
    <cellStyle name="Heading 3 7 3 3" xfId="18214" xr:uid="{00000000-0005-0000-0000-000004630000}"/>
    <cellStyle name="Heading 3 7 3 4" xfId="18215" xr:uid="{00000000-0005-0000-0000-000005630000}"/>
    <cellStyle name="Heading 3 7 3 5" xfId="18216" xr:uid="{00000000-0005-0000-0000-000006630000}"/>
    <cellStyle name="Heading 3 7 3 6" xfId="18217" xr:uid="{00000000-0005-0000-0000-000007630000}"/>
    <cellStyle name="Heading 3 7 4" xfId="8950" xr:uid="{00000000-0005-0000-0000-000008630000}"/>
    <cellStyle name="Heading 3 7 4 2" xfId="18218" xr:uid="{00000000-0005-0000-0000-000009630000}"/>
    <cellStyle name="Heading 3 7 4 3" xfId="18219" xr:uid="{00000000-0005-0000-0000-00000A630000}"/>
    <cellStyle name="Heading 3 7 4 4" xfId="18220" xr:uid="{00000000-0005-0000-0000-00000B630000}"/>
    <cellStyle name="Heading 3 7 4 5" xfId="18221" xr:uid="{00000000-0005-0000-0000-00000C630000}"/>
    <cellStyle name="Heading 3 7 5" xfId="18222" xr:uid="{00000000-0005-0000-0000-00000D630000}"/>
    <cellStyle name="Heading 3 7 6" xfId="18223" xr:uid="{00000000-0005-0000-0000-00000E630000}"/>
    <cellStyle name="Heading 3 7 7" xfId="18224" xr:uid="{00000000-0005-0000-0000-00000F630000}"/>
    <cellStyle name="Heading 3 7 8" xfId="18225" xr:uid="{00000000-0005-0000-0000-000010630000}"/>
    <cellStyle name="Heading 3 7 9" xfId="18226" xr:uid="{00000000-0005-0000-0000-000011630000}"/>
    <cellStyle name="Heading 3 8" xfId="1389" xr:uid="{00000000-0005-0000-0000-000012630000}"/>
    <cellStyle name="Heading 3 8 2" xfId="1390" xr:uid="{00000000-0005-0000-0000-000013630000}"/>
    <cellStyle name="Heading 3 8 2 2" xfId="8954" xr:uid="{00000000-0005-0000-0000-000014630000}"/>
    <cellStyle name="Heading 3 8 2 2 2" xfId="18227" xr:uid="{00000000-0005-0000-0000-000015630000}"/>
    <cellStyle name="Heading 3 8 2 2 3" xfId="18228" xr:uid="{00000000-0005-0000-0000-000016630000}"/>
    <cellStyle name="Heading 3 8 2 2 4" xfId="18229" xr:uid="{00000000-0005-0000-0000-000017630000}"/>
    <cellStyle name="Heading 3 8 2 2 5" xfId="18230" xr:uid="{00000000-0005-0000-0000-000018630000}"/>
    <cellStyle name="Heading 3 8 2 3" xfId="18231" xr:uid="{00000000-0005-0000-0000-000019630000}"/>
    <cellStyle name="Heading 3 8 2 4" xfId="18232" xr:uid="{00000000-0005-0000-0000-00001A630000}"/>
    <cellStyle name="Heading 3 8 2 5" xfId="18233" xr:uid="{00000000-0005-0000-0000-00001B630000}"/>
    <cellStyle name="Heading 3 8 2 6" xfId="18234" xr:uid="{00000000-0005-0000-0000-00001C630000}"/>
    <cellStyle name="Heading 3 8 2 7" xfId="18235" xr:uid="{00000000-0005-0000-0000-00001D630000}"/>
    <cellStyle name="Heading 3 8 3" xfId="3374" xr:uid="{00000000-0005-0000-0000-00001E630000}"/>
    <cellStyle name="Heading 3 8 3 2" xfId="8955" xr:uid="{00000000-0005-0000-0000-00001F630000}"/>
    <cellStyle name="Heading 3 8 3 2 2" xfId="18236" xr:uid="{00000000-0005-0000-0000-000020630000}"/>
    <cellStyle name="Heading 3 8 3 2 3" xfId="18237" xr:uid="{00000000-0005-0000-0000-000021630000}"/>
    <cellStyle name="Heading 3 8 3 2 4" xfId="18238" xr:uid="{00000000-0005-0000-0000-000022630000}"/>
    <cellStyle name="Heading 3 8 3 2 5" xfId="18239" xr:uid="{00000000-0005-0000-0000-000023630000}"/>
    <cellStyle name="Heading 3 8 3 3" xfId="18240" xr:uid="{00000000-0005-0000-0000-000024630000}"/>
    <cellStyle name="Heading 3 8 3 4" xfId="18241" xr:uid="{00000000-0005-0000-0000-000025630000}"/>
    <cellStyle name="Heading 3 8 3 5" xfId="18242" xr:uid="{00000000-0005-0000-0000-000026630000}"/>
    <cellStyle name="Heading 3 8 3 6" xfId="18243" xr:uid="{00000000-0005-0000-0000-000027630000}"/>
    <cellStyle name="Heading 3 8 4" xfId="8953" xr:uid="{00000000-0005-0000-0000-000028630000}"/>
    <cellStyle name="Heading 3 8 4 2" xfId="18244" xr:uid="{00000000-0005-0000-0000-000029630000}"/>
    <cellStyle name="Heading 3 8 4 3" xfId="18245" xr:uid="{00000000-0005-0000-0000-00002A630000}"/>
    <cellStyle name="Heading 3 8 4 4" xfId="18246" xr:uid="{00000000-0005-0000-0000-00002B630000}"/>
    <cellStyle name="Heading 3 8 4 5" xfId="18247" xr:uid="{00000000-0005-0000-0000-00002C630000}"/>
    <cellStyle name="Heading 3 8 5" xfId="18248" xr:uid="{00000000-0005-0000-0000-00002D630000}"/>
    <cellStyle name="Heading 3 8 6" xfId="18249" xr:uid="{00000000-0005-0000-0000-00002E630000}"/>
    <cellStyle name="Heading 3 8 7" xfId="18250" xr:uid="{00000000-0005-0000-0000-00002F630000}"/>
    <cellStyle name="Heading 3 8 8" xfId="18251" xr:uid="{00000000-0005-0000-0000-000030630000}"/>
    <cellStyle name="Heading 3 8 9" xfId="18252" xr:uid="{00000000-0005-0000-0000-000031630000}"/>
    <cellStyle name="Heading 3 9" xfId="1391" xr:uid="{00000000-0005-0000-0000-000032630000}"/>
    <cellStyle name="Heading 3 9 2" xfId="3375" xr:uid="{00000000-0005-0000-0000-000033630000}"/>
    <cellStyle name="Heading 3 9 2 2" xfId="8957" xr:uid="{00000000-0005-0000-0000-000034630000}"/>
    <cellStyle name="Heading 3 9 2 2 2" xfId="18253" xr:uid="{00000000-0005-0000-0000-000035630000}"/>
    <cellStyle name="Heading 3 9 2 2 3" xfId="18254" xr:uid="{00000000-0005-0000-0000-000036630000}"/>
    <cellStyle name="Heading 3 9 2 2 4" xfId="18255" xr:uid="{00000000-0005-0000-0000-000037630000}"/>
    <cellStyle name="Heading 3 9 2 2 5" xfId="18256" xr:uid="{00000000-0005-0000-0000-000038630000}"/>
    <cellStyle name="Heading 3 9 2 3" xfId="18257" xr:uid="{00000000-0005-0000-0000-000039630000}"/>
    <cellStyle name="Heading 3 9 2 4" xfId="18258" xr:uid="{00000000-0005-0000-0000-00003A630000}"/>
    <cellStyle name="Heading 3 9 2 5" xfId="18259" xr:uid="{00000000-0005-0000-0000-00003B630000}"/>
    <cellStyle name="Heading 3 9 2 6" xfId="18260" xr:uid="{00000000-0005-0000-0000-00003C630000}"/>
    <cellStyle name="Heading 3 9 3" xfId="8956" xr:uid="{00000000-0005-0000-0000-00003D630000}"/>
    <cellStyle name="Heading 3 9 3 2" xfId="18261" xr:uid="{00000000-0005-0000-0000-00003E630000}"/>
    <cellStyle name="Heading 3 9 3 3" xfId="18262" xr:uid="{00000000-0005-0000-0000-00003F630000}"/>
    <cellStyle name="Heading 3 9 3 4" xfId="18263" xr:uid="{00000000-0005-0000-0000-000040630000}"/>
    <cellStyle name="Heading 3 9 3 5" xfId="18264" xr:uid="{00000000-0005-0000-0000-000041630000}"/>
    <cellStyle name="Heading 3 9 4" xfId="18265" xr:uid="{00000000-0005-0000-0000-000042630000}"/>
    <cellStyle name="Heading 3 9 5" xfId="18266" xr:uid="{00000000-0005-0000-0000-000043630000}"/>
    <cellStyle name="Heading 3 9 6" xfId="18267" xr:uid="{00000000-0005-0000-0000-000044630000}"/>
    <cellStyle name="Heading 3 9 7" xfId="18268" xr:uid="{00000000-0005-0000-0000-000045630000}"/>
    <cellStyle name="Heading 3 9 8" xfId="18269" xr:uid="{00000000-0005-0000-0000-000046630000}"/>
    <cellStyle name="Heading 4 10" xfId="1392" xr:uid="{00000000-0005-0000-0000-000047630000}"/>
    <cellStyle name="Heading 4 10 2" xfId="3376" xr:uid="{00000000-0005-0000-0000-000048630000}"/>
    <cellStyle name="Heading 4 10 2 2" xfId="8959" xr:uid="{00000000-0005-0000-0000-000049630000}"/>
    <cellStyle name="Heading 4 10 2 2 2" xfId="18270" xr:uid="{00000000-0005-0000-0000-00004A630000}"/>
    <cellStyle name="Heading 4 10 2 2 3" xfId="18271" xr:uid="{00000000-0005-0000-0000-00004B630000}"/>
    <cellStyle name="Heading 4 10 2 2 4" xfId="18272" xr:uid="{00000000-0005-0000-0000-00004C630000}"/>
    <cellStyle name="Heading 4 10 2 2 5" xfId="18273" xr:uid="{00000000-0005-0000-0000-00004D630000}"/>
    <cellStyle name="Heading 4 10 2 3" xfId="18274" xr:uid="{00000000-0005-0000-0000-00004E630000}"/>
    <cellStyle name="Heading 4 10 2 4" xfId="18275" xr:uid="{00000000-0005-0000-0000-00004F630000}"/>
    <cellStyle name="Heading 4 10 2 5" xfId="18276" xr:uid="{00000000-0005-0000-0000-000050630000}"/>
    <cellStyle name="Heading 4 10 2 6" xfId="18277" xr:uid="{00000000-0005-0000-0000-000051630000}"/>
    <cellStyle name="Heading 4 10 3" xfId="8958" xr:uid="{00000000-0005-0000-0000-000052630000}"/>
    <cellStyle name="Heading 4 10 3 2" xfId="18278" xr:uid="{00000000-0005-0000-0000-000053630000}"/>
    <cellStyle name="Heading 4 10 3 3" xfId="18279" xr:uid="{00000000-0005-0000-0000-000054630000}"/>
    <cellStyle name="Heading 4 10 3 4" xfId="18280" xr:uid="{00000000-0005-0000-0000-000055630000}"/>
    <cellStyle name="Heading 4 10 3 5" xfId="18281" xr:uid="{00000000-0005-0000-0000-000056630000}"/>
    <cellStyle name="Heading 4 10 4" xfId="18282" xr:uid="{00000000-0005-0000-0000-000057630000}"/>
    <cellStyle name="Heading 4 10 5" xfId="18283" xr:uid="{00000000-0005-0000-0000-000058630000}"/>
    <cellStyle name="Heading 4 10 6" xfId="18284" xr:uid="{00000000-0005-0000-0000-000059630000}"/>
    <cellStyle name="Heading 4 10 7" xfId="18285" xr:uid="{00000000-0005-0000-0000-00005A630000}"/>
    <cellStyle name="Heading 4 10 8" xfId="18286" xr:uid="{00000000-0005-0000-0000-00005B630000}"/>
    <cellStyle name="Heading 4 11" xfId="1393" xr:uid="{00000000-0005-0000-0000-00005C630000}"/>
    <cellStyle name="Heading 4 11 2" xfId="8204" xr:uid="{00000000-0005-0000-0000-00005D630000}"/>
    <cellStyle name="Heading 4 11 2 2" xfId="8961" xr:uid="{00000000-0005-0000-0000-00005E630000}"/>
    <cellStyle name="Heading 4 11 2 2 2" xfId="18287" xr:uid="{00000000-0005-0000-0000-00005F630000}"/>
    <cellStyle name="Heading 4 11 2 2 3" xfId="18288" xr:uid="{00000000-0005-0000-0000-000060630000}"/>
    <cellStyle name="Heading 4 11 2 2 4" xfId="18289" xr:uid="{00000000-0005-0000-0000-000061630000}"/>
    <cellStyle name="Heading 4 11 2 2 5" xfId="18290" xr:uid="{00000000-0005-0000-0000-000062630000}"/>
    <cellStyle name="Heading 4 11 2 3" xfId="18291" xr:uid="{00000000-0005-0000-0000-000063630000}"/>
    <cellStyle name="Heading 4 11 2 4" xfId="18292" xr:uid="{00000000-0005-0000-0000-000064630000}"/>
    <cellStyle name="Heading 4 11 2 5" xfId="18293" xr:uid="{00000000-0005-0000-0000-000065630000}"/>
    <cellStyle name="Heading 4 11 2 6" xfId="18294" xr:uid="{00000000-0005-0000-0000-000066630000}"/>
    <cellStyle name="Heading 4 11 3" xfId="8960" xr:uid="{00000000-0005-0000-0000-000067630000}"/>
    <cellStyle name="Heading 4 11 3 2" xfId="18295" xr:uid="{00000000-0005-0000-0000-000068630000}"/>
    <cellStyle name="Heading 4 11 3 3" xfId="18296" xr:uid="{00000000-0005-0000-0000-000069630000}"/>
    <cellStyle name="Heading 4 11 3 4" xfId="18297" xr:uid="{00000000-0005-0000-0000-00006A630000}"/>
    <cellStyle name="Heading 4 11 3 5" xfId="18298" xr:uid="{00000000-0005-0000-0000-00006B630000}"/>
    <cellStyle name="Heading 4 11 4" xfId="18299" xr:uid="{00000000-0005-0000-0000-00006C630000}"/>
    <cellStyle name="Heading 4 11 5" xfId="18300" xr:uid="{00000000-0005-0000-0000-00006D630000}"/>
    <cellStyle name="Heading 4 11 6" xfId="18301" xr:uid="{00000000-0005-0000-0000-00006E630000}"/>
    <cellStyle name="Heading 4 11 7" xfId="18302" xr:uid="{00000000-0005-0000-0000-00006F630000}"/>
    <cellStyle name="Heading 4 11 8" xfId="18303" xr:uid="{00000000-0005-0000-0000-000070630000}"/>
    <cellStyle name="Heading 4 12" xfId="1394" xr:uid="{00000000-0005-0000-0000-000071630000}"/>
    <cellStyle name="Heading 4 12 2" xfId="8206" xr:uid="{00000000-0005-0000-0000-000072630000}"/>
    <cellStyle name="Heading 4 12 2 2" xfId="8963" xr:uid="{00000000-0005-0000-0000-000073630000}"/>
    <cellStyle name="Heading 4 12 2 2 2" xfId="18304" xr:uid="{00000000-0005-0000-0000-000074630000}"/>
    <cellStyle name="Heading 4 12 2 2 3" xfId="18305" xr:uid="{00000000-0005-0000-0000-000075630000}"/>
    <cellStyle name="Heading 4 12 2 2 4" xfId="18306" xr:uid="{00000000-0005-0000-0000-000076630000}"/>
    <cellStyle name="Heading 4 12 2 2 5" xfId="18307" xr:uid="{00000000-0005-0000-0000-000077630000}"/>
    <cellStyle name="Heading 4 12 2 3" xfId="18308" xr:uid="{00000000-0005-0000-0000-000078630000}"/>
    <cellStyle name="Heading 4 12 2 4" xfId="18309" xr:uid="{00000000-0005-0000-0000-000079630000}"/>
    <cellStyle name="Heading 4 12 2 5" xfId="18310" xr:uid="{00000000-0005-0000-0000-00007A630000}"/>
    <cellStyle name="Heading 4 12 2 6" xfId="18311" xr:uid="{00000000-0005-0000-0000-00007B630000}"/>
    <cellStyle name="Heading 4 12 3" xfId="8962" xr:uid="{00000000-0005-0000-0000-00007C630000}"/>
    <cellStyle name="Heading 4 12 3 2" xfId="18312" xr:uid="{00000000-0005-0000-0000-00007D630000}"/>
    <cellStyle name="Heading 4 12 3 3" xfId="18313" xr:uid="{00000000-0005-0000-0000-00007E630000}"/>
    <cellStyle name="Heading 4 12 3 4" xfId="18314" xr:uid="{00000000-0005-0000-0000-00007F630000}"/>
    <cellStyle name="Heading 4 12 3 5" xfId="18315" xr:uid="{00000000-0005-0000-0000-000080630000}"/>
    <cellStyle name="Heading 4 12 4" xfId="18316" xr:uid="{00000000-0005-0000-0000-000081630000}"/>
    <cellStyle name="Heading 4 12 5" xfId="18317" xr:uid="{00000000-0005-0000-0000-000082630000}"/>
    <cellStyle name="Heading 4 12 6" xfId="18318" xr:uid="{00000000-0005-0000-0000-000083630000}"/>
    <cellStyle name="Heading 4 12 7" xfId="18319" xr:uid="{00000000-0005-0000-0000-000084630000}"/>
    <cellStyle name="Heading 4 12 8" xfId="18320" xr:uid="{00000000-0005-0000-0000-000085630000}"/>
    <cellStyle name="Heading 4 13" xfId="1395" xr:uid="{00000000-0005-0000-0000-000086630000}"/>
    <cellStyle name="Heading 4 13 2" xfId="8207" xr:uid="{00000000-0005-0000-0000-000087630000}"/>
    <cellStyle name="Heading 4 13 2 2" xfId="8965" xr:uid="{00000000-0005-0000-0000-000088630000}"/>
    <cellStyle name="Heading 4 13 2 2 2" xfId="18321" xr:uid="{00000000-0005-0000-0000-000089630000}"/>
    <cellStyle name="Heading 4 13 2 2 3" xfId="18322" xr:uid="{00000000-0005-0000-0000-00008A630000}"/>
    <cellStyle name="Heading 4 13 2 2 4" xfId="18323" xr:uid="{00000000-0005-0000-0000-00008B630000}"/>
    <cellStyle name="Heading 4 13 2 2 5" xfId="18324" xr:uid="{00000000-0005-0000-0000-00008C630000}"/>
    <cellStyle name="Heading 4 13 2 3" xfId="18325" xr:uid="{00000000-0005-0000-0000-00008D630000}"/>
    <cellStyle name="Heading 4 13 2 4" xfId="18326" xr:uid="{00000000-0005-0000-0000-00008E630000}"/>
    <cellStyle name="Heading 4 13 2 5" xfId="18327" xr:uid="{00000000-0005-0000-0000-00008F630000}"/>
    <cellStyle name="Heading 4 13 2 6" xfId="18328" xr:uid="{00000000-0005-0000-0000-000090630000}"/>
    <cellStyle name="Heading 4 13 3" xfId="8964" xr:uid="{00000000-0005-0000-0000-000091630000}"/>
    <cellStyle name="Heading 4 13 3 2" xfId="18329" xr:uid="{00000000-0005-0000-0000-000092630000}"/>
    <cellStyle name="Heading 4 13 3 3" xfId="18330" xr:uid="{00000000-0005-0000-0000-000093630000}"/>
    <cellStyle name="Heading 4 13 3 4" xfId="18331" xr:uid="{00000000-0005-0000-0000-000094630000}"/>
    <cellStyle name="Heading 4 13 3 5" xfId="18332" xr:uid="{00000000-0005-0000-0000-000095630000}"/>
    <cellStyle name="Heading 4 13 4" xfId="18333" xr:uid="{00000000-0005-0000-0000-000096630000}"/>
    <cellStyle name="Heading 4 13 5" xfId="18334" xr:uid="{00000000-0005-0000-0000-000097630000}"/>
    <cellStyle name="Heading 4 13 6" xfId="18335" xr:uid="{00000000-0005-0000-0000-000098630000}"/>
    <cellStyle name="Heading 4 13 7" xfId="18336" xr:uid="{00000000-0005-0000-0000-000099630000}"/>
    <cellStyle name="Heading 4 13 8" xfId="18337" xr:uid="{00000000-0005-0000-0000-00009A630000}"/>
    <cellStyle name="Heading 4 14" xfId="1396" xr:uid="{00000000-0005-0000-0000-00009B630000}"/>
    <cellStyle name="Heading 4 14 2" xfId="8208" xr:uid="{00000000-0005-0000-0000-00009C630000}"/>
    <cellStyle name="Heading 4 14 2 2" xfId="8967" xr:uid="{00000000-0005-0000-0000-00009D630000}"/>
    <cellStyle name="Heading 4 14 2 2 2" xfId="18338" xr:uid="{00000000-0005-0000-0000-00009E630000}"/>
    <cellStyle name="Heading 4 14 2 2 3" xfId="18339" xr:uid="{00000000-0005-0000-0000-00009F630000}"/>
    <cellStyle name="Heading 4 14 2 2 4" xfId="18340" xr:uid="{00000000-0005-0000-0000-0000A0630000}"/>
    <cellStyle name="Heading 4 14 2 2 5" xfId="18341" xr:uid="{00000000-0005-0000-0000-0000A1630000}"/>
    <cellStyle name="Heading 4 14 2 3" xfId="18342" xr:uid="{00000000-0005-0000-0000-0000A2630000}"/>
    <cellStyle name="Heading 4 14 2 4" xfId="18343" xr:uid="{00000000-0005-0000-0000-0000A3630000}"/>
    <cellStyle name="Heading 4 14 2 5" xfId="18344" xr:uid="{00000000-0005-0000-0000-0000A4630000}"/>
    <cellStyle name="Heading 4 14 2 6" xfId="18345" xr:uid="{00000000-0005-0000-0000-0000A5630000}"/>
    <cellStyle name="Heading 4 14 3" xfId="8966" xr:uid="{00000000-0005-0000-0000-0000A6630000}"/>
    <cellStyle name="Heading 4 14 3 2" xfId="18346" xr:uid="{00000000-0005-0000-0000-0000A7630000}"/>
    <cellStyle name="Heading 4 14 3 3" xfId="18347" xr:uid="{00000000-0005-0000-0000-0000A8630000}"/>
    <cellStyle name="Heading 4 14 3 4" xfId="18348" xr:uid="{00000000-0005-0000-0000-0000A9630000}"/>
    <cellStyle name="Heading 4 14 3 5" xfId="18349" xr:uid="{00000000-0005-0000-0000-0000AA630000}"/>
    <cellStyle name="Heading 4 14 4" xfId="18350" xr:uid="{00000000-0005-0000-0000-0000AB630000}"/>
    <cellStyle name="Heading 4 14 5" xfId="18351" xr:uid="{00000000-0005-0000-0000-0000AC630000}"/>
    <cellStyle name="Heading 4 14 6" xfId="18352" xr:uid="{00000000-0005-0000-0000-0000AD630000}"/>
    <cellStyle name="Heading 4 14 7" xfId="18353" xr:uid="{00000000-0005-0000-0000-0000AE630000}"/>
    <cellStyle name="Heading 4 14 8" xfId="18354" xr:uid="{00000000-0005-0000-0000-0000AF630000}"/>
    <cellStyle name="Heading 4 15" xfId="3377" xr:uid="{00000000-0005-0000-0000-0000B0630000}"/>
    <cellStyle name="Heading 4 15 2" xfId="8209" xr:uid="{00000000-0005-0000-0000-0000B1630000}"/>
    <cellStyle name="Heading 4 15 2 2" xfId="8969" xr:uid="{00000000-0005-0000-0000-0000B2630000}"/>
    <cellStyle name="Heading 4 15 2 2 2" xfId="18355" xr:uid="{00000000-0005-0000-0000-0000B3630000}"/>
    <cellStyle name="Heading 4 15 2 2 3" xfId="18356" xr:uid="{00000000-0005-0000-0000-0000B4630000}"/>
    <cellStyle name="Heading 4 15 2 2 4" xfId="18357" xr:uid="{00000000-0005-0000-0000-0000B5630000}"/>
    <cellStyle name="Heading 4 15 2 2 5" xfId="18358" xr:uid="{00000000-0005-0000-0000-0000B6630000}"/>
    <cellStyle name="Heading 4 15 2 3" xfId="18359" xr:uid="{00000000-0005-0000-0000-0000B7630000}"/>
    <cellStyle name="Heading 4 15 2 4" xfId="18360" xr:uid="{00000000-0005-0000-0000-0000B8630000}"/>
    <cellStyle name="Heading 4 15 2 5" xfId="18361" xr:uid="{00000000-0005-0000-0000-0000B9630000}"/>
    <cellStyle name="Heading 4 15 2 6" xfId="18362" xr:uid="{00000000-0005-0000-0000-0000BA630000}"/>
    <cellStyle name="Heading 4 15 3" xfId="8968" xr:uid="{00000000-0005-0000-0000-0000BB630000}"/>
    <cellStyle name="Heading 4 15 3 2" xfId="18363" xr:uid="{00000000-0005-0000-0000-0000BC630000}"/>
    <cellStyle name="Heading 4 15 3 3" xfId="18364" xr:uid="{00000000-0005-0000-0000-0000BD630000}"/>
    <cellStyle name="Heading 4 15 3 4" xfId="18365" xr:uid="{00000000-0005-0000-0000-0000BE630000}"/>
    <cellStyle name="Heading 4 15 3 5" xfId="18366" xr:uid="{00000000-0005-0000-0000-0000BF630000}"/>
    <cellStyle name="Heading 4 15 4" xfId="18367" xr:uid="{00000000-0005-0000-0000-0000C0630000}"/>
    <cellStyle name="Heading 4 15 5" xfId="18368" xr:uid="{00000000-0005-0000-0000-0000C1630000}"/>
    <cellStyle name="Heading 4 15 6" xfId="18369" xr:uid="{00000000-0005-0000-0000-0000C2630000}"/>
    <cellStyle name="Heading 4 15 7" xfId="18370" xr:uid="{00000000-0005-0000-0000-0000C3630000}"/>
    <cellStyle name="Heading 4 16" xfId="3378" xr:uid="{00000000-0005-0000-0000-0000C4630000}"/>
    <cellStyle name="Heading 4 16 2" xfId="8210" xr:uid="{00000000-0005-0000-0000-0000C5630000}"/>
    <cellStyle name="Heading 4 16 2 2" xfId="8971" xr:uid="{00000000-0005-0000-0000-0000C6630000}"/>
    <cellStyle name="Heading 4 16 2 2 2" xfId="18371" xr:uid="{00000000-0005-0000-0000-0000C7630000}"/>
    <cellStyle name="Heading 4 16 2 2 3" xfId="18372" xr:uid="{00000000-0005-0000-0000-0000C8630000}"/>
    <cellStyle name="Heading 4 16 2 2 4" xfId="18373" xr:uid="{00000000-0005-0000-0000-0000C9630000}"/>
    <cellStyle name="Heading 4 16 2 2 5" xfId="18374" xr:uid="{00000000-0005-0000-0000-0000CA630000}"/>
    <cellStyle name="Heading 4 16 2 3" xfId="18375" xr:uid="{00000000-0005-0000-0000-0000CB630000}"/>
    <cellStyle name="Heading 4 16 2 4" xfId="18376" xr:uid="{00000000-0005-0000-0000-0000CC630000}"/>
    <cellStyle name="Heading 4 16 2 5" xfId="18377" xr:uid="{00000000-0005-0000-0000-0000CD630000}"/>
    <cellStyle name="Heading 4 16 2 6" xfId="18378" xr:uid="{00000000-0005-0000-0000-0000CE630000}"/>
    <cellStyle name="Heading 4 16 3" xfId="8970" xr:uid="{00000000-0005-0000-0000-0000CF630000}"/>
    <cellStyle name="Heading 4 16 3 2" xfId="18379" xr:uid="{00000000-0005-0000-0000-0000D0630000}"/>
    <cellStyle name="Heading 4 16 3 3" xfId="18380" xr:uid="{00000000-0005-0000-0000-0000D1630000}"/>
    <cellStyle name="Heading 4 16 3 4" xfId="18381" xr:uid="{00000000-0005-0000-0000-0000D2630000}"/>
    <cellStyle name="Heading 4 16 3 5" xfId="18382" xr:uid="{00000000-0005-0000-0000-0000D3630000}"/>
    <cellStyle name="Heading 4 16 4" xfId="18383" xr:uid="{00000000-0005-0000-0000-0000D4630000}"/>
    <cellStyle name="Heading 4 16 5" xfId="18384" xr:uid="{00000000-0005-0000-0000-0000D5630000}"/>
    <cellStyle name="Heading 4 16 6" xfId="18385" xr:uid="{00000000-0005-0000-0000-0000D6630000}"/>
    <cellStyle name="Heading 4 16 7" xfId="18386" xr:uid="{00000000-0005-0000-0000-0000D7630000}"/>
    <cellStyle name="Heading 4 17" xfId="3379" xr:uid="{00000000-0005-0000-0000-0000D8630000}"/>
    <cellStyle name="Heading 4 17 2" xfId="8211" xr:uid="{00000000-0005-0000-0000-0000D9630000}"/>
    <cellStyle name="Heading 4 17 2 2" xfId="8973" xr:uid="{00000000-0005-0000-0000-0000DA630000}"/>
    <cellStyle name="Heading 4 17 2 2 2" xfId="18387" xr:uid="{00000000-0005-0000-0000-0000DB630000}"/>
    <cellStyle name="Heading 4 17 2 2 3" xfId="18388" xr:uid="{00000000-0005-0000-0000-0000DC630000}"/>
    <cellStyle name="Heading 4 17 2 2 4" xfId="18389" xr:uid="{00000000-0005-0000-0000-0000DD630000}"/>
    <cellStyle name="Heading 4 17 2 2 5" xfId="18390" xr:uid="{00000000-0005-0000-0000-0000DE630000}"/>
    <cellStyle name="Heading 4 17 2 3" xfId="18391" xr:uid="{00000000-0005-0000-0000-0000DF630000}"/>
    <cellStyle name="Heading 4 17 2 4" xfId="18392" xr:uid="{00000000-0005-0000-0000-0000E0630000}"/>
    <cellStyle name="Heading 4 17 2 5" xfId="18393" xr:uid="{00000000-0005-0000-0000-0000E1630000}"/>
    <cellStyle name="Heading 4 17 2 6" xfId="18394" xr:uid="{00000000-0005-0000-0000-0000E2630000}"/>
    <cellStyle name="Heading 4 17 3" xfId="8972" xr:uid="{00000000-0005-0000-0000-0000E3630000}"/>
    <cellStyle name="Heading 4 17 3 2" xfId="18395" xr:uid="{00000000-0005-0000-0000-0000E4630000}"/>
    <cellStyle name="Heading 4 17 3 3" xfId="18396" xr:uid="{00000000-0005-0000-0000-0000E5630000}"/>
    <cellStyle name="Heading 4 17 3 4" xfId="18397" xr:uid="{00000000-0005-0000-0000-0000E6630000}"/>
    <cellStyle name="Heading 4 17 3 5" xfId="18398" xr:uid="{00000000-0005-0000-0000-0000E7630000}"/>
    <cellStyle name="Heading 4 17 4" xfId="18399" xr:uid="{00000000-0005-0000-0000-0000E8630000}"/>
    <cellStyle name="Heading 4 17 5" xfId="18400" xr:uid="{00000000-0005-0000-0000-0000E9630000}"/>
    <cellStyle name="Heading 4 17 6" xfId="18401" xr:uid="{00000000-0005-0000-0000-0000EA630000}"/>
    <cellStyle name="Heading 4 17 7" xfId="18402" xr:uid="{00000000-0005-0000-0000-0000EB630000}"/>
    <cellStyle name="Heading 4 18" xfId="3380" xr:uid="{00000000-0005-0000-0000-0000EC630000}"/>
    <cellStyle name="Heading 4 18 2" xfId="8212" xr:uid="{00000000-0005-0000-0000-0000ED630000}"/>
    <cellStyle name="Heading 4 18 2 2" xfId="8975" xr:uid="{00000000-0005-0000-0000-0000EE630000}"/>
    <cellStyle name="Heading 4 18 2 2 2" xfId="18403" xr:uid="{00000000-0005-0000-0000-0000EF630000}"/>
    <cellStyle name="Heading 4 18 2 2 3" xfId="18404" xr:uid="{00000000-0005-0000-0000-0000F0630000}"/>
    <cellStyle name="Heading 4 18 2 2 4" xfId="18405" xr:uid="{00000000-0005-0000-0000-0000F1630000}"/>
    <cellStyle name="Heading 4 18 2 2 5" xfId="18406" xr:uid="{00000000-0005-0000-0000-0000F2630000}"/>
    <cellStyle name="Heading 4 18 2 3" xfId="18407" xr:uid="{00000000-0005-0000-0000-0000F3630000}"/>
    <cellStyle name="Heading 4 18 2 4" xfId="18408" xr:uid="{00000000-0005-0000-0000-0000F4630000}"/>
    <cellStyle name="Heading 4 18 2 5" xfId="18409" xr:uid="{00000000-0005-0000-0000-0000F5630000}"/>
    <cellStyle name="Heading 4 18 2 6" xfId="18410" xr:uid="{00000000-0005-0000-0000-0000F6630000}"/>
    <cellStyle name="Heading 4 18 3" xfId="8974" xr:uid="{00000000-0005-0000-0000-0000F7630000}"/>
    <cellStyle name="Heading 4 18 3 2" xfId="18411" xr:uid="{00000000-0005-0000-0000-0000F8630000}"/>
    <cellStyle name="Heading 4 18 3 3" xfId="18412" xr:uid="{00000000-0005-0000-0000-0000F9630000}"/>
    <cellStyle name="Heading 4 18 3 4" xfId="18413" xr:uid="{00000000-0005-0000-0000-0000FA630000}"/>
    <cellStyle name="Heading 4 18 3 5" xfId="18414" xr:uid="{00000000-0005-0000-0000-0000FB630000}"/>
    <cellStyle name="Heading 4 18 4" xfId="18415" xr:uid="{00000000-0005-0000-0000-0000FC630000}"/>
    <cellStyle name="Heading 4 18 5" xfId="18416" xr:uid="{00000000-0005-0000-0000-0000FD630000}"/>
    <cellStyle name="Heading 4 18 6" xfId="18417" xr:uid="{00000000-0005-0000-0000-0000FE630000}"/>
    <cellStyle name="Heading 4 18 7" xfId="18418" xr:uid="{00000000-0005-0000-0000-0000FF630000}"/>
    <cellStyle name="Heading 4 19" xfId="3381" xr:uid="{00000000-0005-0000-0000-000000640000}"/>
    <cellStyle name="Heading 4 19 2" xfId="8213" xr:uid="{00000000-0005-0000-0000-000001640000}"/>
    <cellStyle name="Heading 4 19 2 2" xfId="8977" xr:uid="{00000000-0005-0000-0000-000002640000}"/>
    <cellStyle name="Heading 4 19 2 2 2" xfId="18419" xr:uid="{00000000-0005-0000-0000-000003640000}"/>
    <cellStyle name="Heading 4 19 2 2 3" xfId="18420" xr:uid="{00000000-0005-0000-0000-000004640000}"/>
    <cellStyle name="Heading 4 19 2 2 4" xfId="18421" xr:uid="{00000000-0005-0000-0000-000005640000}"/>
    <cellStyle name="Heading 4 19 2 2 5" xfId="18422" xr:uid="{00000000-0005-0000-0000-000006640000}"/>
    <cellStyle name="Heading 4 19 2 3" xfId="18423" xr:uid="{00000000-0005-0000-0000-000007640000}"/>
    <cellStyle name="Heading 4 19 2 4" xfId="18424" xr:uid="{00000000-0005-0000-0000-000008640000}"/>
    <cellStyle name="Heading 4 19 2 5" xfId="18425" xr:uid="{00000000-0005-0000-0000-000009640000}"/>
    <cellStyle name="Heading 4 19 2 6" xfId="18426" xr:uid="{00000000-0005-0000-0000-00000A640000}"/>
    <cellStyle name="Heading 4 19 3" xfId="8976" xr:uid="{00000000-0005-0000-0000-00000B640000}"/>
    <cellStyle name="Heading 4 19 3 2" xfId="18427" xr:uid="{00000000-0005-0000-0000-00000C640000}"/>
    <cellStyle name="Heading 4 19 3 3" xfId="18428" xr:uid="{00000000-0005-0000-0000-00000D640000}"/>
    <cellStyle name="Heading 4 19 3 4" xfId="18429" xr:uid="{00000000-0005-0000-0000-00000E640000}"/>
    <cellStyle name="Heading 4 19 3 5" xfId="18430" xr:uid="{00000000-0005-0000-0000-00000F640000}"/>
    <cellStyle name="Heading 4 19 4" xfId="18431" xr:uid="{00000000-0005-0000-0000-000010640000}"/>
    <cellStyle name="Heading 4 19 5" xfId="18432" xr:uid="{00000000-0005-0000-0000-000011640000}"/>
    <cellStyle name="Heading 4 19 6" xfId="18433" xr:uid="{00000000-0005-0000-0000-000012640000}"/>
    <cellStyle name="Heading 4 19 7" xfId="18434" xr:uid="{00000000-0005-0000-0000-000013640000}"/>
    <cellStyle name="Heading 4 2" xfId="1397" xr:uid="{00000000-0005-0000-0000-000014640000}"/>
    <cellStyle name="Heading 4 2 10" xfId="8978" xr:uid="{00000000-0005-0000-0000-000015640000}"/>
    <cellStyle name="Heading 4 2 10 2" xfId="18435" xr:uid="{00000000-0005-0000-0000-000016640000}"/>
    <cellStyle name="Heading 4 2 10 3" xfId="18436" xr:uid="{00000000-0005-0000-0000-000017640000}"/>
    <cellStyle name="Heading 4 2 10 4" xfId="18437" xr:uid="{00000000-0005-0000-0000-000018640000}"/>
    <cellStyle name="Heading 4 2 10 5" xfId="18438" xr:uid="{00000000-0005-0000-0000-000019640000}"/>
    <cellStyle name="Heading 4 2 11" xfId="18439" xr:uid="{00000000-0005-0000-0000-00001A640000}"/>
    <cellStyle name="Heading 4 2 12" xfId="18440" xr:uid="{00000000-0005-0000-0000-00001B640000}"/>
    <cellStyle name="Heading 4 2 13" xfId="18441" xr:uid="{00000000-0005-0000-0000-00001C640000}"/>
    <cellStyle name="Heading 4 2 14" xfId="18442" xr:uid="{00000000-0005-0000-0000-00001D640000}"/>
    <cellStyle name="Heading 4 2 15" xfId="18443" xr:uid="{00000000-0005-0000-0000-00001E640000}"/>
    <cellStyle name="Heading 4 2 16" xfId="18444" xr:uid="{00000000-0005-0000-0000-00001F640000}"/>
    <cellStyle name="Heading 4 2 2" xfId="1398" xr:uid="{00000000-0005-0000-0000-000020640000}"/>
    <cellStyle name="Heading 4 2 2 2" xfId="8979" xr:uid="{00000000-0005-0000-0000-000021640000}"/>
    <cellStyle name="Heading 4 2 2 2 2" xfId="18445" xr:uid="{00000000-0005-0000-0000-000022640000}"/>
    <cellStyle name="Heading 4 2 2 2 3" xfId="18446" xr:uid="{00000000-0005-0000-0000-000023640000}"/>
    <cellStyle name="Heading 4 2 2 2 4" xfId="18447" xr:uid="{00000000-0005-0000-0000-000024640000}"/>
    <cellStyle name="Heading 4 2 2 2 5" xfId="18448" xr:uid="{00000000-0005-0000-0000-000025640000}"/>
    <cellStyle name="Heading 4 2 2 3" xfId="18449" xr:uid="{00000000-0005-0000-0000-000026640000}"/>
    <cellStyle name="Heading 4 2 2 4" xfId="18450" xr:uid="{00000000-0005-0000-0000-000027640000}"/>
    <cellStyle name="Heading 4 2 2 5" xfId="18451" xr:uid="{00000000-0005-0000-0000-000028640000}"/>
    <cellStyle name="Heading 4 2 2 6" xfId="18452" xr:uid="{00000000-0005-0000-0000-000029640000}"/>
    <cellStyle name="Heading 4 2 2 7" xfId="18453" xr:uid="{00000000-0005-0000-0000-00002A640000}"/>
    <cellStyle name="Heading 4 2 3" xfId="1399" xr:uid="{00000000-0005-0000-0000-00002B640000}"/>
    <cellStyle name="Heading 4 2 3 2" xfId="8980" xr:uid="{00000000-0005-0000-0000-00002C640000}"/>
    <cellStyle name="Heading 4 2 3 2 2" xfId="18454" xr:uid="{00000000-0005-0000-0000-00002D640000}"/>
    <cellStyle name="Heading 4 2 3 2 3" xfId="18455" xr:uid="{00000000-0005-0000-0000-00002E640000}"/>
    <cellStyle name="Heading 4 2 3 2 4" xfId="18456" xr:uid="{00000000-0005-0000-0000-00002F640000}"/>
    <cellStyle name="Heading 4 2 3 2 5" xfId="18457" xr:uid="{00000000-0005-0000-0000-000030640000}"/>
    <cellStyle name="Heading 4 2 3 3" xfId="18458" xr:uid="{00000000-0005-0000-0000-000031640000}"/>
    <cellStyle name="Heading 4 2 3 4" xfId="18459" xr:uid="{00000000-0005-0000-0000-000032640000}"/>
    <cellStyle name="Heading 4 2 3 5" xfId="18460" xr:uid="{00000000-0005-0000-0000-000033640000}"/>
    <cellStyle name="Heading 4 2 3 6" xfId="18461" xr:uid="{00000000-0005-0000-0000-000034640000}"/>
    <cellStyle name="Heading 4 2 3 7" xfId="18462" xr:uid="{00000000-0005-0000-0000-000035640000}"/>
    <cellStyle name="Heading 4 2 4" xfId="1400" xr:uid="{00000000-0005-0000-0000-000036640000}"/>
    <cellStyle name="Heading 4 2 4 2" xfId="8981" xr:uid="{00000000-0005-0000-0000-000037640000}"/>
    <cellStyle name="Heading 4 2 4 2 2" xfId="18463" xr:uid="{00000000-0005-0000-0000-000038640000}"/>
    <cellStyle name="Heading 4 2 4 2 3" xfId="18464" xr:uid="{00000000-0005-0000-0000-000039640000}"/>
    <cellStyle name="Heading 4 2 4 2 4" xfId="18465" xr:uid="{00000000-0005-0000-0000-00003A640000}"/>
    <cellStyle name="Heading 4 2 4 2 5" xfId="18466" xr:uid="{00000000-0005-0000-0000-00003B640000}"/>
    <cellStyle name="Heading 4 2 4 3" xfId="18467" xr:uid="{00000000-0005-0000-0000-00003C640000}"/>
    <cellStyle name="Heading 4 2 4 4" xfId="18468" xr:uid="{00000000-0005-0000-0000-00003D640000}"/>
    <cellStyle name="Heading 4 2 4 5" xfId="18469" xr:uid="{00000000-0005-0000-0000-00003E640000}"/>
    <cellStyle name="Heading 4 2 4 6" xfId="18470" xr:uid="{00000000-0005-0000-0000-00003F640000}"/>
    <cellStyle name="Heading 4 2 4 7" xfId="18471" xr:uid="{00000000-0005-0000-0000-000040640000}"/>
    <cellStyle name="Heading 4 2 5" xfId="1401" xr:uid="{00000000-0005-0000-0000-000041640000}"/>
    <cellStyle name="Heading 4 2 5 2" xfId="8982" xr:uid="{00000000-0005-0000-0000-000042640000}"/>
    <cellStyle name="Heading 4 2 5 2 2" xfId="18472" xr:uid="{00000000-0005-0000-0000-000043640000}"/>
    <cellStyle name="Heading 4 2 5 2 3" xfId="18473" xr:uid="{00000000-0005-0000-0000-000044640000}"/>
    <cellStyle name="Heading 4 2 5 2 4" xfId="18474" xr:uid="{00000000-0005-0000-0000-000045640000}"/>
    <cellStyle name="Heading 4 2 5 2 5" xfId="18475" xr:uid="{00000000-0005-0000-0000-000046640000}"/>
    <cellStyle name="Heading 4 2 5 3" xfId="18476" xr:uid="{00000000-0005-0000-0000-000047640000}"/>
    <cellStyle name="Heading 4 2 5 4" xfId="18477" xr:uid="{00000000-0005-0000-0000-000048640000}"/>
    <cellStyle name="Heading 4 2 5 5" xfId="18478" xr:uid="{00000000-0005-0000-0000-000049640000}"/>
    <cellStyle name="Heading 4 2 5 6" xfId="18479" xr:uid="{00000000-0005-0000-0000-00004A640000}"/>
    <cellStyle name="Heading 4 2 5 7" xfId="18480" xr:uid="{00000000-0005-0000-0000-00004B640000}"/>
    <cellStyle name="Heading 4 2 6" xfId="1402" xr:uid="{00000000-0005-0000-0000-00004C640000}"/>
    <cellStyle name="Heading 4 2 6 2" xfId="8983" xr:uid="{00000000-0005-0000-0000-00004D640000}"/>
    <cellStyle name="Heading 4 2 6 2 2" xfId="18481" xr:uid="{00000000-0005-0000-0000-00004E640000}"/>
    <cellStyle name="Heading 4 2 6 2 3" xfId="18482" xr:uid="{00000000-0005-0000-0000-00004F640000}"/>
    <cellStyle name="Heading 4 2 6 2 4" xfId="18483" xr:uid="{00000000-0005-0000-0000-000050640000}"/>
    <cellStyle name="Heading 4 2 6 2 5" xfId="18484" xr:uid="{00000000-0005-0000-0000-000051640000}"/>
    <cellStyle name="Heading 4 2 6 3" xfId="18485" xr:uid="{00000000-0005-0000-0000-000052640000}"/>
    <cellStyle name="Heading 4 2 6 4" xfId="18486" xr:uid="{00000000-0005-0000-0000-000053640000}"/>
    <cellStyle name="Heading 4 2 6 5" xfId="18487" xr:uid="{00000000-0005-0000-0000-000054640000}"/>
    <cellStyle name="Heading 4 2 6 6" xfId="18488" xr:uid="{00000000-0005-0000-0000-000055640000}"/>
    <cellStyle name="Heading 4 2 6 7" xfId="18489" xr:uid="{00000000-0005-0000-0000-000056640000}"/>
    <cellStyle name="Heading 4 2 7" xfId="1403" xr:uid="{00000000-0005-0000-0000-000057640000}"/>
    <cellStyle name="Heading 4 2 7 2" xfId="8984" xr:uid="{00000000-0005-0000-0000-000058640000}"/>
    <cellStyle name="Heading 4 2 7 2 2" xfId="18490" xr:uid="{00000000-0005-0000-0000-000059640000}"/>
    <cellStyle name="Heading 4 2 7 2 3" xfId="18491" xr:uid="{00000000-0005-0000-0000-00005A640000}"/>
    <cellStyle name="Heading 4 2 7 2 4" xfId="18492" xr:uid="{00000000-0005-0000-0000-00005B640000}"/>
    <cellStyle name="Heading 4 2 7 2 5" xfId="18493" xr:uid="{00000000-0005-0000-0000-00005C640000}"/>
    <cellStyle name="Heading 4 2 7 3" xfId="18494" xr:uid="{00000000-0005-0000-0000-00005D640000}"/>
    <cellStyle name="Heading 4 2 7 4" xfId="18495" xr:uid="{00000000-0005-0000-0000-00005E640000}"/>
    <cellStyle name="Heading 4 2 7 5" xfId="18496" xr:uid="{00000000-0005-0000-0000-00005F640000}"/>
    <cellStyle name="Heading 4 2 7 6" xfId="18497" xr:uid="{00000000-0005-0000-0000-000060640000}"/>
    <cellStyle name="Heading 4 2 7 7" xfId="18498" xr:uid="{00000000-0005-0000-0000-000061640000}"/>
    <cellStyle name="Heading 4 2 8" xfId="1404" xr:uid="{00000000-0005-0000-0000-000062640000}"/>
    <cellStyle name="Heading 4 2 8 2" xfId="8985" xr:uid="{00000000-0005-0000-0000-000063640000}"/>
    <cellStyle name="Heading 4 2 8 2 2" xfId="18499" xr:uid="{00000000-0005-0000-0000-000064640000}"/>
    <cellStyle name="Heading 4 2 8 2 3" xfId="18500" xr:uid="{00000000-0005-0000-0000-000065640000}"/>
    <cellStyle name="Heading 4 2 8 2 4" xfId="18501" xr:uid="{00000000-0005-0000-0000-000066640000}"/>
    <cellStyle name="Heading 4 2 8 2 5" xfId="18502" xr:uid="{00000000-0005-0000-0000-000067640000}"/>
    <cellStyle name="Heading 4 2 8 3" xfId="18503" xr:uid="{00000000-0005-0000-0000-000068640000}"/>
    <cellStyle name="Heading 4 2 8 4" xfId="18504" xr:uid="{00000000-0005-0000-0000-000069640000}"/>
    <cellStyle name="Heading 4 2 8 5" xfId="18505" xr:uid="{00000000-0005-0000-0000-00006A640000}"/>
    <cellStyle name="Heading 4 2 8 6" xfId="18506" xr:uid="{00000000-0005-0000-0000-00006B640000}"/>
    <cellStyle name="Heading 4 2 8 7" xfId="18507" xr:uid="{00000000-0005-0000-0000-00006C640000}"/>
    <cellStyle name="Heading 4 2 9" xfId="1405" xr:uid="{00000000-0005-0000-0000-00006D640000}"/>
    <cellStyle name="Heading 4 2 9 2" xfId="8986" xr:uid="{00000000-0005-0000-0000-00006E640000}"/>
    <cellStyle name="Heading 4 2 9 2 2" xfId="18508" xr:uid="{00000000-0005-0000-0000-00006F640000}"/>
    <cellStyle name="Heading 4 2 9 2 3" xfId="18509" xr:uid="{00000000-0005-0000-0000-000070640000}"/>
    <cellStyle name="Heading 4 2 9 2 4" xfId="18510" xr:uid="{00000000-0005-0000-0000-000071640000}"/>
    <cellStyle name="Heading 4 2 9 2 5" xfId="18511" xr:uid="{00000000-0005-0000-0000-000072640000}"/>
    <cellStyle name="Heading 4 2 9 3" xfId="18512" xr:uid="{00000000-0005-0000-0000-000073640000}"/>
    <cellStyle name="Heading 4 2 9 4" xfId="18513" xr:uid="{00000000-0005-0000-0000-000074640000}"/>
    <cellStyle name="Heading 4 2 9 5" xfId="18514" xr:uid="{00000000-0005-0000-0000-000075640000}"/>
    <cellStyle name="Heading 4 2 9 6" xfId="18515" xr:uid="{00000000-0005-0000-0000-000076640000}"/>
    <cellStyle name="Heading 4 2 9 7" xfId="18516" xr:uid="{00000000-0005-0000-0000-000077640000}"/>
    <cellStyle name="Heading 4 20" xfId="3382" xr:uid="{00000000-0005-0000-0000-000078640000}"/>
    <cellStyle name="Heading 4 20 2" xfId="8214" xr:uid="{00000000-0005-0000-0000-000079640000}"/>
    <cellStyle name="Heading 4 20 2 2" xfId="8988" xr:uid="{00000000-0005-0000-0000-00007A640000}"/>
    <cellStyle name="Heading 4 20 2 2 2" xfId="18517" xr:uid="{00000000-0005-0000-0000-00007B640000}"/>
    <cellStyle name="Heading 4 20 2 2 3" xfId="18518" xr:uid="{00000000-0005-0000-0000-00007C640000}"/>
    <cellStyle name="Heading 4 20 2 2 4" xfId="18519" xr:uid="{00000000-0005-0000-0000-00007D640000}"/>
    <cellStyle name="Heading 4 20 2 2 5" xfId="18520" xr:uid="{00000000-0005-0000-0000-00007E640000}"/>
    <cellStyle name="Heading 4 20 2 3" xfId="18521" xr:uid="{00000000-0005-0000-0000-00007F640000}"/>
    <cellStyle name="Heading 4 20 2 4" xfId="18522" xr:uid="{00000000-0005-0000-0000-000080640000}"/>
    <cellStyle name="Heading 4 20 2 5" xfId="18523" xr:uid="{00000000-0005-0000-0000-000081640000}"/>
    <cellStyle name="Heading 4 20 2 6" xfId="18524" xr:uid="{00000000-0005-0000-0000-000082640000}"/>
    <cellStyle name="Heading 4 20 3" xfId="8987" xr:uid="{00000000-0005-0000-0000-000083640000}"/>
    <cellStyle name="Heading 4 20 3 2" xfId="18525" xr:uid="{00000000-0005-0000-0000-000084640000}"/>
    <cellStyle name="Heading 4 20 3 3" xfId="18526" xr:uid="{00000000-0005-0000-0000-000085640000}"/>
    <cellStyle name="Heading 4 20 3 4" xfId="18527" xr:uid="{00000000-0005-0000-0000-000086640000}"/>
    <cellStyle name="Heading 4 20 3 5" xfId="18528" xr:uid="{00000000-0005-0000-0000-000087640000}"/>
    <cellStyle name="Heading 4 20 4" xfId="18529" xr:uid="{00000000-0005-0000-0000-000088640000}"/>
    <cellStyle name="Heading 4 20 5" xfId="18530" xr:uid="{00000000-0005-0000-0000-000089640000}"/>
    <cellStyle name="Heading 4 20 6" xfId="18531" xr:uid="{00000000-0005-0000-0000-00008A640000}"/>
    <cellStyle name="Heading 4 20 7" xfId="18532" xr:uid="{00000000-0005-0000-0000-00008B640000}"/>
    <cellStyle name="Heading 4 21" xfId="8215" xr:uid="{00000000-0005-0000-0000-00008C640000}"/>
    <cellStyle name="Heading 4 21 2" xfId="8989" xr:uid="{00000000-0005-0000-0000-00008D640000}"/>
    <cellStyle name="Heading 4 21 2 2" xfId="18533" xr:uid="{00000000-0005-0000-0000-00008E640000}"/>
    <cellStyle name="Heading 4 21 2 3" xfId="18534" xr:uid="{00000000-0005-0000-0000-00008F640000}"/>
    <cellStyle name="Heading 4 21 2 4" xfId="18535" xr:uid="{00000000-0005-0000-0000-000090640000}"/>
    <cellStyle name="Heading 4 21 2 5" xfId="18536" xr:uid="{00000000-0005-0000-0000-000091640000}"/>
    <cellStyle name="Heading 4 21 3" xfId="18537" xr:uid="{00000000-0005-0000-0000-000092640000}"/>
    <cellStyle name="Heading 4 21 4" xfId="18538" xr:uid="{00000000-0005-0000-0000-000093640000}"/>
    <cellStyle name="Heading 4 21 5" xfId="18539" xr:uid="{00000000-0005-0000-0000-000094640000}"/>
    <cellStyle name="Heading 4 21 6" xfId="18540" xr:uid="{00000000-0005-0000-0000-000095640000}"/>
    <cellStyle name="Heading 4 22" xfId="6582" xr:uid="{00000000-0005-0000-0000-000096640000}"/>
    <cellStyle name="Heading 4 22 2" xfId="18542" xr:uid="{00000000-0005-0000-0000-000097640000}"/>
    <cellStyle name="Heading 4 22 3" xfId="18541" xr:uid="{00000000-0005-0000-0000-000098640000}"/>
    <cellStyle name="Heading 4 23" xfId="18543" xr:uid="{00000000-0005-0000-0000-000099640000}"/>
    <cellStyle name="Heading 4 24" xfId="18544" xr:uid="{00000000-0005-0000-0000-00009A640000}"/>
    <cellStyle name="Heading 4 25" xfId="18545" xr:uid="{00000000-0005-0000-0000-00009B640000}"/>
    <cellStyle name="Heading 4 3" xfId="1406" xr:uid="{00000000-0005-0000-0000-00009C640000}"/>
    <cellStyle name="Heading 4 3 10" xfId="3383" xr:uid="{00000000-0005-0000-0000-00009D640000}"/>
    <cellStyle name="Heading 4 3 10 2" xfId="8991" xr:uid="{00000000-0005-0000-0000-00009E640000}"/>
    <cellStyle name="Heading 4 3 10 2 2" xfId="18546" xr:uid="{00000000-0005-0000-0000-00009F640000}"/>
    <cellStyle name="Heading 4 3 10 2 3" xfId="18547" xr:uid="{00000000-0005-0000-0000-0000A0640000}"/>
    <cellStyle name="Heading 4 3 10 2 4" xfId="18548" xr:uid="{00000000-0005-0000-0000-0000A1640000}"/>
    <cellStyle name="Heading 4 3 10 2 5" xfId="18549" xr:uid="{00000000-0005-0000-0000-0000A2640000}"/>
    <cellStyle name="Heading 4 3 10 3" xfId="18550" xr:uid="{00000000-0005-0000-0000-0000A3640000}"/>
    <cellStyle name="Heading 4 3 10 4" xfId="18551" xr:uid="{00000000-0005-0000-0000-0000A4640000}"/>
    <cellStyle name="Heading 4 3 10 5" xfId="18552" xr:uid="{00000000-0005-0000-0000-0000A5640000}"/>
    <cellStyle name="Heading 4 3 10 6" xfId="18553" xr:uid="{00000000-0005-0000-0000-0000A6640000}"/>
    <cellStyle name="Heading 4 3 11" xfId="3384" xr:uid="{00000000-0005-0000-0000-0000A7640000}"/>
    <cellStyle name="Heading 4 3 11 2" xfId="8992" xr:uid="{00000000-0005-0000-0000-0000A8640000}"/>
    <cellStyle name="Heading 4 3 11 2 2" xfId="18554" xr:uid="{00000000-0005-0000-0000-0000A9640000}"/>
    <cellStyle name="Heading 4 3 11 2 3" xfId="18555" xr:uid="{00000000-0005-0000-0000-0000AA640000}"/>
    <cellStyle name="Heading 4 3 11 2 4" xfId="18556" xr:uid="{00000000-0005-0000-0000-0000AB640000}"/>
    <cellStyle name="Heading 4 3 11 2 5" xfId="18557" xr:uid="{00000000-0005-0000-0000-0000AC640000}"/>
    <cellStyle name="Heading 4 3 11 3" xfId="18558" xr:uid="{00000000-0005-0000-0000-0000AD640000}"/>
    <cellStyle name="Heading 4 3 11 4" xfId="18559" xr:uid="{00000000-0005-0000-0000-0000AE640000}"/>
    <cellStyle name="Heading 4 3 11 5" xfId="18560" xr:uid="{00000000-0005-0000-0000-0000AF640000}"/>
    <cellStyle name="Heading 4 3 11 6" xfId="18561" xr:uid="{00000000-0005-0000-0000-0000B0640000}"/>
    <cellStyle name="Heading 4 3 12" xfId="3385" xr:uid="{00000000-0005-0000-0000-0000B1640000}"/>
    <cellStyle name="Heading 4 3 12 2" xfId="8993" xr:uid="{00000000-0005-0000-0000-0000B2640000}"/>
    <cellStyle name="Heading 4 3 12 2 2" xfId="18562" xr:uid="{00000000-0005-0000-0000-0000B3640000}"/>
    <cellStyle name="Heading 4 3 12 2 3" xfId="18563" xr:uid="{00000000-0005-0000-0000-0000B4640000}"/>
    <cellStyle name="Heading 4 3 12 2 4" xfId="18564" xr:uid="{00000000-0005-0000-0000-0000B5640000}"/>
    <cellStyle name="Heading 4 3 12 2 5" xfId="18565" xr:uid="{00000000-0005-0000-0000-0000B6640000}"/>
    <cellStyle name="Heading 4 3 12 3" xfId="18566" xr:uid="{00000000-0005-0000-0000-0000B7640000}"/>
    <cellStyle name="Heading 4 3 12 4" xfId="18567" xr:uid="{00000000-0005-0000-0000-0000B8640000}"/>
    <cellStyle name="Heading 4 3 12 5" xfId="18568" xr:uid="{00000000-0005-0000-0000-0000B9640000}"/>
    <cellStyle name="Heading 4 3 12 6" xfId="18569" xr:uid="{00000000-0005-0000-0000-0000BA640000}"/>
    <cellStyle name="Heading 4 3 13" xfId="3386" xr:uid="{00000000-0005-0000-0000-0000BB640000}"/>
    <cellStyle name="Heading 4 3 13 2" xfId="8994" xr:uid="{00000000-0005-0000-0000-0000BC640000}"/>
    <cellStyle name="Heading 4 3 13 2 2" xfId="18570" xr:uid="{00000000-0005-0000-0000-0000BD640000}"/>
    <cellStyle name="Heading 4 3 13 2 3" xfId="18571" xr:uid="{00000000-0005-0000-0000-0000BE640000}"/>
    <cellStyle name="Heading 4 3 13 2 4" xfId="18572" xr:uid="{00000000-0005-0000-0000-0000BF640000}"/>
    <cellStyle name="Heading 4 3 13 2 5" xfId="18573" xr:uid="{00000000-0005-0000-0000-0000C0640000}"/>
    <cellStyle name="Heading 4 3 13 3" xfId="18574" xr:uid="{00000000-0005-0000-0000-0000C1640000}"/>
    <cellStyle name="Heading 4 3 13 4" xfId="18575" xr:uid="{00000000-0005-0000-0000-0000C2640000}"/>
    <cellStyle name="Heading 4 3 13 5" xfId="18576" xr:uid="{00000000-0005-0000-0000-0000C3640000}"/>
    <cellStyle name="Heading 4 3 13 6" xfId="18577" xr:uid="{00000000-0005-0000-0000-0000C4640000}"/>
    <cellStyle name="Heading 4 3 14" xfId="3387" xr:uid="{00000000-0005-0000-0000-0000C5640000}"/>
    <cellStyle name="Heading 4 3 14 2" xfId="8995" xr:uid="{00000000-0005-0000-0000-0000C6640000}"/>
    <cellStyle name="Heading 4 3 14 2 2" xfId="18578" xr:uid="{00000000-0005-0000-0000-0000C7640000}"/>
    <cellStyle name="Heading 4 3 14 2 3" xfId="18579" xr:uid="{00000000-0005-0000-0000-0000C8640000}"/>
    <cellStyle name="Heading 4 3 14 2 4" xfId="18580" xr:uid="{00000000-0005-0000-0000-0000C9640000}"/>
    <cellStyle name="Heading 4 3 14 2 5" xfId="18581" xr:uid="{00000000-0005-0000-0000-0000CA640000}"/>
    <cellStyle name="Heading 4 3 14 3" xfId="18582" xr:uid="{00000000-0005-0000-0000-0000CB640000}"/>
    <cellStyle name="Heading 4 3 14 4" xfId="18583" xr:uid="{00000000-0005-0000-0000-0000CC640000}"/>
    <cellStyle name="Heading 4 3 14 5" xfId="18584" xr:uid="{00000000-0005-0000-0000-0000CD640000}"/>
    <cellStyle name="Heading 4 3 14 6" xfId="18585" xr:uid="{00000000-0005-0000-0000-0000CE640000}"/>
    <cellStyle name="Heading 4 3 15" xfId="8216" xr:uid="{00000000-0005-0000-0000-0000CF640000}"/>
    <cellStyle name="Heading 4 3 15 2" xfId="8996" xr:uid="{00000000-0005-0000-0000-0000D0640000}"/>
    <cellStyle name="Heading 4 3 15 2 2" xfId="18586" xr:uid="{00000000-0005-0000-0000-0000D1640000}"/>
    <cellStyle name="Heading 4 3 15 2 3" xfId="18587" xr:uid="{00000000-0005-0000-0000-0000D2640000}"/>
    <cellStyle name="Heading 4 3 15 2 4" xfId="18588" xr:uid="{00000000-0005-0000-0000-0000D3640000}"/>
    <cellStyle name="Heading 4 3 15 2 5" xfId="18589" xr:uid="{00000000-0005-0000-0000-0000D4640000}"/>
    <cellStyle name="Heading 4 3 15 3" xfId="18590" xr:uid="{00000000-0005-0000-0000-0000D5640000}"/>
    <cellStyle name="Heading 4 3 15 4" xfId="18591" xr:uid="{00000000-0005-0000-0000-0000D6640000}"/>
    <cellStyle name="Heading 4 3 15 5" xfId="18592" xr:uid="{00000000-0005-0000-0000-0000D7640000}"/>
    <cellStyle name="Heading 4 3 15 6" xfId="18593" xr:uid="{00000000-0005-0000-0000-0000D8640000}"/>
    <cellStyle name="Heading 4 3 16" xfId="8990" xr:uid="{00000000-0005-0000-0000-0000D9640000}"/>
    <cellStyle name="Heading 4 3 16 2" xfId="18594" xr:uid="{00000000-0005-0000-0000-0000DA640000}"/>
    <cellStyle name="Heading 4 3 16 3" xfId="18595" xr:uid="{00000000-0005-0000-0000-0000DB640000}"/>
    <cellStyle name="Heading 4 3 16 4" xfId="18596" xr:uid="{00000000-0005-0000-0000-0000DC640000}"/>
    <cellStyle name="Heading 4 3 16 5" xfId="18597" xr:uid="{00000000-0005-0000-0000-0000DD640000}"/>
    <cellStyle name="Heading 4 3 17" xfId="18598" xr:uid="{00000000-0005-0000-0000-0000DE640000}"/>
    <cellStyle name="Heading 4 3 18" xfId="18599" xr:uid="{00000000-0005-0000-0000-0000DF640000}"/>
    <cellStyle name="Heading 4 3 19" xfId="18600" xr:uid="{00000000-0005-0000-0000-0000E0640000}"/>
    <cellStyle name="Heading 4 3 2" xfId="1407" xr:uid="{00000000-0005-0000-0000-0000E1640000}"/>
    <cellStyle name="Heading 4 3 2 2" xfId="8997" xr:uid="{00000000-0005-0000-0000-0000E2640000}"/>
    <cellStyle name="Heading 4 3 2 2 2" xfId="18601" xr:uid="{00000000-0005-0000-0000-0000E3640000}"/>
    <cellStyle name="Heading 4 3 2 2 3" xfId="18602" xr:uid="{00000000-0005-0000-0000-0000E4640000}"/>
    <cellStyle name="Heading 4 3 2 2 4" xfId="18603" xr:uid="{00000000-0005-0000-0000-0000E5640000}"/>
    <cellStyle name="Heading 4 3 2 2 5" xfId="18604" xr:uid="{00000000-0005-0000-0000-0000E6640000}"/>
    <cellStyle name="Heading 4 3 2 3" xfId="18605" xr:uid="{00000000-0005-0000-0000-0000E7640000}"/>
    <cellStyle name="Heading 4 3 2 4" xfId="18606" xr:uid="{00000000-0005-0000-0000-0000E8640000}"/>
    <cellStyle name="Heading 4 3 2 5" xfId="18607" xr:uid="{00000000-0005-0000-0000-0000E9640000}"/>
    <cellStyle name="Heading 4 3 2 6" xfId="18608" xr:uid="{00000000-0005-0000-0000-0000EA640000}"/>
    <cellStyle name="Heading 4 3 2 7" xfId="18609" xr:uid="{00000000-0005-0000-0000-0000EB640000}"/>
    <cellStyle name="Heading 4 3 20" xfId="18610" xr:uid="{00000000-0005-0000-0000-0000EC640000}"/>
    <cellStyle name="Heading 4 3 21" xfId="18611" xr:uid="{00000000-0005-0000-0000-0000ED640000}"/>
    <cellStyle name="Heading 4 3 3" xfId="3388" xr:uid="{00000000-0005-0000-0000-0000EE640000}"/>
    <cellStyle name="Heading 4 3 3 2" xfId="8998" xr:uid="{00000000-0005-0000-0000-0000EF640000}"/>
    <cellStyle name="Heading 4 3 3 2 2" xfId="18612" xr:uid="{00000000-0005-0000-0000-0000F0640000}"/>
    <cellStyle name="Heading 4 3 3 2 3" xfId="18613" xr:uid="{00000000-0005-0000-0000-0000F1640000}"/>
    <cellStyle name="Heading 4 3 3 2 4" xfId="18614" xr:uid="{00000000-0005-0000-0000-0000F2640000}"/>
    <cellStyle name="Heading 4 3 3 2 5" xfId="18615" xr:uid="{00000000-0005-0000-0000-0000F3640000}"/>
    <cellStyle name="Heading 4 3 3 3" xfId="18616" xr:uid="{00000000-0005-0000-0000-0000F4640000}"/>
    <cellStyle name="Heading 4 3 3 4" xfId="18617" xr:uid="{00000000-0005-0000-0000-0000F5640000}"/>
    <cellStyle name="Heading 4 3 3 5" xfId="18618" xr:uid="{00000000-0005-0000-0000-0000F6640000}"/>
    <cellStyle name="Heading 4 3 3 6" xfId="18619" xr:uid="{00000000-0005-0000-0000-0000F7640000}"/>
    <cellStyle name="Heading 4 3 4" xfId="3389" xr:uid="{00000000-0005-0000-0000-0000F8640000}"/>
    <cellStyle name="Heading 4 3 4 2" xfId="8999" xr:uid="{00000000-0005-0000-0000-0000F9640000}"/>
    <cellStyle name="Heading 4 3 4 2 2" xfId="18620" xr:uid="{00000000-0005-0000-0000-0000FA640000}"/>
    <cellStyle name="Heading 4 3 4 2 3" xfId="18621" xr:uid="{00000000-0005-0000-0000-0000FB640000}"/>
    <cellStyle name="Heading 4 3 4 2 4" xfId="18622" xr:uid="{00000000-0005-0000-0000-0000FC640000}"/>
    <cellStyle name="Heading 4 3 4 2 5" xfId="18623" xr:uid="{00000000-0005-0000-0000-0000FD640000}"/>
    <cellStyle name="Heading 4 3 4 3" xfId="18624" xr:uid="{00000000-0005-0000-0000-0000FE640000}"/>
    <cellStyle name="Heading 4 3 4 4" xfId="18625" xr:uid="{00000000-0005-0000-0000-0000FF640000}"/>
    <cellStyle name="Heading 4 3 4 5" xfId="18626" xr:uid="{00000000-0005-0000-0000-000000650000}"/>
    <cellStyle name="Heading 4 3 4 6" xfId="18627" xr:uid="{00000000-0005-0000-0000-000001650000}"/>
    <cellStyle name="Heading 4 3 5" xfId="3390" xr:uid="{00000000-0005-0000-0000-000002650000}"/>
    <cellStyle name="Heading 4 3 5 2" xfId="9000" xr:uid="{00000000-0005-0000-0000-000003650000}"/>
    <cellStyle name="Heading 4 3 5 2 2" xfId="18628" xr:uid="{00000000-0005-0000-0000-000004650000}"/>
    <cellStyle name="Heading 4 3 5 2 3" xfId="18629" xr:uid="{00000000-0005-0000-0000-000005650000}"/>
    <cellStyle name="Heading 4 3 5 2 4" xfId="18630" xr:uid="{00000000-0005-0000-0000-000006650000}"/>
    <cellStyle name="Heading 4 3 5 2 5" xfId="18631" xr:uid="{00000000-0005-0000-0000-000007650000}"/>
    <cellStyle name="Heading 4 3 5 3" xfId="18632" xr:uid="{00000000-0005-0000-0000-000008650000}"/>
    <cellStyle name="Heading 4 3 5 4" xfId="18633" xr:uid="{00000000-0005-0000-0000-000009650000}"/>
    <cellStyle name="Heading 4 3 5 5" xfId="18634" xr:uid="{00000000-0005-0000-0000-00000A650000}"/>
    <cellStyle name="Heading 4 3 5 6" xfId="18635" xr:uid="{00000000-0005-0000-0000-00000B650000}"/>
    <cellStyle name="Heading 4 3 6" xfId="3391" xr:uid="{00000000-0005-0000-0000-00000C650000}"/>
    <cellStyle name="Heading 4 3 6 2" xfId="9001" xr:uid="{00000000-0005-0000-0000-00000D650000}"/>
    <cellStyle name="Heading 4 3 6 2 2" xfId="18636" xr:uid="{00000000-0005-0000-0000-00000E650000}"/>
    <cellStyle name="Heading 4 3 6 2 3" xfId="18637" xr:uid="{00000000-0005-0000-0000-00000F650000}"/>
    <cellStyle name="Heading 4 3 6 2 4" xfId="18638" xr:uid="{00000000-0005-0000-0000-000010650000}"/>
    <cellStyle name="Heading 4 3 6 2 5" xfId="18639" xr:uid="{00000000-0005-0000-0000-000011650000}"/>
    <cellStyle name="Heading 4 3 6 3" xfId="18640" xr:uid="{00000000-0005-0000-0000-000012650000}"/>
    <cellStyle name="Heading 4 3 6 4" xfId="18641" xr:uid="{00000000-0005-0000-0000-000013650000}"/>
    <cellStyle name="Heading 4 3 6 5" xfId="18642" xr:uid="{00000000-0005-0000-0000-000014650000}"/>
    <cellStyle name="Heading 4 3 6 6" xfId="18643" xr:uid="{00000000-0005-0000-0000-000015650000}"/>
    <cellStyle name="Heading 4 3 7" xfId="3392" xr:uid="{00000000-0005-0000-0000-000016650000}"/>
    <cellStyle name="Heading 4 3 7 2" xfId="9002" xr:uid="{00000000-0005-0000-0000-000017650000}"/>
    <cellStyle name="Heading 4 3 7 2 2" xfId="18644" xr:uid="{00000000-0005-0000-0000-000018650000}"/>
    <cellStyle name="Heading 4 3 7 2 3" xfId="18645" xr:uid="{00000000-0005-0000-0000-000019650000}"/>
    <cellStyle name="Heading 4 3 7 2 4" xfId="18646" xr:uid="{00000000-0005-0000-0000-00001A650000}"/>
    <cellStyle name="Heading 4 3 7 2 5" xfId="18647" xr:uid="{00000000-0005-0000-0000-00001B650000}"/>
    <cellStyle name="Heading 4 3 7 3" xfId="18648" xr:uid="{00000000-0005-0000-0000-00001C650000}"/>
    <cellStyle name="Heading 4 3 7 4" xfId="18649" xr:uid="{00000000-0005-0000-0000-00001D650000}"/>
    <cellStyle name="Heading 4 3 7 5" xfId="18650" xr:uid="{00000000-0005-0000-0000-00001E650000}"/>
    <cellStyle name="Heading 4 3 7 6" xfId="18651" xr:uid="{00000000-0005-0000-0000-00001F650000}"/>
    <cellStyle name="Heading 4 3 8" xfId="3393" xr:uid="{00000000-0005-0000-0000-000020650000}"/>
    <cellStyle name="Heading 4 3 8 2" xfId="9003" xr:uid="{00000000-0005-0000-0000-000021650000}"/>
    <cellStyle name="Heading 4 3 8 2 2" xfId="18652" xr:uid="{00000000-0005-0000-0000-000022650000}"/>
    <cellStyle name="Heading 4 3 8 2 3" xfId="18653" xr:uid="{00000000-0005-0000-0000-000023650000}"/>
    <cellStyle name="Heading 4 3 8 2 4" xfId="18654" xr:uid="{00000000-0005-0000-0000-000024650000}"/>
    <cellStyle name="Heading 4 3 8 2 5" xfId="18655" xr:uid="{00000000-0005-0000-0000-000025650000}"/>
    <cellStyle name="Heading 4 3 8 3" xfId="18656" xr:uid="{00000000-0005-0000-0000-000026650000}"/>
    <cellStyle name="Heading 4 3 8 4" xfId="18657" xr:uid="{00000000-0005-0000-0000-000027650000}"/>
    <cellStyle name="Heading 4 3 8 5" xfId="18658" xr:uid="{00000000-0005-0000-0000-000028650000}"/>
    <cellStyle name="Heading 4 3 8 6" xfId="18659" xr:uid="{00000000-0005-0000-0000-000029650000}"/>
    <cellStyle name="Heading 4 3 9" xfId="3394" xr:uid="{00000000-0005-0000-0000-00002A650000}"/>
    <cellStyle name="Heading 4 3 9 2" xfId="9004" xr:uid="{00000000-0005-0000-0000-00002B650000}"/>
    <cellStyle name="Heading 4 3 9 2 2" xfId="18660" xr:uid="{00000000-0005-0000-0000-00002C650000}"/>
    <cellStyle name="Heading 4 3 9 2 3" xfId="18661" xr:uid="{00000000-0005-0000-0000-00002D650000}"/>
    <cellStyle name="Heading 4 3 9 2 4" xfId="18662" xr:uid="{00000000-0005-0000-0000-00002E650000}"/>
    <cellStyle name="Heading 4 3 9 2 5" xfId="18663" xr:uid="{00000000-0005-0000-0000-00002F650000}"/>
    <cellStyle name="Heading 4 3 9 3" xfId="18664" xr:uid="{00000000-0005-0000-0000-000030650000}"/>
    <cellStyle name="Heading 4 3 9 4" xfId="18665" xr:uid="{00000000-0005-0000-0000-000031650000}"/>
    <cellStyle name="Heading 4 3 9 5" xfId="18666" xr:uid="{00000000-0005-0000-0000-000032650000}"/>
    <cellStyle name="Heading 4 3 9 6" xfId="18667" xr:uid="{00000000-0005-0000-0000-000033650000}"/>
    <cellStyle name="Heading 4 4" xfId="1408" xr:uid="{00000000-0005-0000-0000-000034650000}"/>
    <cellStyle name="Heading 4 4 2" xfId="1409" xr:uid="{00000000-0005-0000-0000-000035650000}"/>
    <cellStyle name="Heading 4 4 2 2" xfId="9006" xr:uid="{00000000-0005-0000-0000-000036650000}"/>
    <cellStyle name="Heading 4 4 2 2 2" xfId="18668" xr:uid="{00000000-0005-0000-0000-000037650000}"/>
    <cellStyle name="Heading 4 4 2 2 3" xfId="18669" xr:uid="{00000000-0005-0000-0000-000038650000}"/>
    <cellStyle name="Heading 4 4 2 2 4" xfId="18670" xr:uid="{00000000-0005-0000-0000-000039650000}"/>
    <cellStyle name="Heading 4 4 2 2 5" xfId="18671" xr:uid="{00000000-0005-0000-0000-00003A650000}"/>
    <cellStyle name="Heading 4 4 2 3" xfId="18672" xr:uid="{00000000-0005-0000-0000-00003B650000}"/>
    <cellStyle name="Heading 4 4 2 4" xfId="18673" xr:uid="{00000000-0005-0000-0000-00003C650000}"/>
    <cellStyle name="Heading 4 4 2 5" xfId="18674" xr:uid="{00000000-0005-0000-0000-00003D650000}"/>
    <cellStyle name="Heading 4 4 2 6" xfId="18675" xr:uid="{00000000-0005-0000-0000-00003E650000}"/>
    <cellStyle name="Heading 4 4 2 7" xfId="18676" xr:uid="{00000000-0005-0000-0000-00003F650000}"/>
    <cellStyle name="Heading 4 4 3" xfId="9005" xr:uid="{00000000-0005-0000-0000-000040650000}"/>
    <cellStyle name="Heading 4 4 3 2" xfId="18677" xr:uid="{00000000-0005-0000-0000-000041650000}"/>
    <cellStyle name="Heading 4 4 3 3" xfId="18678" xr:uid="{00000000-0005-0000-0000-000042650000}"/>
    <cellStyle name="Heading 4 4 3 4" xfId="18679" xr:uid="{00000000-0005-0000-0000-000043650000}"/>
    <cellStyle name="Heading 4 4 3 5" xfId="18680" xr:uid="{00000000-0005-0000-0000-000044650000}"/>
    <cellStyle name="Heading 4 4 4" xfId="18681" xr:uid="{00000000-0005-0000-0000-000045650000}"/>
    <cellStyle name="Heading 4 4 5" xfId="18682" xr:uid="{00000000-0005-0000-0000-000046650000}"/>
    <cellStyle name="Heading 4 4 6" xfId="18683" xr:uid="{00000000-0005-0000-0000-000047650000}"/>
    <cellStyle name="Heading 4 4 7" xfId="18684" xr:uid="{00000000-0005-0000-0000-000048650000}"/>
    <cellStyle name="Heading 4 4 8" xfId="18685" xr:uid="{00000000-0005-0000-0000-000049650000}"/>
    <cellStyle name="Heading 4 5" xfId="1410" xr:uid="{00000000-0005-0000-0000-00004A650000}"/>
    <cellStyle name="Heading 4 5 2" xfId="1411" xr:uid="{00000000-0005-0000-0000-00004B650000}"/>
    <cellStyle name="Heading 4 5 2 2" xfId="9008" xr:uid="{00000000-0005-0000-0000-00004C650000}"/>
    <cellStyle name="Heading 4 5 2 2 2" xfId="18686" xr:uid="{00000000-0005-0000-0000-00004D650000}"/>
    <cellStyle name="Heading 4 5 2 2 3" xfId="18687" xr:uid="{00000000-0005-0000-0000-00004E650000}"/>
    <cellStyle name="Heading 4 5 2 2 4" xfId="18688" xr:uid="{00000000-0005-0000-0000-00004F650000}"/>
    <cellStyle name="Heading 4 5 2 2 5" xfId="18689" xr:uid="{00000000-0005-0000-0000-000050650000}"/>
    <cellStyle name="Heading 4 5 2 3" xfId="18690" xr:uid="{00000000-0005-0000-0000-000051650000}"/>
    <cellStyle name="Heading 4 5 2 4" xfId="18691" xr:uid="{00000000-0005-0000-0000-000052650000}"/>
    <cellStyle name="Heading 4 5 2 5" xfId="18692" xr:uid="{00000000-0005-0000-0000-000053650000}"/>
    <cellStyle name="Heading 4 5 2 6" xfId="18693" xr:uid="{00000000-0005-0000-0000-000054650000}"/>
    <cellStyle name="Heading 4 5 2 7" xfId="18694" xr:uid="{00000000-0005-0000-0000-000055650000}"/>
    <cellStyle name="Heading 4 5 3" xfId="9007" xr:uid="{00000000-0005-0000-0000-000056650000}"/>
    <cellStyle name="Heading 4 5 3 2" xfId="18695" xr:uid="{00000000-0005-0000-0000-000057650000}"/>
    <cellStyle name="Heading 4 5 3 3" xfId="18696" xr:uid="{00000000-0005-0000-0000-000058650000}"/>
    <cellStyle name="Heading 4 5 3 4" xfId="18697" xr:uid="{00000000-0005-0000-0000-000059650000}"/>
    <cellStyle name="Heading 4 5 3 5" xfId="18698" xr:uid="{00000000-0005-0000-0000-00005A650000}"/>
    <cellStyle name="Heading 4 5 4" xfId="18699" xr:uid="{00000000-0005-0000-0000-00005B650000}"/>
    <cellStyle name="Heading 4 5 5" xfId="18700" xr:uid="{00000000-0005-0000-0000-00005C650000}"/>
    <cellStyle name="Heading 4 5 6" xfId="18701" xr:uid="{00000000-0005-0000-0000-00005D650000}"/>
    <cellStyle name="Heading 4 5 7" xfId="18702" xr:uid="{00000000-0005-0000-0000-00005E650000}"/>
    <cellStyle name="Heading 4 5 8" xfId="18703" xr:uid="{00000000-0005-0000-0000-00005F650000}"/>
    <cellStyle name="Heading 4 6" xfId="1412" xr:uid="{00000000-0005-0000-0000-000060650000}"/>
    <cellStyle name="Heading 4 6 2" xfId="1413" xr:uid="{00000000-0005-0000-0000-000061650000}"/>
    <cellStyle name="Heading 4 6 2 2" xfId="9010" xr:uid="{00000000-0005-0000-0000-000062650000}"/>
    <cellStyle name="Heading 4 6 2 2 2" xfId="18704" xr:uid="{00000000-0005-0000-0000-000063650000}"/>
    <cellStyle name="Heading 4 6 2 2 3" xfId="18705" xr:uid="{00000000-0005-0000-0000-000064650000}"/>
    <cellStyle name="Heading 4 6 2 2 4" xfId="18706" xr:uid="{00000000-0005-0000-0000-000065650000}"/>
    <cellStyle name="Heading 4 6 2 2 5" xfId="18707" xr:uid="{00000000-0005-0000-0000-000066650000}"/>
    <cellStyle name="Heading 4 6 2 3" xfId="18708" xr:uid="{00000000-0005-0000-0000-000067650000}"/>
    <cellStyle name="Heading 4 6 2 4" xfId="18709" xr:uid="{00000000-0005-0000-0000-000068650000}"/>
    <cellStyle name="Heading 4 6 2 5" xfId="18710" xr:uid="{00000000-0005-0000-0000-000069650000}"/>
    <cellStyle name="Heading 4 6 2 6" xfId="18711" xr:uid="{00000000-0005-0000-0000-00006A650000}"/>
    <cellStyle name="Heading 4 6 2 7" xfId="18712" xr:uid="{00000000-0005-0000-0000-00006B650000}"/>
    <cellStyle name="Heading 4 6 3" xfId="3395" xr:uid="{00000000-0005-0000-0000-00006C650000}"/>
    <cellStyle name="Heading 4 6 3 2" xfId="9011" xr:uid="{00000000-0005-0000-0000-00006D650000}"/>
    <cellStyle name="Heading 4 6 3 2 2" xfId="18713" xr:uid="{00000000-0005-0000-0000-00006E650000}"/>
    <cellStyle name="Heading 4 6 3 2 3" xfId="18714" xr:uid="{00000000-0005-0000-0000-00006F650000}"/>
    <cellStyle name="Heading 4 6 3 2 4" xfId="18715" xr:uid="{00000000-0005-0000-0000-000070650000}"/>
    <cellStyle name="Heading 4 6 3 2 5" xfId="18716" xr:uid="{00000000-0005-0000-0000-000071650000}"/>
    <cellStyle name="Heading 4 6 3 3" xfId="18717" xr:uid="{00000000-0005-0000-0000-000072650000}"/>
    <cellStyle name="Heading 4 6 3 4" xfId="18718" xr:uid="{00000000-0005-0000-0000-000073650000}"/>
    <cellStyle name="Heading 4 6 3 5" xfId="18719" xr:uid="{00000000-0005-0000-0000-000074650000}"/>
    <cellStyle name="Heading 4 6 3 6" xfId="18720" xr:uid="{00000000-0005-0000-0000-000075650000}"/>
    <cellStyle name="Heading 4 6 4" xfId="9009" xr:uid="{00000000-0005-0000-0000-000076650000}"/>
    <cellStyle name="Heading 4 6 4 2" xfId="18721" xr:uid="{00000000-0005-0000-0000-000077650000}"/>
    <cellStyle name="Heading 4 6 4 3" xfId="18722" xr:uid="{00000000-0005-0000-0000-000078650000}"/>
    <cellStyle name="Heading 4 6 4 4" xfId="18723" xr:uid="{00000000-0005-0000-0000-000079650000}"/>
    <cellStyle name="Heading 4 6 4 5" xfId="18724" xr:uid="{00000000-0005-0000-0000-00007A650000}"/>
    <cellStyle name="Heading 4 6 5" xfId="18725" xr:uid="{00000000-0005-0000-0000-00007B650000}"/>
    <cellStyle name="Heading 4 6 6" xfId="18726" xr:uid="{00000000-0005-0000-0000-00007C650000}"/>
    <cellStyle name="Heading 4 6 7" xfId="18727" xr:uid="{00000000-0005-0000-0000-00007D650000}"/>
    <cellStyle name="Heading 4 6 8" xfId="18728" xr:uid="{00000000-0005-0000-0000-00007E650000}"/>
    <cellStyle name="Heading 4 6 9" xfId="18729" xr:uid="{00000000-0005-0000-0000-00007F650000}"/>
    <cellStyle name="Heading 4 7" xfId="1414" xr:uid="{00000000-0005-0000-0000-000080650000}"/>
    <cellStyle name="Heading 4 7 2" xfId="1415" xr:uid="{00000000-0005-0000-0000-000081650000}"/>
    <cellStyle name="Heading 4 7 2 2" xfId="9013" xr:uid="{00000000-0005-0000-0000-000082650000}"/>
    <cellStyle name="Heading 4 7 2 2 2" xfId="18730" xr:uid="{00000000-0005-0000-0000-000083650000}"/>
    <cellStyle name="Heading 4 7 2 2 3" xfId="18731" xr:uid="{00000000-0005-0000-0000-000084650000}"/>
    <cellStyle name="Heading 4 7 2 2 4" xfId="18732" xr:uid="{00000000-0005-0000-0000-000085650000}"/>
    <cellStyle name="Heading 4 7 2 2 5" xfId="18733" xr:uid="{00000000-0005-0000-0000-000086650000}"/>
    <cellStyle name="Heading 4 7 2 3" xfId="18734" xr:uid="{00000000-0005-0000-0000-000087650000}"/>
    <cellStyle name="Heading 4 7 2 4" xfId="18735" xr:uid="{00000000-0005-0000-0000-000088650000}"/>
    <cellStyle name="Heading 4 7 2 5" xfId="18736" xr:uid="{00000000-0005-0000-0000-000089650000}"/>
    <cellStyle name="Heading 4 7 2 6" xfId="18737" xr:uid="{00000000-0005-0000-0000-00008A650000}"/>
    <cellStyle name="Heading 4 7 2 7" xfId="18738" xr:uid="{00000000-0005-0000-0000-00008B650000}"/>
    <cellStyle name="Heading 4 7 3" xfId="3396" xr:uid="{00000000-0005-0000-0000-00008C650000}"/>
    <cellStyle name="Heading 4 7 3 2" xfId="9014" xr:uid="{00000000-0005-0000-0000-00008D650000}"/>
    <cellStyle name="Heading 4 7 3 2 2" xfId="18739" xr:uid="{00000000-0005-0000-0000-00008E650000}"/>
    <cellStyle name="Heading 4 7 3 2 3" xfId="18740" xr:uid="{00000000-0005-0000-0000-00008F650000}"/>
    <cellStyle name="Heading 4 7 3 2 4" xfId="18741" xr:uid="{00000000-0005-0000-0000-000090650000}"/>
    <cellStyle name="Heading 4 7 3 2 5" xfId="18742" xr:uid="{00000000-0005-0000-0000-000091650000}"/>
    <cellStyle name="Heading 4 7 3 3" xfId="18743" xr:uid="{00000000-0005-0000-0000-000092650000}"/>
    <cellStyle name="Heading 4 7 3 4" xfId="18744" xr:uid="{00000000-0005-0000-0000-000093650000}"/>
    <cellStyle name="Heading 4 7 3 5" xfId="18745" xr:uid="{00000000-0005-0000-0000-000094650000}"/>
    <cellStyle name="Heading 4 7 3 6" xfId="18746" xr:uid="{00000000-0005-0000-0000-000095650000}"/>
    <cellStyle name="Heading 4 7 4" xfId="9012" xr:uid="{00000000-0005-0000-0000-000096650000}"/>
    <cellStyle name="Heading 4 7 4 2" xfId="18747" xr:uid="{00000000-0005-0000-0000-000097650000}"/>
    <cellStyle name="Heading 4 7 4 3" xfId="18748" xr:uid="{00000000-0005-0000-0000-000098650000}"/>
    <cellStyle name="Heading 4 7 4 4" xfId="18749" xr:uid="{00000000-0005-0000-0000-000099650000}"/>
    <cellStyle name="Heading 4 7 4 5" xfId="18750" xr:uid="{00000000-0005-0000-0000-00009A650000}"/>
    <cellStyle name="Heading 4 7 5" xfId="18751" xr:uid="{00000000-0005-0000-0000-00009B650000}"/>
    <cellStyle name="Heading 4 7 6" xfId="18752" xr:uid="{00000000-0005-0000-0000-00009C650000}"/>
    <cellStyle name="Heading 4 7 7" xfId="18753" xr:uid="{00000000-0005-0000-0000-00009D650000}"/>
    <cellStyle name="Heading 4 7 8" xfId="18754" xr:uid="{00000000-0005-0000-0000-00009E650000}"/>
    <cellStyle name="Heading 4 7 9" xfId="18755" xr:uid="{00000000-0005-0000-0000-00009F650000}"/>
    <cellStyle name="Heading 4 8" xfId="1416" xr:uid="{00000000-0005-0000-0000-0000A0650000}"/>
    <cellStyle name="Heading 4 8 2" xfId="1417" xr:uid="{00000000-0005-0000-0000-0000A1650000}"/>
    <cellStyle name="Heading 4 8 2 2" xfId="9016" xr:uid="{00000000-0005-0000-0000-0000A2650000}"/>
    <cellStyle name="Heading 4 8 2 2 2" xfId="18756" xr:uid="{00000000-0005-0000-0000-0000A3650000}"/>
    <cellStyle name="Heading 4 8 2 2 3" xfId="18757" xr:uid="{00000000-0005-0000-0000-0000A4650000}"/>
    <cellStyle name="Heading 4 8 2 2 4" xfId="18758" xr:uid="{00000000-0005-0000-0000-0000A5650000}"/>
    <cellStyle name="Heading 4 8 2 2 5" xfId="18759" xr:uid="{00000000-0005-0000-0000-0000A6650000}"/>
    <cellStyle name="Heading 4 8 2 3" xfId="18760" xr:uid="{00000000-0005-0000-0000-0000A7650000}"/>
    <cellStyle name="Heading 4 8 2 4" xfId="18761" xr:uid="{00000000-0005-0000-0000-0000A8650000}"/>
    <cellStyle name="Heading 4 8 2 5" xfId="18762" xr:uid="{00000000-0005-0000-0000-0000A9650000}"/>
    <cellStyle name="Heading 4 8 2 6" xfId="18763" xr:uid="{00000000-0005-0000-0000-0000AA650000}"/>
    <cellStyle name="Heading 4 8 2 7" xfId="18764" xr:uid="{00000000-0005-0000-0000-0000AB650000}"/>
    <cellStyle name="Heading 4 8 3" xfId="3397" xr:uid="{00000000-0005-0000-0000-0000AC650000}"/>
    <cellStyle name="Heading 4 8 3 2" xfId="9017" xr:uid="{00000000-0005-0000-0000-0000AD650000}"/>
    <cellStyle name="Heading 4 8 3 2 2" xfId="18765" xr:uid="{00000000-0005-0000-0000-0000AE650000}"/>
    <cellStyle name="Heading 4 8 3 2 3" xfId="18766" xr:uid="{00000000-0005-0000-0000-0000AF650000}"/>
    <cellStyle name="Heading 4 8 3 2 4" xfId="18767" xr:uid="{00000000-0005-0000-0000-0000B0650000}"/>
    <cellStyle name="Heading 4 8 3 2 5" xfId="18768" xr:uid="{00000000-0005-0000-0000-0000B1650000}"/>
    <cellStyle name="Heading 4 8 3 3" xfId="18769" xr:uid="{00000000-0005-0000-0000-0000B2650000}"/>
    <cellStyle name="Heading 4 8 3 4" xfId="18770" xr:uid="{00000000-0005-0000-0000-0000B3650000}"/>
    <cellStyle name="Heading 4 8 3 5" xfId="18771" xr:uid="{00000000-0005-0000-0000-0000B4650000}"/>
    <cellStyle name="Heading 4 8 3 6" xfId="18772" xr:uid="{00000000-0005-0000-0000-0000B5650000}"/>
    <cellStyle name="Heading 4 8 4" xfId="9015" xr:uid="{00000000-0005-0000-0000-0000B6650000}"/>
    <cellStyle name="Heading 4 8 4 2" xfId="18773" xr:uid="{00000000-0005-0000-0000-0000B7650000}"/>
    <cellStyle name="Heading 4 8 4 3" xfId="18774" xr:uid="{00000000-0005-0000-0000-0000B8650000}"/>
    <cellStyle name="Heading 4 8 4 4" xfId="18775" xr:uid="{00000000-0005-0000-0000-0000B9650000}"/>
    <cellStyle name="Heading 4 8 4 5" xfId="18776" xr:uid="{00000000-0005-0000-0000-0000BA650000}"/>
    <cellStyle name="Heading 4 8 5" xfId="18777" xr:uid="{00000000-0005-0000-0000-0000BB650000}"/>
    <cellStyle name="Heading 4 8 6" xfId="18778" xr:uid="{00000000-0005-0000-0000-0000BC650000}"/>
    <cellStyle name="Heading 4 8 7" xfId="18779" xr:uid="{00000000-0005-0000-0000-0000BD650000}"/>
    <cellStyle name="Heading 4 8 8" xfId="18780" xr:uid="{00000000-0005-0000-0000-0000BE650000}"/>
    <cellStyle name="Heading 4 8 9" xfId="18781" xr:uid="{00000000-0005-0000-0000-0000BF650000}"/>
    <cellStyle name="Heading 4 9" xfId="1418" xr:uid="{00000000-0005-0000-0000-0000C0650000}"/>
    <cellStyle name="Heading 4 9 2" xfId="3398" xr:uid="{00000000-0005-0000-0000-0000C1650000}"/>
    <cellStyle name="Heading 4 9 2 2" xfId="9019" xr:uid="{00000000-0005-0000-0000-0000C2650000}"/>
    <cellStyle name="Heading 4 9 2 2 2" xfId="18782" xr:uid="{00000000-0005-0000-0000-0000C3650000}"/>
    <cellStyle name="Heading 4 9 2 2 3" xfId="18783" xr:uid="{00000000-0005-0000-0000-0000C4650000}"/>
    <cellStyle name="Heading 4 9 2 2 4" xfId="18784" xr:uid="{00000000-0005-0000-0000-0000C5650000}"/>
    <cellStyle name="Heading 4 9 2 2 5" xfId="18785" xr:uid="{00000000-0005-0000-0000-0000C6650000}"/>
    <cellStyle name="Heading 4 9 2 3" xfId="18786" xr:uid="{00000000-0005-0000-0000-0000C7650000}"/>
    <cellStyle name="Heading 4 9 2 4" xfId="18787" xr:uid="{00000000-0005-0000-0000-0000C8650000}"/>
    <cellStyle name="Heading 4 9 2 5" xfId="18788" xr:uid="{00000000-0005-0000-0000-0000C9650000}"/>
    <cellStyle name="Heading 4 9 2 6" xfId="18789" xr:uid="{00000000-0005-0000-0000-0000CA650000}"/>
    <cellStyle name="Heading 4 9 3" xfId="9018" xr:uid="{00000000-0005-0000-0000-0000CB650000}"/>
    <cellStyle name="Heading 4 9 3 2" xfId="18790" xr:uid="{00000000-0005-0000-0000-0000CC650000}"/>
    <cellStyle name="Heading 4 9 3 3" xfId="18791" xr:uid="{00000000-0005-0000-0000-0000CD650000}"/>
    <cellStyle name="Heading 4 9 3 4" xfId="18792" xr:uid="{00000000-0005-0000-0000-0000CE650000}"/>
    <cellStyle name="Heading 4 9 3 5" xfId="18793" xr:uid="{00000000-0005-0000-0000-0000CF650000}"/>
    <cellStyle name="Heading 4 9 4" xfId="18794" xr:uid="{00000000-0005-0000-0000-0000D0650000}"/>
    <cellStyle name="Heading 4 9 5" xfId="18795" xr:uid="{00000000-0005-0000-0000-0000D1650000}"/>
    <cellStyle name="Heading 4 9 6" xfId="18796" xr:uid="{00000000-0005-0000-0000-0000D2650000}"/>
    <cellStyle name="Heading 4 9 7" xfId="18797" xr:uid="{00000000-0005-0000-0000-0000D3650000}"/>
    <cellStyle name="Heading 4 9 8" xfId="18798" xr:uid="{00000000-0005-0000-0000-0000D4650000}"/>
    <cellStyle name="Headline" xfId="1419" xr:uid="{00000000-0005-0000-0000-0000D5650000}"/>
    <cellStyle name="Headline 2" xfId="9020" xr:uid="{00000000-0005-0000-0000-0000D6650000}"/>
    <cellStyle name="Headline 2 2" xfId="18799" xr:uid="{00000000-0005-0000-0000-0000D7650000}"/>
    <cellStyle name="Headline 2 3" xfId="18800" xr:uid="{00000000-0005-0000-0000-0000D8650000}"/>
    <cellStyle name="Headline 2 4" xfId="18801" xr:uid="{00000000-0005-0000-0000-0000D9650000}"/>
    <cellStyle name="Headline 2 5" xfId="18802" xr:uid="{00000000-0005-0000-0000-0000DA650000}"/>
    <cellStyle name="Headline 3" xfId="18803" xr:uid="{00000000-0005-0000-0000-0000DB650000}"/>
    <cellStyle name="Headline 4" xfId="18804" xr:uid="{00000000-0005-0000-0000-0000DC650000}"/>
    <cellStyle name="Headline 5" xfId="18805" xr:uid="{00000000-0005-0000-0000-0000DD650000}"/>
    <cellStyle name="Headline 6" xfId="18806" xr:uid="{00000000-0005-0000-0000-0000DE650000}"/>
    <cellStyle name="Headline 7" xfId="18807" xr:uid="{00000000-0005-0000-0000-0000DF650000}"/>
    <cellStyle name="Headline 8" xfId="18808" xr:uid="{00000000-0005-0000-0000-0000E0650000}"/>
    <cellStyle name="Hyperlink 2" xfId="3399" xr:uid="{00000000-0005-0000-0000-0000E2650000}"/>
    <cellStyle name="Hyperlink 2 2" xfId="8382" xr:uid="{00000000-0005-0000-0000-0000E3650000}"/>
    <cellStyle name="Hyperlink 2 2 2" xfId="9022" xr:uid="{00000000-0005-0000-0000-0000E4650000}"/>
    <cellStyle name="Hyperlink 2 2 2 2" xfId="18809" xr:uid="{00000000-0005-0000-0000-0000E5650000}"/>
    <cellStyle name="Hyperlink 2 2 2 3" xfId="18810" xr:uid="{00000000-0005-0000-0000-0000E6650000}"/>
    <cellStyle name="Hyperlink 2 2 2 4" xfId="18811" xr:uid="{00000000-0005-0000-0000-0000E7650000}"/>
    <cellStyle name="Hyperlink 2 2 2 5" xfId="18812" xr:uid="{00000000-0005-0000-0000-0000E8650000}"/>
    <cellStyle name="Hyperlink 2 2 3" xfId="18813" xr:uid="{00000000-0005-0000-0000-0000E9650000}"/>
    <cellStyle name="Hyperlink 2 2 4" xfId="18814" xr:uid="{00000000-0005-0000-0000-0000EA650000}"/>
    <cellStyle name="Hyperlink 2 2 5" xfId="18815" xr:uid="{00000000-0005-0000-0000-0000EB650000}"/>
    <cellStyle name="Hyperlink 2 2 6" xfId="18816" xr:uid="{00000000-0005-0000-0000-0000EC650000}"/>
    <cellStyle name="Hyperlink 2 3" xfId="8447" xr:uid="{00000000-0005-0000-0000-0000ED650000}"/>
    <cellStyle name="Hyperlink 2 3 2" xfId="9023" xr:uid="{00000000-0005-0000-0000-0000EE650000}"/>
    <cellStyle name="Hyperlink 2 3 2 2" xfId="18817" xr:uid="{00000000-0005-0000-0000-0000EF650000}"/>
    <cellStyle name="Hyperlink 2 3 2 3" xfId="18818" xr:uid="{00000000-0005-0000-0000-0000F0650000}"/>
    <cellStyle name="Hyperlink 2 3 2 4" xfId="18819" xr:uid="{00000000-0005-0000-0000-0000F1650000}"/>
    <cellStyle name="Hyperlink 2 3 2 5" xfId="18820" xr:uid="{00000000-0005-0000-0000-0000F2650000}"/>
    <cellStyle name="Hyperlink 2 3 3" xfId="18821" xr:uid="{00000000-0005-0000-0000-0000F3650000}"/>
    <cellStyle name="Hyperlink 2 3 4" xfId="18822" xr:uid="{00000000-0005-0000-0000-0000F4650000}"/>
    <cellStyle name="Hyperlink 2 3 5" xfId="18823" xr:uid="{00000000-0005-0000-0000-0000F5650000}"/>
    <cellStyle name="Hyperlink 2 3 6" xfId="18824" xr:uid="{00000000-0005-0000-0000-0000F6650000}"/>
    <cellStyle name="Hyperlink 2 4" xfId="9024" xr:uid="{00000000-0005-0000-0000-0000F7650000}"/>
    <cellStyle name="Hyperlink 2 4 2" xfId="18825" xr:uid="{00000000-0005-0000-0000-0000F8650000}"/>
    <cellStyle name="Hyperlink 2 4 3" xfId="18826" xr:uid="{00000000-0005-0000-0000-0000F9650000}"/>
    <cellStyle name="Hyperlink 2 4 4" xfId="18827" xr:uid="{00000000-0005-0000-0000-0000FA650000}"/>
    <cellStyle name="Hyperlink 2 4 5" xfId="18828" xr:uid="{00000000-0005-0000-0000-0000FB650000}"/>
    <cellStyle name="Hyperlink 2 5" xfId="9021" xr:uid="{00000000-0005-0000-0000-0000FC650000}"/>
    <cellStyle name="Hyperlink 2 5 2" xfId="18829" xr:uid="{00000000-0005-0000-0000-0000FD650000}"/>
    <cellStyle name="Hyperlink 2 5 3" xfId="18830" xr:uid="{00000000-0005-0000-0000-0000FE650000}"/>
    <cellStyle name="Hyperlink 2 5 4" xfId="18831" xr:uid="{00000000-0005-0000-0000-0000FF650000}"/>
    <cellStyle name="Hyperlink 2 5 5" xfId="18832" xr:uid="{00000000-0005-0000-0000-000000660000}"/>
    <cellStyle name="Hyperlink 2 6" xfId="18833" xr:uid="{00000000-0005-0000-0000-000001660000}"/>
    <cellStyle name="Hyperlink 2 7" xfId="18834" xr:uid="{00000000-0005-0000-0000-000002660000}"/>
    <cellStyle name="Hyperlink 2 8" xfId="18835" xr:uid="{00000000-0005-0000-0000-000003660000}"/>
    <cellStyle name="Hyperlink 2 9" xfId="18836" xr:uid="{00000000-0005-0000-0000-000004660000}"/>
    <cellStyle name="Hyperlink 3" xfId="3400" xr:uid="{00000000-0005-0000-0000-000005660000}"/>
    <cellStyle name="Hyperlink 3 2" xfId="8448" xr:uid="{00000000-0005-0000-0000-000006660000}"/>
    <cellStyle name="Hyperlink 3 2 2" xfId="9026" xr:uid="{00000000-0005-0000-0000-000007660000}"/>
    <cellStyle name="Hyperlink 3 2 2 2" xfId="18837" xr:uid="{00000000-0005-0000-0000-000008660000}"/>
    <cellStyle name="Hyperlink 3 2 2 3" xfId="18838" xr:uid="{00000000-0005-0000-0000-000009660000}"/>
    <cellStyle name="Hyperlink 3 2 2 4" xfId="18839" xr:uid="{00000000-0005-0000-0000-00000A660000}"/>
    <cellStyle name="Hyperlink 3 2 2 5" xfId="18840" xr:uid="{00000000-0005-0000-0000-00000B660000}"/>
    <cellStyle name="Hyperlink 3 2 3" xfId="18841" xr:uid="{00000000-0005-0000-0000-00000C660000}"/>
    <cellStyle name="Hyperlink 3 2 4" xfId="18842" xr:uid="{00000000-0005-0000-0000-00000D660000}"/>
    <cellStyle name="Hyperlink 3 2 5" xfId="18843" xr:uid="{00000000-0005-0000-0000-00000E660000}"/>
    <cellStyle name="Hyperlink 3 2 6" xfId="18844" xr:uid="{00000000-0005-0000-0000-00000F660000}"/>
    <cellStyle name="Hyperlink 3 3" xfId="9025" xr:uid="{00000000-0005-0000-0000-000010660000}"/>
    <cellStyle name="Hyperlink 3 3 2" xfId="18845" xr:uid="{00000000-0005-0000-0000-000011660000}"/>
    <cellStyle name="Hyperlink 3 3 3" xfId="18846" xr:uid="{00000000-0005-0000-0000-000012660000}"/>
    <cellStyle name="Hyperlink 3 3 4" xfId="18847" xr:uid="{00000000-0005-0000-0000-000013660000}"/>
    <cellStyle name="Hyperlink 3 3 5" xfId="18848" xr:uid="{00000000-0005-0000-0000-000014660000}"/>
    <cellStyle name="Hyperlink 3 4" xfId="18849" xr:uid="{00000000-0005-0000-0000-000015660000}"/>
    <cellStyle name="Hyperlink 3 5" xfId="18850" xr:uid="{00000000-0005-0000-0000-000016660000}"/>
    <cellStyle name="Hyperlink 3 6" xfId="18851" xr:uid="{00000000-0005-0000-0000-000017660000}"/>
    <cellStyle name="Hyperlink 3 7" xfId="18852" xr:uid="{00000000-0005-0000-0000-000018660000}"/>
    <cellStyle name="Hyperlink 4" xfId="3401" xr:uid="{00000000-0005-0000-0000-000019660000}"/>
    <cellStyle name="Hyperlink 4 2" xfId="8449" xr:uid="{00000000-0005-0000-0000-00001A660000}"/>
    <cellStyle name="Hyperlink 4 2 2" xfId="9028" xr:uid="{00000000-0005-0000-0000-00001B660000}"/>
    <cellStyle name="Hyperlink 4 2 2 2" xfId="18853" xr:uid="{00000000-0005-0000-0000-00001C660000}"/>
    <cellStyle name="Hyperlink 4 2 2 3" xfId="18854" xr:uid="{00000000-0005-0000-0000-00001D660000}"/>
    <cellStyle name="Hyperlink 4 2 2 4" xfId="18855" xr:uid="{00000000-0005-0000-0000-00001E660000}"/>
    <cellStyle name="Hyperlink 4 2 2 5" xfId="18856" xr:uid="{00000000-0005-0000-0000-00001F660000}"/>
    <cellStyle name="Hyperlink 4 2 3" xfId="18857" xr:uid="{00000000-0005-0000-0000-000020660000}"/>
    <cellStyle name="Hyperlink 4 2 4" xfId="18858" xr:uid="{00000000-0005-0000-0000-000021660000}"/>
    <cellStyle name="Hyperlink 4 2 5" xfId="18859" xr:uid="{00000000-0005-0000-0000-000022660000}"/>
    <cellStyle name="Hyperlink 4 2 6" xfId="18860" xr:uid="{00000000-0005-0000-0000-000023660000}"/>
    <cellStyle name="Hyperlink 4 3" xfId="9027" xr:uid="{00000000-0005-0000-0000-000024660000}"/>
    <cellStyle name="Hyperlink 4 3 2" xfId="18861" xr:uid="{00000000-0005-0000-0000-000025660000}"/>
    <cellStyle name="Hyperlink 4 3 3" xfId="18862" xr:uid="{00000000-0005-0000-0000-000026660000}"/>
    <cellStyle name="Hyperlink 4 3 4" xfId="18863" xr:uid="{00000000-0005-0000-0000-000027660000}"/>
    <cellStyle name="Hyperlink 4 3 5" xfId="18864" xr:uid="{00000000-0005-0000-0000-000028660000}"/>
    <cellStyle name="Hyperlink 4 4" xfId="18865" xr:uid="{00000000-0005-0000-0000-000029660000}"/>
    <cellStyle name="Hyperlink 4 5" xfId="18866" xr:uid="{00000000-0005-0000-0000-00002A660000}"/>
    <cellStyle name="Hyperlink 4 6" xfId="18867" xr:uid="{00000000-0005-0000-0000-00002B660000}"/>
    <cellStyle name="Hyperlink 4 7" xfId="18868" xr:uid="{00000000-0005-0000-0000-00002C660000}"/>
    <cellStyle name="Hyperlänk" xfId="46654" builtinId="8"/>
    <cellStyle name="Incorrecto" xfId="1420" xr:uid="{00000000-0005-0000-0000-00002D660000}"/>
    <cellStyle name="Incorrecto 2" xfId="1421" xr:uid="{00000000-0005-0000-0000-00002E660000}"/>
    <cellStyle name="Incorrecto 2 2" xfId="11565" xr:uid="{00000000-0005-0000-0000-00002F660000}"/>
    <cellStyle name="Incorrecto 2 2 2" xfId="18870" xr:uid="{00000000-0005-0000-0000-000030660000}"/>
    <cellStyle name="Incorrecto 2 2 3" xfId="18871" xr:uid="{00000000-0005-0000-0000-000031660000}"/>
    <cellStyle name="Incorrecto 2 2 4" xfId="18872" xr:uid="{00000000-0005-0000-0000-000032660000}"/>
    <cellStyle name="Incorrecto 2 2 5" xfId="18873" xr:uid="{00000000-0005-0000-0000-000033660000}"/>
    <cellStyle name="Incorrecto 2 2 6" xfId="18869" xr:uid="{00000000-0005-0000-0000-000034660000}"/>
    <cellStyle name="Incorrecto 2 3" xfId="18874" xr:uid="{00000000-0005-0000-0000-000035660000}"/>
    <cellStyle name="Incorrecto 2 4" xfId="18875" xr:uid="{00000000-0005-0000-0000-000036660000}"/>
    <cellStyle name="Incorrecto 2 5" xfId="18876" xr:uid="{00000000-0005-0000-0000-000037660000}"/>
    <cellStyle name="Incorrecto 2 6" xfId="18877" xr:uid="{00000000-0005-0000-0000-000038660000}"/>
    <cellStyle name="Incorrecto 2 7" xfId="18878" xr:uid="{00000000-0005-0000-0000-000039660000}"/>
    <cellStyle name="Incorrecto 2 8" xfId="9029" xr:uid="{00000000-0005-0000-0000-00003A660000}"/>
    <cellStyle name="Incorrecto 3" xfId="18879" xr:uid="{00000000-0005-0000-0000-00003B660000}"/>
    <cellStyle name="Incorrecto 4" xfId="18880" xr:uid="{00000000-0005-0000-0000-00003C660000}"/>
    <cellStyle name="Incorrecto 5" xfId="18881" xr:uid="{00000000-0005-0000-0000-00003D660000}"/>
    <cellStyle name="Incorrecto 6" xfId="18882" xr:uid="{00000000-0005-0000-0000-00003E660000}"/>
    <cellStyle name="Incorrecto 7" xfId="18883" xr:uid="{00000000-0005-0000-0000-00003F660000}"/>
    <cellStyle name="Incorrecto 8" xfId="18884" xr:uid="{00000000-0005-0000-0000-000040660000}"/>
    <cellStyle name="Indata 2" xfId="3402" xr:uid="{00000000-0005-0000-0000-000041660000}"/>
    <cellStyle name="Indata 2 2" xfId="9030" xr:uid="{00000000-0005-0000-0000-000042660000}"/>
    <cellStyle name="Indata 2 2 2" xfId="18885" xr:uid="{00000000-0005-0000-0000-000043660000}"/>
    <cellStyle name="Indata 2 2 3" xfId="18886" xr:uid="{00000000-0005-0000-0000-000044660000}"/>
    <cellStyle name="Indata 2 2 4" xfId="18887" xr:uid="{00000000-0005-0000-0000-000045660000}"/>
    <cellStyle name="Indata 2 2 5" xfId="18888" xr:uid="{00000000-0005-0000-0000-000046660000}"/>
    <cellStyle name="Indata 2 3" xfId="18889" xr:uid="{00000000-0005-0000-0000-000047660000}"/>
    <cellStyle name="Indata 2 4" xfId="18890" xr:uid="{00000000-0005-0000-0000-000048660000}"/>
    <cellStyle name="Indata 2 5" xfId="18891" xr:uid="{00000000-0005-0000-0000-000049660000}"/>
    <cellStyle name="Indata 2 6" xfId="18892" xr:uid="{00000000-0005-0000-0000-00004A660000}"/>
    <cellStyle name="Input 10" xfId="1422" xr:uid="{00000000-0005-0000-0000-00004B660000}"/>
    <cellStyle name="Input 10 10" xfId="9031" xr:uid="{00000000-0005-0000-0000-00004C660000}"/>
    <cellStyle name="Input 10 10 2" xfId="18893" xr:uid="{00000000-0005-0000-0000-00004D660000}"/>
    <cellStyle name="Input 10 10 3" xfId="18894" xr:uid="{00000000-0005-0000-0000-00004E660000}"/>
    <cellStyle name="Input 10 10 4" xfId="18895" xr:uid="{00000000-0005-0000-0000-00004F660000}"/>
    <cellStyle name="Input 10 10 5" xfId="18896" xr:uid="{00000000-0005-0000-0000-000050660000}"/>
    <cellStyle name="Input 10 11" xfId="18897" xr:uid="{00000000-0005-0000-0000-000051660000}"/>
    <cellStyle name="Input 10 12" xfId="18898" xr:uid="{00000000-0005-0000-0000-000052660000}"/>
    <cellStyle name="Input 10 13" xfId="18899" xr:uid="{00000000-0005-0000-0000-000053660000}"/>
    <cellStyle name="Input 10 14" xfId="18900" xr:uid="{00000000-0005-0000-0000-000054660000}"/>
    <cellStyle name="Input 10 15" xfId="18901" xr:uid="{00000000-0005-0000-0000-000055660000}"/>
    <cellStyle name="Input 10 2" xfId="3403" xr:uid="{00000000-0005-0000-0000-000056660000}"/>
    <cellStyle name="Input 10 2 2" xfId="9032" xr:uid="{00000000-0005-0000-0000-000057660000}"/>
    <cellStyle name="Input 10 2 2 2" xfId="18902" xr:uid="{00000000-0005-0000-0000-000058660000}"/>
    <cellStyle name="Input 10 2 2 3" xfId="18903" xr:uid="{00000000-0005-0000-0000-000059660000}"/>
    <cellStyle name="Input 10 2 2 4" xfId="18904" xr:uid="{00000000-0005-0000-0000-00005A660000}"/>
    <cellStyle name="Input 10 2 2 5" xfId="18905" xr:uid="{00000000-0005-0000-0000-00005B660000}"/>
    <cellStyle name="Input 10 2 3" xfId="18906" xr:uid="{00000000-0005-0000-0000-00005C660000}"/>
    <cellStyle name="Input 10 2 4" xfId="18907" xr:uid="{00000000-0005-0000-0000-00005D660000}"/>
    <cellStyle name="Input 10 2 5" xfId="18908" xr:uid="{00000000-0005-0000-0000-00005E660000}"/>
    <cellStyle name="Input 10 2 6" xfId="18909" xr:uid="{00000000-0005-0000-0000-00005F660000}"/>
    <cellStyle name="Input 10 3" xfId="3404" xr:uid="{00000000-0005-0000-0000-000060660000}"/>
    <cellStyle name="Input 10 3 2" xfId="9033" xr:uid="{00000000-0005-0000-0000-000061660000}"/>
    <cellStyle name="Input 10 3 2 2" xfId="18910" xr:uid="{00000000-0005-0000-0000-000062660000}"/>
    <cellStyle name="Input 10 3 2 3" xfId="18911" xr:uid="{00000000-0005-0000-0000-000063660000}"/>
    <cellStyle name="Input 10 3 2 4" xfId="18912" xr:uid="{00000000-0005-0000-0000-000064660000}"/>
    <cellStyle name="Input 10 3 2 5" xfId="18913" xr:uid="{00000000-0005-0000-0000-000065660000}"/>
    <cellStyle name="Input 10 3 3" xfId="18914" xr:uid="{00000000-0005-0000-0000-000066660000}"/>
    <cellStyle name="Input 10 3 4" xfId="18915" xr:uid="{00000000-0005-0000-0000-000067660000}"/>
    <cellStyle name="Input 10 3 5" xfId="18916" xr:uid="{00000000-0005-0000-0000-000068660000}"/>
    <cellStyle name="Input 10 3 6" xfId="18917" xr:uid="{00000000-0005-0000-0000-000069660000}"/>
    <cellStyle name="Input 10 4" xfId="3405" xr:uid="{00000000-0005-0000-0000-00006A660000}"/>
    <cellStyle name="Input 10 4 2" xfId="9034" xr:uid="{00000000-0005-0000-0000-00006B660000}"/>
    <cellStyle name="Input 10 4 2 2" xfId="18918" xr:uid="{00000000-0005-0000-0000-00006C660000}"/>
    <cellStyle name="Input 10 4 2 3" xfId="18919" xr:uid="{00000000-0005-0000-0000-00006D660000}"/>
    <cellStyle name="Input 10 4 2 4" xfId="18920" xr:uid="{00000000-0005-0000-0000-00006E660000}"/>
    <cellStyle name="Input 10 4 2 5" xfId="18921" xr:uid="{00000000-0005-0000-0000-00006F660000}"/>
    <cellStyle name="Input 10 4 3" xfId="18922" xr:uid="{00000000-0005-0000-0000-000070660000}"/>
    <cellStyle name="Input 10 4 4" xfId="18923" xr:uid="{00000000-0005-0000-0000-000071660000}"/>
    <cellStyle name="Input 10 4 5" xfId="18924" xr:uid="{00000000-0005-0000-0000-000072660000}"/>
    <cellStyle name="Input 10 4 6" xfId="18925" xr:uid="{00000000-0005-0000-0000-000073660000}"/>
    <cellStyle name="Input 10 5" xfId="3406" xr:uid="{00000000-0005-0000-0000-000074660000}"/>
    <cellStyle name="Input 10 5 2" xfId="9035" xr:uid="{00000000-0005-0000-0000-000075660000}"/>
    <cellStyle name="Input 10 5 2 2" xfId="18926" xr:uid="{00000000-0005-0000-0000-000076660000}"/>
    <cellStyle name="Input 10 5 2 3" xfId="18927" xr:uid="{00000000-0005-0000-0000-000077660000}"/>
    <cellStyle name="Input 10 5 2 4" xfId="18928" xr:uid="{00000000-0005-0000-0000-000078660000}"/>
    <cellStyle name="Input 10 5 2 5" xfId="18929" xr:uid="{00000000-0005-0000-0000-000079660000}"/>
    <cellStyle name="Input 10 5 3" xfId="18930" xr:uid="{00000000-0005-0000-0000-00007A660000}"/>
    <cellStyle name="Input 10 5 4" xfId="18931" xr:uid="{00000000-0005-0000-0000-00007B660000}"/>
    <cellStyle name="Input 10 5 5" xfId="18932" xr:uid="{00000000-0005-0000-0000-00007C660000}"/>
    <cellStyle name="Input 10 5 6" xfId="18933" xr:uid="{00000000-0005-0000-0000-00007D660000}"/>
    <cellStyle name="Input 10 6" xfId="3407" xr:uid="{00000000-0005-0000-0000-00007E660000}"/>
    <cellStyle name="Input 10 6 2" xfId="9036" xr:uid="{00000000-0005-0000-0000-00007F660000}"/>
    <cellStyle name="Input 10 6 2 2" xfId="18934" xr:uid="{00000000-0005-0000-0000-000080660000}"/>
    <cellStyle name="Input 10 6 2 3" xfId="18935" xr:uid="{00000000-0005-0000-0000-000081660000}"/>
    <cellStyle name="Input 10 6 2 4" xfId="18936" xr:uid="{00000000-0005-0000-0000-000082660000}"/>
    <cellStyle name="Input 10 6 2 5" xfId="18937" xr:uid="{00000000-0005-0000-0000-000083660000}"/>
    <cellStyle name="Input 10 6 3" xfId="18938" xr:uid="{00000000-0005-0000-0000-000084660000}"/>
    <cellStyle name="Input 10 6 4" xfId="18939" xr:uid="{00000000-0005-0000-0000-000085660000}"/>
    <cellStyle name="Input 10 6 5" xfId="18940" xr:uid="{00000000-0005-0000-0000-000086660000}"/>
    <cellStyle name="Input 10 6 6" xfId="18941" xr:uid="{00000000-0005-0000-0000-000087660000}"/>
    <cellStyle name="Input 10 7" xfId="3408" xr:uid="{00000000-0005-0000-0000-000088660000}"/>
    <cellStyle name="Input 10 7 2" xfId="9037" xr:uid="{00000000-0005-0000-0000-000089660000}"/>
    <cellStyle name="Input 10 7 2 2" xfId="18942" xr:uid="{00000000-0005-0000-0000-00008A660000}"/>
    <cellStyle name="Input 10 7 2 3" xfId="18943" xr:uid="{00000000-0005-0000-0000-00008B660000}"/>
    <cellStyle name="Input 10 7 2 4" xfId="18944" xr:uid="{00000000-0005-0000-0000-00008C660000}"/>
    <cellStyle name="Input 10 7 2 5" xfId="18945" xr:uid="{00000000-0005-0000-0000-00008D660000}"/>
    <cellStyle name="Input 10 7 3" xfId="18946" xr:uid="{00000000-0005-0000-0000-00008E660000}"/>
    <cellStyle name="Input 10 7 4" xfId="18947" xr:uid="{00000000-0005-0000-0000-00008F660000}"/>
    <cellStyle name="Input 10 7 5" xfId="18948" xr:uid="{00000000-0005-0000-0000-000090660000}"/>
    <cellStyle name="Input 10 7 6" xfId="18949" xr:uid="{00000000-0005-0000-0000-000091660000}"/>
    <cellStyle name="Input 10 8" xfId="8450" xr:uid="{00000000-0005-0000-0000-000092660000}"/>
    <cellStyle name="Input 10 8 2" xfId="9038" xr:uid="{00000000-0005-0000-0000-000093660000}"/>
    <cellStyle name="Input 10 8 2 2" xfId="18950" xr:uid="{00000000-0005-0000-0000-000094660000}"/>
    <cellStyle name="Input 10 8 2 3" xfId="18951" xr:uid="{00000000-0005-0000-0000-000095660000}"/>
    <cellStyle name="Input 10 8 2 4" xfId="18952" xr:uid="{00000000-0005-0000-0000-000096660000}"/>
    <cellStyle name="Input 10 8 2 5" xfId="18953" xr:uid="{00000000-0005-0000-0000-000097660000}"/>
    <cellStyle name="Input 10 8 3" xfId="18954" xr:uid="{00000000-0005-0000-0000-000098660000}"/>
    <cellStyle name="Input 10 8 4" xfId="18955" xr:uid="{00000000-0005-0000-0000-000099660000}"/>
    <cellStyle name="Input 10 8 5" xfId="18956" xr:uid="{00000000-0005-0000-0000-00009A660000}"/>
    <cellStyle name="Input 10 8 6" xfId="18957" xr:uid="{00000000-0005-0000-0000-00009B660000}"/>
    <cellStyle name="Input 10 9" xfId="9039" xr:uid="{00000000-0005-0000-0000-00009C660000}"/>
    <cellStyle name="Input 10 9 2" xfId="18958" xr:uid="{00000000-0005-0000-0000-00009D660000}"/>
    <cellStyle name="Input 10 9 3" xfId="18959" xr:uid="{00000000-0005-0000-0000-00009E660000}"/>
    <cellStyle name="Input 10 9 4" xfId="18960" xr:uid="{00000000-0005-0000-0000-00009F660000}"/>
    <cellStyle name="Input 10 9 5" xfId="18961" xr:uid="{00000000-0005-0000-0000-0000A0660000}"/>
    <cellStyle name="Input 10_ELC" xfId="6584" xr:uid="{00000000-0005-0000-0000-0000A1660000}"/>
    <cellStyle name="Input 11" xfId="1423" xr:uid="{00000000-0005-0000-0000-0000A2660000}"/>
    <cellStyle name="Input 11 10" xfId="9040" xr:uid="{00000000-0005-0000-0000-0000A3660000}"/>
    <cellStyle name="Input 11 10 2" xfId="18962" xr:uid="{00000000-0005-0000-0000-0000A4660000}"/>
    <cellStyle name="Input 11 10 3" xfId="18963" xr:uid="{00000000-0005-0000-0000-0000A5660000}"/>
    <cellStyle name="Input 11 10 4" xfId="18964" xr:uid="{00000000-0005-0000-0000-0000A6660000}"/>
    <cellStyle name="Input 11 10 5" xfId="18965" xr:uid="{00000000-0005-0000-0000-0000A7660000}"/>
    <cellStyle name="Input 11 11" xfId="18966" xr:uid="{00000000-0005-0000-0000-0000A8660000}"/>
    <cellStyle name="Input 11 12" xfId="18967" xr:uid="{00000000-0005-0000-0000-0000A9660000}"/>
    <cellStyle name="Input 11 13" xfId="18968" xr:uid="{00000000-0005-0000-0000-0000AA660000}"/>
    <cellStyle name="Input 11 14" xfId="18969" xr:uid="{00000000-0005-0000-0000-0000AB660000}"/>
    <cellStyle name="Input 11 15" xfId="18970" xr:uid="{00000000-0005-0000-0000-0000AC660000}"/>
    <cellStyle name="Input 11 2" xfId="3409" xr:uid="{00000000-0005-0000-0000-0000AD660000}"/>
    <cellStyle name="Input 11 2 2" xfId="9041" xr:uid="{00000000-0005-0000-0000-0000AE660000}"/>
    <cellStyle name="Input 11 2 2 2" xfId="18971" xr:uid="{00000000-0005-0000-0000-0000AF660000}"/>
    <cellStyle name="Input 11 2 2 3" xfId="18972" xr:uid="{00000000-0005-0000-0000-0000B0660000}"/>
    <cellStyle name="Input 11 2 2 4" xfId="18973" xr:uid="{00000000-0005-0000-0000-0000B1660000}"/>
    <cellStyle name="Input 11 2 2 5" xfId="18974" xr:uid="{00000000-0005-0000-0000-0000B2660000}"/>
    <cellStyle name="Input 11 2 3" xfId="18975" xr:uid="{00000000-0005-0000-0000-0000B3660000}"/>
    <cellStyle name="Input 11 2 4" xfId="18976" xr:uid="{00000000-0005-0000-0000-0000B4660000}"/>
    <cellStyle name="Input 11 2 5" xfId="18977" xr:uid="{00000000-0005-0000-0000-0000B5660000}"/>
    <cellStyle name="Input 11 2 6" xfId="18978" xr:uid="{00000000-0005-0000-0000-0000B6660000}"/>
    <cellStyle name="Input 11 3" xfId="3410" xr:uid="{00000000-0005-0000-0000-0000B7660000}"/>
    <cellStyle name="Input 11 3 2" xfId="9042" xr:uid="{00000000-0005-0000-0000-0000B8660000}"/>
    <cellStyle name="Input 11 3 2 2" xfId="18979" xr:uid="{00000000-0005-0000-0000-0000B9660000}"/>
    <cellStyle name="Input 11 3 2 3" xfId="18980" xr:uid="{00000000-0005-0000-0000-0000BA660000}"/>
    <cellStyle name="Input 11 3 2 4" xfId="18981" xr:uid="{00000000-0005-0000-0000-0000BB660000}"/>
    <cellStyle name="Input 11 3 2 5" xfId="18982" xr:uid="{00000000-0005-0000-0000-0000BC660000}"/>
    <cellStyle name="Input 11 3 3" xfId="18983" xr:uid="{00000000-0005-0000-0000-0000BD660000}"/>
    <cellStyle name="Input 11 3 4" xfId="18984" xr:uid="{00000000-0005-0000-0000-0000BE660000}"/>
    <cellStyle name="Input 11 3 5" xfId="18985" xr:uid="{00000000-0005-0000-0000-0000BF660000}"/>
    <cellStyle name="Input 11 3 6" xfId="18986" xr:uid="{00000000-0005-0000-0000-0000C0660000}"/>
    <cellStyle name="Input 11 4" xfId="3411" xr:uid="{00000000-0005-0000-0000-0000C1660000}"/>
    <cellStyle name="Input 11 4 2" xfId="9043" xr:uid="{00000000-0005-0000-0000-0000C2660000}"/>
    <cellStyle name="Input 11 4 2 2" xfId="18987" xr:uid="{00000000-0005-0000-0000-0000C3660000}"/>
    <cellStyle name="Input 11 4 2 3" xfId="18988" xr:uid="{00000000-0005-0000-0000-0000C4660000}"/>
    <cellStyle name="Input 11 4 2 4" xfId="18989" xr:uid="{00000000-0005-0000-0000-0000C5660000}"/>
    <cellStyle name="Input 11 4 2 5" xfId="18990" xr:uid="{00000000-0005-0000-0000-0000C6660000}"/>
    <cellStyle name="Input 11 4 3" xfId="18991" xr:uid="{00000000-0005-0000-0000-0000C7660000}"/>
    <cellStyle name="Input 11 4 4" xfId="18992" xr:uid="{00000000-0005-0000-0000-0000C8660000}"/>
    <cellStyle name="Input 11 4 5" xfId="18993" xr:uid="{00000000-0005-0000-0000-0000C9660000}"/>
    <cellStyle name="Input 11 4 6" xfId="18994" xr:uid="{00000000-0005-0000-0000-0000CA660000}"/>
    <cellStyle name="Input 11 5" xfId="3412" xr:uid="{00000000-0005-0000-0000-0000CB660000}"/>
    <cellStyle name="Input 11 5 2" xfId="9044" xr:uid="{00000000-0005-0000-0000-0000CC660000}"/>
    <cellStyle name="Input 11 5 2 2" xfId="18995" xr:uid="{00000000-0005-0000-0000-0000CD660000}"/>
    <cellStyle name="Input 11 5 2 3" xfId="18996" xr:uid="{00000000-0005-0000-0000-0000CE660000}"/>
    <cellStyle name="Input 11 5 2 4" xfId="18997" xr:uid="{00000000-0005-0000-0000-0000CF660000}"/>
    <cellStyle name="Input 11 5 2 5" xfId="18998" xr:uid="{00000000-0005-0000-0000-0000D0660000}"/>
    <cellStyle name="Input 11 5 3" xfId="18999" xr:uid="{00000000-0005-0000-0000-0000D1660000}"/>
    <cellStyle name="Input 11 5 4" xfId="19000" xr:uid="{00000000-0005-0000-0000-0000D2660000}"/>
    <cellStyle name="Input 11 5 5" xfId="19001" xr:uid="{00000000-0005-0000-0000-0000D3660000}"/>
    <cellStyle name="Input 11 5 6" xfId="19002" xr:uid="{00000000-0005-0000-0000-0000D4660000}"/>
    <cellStyle name="Input 11 6" xfId="3413" xr:uid="{00000000-0005-0000-0000-0000D5660000}"/>
    <cellStyle name="Input 11 6 2" xfId="9045" xr:uid="{00000000-0005-0000-0000-0000D6660000}"/>
    <cellStyle name="Input 11 6 2 2" xfId="19003" xr:uid="{00000000-0005-0000-0000-0000D7660000}"/>
    <cellStyle name="Input 11 6 2 3" xfId="19004" xr:uid="{00000000-0005-0000-0000-0000D8660000}"/>
    <cellStyle name="Input 11 6 2 4" xfId="19005" xr:uid="{00000000-0005-0000-0000-0000D9660000}"/>
    <cellStyle name="Input 11 6 2 5" xfId="19006" xr:uid="{00000000-0005-0000-0000-0000DA660000}"/>
    <cellStyle name="Input 11 6 3" xfId="19007" xr:uid="{00000000-0005-0000-0000-0000DB660000}"/>
    <cellStyle name="Input 11 6 4" xfId="19008" xr:uid="{00000000-0005-0000-0000-0000DC660000}"/>
    <cellStyle name="Input 11 6 5" xfId="19009" xr:uid="{00000000-0005-0000-0000-0000DD660000}"/>
    <cellStyle name="Input 11 6 6" xfId="19010" xr:uid="{00000000-0005-0000-0000-0000DE660000}"/>
    <cellStyle name="Input 11 7" xfId="3414" xr:uid="{00000000-0005-0000-0000-0000DF660000}"/>
    <cellStyle name="Input 11 7 2" xfId="9046" xr:uid="{00000000-0005-0000-0000-0000E0660000}"/>
    <cellStyle name="Input 11 7 2 2" xfId="19011" xr:uid="{00000000-0005-0000-0000-0000E1660000}"/>
    <cellStyle name="Input 11 7 2 3" xfId="19012" xr:uid="{00000000-0005-0000-0000-0000E2660000}"/>
    <cellStyle name="Input 11 7 2 4" xfId="19013" xr:uid="{00000000-0005-0000-0000-0000E3660000}"/>
    <cellStyle name="Input 11 7 2 5" xfId="19014" xr:uid="{00000000-0005-0000-0000-0000E4660000}"/>
    <cellStyle name="Input 11 7 3" xfId="19015" xr:uid="{00000000-0005-0000-0000-0000E5660000}"/>
    <cellStyle name="Input 11 7 4" xfId="19016" xr:uid="{00000000-0005-0000-0000-0000E6660000}"/>
    <cellStyle name="Input 11 7 5" xfId="19017" xr:uid="{00000000-0005-0000-0000-0000E7660000}"/>
    <cellStyle name="Input 11 7 6" xfId="19018" xr:uid="{00000000-0005-0000-0000-0000E8660000}"/>
    <cellStyle name="Input 11 8" xfId="8451" xr:uid="{00000000-0005-0000-0000-0000E9660000}"/>
    <cellStyle name="Input 11 8 2" xfId="9047" xr:uid="{00000000-0005-0000-0000-0000EA660000}"/>
    <cellStyle name="Input 11 8 2 2" xfId="19019" xr:uid="{00000000-0005-0000-0000-0000EB660000}"/>
    <cellStyle name="Input 11 8 2 3" xfId="19020" xr:uid="{00000000-0005-0000-0000-0000EC660000}"/>
    <cellStyle name="Input 11 8 2 4" xfId="19021" xr:uid="{00000000-0005-0000-0000-0000ED660000}"/>
    <cellStyle name="Input 11 8 2 5" xfId="19022" xr:uid="{00000000-0005-0000-0000-0000EE660000}"/>
    <cellStyle name="Input 11 8 3" xfId="19023" xr:uid="{00000000-0005-0000-0000-0000EF660000}"/>
    <cellStyle name="Input 11 8 4" xfId="19024" xr:uid="{00000000-0005-0000-0000-0000F0660000}"/>
    <cellStyle name="Input 11 8 5" xfId="19025" xr:uid="{00000000-0005-0000-0000-0000F1660000}"/>
    <cellStyle name="Input 11 8 6" xfId="19026" xr:uid="{00000000-0005-0000-0000-0000F2660000}"/>
    <cellStyle name="Input 11 9" xfId="9048" xr:uid="{00000000-0005-0000-0000-0000F3660000}"/>
    <cellStyle name="Input 11 9 2" xfId="19027" xr:uid="{00000000-0005-0000-0000-0000F4660000}"/>
    <cellStyle name="Input 11 9 3" xfId="19028" xr:uid="{00000000-0005-0000-0000-0000F5660000}"/>
    <cellStyle name="Input 11 9 4" xfId="19029" xr:uid="{00000000-0005-0000-0000-0000F6660000}"/>
    <cellStyle name="Input 11 9 5" xfId="19030" xr:uid="{00000000-0005-0000-0000-0000F7660000}"/>
    <cellStyle name="Input 11_IND_UC" xfId="6585" xr:uid="{00000000-0005-0000-0000-0000F8660000}"/>
    <cellStyle name="Input 12" xfId="1424" xr:uid="{00000000-0005-0000-0000-0000F9660000}"/>
    <cellStyle name="Input 12 10" xfId="19031" xr:uid="{00000000-0005-0000-0000-0000FA660000}"/>
    <cellStyle name="Input 12 11" xfId="19032" xr:uid="{00000000-0005-0000-0000-0000FB660000}"/>
    <cellStyle name="Input 12 2" xfId="3415" xr:uid="{00000000-0005-0000-0000-0000FC660000}"/>
    <cellStyle name="Input 12 2 2" xfId="9050" xr:uid="{00000000-0005-0000-0000-0000FD660000}"/>
    <cellStyle name="Input 12 2 2 2" xfId="19033" xr:uid="{00000000-0005-0000-0000-0000FE660000}"/>
    <cellStyle name="Input 12 2 2 3" xfId="19034" xr:uid="{00000000-0005-0000-0000-0000FF660000}"/>
    <cellStyle name="Input 12 2 2 4" xfId="19035" xr:uid="{00000000-0005-0000-0000-000000670000}"/>
    <cellStyle name="Input 12 2 2 5" xfId="19036" xr:uid="{00000000-0005-0000-0000-000001670000}"/>
    <cellStyle name="Input 12 2 3" xfId="19037" xr:uid="{00000000-0005-0000-0000-000002670000}"/>
    <cellStyle name="Input 12 2 4" xfId="19038" xr:uid="{00000000-0005-0000-0000-000003670000}"/>
    <cellStyle name="Input 12 2 5" xfId="19039" xr:uid="{00000000-0005-0000-0000-000004670000}"/>
    <cellStyle name="Input 12 2 6" xfId="19040" xr:uid="{00000000-0005-0000-0000-000005670000}"/>
    <cellStyle name="Input 12 3" xfId="3416" xr:uid="{00000000-0005-0000-0000-000006670000}"/>
    <cellStyle name="Input 12 3 2" xfId="9051" xr:uid="{00000000-0005-0000-0000-000007670000}"/>
    <cellStyle name="Input 12 3 2 2" xfId="19041" xr:uid="{00000000-0005-0000-0000-000008670000}"/>
    <cellStyle name="Input 12 3 2 3" xfId="19042" xr:uid="{00000000-0005-0000-0000-000009670000}"/>
    <cellStyle name="Input 12 3 2 4" xfId="19043" xr:uid="{00000000-0005-0000-0000-00000A670000}"/>
    <cellStyle name="Input 12 3 2 5" xfId="19044" xr:uid="{00000000-0005-0000-0000-00000B670000}"/>
    <cellStyle name="Input 12 3 3" xfId="19045" xr:uid="{00000000-0005-0000-0000-00000C670000}"/>
    <cellStyle name="Input 12 3 4" xfId="19046" xr:uid="{00000000-0005-0000-0000-00000D670000}"/>
    <cellStyle name="Input 12 3 5" xfId="19047" xr:uid="{00000000-0005-0000-0000-00000E670000}"/>
    <cellStyle name="Input 12 3 6" xfId="19048" xr:uid="{00000000-0005-0000-0000-00000F670000}"/>
    <cellStyle name="Input 12 4" xfId="3417" xr:uid="{00000000-0005-0000-0000-000010670000}"/>
    <cellStyle name="Input 12 4 2" xfId="9052" xr:uid="{00000000-0005-0000-0000-000011670000}"/>
    <cellStyle name="Input 12 4 2 2" xfId="19049" xr:uid="{00000000-0005-0000-0000-000012670000}"/>
    <cellStyle name="Input 12 4 2 3" xfId="19050" xr:uid="{00000000-0005-0000-0000-000013670000}"/>
    <cellStyle name="Input 12 4 2 4" xfId="19051" xr:uid="{00000000-0005-0000-0000-000014670000}"/>
    <cellStyle name="Input 12 4 2 5" xfId="19052" xr:uid="{00000000-0005-0000-0000-000015670000}"/>
    <cellStyle name="Input 12 4 3" xfId="19053" xr:uid="{00000000-0005-0000-0000-000016670000}"/>
    <cellStyle name="Input 12 4 4" xfId="19054" xr:uid="{00000000-0005-0000-0000-000017670000}"/>
    <cellStyle name="Input 12 4 5" xfId="19055" xr:uid="{00000000-0005-0000-0000-000018670000}"/>
    <cellStyle name="Input 12 4 6" xfId="19056" xr:uid="{00000000-0005-0000-0000-000019670000}"/>
    <cellStyle name="Input 12 5" xfId="3418" xr:uid="{00000000-0005-0000-0000-00001A670000}"/>
    <cellStyle name="Input 12 5 2" xfId="8121" xr:uid="{00000000-0005-0000-0000-00001B670000}"/>
    <cellStyle name="Input 12 5 2 2" xfId="9054" xr:uid="{00000000-0005-0000-0000-00001C670000}"/>
    <cellStyle name="Input 12 5 2 2 2" xfId="19057" xr:uid="{00000000-0005-0000-0000-00001D670000}"/>
    <cellStyle name="Input 12 5 2 2 3" xfId="19058" xr:uid="{00000000-0005-0000-0000-00001E670000}"/>
    <cellStyle name="Input 12 5 2 2 4" xfId="19059" xr:uid="{00000000-0005-0000-0000-00001F670000}"/>
    <cellStyle name="Input 12 5 2 2 5" xfId="19060" xr:uid="{00000000-0005-0000-0000-000020670000}"/>
    <cellStyle name="Input 12 5 2 3" xfId="19061" xr:uid="{00000000-0005-0000-0000-000021670000}"/>
    <cellStyle name="Input 12 5 2 4" xfId="19062" xr:uid="{00000000-0005-0000-0000-000022670000}"/>
    <cellStyle name="Input 12 5 2 5" xfId="19063" xr:uid="{00000000-0005-0000-0000-000023670000}"/>
    <cellStyle name="Input 12 5 2 6" xfId="19064" xr:uid="{00000000-0005-0000-0000-000024670000}"/>
    <cellStyle name="Input 12 5 3" xfId="9053" xr:uid="{00000000-0005-0000-0000-000025670000}"/>
    <cellStyle name="Input 12 5 3 2" xfId="19065" xr:uid="{00000000-0005-0000-0000-000026670000}"/>
    <cellStyle name="Input 12 5 3 3" xfId="19066" xr:uid="{00000000-0005-0000-0000-000027670000}"/>
    <cellStyle name="Input 12 5 3 4" xfId="19067" xr:uid="{00000000-0005-0000-0000-000028670000}"/>
    <cellStyle name="Input 12 5 3 5" xfId="19068" xr:uid="{00000000-0005-0000-0000-000029670000}"/>
    <cellStyle name="Input 12 5 4" xfId="19069" xr:uid="{00000000-0005-0000-0000-00002A670000}"/>
    <cellStyle name="Input 12 5 5" xfId="19070" xr:uid="{00000000-0005-0000-0000-00002B670000}"/>
    <cellStyle name="Input 12 5 6" xfId="19071" xr:uid="{00000000-0005-0000-0000-00002C670000}"/>
    <cellStyle name="Input 12 5 7" xfId="19072" xr:uid="{00000000-0005-0000-0000-00002D670000}"/>
    <cellStyle name="Input 12 5 8" xfId="8452" xr:uid="{00000000-0005-0000-0000-00002E670000}"/>
    <cellStyle name="Input 12 6" xfId="9049" xr:uid="{00000000-0005-0000-0000-00002F670000}"/>
    <cellStyle name="Input 12 6 2" xfId="19073" xr:uid="{00000000-0005-0000-0000-000030670000}"/>
    <cellStyle name="Input 12 6 3" xfId="19074" xr:uid="{00000000-0005-0000-0000-000031670000}"/>
    <cellStyle name="Input 12 6 4" xfId="19075" xr:uid="{00000000-0005-0000-0000-000032670000}"/>
    <cellStyle name="Input 12 6 5" xfId="19076" xr:uid="{00000000-0005-0000-0000-000033670000}"/>
    <cellStyle name="Input 12 7" xfId="19077" xr:uid="{00000000-0005-0000-0000-000034670000}"/>
    <cellStyle name="Input 12 8" xfId="19078" xr:uid="{00000000-0005-0000-0000-000035670000}"/>
    <cellStyle name="Input 12 9" xfId="19079" xr:uid="{00000000-0005-0000-0000-000036670000}"/>
    <cellStyle name="Input 12_IND_UC" xfId="6586" xr:uid="{00000000-0005-0000-0000-000037670000}"/>
    <cellStyle name="Input 13" xfId="1425" xr:uid="{00000000-0005-0000-0000-000038670000}"/>
    <cellStyle name="Input 13 10" xfId="19080" xr:uid="{00000000-0005-0000-0000-000039670000}"/>
    <cellStyle name="Input 13 11" xfId="19081" xr:uid="{00000000-0005-0000-0000-00003A670000}"/>
    <cellStyle name="Input 13 2" xfId="3419" xr:uid="{00000000-0005-0000-0000-00003B670000}"/>
    <cellStyle name="Input 13 2 2" xfId="9056" xr:uid="{00000000-0005-0000-0000-00003C670000}"/>
    <cellStyle name="Input 13 2 2 2" xfId="19082" xr:uid="{00000000-0005-0000-0000-00003D670000}"/>
    <cellStyle name="Input 13 2 2 3" xfId="19083" xr:uid="{00000000-0005-0000-0000-00003E670000}"/>
    <cellStyle name="Input 13 2 2 4" xfId="19084" xr:uid="{00000000-0005-0000-0000-00003F670000}"/>
    <cellStyle name="Input 13 2 2 5" xfId="19085" xr:uid="{00000000-0005-0000-0000-000040670000}"/>
    <cellStyle name="Input 13 2 3" xfId="19086" xr:uid="{00000000-0005-0000-0000-000041670000}"/>
    <cellStyle name="Input 13 2 4" xfId="19087" xr:uid="{00000000-0005-0000-0000-000042670000}"/>
    <cellStyle name="Input 13 2 5" xfId="19088" xr:uid="{00000000-0005-0000-0000-000043670000}"/>
    <cellStyle name="Input 13 2 6" xfId="19089" xr:uid="{00000000-0005-0000-0000-000044670000}"/>
    <cellStyle name="Input 13 3" xfId="3420" xr:uid="{00000000-0005-0000-0000-000045670000}"/>
    <cellStyle name="Input 13 3 2" xfId="9057" xr:uid="{00000000-0005-0000-0000-000046670000}"/>
    <cellStyle name="Input 13 3 2 2" xfId="19090" xr:uid="{00000000-0005-0000-0000-000047670000}"/>
    <cellStyle name="Input 13 3 2 3" xfId="19091" xr:uid="{00000000-0005-0000-0000-000048670000}"/>
    <cellStyle name="Input 13 3 2 4" xfId="19092" xr:uid="{00000000-0005-0000-0000-000049670000}"/>
    <cellStyle name="Input 13 3 2 5" xfId="19093" xr:uid="{00000000-0005-0000-0000-00004A670000}"/>
    <cellStyle name="Input 13 3 3" xfId="19094" xr:uid="{00000000-0005-0000-0000-00004B670000}"/>
    <cellStyle name="Input 13 3 4" xfId="19095" xr:uid="{00000000-0005-0000-0000-00004C670000}"/>
    <cellStyle name="Input 13 3 5" xfId="19096" xr:uid="{00000000-0005-0000-0000-00004D670000}"/>
    <cellStyle name="Input 13 3 6" xfId="19097" xr:uid="{00000000-0005-0000-0000-00004E670000}"/>
    <cellStyle name="Input 13 4" xfId="3421" xr:uid="{00000000-0005-0000-0000-00004F670000}"/>
    <cellStyle name="Input 13 4 2" xfId="9058" xr:uid="{00000000-0005-0000-0000-000050670000}"/>
    <cellStyle name="Input 13 4 2 2" xfId="19098" xr:uid="{00000000-0005-0000-0000-000051670000}"/>
    <cellStyle name="Input 13 4 2 3" xfId="19099" xr:uid="{00000000-0005-0000-0000-000052670000}"/>
    <cellStyle name="Input 13 4 2 4" xfId="19100" xr:uid="{00000000-0005-0000-0000-000053670000}"/>
    <cellStyle name="Input 13 4 2 5" xfId="19101" xr:uid="{00000000-0005-0000-0000-000054670000}"/>
    <cellStyle name="Input 13 4 3" xfId="19102" xr:uid="{00000000-0005-0000-0000-000055670000}"/>
    <cellStyle name="Input 13 4 4" xfId="19103" xr:uid="{00000000-0005-0000-0000-000056670000}"/>
    <cellStyle name="Input 13 4 5" xfId="19104" xr:uid="{00000000-0005-0000-0000-000057670000}"/>
    <cellStyle name="Input 13 4 6" xfId="19105" xr:uid="{00000000-0005-0000-0000-000058670000}"/>
    <cellStyle name="Input 13 5" xfId="3422" xr:uid="{00000000-0005-0000-0000-000059670000}"/>
    <cellStyle name="Input 13 5 2" xfId="8562" xr:uid="{00000000-0005-0000-0000-00005A670000}"/>
    <cellStyle name="Input 13 5 2 2" xfId="9060" xr:uid="{00000000-0005-0000-0000-00005B670000}"/>
    <cellStyle name="Input 13 5 2 2 2" xfId="19106" xr:uid="{00000000-0005-0000-0000-00005C670000}"/>
    <cellStyle name="Input 13 5 2 2 3" xfId="19107" xr:uid="{00000000-0005-0000-0000-00005D670000}"/>
    <cellStyle name="Input 13 5 2 2 4" xfId="19108" xr:uid="{00000000-0005-0000-0000-00005E670000}"/>
    <cellStyle name="Input 13 5 2 2 5" xfId="19109" xr:uid="{00000000-0005-0000-0000-00005F670000}"/>
    <cellStyle name="Input 13 5 2 3" xfId="19110" xr:uid="{00000000-0005-0000-0000-000060670000}"/>
    <cellStyle name="Input 13 5 2 4" xfId="19111" xr:uid="{00000000-0005-0000-0000-000061670000}"/>
    <cellStyle name="Input 13 5 2 5" xfId="19112" xr:uid="{00000000-0005-0000-0000-000062670000}"/>
    <cellStyle name="Input 13 5 2 6" xfId="19113" xr:uid="{00000000-0005-0000-0000-000063670000}"/>
    <cellStyle name="Input 13 5 3" xfId="9059" xr:uid="{00000000-0005-0000-0000-000064670000}"/>
    <cellStyle name="Input 13 5 3 2" xfId="19114" xr:uid="{00000000-0005-0000-0000-000065670000}"/>
    <cellStyle name="Input 13 5 3 3" xfId="19115" xr:uid="{00000000-0005-0000-0000-000066670000}"/>
    <cellStyle name="Input 13 5 3 4" xfId="19116" xr:uid="{00000000-0005-0000-0000-000067670000}"/>
    <cellStyle name="Input 13 5 3 5" xfId="19117" xr:uid="{00000000-0005-0000-0000-000068670000}"/>
    <cellStyle name="Input 13 5 4" xfId="19118" xr:uid="{00000000-0005-0000-0000-000069670000}"/>
    <cellStyle name="Input 13 5 5" xfId="19119" xr:uid="{00000000-0005-0000-0000-00006A670000}"/>
    <cellStyle name="Input 13 5 6" xfId="19120" xr:uid="{00000000-0005-0000-0000-00006B670000}"/>
    <cellStyle name="Input 13 5 7" xfId="19121" xr:uid="{00000000-0005-0000-0000-00006C670000}"/>
    <cellStyle name="Input 13 5 8" xfId="8453" xr:uid="{00000000-0005-0000-0000-00006D670000}"/>
    <cellStyle name="Input 13 6" xfId="9055" xr:uid="{00000000-0005-0000-0000-00006E670000}"/>
    <cellStyle name="Input 13 6 2" xfId="19122" xr:uid="{00000000-0005-0000-0000-00006F670000}"/>
    <cellStyle name="Input 13 6 3" xfId="19123" xr:uid="{00000000-0005-0000-0000-000070670000}"/>
    <cellStyle name="Input 13 6 4" xfId="19124" xr:uid="{00000000-0005-0000-0000-000071670000}"/>
    <cellStyle name="Input 13 6 5" xfId="19125" xr:uid="{00000000-0005-0000-0000-000072670000}"/>
    <cellStyle name="Input 13 7" xfId="19126" xr:uid="{00000000-0005-0000-0000-000073670000}"/>
    <cellStyle name="Input 13 8" xfId="19127" xr:uid="{00000000-0005-0000-0000-000074670000}"/>
    <cellStyle name="Input 13 9" xfId="19128" xr:uid="{00000000-0005-0000-0000-000075670000}"/>
    <cellStyle name="Input 13_IND_UC" xfId="6587" xr:uid="{00000000-0005-0000-0000-000076670000}"/>
    <cellStyle name="Input 14" xfId="1426" xr:uid="{00000000-0005-0000-0000-000077670000}"/>
    <cellStyle name="Input 14 10" xfId="19129" xr:uid="{00000000-0005-0000-0000-000078670000}"/>
    <cellStyle name="Input 14 11" xfId="19130" xr:uid="{00000000-0005-0000-0000-000079670000}"/>
    <cellStyle name="Input 14 2" xfId="3423" xr:uid="{00000000-0005-0000-0000-00007A670000}"/>
    <cellStyle name="Input 14 2 2" xfId="9062" xr:uid="{00000000-0005-0000-0000-00007B670000}"/>
    <cellStyle name="Input 14 2 2 2" xfId="19131" xr:uid="{00000000-0005-0000-0000-00007C670000}"/>
    <cellStyle name="Input 14 2 2 3" xfId="19132" xr:uid="{00000000-0005-0000-0000-00007D670000}"/>
    <cellStyle name="Input 14 2 2 4" xfId="19133" xr:uid="{00000000-0005-0000-0000-00007E670000}"/>
    <cellStyle name="Input 14 2 2 5" xfId="19134" xr:uid="{00000000-0005-0000-0000-00007F670000}"/>
    <cellStyle name="Input 14 2 3" xfId="19135" xr:uid="{00000000-0005-0000-0000-000080670000}"/>
    <cellStyle name="Input 14 2 4" xfId="19136" xr:uid="{00000000-0005-0000-0000-000081670000}"/>
    <cellStyle name="Input 14 2 5" xfId="19137" xr:uid="{00000000-0005-0000-0000-000082670000}"/>
    <cellStyle name="Input 14 2 6" xfId="19138" xr:uid="{00000000-0005-0000-0000-000083670000}"/>
    <cellStyle name="Input 14 3" xfId="3424" xr:uid="{00000000-0005-0000-0000-000084670000}"/>
    <cellStyle name="Input 14 3 2" xfId="9063" xr:uid="{00000000-0005-0000-0000-000085670000}"/>
    <cellStyle name="Input 14 3 2 2" xfId="19139" xr:uid="{00000000-0005-0000-0000-000086670000}"/>
    <cellStyle name="Input 14 3 2 3" xfId="19140" xr:uid="{00000000-0005-0000-0000-000087670000}"/>
    <cellStyle name="Input 14 3 2 4" xfId="19141" xr:uid="{00000000-0005-0000-0000-000088670000}"/>
    <cellStyle name="Input 14 3 2 5" xfId="19142" xr:uid="{00000000-0005-0000-0000-000089670000}"/>
    <cellStyle name="Input 14 3 3" xfId="19143" xr:uid="{00000000-0005-0000-0000-00008A670000}"/>
    <cellStyle name="Input 14 3 4" xfId="19144" xr:uid="{00000000-0005-0000-0000-00008B670000}"/>
    <cellStyle name="Input 14 3 5" xfId="19145" xr:uid="{00000000-0005-0000-0000-00008C670000}"/>
    <cellStyle name="Input 14 3 6" xfId="19146" xr:uid="{00000000-0005-0000-0000-00008D670000}"/>
    <cellStyle name="Input 14 4" xfId="3425" xr:uid="{00000000-0005-0000-0000-00008E670000}"/>
    <cellStyle name="Input 14 4 2" xfId="9064" xr:uid="{00000000-0005-0000-0000-00008F670000}"/>
    <cellStyle name="Input 14 4 2 2" xfId="19147" xr:uid="{00000000-0005-0000-0000-000090670000}"/>
    <cellStyle name="Input 14 4 2 3" xfId="19148" xr:uid="{00000000-0005-0000-0000-000091670000}"/>
    <cellStyle name="Input 14 4 2 4" xfId="19149" xr:uid="{00000000-0005-0000-0000-000092670000}"/>
    <cellStyle name="Input 14 4 2 5" xfId="19150" xr:uid="{00000000-0005-0000-0000-000093670000}"/>
    <cellStyle name="Input 14 4 3" xfId="19151" xr:uid="{00000000-0005-0000-0000-000094670000}"/>
    <cellStyle name="Input 14 4 4" xfId="19152" xr:uid="{00000000-0005-0000-0000-000095670000}"/>
    <cellStyle name="Input 14 4 5" xfId="19153" xr:uid="{00000000-0005-0000-0000-000096670000}"/>
    <cellStyle name="Input 14 4 6" xfId="19154" xr:uid="{00000000-0005-0000-0000-000097670000}"/>
    <cellStyle name="Input 14 5" xfId="3426" xr:uid="{00000000-0005-0000-0000-000098670000}"/>
    <cellStyle name="Input 14 5 2" xfId="8561" xr:uid="{00000000-0005-0000-0000-000099670000}"/>
    <cellStyle name="Input 14 5 2 2" xfId="9066" xr:uid="{00000000-0005-0000-0000-00009A670000}"/>
    <cellStyle name="Input 14 5 2 2 2" xfId="19155" xr:uid="{00000000-0005-0000-0000-00009B670000}"/>
    <cellStyle name="Input 14 5 2 2 3" xfId="19156" xr:uid="{00000000-0005-0000-0000-00009C670000}"/>
    <cellStyle name="Input 14 5 2 2 4" xfId="19157" xr:uid="{00000000-0005-0000-0000-00009D670000}"/>
    <cellStyle name="Input 14 5 2 2 5" xfId="19158" xr:uid="{00000000-0005-0000-0000-00009E670000}"/>
    <cellStyle name="Input 14 5 2 3" xfId="19159" xr:uid="{00000000-0005-0000-0000-00009F670000}"/>
    <cellStyle name="Input 14 5 2 4" xfId="19160" xr:uid="{00000000-0005-0000-0000-0000A0670000}"/>
    <cellStyle name="Input 14 5 2 5" xfId="19161" xr:uid="{00000000-0005-0000-0000-0000A1670000}"/>
    <cellStyle name="Input 14 5 2 6" xfId="19162" xr:uid="{00000000-0005-0000-0000-0000A2670000}"/>
    <cellStyle name="Input 14 5 3" xfId="9065" xr:uid="{00000000-0005-0000-0000-0000A3670000}"/>
    <cellStyle name="Input 14 5 3 2" xfId="19163" xr:uid="{00000000-0005-0000-0000-0000A4670000}"/>
    <cellStyle name="Input 14 5 3 3" xfId="19164" xr:uid="{00000000-0005-0000-0000-0000A5670000}"/>
    <cellStyle name="Input 14 5 3 4" xfId="19165" xr:uid="{00000000-0005-0000-0000-0000A6670000}"/>
    <cellStyle name="Input 14 5 3 5" xfId="19166" xr:uid="{00000000-0005-0000-0000-0000A7670000}"/>
    <cellStyle name="Input 14 5 4" xfId="19167" xr:uid="{00000000-0005-0000-0000-0000A8670000}"/>
    <cellStyle name="Input 14 5 5" xfId="19168" xr:uid="{00000000-0005-0000-0000-0000A9670000}"/>
    <cellStyle name="Input 14 5 6" xfId="19169" xr:uid="{00000000-0005-0000-0000-0000AA670000}"/>
    <cellStyle name="Input 14 5 7" xfId="19170" xr:uid="{00000000-0005-0000-0000-0000AB670000}"/>
    <cellStyle name="Input 14 5 8" xfId="8454" xr:uid="{00000000-0005-0000-0000-0000AC670000}"/>
    <cellStyle name="Input 14 6" xfId="9061" xr:uid="{00000000-0005-0000-0000-0000AD670000}"/>
    <cellStyle name="Input 14 6 2" xfId="19171" xr:uid="{00000000-0005-0000-0000-0000AE670000}"/>
    <cellStyle name="Input 14 6 3" xfId="19172" xr:uid="{00000000-0005-0000-0000-0000AF670000}"/>
    <cellStyle name="Input 14 6 4" xfId="19173" xr:uid="{00000000-0005-0000-0000-0000B0670000}"/>
    <cellStyle name="Input 14 6 5" xfId="19174" xr:uid="{00000000-0005-0000-0000-0000B1670000}"/>
    <cellStyle name="Input 14 7" xfId="19175" xr:uid="{00000000-0005-0000-0000-0000B2670000}"/>
    <cellStyle name="Input 14 8" xfId="19176" xr:uid="{00000000-0005-0000-0000-0000B3670000}"/>
    <cellStyle name="Input 14 9" xfId="19177" xr:uid="{00000000-0005-0000-0000-0000B4670000}"/>
    <cellStyle name="Input 14_IND_UC" xfId="6588" xr:uid="{00000000-0005-0000-0000-0000B5670000}"/>
    <cellStyle name="Input 15" xfId="1427" xr:uid="{00000000-0005-0000-0000-0000B6670000}"/>
    <cellStyle name="Input 15 10" xfId="19178" xr:uid="{00000000-0005-0000-0000-0000B7670000}"/>
    <cellStyle name="Input 15 11" xfId="19179" xr:uid="{00000000-0005-0000-0000-0000B8670000}"/>
    <cellStyle name="Input 15 2" xfId="3427" xr:uid="{00000000-0005-0000-0000-0000B9670000}"/>
    <cellStyle name="Input 15 2 2" xfId="9068" xr:uid="{00000000-0005-0000-0000-0000BA670000}"/>
    <cellStyle name="Input 15 2 2 2" xfId="19180" xr:uid="{00000000-0005-0000-0000-0000BB670000}"/>
    <cellStyle name="Input 15 2 2 3" xfId="19181" xr:uid="{00000000-0005-0000-0000-0000BC670000}"/>
    <cellStyle name="Input 15 2 2 4" xfId="19182" xr:uid="{00000000-0005-0000-0000-0000BD670000}"/>
    <cellStyle name="Input 15 2 2 5" xfId="19183" xr:uid="{00000000-0005-0000-0000-0000BE670000}"/>
    <cellStyle name="Input 15 2 3" xfId="19184" xr:uid="{00000000-0005-0000-0000-0000BF670000}"/>
    <cellStyle name="Input 15 2 4" xfId="19185" xr:uid="{00000000-0005-0000-0000-0000C0670000}"/>
    <cellStyle name="Input 15 2 5" xfId="19186" xr:uid="{00000000-0005-0000-0000-0000C1670000}"/>
    <cellStyle name="Input 15 2 6" xfId="19187" xr:uid="{00000000-0005-0000-0000-0000C2670000}"/>
    <cellStyle name="Input 15 3" xfId="3428" xr:uid="{00000000-0005-0000-0000-0000C3670000}"/>
    <cellStyle name="Input 15 3 2" xfId="9069" xr:uid="{00000000-0005-0000-0000-0000C4670000}"/>
    <cellStyle name="Input 15 3 2 2" xfId="19188" xr:uid="{00000000-0005-0000-0000-0000C5670000}"/>
    <cellStyle name="Input 15 3 2 3" xfId="19189" xr:uid="{00000000-0005-0000-0000-0000C6670000}"/>
    <cellStyle name="Input 15 3 2 4" xfId="19190" xr:uid="{00000000-0005-0000-0000-0000C7670000}"/>
    <cellStyle name="Input 15 3 2 5" xfId="19191" xr:uid="{00000000-0005-0000-0000-0000C8670000}"/>
    <cellStyle name="Input 15 3 3" xfId="19192" xr:uid="{00000000-0005-0000-0000-0000C9670000}"/>
    <cellStyle name="Input 15 3 4" xfId="19193" xr:uid="{00000000-0005-0000-0000-0000CA670000}"/>
    <cellStyle name="Input 15 3 5" xfId="19194" xr:uid="{00000000-0005-0000-0000-0000CB670000}"/>
    <cellStyle name="Input 15 3 6" xfId="19195" xr:uid="{00000000-0005-0000-0000-0000CC670000}"/>
    <cellStyle name="Input 15 4" xfId="3429" xr:uid="{00000000-0005-0000-0000-0000CD670000}"/>
    <cellStyle name="Input 15 4 2" xfId="8564" xr:uid="{00000000-0005-0000-0000-0000CE670000}"/>
    <cellStyle name="Input 15 4 2 2" xfId="9071" xr:uid="{00000000-0005-0000-0000-0000CF670000}"/>
    <cellStyle name="Input 15 4 2 2 2" xfId="19196" xr:uid="{00000000-0005-0000-0000-0000D0670000}"/>
    <cellStyle name="Input 15 4 2 2 3" xfId="19197" xr:uid="{00000000-0005-0000-0000-0000D1670000}"/>
    <cellStyle name="Input 15 4 2 2 4" xfId="19198" xr:uid="{00000000-0005-0000-0000-0000D2670000}"/>
    <cellStyle name="Input 15 4 2 2 5" xfId="19199" xr:uid="{00000000-0005-0000-0000-0000D3670000}"/>
    <cellStyle name="Input 15 4 2 3" xfId="19200" xr:uid="{00000000-0005-0000-0000-0000D4670000}"/>
    <cellStyle name="Input 15 4 2 4" xfId="19201" xr:uid="{00000000-0005-0000-0000-0000D5670000}"/>
    <cellStyle name="Input 15 4 2 5" xfId="19202" xr:uid="{00000000-0005-0000-0000-0000D6670000}"/>
    <cellStyle name="Input 15 4 2 6" xfId="19203" xr:uid="{00000000-0005-0000-0000-0000D7670000}"/>
    <cellStyle name="Input 15 4 3" xfId="8217" xr:uid="{00000000-0005-0000-0000-0000D8670000}"/>
    <cellStyle name="Input 15 4 3 2" xfId="9072" xr:uid="{00000000-0005-0000-0000-0000D9670000}"/>
    <cellStyle name="Input 15 4 3 2 2" xfId="19204" xr:uid="{00000000-0005-0000-0000-0000DA670000}"/>
    <cellStyle name="Input 15 4 3 2 3" xfId="19205" xr:uid="{00000000-0005-0000-0000-0000DB670000}"/>
    <cellStyle name="Input 15 4 3 2 4" xfId="19206" xr:uid="{00000000-0005-0000-0000-0000DC670000}"/>
    <cellStyle name="Input 15 4 3 2 5" xfId="19207" xr:uid="{00000000-0005-0000-0000-0000DD670000}"/>
    <cellStyle name="Input 15 4 3 3" xfId="19208" xr:uid="{00000000-0005-0000-0000-0000DE670000}"/>
    <cellStyle name="Input 15 4 3 4" xfId="19209" xr:uid="{00000000-0005-0000-0000-0000DF670000}"/>
    <cellStyle name="Input 15 4 3 5" xfId="19210" xr:uid="{00000000-0005-0000-0000-0000E0670000}"/>
    <cellStyle name="Input 15 4 3 6" xfId="19211" xr:uid="{00000000-0005-0000-0000-0000E1670000}"/>
    <cellStyle name="Input 15 4 4" xfId="9070" xr:uid="{00000000-0005-0000-0000-0000E2670000}"/>
    <cellStyle name="Input 15 4 4 2" xfId="19212" xr:uid="{00000000-0005-0000-0000-0000E3670000}"/>
    <cellStyle name="Input 15 4 4 3" xfId="19213" xr:uid="{00000000-0005-0000-0000-0000E4670000}"/>
    <cellStyle name="Input 15 4 4 4" xfId="19214" xr:uid="{00000000-0005-0000-0000-0000E5670000}"/>
    <cellStyle name="Input 15 4 4 5" xfId="19215" xr:uid="{00000000-0005-0000-0000-0000E6670000}"/>
    <cellStyle name="Input 15 4 5" xfId="19216" xr:uid="{00000000-0005-0000-0000-0000E7670000}"/>
    <cellStyle name="Input 15 4 6" xfId="19217" xr:uid="{00000000-0005-0000-0000-0000E8670000}"/>
    <cellStyle name="Input 15 4 7" xfId="19218" xr:uid="{00000000-0005-0000-0000-0000E9670000}"/>
    <cellStyle name="Input 15 4 8" xfId="19219" xr:uid="{00000000-0005-0000-0000-0000EA670000}"/>
    <cellStyle name="Input 15 5" xfId="3430" xr:uid="{00000000-0005-0000-0000-0000EB670000}"/>
    <cellStyle name="Input 15 5 2" xfId="8560" xr:uid="{00000000-0005-0000-0000-0000EC670000}"/>
    <cellStyle name="Input 15 5 2 2" xfId="9074" xr:uid="{00000000-0005-0000-0000-0000ED670000}"/>
    <cellStyle name="Input 15 5 2 2 2" xfId="19220" xr:uid="{00000000-0005-0000-0000-0000EE670000}"/>
    <cellStyle name="Input 15 5 2 2 3" xfId="19221" xr:uid="{00000000-0005-0000-0000-0000EF670000}"/>
    <cellStyle name="Input 15 5 2 2 4" xfId="19222" xr:uid="{00000000-0005-0000-0000-0000F0670000}"/>
    <cellStyle name="Input 15 5 2 2 5" xfId="19223" xr:uid="{00000000-0005-0000-0000-0000F1670000}"/>
    <cellStyle name="Input 15 5 2 3" xfId="19224" xr:uid="{00000000-0005-0000-0000-0000F2670000}"/>
    <cellStyle name="Input 15 5 2 4" xfId="19225" xr:uid="{00000000-0005-0000-0000-0000F3670000}"/>
    <cellStyle name="Input 15 5 2 5" xfId="19226" xr:uid="{00000000-0005-0000-0000-0000F4670000}"/>
    <cellStyle name="Input 15 5 2 6" xfId="19227" xr:uid="{00000000-0005-0000-0000-0000F5670000}"/>
    <cellStyle name="Input 15 5 3" xfId="9073" xr:uid="{00000000-0005-0000-0000-0000F6670000}"/>
    <cellStyle name="Input 15 5 3 2" xfId="19228" xr:uid="{00000000-0005-0000-0000-0000F7670000}"/>
    <cellStyle name="Input 15 5 3 3" xfId="19229" xr:uid="{00000000-0005-0000-0000-0000F8670000}"/>
    <cellStyle name="Input 15 5 3 4" xfId="19230" xr:uid="{00000000-0005-0000-0000-0000F9670000}"/>
    <cellStyle name="Input 15 5 3 5" xfId="19231" xr:uid="{00000000-0005-0000-0000-0000FA670000}"/>
    <cellStyle name="Input 15 5 4" xfId="19232" xr:uid="{00000000-0005-0000-0000-0000FB670000}"/>
    <cellStyle name="Input 15 5 5" xfId="19233" xr:uid="{00000000-0005-0000-0000-0000FC670000}"/>
    <cellStyle name="Input 15 5 6" xfId="19234" xr:uid="{00000000-0005-0000-0000-0000FD670000}"/>
    <cellStyle name="Input 15 5 7" xfId="19235" xr:uid="{00000000-0005-0000-0000-0000FE670000}"/>
    <cellStyle name="Input 15 5 8" xfId="8455" xr:uid="{00000000-0005-0000-0000-0000FF670000}"/>
    <cellStyle name="Input 15 6" xfId="9067" xr:uid="{00000000-0005-0000-0000-000000680000}"/>
    <cellStyle name="Input 15 6 2" xfId="19236" xr:uid="{00000000-0005-0000-0000-000001680000}"/>
    <cellStyle name="Input 15 6 3" xfId="19237" xr:uid="{00000000-0005-0000-0000-000002680000}"/>
    <cellStyle name="Input 15 6 4" xfId="19238" xr:uid="{00000000-0005-0000-0000-000003680000}"/>
    <cellStyle name="Input 15 6 5" xfId="19239" xr:uid="{00000000-0005-0000-0000-000004680000}"/>
    <cellStyle name="Input 15 7" xfId="19240" xr:uid="{00000000-0005-0000-0000-000005680000}"/>
    <cellStyle name="Input 15 8" xfId="19241" xr:uid="{00000000-0005-0000-0000-000006680000}"/>
    <cellStyle name="Input 15 9" xfId="19242" xr:uid="{00000000-0005-0000-0000-000007680000}"/>
    <cellStyle name="Input 15_IND_UC" xfId="6589" xr:uid="{00000000-0005-0000-0000-000008680000}"/>
    <cellStyle name="Input 16" xfId="1428" xr:uid="{00000000-0005-0000-0000-000009680000}"/>
    <cellStyle name="Input 16 10" xfId="19243" xr:uid="{00000000-0005-0000-0000-00000A680000}"/>
    <cellStyle name="Input 16 11" xfId="19244" xr:uid="{00000000-0005-0000-0000-00000B680000}"/>
    <cellStyle name="Input 16 12" xfId="19245" xr:uid="{00000000-0005-0000-0000-00000C680000}"/>
    <cellStyle name="Input 16 2" xfId="3431" xr:uid="{00000000-0005-0000-0000-00000D680000}"/>
    <cellStyle name="Input 16 2 2" xfId="9076" xr:uid="{00000000-0005-0000-0000-00000E680000}"/>
    <cellStyle name="Input 16 2 2 2" xfId="19246" xr:uid="{00000000-0005-0000-0000-00000F680000}"/>
    <cellStyle name="Input 16 2 2 3" xfId="19247" xr:uid="{00000000-0005-0000-0000-000010680000}"/>
    <cellStyle name="Input 16 2 2 4" xfId="19248" xr:uid="{00000000-0005-0000-0000-000011680000}"/>
    <cellStyle name="Input 16 2 2 5" xfId="19249" xr:uid="{00000000-0005-0000-0000-000012680000}"/>
    <cellStyle name="Input 16 2 3" xfId="19250" xr:uid="{00000000-0005-0000-0000-000013680000}"/>
    <cellStyle name="Input 16 2 4" xfId="19251" xr:uid="{00000000-0005-0000-0000-000014680000}"/>
    <cellStyle name="Input 16 2 5" xfId="19252" xr:uid="{00000000-0005-0000-0000-000015680000}"/>
    <cellStyle name="Input 16 2 6" xfId="19253" xr:uid="{00000000-0005-0000-0000-000016680000}"/>
    <cellStyle name="Input 16 3" xfId="3432" xr:uid="{00000000-0005-0000-0000-000017680000}"/>
    <cellStyle name="Input 16 3 2" xfId="9077" xr:uid="{00000000-0005-0000-0000-000018680000}"/>
    <cellStyle name="Input 16 3 2 2" xfId="19254" xr:uid="{00000000-0005-0000-0000-000019680000}"/>
    <cellStyle name="Input 16 3 2 3" xfId="19255" xr:uid="{00000000-0005-0000-0000-00001A680000}"/>
    <cellStyle name="Input 16 3 2 4" xfId="19256" xr:uid="{00000000-0005-0000-0000-00001B680000}"/>
    <cellStyle name="Input 16 3 2 5" xfId="19257" xr:uid="{00000000-0005-0000-0000-00001C680000}"/>
    <cellStyle name="Input 16 3 3" xfId="19258" xr:uid="{00000000-0005-0000-0000-00001D680000}"/>
    <cellStyle name="Input 16 3 4" xfId="19259" xr:uid="{00000000-0005-0000-0000-00001E680000}"/>
    <cellStyle name="Input 16 3 5" xfId="19260" xr:uid="{00000000-0005-0000-0000-00001F680000}"/>
    <cellStyle name="Input 16 3 6" xfId="19261" xr:uid="{00000000-0005-0000-0000-000020680000}"/>
    <cellStyle name="Input 16 4" xfId="3433" xr:uid="{00000000-0005-0000-0000-000021680000}"/>
    <cellStyle name="Input 16 4 2" xfId="8565" xr:uid="{00000000-0005-0000-0000-000022680000}"/>
    <cellStyle name="Input 16 4 2 2" xfId="9079" xr:uid="{00000000-0005-0000-0000-000023680000}"/>
    <cellStyle name="Input 16 4 2 2 2" xfId="19262" xr:uid="{00000000-0005-0000-0000-000024680000}"/>
    <cellStyle name="Input 16 4 2 2 3" xfId="19263" xr:uid="{00000000-0005-0000-0000-000025680000}"/>
    <cellStyle name="Input 16 4 2 2 4" xfId="19264" xr:uid="{00000000-0005-0000-0000-000026680000}"/>
    <cellStyle name="Input 16 4 2 2 5" xfId="19265" xr:uid="{00000000-0005-0000-0000-000027680000}"/>
    <cellStyle name="Input 16 4 2 3" xfId="19266" xr:uid="{00000000-0005-0000-0000-000028680000}"/>
    <cellStyle name="Input 16 4 2 4" xfId="19267" xr:uid="{00000000-0005-0000-0000-000029680000}"/>
    <cellStyle name="Input 16 4 2 5" xfId="19268" xr:uid="{00000000-0005-0000-0000-00002A680000}"/>
    <cellStyle name="Input 16 4 2 6" xfId="19269" xr:uid="{00000000-0005-0000-0000-00002B680000}"/>
    <cellStyle name="Input 16 4 3" xfId="8218" xr:uid="{00000000-0005-0000-0000-00002C680000}"/>
    <cellStyle name="Input 16 4 3 2" xfId="9080" xr:uid="{00000000-0005-0000-0000-00002D680000}"/>
    <cellStyle name="Input 16 4 3 2 2" xfId="19270" xr:uid="{00000000-0005-0000-0000-00002E680000}"/>
    <cellStyle name="Input 16 4 3 2 3" xfId="19271" xr:uid="{00000000-0005-0000-0000-00002F680000}"/>
    <cellStyle name="Input 16 4 3 2 4" xfId="19272" xr:uid="{00000000-0005-0000-0000-000030680000}"/>
    <cellStyle name="Input 16 4 3 2 5" xfId="19273" xr:uid="{00000000-0005-0000-0000-000031680000}"/>
    <cellStyle name="Input 16 4 3 3" xfId="19274" xr:uid="{00000000-0005-0000-0000-000032680000}"/>
    <cellStyle name="Input 16 4 3 4" xfId="19275" xr:uid="{00000000-0005-0000-0000-000033680000}"/>
    <cellStyle name="Input 16 4 3 5" xfId="19276" xr:uid="{00000000-0005-0000-0000-000034680000}"/>
    <cellStyle name="Input 16 4 3 6" xfId="19277" xr:uid="{00000000-0005-0000-0000-000035680000}"/>
    <cellStyle name="Input 16 4 4" xfId="9078" xr:uid="{00000000-0005-0000-0000-000036680000}"/>
    <cellStyle name="Input 16 4 4 2" xfId="19278" xr:uid="{00000000-0005-0000-0000-000037680000}"/>
    <cellStyle name="Input 16 4 4 3" xfId="19279" xr:uid="{00000000-0005-0000-0000-000038680000}"/>
    <cellStyle name="Input 16 4 4 4" xfId="19280" xr:uid="{00000000-0005-0000-0000-000039680000}"/>
    <cellStyle name="Input 16 4 4 5" xfId="19281" xr:uid="{00000000-0005-0000-0000-00003A680000}"/>
    <cellStyle name="Input 16 4 5" xfId="19282" xr:uid="{00000000-0005-0000-0000-00003B680000}"/>
    <cellStyle name="Input 16 4 6" xfId="19283" xr:uid="{00000000-0005-0000-0000-00003C680000}"/>
    <cellStyle name="Input 16 4 7" xfId="19284" xr:uid="{00000000-0005-0000-0000-00003D680000}"/>
    <cellStyle name="Input 16 4 8" xfId="19285" xr:uid="{00000000-0005-0000-0000-00003E680000}"/>
    <cellStyle name="Input 16 5" xfId="8456" xr:uid="{00000000-0005-0000-0000-00003F680000}"/>
    <cellStyle name="Input 16 5 2" xfId="9081" xr:uid="{00000000-0005-0000-0000-000040680000}"/>
    <cellStyle name="Input 16 5 2 2" xfId="19286" xr:uid="{00000000-0005-0000-0000-000041680000}"/>
    <cellStyle name="Input 16 5 2 3" xfId="19287" xr:uid="{00000000-0005-0000-0000-000042680000}"/>
    <cellStyle name="Input 16 5 2 4" xfId="19288" xr:uid="{00000000-0005-0000-0000-000043680000}"/>
    <cellStyle name="Input 16 5 2 5" xfId="19289" xr:uid="{00000000-0005-0000-0000-000044680000}"/>
    <cellStyle name="Input 16 5 3" xfId="19290" xr:uid="{00000000-0005-0000-0000-000045680000}"/>
    <cellStyle name="Input 16 5 4" xfId="19291" xr:uid="{00000000-0005-0000-0000-000046680000}"/>
    <cellStyle name="Input 16 5 5" xfId="19292" xr:uid="{00000000-0005-0000-0000-000047680000}"/>
    <cellStyle name="Input 16 5 6" xfId="19293" xr:uid="{00000000-0005-0000-0000-000048680000}"/>
    <cellStyle name="Input 16 6" xfId="9082" xr:uid="{00000000-0005-0000-0000-000049680000}"/>
    <cellStyle name="Input 16 6 2" xfId="19294" xr:uid="{00000000-0005-0000-0000-00004A680000}"/>
    <cellStyle name="Input 16 6 3" xfId="19295" xr:uid="{00000000-0005-0000-0000-00004B680000}"/>
    <cellStyle name="Input 16 6 4" xfId="19296" xr:uid="{00000000-0005-0000-0000-00004C680000}"/>
    <cellStyle name="Input 16 6 5" xfId="19297" xr:uid="{00000000-0005-0000-0000-00004D680000}"/>
    <cellStyle name="Input 16 7" xfId="9075" xr:uid="{00000000-0005-0000-0000-00004E680000}"/>
    <cellStyle name="Input 16 7 2" xfId="19298" xr:uid="{00000000-0005-0000-0000-00004F680000}"/>
    <cellStyle name="Input 16 7 3" xfId="19299" xr:uid="{00000000-0005-0000-0000-000050680000}"/>
    <cellStyle name="Input 16 7 4" xfId="19300" xr:uid="{00000000-0005-0000-0000-000051680000}"/>
    <cellStyle name="Input 16 7 5" xfId="19301" xr:uid="{00000000-0005-0000-0000-000052680000}"/>
    <cellStyle name="Input 16 8" xfId="19302" xr:uid="{00000000-0005-0000-0000-000053680000}"/>
    <cellStyle name="Input 16 9" xfId="19303" xr:uid="{00000000-0005-0000-0000-000054680000}"/>
    <cellStyle name="Input 17" xfId="1429" xr:uid="{00000000-0005-0000-0000-000055680000}"/>
    <cellStyle name="Input 17 10" xfId="19304" xr:uid="{00000000-0005-0000-0000-000056680000}"/>
    <cellStyle name="Input 17 11" xfId="19305" xr:uid="{00000000-0005-0000-0000-000057680000}"/>
    <cellStyle name="Input 17 2" xfId="3434" xr:uid="{00000000-0005-0000-0000-000058680000}"/>
    <cellStyle name="Input 17 2 2" xfId="9084" xr:uid="{00000000-0005-0000-0000-000059680000}"/>
    <cellStyle name="Input 17 2 2 2" xfId="19306" xr:uid="{00000000-0005-0000-0000-00005A680000}"/>
    <cellStyle name="Input 17 2 2 3" xfId="19307" xr:uid="{00000000-0005-0000-0000-00005B680000}"/>
    <cellStyle name="Input 17 2 2 4" xfId="19308" xr:uid="{00000000-0005-0000-0000-00005C680000}"/>
    <cellStyle name="Input 17 2 2 5" xfId="19309" xr:uid="{00000000-0005-0000-0000-00005D680000}"/>
    <cellStyle name="Input 17 2 3" xfId="19310" xr:uid="{00000000-0005-0000-0000-00005E680000}"/>
    <cellStyle name="Input 17 2 4" xfId="19311" xr:uid="{00000000-0005-0000-0000-00005F680000}"/>
    <cellStyle name="Input 17 2 5" xfId="19312" xr:uid="{00000000-0005-0000-0000-000060680000}"/>
    <cellStyle name="Input 17 2 6" xfId="19313" xr:uid="{00000000-0005-0000-0000-000061680000}"/>
    <cellStyle name="Input 17 3" xfId="3435" xr:uid="{00000000-0005-0000-0000-000062680000}"/>
    <cellStyle name="Input 17 3 2" xfId="9085" xr:uid="{00000000-0005-0000-0000-000063680000}"/>
    <cellStyle name="Input 17 3 2 2" xfId="19314" xr:uid="{00000000-0005-0000-0000-000064680000}"/>
    <cellStyle name="Input 17 3 2 3" xfId="19315" xr:uid="{00000000-0005-0000-0000-000065680000}"/>
    <cellStyle name="Input 17 3 2 4" xfId="19316" xr:uid="{00000000-0005-0000-0000-000066680000}"/>
    <cellStyle name="Input 17 3 2 5" xfId="19317" xr:uid="{00000000-0005-0000-0000-000067680000}"/>
    <cellStyle name="Input 17 3 3" xfId="19318" xr:uid="{00000000-0005-0000-0000-000068680000}"/>
    <cellStyle name="Input 17 3 4" xfId="19319" xr:uid="{00000000-0005-0000-0000-000069680000}"/>
    <cellStyle name="Input 17 3 5" xfId="19320" xr:uid="{00000000-0005-0000-0000-00006A680000}"/>
    <cellStyle name="Input 17 3 6" xfId="19321" xr:uid="{00000000-0005-0000-0000-00006B680000}"/>
    <cellStyle name="Input 17 4" xfId="3436" xr:uid="{00000000-0005-0000-0000-00006C680000}"/>
    <cellStyle name="Input 17 4 2" xfId="9086" xr:uid="{00000000-0005-0000-0000-00006D680000}"/>
    <cellStyle name="Input 17 4 2 2" xfId="19322" xr:uid="{00000000-0005-0000-0000-00006E680000}"/>
    <cellStyle name="Input 17 4 2 3" xfId="19323" xr:uid="{00000000-0005-0000-0000-00006F680000}"/>
    <cellStyle name="Input 17 4 2 4" xfId="19324" xr:uid="{00000000-0005-0000-0000-000070680000}"/>
    <cellStyle name="Input 17 4 2 5" xfId="19325" xr:uid="{00000000-0005-0000-0000-000071680000}"/>
    <cellStyle name="Input 17 4 3" xfId="19326" xr:uid="{00000000-0005-0000-0000-000072680000}"/>
    <cellStyle name="Input 17 4 4" xfId="19327" xr:uid="{00000000-0005-0000-0000-000073680000}"/>
    <cellStyle name="Input 17 4 5" xfId="19328" xr:uid="{00000000-0005-0000-0000-000074680000}"/>
    <cellStyle name="Input 17 4 6" xfId="19329" xr:uid="{00000000-0005-0000-0000-000075680000}"/>
    <cellStyle name="Input 17 5" xfId="8457" xr:uid="{00000000-0005-0000-0000-000076680000}"/>
    <cellStyle name="Input 17 5 2" xfId="9087" xr:uid="{00000000-0005-0000-0000-000077680000}"/>
    <cellStyle name="Input 17 5 2 2" xfId="19330" xr:uid="{00000000-0005-0000-0000-000078680000}"/>
    <cellStyle name="Input 17 5 2 3" xfId="19331" xr:uid="{00000000-0005-0000-0000-000079680000}"/>
    <cellStyle name="Input 17 5 2 4" xfId="19332" xr:uid="{00000000-0005-0000-0000-00007A680000}"/>
    <cellStyle name="Input 17 5 2 5" xfId="19333" xr:uid="{00000000-0005-0000-0000-00007B680000}"/>
    <cellStyle name="Input 17 5 3" xfId="19334" xr:uid="{00000000-0005-0000-0000-00007C680000}"/>
    <cellStyle name="Input 17 5 4" xfId="19335" xr:uid="{00000000-0005-0000-0000-00007D680000}"/>
    <cellStyle name="Input 17 5 5" xfId="19336" xr:uid="{00000000-0005-0000-0000-00007E680000}"/>
    <cellStyle name="Input 17 5 6" xfId="19337" xr:uid="{00000000-0005-0000-0000-00007F680000}"/>
    <cellStyle name="Input 17 6" xfId="9083" xr:uid="{00000000-0005-0000-0000-000080680000}"/>
    <cellStyle name="Input 17 6 2" xfId="19338" xr:uid="{00000000-0005-0000-0000-000081680000}"/>
    <cellStyle name="Input 17 6 3" xfId="19339" xr:uid="{00000000-0005-0000-0000-000082680000}"/>
    <cellStyle name="Input 17 6 4" xfId="19340" xr:uid="{00000000-0005-0000-0000-000083680000}"/>
    <cellStyle name="Input 17 6 5" xfId="19341" xr:uid="{00000000-0005-0000-0000-000084680000}"/>
    <cellStyle name="Input 17 7" xfId="19342" xr:uid="{00000000-0005-0000-0000-000085680000}"/>
    <cellStyle name="Input 17 8" xfId="19343" xr:uid="{00000000-0005-0000-0000-000086680000}"/>
    <cellStyle name="Input 17 9" xfId="19344" xr:uid="{00000000-0005-0000-0000-000087680000}"/>
    <cellStyle name="Input 18" xfId="3437" xr:uid="{00000000-0005-0000-0000-000088680000}"/>
    <cellStyle name="Input 18 10" xfId="19345" xr:uid="{00000000-0005-0000-0000-000089680000}"/>
    <cellStyle name="Input 18 2" xfId="3438" xr:uid="{00000000-0005-0000-0000-00008A680000}"/>
    <cellStyle name="Input 18 2 2" xfId="9089" xr:uid="{00000000-0005-0000-0000-00008B680000}"/>
    <cellStyle name="Input 18 2 2 2" xfId="19346" xr:uid="{00000000-0005-0000-0000-00008C680000}"/>
    <cellStyle name="Input 18 2 2 3" xfId="19347" xr:uid="{00000000-0005-0000-0000-00008D680000}"/>
    <cellStyle name="Input 18 2 2 4" xfId="19348" xr:uid="{00000000-0005-0000-0000-00008E680000}"/>
    <cellStyle name="Input 18 2 2 5" xfId="19349" xr:uid="{00000000-0005-0000-0000-00008F680000}"/>
    <cellStyle name="Input 18 2 3" xfId="19350" xr:uid="{00000000-0005-0000-0000-000090680000}"/>
    <cellStyle name="Input 18 2 4" xfId="19351" xr:uid="{00000000-0005-0000-0000-000091680000}"/>
    <cellStyle name="Input 18 2 5" xfId="19352" xr:uid="{00000000-0005-0000-0000-000092680000}"/>
    <cellStyle name="Input 18 2 6" xfId="19353" xr:uid="{00000000-0005-0000-0000-000093680000}"/>
    <cellStyle name="Input 18 3" xfId="3439" xr:uid="{00000000-0005-0000-0000-000094680000}"/>
    <cellStyle name="Input 18 3 2" xfId="9090" xr:uid="{00000000-0005-0000-0000-000095680000}"/>
    <cellStyle name="Input 18 3 2 2" xfId="19354" xr:uid="{00000000-0005-0000-0000-000096680000}"/>
    <cellStyle name="Input 18 3 2 3" xfId="19355" xr:uid="{00000000-0005-0000-0000-000097680000}"/>
    <cellStyle name="Input 18 3 2 4" xfId="19356" xr:uid="{00000000-0005-0000-0000-000098680000}"/>
    <cellStyle name="Input 18 3 2 5" xfId="19357" xr:uid="{00000000-0005-0000-0000-000099680000}"/>
    <cellStyle name="Input 18 3 3" xfId="19358" xr:uid="{00000000-0005-0000-0000-00009A680000}"/>
    <cellStyle name="Input 18 3 4" xfId="19359" xr:uid="{00000000-0005-0000-0000-00009B680000}"/>
    <cellStyle name="Input 18 3 5" xfId="19360" xr:uid="{00000000-0005-0000-0000-00009C680000}"/>
    <cellStyle name="Input 18 3 6" xfId="19361" xr:uid="{00000000-0005-0000-0000-00009D680000}"/>
    <cellStyle name="Input 18 4" xfId="6683" xr:uid="{00000000-0005-0000-0000-00009E680000}"/>
    <cellStyle name="Input 18 4 2" xfId="9091" xr:uid="{00000000-0005-0000-0000-00009F680000}"/>
    <cellStyle name="Input 18 4 2 2" xfId="19362" xr:uid="{00000000-0005-0000-0000-0000A0680000}"/>
    <cellStyle name="Input 18 4 2 3" xfId="19363" xr:uid="{00000000-0005-0000-0000-0000A1680000}"/>
    <cellStyle name="Input 18 4 2 4" xfId="19364" xr:uid="{00000000-0005-0000-0000-0000A2680000}"/>
    <cellStyle name="Input 18 4 2 5" xfId="19365" xr:uid="{00000000-0005-0000-0000-0000A3680000}"/>
    <cellStyle name="Input 18 4 3" xfId="19366" xr:uid="{00000000-0005-0000-0000-0000A4680000}"/>
    <cellStyle name="Input 18 4 4" xfId="19367" xr:uid="{00000000-0005-0000-0000-0000A5680000}"/>
    <cellStyle name="Input 18 4 5" xfId="19368" xr:uid="{00000000-0005-0000-0000-0000A6680000}"/>
    <cellStyle name="Input 18 4 6" xfId="19369" xr:uid="{00000000-0005-0000-0000-0000A7680000}"/>
    <cellStyle name="Input 18 5" xfId="8458" xr:uid="{00000000-0005-0000-0000-0000A8680000}"/>
    <cellStyle name="Input 18 5 2" xfId="9092" xr:uid="{00000000-0005-0000-0000-0000A9680000}"/>
    <cellStyle name="Input 18 5 2 2" xfId="19370" xr:uid="{00000000-0005-0000-0000-0000AA680000}"/>
    <cellStyle name="Input 18 5 2 3" xfId="19371" xr:uid="{00000000-0005-0000-0000-0000AB680000}"/>
    <cellStyle name="Input 18 5 2 4" xfId="19372" xr:uid="{00000000-0005-0000-0000-0000AC680000}"/>
    <cellStyle name="Input 18 5 2 5" xfId="19373" xr:uid="{00000000-0005-0000-0000-0000AD680000}"/>
    <cellStyle name="Input 18 5 3" xfId="19374" xr:uid="{00000000-0005-0000-0000-0000AE680000}"/>
    <cellStyle name="Input 18 5 4" xfId="19375" xr:uid="{00000000-0005-0000-0000-0000AF680000}"/>
    <cellStyle name="Input 18 5 5" xfId="19376" xr:uid="{00000000-0005-0000-0000-0000B0680000}"/>
    <cellStyle name="Input 18 5 6" xfId="19377" xr:uid="{00000000-0005-0000-0000-0000B1680000}"/>
    <cellStyle name="Input 18 6" xfId="9088" xr:uid="{00000000-0005-0000-0000-0000B2680000}"/>
    <cellStyle name="Input 18 6 2" xfId="19378" xr:uid="{00000000-0005-0000-0000-0000B3680000}"/>
    <cellStyle name="Input 18 6 3" xfId="19379" xr:uid="{00000000-0005-0000-0000-0000B4680000}"/>
    <cellStyle name="Input 18 6 4" xfId="19380" xr:uid="{00000000-0005-0000-0000-0000B5680000}"/>
    <cellStyle name="Input 18 6 5" xfId="19381" xr:uid="{00000000-0005-0000-0000-0000B6680000}"/>
    <cellStyle name="Input 18 7" xfId="19382" xr:uid="{00000000-0005-0000-0000-0000B7680000}"/>
    <cellStyle name="Input 18 8" xfId="19383" xr:uid="{00000000-0005-0000-0000-0000B8680000}"/>
    <cellStyle name="Input 18 9" xfId="19384" xr:uid="{00000000-0005-0000-0000-0000B9680000}"/>
    <cellStyle name="Input 19" xfId="3440" xr:uid="{00000000-0005-0000-0000-0000BA680000}"/>
    <cellStyle name="Input 19 10" xfId="19385" xr:uid="{00000000-0005-0000-0000-0000BB680000}"/>
    <cellStyle name="Input 19 2" xfId="3441" xr:uid="{00000000-0005-0000-0000-0000BC680000}"/>
    <cellStyle name="Input 19 2 2" xfId="9094" xr:uid="{00000000-0005-0000-0000-0000BD680000}"/>
    <cellStyle name="Input 19 2 2 2" xfId="19386" xr:uid="{00000000-0005-0000-0000-0000BE680000}"/>
    <cellStyle name="Input 19 2 2 3" xfId="19387" xr:uid="{00000000-0005-0000-0000-0000BF680000}"/>
    <cellStyle name="Input 19 2 2 4" xfId="19388" xr:uid="{00000000-0005-0000-0000-0000C0680000}"/>
    <cellStyle name="Input 19 2 2 5" xfId="19389" xr:uid="{00000000-0005-0000-0000-0000C1680000}"/>
    <cellStyle name="Input 19 2 3" xfId="19390" xr:uid="{00000000-0005-0000-0000-0000C2680000}"/>
    <cellStyle name="Input 19 2 4" xfId="19391" xr:uid="{00000000-0005-0000-0000-0000C3680000}"/>
    <cellStyle name="Input 19 2 5" xfId="19392" xr:uid="{00000000-0005-0000-0000-0000C4680000}"/>
    <cellStyle name="Input 19 2 6" xfId="19393" xr:uid="{00000000-0005-0000-0000-0000C5680000}"/>
    <cellStyle name="Input 19 3" xfId="3442" xr:uid="{00000000-0005-0000-0000-0000C6680000}"/>
    <cellStyle name="Input 19 3 2" xfId="9095" xr:uid="{00000000-0005-0000-0000-0000C7680000}"/>
    <cellStyle name="Input 19 3 2 2" xfId="19394" xr:uid="{00000000-0005-0000-0000-0000C8680000}"/>
    <cellStyle name="Input 19 3 2 3" xfId="19395" xr:uid="{00000000-0005-0000-0000-0000C9680000}"/>
    <cellStyle name="Input 19 3 2 4" xfId="19396" xr:uid="{00000000-0005-0000-0000-0000CA680000}"/>
    <cellStyle name="Input 19 3 2 5" xfId="19397" xr:uid="{00000000-0005-0000-0000-0000CB680000}"/>
    <cellStyle name="Input 19 3 3" xfId="19398" xr:uid="{00000000-0005-0000-0000-0000CC680000}"/>
    <cellStyle name="Input 19 3 4" xfId="19399" xr:uid="{00000000-0005-0000-0000-0000CD680000}"/>
    <cellStyle name="Input 19 3 5" xfId="19400" xr:uid="{00000000-0005-0000-0000-0000CE680000}"/>
    <cellStyle name="Input 19 3 6" xfId="19401" xr:uid="{00000000-0005-0000-0000-0000CF680000}"/>
    <cellStyle name="Input 19 4" xfId="6684" xr:uid="{00000000-0005-0000-0000-0000D0680000}"/>
    <cellStyle name="Input 19 4 2" xfId="9096" xr:uid="{00000000-0005-0000-0000-0000D1680000}"/>
    <cellStyle name="Input 19 4 2 2" xfId="19402" xr:uid="{00000000-0005-0000-0000-0000D2680000}"/>
    <cellStyle name="Input 19 4 2 3" xfId="19403" xr:uid="{00000000-0005-0000-0000-0000D3680000}"/>
    <cellStyle name="Input 19 4 2 4" xfId="19404" xr:uid="{00000000-0005-0000-0000-0000D4680000}"/>
    <cellStyle name="Input 19 4 2 5" xfId="19405" xr:uid="{00000000-0005-0000-0000-0000D5680000}"/>
    <cellStyle name="Input 19 4 3" xfId="19406" xr:uid="{00000000-0005-0000-0000-0000D6680000}"/>
    <cellStyle name="Input 19 4 4" xfId="19407" xr:uid="{00000000-0005-0000-0000-0000D7680000}"/>
    <cellStyle name="Input 19 4 5" xfId="19408" xr:uid="{00000000-0005-0000-0000-0000D8680000}"/>
    <cellStyle name="Input 19 4 6" xfId="19409" xr:uid="{00000000-0005-0000-0000-0000D9680000}"/>
    <cellStyle name="Input 19 5" xfId="8459" xr:uid="{00000000-0005-0000-0000-0000DA680000}"/>
    <cellStyle name="Input 19 5 2" xfId="9097" xr:uid="{00000000-0005-0000-0000-0000DB680000}"/>
    <cellStyle name="Input 19 5 2 2" xfId="19410" xr:uid="{00000000-0005-0000-0000-0000DC680000}"/>
    <cellStyle name="Input 19 5 2 3" xfId="19411" xr:uid="{00000000-0005-0000-0000-0000DD680000}"/>
    <cellStyle name="Input 19 5 2 4" xfId="19412" xr:uid="{00000000-0005-0000-0000-0000DE680000}"/>
    <cellStyle name="Input 19 5 2 5" xfId="19413" xr:uid="{00000000-0005-0000-0000-0000DF680000}"/>
    <cellStyle name="Input 19 5 3" xfId="19414" xr:uid="{00000000-0005-0000-0000-0000E0680000}"/>
    <cellStyle name="Input 19 5 4" xfId="19415" xr:uid="{00000000-0005-0000-0000-0000E1680000}"/>
    <cellStyle name="Input 19 5 5" xfId="19416" xr:uid="{00000000-0005-0000-0000-0000E2680000}"/>
    <cellStyle name="Input 19 5 6" xfId="19417" xr:uid="{00000000-0005-0000-0000-0000E3680000}"/>
    <cellStyle name="Input 19 6" xfId="9093" xr:uid="{00000000-0005-0000-0000-0000E4680000}"/>
    <cellStyle name="Input 19 6 2" xfId="19418" xr:uid="{00000000-0005-0000-0000-0000E5680000}"/>
    <cellStyle name="Input 19 6 3" xfId="19419" xr:uid="{00000000-0005-0000-0000-0000E6680000}"/>
    <cellStyle name="Input 19 6 4" xfId="19420" xr:uid="{00000000-0005-0000-0000-0000E7680000}"/>
    <cellStyle name="Input 19 6 5" xfId="19421" xr:uid="{00000000-0005-0000-0000-0000E8680000}"/>
    <cellStyle name="Input 19 7" xfId="19422" xr:uid="{00000000-0005-0000-0000-0000E9680000}"/>
    <cellStyle name="Input 19 8" xfId="19423" xr:uid="{00000000-0005-0000-0000-0000EA680000}"/>
    <cellStyle name="Input 19 9" xfId="19424" xr:uid="{00000000-0005-0000-0000-0000EB680000}"/>
    <cellStyle name="Input 2" xfId="1430" xr:uid="{00000000-0005-0000-0000-0000EC680000}"/>
    <cellStyle name="Input 2 10" xfId="19425" xr:uid="{00000000-0005-0000-0000-0000ED680000}"/>
    <cellStyle name="Input 2 11" xfId="19426" xr:uid="{00000000-0005-0000-0000-0000EE680000}"/>
    <cellStyle name="Input 2 12" xfId="19427" xr:uid="{00000000-0005-0000-0000-0000EF680000}"/>
    <cellStyle name="Input 2 13" xfId="19428" xr:uid="{00000000-0005-0000-0000-0000F0680000}"/>
    <cellStyle name="Input 2 14" xfId="19429" xr:uid="{00000000-0005-0000-0000-0000F1680000}"/>
    <cellStyle name="Input 2 15" xfId="19430" xr:uid="{00000000-0005-0000-0000-0000F2680000}"/>
    <cellStyle name="Input 2 2" xfId="1431" xr:uid="{00000000-0005-0000-0000-0000F3680000}"/>
    <cellStyle name="Input 2 2 2" xfId="9099" xr:uid="{00000000-0005-0000-0000-0000F4680000}"/>
    <cellStyle name="Input 2 2 2 2" xfId="19431" xr:uid="{00000000-0005-0000-0000-0000F5680000}"/>
    <cellStyle name="Input 2 2 2 3" xfId="19432" xr:uid="{00000000-0005-0000-0000-0000F6680000}"/>
    <cellStyle name="Input 2 2 2 4" xfId="19433" xr:uid="{00000000-0005-0000-0000-0000F7680000}"/>
    <cellStyle name="Input 2 2 2 5" xfId="19434" xr:uid="{00000000-0005-0000-0000-0000F8680000}"/>
    <cellStyle name="Input 2 2 3" xfId="19435" xr:uid="{00000000-0005-0000-0000-0000F9680000}"/>
    <cellStyle name="Input 2 2 4" xfId="19436" xr:uid="{00000000-0005-0000-0000-0000FA680000}"/>
    <cellStyle name="Input 2 2 5" xfId="19437" xr:uid="{00000000-0005-0000-0000-0000FB680000}"/>
    <cellStyle name="Input 2 2 6" xfId="19438" xr:uid="{00000000-0005-0000-0000-0000FC680000}"/>
    <cellStyle name="Input 2 2 7" xfId="19439" xr:uid="{00000000-0005-0000-0000-0000FD680000}"/>
    <cellStyle name="Input 2 3" xfId="1432" xr:uid="{00000000-0005-0000-0000-0000FE680000}"/>
    <cellStyle name="Input 2 3 2" xfId="9100" xr:uid="{00000000-0005-0000-0000-0000FF680000}"/>
    <cellStyle name="Input 2 3 2 2" xfId="19440" xr:uid="{00000000-0005-0000-0000-000000690000}"/>
    <cellStyle name="Input 2 3 2 3" xfId="19441" xr:uid="{00000000-0005-0000-0000-000001690000}"/>
    <cellStyle name="Input 2 3 2 4" xfId="19442" xr:uid="{00000000-0005-0000-0000-000002690000}"/>
    <cellStyle name="Input 2 3 2 5" xfId="19443" xr:uid="{00000000-0005-0000-0000-000003690000}"/>
    <cellStyle name="Input 2 3 3" xfId="19444" xr:uid="{00000000-0005-0000-0000-000004690000}"/>
    <cellStyle name="Input 2 3 4" xfId="19445" xr:uid="{00000000-0005-0000-0000-000005690000}"/>
    <cellStyle name="Input 2 3 5" xfId="19446" xr:uid="{00000000-0005-0000-0000-000006690000}"/>
    <cellStyle name="Input 2 3 6" xfId="19447" xr:uid="{00000000-0005-0000-0000-000007690000}"/>
    <cellStyle name="Input 2 3 7" xfId="19448" xr:uid="{00000000-0005-0000-0000-000008690000}"/>
    <cellStyle name="Input 2 4" xfId="1433" xr:uid="{00000000-0005-0000-0000-000009690000}"/>
    <cellStyle name="Input 2 4 2" xfId="9101" xr:uid="{00000000-0005-0000-0000-00000A690000}"/>
    <cellStyle name="Input 2 4 2 2" xfId="19449" xr:uid="{00000000-0005-0000-0000-00000B690000}"/>
    <cellStyle name="Input 2 4 2 3" xfId="19450" xr:uid="{00000000-0005-0000-0000-00000C690000}"/>
    <cellStyle name="Input 2 4 2 4" xfId="19451" xr:uid="{00000000-0005-0000-0000-00000D690000}"/>
    <cellStyle name="Input 2 4 2 5" xfId="19452" xr:uid="{00000000-0005-0000-0000-00000E690000}"/>
    <cellStyle name="Input 2 4 3" xfId="19453" xr:uid="{00000000-0005-0000-0000-00000F690000}"/>
    <cellStyle name="Input 2 4 4" xfId="19454" xr:uid="{00000000-0005-0000-0000-000010690000}"/>
    <cellStyle name="Input 2 4 5" xfId="19455" xr:uid="{00000000-0005-0000-0000-000011690000}"/>
    <cellStyle name="Input 2 4 6" xfId="19456" xr:uid="{00000000-0005-0000-0000-000012690000}"/>
    <cellStyle name="Input 2 4 7" xfId="19457" xr:uid="{00000000-0005-0000-0000-000013690000}"/>
    <cellStyle name="Input 2 5" xfId="1434" xr:uid="{00000000-0005-0000-0000-000014690000}"/>
    <cellStyle name="Input 2 5 2" xfId="9102" xr:uid="{00000000-0005-0000-0000-000015690000}"/>
    <cellStyle name="Input 2 5 2 2" xfId="19458" xr:uid="{00000000-0005-0000-0000-000016690000}"/>
    <cellStyle name="Input 2 5 2 3" xfId="19459" xr:uid="{00000000-0005-0000-0000-000017690000}"/>
    <cellStyle name="Input 2 5 2 4" xfId="19460" xr:uid="{00000000-0005-0000-0000-000018690000}"/>
    <cellStyle name="Input 2 5 2 5" xfId="19461" xr:uid="{00000000-0005-0000-0000-000019690000}"/>
    <cellStyle name="Input 2 5 3" xfId="19462" xr:uid="{00000000-0005-0000-0000-00001A690000}"/>
    <cellStyle name="Input 2 5 4" xfId="19463" xr:uid="{00000000-0005-0000-0000-00001B690000}"/>
    <cellStyle name="Input 2 5 5" xfId="19464" xr:uid="{00000000-0005-0000-0000-00001C690000}"/>
    <cellStyle name="Input 2 5 6" xfId="19465" xr:uid="{00000000-0005-0000-0000-00001D690000}"/>
    <cellStyle name="Input 2 5 7" xfId="19466" xr:uid="{00000000-0005-0000-0000-00001E690000}"/>
    <cellStyle name="Input 2 6" xfId="1435" xr:uid="{00000000-0005-0000-0000-00001F690000}"/>
    <cellStyle name="Input 2 6 2" xfId="9103" xr:uid="{00000000-0005-0000-0000-000020690000}"/>
    <cellStyle name="Input 2 6 2 2" xfId="19467" xr:uid="{00000000-0005-0000-0000-000021690000}"/>
    <cellStyle name="Input 2 6 2 3" xfId="19468" xr:uid="{00000000-0005-0000-0000-000022690000}"/>
    <cellStyle name="Input 2 6 2 4" xfId="19469" xr:uid="{00000000-0005-0000-0000-000023690000}"/>
    <cellStyle name="Input 2 6 2 5" xfId="19470" xr:uid="{00000000-0005-0000-0000-000024690000}"/>
    <cellStyle name="Input 2 6 3" xfId="19471" xr:uid="{00000000-0005-0000-0000-000025690000}"/>
    <cellStyle name="Input 2 6 4" xfId="19472" xr:uid="{00000000-0005-0000-0000-000026690000}"/>
    <cellStyle name="Input 2 6 5" xfId="19473" xr:uid="{00000000-0005-0000-0000-000027690000}"/>
    <cellStyle name="Input 2 6 6" xfId="19474" xr:uid="{00000000-0005-0000-0000-000028690000}"/>
    <cellStyle name="Input 2 6 7" xfId="19475" xr:uid="{00000000-0005-0000-0000-000029690000}"/>
    <cellStyle name="Input 2 7" xfId="1436" xr:uid="{00000000-0005-0000-0000-00002A690000}"/>
    <cellStyle name="Input 2 7 2" xfId="9104" xr:uid="{00000000-0005-0000-0000-00002B690000}"/>
    <cellStyle name="Input 2 7 2 2" xfId="19476" xr:uid="{00000000-0005-0000-0000-00002C690000}"/>
    <cellStyle name="Input 2 7 2 3" xfId="19477" xr:uid="{00000000-0005-0000-0000-00002D690000}"/>
    <cellStyle name="Input 2 7 2 4" xfId="19478" xr:uid="{00000000-0005-0000-0000-00002E690000}"/>
    <cellStyle name="Input 2 7 2 5" xfId="19479" xr:uid="{00000000-0005-0000-0000-00002F690000}"/>
    <cellStyle name="Input 2 7 3" xfId="19480" xr:uid="{00000000-0005-0000-0000-000030690000}"/>
    <cellStyle name="Input 2 7 4" xfId="19481" xr:uid="{00000000-0005-0000-0000-000031690000}"/>
    <cellStyle name="Input 2 7 5" xfId="19482" xr:uid="{00000000-0005-0000-0000-000032690000}"/>
    <cellStyle name="Input 2 7 6" xfId="19483" xr:uid="{00000000-0005-0000-0000-000033690000}"/>
    <cellStyle name="Input 2 7 7" xfId="19484" xr:uid="{00000000-0005-0000-0000-000034690000}"/>
    <cellStyle name="Input 2 8" xfId="1437" xr:uid="{00000000-0005-0000-0000-000035690000}"/>
    <cellStyle name="Input 2 8 2" xfId="9105" xr:uid="{00000000-0005-0000-0000-000036690000}"/>
    <cellStyle name="Input 2 8 2 2" xfId="19485" xr:uid="{00000000-0005-0000-0000-000037690000}"/>
    <cellStyle name="Input 2 8 2 3" xfId="19486" xr:uid="{00000000-0005-0000-0000-000038690000}"/>
    <cellStyle name="Input 2 8 2 4" xfId="19487" xr:uid="{00000000-0005-0000-0000-000039690000}"/>
    <cellStyle name="Input 2 8 2 5" xfId="19488" xr:uid="{00000000-0005-0000-0000-00003A690000}"/>
    <cellStyle name="Input 2 8 3" xfId="19489" xr:uid="{00000000-0005-0000-0000-00003B690000}"/>
    <cellStyle name="Input 2 8 4" xfId="19490" xr:uid="{00000000-0005-0000-0000-00003C690000}"/>
    <cellStyle name="Input 2 8 5" xfId="19491" xr:uid="{00000000-0005-0000-0000-00003D690000}"/>
    <cellStyle name="Input 2 8 6" xfId="19492" xr:uid="{00000000-0005-0000-0000-00003E690000}"/>
    <cellStyle name="Input 2 8 7" xfId="19493" xr:uid="{00000000-0005-0000-0000-00003F690000}"/>
    <cellStyle name="Input 2 9" xfId="9098" xr:uid="{00000000-0005-0000-0000-000040690000}"/>
    <cellStyle name="Input 2 9 2" xfId="19494" xr:uid="{00000000-0005-0000-0000-000041690000}"/>
    <cellStyle name="Input 2 9 3" xfId="19495" xr:uid="{00000000-0005-0000-0000-000042690000}"/>
    <cellStyle name="Input 2 9 4" xfId="19496" xr:uid="{00000000-0005-0000-0000-000043690000}"/>
    <cellStyle name="Input 2 9 5" xfId="19497" xr:uid="{00000000-0005-0000-0000-000044690000}"/>
    <cellStyle name="Input 2_ELC" xfId="6590" xr:uid="{00000000-0005-0000-0000-000045690000}"/>
    <cellStyle name="Input 20" xfId="3443" xr:uid="{00000000-0005-0000-0000-000046690000}"/>
    <cellStyle name="Input 20 10" xfId="19498" xr:uid="{00000000-0005-0000-0000-000047690000}"/>
    <cellStyle name="Input 20 2" xfId="3444" xr:uid="{00000000-0005-0000-0000-000048690000}"/>
    <cellStyle name="Input 20 2 2" xfId="9107" xr:uid="{00000000-0005-0000-0000-000049690000}"/>
    <cellStyle name="Input 20 2 2 2" xfId="19499" xr:uid="{00000000-0005-0000-0000-00004A690000}"/>
    <cellStyle name="Input 20 2 2 3" xfId="19500" xr:uid="{00000000-0005-0000-0000-00004B690000}"/>
    <cellStyle name="Input 20 2 2 4" xfId="19501" xr:uid="{00000000-0005-0000-0000-00004C690000}"/>
    <cellStyle name="Input 20 2 2 5" xfId="19502" xr:uid="{00000000-0005-0000-0000-00004D690000}"/>
    <cellStyle name="Input 20 2 3" xfId="19503" xr:uid="{00000000-0005-0000-0000-00004E690000}"/>
    <cellStyle name="Input 20 2 4" xfId="19504" xr:uid="{00000000-0005-0000-0000-00004F690000}"/>
    <cellStyle name="Input 20 2 5" xfId="19505" xr:uid="{00000000-0005-0000-0000-000050690000}"/>
    <cellStyle name="Input 20 2 6" xfId="19506" xr:uid="{00000000-0005-0000-0000-000051690000}"/>
    <cellStyle name="Input 20 3" xfId="3445" xr:uid="{00000000-0005-0000-0000-000052690000}"/>
    <cellStyle name="Input 20 3 2" xfId="9108" xr:uid="{00000000-0005-0000-0000-000053690000}"/>
    <cellStyle name="Input 20 3 2 2" xfId="19507" xr:uid="{00000000-0005-0000-0000-000054690000}"/>
    <cellStyle name="Input 20 3 2 3" xfId="19508" xr:uid="{00000000-0005-0000-0000-000055690000}"/>
    <cellStyle name="Input 20 3 2 4" xfId="19509" xr:uid="{00000000-0005-0000-0000-000056690000}"/>
    <cellStyle name="Input 20 3 2 5" xfId="19510" xr:uid="{00000000-0005-0000-0000-000057690000}"/>
    <cellStyle name="Input 20 3 3" xfId="19511" xr:uid="{00000000-0005-0000-0000-000058690000}"/>
    <cellStyle name="Input 20 3 4" xfId="19512" xr:uid="{00000000-0005-0000-0000-000059690000}"/>
    <cellStyle name="Input 20 3 5" xfId="19513" xr:uid="{00000000-0005-0000-0000-00005A690000}"/>
    <cellStyle name="Input 20 3 6" xfId="19514" xr:uid="{00000000-0005-0000-0000-00005B690000}"/>
    <cellStyle name="Input 20 4" xfId="6685" xr:uid="{00000000-0005-0000-0000-00005C690000}"/>
    <cellStyle name="Input 20 4 2" xfId="9109" xr:uid="{00000000-0005-0000-0000-00005D690000}"/>
    <cellStyle name="Input 20 4 2 2" xfId="19515" xr:uid="{00000000-0005-0000-0000-00005E690000}"/>
    <cellStyle name="Input 20 4 2 3" xfId="19516" xr:uid="{00000000-0005-0000-0000-00005F690000}"/>
    <cellStyle name="Input 20 4 2 4" xfId="19517" xr:uid="{00000000-0005-0000-0000-000060690000}"/>
    <cellStyle name="Input 20 4 2 5" xfId="19518" xr:uid="{00000000-0005-0000-0000-000061690000}"/>
    <cellStyle name="Input 20 4 3" xfId="19519" xr:uid="{00000000-0005-0000-0000-000062690000}"/>
    <cellStyle name="Input 20 4 4" xfId="19520" xr:uid="{00000000-0005-0000-0000-000063690000}"/>
    <cellStyle name="Input 20 4 5" xfId="19521" xr:uid="{00000000-0005-0000-0000-000064690000}"/>
    <cellStyle name="Input 20 4 6" xfId="19522" xr:uid="{00000000-0005-0000-0000-000065690000}"/>
    <cellStyle name="Input 20 5" xfId="8460" xr:uid="{00000000-0005-0000-0000-000066690000}"/>
    <cellStyle name="Input 20 5 2" xfId="9110" xr:uid="{00000000-0005-0000-0000-000067690000}"/>
    <cellStyle name="Input 20 5 2 2" xfId="19523" xr:uid="{00000000-0005-0000-0000-000068690000}"/>
    <cellStyle name="Input 20 5 2 3" xfId="19524" xr:uid="{00000000-0005-0000-0000-000069690000}"/>
    <cellStyle name="Input 20 5 2 4" xfId="19525" xr:uid="{00000000-0005-0000-0000-00006A690000}"/>
    <cellStyle name="Input 20 5 2 5" xfId="19526" xr:uid="{00000000-0005-0000-0000-00006B690000}"/>
    <cellStyle name="Input 20 5 3" xfId="19527" xr:uid="{00000000-0005-0000-0000-00006C690000}"/>
    <cellStyle name="Input 20 5 4" xfId="19528" xr:uid="{00000000-0005-0000-0000-00006D690000}"/>
    <cellStyle name="Input 20 5 5" xfId="19529" xr:uid="{00000000-0005-0000-0000-00006E690000}"/>
    <cellStyle name="Input 20 5 6" xfId="19530" xr:uid="{00000000-0005-0000-0000-00006F690000}"/>
    <cellStyle name="Input 20 6" xfId="9106" xr:uid="{00000000-0005-0000-0000-000070690000}"/>
    <cellStyle name="Input 20 6 2" xfId="19531" xr:uid="{00000000-0005-0000-0000-000071690000}"/>
    <cellStyle name="Input 20 6 3" xfId="19532" xr:uid="{00000000-0005-0000-0000-000072690000}"/>
    <cellStyle name="Input 20 6 4" xfId="19533" xr:uid="{00000000-0005-0000-0000-000073690000}"/>
    <cellStyle name="Input 20 6 5" xfId="19534" xr:uid="{00000000-0005-0000-0000-000074690000}"/>
    <cellStyle name="Input 20 7" xfId="19535" xr:uid="{00000000-0005-0000-0000-000075690000}"/>
    <cellStyle name="Input 20 8" xfId="19536" xr:uid="{00000000-0005-0000-0000-000076690000}"/>
    <cellStyle name="Input 20 9" xfId="19537" xr:uid="{00000000-0005-0000-0000-000077690000}"/>
    <cellStyle name="Input 21" xfId="3446" xr:uid="{00000000-0005-0000-0000-000078690000}"/>
    <cellStyle name="Input 21 10" xfId="19538" xr:uid="{00000000-0005-0000-0000-000079690000}"/>
    <cellStyle name="Input 21 2" xfId="3447" xr:uid="{00000000-0005-0000-0000-00007A690000}"/>
    <cellStyle name="Input 21 2 2" xfId="9112" xr:uid="{00000000-0005-0000-0000-00007B690000}"/>
    <cellStyle name="Input 21 2 2 2" xfId="19539" xr:uid="{00000000-0005-0000-0000-00007C690000}"/>
    <cellStyle name="Input 21 2 2 3" xfId="19540" xr:uid="{00000000-0005-0000-0000-00007D690000}"/>
    <cellStyle name="Input 21 2 2 4" xfId="19541" xr:uid="{00000000-0005-0000-0000-00007E690000}"/>
    <cellStyle name="Input 21 2 2 5" xfId="19542" xr:uid="{00000000-0005-0000-0000-00007F690000}"/>
    <cellStyle name="Input 21 2 3" xfId="19543" xr:uid="{00000000-0005-0000-0000-000080690000}"/>
    <cellStyle name="Input 21 2 4" xfId="19544" xr:uid="{00000000-0005-0000-0000-000081690000}"/>
    <cellStyle name="Input 21 2 5" xfId="19545" xr:uid="{00000000-0005-0000-0000-000082690000}"/>
    <cellStyle name="Input 21 2 6" xfId="19546" xr:uid="{00000000-0005-0000-0000-000083690000}"/>
    <cellStyle name="Input 21 3" xfId="3448" xr:uid="{00000000-0005-0000-0000-000084690000}"/>
    <cellStyle name="Input 21 3 2" xfId="9113" xr:uid="{00000000-0005-0000-0000-000085690000}"/>
    <cellStyle name="Input 21 3 2 2" xfId="19547" xr:uid="{00000000-0005-0000-0000-000086690000}"/>
    <cellStyle name="Input 21 3 2 3" xfId="19548" xr:uid="{00000000-0005-0000-0000-000087690000}"/>
    <cellStyle name="Input 21 3 2 4" xfId="19549" xr:uid="{00000000-0005-0000-0000-000088690000}"/>
    <cellStyle name="Input 21 3 2 5" xfId="19550" xr:uid="{00000000-0005-0000-0000-000089690000}"/>
    <cellStyle name="Input 21 3 3" xfId="19551" xr:uid="{00000000-0005-0000-0000-00008A690000}"/>
    <cellStyle name="Input 21 3 4" xfId="19552" xr:uid="{00000000-0005-0000-0000-00008B690000}"/>
    <cellStyle name="Input 21 3 5" xfId="19553" xr:uid="{00000000-0005-0000-0000-00008C690000}"/>
    <cellStyle name="Input 21 3 6" xfId="19554" xr:uid="{00000000-0005-0000-0000-00008D690000}"/>
    <cellStyle name="Input 21 4" xfId="6686" xr:uid="{00000000-0005-0000-0000-00008E690000}"/>
    <cellStyle name="Input 21 4 2" xfId="9114" xr:uid="{00000000-0005-0000-0000-00008F690000}"/>
    <cellStyle name="Input 21 4 2 2" xfId="19555" xr:uid="{00000000-0005-0000-0000-000090690000}"/>
    <cellStyle name="Input 21 4 2 3" xfId="19556" xr:uid="{00000000-0005-0000-0000-000091690000}"/>
    <cellStyle name="Input 21 4 2 4" xfId="19557" xr:uid="{00000000-0005-0000-0000-000092690000}"/>
    <cellStyle name="Input 21 4 2 5" xfId="19558" xr:uid="{00000000-0005-0000-0000-000093690000}"/>
    <cellStyle name="Input 21 4 3" xfId="19559" xr:uid="{00000000-0005-0000-0000-000094690000}"/>
    <cellStyle name="Input 21 4 4" xfId="19560" xr:uid="{00000000-0005-0000-0000-000095690000}"/>
    <cellStyle name="Input 21 4 5" xfId="19561" xr:uid="{00000000-0005-0000-0000-000096690000}"/>
    <cellStyle name="Input 21 4 6" xfId="19562" xr:uid="{00000000-0005-0000-0000-000097690000}"/>
    <cellStyle name="Input 21 5" xfId="8461" xr:uid="{00000000-0005-0000-0000-000098690000}"/>
    <cellStyle name="Input 21 5 2" xfId="9115" xr:uid="{00000000-0005-0000-0000-000099690000}"/>
    <cellStyle name="Input 21 5 2 2" xfId="19563" xr:uid="{00000000-0005-0000-0000-00009A690000}"/>
    <cellStyle name="Input 21 5 2 3" xfId="19564" xr:uid="{00000000-0005-0000-0000-00009B690000}"/>
    <cellStyle name="Input 21 5 2 4" xfId="19565" xr:uid="{00000000-0005-0000-0000-00009C690000}"/>
    <cellStyle name="Input 21 5 2 5" xfId="19566" xr:uid="{00000000-0005-0000-0000-00009D690000}"/>
    <cellStyle name="Input 21 5 3" xfId="19567" xr:uid="{00000000-0005-0000-0000-00009E690000}"/>
    <cellStyle name="Input 21 5 4" xfId="19568" xr:uid="{00000000-0005-0000-0000-00009F690000}"/>
    <cellStyle name="Input 21 5 5" xfId="19569" xr:uid="{00000000-0005-0000-0000-0000A0690000}"/>
    <cellStyle name="Input 21 5 6" xfId="19570" xr:uid="{00000000-0005-0000-0000-0000A1690000}"/>
    <cellStyle name="Input 21 6" xfId="9111" xr:uid="{00000000-0005-0000-0000-0000A2690000}"/>
    <cellStyle name="Input 21 6 2" xfId="19571" xr:uid="{00000000-0005-0000-0000-0000A3690000}"/>
    <cellStyle name="Input 21 6 3" xfId="19572" xr:uid="{00000000-0005-0000-0000-0000A4690000}"/>
    <cellStyle name="Input 21 6 4" xfId="19573" xr:uid="{00000000-0005-0000-0000-0000A5690000}"/>
    <cellStyle name="Input 21 6 5" xfId="19574" xr:uid="{00000000-0005-0000-0000-0000A6690000}"/>
    <cellStyle name="Input 21 7" xfId="19575" xr:uid="{00000000-0005-0000-0000-0000A7690000}"/>
    <cellStyle name="Input 21 8" xfId="19576" xr:uid="{00000000-0005-0000-0000-0000A8690000}"/>
    <cellStyle name="Input 21 9" xfId="19577" xr:uid="{00000000-0005-0000-0000-0000A9690000}"/>
    <cellStyle name="Input 22" xfId="3449" xr:uid="{00000000-0005-0000-0000-0000AA690000}"/>
    <cellStyle name="Input 22 10" xfId="19578" xr:uid="{00000000-0005-0000-0000-0000AB690000}"/>
    <cellStyle name="Input 22 2" xfId="3450" xr:uid="{00000000-0005-0000-0000-0000AC690000}"/>
    <cellStyle name="Input 22 2 2" xfId="9117" xr:uid="{00000000-0005-0000-0000-0000AD690000}"/>
    <cellStyle name="Input 22 2 2 2" xfId="19579" xr:uid="{00000000-0005-0000-0000-0000AE690000}"/>
    <cellStyle name="Input 22 2 2 3" xfId="19580" xr:uid="{00000000-0005-0000-0000-0000AF690000}"/>
    <cellStyle name="Input 22 2 2 4" xfId="19581" xr:uid="{00000000-0005-0000-0000-0000B0690000}"/>
    <cellStyle name="Input 22 2 2 5" xfId="19582" xr:uid="{00000000-0005-0000-0000-0000B1690000}"/>
    <cellStyle name="Input 22 2 3" xfId="19583" xr:uid="{00000000-0005-0000-0000-0000B2690000}"/>
    <cellStyle name="Input 22 2 4" xfId="19584" xr:uid="{00000000-0005-0000-0000-0000B3690000}"/>
    <cellStyle name="Input 22 2 5" xfId="19585" xr:uid="{00000000-0005-0000-0000-0000B4690000}"/>
    <cellStyle name="Input 22 2 6" xfId="19586" xr:uid="{00000000-0005-0000-0000-0000B5690000}"/>
    <cellStyle name="Input 22 3" xfId="3451" xr:uid="{00000000-0005-0000-0000-0000B6690000}"/>
    <cellStyle name="Input 22 3 2" xfId="9118" xr:uid="{00000000-0005-0000-0000-0000B7690000}"/>
    <cellStyle name="Input 22 3 2 2" xfId="19587" xr:uid="{00000000-0005-0000-0000-0000B8690000}"/>
    <cellStyle name="Input 22 3 2 3" xfId="19588" xr:uid="{00000000-0005-0000-0000-0000B9690000}"/>
    <cellStyle name="Input 22 3 2 4" xfId="19589" xr:uid="{00000000-0005-0000-0000-0000BA690000}"/>
    <cellStyle name="Input 22 3 2 5" xfId="19590" xr:uid="{00000000-0005-0000-0000-0000BB690000}"/>
    <cellStyle name="Input 22 3 3" xfId="19591" xr:uid="{00000000-0005-0000-0000-0000BC690000}"/>
    <cellStyle name="Input 22 3 4" xfId="19592" xr:uid="{00000000-0005-0000-0000-0000BD690000}"/>
    <cellStyle name="Input 22 3 5" xfId="19593" xr:uid="{00000000-0005-0000-0000-0000BE690000}"/>
    <cellStyle name="Input 22 3 6" xfId="19594" xr:uid="{00000000-0005-0000-0000-0000BF690000}"/>
    <cellStyle name="Input 22 4" xfId="6687" xr:uid="{00000000-0005-0000-0000-0000C0690000}"/>
    <cellStyle name="Input 22 4 2" xfId="9119" xr:uid="{00000000-0005-0000-0000-0000C1690000}"/>
    <cellStyle name="Input 22 4 2 2" xfId="19595" xr:uid="{00000000-0005-0000-0000-0000C2690000}"/>
    <cellStyle name="Input 22 4 2 3" xfId="19596" xr:uid="{00000000-0005-0000-0000-0000C3690000}"/>
    <cellStyle name="Input 22 4 2 4" xfId="19597" xr:uid="{00000000-0005-0000-0000-0000C4690000}"/>
    <cellStyle name="Input 22 4 2 5" xfId="19598" xr:uid="{00000000-0005-0000-0000-0000C5690000}"/>
    <cellStyle name="Input 22 4 3" xfId="19599" xr:uid="{00000000-0005-0000-0000-0000C6690000}"/>
    <cellStyle name="Input 22 4 4" xfId="19600" xr:uid="{00000000-0005-0000-0000-0000C7690000}"/>
    <cellStyle name="Input 22 4 5" xfId="19601" xr:uid="{00000000-0005-0000-0000-0000C8690000}"/>
    <cellStyle name="Input 22 4 6" xfId="19602" xr:uid="{00000000-0005-0000-0000-0000C9690000}"/>
    <cellStyle name="Input 22 5" xfId="8462" xr:uid="{00000000-0005-0000-0000-0000CA690000}"/>
    <cellStyle name="Input 22 5 2" xfId="9120" xr:uid="{00000000-0005-0000-0000-0000CB690000}"/>
    <cellStyle name="Input 22 5 2 2" xfId="19603" xr:uid="{00000000-0005-0000-0000-0000CC690000}"/>
    <cellStyle name="Input 22 5 2 3" xfId="19604" xr:uid="{00000000-0005-0000-0000-0000CD690000}"/>
    <cellStyle name="Input 22 5 2 4" xfId="19605" xr:uid="{00000000-0005-0000-0000-0000CE690000}"/>
    <cellStyle name="Input 22 5 2 5" xfId="19606" xr:uid="{00000000-0005-0000-0000-0000CF690000}"/>
    <cellStyle name="Input 22 5 3" xfId="19607" xr:uid="{00000000-0005-0000-0000-0000D0690000}"/>
    <cellStyle name="Input 22 5 4" xfId="19608" xr:uid="{00000000-0005-0000-0000-0000D1690000}"/>
    <cellStyle name="Input 22 5 5" xfId="19609" xr:uid="{00000000-0005-0000-0000-0000D2690000}"/>
    <cellStyle name="Input 22 5 6" xfId="19610" xr:uid="{00000000-0005-0000-0000-0000D3690000}"/>
    <cellStyle name="Input 22 6" xfId="9116" xr:uid="{00000000-0005-0000-0000-0000D4690000}"/>
    <cellStyle name="Input 22 6 2" xfId="19611" xr:uid="{00000000-0005-0000-0000-0000D5690000}"/>
    <cellStyle name="Input 22 6 3" xfId="19612" xr:uid="{00000000-0005-0000-0000-0000D6690000}"/>
    <cellStyle name="Input 22 6 4" xfId="19613" xr:uid="{00000000-0005-0000-0000-0000D7690000}"/>
    <cellStyle name="Input 22 6 5" xfId="19614" xr:uid="{00000000-0005-0000-0000-0000D8690000}"/>
    <cellStyle name="Input 22 7" xfId="19615" xr:uid="{00000000-0005-0000-0000-0000D9690000}"/>
    <cellStyle name="Input 22 8" xfId="19616" xr:uid="{00000000-0005-0000-0000-0000DA690000}"/>
    <cellStyle name="Input 22 9" xfId="19617" xr:uid="{00000000-0005-0000-0000-0000DB690000}"/>
    <cellStyle name="Input 23" xfId="3452" xr:uid="{00000000-0005-0000-0000-0000DC690000}"/>
    <cellStyle name="Input 23 2" xfId="6688" xr:uid="{00000000-0005-0000-0000-0000DD690000}"/>
    <cellStyle name="Input 23 2 2" xfId="9122" xr:uid="{00000000-0005-0000-0000-0000DE690000}"/>
    <cellStyle name="Input 23 2 2 2" xfId="19618" xr:uid="{00000000-0005-0000-0000-0000DF690000}"/>
    <cellStyle name="Input 23 2 2 3" xfId="19619" xr:uid="{00000000-0005-0000-0000-0000E0690000}"/>
    <cellStyle name="Input 23 2 2 4" xfId="19620" xr:uid="{00000000-0005-0000-0000-0000E1690000}"/>
    <cellStyle name="Input 23 2 2 5" xfId="19621" xr:uid="{00000000-0005-0000-0000-0000E2690000}"/>
    <cellStyle name="Input 23 2 3" xfId="19622" xr:uid="{00000000-0005-0000-0000-0000E3690000}"/>
    <cellStyle name="Input 23 2 4" xfId="19623" xr:uid="{00000000-0005-0000-0000-0000E4690000}"/>
    <cellStyle name="Input 23 2 5" xfId="19624" xr:uid="{00000000-0005-0000-0000-0000E5690000}"/>
    <cellStyle name="Input 23 2 6" xfId="19625" xr:uid="{00000000-0005-0000-0000-0000E6690000}"/>
    <cellStyle name="Input 23 3" xfId="8463" xr:uid="{00000000-0005-0000-0000-0000E7690000}"/>
    <cellStyle name="Input 23 3 2" xfId="9123" xr:uid="{00000000-0005-0000-0000-0000E8690000}"/>
    <cellStyle name="Input 23 3 2 2" xfId="19626" xr:uid="{00000000-0005-0000-0000-0000E9690000}"/>
    <cellStyle name="Input 23 3 2 3" xfId="19627" xr:uid="{00000000-0005-0000-0000-0000EA690000}"/>
    <cellStyle name="Input 23 3 2 4" xfId="19628" xr:uid="{00000000-0005-0000-0000-0000EB690000}"/>
    <cellStyle name="Input 23 3 2 5" xfId="19629" xr:uid="{00000000-0005-0000-0000-0000EC690000}"/>
    <cellStyle name="Input 23 3 3" xfId="19630" xr:uid="{00000000-0005-0000-0000-0000ED690000}"/>
    <cellStyle name="Input 23 3 4" xfId="19631" xr:uid="{00000000-0005-0000-0000-0000EE690000}"/>
    <cellStyle name="Input 23 3 5" xfId="19632" xr:uid="{00000000-0005-0000-0000-0000EF690000}"/>
    <cellStyle name="Input 23 3 6" xfId="19633" xr:uid="{00000000-0005-0000-0000-0000F0690000}"/>
    <cellStyle name="Input 23 4" xfId="8219" xr:uid="{00000000-0005-0000-0000-0000F1690000}"/>
    <cellStyle name="Input 23 4 2" xfId="9124" xr:uid="{00000000-0005-0000-0000-0000F2690000}"/>
    <cellStyle name="Input 23 4 2 2" xfId="19634" xr:uid="{00000000-0005-0000-0000-0000F3690000}"/>
    <cellStyle name="Input 23 4 2 3" xfId="19635" xr:uid="{00000000-0005-0000-0000-0000F4690000}"/>
    <cellStyle name="Input 23 4 2 4" xfId="19636" xr:uid="{00000000-0005-0000-0000-0000F5690000}"/>
    <cellStyle name="Input 23 4 2 5" xfId="19637" xr:uid="{00000000-0005-0000-0000-0000F6690000}"/>
    <cellStyle name="Input 23 4 3" xfId="19638" xr:uid="{00000000-0005-0000-0000-0000F7690000}"/>
    <cellStyle name="Input 23 4 4" xfId="19639" xr:uid="{00000000-0005-0000-0000-0000F8690000}"/>
    <cellStyle name="Input 23 4 5" xfId="19640" xr:uid="{00000000-0005-0000-0000-0000F9690000}"/>
    <cellStyle name="Input 23 4 6" xfId="19641" xr:uid="{00000000-0005-0000-0000-0000FA690000}"/>
    <cellStyle name="Input 23 5" xfId="9121" xr:uid="{00000000-0005-0000-0000-0000FB690000}"/>
    <cellStyle name="Input 23 5 2" xfId="19642" xr:uid="{00000000-0005-0000-0000-0000FC690000}"/>
    <cellStyle name="Input 23 5 3" xfId="19643" xr:uid="{00000000-0005-0000-0000-0000FD690000}"/>
    <cellStyle name="Input 23 5 4" xfId="19644" xr:uid="{00000000-0005-0000-0000-0000FE690000}"/>
    <cellStyle name="Input 23 5 5" xfId="19645" xr:uid="{00000000-0005-0000-0000-0000FF690000}"/>
    <cellStyle name="Input 23 6" xfId="19646" xr:uid="{00000000-0005-0000-0000-0000006A0000}"/>
    <cellStyle name="Input 23 7" xfId="19647" xr:uid="{00000000-0005-0000-0000-0000016A0000}"/>
    <cellStyle name="Input 23 8" xfId="19648" xr:uid="{00000000-0005-0000-0000-0000026A0000}"/>
    <cellStyle name="Input 23 9" xfId="19649" xr:uid="{00000000-0005-0000-0000-0000036A0000}"/>
    <cellStyle name="Input 24" xfId="3453" xr:uid="{00000000-0005-0000-0000-0000046A0000}"/>
    <cellStyle name="Input 24 2" xfId="6689" xr:uid="{00000000-0005-0000-0000-0000056A0000}"/>
    <cellStyle name="Input 24 2 2" xfId="9126" xr:uid="{00000000-0005-0000-0000-0000066A0000}"/>
    <cellStyle name="Input 24 2 2 2" xfId="19650" xr:uid="{00000000-0005-0000-0000-0000076A0000}"/>
    <cellStyle name="Input 24 2 2 3" xfId="19651" xr:uid="{00000000-0005-0000-0000-0000086A0000}"/>
    <cellStyle name="Input 24 2 2 4" xfId="19652" xr:uid="{00000000-0005-0000-0000-0000096A0000}"/>
    <cellStyle name="Input 24 2 2 5" xfId="19653" xr:uid="{00000000-0005-0000-0000-00000A6A0000}"/>
    <cellStyle name="Input 24 2 3" xfId="19654" xr:uid="{00000000-0005-0000-0000-00000B6A0000}"/>
    <cellStyle name="Input 24 2 4" xfId="19655" xr:uid="{00000000-0005-0000-0000-00000C6A0000}"/>
    <cellStyle name="Input 24 2 5" xfId="19656" xr:uid="{00000000-0005-0000-0000-00000D6A0000}"/>
    <cellStyle name="Input 24 2 6" xfId="19657" xr:uid="{00000000-0005-0000-0000-00000E6A0000}"/>
    <cellStyle name="Input 24 3" xfId="8464" xr:uid="{00000000-0005-0000-0000-00000F6A0000}"/>
    <cellStyle name="Input 24 3 2" xfId="9127" xr:uid="{00000000-0005-0000-0000-0000106A0000}"/>
    <cellStyle name="Input 24 3 2 2" xfId="19658" xr:uid="{00000000-0005-0000-0000-0000116A0000}"/>
    <cellStyle name="Input 24 3 2 3" xfId="19659" xr:uid="{00000000-0005-0000-0000-0000126A0000}"/>
    <cellStyle name="Input 24 3 2 4" xfId="19660" xr:uid="{00000000-0005-0000-0000-0000136A0000}"/>
    <cellStyle name="Input 24 3 2 5" xfId="19661" xr:uid="{00000000-0005-0000-0000-0000146A0000}"/>
    <cellStyle name="Input 24 3 3" xfId="19662" xr:uid="{00000000-0005-0000-0000-0000156A0000}"/>
    <cellStyle name="Input 24 3 4" xfId="19663" xr:uid="{00000000-0005-0000-0000-0000166A0000}"/>
    <cellStyle name="Input 24 3 5" xfId="19664" xr:uid="{00000000-0005-0000-0000-0000176A0000}"/>
    <cellStyle name="Input 24 3 6" xfId="19665" xr:uid="{00000000-0005-0000-0000-0000186A0000}"/>
    <cellStyle name="Input 24 4" xfId="8220" xr:uid="{00000000-0005-0000-0000-0000196A0000}"/>
    <cellStyle name="Input 24 4 2" xfId="9128" xr:uid="{00000000-0005-0000-0000-00001A6A0000}"/>
    <cellStyle name="Input 24 4 2 2" xfId="19666" xr:uid="{00000000-0005-0000-0000-00001B6A0000}"/>
    <cellStyle name="Input 24 4 2 3" xfId="19667" xr:uid="{00000000-0005-0000-0000-00001C6A0000}"/>
    <cellStyle name="Input 24 4 2 4" xfId="19668" xr:uid="{00000000-0005-0000-0000-00001D6A0000}"/>
    <cellStyle name="Input 24 4 2 5" xfId="19669" xr:uid="{00000000-0005-0000-0000-00001E6A0000}"/>
    <cellStyle name="Input 24 4 3" xfId="19670" xr:uid="{00000000-0005-0000-0000-00001F6A0000}"/>
    <cellStyle name="Input 24 4 4" xfId="19671" xr:uid="{00000000-0005-0000-0000-0000206A0000}"/>
    <cellStyle name="Input 24 4 5" xfId="19672" xr:uid="{00000000-0005-0000-0000-0000216A0000}"/>
    <cellStyle name="Input 24 4 6" xfId="19673" xr:uid="{00000000-0005-0000-0000-0000226A0000}"/>
    <cellStyle name="Input 24 5" xfId="9125" xr:uid="{00000000-0005-0000-0000-0000236A0000}"/>
    <cellStyle name="Input 24 5 2" xfId="19674" xr:uid="{00000000-0005-0000-0000-0000246A0000}"/>
    <cellStyle name="Input 24 5 3" xfId="19675" xr:uid="{00000000-0005-0000-0000-0000256A0000}"/>
    <cellStyle name="Input 24 5 4" xfId="19676" xr:uid="{00000000-0005-0000-0000-0000266A0000}"/>
    <cellStyle name="Input 24 5 5" xfId="19677" xr:uid="{00000000-0005-0000-0000-0000276A0000}"/>
    <cellStyle name="Input 24 6" xfId="19678" xr:uid="{00000000-0005-0000-0000-0000286A0000}"/>
    <cellStyle name="Input 24 7" xfId="19679" xr:uid="{00000000-0005-0000-0000-0000296A0000}"/>
    <cellStyle name="Input 24 8" xfId="19680" xr:uid="{00000000-0005-0000-0000-00002A6A0000}"/>
    <cellStyle name="Input 24 9" xfId="19681" xr:uid="{00000000-0005-0000-0000-00002B6A0000}"/>
    <cellStyle name="Input 25" xfId="3454" xr:uid="{00000000-0005-0000-0000-00002C6A0000}"/>
    <cellStyle name="Input 25 2" xfId="6690" xr:uid="{00000000-0005-0000-0000-00002D6A0000}"/>
    <cellStyle name="Input 25 2 2" xfId="9130" xr:uid="{00000000-0005-0000-0000-00002E6A0000}"/>
    <cellStyle name="Input 25 2 2 2" xfId="19682" xr:uid="{00000000-0005-0000-0000-00002F6A0000}"/>
    <cellStyle name="Input 25 2 2 3" xfId="19683" xr:uid="{00000000-0005-0000-0000-0000306A0000}"/>
    <cellStyle name="Input 25 2 2 4" xfId="19684" xr:uid="{00000000-0005-0000-0000-0000316A0000}"/>
    <cellStyle name="Input 25 2 2 5" xfId="19685" xr:uid="{00000000-0005-0000-0000-0000326A0000}"/>
    <cellStyle name="Input 25 2 3" xfId="19686" xr:uid="{00000000-0005-0000-0000-0000336A0000}"/>
    <cellStyle name="Input 25 2 4" xfId="19687" xr:uid="{00000000-0005-0000-0000-0000346A0000}"/>
    <cellStyle name="Input 25 2 5" xfId="19688" xr:uid="{00000000-0005-0000-0000-0000356A0000}"/>
    <cellStyle name="Input 25 2 6" xfId="19689" xr:uid="{00000000-0005-0000-0000-0000366A0000}"/>
    <cellStyle name="Input 25 3" xfId="9129" xr:uid="{00000000-0005-0000-0000-0000376A0000}"/>
    <cellStyle name="Input 25 3 2" xfId="19690" xr:uid="{00000000-0005-0000-0000-0000386A0000}"/>
    <cellStyle name="Input 25 3 3" xfId="19691" xr:uid="{00000000-0005-0000-0000-0000396A0000}"/>
    <cellStyle name="Input 25 3 4" xfId="19692" xr:uid="{00000000-0005-0000-0000-00003A6A0000}"/>
    <cellStyle name="Input 25 3 5" xfId="19693" xr:uid="{00000000-0005-0000-0000-00003B6A0000}"/>
    <cellStyle name="Input 25 4" xfId="19694" xr:uid="{00000000-0005-0000-0000-00003C6A0000}"/>
    <cellStyle name="Input 25 5" xfId="19695" xr:uid="{00000000-0005-0000-0000-00003D6A0000}"/>
    <cellStyle name="Input 25 6" xfId="19696" xr:uid="{00000000-0005-0000-0000-00003E6A0000}"/>
    <cellStyle name="Input 25 7" xfId="19697" xr:uid="{00000000-0005-0000-0000-00003F6A0000}"/>
    <cellStyle name="Input 26" xfId="3455" xr:uid="{00000000-0005-0000-0000-0000406A0000}"/>
    <cellStyle name="Input 26 2" xfId="6691" xr:uid="{00000000-0005-0000-0000-0000416A0000}"/>
    <cellStyle name="Input 26 2 2" xfId="9132" xr:uid="{00000000-0005-0000-0000-0000426A0000}"/>
    <cellStyle name="Input 26 2 2 2" xfId="19698" xr:uid="{00000000-0005-0000-0000-0000436A0000}"/>
    <cellStyle name="Input 26 2 2 3" xfId="19699" xr:uid="{00000000-0005-0000-0000-0000446A0000}"/>
    <cellStyle name="Input 26 2 2 4" xfId="19700" xr:uid="{00000000-0005-0000-0000-0000456A0000}"/>
    <cellStyle name="Input 26 2 2 5" xfId="19701" xr:uid="{00000000-0005-0000-0000-0000466A0000}"/>
    <cellStyle name="Input 26 2 3" xfId="19702" xr:uid="{00000000-0005-0000-0000-0000476A0000}"/>
    <cellStyle name="Input 26 2 4" xfId="19703" xr:uid="{00000000-0005-0000-0000-0000486A0000}"/>
    <cellStyle name="Input 26 2 5" xfId="19704" xr:uid="{00000000-0005-0000-0000-0000496A0000}"/>
    <cellStyle name="Input 26 2 6" xfId="19705" xr:uid="{00000000-0005-0000-0000-00004A6A0000}"/>
    <cellStyle name="Input 26 3" xfId="9131" xr:uid="{00000000-0005-0000-0000-00004B6A0000}"/>
    <cellStyle name="Input 26 3 2" xfId="19706" xr:uid="{00000000-0005-0000-0000-00004C6A0000}"/>
    <cellStyle name="Input 26 3 3" xfId="19707" xr:uid="{00000000-0005-0000-0000-00004D6A0000}"/>
    <cellStyle name="Input 26 3 4" xfId="19708" xr:uid="{00000000-0005-0000-0000-00004E6A0000}"/>
    <cellStyle name="Input 26 3 5" xfId="19709" xr:uid="{00000000-0005-0000-0000-00004F6A0000}"/>
    <cellStyle name="Input 26 4" xfId="19710" xr:uid="{00000000-0005-0000-0000-0000506A0000}"/>
    <cellStyle name="Input 26 5" xfId="19711" xr:uid="{00000000-0005-0000-0000-0000516A0000}"/>
    <cellStyle name="Input 26 6" xfId="19712" xr:uid="{00000000-0005-0000-0000-0000526A0000}"/>
    <cellStyle name="Input 26 7" xfId="19713" xr:uid="{00000000-0005-0000-0000-0000536A0000}"/>
    <cellStyle name="Input 27" xfId="3456" xr:uid="{00000000-0005-0000-0000-0000546A0000}"/>
    <cellStyle name="Input 27 2" xfId="6692" xr:uid="{00000000-0005-0000-0000-0000556A0000}"/>
    <cellStyle name="Input 27 2 2" xfId="9134" xr:uid="{00000000-0005-0000-0000-0000566A0000}"/>
    <cellStyle name="Input 27 2 2 2" xfId="19714" xr:uid="{00000000-0005-0000-0000-0000576A0000}"/>
    <cellStyle name="Input 27 2 2 3" xfId="19715" xr:uid="{00000000-0005-0000-0000-0000586A0000}"/>
    <cellStyle name="Input 27 2 2 4" xfId="19716" xr:uid="{00000000-0005-0000-0000-0000596A0000}"/>
    <cellStyle name="Input 27 2 2 5" xfId="19717" xr:uid="{00000000-0005-0000-0000-00005A6A0000}"/>
    <cellStyle name="Input 27 2 3" xfId="19718" xr:uid="{00000000-0005-0000-0000-00005B6A0000}"/>
    <cellStyle name="Input 27 2 4" xfId="19719" xr:uid="{00000000-0005-0000-0000-00005C6A0000}"/>
    <cellStyle name="Input 27 2 5" xfId="19720" xr:uid="{00000000-0005-0000-0000-00005D6A0000}"/>
    <cellStyle name="Input 27 2 6" xfId="19721" xr:uid="{00000000-0005-0000-0000-00005E6A0000}"/>
    <cellStyle name="Input 27 3" xfId="9133" xr:uid="{00000000-0005-0000-0000-00005F6A0000}"/>
    <cellStyle name="Input 27 3 2" xfId="19722" xr:uid="{00000000-0005-0000-0000-0000606A0000}"/>
    <cellStyle name="Input 27 3 3" xfId="19723" xr:uid="{00000000-0005-0000-0000-0000616A0000}"/>
    <cellStyle name="Input 27 3 4" xfId="19724" xr:uid="{00000000-0005-0000-0000-0000626A0000}"/>
    <cellStyle name="Input 27 3 5" xfId="19725" xr:uid="{00000000-0005-0000-0000-0000636A0000}"/>
    <cellStyle name="Input 27 4" xfId="19726" xr:uid="{00000000-0005-0000-0000-0000646A0000}"/>
    <cellStyle name="Input 27 5" xfId="19727" xr:uid="{00000000-0005-0000-0000-0000656A0000}"/>
    <cellStyle name="Input 27 6" xfId="19728" xr:uid="{00000000-0005-0000-0000-0000666A0000}"/>
    <cellStyle name="Input 27 7" xfId="19729" xr:uid="{00000000-0005-0000-0000-0000676A0000}"/>
    <cellStyle name="Input 28" xfId="3457" xr:uid="{00000000-0005-0000-0000-0000686A0000}"/>
    <cellStyle name="Input 28 2" xfId="6693" xr:uid="{00000000-0005-0000-0000-0000696A0000}"/>
    <cellStyle name="Input 28 2 2" xfId="9136" xr:uid="{00000000-0005-0000-0000-00006A6A0000}"/>
    <cellStyle name="Input 28 2 2 2" xfId="19730" xr:uid="{00000000-0005-0000-0000-00006B6A0000}"/>
    <cellStyle name="Input 28 2 2 3" xfId="19731" xr:uid="{00000000-0005-0000-0000-00006C6A0000}"/>
    <cellStyle name="Input 28 2 2 4" xfId="19732" xr:uid="{00000000-0005-0000-0000-00006D6A0000}"/>
    <cellStyle name="Input 28 2 2 5" xfId="19733" xr:uid="{00000000-0005-0000-0000-00006E6A0000}"/>
    <cellStyle name="Input 28 2 3" xfId="19734" xr:uid="{00000000-0005-0000-0000-00006F6A0000}"/>
    <cellStyle name="Input 28 2 4" xfId="19735" xr:uid="{00000000-0005-0000-0000-0000706A0000}"/>
    <cellStyle name="Input 28 2 5" xfId="19736" xr:uid="{00000000-0005-0000-0000-0000716A0000}"/>
    <cellStyle name="Input 28 2 6" xfId="19737" xr:uid="{00000000-0005-0000-0000-0000726A0000}"/>
    <cellStyle name="Input 28 3" xfId="9135" xr:uid="{00000000-0005-0000-0000-0000736A0000}"/>
    <cellStyle name="Input 28 3 2" xfId="19738" xr:uid="{00000000-0005-0000-0000-0000746A0000}"/>
    <cellStyle name="Input 28 3 3" xfId="19739" xr:uid="{00000000-0005-0000-0000-0000756A0000}"/>
    <cellStyle name="Input 28 3 4" xfId="19740" xr:uid="{00000000-0005-0000-0000-0000766A0000}"/>
    <cellStyle name="Input 28 3 5" xfId="19741" xr:uid="{00000000-0005-0000-0000-0000776A0000}"/>
    <cellStyle name="Input 28 4" xfId="19742" xr:uid="{00000000-0005-0000-0000-0000786A0000}"/>
    <cellStyle name="Input 28 5" xfId="19743" xr:uid="{00000000-0005-0000-0000-0000796A0000}"/>
    <cellStyle name="Input 28 6" xfId="19744" xr:uid="{00000000-0005-0000-0000-00007A6A0000}"/>
    <cellStyle name="Input 28 7" xfId="19745" xr:uid="{00000000-0005-0000-0000-00007B6A0000}"/>
    <cellStyle name="Input 29" xfId="3458" xr:uid="{00000000-0005-0000-0000-00007C6A0000}"/>
    <cellStyle name="Input 29 2" xfId="6694" xr:uid="{00000000-0005-0000-0000-00007D6A0000}"/>
    <cellStyle name="Input 29 2 2" xfId="9138" xr:uid="{00000000-0005-0000-0000-00007E6A0000}"/>
    <cellStyle name="Input 29 2 2 2" xfId="19746" xr:uid="{00000000-0005-0000-0000-00007F6A0000}"/>
    <cellStyle name="Input 29 2 2 3" xfId="19747" xr:uid="{00000000-0005-0000-0000-0000806A0000}"/>
    <cellStyle name="Input 29 2 2 4" xfId="19748" xr:uid="{00000000-0005-0000-0000-0000816A0000}"/>
    <cellStyle name="Input 29 2 2 5" xfId="19749" xr:uid="{00000000-0005-0000-0000-0000826A0000}"/>
    <cellStyle name="Input 29 2 3" xfId="19750" xr:uid="{00000000-0005-0000-0000-0000836A0000}"/>
    <cellStyle name="Input 29 2 4" xfId="19751" xr:uid="{00000000-0005-0000-0000-0000846A0000}"/>
    <cellStyle name="Input 29 2 5" xfId="19752" xr:uid="{00000000-0005-0000-0000-0000856A0000}"/>
    <cellStyle name="Input 29 2 6" xfId="19753" xr:uid="{00000000-0005-0000-0000-0000866A0000}"/>
    <cellStyle name="Input 29 3" xfId="9137" xr:uid="{00000000-0005-0000-0000-0000876A0000}"/>
    <cellStyle name="Input 29 3 2" xfId="19754" xr:uid="{00000000-0005-0000-0000-0000886A0000}"/>
    <cellStyle name="Input 29 3 3" xfId="19755" xr:uid="{00000000-0005-0000-0000-0000896A0000}"/>
    <cellStyle name="Input 29 3 4" xfId="19756" xr:uid="{00000000-0005-0000-0000-00008A6A0000}"/>
    <cellStyle name="Input 29 3 5" xfId="19757" xr:uid="{00000000-0005-0000-0000-00008B6A0000}"/>
    <cellStyle name="Input 29 4" xfId="19758" xr:uid="{00000000-0005-0000-0000-00008C6A0000}"/>
    <cellStyle name="Input 29 5" xfId="19759" xr:uid="{00000000-0005-0000-0000-00008D6A0000}"/>
    <cellStyle name="Input 29 6" xfId="19760" xr:uid="{00000000-0005-0000-0000-00008E6A0000}"/>
    <cellStyle name="Input 29 7" xfId="19761" xr:uid="{00000000-0005-0000-0000-00008F6A0000}"/>
    <cellStyle name="Input 3" xfId="1438" xr:uid="{00000000-0005-0000-0000-0000906A0000}"/>
    <cellStyle name="Input 3 10" xfId="8465" xr:uid="{00000000-0005-0000-0000-0000916A0000}"/>
    <cellStyle name="Input 3 10 2" xfId="9140" xr:uid="{00000000-0005-0000-0000-0000926A0000}"/>
    <cellStyle name="Input 3 10 2 2" xfId="19762" xr:uid="{00000000-0005-0000-0000-0000936A0000}"/>
    <cellStyle name="Input 3 10 2 3" xfId="19763" xr:uid="{00000000-0005-0000-0000-0000946A0000}"/>
    <cellStyle name="Input 3 10 2 4" xfId="19764" xr:uid="{00000000-0005-0000-0000-0000956A0000}"/>
    <cellStyle name="Input 3 10 2 5" xfId="19765" xr:uid="{00000000-0005-0000-0000-0000966A0000}"/>
    <cellStyle name="Input 3 10 3" xfId="19766" xr:uid="{00000000-0005-0000-0000-0000976A0000}"/>
    <cellStyle name="Input 3 10 4" xfId="19767" xr:uid="{00000000-0005-0000-0000-0000986A0000}"/>
    <cellStyle name="Input 3 10 5" xfId="19768" xr:uid="{00000000-0005-0000-0000-0000996A0000}"/>
    <cellStyle name="Input 3 10 6" xfId="19769" xr:uid="{00000000-0005-0000-0000-00009A6A0000}"/>
    <cellStyle name="Input 3 11" xfId="9141" xr:uid="{00000000-0005-0000-0000-00009B6A0000}"/>
    <cellStyle name="Input 3 11 2" xfId="19770" xr:uid="{00000000-0005-0000-0000-00009C6A0000}"/>
    <cellStyle name="Input 3 11 3" xfId="19771" xr:uid="{00000000-0005-0000-0000-00009D6A0000}"/>
    <cellStyle name="Input 3 11 4" xfId="19772" xr:uid="{00000000-0005-0000-0000-00009E6A0000}"/>
    <cellStyle name="Input 3 11 5" xfId="19773" xr:uid="{00000000-0005-0000-0000-00009F6A0000}"/>
    <cellStyle name="Input 3 12" xfId="9139" xr:uid="{00000000-0005-0000-0000-0000A06A0000}"/>
    <cellStyle name="Input 3 12 2" xfId="19774" xr:uid="{00000000-0005-0000-0000-0000A16A0000}"/>
    <cellStyle name="Input 3 12 3" xfId="19775" xr:uid="{00000000-0005-0000-0000-0000A26A0000}"/>
    <cellStyle name="Input 3 12 4" xfId="19776" xr:uid="{00000000-0005-0000-0000-0000A36A0000}"/>
    <cellStyle name="Input 3 12 5" xfId="19777" xr:uid="{00000000-0005-0000-0000-0000A46A0000}"/>
    <cellStyle name="Input 3 13" xfId="19778" xr:uid="{00000000-0005-0000-0000-0000A56A0000}"/>
    <cellStyle name="Input 3 14" xfId="19779" xr:uid="{00000000-0005-0000-0000-0000A66A0000}"/>
    <cellStyle name="Input 3 15" xfId="19780" xr:uid="{00000000-0005-0000-0000-0000A76A0000}"/>
    <cellStyle name="Input 3 16" xfId="19781" xr:uid="{00000000-0005-0000-0000-0000A86A0000}"/>
    <cellStyle name="Input 3 17" xfId="19782" xr:uid="{00000000-0005-0000-0000-0000A96A0000}"/>
    <cellStyle name="Input 3 2" xfId="1439" xr:uid="{00000000-0005-0000-0000-0000AA6A0000}"/>
    <cellStyle name="Input 3 2 2" xfId="9142" xr:uid="{00000000-0005-0000-0000-0000AB6A0000}"/>
    <cellStyle name="Input 3 2 2 2" xfId="19783" xr:uid="{00000000-0005-0000-0000-0000AC6A0000}"/>
    <cellStyle name="Input 3 2 2 3" xfId="19784" xr:uid="{00000000-0005-0000-0000-0000AD6A0000}"/>
    <cellStyle name="Input 3 2 2 4" xfId="19785" xr:uid="{00000000-0005-0000-0000-0000AE6A0000}"/>
    <cellStyle name="Input 3 2 2 5" xfId="19786" xr:uid="{00000000-0005-0000-0000-0000AF6A0000}"/>
    <cellStyle name="Input 3 2 3" xfId="19787" xr:uid="{00000000-0005-0000-0000-0000B06A0000}"/>
    <cellStyle name="Input 3 2 4" xfId="19788" xr:uid="{00000000-0005-0000-0000-0000B16A0000}"/>
    <cellStyle name="Input 3 2 5" xfId="19789" xr:uid="{00000000-0005-0000-0000-0000B26A0000}"/>
    <cellStyle name="Input 3 2 6" xfId="19790" xr:uid="{00000000-0005-0000-0000-0000B36A0000}"/>
    <cellStyle name="Input 3 2 7" xfId="19791" xr:uid="{00000000-0005-0000-0000-0000B46A0000}"/>
    <cellStyle name="Input 3 3" xfId="3459" xr:uid="{00000000-0005-0000-0000-0000B56A0000}"/>
    <cellStyle name="Input 3 3 2" xfId="9143" xr:uid="{00000000-0005-0000-0000-0000B66A0000}"/>
    <cellStyle name="Input 3 3 2 2" xfId="19792" xr:uid="{00000000-0005-0000-0000-0000B76A0000}"/>
    <cellStyle name="Input 3 3 2 3" xfId="19793" xr:uid="{00000000-0005-0000-0000-0000B86A0000}"/>
    <cellStyle name="Input 3 3 2 4" xfId="19794" xr:uid="{00000000-0005-0000-0000-0000B96A0000}"/>
    <cellStyle name="Input 3 3 2 5" xfId="19795" xr:uid="{00000000-0005-0000-0000-0000BA6A0000}"/>
    <cellStyle name="Input 3 3 3" xfId="19796" xr:uid="{00000000-0005-0000-0000-0000BB6A0000}"/>
    <cellStyle name="Input 3 3 4" xfId="19797" xr:uid="{00000000-0005-0000-0000-0000BC6A0000}"/>
    <cellStyle name="Input 3 3 5" xfId="19798" xr:uid="{00000000-0005-0000-0000-0000BD6A0000}"/>
    <cellStyle name="Input 3 3 6" xfId="19799" xr:uid="{00000000-0005-0000-0000-0000BE6A0000}"/>
    <cellStyle name="Input 3 4" xfId="3460" xr:uid="{00000000-0005-0000-0000-0000BF6A0000}"/>
    <cellStyle name="Input 3 4 2" xfId="9144" xr:uid="{00000000-0005-0000-0000-0000C06A0000}"/>
    <cellStyle name="Input 3 4 2 2" xfId="19800" xr:uid="{00000000-0005-0000-0000-0000C16A0000}"/>
    <cellStyle name="Input 3 4 2 3" xfId="19801" xr:uid="{00000000-0005-0000-0000-0000C26A0000}"/>
    <cellStyle name="Input 3 4 2 4" xfId="19802" xr:uid="{00000000-0005-0000-0000-0000C36A0000}"/>
    <cellStyle name="Input 3 4 2 5" xfId="19803" xr:uid="{00000000-0005-0000-0000-0000C46A0000}"/>
    <cellStyle name="Input 3 4 3" xfId="19804" xr:uid="{00000000-0005-0000-0000-0000C56A0000}"/>
    <cellStyle name="Input 3 4 4" xfId="19805" xr:uid="{00000000-0005-0000-0000-0000C66A0000}"/>
    <cellStyle name="Input 3 4 5" xfId="19806" xr:uid="{00000000-0005-0000-0000-0000C76A0000}"/>
    <cellStyle name="Input 3 4 6" xfId="19807" xr:uid="{00000000-0005-0000-0000-0000C86A0000}"/>
    <cellStyle name="Input 3 5" xfId="3461" xr:uid="{00000000-0005-0000-0000-0000C96A0000}"/>
    <cellStyle name="Input 3 5 2" xfId="9145" xr:uid="{00000000-0005-0000-0000-0000CA6A0000}"/>
    <cellStyle name="Input 3 5 2 2" xfId="19808" xr:uid="{00000000-0005-0000-0000-0000CB6A0000}"/>
    <cellStyle name="Input 3 5 2 3" xfId="19809" xr:uid="{00000000-0005-0000-0000-0000CC6A0000}"/>
    <cellStyle name="Input 3 5 2 4" xfId="19810" xr:uid="{00000000-0005-0000-0000-0000CD6A0000}"/>
    <cellStyle name="Input 3 5 2 5" xfId="19811" xr:uid="{00000000-0005-0000-0000-0000CE6A0000}"/>
    <cellStyle name="Input 3 5 3" xfId="19812" xr:uid="{00000000-0005-0000-0000-0000CF6A0000}"/>
    <cellStyle name="Input 3 5 4" xfId="19813" xr:uid="{00000000-0005-0000-0000-0000D06A0000}"/>
    <cellStyle name="Input 3 5 5" xfId="19814" xr:uid="{00000000-0005-0000-0000-0000D16A0000}"/>
    <cellStyle name="Input 3 5 6" xfId="19815" xr:uid="{00000000-0005-0000-0000-0000D26A0000}"/>
    <cellStyle name="Input 3 6" xfId="3462" xr:uid="{00000000-0005-0000-0000-0000D36A0000}"/>
    <cellStyle name="Input 3 6 2" xfId="9146" xr:uid="{00000000-0005-0000-0000-0000D46A0000}"/>
    <cellStyle name="Input 3 6 2 2" xfId="19816" xr:uid="{00000000-0005-0000-0000-0000D56A0000}"/>
    <cellStyle name="Input 3 6 2 3" xfId="19817" xr:uid="{00000000-0005-0000-0000-0000D66A0000}"/>
    <cellStyle name="Input 3 6 2 4" xfId="19818" xr:uid="{00000000-0005-0000-0000-0000D76A0000}"/>
    <cellStyle name="Input 3 6 2 5" xfId="19819" xr:uid="{00000000-0005-0000-0000-0000D86A0000}"/>
    <cellStyle name="Input 3 6 3" xfId="19820" xr:uid="{00000000-0005-0000-0000-0000D96A0000}"/>
    <cellStyle name="Input 3 6 4" xfId="19821" xr:uid="{00000000-0005-0000-0000-0000DA6A0000}"/>
    <cellStyle name="Input 3 6 5" xfId="19822" xr:uid="{00000000-0005-0000-0000-0000DB6A0000}"/>
    <cellStyle name="Input 3 6 6" xfId="19823" xr:uid="{00000000-0005-0000-0000-0000DC6A0000}"/>
    <cellStyle name="Input 3 7" xfId="3463" xr:uid="{00000000-0005-0000-0000-0000DD6A0000}"/>
    <cellStyle name="Input 3 7 2" xfId="9147" xr:uid="{00000000-0005-0000-0000-0000DE6A0000}"/>
    <cellStyle name="Input 3 7 2 2" xfId="19824" xr:uid="{00000000-0005-0000-0000-0000DF6A0000}"/>
    <cellStyle name="Input 3 7 2 3" xfId="19825" xr:uid="{00000000-0005-0000-0000-0000E06A0000}"/>
    <cellStyle name="Input 3 7 2 4" xfId="19826" xr:uid="{00000000-0005-0000-0000-0000E16A0000}"/>
    <cellStyle name="Input 3 7 2 5" xfId="19827" xr:uid="{00000000-0005-0000-0000-0000E26A0000}"/>
    <cellStyle name="Input 3 7 3" xfId="19828" xr:uid="{00000000-0005-0000-0000-0000E36A0000}"/>
    <cellStyle name="Input 3 7 4" xfId="19829" xr:uid="{00000000-0005-0000-0000-0000E46A0000}"/>
    <cellStyle name="Input 3 7 5" xfId="19830" xr:uid="{00000000-0005-0000-0000-0000E56A0000}"/>
    <cellStyle name="Input 3 7 6" xfId="19831" xr:uid="{00000000-0005-0000-0000-0000E66A0000}"/>
    <cellStyle name="Input 3 8" xfId="3464" xr:uid="{00000000-0005-0000-0000-0000E76A0000}"/>
    <cellStyle name="Input 3 8 2" xfId="9148" xr:uid="{00000000-0005-0000-0000-0000E86A0000}"/>
    <cellStyle name="Input 3 8 2 2" xfId="19832" xr:uid="{00000000-0005-0000-0000-0000E96A0000}"/>
    <cellStyle name="Input 3 8 2 3" xfId="19833" xr:uid="{00000000-0005-0000-0000-0000EA6A0000}"/>
    <cellStyle name="Input 3 8 2 4" xfId="19834" xr:uid="{00000000-0005-0000-0000-0000EB6A0000}"/>
    <cellStyle name="Input 3 8 2 5" xfId="19835" xr:uid="{00000000-0005-0000-0000-0000EC6A0000}"/>
    <cellStyle name="Input 3 8 3" xfId="19836" xr:uid="{00000000-0005-0000-0000-0000ED6A0000}"/>
    <cellStyle name="Input 3 8 4" xfId="19837" xr:uid="{00000000-0005-0000-0000-0000EE6A0000}"/>
    <cellStyle name="Input 3 8 5" xfId="19838" xr:uid="{00000000-0005-0000-0000-0000EF6A0000}"/>
    <cellStyle name="Input 3 8 6" xfId="19839" xr:uid="{00000000-0005-0000-0000-0000F06A0000}"/>
    <cellStyle name="Input 3 9" xfId="3465" xr:uid="{00000000-0005-0000-0000-0000F16A0000}"/>
    <cellStyle name="Input 3 9 2" xfId="9149" xr:uid="{00000000-0005-0000-0000-0000F26A0000}"/>
    <cellStyle name="Input 3 9 2 2" xfId="19840" xr:uid="{00000000-0005-0000-0000-0000F36A0000}"/>
    <cellStyle name="Input 3 9 2 3" xfId="19841" xr:uid="{00000000-0005-0000-0000-0000F46A0000}"/>
    <cellStyle name="Input 3 9 2 4" xfId="19842" xr:uid="{00000000-0005-0000-0000-0000F56A0000}"/>
    <cellStyle name="Input 3 9 2 5" xfId="19843" xr:uid="{00000000-0005-0000-0000-0000F66A0000}"/>
    <cellStyle name="Input 3 9 3" xfId="19844" xr:uid="{00000000-0005-0000-0000-0000F76A0000}"/>
    <cellStyle name="Input 3 9 4" xfId="19845" xr:uid="{00000000-0005-0000-0000-0000F86A0000}"/>
    <cellStyle name="Input 3 9 5" xfId="19846" xr:uid="{00000000-0005-0000-0000-0000F96A0000}"/>
    <cellStyle name="Input 3 9 6" xfId="19847" xr:uid="{00000000-0005-0000-0000-0000FA6A0000}"/>
    <cellStyle name="Input 3_ELC" xfId="6591" xr:uid="{00000000-0005-0000-0000-0000FB6A0000}"/>
    <cellStyle name="Input 30" xfId="3466" xr:uid="{00000000-0005-0000-0000-0000FC6A0000}"/>
    <cellStyle name="Input 30 2" xfId="6695" xr:uid="{00000000-0005-0000-0000-0000FD6A0000}"/>
    <cellStyle name="Input 30 2 2" xfId="9151" xr:uid="{00000000-0005-0000-0000-0000FE6A0000}"/>
    <cellStyle name="Input 30 2 2 2" xfId="19848" xr:uid="{00000000-0005-0000-0000-0000FF6A0000}"/>
    <cellStyle name="Input 30 2 2 3" xfId="19849" xr:uid="{00000000-0005-0000-0000-0000006B0000}"/>
    <cellStyle name="Input 30 2 2 4" xfId="19850" xr:uid="{00000000-0005-0000-0000-0000016B0000}"/>
    <cellStyle name="Input 30 2 2 5" xfId="19851" xr:uid="{00000000-0005-0000-0000-0000026B0000}"/>
    <cellStyle name="Input 30 2 3" xfId="19852" xr:uid="{00000000-0005-0000-0000-0000036B0000}"/>
    <cellStyle name="Input 30 2 4" xfId="19853" xr:uid="{00000000-0005-0000-0000-0000046B0000}"/>
    <cellStyle name="Input 30 2 5" xfId="19854" xr:uid="{00000000-0005-0000-0000-0000056B0000}"/>
    <cellStyle name="Input 30 2 6" xfId="19855" xr:uid="{00000000-0005-0000-0000-0000066B0000}"/>
    <cellStyle name="Input 30 3" xfId="9150" xr:uid="{00000000-0005-0000-0000-0000076B0000}"/>
    <cellStyle name="Input 30 3 2" xfId="19856" xr:uid="{00000000-0005-0000-0000-0000086B0000}"/>
    <cellStyle name="Input 30 3 3" xfId="19857" xr:uid="{00000000-0005-0000-0000-0000096B0000}"/>
    <cellStyle name="Input 30 3 4" xfId="19858" xr:uid="{00000000-0005-0000-0000-00000A6B0000}"/>
    <cellStyle name="Input 30 3 5" xfId="19859" xr:uid="{00000000-0005-0000-0000-00000B6B0000}"/>
    <cellStyle name="Input 30 4" xfId="19860" xr:uid="{00000000-0005-0000-0000-00000C6B0000}"/>
    <cellStyle name="Input 30 5" xfId="19861" xr:uid="{00000000-0005-0000-0000-00000D6B0000}"/>
    <cellStyle name="Input 30 6" xfId="19862" xr:uid="{00000000-0005-0000-0000-00000E6B0000}"/>
    <cellStyle name="Input 30 7" xfId="19863" xr:uid="{00000000-0005-0000-0000-00000F6B0000}"/>
    <cellStyle name="Input 31" xfId="3467" xr:uid="{00000000-0005-0000-0000-0000106B0000}"/>
    <cellStyle name="Input 31 2" xfId="6696" xr:uid="{00000000-0005-0000-0000-0000116B0000}"/>
    <cellStyle name="Input 31 2 2" xfId="9153" xr:uid="{00000000-0005-0000-0000-0000126B0000}"/>
    <cellStyle name="Input 31 2 2 2" xfId="19864" xr:uid="{00000000-0005-0000-0000-0000136B0000}"/>
    <cellStyle name="Input 31 2 2 3" xfId="19865" xr:uid="{00000000-0005-0000-0000-0000146B0000}"/>
    <cellStyle name="Input 31 2 2 4" xfId="19866" xr:uid="{00000000-0005-0000-0000-0000156B0000}"/>
    <cellStyle name="Input 31 2 2 5" xfId="19867" xr:uid="{00000000-0005-0000-0000-0000166B0000}"/>
    <cellStyle name="Input 31 2 3" xfId="19868" xr:uid="{00000000-0005-0000-0000-0000176B0000}"/>
    <cellStyle name="Input 31 2 4" xfId="19869" xr:uid="{00000000-0005-0000-0000-0000186B0000}"/>
    <cellStyle name="Input 31 2 5" xfId="19870" xr:uid="{00000000-0005-0000-0000-0000196B0000}"/>
    <cellStyle name="Input 31 2 6" xfId="19871" xr:uid="{00000000-0005-0000-0000-00001A6B0000}"/>
    <cellStyle name="Input 31 3" xfId="9152" xr:uid="{00000000-0005-0000-0000-00001B6B0000}"/>
    <cellStyle name="Input 31 3 2" xfId="19872" xr:uid="{00000000-0005-0000-0000-00001C6B0000}"/>
    <cellStyle name="Input 31 3 3" xfId="19873" xr:uid="{00000000-0005-0000-0000-00001D6B0000}"/>
    <cellStyle name="Input 31 3 4" xfId="19874" xr:uid="{00000000-0005-0000-0000-00001E6B0000}"/>
    <cellStyle name="Input 31 3 5" xfId="19875" xr:uid="{00000000-0005-0000-0000-00001F6B0000}"/>
    <cellStyle name="Input 31 4" xfId="19876" xr:uid="{00000000-0005-0000-0000-0000206B0000}"/>
    <cellStyle name="Input 31 5" xfId="19877" xr:uid="{00000000-0005-0000-0000-0000216B0000}"/>
    <cellStyle name="Input 31 6" xfId="19878" xr:uid="{00000000-0005-0000-0000-0000226B0000}"/>
    <cellStyle name="Input 31 7" xfId="19879" xr:uid="{00000000-0005-0000-0000-0000236B0000}"/>
    <cellStyle name="Input 32" xfId="3468" xr:uid="{00000000-0005-0000-0000-0000246B0000}"/>
    <cellStyle name="Input 32 2" xfId="6697" xr:uid="{00000000-0005-0000-0000-0000256B0000}"/>
    <cellStyle name="Input 32 2 2" xfId="9155" xr:uid="{00000000-0005-0000-0000-0000266B0000}"/>
    <cellStyle name="Input 32 2 2 2" xfId="19880" xr:uid="{00000000-0005-0000-0000-0000276B0000}"/>
    <cellStyle name="Input 32 2 2 3" xfId="19881" xr:uid="{00000000-0005-0000-0000-0000286B0000}"/>
    <cellStyle name="Input 32 2 2 4" xfId="19882" xr:uid="{00000000-0005-0000-0000-0000296B0000}"/>
    <cellStyle name="Input 32 2 2 5" xfId="19883" xr:uid="{00000000-0005-0000-0000-00002A6B0000}"/>
    <cellStyle name="Input 32 2 3" xfId="19884" xr:uid="{00000000-0005-0000-0000-00002B6B0000}"/>
    <cellStyle name="Input 32 2 4" xfId="19885" xr:uid="{00000000-0005-0000-0000-00002C6B0000}"/>
    <cellStyle name="Input 32 2 5" xfId="19886" xr:uid="{00000000-0005-0000-0000-00002D6B0000}"/>
    <cellStyle name="Input 32 2 6" xfId="19887" xr:uid="{00000000-0005-0000-0000-00002E6B0000}"/>
    <cellStyle name="Input 32 3" xfId="9154" xr:uid="{00000000-0005-0000-0000-00002F6B0000}"/>
    <cellStyle name="Input 32 3 2" xfId="19888" xr:uid="{00000000-0005-0000-0000-0000306B0000}"/>
    <cellStyle name="Input 32 3 3" xfId="19889" xr:uid="{00000000-0005-0000-0000-0000316B0000}"/>
    <cellStyle name="Input 32 3 4" xfId="19890" xr:uid="{00000000-0005-0000-0000-0000326B0000}"/>
    <cellStyle name="Input 32 3 5" xfId="19891" xr:uid="{00000000-0005-0000-0000-0000336B0000}"/>
    <cellStyle name="Input 32 4" xfId="19892" xr:uid="{00000000-0005-0000-0000-0000346B0000}"/>
    <cellStyle name="Input 32 5" xfId="19893" xr:uid="{00000000-0005-0000-0000-0000356B0000}"/>
    <cellStyle name="Input 32 6" xfId="19894" xr:uid="{00000000-0005-0000-0000-0000366B0000}"/>
    <cellStyle name="Input 32 7" xfId="19895" xr:uid="{00000000-0005-0000-0000-0000376B0000}"/>
    <cellStyle name="Input 33" xfId="3469" xr:uid="{00000000-0005-0000-0000-0000386B0000}"/>
    <cellStyle name="Input 33 2" xfId="6698" xr:uid="{00000000-0005-0000-0000-0000396B0000}"/>
    <cellStyle name="Input 33 2 2" xfId="9157" xr:uid="{00000000-0005-0000-0000-00003A6B0000}"/>
    <cellStyle name="Input 33 2 2 2" xfId="19896" xr:uid="{00000000-0005-0000-0000-00003B6B0000}"/>
    <cellStyle name="Input 33 2 2 3" xfId="19897" xr:uid="{00000000-0005-0000-0000-00003C6B0000}"/>
    <cellStyle name="Input 33 2 2 4" xfId="19898" xr:uid="{00000000-0005-0000-0000-00003D6B0000}"/>
    <cellStyle name="Input 33 2 2 5" xfId="19899" xr:uid="{00000000-0005-0000-0000-00003E6B0000}"/>
    <cellStyle name="Input 33 2 3" xfId="19900" xr:uid="{00000000-0005-0000-0000-00003F6B0000}"/>
    <cellStyle name="Input 33 2 4" xfId="19901" xr:uid="{00000000-0005-0000-0000-0000406B0000}"/>
    <cellStyle name="Input 33 2 5" xfId="19902" xr:uid="{00000000-0005-0000-0000-0000416B0000}"/>
    <cellStyle name="Input 33 2 6" xfId="19903" xr:uid="{00000000-0005-0000-0000-0000426B0000}"/>
    <cellStyle name="Input 33 3" xfId="9156" xr:uid="{00000000-0005-0000-0000-0000436B0000}"/>
    <cellStyle name="Input 33 3 2" xfId="19904" xr:uid="{00000000-0005-0000-0000-0000446B0000}"/>
    <cellStyle name="Input 33 3 3" xfId="19905" xr:uid="{00000000-0005-0000-0000-0000456B0000}"/>
    <cellStyle name="Input 33 3 4" xfId="19906" xr:uid="{00000000-0005-0000-0000-0000466B0000}"/>
    <cellStyle name="Input 33 3 5" xfId="19907" xr:uid="{00000000-0005-0000-0000-0000476B0000}"/>
    <cellStyle name="Input 33 4" xfId="19908" xr:uid="{00000000-0005-0000-0000-0000486B0000}"/>
    <cellStyle name="Input 33 5" xfId="19909" xr:uid="{00000000-0005-0000-0000-0000496B0000}"/>
    <cellStyle name="Input 33 6" xfId="19910" xr:uid="{00000000-0005-0000-0000-00004A6B0000}"/>
    <cellStyle name="Input 33 7" xfId="19911" xr:uid="{00000000-0005-0000-0000-00004B6B0000}"/>
    <cellStyle name="Input 34" xfId="3470" xr:uid="{00000000-0005-0000-0000-00004C6B0000}"/>
    <cellStyle name="Input 34 2" xfId="6699" xr:uid="{00000000-0005-0000-0000-00004D6B0000}"/>
    <cellStyle name="Input 34 2 2" xfId="9159" xr:uid="{00000000-0005-0000-0000-00004E6B0000}"/>
    <cellStyle name="Input 34 2 2 2" xfId="19912" xr:uid="{00000000-0005-0000-0000-00004F6B0000}"/>
    <cellStyle name="Input 34 2 2 3" xfId="19913" xr:uid="{00000000-0005-0000-0000-0000506B0000}"/>
    <cellStyle name="Input 34 2 2 4" xfId="19914" xr:uid="{00000000-0005-0000-0000-0000516B0000}"/>
    <cellStyle name="Input 34 2 2 5" xfId="19915" xr:uid="{00000000-0005-0000-0000-0000526B0000}"/>
    <cellStyle name="Input 34 2 3" xfId="19916" xr:uid="{00000000-0005-0000-0000-0000536B0000}"/>
    <cellStyle name="Input 34 2 4" xfId="19917" xr:uid="{00000000-0005-0000-0000-0000546B0000}"/>
    <cellStyle name="Input 34 2 5" xfId="19918" xr:uid="{00000000-0005-0000-0000-0000556B0000}"/>
    <cellStyle name="Input 34 2 6" xfId="19919" xr:uid="{00000000-0005-0000-0000-0000566B0000}"/>
    <cellStyle name="Input 34 3" xfId="9158" xr:uid="{00000000-0005-0000-0000-0000576B0000}"/>
    <cellStyle name="Input 34 3 2" xfId="19920" xr:uid="{00000000-0005-0000-0000-0000586B0000}"/>
    <cellStyle name="Input 34 3 3" xfId="19921" xr:uid="{00000000-0005-0000-0000-0000596B0000}"/>
    <cellStyle name="Input 34 3 4" xfId="19922" xr:uid="{00000000-0005-0000-0000-00005A6B0000}"/>
    <cellStyle name="Input 34 3 5" xfId="19923" xr:uid="{00000000-0005-0000-0000-00005B6B0000}"/>
    <cellStyle name="Input 34 4" xfId="19924" xr:uid="{00000000-0005-0000-0000-00005C6B0000}"/>
    <cellStyle name="Input 34 5" xfId="19925" xr:uid="{00000000-0005-0000-0000-00005D6B0000}"/>
    <cellStyle name="Input 34 6" xfId="19926" xr:uid="{00000000-0005-0000-0000-00005E6B0000}"/>
    <cellStyle name="Input 34 7" xfId="19927" xr:uid="{00000000-0005-0000-0000-00005F6B0000}"/>
    <cellStyle name="Input 35" xfId="3471" xr:uid="{00000000-0005-0000-0000-0000606B0000}"/>
    <cellStyle name="Input 35 2" xfId="6700" xr:uid="{00000000-0005-0000-0000-0000616B0000}"/>
    <cellStyle name="Input 35 2 2" xfId="9161" xr:uid="{00000000-0005-0000-0000-0000626B0000}"/>
    <cellStyle name="Input 35 2 2 2" xfId="19928" xr:uid="{00000000-0005-0000-0000-0000636B0000}"/>
    <cellStyle name="Input 35 2 2 3" xfId="19929" xr:uid="{00000000-0005-0000-0000-0000646B0000}"/>
    <cellStyle name="Input 35 2 2 4" xfId="19930" xr:uid="{00000000-0005-0000-0000-0000656B0000}"/>
    <cellStyle name="Input 35 2 2 5" xfId="19931" xr:uid="{00000000-0005-0000-0000-0000666B0000}"/>
    <cellStyle name="Input 35 2 3" xfId="19932" xr:uid="{00000000-0005-0000-0000-0000676B0000}"/>
    <cellStyle name="Input 35 2 4" xfId="19933" xr:uid="{00000000-0005-0000-0000-0000686B0000}"/>
    <cellStyle name="Input 35 2 5" xfId="19934" xr:uid="{00000000-0005-0000-0000-0000696B0000}"/>
    <cellStyle name="Input 35 2 6" xfId="19935" xr:uid="{00000000-0005-0000-0000-00006A6B0000}"/>
    <cellStyle name="Input 35 3" xfId="9160" xr:uid="{00000000-0005-0000-0000-00006B6B0000}"/>
    <cellStyle name="Input 35 3 2" xfId="19936" xr:uid="{00000000-0005-0000-0000-00006C6B0000}"/>
    <cellStyle name="Input 35 3 3" xfId="19937" xr:uid="{00000000-0005-0000-0000-00006D6B0000}"/>
    <cellStyle name="Input 35 3 4" xfId="19938" xr:uid="{00000000-0005-0000-0000-00006E6B0000}"/>
    <cellStyle name="Input 35 3 5" xfId="19939" xr:uid="{00000000-0005-0000-0000-00006F6B0000}"/>
    <cellStyle name="Input 35 4" xfId="19940" xr:uid="{00000000-0005-0000-0000-0000706B0000}"/>
    <cellStyle name="Input 35 5" xfId="19941" xr:uid="{00000000-0005-0000-0000-0000716B0000}"/>
    <cellStyle name="Input 35 6" xfId="19942" xr:uid="{00000000-0005-0000-0000-0000726B0000}"/>
    <cellStyle name="Input 35 7" xfId="19943" xr:uid="{00000000-0005-0000-0000-0000736B0000}"/>
    <cellStyle name="Input 36" xfId="3472" xr:uid="{00000000-0005-0000-0000-0000746B0000}"/>
    <cellStyle name="Input 36 2" xfId="6701" xr:uid="{00000000-0005-0000-0000-0000756B0000}"/>
    <cellStyle name="Input 36 2 2" xfId="9163" xr:uid="{00000000-0005-0000-0000-0000766B0000}"/>
    <cellStyle name="Input 36 2 2 2" xfId="19944" xr:uid="{00000000-0005-0000-0000-0000776B0000}"/>
    <cellStyle name="Input 36 2 2 3" xfId="19945" xr:uid="{00000000-0005-0000-0000-0000786B0000}"/>
    <cellStyle name="Input 36 2 2 4" xfId="19946" xr:uid="{00000000-0005-0000-0000-0000796B0000}"/>
    <cellStyle name="Input 36 2 2 5" xfId="19947" xr:uid="{00000000-0005-0000-0000-00007A6B0000}"/>
    <cellStyle name="Input 36 2 3" xfId="19948" xr:uid="{00000000-0005-0000-0000-00007B6B0000}"/>
    <cellStyle name="Input 36 2 4" xfId="19949" xr:uid="{00000000-0005-0000-0000-00007C6B0000}"/>
    <cellStyle name="Input 36 2 5" xfId="19950" xr:uid="{00000000-0005-0000-0000-00007D6B0000}"/>
    <cellStyle name="Input 36 2 6" xfId="19951" xr:uid="{00000000-0005-0000-0000-00007E6B0000}"/>
    <cellStyle name="Input 36 3" xfId="9162" xr:uid="{00000000-0005-0000-0000-00007F6B0000}"/>
    <cellStyle name="Input 36 3 2" xfId="19952" xr:uid="{00000000-0005-0000-0000-0000806B0000}"/>
    <cellStyle name="Input 36 3 3" xfId="19953" xr:uid="{00000000-0005-0000-0000-0000816B0000}"/>
    <cellStyle name="Input 36 3 4" xfId="19954" xr:uid="{00000000-0005-0000-0000-0000826B0000}"/>
    <cellStyle name="Input 36 3 5" xfId="19955" xr:uid="{00000000-0005-0000-0000-0000836B0000}"/>
    <cellStyle name="Input 36 4" xfId="19956" xr:uid="{00000000-0005-0000-0000-0000846B0000}"/>
    <cellStyle name="Input 36 5" xfId="19957" xr:uid="{00000000-0005-0000-0000-0000856B0000}"/>
    <cellStyle name="Input 36 6" xfId="19958" xr:uid="{00000000-0005-0000-0000-0000866B0000}"/>
    <cellStyle name="Input 36 7" xfId="19959" xr:uid="{00000000-0005-0000-0000-0000876B0000}"/>
    <cellStyle name="Input 37" xfId="3473" xr:uid="{00000000-0005-0000-0000-0000886B0000}"/>
    <cellStyle name="Input 37 2" xfId="9164" xr:uid="{00000000-0005-0000-0000-0000896B0000}"/>
    <cellStyle name="Input 37 2 2" xfId="19960" xr:uid="{00000000-0005-0000-0000-00008A6B0000}"/>
    <cellStyle name="Input 37 2 3" xfId="19961" xr:uid="{00000000-0005-0000-0000-00008B6B0000}"/>
    <cellStyle name="Input 37 2 4" xfId="19962" xr:uid="{00000000-0005-0000-0000-00008C6B0000}"/>
    <cellStyle name="Input 37 2 5" xfId="19963" xr:uid="{00000000-0005-0000-0000-00008D6B0000}"/>
    <cellStyle name="Input 37 3" xfId="19964" xr:uid="{00000000-0005-0000-0000-00008E6B0000}"/>
    <cellStyle name="Input 37 4" xfId="19965" xr:uid="{00000000-0005-0000-0000-00008F6B0000}"/>
    <cellStyle name="Input 37 5" xfId="19966" xr:uid="{00000000-0005-0000-0000-0000906B0000}"/>
    <cellStyle name="Input 37 6" xfId="19967" xr:uid="{00000000-0005-0000-0000-0000916B0000}"/>
    <cellStyle name="Input 38" xfId="8559" xr:uid="{00000000-0005-0000-0000-0000926B0000}"/>
    <cellStyle name="Input 38 2" xfId="9165" xr:uid="{00000000-0005-0000-0000-0000936B0000}"/>
    <cellStyle name="Input 38 2 2" xfId="19968" xr:uid="{00000000-0005-0000-0000-0000946B0000}"/>
    <cellStyle name="Input 38 2 3" xfId="19969" xr:uid="{00000000-0005-0000-0000-0000956B0000}"/>
    <cellStyle name="Input 38 2 4" xfId="19970" xr:uid="{00000000-0005-0000-0000-0000966B0000}"/>
    <cellStyle name="Input 38 2 5" xfId="19971" xr:uid="{00000000-0005-0000-0000-0000976B0000}"/>
    <cellStyle name="Input 38 3" xfId="19972" xr:uid="{00000000-0005-0000-0000-0000986B0000}"/>
    <cellStyle name="Input 38 4" xfId="19973" xr:uid="{00000000-0005-0000-0000-0000996B0000}"/>
    <cellStyle name="Input 38 5" xfId="19974" xr:uid="{00000000-0005-0000-0000-00009A6B0000}"/>
    <cellStyle name="Input 38 6" xfId="19975" xr:uid="{00000000-0005-0000-0000-00009B6B0000}"/>
    <cellStyle name="Input 39" xfId="6583" xr:uid="{00000000-0005-0000-0000-00009C6B0000}"/>
    <cellStyle name="Input 39 2" xfId="19977" xr:uid="{00000000-0005-0000-0000-00009D6B0000}"/>
    <cellStyle name="Input 39 3" xfId="19976" xr:uid="{00000000-0005-0000-0000-00009E6B0000}"/>
    <cellStyle name="Input 4" xfId="1440" xr:uid="{00000000-0005-0000-0000-00009F6B0000}"/>
    <cellStyle name="Input 4 10" xfId="8466" xr:uid="{00000000-0005-0000-0000-0000A06B0000}"/>
    <cellStyle name="Input 4 10 2" xfId="9167" xr:uid="{00000000-0005-0000-0000-0000A16B0000}"/>
    <cellStyle name="Input 4 10 2 2" xfId="19978" xr:uid="{00000000-0005-0000-0000-0000A26B0000}"/>
    <cellStyle name="Input 4 10 2 3" xfId="19979" xr:uid="{00000000-0005-0000-0000-0000A36B0000}"/>
    <cellStyle name="Input 4 10 2 4" xfId="19980" xr:uid="{00000000-0005-0000-0000-0000A46B0000}"/>
    <cellStyle name="Input 4 10 2 5" xfId="19981" xr:uid="{00000000-0005-0000-0000-0000A56B0000}"/>
    <cellStyle name="Input 4 10 3" xfId="19982" xr:uid="{00000000-0005-0000-0000-0000A66B0000}"/>
    <cellStyle name="Input 4 10 4" xfId="19983" xr:uid="{00000000-0005-0000-0000-0000A76B0000}"/>
    <cellStyle name="Input 4 10 5" xfId="19984" xr:uid="{00000000-0005-0000-0000-0000A86B0000}"/>
    <cellStyle name="Input 4 10 6" xfId="19985" xr:uid="{00000000-0005-0000-0000-0000A96B0000}"/>
    <cellStyle name="Input 4 11" xfId="9168" xr:uid="{00000000-0005-0000-0000-0000AA6B0000}"/>
    <cellStyle name="Input 4 11 2" xfId="19986" xr:uid="{00000000-0005-0000-0000-0000AB6B0000}"/>
    <cellStyle name="Input 4 11 3" xfId="19987" xr:uid="{00000000-0005-0000-0000-0000AC6B0000}"/>
    <cellStyle name="Input 4 11 4" xfId="19988" xr:uid="{00000000-0005-0000-0000-0000AD6B0000}"/>
    <cellStyle name="Input 4 11 5" xfId="19989" xr:uid="{00000000-0005-0000-0000-0000AE6B0000}"/>
    <cellStyle name="Input 4 12" xfId="9166" xr:uid="{00000000-0005-0000-0000-0000AF6B0000}"/>
    <cellStyle name="Input 4 12 2" xfId="19990" xr:uid="{00000000-0005-0000-0000-0000B06B0000}"/>
    <cellStyle name="Input 4 12 3" xfId="19991" xr:uid="{00000000-0005-0000-0000-0000B16B0000}"/>
    <cellStyle name="Input 4 12 4" xfId="19992" xr:uid="{00000000-0005-0000-0000-0000B26B0000}"/>
    <cellStyle name="Input 4 12 5" xfId="19993" xr:uid="{00000000-0005-0000-0000-0000B36B0000}"/>
    <cellStyle name="Input 4 13" xfId="19994" xr:uid="{00000000-0005-0000-0000-0000B46B0000}"/>
    <cellStyle name="Input 4 14" xfId="19995" xr:uid="{00000000-0005-0000-0000-0000B56B0000}"/>
    <cellStyle name="Input 4 15" xfId="19996" xr:uid="{00000000-0005-0000-0000-0000B66B0000}"/>
    <cellStyle name="Input 4 16" xfId="19997" xr:uid="{00000000-0005-0000-0000-0000B76B0000}"/>
    <cellStyle name="Input 4 17" xfId="19998" xr:uid="{00000000-0005-0000-0000-0000B86B0000}"/>
    <cellStyle name="Input 4 2" xfId="1441" xr:uid="{00000000-0005-0000-0000-0000B96B0000}"/>
    <cellStyle name="Input 4 2 2" xfId="9169" xr:uid="{00000000-0005-0000-0000-0000BA6B0000}"/>
    <cellStyle name="Input 4 2 2 2" xfId="19999" xr:uid="{00000000-0005-0000-0000-0000BB6B0000}"/>
    <cellStyle name="Input 4 2 2 3" xfId="20000" xr:uid="{00000000-0005-0000-0000-0000BC6B0000}"/>
    <cellStyle name="Input 4 2 2 4" xfId="20001" xr:uid="{00000000-0005-0000-0000-0000BD6B0000}"/>
    <cellStyle name="Input 4 2 2 5" xfId="20002" xr:uid="{00000000-0005-0000-0000-0000BE6B0000}"/>
    <cellStyle name="Input 4 2 3" xfId="20003" xr:uid="{00000000-0005-0000-0000-0000BF6B0000}"/>
    <cellStyle name="Input 4 2 4" xfId="20004" xr:uid="{00000000-0005-0000-0000-0000C06B0000}"/>
    <cellStyle name="Input 4 2 5" xfId="20005" xr:uid="{00000000-0005-0000-0000-0000C16B0000}"/>
    <cellStyle name="Input 4 2 6" xfId="20006" xr:uid="{00000000-0005-0000-0000-0000C26B0000}"/>
    <cellStyle name="Input 4 2 7" xfId="20007" xr:uid="{00000000-0005-0000-0000-0000C36B0000}"/>
    <cellStyle name="Input 4 3" xfId="3474" xr:uid="{00000000-0005-0000-0000-0000C46B0000}"/>
    <cellStyle name="Input 4 3 2" xfId="9170" xr:uid="{00000000-0005-0000-0000-0000C56B0000}"/>
    <cellStyle name="Input 4 3 2 2" xfId="20008" xr:uid="{00000000-0005-0000-0000-0000C66B0000}"/>
    <cellStyle name="Input 4 3 2 3" xfId="20009" xr:uid="{00000000-0005-0000-0000-0000C76B0000}"/>
    <cellStyle name="Input 4 3 2 4" xfId="20010" xr:uid="{00000000-0005-0000-0000-0000C86B0000}"/>
    <cellStyle name="Input 4 3 2 5" xfId="20011" xr:uid="{00000000-0005-0000-0000-0000C96B0000}"/>
    <cellStyle name="Input 4 3 3" xfId="20012" xr:uid="{00000000-0005-0000-0000-0000CA6B0000}"/>
    <cellStyle name="Input 4 3 4" xfId="20013" xr:uid="{00000000-0005-0000-0000-0000CB6B0000}"/>
    <cellStyle name="Input 4 3 5" xfId="20014" xr:uid="{00000000-0005-0000-0000-0000CC6B0000}"/>
    <cellStyle name="Input 4 3 6" xfId="20015" xr:uid="{00000000-0005-0000-0000-0000CD6B0000}"/>
    <cellStyle name="Input 4 4" xfId="3475" xr:uid="{00000000-0005-0000-0000-0000CE6B0000}"/>
    <cellStyle name="Input 4 4 2" xfId="9171" xr:uid="{00000000-0005-0000-0000-0000CF6B0000}"/>
    <cellStyle name="Input 4 4 2 2" xfId="20016" xr:uid="{00000000-0005-0000-0000-0000D06B0000}"/>
    <cellStyle name="Input 4 4 2 3" xfId="20017" xr:uid="{00000000-0005-0000-0000-0000D16B0000}"/>
    <cellStyle name="Input 4 4 2 4" xfId="20018" xr:uid="{00000000-0005-0000-0000-0000D26B0000}"/>
    <cellStyle name="Input 4 4 2 5" xfId="20019" xr:uid="{00000000-0005-0000-0000-0000D36B0000}"/>
    <cellStyle name="Input 4 4 3" xfId="20020" xr:uid="{00000000-0005-0000-0000-0000D46B0000}"/>
    <cellStyle name="Input 4 4 4" xfId="20021" xr:uid="{00000000-0005-0000-0000-0000D56B0000}"/>
    <cellStyle name="Input 4 4 5" xfId="20022" xr:uid="{00000000-0005-0000-0000-0000D66B0000}"/>
    <cellStyle name="Input 4 4 6" xfId="20023" xr:uid="{00000000-0005-0000-0000-0000D76B0000}"/>
    <cellStyle name="Input 4 5" xfId="3476" xr:uid="{00000000-0005-0000-0000-0000D86B0000}"/>
    <cellStyle name="Input 4 5 2" xfId="9172" xr:uid="{00000000-0005-0000-0000-0000D96B0000}"/>
    <cellStyle name="Input 4 5 2 2" xfId="20024" xr:uid="{00000000-0005-0000-0000-0000DA6B0000}"/>
    <cellStyle name="Input 4 5 2 3" xfId="20025" xr:uid="{00000000-0005-0000-0000-0000DB6B0000}"/>
    <cellStyle name="Input 4 5 2 4" xfId="20026" xr:uid="{00000000-0005-0000-0000-0000DC6B0000}"/>
    <cellStyle name="Input 4 5 2 5" xfId="20027" xr:uid="{00000000-0005-0000-0000-0000DD6B0000}"/>
    <cellStyle name="Input 4 5 3" xfId="20028" xr:uid="{00000000-0005-0000-0000-0000DE6B0000}"/>
    <cellStyle name="Input 4 5 4" xfId="20029" xr:uid="{00000000-0005-0000-0000-0000DF6B0000}"/>
    <cellStyle name="Input 4 5 5" xfId="20030" xr:uid="{00000000-0005-0000-0000-0000E06B0000}"/>
    <cellStyle name="Input 4 5 6" xfId="20031" xr:uid="{00000000-0005-0000-0000-0000E16B0000}"/>
    <cellStyle name="Input 4 6" xfId="3477" xr:uid="{00000000-0005-0000-0000-0000E26B0000}"/>
    <cellStyle name="Input 4 6 2" xfId="9173" xr:uid="{00000000-0005-0000-0000-0000E36B0000}"/>
    <cellStyle name="Input 4 6 2 2" xfId="20032" xr:uid="{00000000-0005-0000-0000-0000E46B0000}"/>
    <cellStyle name="Input 4 6 2 3" xfId="20033" xr:uid="{00000000-0005-0000-0000-0000E56B0000}"/>
    <cellStyle name="Input 4 6 2 4" xfId="20034" xr:uid="{00000000-0005-0000-0000-0000E66B0000}"/>
    <cellStyle name="Input 4 6 2 5" xfId="20035" xr:uid="{00000000-0005-0000-0000-0000E76B0000}"/>
    <cellStyle name="Input 4 6 3" xfId="20036" xr:uid="{00000000-0005-0000-0000-0000E86B0000}"/>
    <cellStyle name="Input 4 6 4" xfId="20037" xr:uid="{00000000-0005-0000-0000-0000E96B0000}"/>
    <cellStyle name="Input 4 6 5" xfId="20038" xr:uid="{00000000-0005-0000-0000-0000EA6B0000}"/>
    <cellStyle name="Input 4 6 6" xfId="20039" xr:uid="{00000000-0005-0000-0000-0000EB6B0000}"/>
    <cellStyle name="Input 4 7" xfId="3478" xr:uid="{00000000-0005-0000-0000-0000EC6B0000}"/>
    <cellStyle name="Input 4 7 2" xfId="9174" xr:uid="{00000000-0005-0000-0000-0000ED6B0000}"/>
    <cellStyle name="Input 4 7 2 2" xfId="20040" xr:uid="{00000000-0005-0000-0000-0000EE6B0000}"/>
    <cellStyle name="Input 4 7 2 3" xfId="20041" xr:uid="{00000000-0005-0000-0000-0000EF6B0000}"/>
    <cellStyle name="Input 4 7 2 4" xfId="20042" xr:uid="{00000000-0005-0000-0000-0000F06B0000}"/>
    <cellStyle name="Input 4 7 2 5" xfId="20043" xr:uid="{00000000-0005-0000-0000-0000F16B0000}"/>
    <cellStyle name="Input 4 7 3" xfId="20044" xr:uid="{00000000-0005-0000-0000-0000F26B0000}"/>
    <cellStyle name="Input 4 7 4" xfId="20045" xr:uid="{00000000-0005-0000-0000-0000F36B0000}"/>
    <cellStyle name="Input 4 7 5" xfId="20046" xr:uid="{00000000-0005-0000-0000-0000F46B0000}"/>
    <cellStyle name="Input 4 7 6" xfId="20047" xr:uid="{00000000-0005-0000-0000-0000F56B0000}"/>
    <cellStyle name="Input 4 8" xfId="3479" xr:uid="{00000000-0005-0000-0000-0000F66B0000}"/>
    <cellStyle name="Input 4 8 2" xfId="9175" xr:uid="{00000000-0005-0000-0000-0000F76B0000}"/>
    <cellStyle name="Input 4 8 2 2" xfId="20048" xr:uid="{00000000-0005-0000-0000-0000F86B0000}"/>
    <cellStyle name="Input 4 8 2 3" xfId="20049" xr:uid="{00000000-0005-0000-0000-0000F96B0000}"/>
    <cellStyle name="Input 4 8 2 4" xfId="20050" xr:uid="{00000000-0005-0000-0000-0000FA6B0000}"/>
    <cellStyle name="Input 4 8 2 5" xfId="20051" xr:uid="{00000000-0005-0000-0000-0000FB6B0000}"/>
    <cellStyle name="Input 4 8 3" xfId="20052" xr:uid="{00000000-0005-0000-0000-0000FC6B0000}"/>
    <cellStyle name="Input 4 8 4" xfId="20053" xr:uid="{00000000-0005-0000-0000-0000FD6B0000}"/>
    <cellStyle name="Input 4 8 5" xfId="20054" xr:uid="{00000000-0005-0000-0000-0000FE6B0000}"/>
    <cellStyle name="Input 4 8 6" xfId="20055" xr:uid="{00000000-0005-0000-0000-0000FF6B0000}"/>
    <cellStyle name="Input 4 9" xfId="3480" xr:uid="{00000000-0005-0000-0000-0000006C0000}"/>
    <cellStyle name="Input 4 9 2" xfId="9176" xr:uid="{00000000-0005-0000-0000-0000016C0000}"/>
    <cellStyle name="Input 4 9 2 2" xfId="20056" xr:uid="{00000000-0005-0000-0000-0000026C0000}"/>
    <cellStyle name="Input 4 9 2 3" xfId="20057" xr:uid="{00000000-0005-0000-0000-0000036C0000}"/>
    <cellStyle name="Input 4 9 2 4" xfId="20058" xr:uid="{00000000-0005-0000-0000-0000046C0000}"/>
    <cellStyle name="Input 4 9 2 5" xfId="20059" xr:uid="{00000000-0005-0000-0000-0000056C0000}"/>
    <cellStyle name="Input 4 9 3" xfId="20060" xr:uid="{00000000-0005-0000-0000-0000066C0000}"/>
    <cellStyle name="Input 4 9 4" xfId="20061" xr:uid="{00000000-0005-0000-0000-0000076C0000}"/>
    <cellStyle name="Input 4 9 5" xfId="20062" xr:uid="{00000000-0005-0000-0000-0000086C0000}"/>
    <cellStyle name="Input 4 9 6" xfId="20063" xr:uid="{00000000-0005-0000-0000-0000096C0000}"/>
    <cellStyle name="Input 4_ELC" xfId="6592" xr:uid="{00000000-0005-0000-0000-00000A6C0000}"/>
    <cellStyle name="Input 40" xfId="20064" xr:uid="{00000000-0005-0000-0000-00000B6C0000}"/>
    <cellStyle name="Input 41" xfId="20065" xr:uid="{00000000-0005-0000-0000-00000C6C0000}"/>
    <cellStyle name="Input 42" xfId="20066" xr:uid="{00000000-0005-0000-0000-00000D6C0000}"/>
    <cellStyle name="Input 5" xfId="1442" xr:uid="{00000000-0005-0000-0000-00000E6C0000}"/>
    <cellStyle name="Input 5 10" xfId="9177" xr:uid="{00000000-0005-0000-0000-00000F6C0000}"/>
    <cellStyle name="Input 5 10 2" xfId="20067" xr:uid="{00000000-0005-0000-0000-0000106C0000}"/>
    <cellStyle name="Input 5 10 3" xfId="20068" xr:uid="{00000000-0005-0000-0000-0000116C0000}"/>
    <cellStyle name="Input 5 10 4" xfId="20069" xr:uid="{00000000-0005-0000-0000-0000126C0000}"/>
    <cellStyle name="Input 5 10 5" xfId="20070" xr:uid="{00000000-0005-0000-0000-0000136C0000}"/>
    <cellStyle name="Input 5 11" xfId="20071" xr:uid="{00000000-0005-0000-0000-0000146C0000}"/>
    <cellStyle name="Input 5 12" xfId="20072" xr:uid="{00000000-0005-0000-0000-0000156C0000}"/>
    <cellStyle name="Input 5 13" xfId="20073" xr:uid="{00000000-0005-0000-0000-0000166C0000}"/>
    <cellStyle name="Input 5 14" xfId="20074" xr:uid="{00000000-0005-0000-0000-0000176C0000}"/>
    <cellStyle name="Input 5 15" xfId="20075" xr:uid="{00000000-0005-0000-0000-0000186C0000}"/>
    <cellStyle name="Input 5 2" xfId="1443" xr:uid="{00000000-0005-0000-0000-0000196C0000}"/>
    <cellStyle name="Input 5 2 2" xfId="9178" xr:uid="{00000000-0005-0000-0000-00001A6C0000}"/>
    <cellStyle name="Input 5 2 2 2" xfId="20076" xr:uid="{00000000-0005-0000-0000-00001B6C0000}"/>
    <cellStyle name="Input 5 2 2 3" xfId="20077" xr:uid="{00000000-0005-0000-0000-00001C6C0000}"/>
    <cellStyle name="Input 5 2 2 4" xfId="20078" xr:uid="{00000000-0005-0000-0000-00001D6C0000}"/>
    <cellStyle name="Input 5 2 2 5" xfId="20079" xr:uid="{00000000-0005-0000-0000-00001E6C0000}"/>
    <cellStyle name="Input 5 2 3" xfId="20080" xr:uid="{00000000-0005-0000-0000-00001F6C0000}"/>
    <cellStyle name="Input 5 2 4" xfId="20081" xr:uid="{00000000-0005-0000-0000-0000206C0000}"/>
    <cellStyle name="Input 5 2 5" xfId="20082" xr:uid="{00000000-0005-0000-0000-0000216C0000}"/>
    <cellStyle name="Input 5 2 6" xfId="20083" xr:uid="{00000000-0005-0000-0000-0000226C0000}"/>
    <cellStyle name="Input 5 2 7" xfId="20084" xr:uid="{00000000-0005-0000-0000-0000236C0000}"/>
    <cellStyle name="Input 5 3" xfId="3481" xr:uid="{00000000-0005-0000-0000-0000246C0000}"/>
    <cellStyle name="Input 5 3 2" xfId="9179" xr:uid="{00000000-0005-0000-0000-0000256C0000}"/>
    <cellStyle name="Input 5 3 2 2" xfId="20085" xr:uid="{00000000-0005-0000-0000-0000266C0000}"/>
    <cellStyle name="Input 5 3 2 3" xfId="20086" xr:uid="{00000000-0005-0000-0000-0000276C0000}"/>
    <cellStyle name="Input 5 3 2 4" xfId="20087" xr:uid="{00000000-0005-0000-0000-0000286C0000}"/>
    <cellStyle name="Input 5 3 2 5" xfId="20088" xr:uid="{00000000-0005-0000-0000-0000296C0000}"/>
    <cellStyle name="Input 5 3 3" xfId="20089" xr:uid="{00000000-0005-0000-0000-00002A6C0000}"/>
    <cellStyle name="Input 5 3 4" xfId="20090" xr:uid="{00000000-0005-0000-0000-00002B6C0000}"/>
    <cellStyle name="Input 5 3 5" xfId="20091" xr:uid="{00000000-0005-0000-0000-00002C6C0000}"/>
    <cellStyle name="Input 5 3 6" xfId="20092" xr:uid="{00000000-0005-0000-0000-00002D6C0000}"/>
    <cellStyle name="Input 5 4" xfId="3482" xr:uid="{00000000-0005-0000-0000-00002E6C0000}"/>
    <cellStyle name="Input 5 4 2" xfId="9180" xr:uid="{00000000-0005-0000-0000-00002F6C0000}"/>
    <cellStyle name="Input 5 4 2 2" xfId="20093" xr:uid="{00000000-0005-0000-0000-0000306C0000}"/>
    <cellStyle name="Input 5 4 2 3" xfId="20094" xr:uid="{00000000-0005-0000-0000-0000316C0000}"/>
    <cellStyle name="Input 5 4 2 4" xfId="20095" xr:uid="{00000000-0005-0000-0000-0000326C0000}"/>
    <cellStyle name="Input 5 4 2 5" xfId="20096" xr:uid="{00000000-0005-0000-0000-0000336C0000}"/>
    <cellStyle name="Input 5 4 3" xfId="20097" xr:uid="{00000000-0005-0000-0000-0000346C0000}"/>
    <cellStyle name="Input 5 4 4" xfId="20098" xr:uid="{00000000-0005-0000-0000-0000356C0000}"/>
    <cellStyle name="Input 5 4 5" xfId="20099" xr:uid="{00000000-0005-0000-0000-0000366C0000}"/>
    <cellStyle name="Input 5 4 6" xfId="20100" xr:uid="{00000000-0005-0000-0000-0000376C0000}"/>
    <cellStyle name="Input 5 5" xfId="3483" xr:uid="{00000000-0005-0000-0000-0000386C0000}"/>
    <cellStyle name="Input 5 5 2" xfId="9181" xr:uid="{00000000-0005-0000-0000-0000396C0000}"/>
    <cellStyle name="Input 5 5 2 2" xfId="20101" xr:uid="{00000000-0005-0000-0000-00003A6C0000}"/>
    <cellStyle name="Input 5 5 2 3" xfId="20102" xr:uid="{00000000-0005-0000-0000-00003B6C0000}"/>
    <cellStyle name="Input 5 5 2 4" xfId="20103" xr:uid="{00000000-0005-0000-0000-00003C6C0000}"/>
    <cellStyle name="Input 5 5 2 5" xfId="20104" xr:uid="{00000000-0005-0000-0000-00003D6C0000}"/>
    <cellStyle name="Input 5 5 3" xfId="20105" xr:uid="{00000000-0005-0000-0000-00003E6C0000}"/>
    <cellStyle name="Input 5 5 4" xfId="20106" xr:uid="{00000000-0005-0000-0000-00003F6C0000}"/>
    <cellStyle name="Input 5 5 5" xfId="20107" xr:uid="{00000000-0005-0000-0000-0000406C0000}"/>
    <cellStyle name="Input 5 5 6" xfId="20108" xr:uid="{00000000-0005-0000-0000-0000416C0000}"/>
    <cellStyle name="Input 5 6" xfId="3484" xr:uid="{00000000-0005-0000-0000-0000426C0000}"/>
    <cellStyle name="Input 5 6 2" xfId="9182" xr:uid="{00000000-0005-0000-0000-0000436C0000}"/>
    <cellStyle name="Input 5 6 2 2" xfId="20109" xr:uid="{00000000-0005-0000-0000-0000446C0000}"/>
    <cellStyle name="Input 5 6 2 3" xfId="20110" xr:uid="{00000000-0005-0000-0000-0000456C0000}"/>
    <cellStyle name="Input 5 6 2 4" xfId="20111" xr:uid="{00000000-0005-0000-0000-0000466C0000}"/>
    <cellStyle name="Input 5 6 2 5" xfId="20112" xr:uid="{00000000-0005-0000-0000-0000476C0000}"/>
    <cellStyle name="Input 5 6 3" xfId="20113" xr:uid="{00000000-0005-0000-0000-0000486C0000}"/>
    <cellStyle name="Input 5 6 4" xfId="20114" xr:uid="{00000000-0005-0000-0000-0000496C0000}"/>
    <cellStyle name="Input 5 6 5" xfId="20115" xr:uid="{00000000-0005-0000-0000-00004A6C0000}"/>
    <cellStyle name="Input 5 6 6" xfId="20116" xr:uid="{00000000-0005-0000-0000-00004B6C0000}"/>
    <cellStyle name="Input 5 7" xfId="3485" xr:uid="{00000000-0005-0000-0000-00004C6C0000}"/>
    <cellStyle name="Input 5 7 2" xfId="9183" xr:uid="{00000000-0005-0000-0000-00004D6C0000}"/>
    <cellStyle name="Input 5 7 2 2" xfId="20117" xr:uid="{00000000-0005-0000-0000-00004E6C0000}"/>
    <cellStyle name="Input 5 7 2 3" xfId="20118" xr:uid="{00000000-0005-0000-0000-00004F6C0000}"/>
    <cellStyle name="Input 5 7 2 4" xfId="20119" xr:uid="{00000000-0005-0000-0000-0000506C0000}"/>
    <cellStyle name="Input 5 7 2 5" xfId="20120" xr:uid="{00000000-0005-0000-0000-0000516C0000}"/>
    <cellStyle name="Input 5 7 3" xfId="20121" xr:uid="{00000000-0005-0000-0000-0000526C0000}"/>
    <cellStyle name="Input 5 7 4" xfId="20122" xr:uid="{00000000-0005-0000-0000-0000536C0000}"/>
    <cellStyle name="Input 5 7 5" xfId="20123" xr:uid="{00000000-0005-0000-0000-0000546C0000}"/>
    <cellStyle name="Input 5 7 6" xfId="20124" xr:uid="{00000000-0005-0000-0000-0000556C0000}"/>
    <cellStyle name="Input 5 8" xfId="8467" xr:uid="{00000000-0005-0000-0000-0000566C0000}"/>
    <cellStyle name="Input 5 8 2" xfId="9184" xr:uid="{00000000-0005-0000-0000-0000576C0000}"/>
    <cellStyle name="Input 5 8 2 2" xfId="20125" xr:uid="{00000000-0005-0000-0000-0000586C0000}"/>
    <cellStyle name="Input 5 8 2 3" xfId="20126" xr:uid="{00000000-0005-0000-0000-0000596C0000}"/>
    <cellStyle name="Input 5 8 2 4" xfId="20127" xr:uid="{00000000-0005-0000-0000-00005A6C0000}"/>
    <cellStyle name="Input 5 8 2 5" xfId="20128" xr:uid="{00000000-0005-0000-0000-00005B6C0000}"/>
    <cellStyle name="Input 5 8 3" xfId="20129" xr:uid="{00000000-0005-0000-0000-00005C6C0000}"/>
    <cellStyle name="Input 5 8 4" xfId="20130" xr:uid="{00000000-0005-0000-0000-00005D6C0000}"/>
    <cellStyle name="Input 5 8 5" xfId="20131" xr:uid="{00000000-0005-0000-0000-00005E6C0000}"/>
    <cellStyle name="Input 5 8 6" xfId="20132" xr:uid="{00000000-0005-0000-0000-00005F6C0000}"/>
    <cellStyle name="Input 5 9" xfId="9185" xr:uid="{00000000-0005-0000-0000-0000606C0000}"/>
    <cellStyle name="Input 5 9 2" xfId="20133" xr:uid="{00000000-0005-0000-0000-0000616C0000}"/>
    <cellStyle name="Input 5 9 3" xfId="20134" xr:uid="{00000000-0005-0000-0000-0000626C0000}"/>
    <cellStyle name="Input 5 9 4" xfId="20135" xr:uid="{00000000-0005-0000-0000-0000636C0000}"/>
    <cellStyle name="Input 5 9 5" xfId="20136" xr:uid="{00000000-0005-0000-0000-0000646C0000}"/>
    <cellStyle name="Input 5_ELC" xfId="6593" xr:uid="{00000000-0005-0000-0000-0000656C0000}"/>
    <cellStyle name="Input 6" xfId="1444" xr:uid="{00000000-0005-0000-0000-0000666C0000}"/>
    <cellStyle name="Input 6 2" xfId="1445" xr:uid="{00000000-0005-0000-0000-0000676C0000}"/>
    <cellStyle name="Input 6 2 2" xfId="9187" xr:uid="{00000000-0005-0000-0000-0000686C0000}"/>
    <cellStyle name="Input 6 2 2 2" xfId="20137" xr:uid="{00000000-0005-0000-0000-0000696C0000}"/>
    <cellStyle name="Input 6 2 2 3" xfId="20138" xr:uid="{00000000-0005-0000-0000-00006A6C0000}"/>
    <cellStyle name="Input 6 2 2 4" xfId="20139" xr:uid="{00000000-0005-0000-0000-00006B6C0000}"/>
    <cellStyle name="Input 6 2 2 5" xfId="20140" xr:uid="{00000000-0005-0000-0000-00006C6C0000}"/>
    <cellStyle name="Input 6 2 3" xfId="20141" xr:uid="{00000000-0005-0000-0000-00006D6C0000}"/>
    <cellStyle name="Input 6 2 4" xfId="20142" xr:uid="{00000000-0005-0000-0000-00006E6C0000}"/>
    <cellStyle name="Input 6 2 5" xfId="20143" xr:uid="{00000000-0005-0000-0000-00006F6C0000}"/>
    <cellStyle name="Input 6 2 6" xfId="20144" xr:uid="{00000000-0005-0000-0000-0000706C0000}"/>
    <cellStyle name="Input 6 2 7" xfId="20145" xr:uid="{00000000-0005-0000-0000-0000716C0000}"/>
    <cellStyle name="Input 6 3" xfId="9186" xr:uid="{00000000-0005-0000-0000-0000726C0000}"/>
    <cellStyle name="Input 6 3 2" xfId="20146" xr:uid="{00000000-0005-0000-0000-0000736C0000}"/>
    <cellStyle name="Input 6 3 3" xfId="20147" xr:uid="{00000000-0005-0000-0000-0000746C0000}"/>
    <cellStyle name="Input 6 3 4" xfId="20148" xr:uid="{00000000-0005-0000-0000-0000756C0000}"/>
    <cellStyle name="Input 6 3 5" xfId="20149" xr:uid="{00000000-0005-0000-0000-0000766C0000}"/>
    <cellStyle name="Input 6 4" xfId="20150" xr:uid="{00000000-0005-0000-0000-0000776C0000}"/>
    <cellStyle name="Input 6 5" xfId="20151" xr:uid="{00000000-0005-0000-0000-0000786C0000}"/>
    <cellStyle name="Input 6 6" xfId="20152" xr:uid="{00000000-0005-0000-0000-0000796C0000}"/>
    <cellStyle name="Input 6 7" xfId="20153" xr:uid="{00000000-0005-0000-0000-00007A6C0000}"/>
    <cellStyle name="Input 6 8" xfId="20154" xr:uid="{00000000-0005-0000-0000-00007B6C0000}"/>
    <cellStyle name="Input 7" xfId="1446" xr:uid="{00000000-0005-0000-0000-00007C6C0000}"/>
    <cellStyle name="Input 7 2" xfId="1447" xr:uid="{00000000-0005-0000-0000-00007D6C0000}"/>
    <cellStyle name="Input 7 2 2" xfId="9189" xr:uid="{00000000-0005-0000-0000-00007E6C0000}"/>
    <cellStyle name="Input 7 2 2 2" xfId="20155" xr:uid="{00000000-0005-0000-0000-00007F6C0000}"/>
    <cellStyle name="Input 7 2 2 3" xfId="20156" xr:uid="{00000000-0005-0000-0000-0000806C0000}"/>
    <cellStyle name="Input 7 2 2 4" xfId="20157" xr:uid="{00000000-0005-0000-0000-0000816C0000}"/>
    <cellStyle name="Input 7 2 2 5" xfId="20158" xr:uid="{00000000-0005-0000-0000-0000826C0000}"/>
    <cellStyle name="Input 7 2 3" xfId="20159" xr:uid="{00000000-0005-0000-0000-0000836C0000}"/>
    <cellStyle name="Input 7 2 4" xfId="20160" xr:uid="{00000000-0005-0000-0000-0000846C0000}"/>
    <cellStyle name="Input 7 2 5" xfId="20161" xr:uid="{00000000-0005-0000-0000-0000856C0000}"/>
    <cellStyle name="Input 7 2 6" xfId="20162" xr:uid="{00000000-0005-0000-0000-0000866C0000}"/>
    <cellStyle name="Input 7 2 7" xfId="20163" xr:uid="{00000000-0005-0000-0000-0000876C0000}"/>
    <cellStyle name="Input 7 3" xfId="9188" xr:uid="{00000000-0005-0000-0000-0000886C0000}"/>
    <cellStyle name="Input 7 3 2" xfId="20164" xr:uid="{00000000-0005-0000-0000-0000896C0000}"/>
    <cellStyle name="Input 7 3 3" xfId="20165" xr:uid="{00000000-0005-0000-0000-00008A6C0000}"/>
    <cellStyle name="Input 7 3 4" xfId="20166" xr:uid="{00000000-0005-0000-0000-00008B6C0000}"/>
    <cellStyle name="Input 7 3 5" xfId="20167" xr:uid="{00000000-0005-0000-0000-00008C6C0000}"/>
    <cellStyle name="Input 7 4" xfId="20168" xr:uid="{00000000-0005-0000-0000-00008D6C0000}"/>
    <cellStyle name="Input 7 5" xfId="20169" xr:uid="{00000000-0005-0000-0000-00008E6C0000}"/>
    <cellStyle name="Input 7 6" xfId="20170" xr:uid="{00000000-0005-0000-0000-00008F6C0000}"/>
    <cellStyle name="Input 7 7" xfId="20171" xr:uid="{00000000-0005-0000-0000-0000906C0000}"/>
    <cellStyle name="Input 7 8" xfId="20172" xr:uid="{00000000-0005-0000-0000-0000916C0000}"/>
    <cellStyle name="Input 8" xfId="1448" xr:uid="{00000000-0005-0000-0000-0000926C0000}"/>
    <cellStyle name="Input 8 2" xfId="1449" xr:uid="{00000000-0005-0000-0000-0000936C0000}"/>
    <cellStyle name="Input 8 2 2" xfId="9191" xr:uid="{00000000-0005-0000-0000-0000946C0000}"/>
    <cellStyle name="Input 8 2 2 2" xfId="20173" xr:uid="{00000000-0005-0000-0000-0000956C0000}"/>
    <cellStyle name="Input 8 2 2 3" xfId="20174" xr:uid="{00000000-0005-0000-0000-0000966C0000}"/>
    <cellStyle name="Input 8 2 2 4" xfId="20175" xr:uid="{00000000-0005-0000-0000-0000976C0000}"/>
    <cellStyle name="Input 8 2 2 5" xfId="20176" xr:uid="{00000000-0005-0000-0000-0000986C0000}"/>
    <cellStyle name="Input 8 2 3" xfId="20177" xr:uid="{00000000-0005-0000-0000-0000996C0000}"/>
    <cellStyle name="Input 8 2 4" xfId="20178" xr:uid="{00000000-0005-0000-0000-00009A6C0000}"/>
    <cellStyle name="Input 8 2 5" xfId="20179" xr:uid="{00000000-0005-0000-0000-00009B6C0000}"/>
    <cellStyle name="Input 8 2 6" xfId="20180" xr:uid="{00000000-0005-0000-0000-00009C6C0000}"/>
    <cellStyle name="Input 8 2 7" xfId="20181" xr:uid="{00000000-0005-0000-0000-00009D6C0000}"/>
    <cellStyle name="Input 8 3" xfId="9190" xr:uid="{00000000-0005-0000-0000-00009E6C0000}"/>
    <cellStyle name="Input 8 3 2" xfId="20182" xr:uid="{00000000-0005-0000-0000-00009F6C0000}"/>
    <cellStyle name="Input 8 3 3" xfId="20183" xr:uid="{00000000-0005-0000-0000-0000A06C0000}"/>
    <cellStyle name="Input 8 3 4" xfId="20184" xr:uid="{00000000-0005-0000-0000-0000A16C0000}"/>
    <cellStyle name="Input 8 3 5" xfId="20185" xr:uid="{00000000-0005-0000-0000-0000A26C0000}"/>
    <cellStyle name="Input 8 4" xfId="20186" xr:uid="{00000000-0005-0000-0000-0000A36C0000}"/>
    <cellStyle name="Input 8 5" xfId="20187" xr:uid="{00000000-0005-0000-0000-0000A46C0000}"/>
    <cellStyle name="Input 8 6" xfId="20188" xr:uid="{00000000-0005-0000-0000-0000A56C0000}"/>
    <cellStyle name="Input 8 7" xfId="20189" xr:uid="{00000000-0005-0000-0000-0000A66C0000}"/>
    <cellStyle name="Input 8 8" xfId="20190" xr:uid="{00000000-0005-0000-0000-0000A76C0000}"/>
    <cellStyle name="Input 9" xfId="1450" xr:uid="{00000000-0005-0000-0000-0000A86C0000}"/>
    <cellStyle name="Input 9 2" xfId="1451" xr:uid="{00000000-0005-0000-0000-0000A96C0000}"/>
    <cellStyle name="Input 9 2 2" xfId="9193" xr:uid="{00000000-0005-0000-0000-0000AA6C0000}"/>
    <cellStyle name="Input 9 2 2 2" xfId="20191" xr:uid="{00000000-0005-0000-0000-0000AB6C0000}"/>
    <cellStyle name="Input 9 2 2 3" xfId="20192" xr:uid="{00000000-0005-0000-0000-0000AC6C0000}"/>
    <cellStyle name="Input 9 2 2 4" xfId="20193" xr:uid="{00000000-0005-0000-0000-0000AD6C0000}"/>
    <cellStyle name="Input 9 2 2 5" xfId="20194" xr:uid="{00000000-0005-0000-0000-0000AE6C0000}"/>
    <cellStyle name="Input 9 2 3" xfId="20195" xr:uid="{00000000-0005-0000-0000-0000AF6C0000}"/>
    <cellStyle name="Input 9 2 4" xfId="20196" xr:uid="{00000000-0005-0000-0000-0000B06C0000}"/>
    <cellStyle name="Input 9 2 5" xfId="20197" xr:uid="{00000000-0005-0000-0000-0000B16C0000}"/>
    <cellStyle name="Input 9 2 6" xfId="20198" xr:uid="{00000000-0005-0000-0000-0000B26C0000}"/>
    <cellStyle name="Input 9 2 7" xfId="20199" xr:uid="{00000000-0005-0000-0000-0000B36C0000}"/>
    <cellStyle name="Input 9 3" xfId="9192" xr:uid="{00000000-0005-0000-0000-0000B46C0000}"/>
    <cellStyle name="Input 9 3 2" xfId="20200" xr:uid="{00000000-0005-0000-0000-0000B56C0000}"/>
    <cellStyle name="Input 9 3 3" xfId="20201" xr:uid="{00000000-0005-0000-0000-0000B66C0000}"/>
    <cellStyle name="Input 9 3 4" xfId="20202" xr:uid="{00000000-0005-0000-0000-0000B76C0000}"/>
    <cellStyle name="Input 9 3 5" xfId="20203" xr:uid="{00000000-0005-0000-0000-0000B86C0000}"/>
    <cellStyle name="Input 9 4" xfId="20204" xr:uid="{00000000-0005-0000-0000-0000B96C0000}"/>
    <cellStyle name="Input 9 5" xfId="20205" xr:uid="{00000000-0005-0000-0000-0000BA6C0000}"/>
    <cellStyle name="Input 9 6" xfId="20206" xr:uid="{00000000-0005-0000-0000-0000BB6C0000}"/>
    <cellStyle name="Input 9 7" xfId="20207" xr:uid="{00000000-0005-0000-0000-0000BC6C0000}"/>
    <cellStyle name="Input 9 8" xfId="20208" xr:uid="{00000000-0005-0000-0000-0000BD6C0000}"/>
    <cellStyle name="InputCells" xfId="1452" xr:uid="{00000000-0005-0000-0000-0000BE6C0000}"/>
    <cellStyle name="InputCells 2" xfId="9194" xr:uid="{00000000-0005-0000-0000-0000BF6C0000}"/>
    <cellStyle name="InputCells 2 2" xfId="20209" xr:uid="{00000000-0005-0000-0000-0000C06C0000}"/>
    <cellStyle name="InputCells 2 3" xfId="20210" xr:uid="{00000000-0005-0000-0000-0000C16C0000}"/>
    <cellStyle name="InputCells 2 4" xfId="20211" xr:uid="{00000000-0005-0000-0000-0000C26C0000}"/>
    <cellStyle name="InputCells 2 5" xfId="20212" xr:uid="{00000000-0005-0000-0000-0000C36C0000}"/>
    <cellStyle name="InputCells 3" xfId="20213" xr:uid="{00000000-0005-0000-0000-0000C46C0000}"/>
    <cellStyle name="InputCells 4" xfId="20214" xr:uid="{00000000-0005-0000-0000-0000C56C0000}"/>
    <cellStyle name="InputCells 5" xfId="20215" xr:uid="{00000000-0005-0000-0000-0000C66C0000}"/>
    <cellStyle name="InputCells 6" xfId="20216" xr:uid="{00000000-0005-0000-0000-0000C76C0000}"/>
    <cellStyle name="InputCells 7" xfId="20217" xr:uid="{00000000-0005-0000-0000-0000C86C0000}"/>
    <cellStyle name="InputCells 8" xfId="20218" xr:uid="{00000000-0005-0000-0000-0000C96C0000}"/>
    <cellStyle name="InputCells12_CRFReport-template" xfId="1453" xr:uid="{00000000-0005-0000-0000-0000CA6C0000}"/>
    <cellStyle name="Linked Cell 10" xfId="1454" xr:uid="{00000000-0005-0000-0000-0000CB6C0000}"/>
    <cellStyle name="Linked Cell 10 2" xfId="3486" xr:uid="{00000000-0005-0000-0000-0000CC6C0000}"/>
    <cellStyle name="Linked Cell 10 2 2" xfId="9196" xr:uid="{00000000-0005-0000-0000-0000CD6C0000}"/>
    <cellStyle name="Linked Cell 10 2 2 2" xfId="20219" xr:uid="{00000000-0005-0000-0000-0000CE6C0000}"/>
    <cellStyle name="Linked Cell 10 2 2 3" xfId="20220" xr:uid="{00000000-0005-0000-0000-0000CF6C0000}"/>
    <cellStyle name="Linked Cell 10 2 2 4" xfId="20221" xr:uid="{00000000-0005-0000-0000-0000D06C0000}"/>
    <cellStyle name="Linked Cell 10 2 2 5" xfId="20222" xr:uid="{00000000-0005-0000-0000-0000D16C0000}"/>
    <cellStyle name="Linked Cell 10 2 3" xfId="20223" xr:uid="{00000000-0005-0000-0000-0000D26C0000}"/>
    <cellStyle name="Linked Cell 10 2 4" xfId="20224" xr:uid="{00000000-0005-0000-0000-0000D36C0000}"/>
    <cellStyle name="Linked Cell 10 2 5" xfId="20225" xr:uid="{00000000-0005-0000-0000-0000D46C0000}"/>
    <cellStyle name="Linked Cell 10 2 6" xfId="20226" xr:uid="{00000000-0005-0000-0000-0000D56C0000}"/>
    <cellStyle name="Linked Cell 10 3" xfId="9195" xr:uid="{00000000-0005-0000-0000-0000D66C0000}"/>
    <cellStyle name="Linked Cell 10 3 2" xfId="20227" xr:uid="{00000000-0005-0000-0000-0000D76C0000}"/>
    <cellStyle name="Linked Cell 10 3 3" xfId="20228" xr:uid="{00000000-0005-0000-0000-0000D86C0000}"/>
    <cellStyle name="Linked Cell 10 3 4" xfId="20229" xr:uid="{00000000-0005-0000-0000-0000D96C0000}"/>
    <cellStyle name="Linked Cell 10 3 5" xfId="20230" xr:uid="{00000000-0005-0000-0000-0000DA6C0000}"/>
    <cellStyle name="Linked Cell 10 4" xfId="20231" xr:uid="{00000000-0005-0000-0000-0000DB6C0000}"/>
    <cellStyle name="Linked Cell 10 5" xfId="20232" xr:uid="{00000000-0005-0000-0000-0000DC6C0000}"/>
    <cellStyle name="Linked Cell 10 6" xfId="20233" xr:uid="{00000000-0005-0000-0000-0000DD6C0000}"/>
    <cellStyle name="Linked Cell 10 7" xfId="20234" xr:uid="{00000000-0005-0000-0000-0000DE6C0000}"/>
    <cellStyle name="Linked Cell 10 8" xfId="20235" xr:uid="{00000000-0005-0000-0000-0000DF6C0000}"/>
    <cellStyle name="Linked Cell 11" xfId="1455" xr:uid="{00000000-0005-0000-0000-0000E06C0000}"/>
    <cellStyle name="Linked Cell 11 2" xfId="8221" xr:uid="{00000000-0005-0000-0000-0000E16C0000}"/>
    <cellStyle name="Linked Cell 11 2 2" xfId="9198" xr:uid="{00000000-0005-0000-0000-0000E26C0000}"/>
    <cellStyle name="Linked Cell 11 2 2 2" xfId="20236" xr:uid="{00000000-0005-0000-0000-0000E36C0000}"/>
    <cellStyle name="Linked Cell 11 2 2 3" xfId="20237" xr:uid="{00000000-0005-0000-0000-0000E46C0000}"/>
    <cellStyle name="Linked Cell 11 2 2 4" xfId="20238" xr:uid="{00000000-0005-0000-0000-0000E56C0000}"/>
    <cellStyle name="Linked Cell 11 2 2 5" xfId="20239" xr:uid="{00000000-0005-0000-0000-0000E66C0000}"/>
    <cellStyle name="Linked Cell 11 2 3" xfId="20240" xr:uid="{00000000-0005-0000-0000-0000E76C0000}"/>
    <cellStyle name="Linked Cell 11 2 4" xfId="20241" xr:uid="{00000000-0005-0000-0000-0000E86C0000}"/>
    <cellStyle name="Linked Cell 11 2 5" xfId="20242" xr:uid="{00000000-0005-0000-0000-0000E96C0000}"/>
    <cellStyle name="Linked Cell 11 2 6" xfId="20243" xr:uid="{00000000-0005-0000-0000-0000EA6C0000}"/>
    <cellStyle name="Linked Cell 11 3" xfId="9197" xr:uid="{00000000-0005-0000-0000-0000EB6C0000}"/>
    <cellStyle name="Linked Cell 11 3 2" xfId="20244" xr:uid="{00000000-0005-0000-0000-0000EC6C0000}"/>
    <cellStyle name="Linked Cell 11 3 3" xfId="20245" xr:uid="{00000000-0005-0000-0000-0000ED6C0000}"/>
    <cellStyle name="Linked Cell 11 3 4" xfId="20246" xr:uid="{00000000-0005-0000-0000-0000EE6C0000}"/>
    <cellStyle name="Linked Cell 11 3 5" xfId="20247" xr:uid="{00000000-0005-0000-0000-0000EF6C0000}"/>
    <cellStyle name="Linked Cell 11 4" xfId="20248" xr:uid="{00000000-0005-0000-0000-0000F06C0000}"/>
    <cellStyle name="Linked Cell 11 5" xfId="20249" xr:uid="{00000000-0005-0000-0000-0000F16C0000}"/>
    <cellStyle name="Linked Cell 11 6" xfId="20250" xr:uid="{00000000-0005-0000-0000-0000F26C0000}"/>
    <cellStyle name="Linked Cell 11 7" xfId="20251" xr:uid="{00000000-0005-0000-0000-0000F36C0000}"/>
    <cellStyle name="Linked Cell 11 8" xfId="20252" xr:uid="{00000000-0005-0000-0000-0000F46C0000}"/>
    <cellStyle name="Linked Cell 12" xfId="1456" xr:uid="{00000000-0005-0000-0000-0000F56C0000}"/>
    <cellStyle name="Linked Cell 12 2" xfId="8222" xr:uid="{00000000-0005-0000-0000-0000F66C0000}"/>
    <cellStyle name="Linked Cell 12 2 2" xfId="9200" xr:uid="{00000000-0005-0000-0000-0000F76C0000}"/>
    <cellStyle name="Linked Cell 12 2 2 2" xfId="20253" xr:uid="{00000000-0005-0000-0000-0000F86C0000}"/>
    <cellStyle name="Linked Cell 12 2 2 3" xfId="20254" xr:uid="{00000000-0005-0000-0000-0000F96C0000}"/>
    <cellStyle name="Linked Cell 12 2 2 4" xfId="20255" xr:uid="{00000000-0005-0000-0000-0000FA6C0000}"/>
    <cellStyle name="Linked Cell 12 2 2 5" xfId="20256" xr:uid="{00000000-0005-0000-0000-0000FB6C0000}"/>
    <cellStyle name="Linked Cell 12 2 3" xfId="20257" xr:uid="{00000000-0005-0000-0000-0000FC6C0000}"/>
    <cellStyle name="Linked Cell 12 2 4" xfId="20258" xr:uid="{00000000-0005-0000-0000-0000FD6C0000}"/>
    <cellStyle name="Linked Cell 12 2 5" xfId="20259" xr:uid="{00000000-0005-0000-0000-0000FE6C0000}"/>
    <cellStyle name="Linked Cell 12 2 6" xfId="20260" xr:uid="{00000000-0005-0000-0000-0000FF6C0000}"/>
    <cellStyle name="Linked Cell 12 3" xfId="9199" xr:uid="{00000000-0005-0000-0000-0000006D0000}"/>
    <cellStyle name="Linked Cell 12 3 2" xfId="20261" xr:uid="{00000000-0005-0000-0000-0000016D0000}"/>
    <cellStyle name="Linked Cell 12 3 3" xfId="20262" xr:uid="{00000000-0005-0000-0000-0000026D0000}"/>
    <cellStyle name="Linked Cell 12 3 4" xfId="20263" xr:uid="{00000000-0005-0000-0000-0000036D0000}"/>
    <cellStyle name="Linked Cell 12 3 5" xfId="20264" xr:uid="{00000000-0005-0000-0000-0000046D0000}"/>
    <cellStyle name="Linked Cell 12 4" xfId="20265" xr:uid="{00000000-0005-0000-0000-0000056D0000}"/>
    <cellStyle name="Linked Cell 12 5" xfId="20266" xr:uid="{00000000-0005-0000-0000-0000066D0000}"/>
    <cellStyle name="Linked Cell 12 6" xfId="20267" xr:uid="{00000000-0005-0000-0000-0000076D0000}"/>
    <cellStyle name="Linked Cell 12 7" xfId="20268" xr:uid="{00000000-0005-0000-0000-0000086D0000}"/>
    <cellStyle name="Linked Cell 12 8" xfId="20269" xr:uid="{00000000-0005-0000-0000-0000096D0000}"/>
    <cellStyle name="Linked Cell 13" xfId="1457" xr:uid="{00000000-0005-0000-0000-00000A6D0000}"/>
    <cellStyle name="Linked Cell 13 2" xfId="8223" xr:uid="{00000000-0005-0000-0000-00000B6D0000}"/>
    <cellStyle name="Linked Cell 13 2 2" xfId="9202" xr:uid="{00000000-0005-0000-0000-00000C6D0000}"/>
    <cellStyle name="Linked Cell 13 2 2 2" xfId="20270" xr:uid="{00000000-0005-0000-0000-00000D6D0000}"/>
    <cellStyle name="Linked Cell 13 2 2 3" xfId="20271" xr:uid="{00000000-0005-0000-0000-00000E6D0000}"/>
    <cellStyle name="Linked Cell 13 2 2 4" xfId="20272" xr:uid="{00000000-0005-0000-0000-00000F6D0000}"/>
    <cellStyle name="Linked Cell 13 2 2 5" xfId="20273" xr:uid="{00000000-0005-0000-0000-0000106D0000}"/>
    <cellStyle name="Linked Cell 13 2 3" xfId="20274" xr:uid="{00000000-0005-0000-0000-0000116D0000}"/>
    <cellStyle name="Linked Cell 13 2 4" xfId="20275" xr:uid="{00000000-0005-0000-0000-0000126D0000}"/>
    <cellStyle name="Linked Cell 13 2 5" xfId="20276" xr:uid="{00000000-0005-0000-0000-0000136D0000}"/>
    <cellStyle name="Linked Cell 13 2 6" xfId="20277" xr:uid="{00000000-0005-0000-0000-0000146D0000}"/>
    <cellStyle name="Linked Cell 13 3" xfId="9201" xr:uid="{00000000-0005-0000-0000-0000156D0000}"/>
    <cellStyle name="Linked Cell 13 3 2" xfId="20278" xr:uid="{00000000-0005-0000-0000-0000166D0000}"/>
    <cellStyle name="Linked Cell 13 3 3" xfId="20279" xr:uid="{00000000-0005-0000-0000-0000176D0000}"/>
    <cellStyle name="Linked Cell 13 3 4" xfId="20280" xr:uid="{00000000-0005-0000-0000-0000186D0000}"/>
    <cellStyle name="Linked Cell 13 3 5" xfId="20281" xr:uid="{00000000-0005-0000-0000-0000196D0000}"/>
    <cellStyle name="Linked Cell 13 4" xfId="20282" xr:uid="{00000000-0005-0000-0000-00001A6D0000}"/>
    <cellStyle name="Linked Cell 13 5" xfId="20283" xr:uid="{00000000-0005-0000-0000-00001B6D0000}"/>
    <cellStyle name="Linked Cell 13 6" xfId="20284" xr:uid="{00000000-0005-0000-0000-00001C6D0000}"/>
    <cellStyle name="Linked Cell 13 7" xfId="20285" xr:uid="{00000000-0005-0000-0000-00001D6D0000}"/>
    <cellStyle name="Linked Cell 13 8" xfId="20286" xr:uid="{00000000-0005-0000-0000-00001E6D0000}"/>
    <cellStyle name="Linked Cell 14" xfId="1458" xr:uid="{00000000-0005-0000-0000-00001F6D0000}"/>
    <cellStyle name="Linked Cell 14 2" xfId="8224" xr:uid="{00000000-0005-0000-0000-0000206D0000}"/>
    <cellStyle name="Linked Cell 14 2 2" xfId="9204" xr:uid="{00000000-0005-0000-0000-0000216D0000}"/>
    <cellStyle name="Linked Cell 14 2 2 2" xfId="20287" xr:uid="{00000000-0005-0000-0000-0000226D0000}"/>
    <cellStyle name="Linked Cell 14 2 2 3" xfId="20288" xr:uid="{00000000-0005-0000-0000-0000236D0000}"/>
    <cellStyle name="Linked Cell 14 2 2 4" xfId="20289" xr:uid="{00000000-0005-0000-0000-0000246D0000}"/>
    <cellStyle name="Linked Cell 14 2 2 5" xfId="20290" xr:uid="{00000000-0005-0000-0000-0000256D0000}"/>
    <cellStyle name="Linked Cell 14 2 3" xfId="20291" xr:uid="{00000000-0005-0000-0000-0000266D0000}"/>
    <cellStyle name="Linked Cell 14 2 4" xfId="20292" xr:uid="{00000000-0005-0000-0000-0000276D0000}"/>
    <cellStyle name="Linked Cell 14 2 5" xfId="20293" xr:uid="{00000000-0005-0000-0000-0000286D0000}"/>
    <cellStyle name="Linked Cell 14 2 6" xfId="20294" xr:uid="{00000000-0005-0000-0000-0000296D0000}"/>
    <cellStyle name="Linked Cell 14 3" xfId="9203" xr:uid="{00000000-0005-0000-0000-00002A6D0000}"/>
    <cellStyle name="Linked Cell 14 3 2" xfId="20295" xr:uid="{00000000-0005-0000-0000-00002B6D0000}"/>
    <cellStyle name="Linked Cell 14 3 3" xfId="20296" xr:uid="{00000000-0005-0000-0000-00002C6D0000}"/>
    <cellStyle name="Linked Cell 14 3 4" xfId="20297" xr:uid="{00000000-0005-0000-0000-00002D6D0000}"/>
    <cellStyle name="Linked Cell 14 3 5" xfId="20298" xr:uid="{00000000-0005-0000-0000-00002E6D0000}"/>
    <cellStyle name="Linked Cell 14 4" xfId="20299" xr:uid="{00000000-0005-0000-0000-00002F6D0000}"/>
    <cellStyle name="Linked Cell 14 5" xfId="20300" xr:uid="{00000000-0005-0000-0000-0000306D0000}"/>
    <cellStyle name="Linked Cell 14 6" xfId="20301" xr:uid="{00000000-0005-0000-0000-0000316D0000}"/>
    <cellStyle name="Linked Cell 14 7" xfId="20302" xr:uid="{00000000-0005-0000-0000-0000326D0000}"/>
    <cellStyle name="Linked Cell 14 8" xfId="20303" xr:uid="{00000000-0005-0000-0000-0000336D0000}"/>
    <cellStyle name="Linked Cell 15" xfId="3487" xr:uid="{00000000-0005-0000-0000-0000346D0000}"/>
    <cellStyle name="Linked Cell 15 2" xfId="8225" xr:uid="{00000000-0005-0000-0000-0000356D0000}"/>
    <cellStyle name="Linked Cell 15 2 2" xfId="9206" xr:uid="{00000000-0005-0000-0000-0000366D0000}"/>
    <cellStyle name="Linked Cell 15 2 2 2" xfId="20304" xr:uid="{00000000-0005-0000-0000-0000376D0000}"/>
    <cellStyle name="Linked Cell 15 2 2 3" xfId="20305" xr:uid="{00000000-0005-0000-0000-0000386D0000}"/>
    <cellStyle name="Linked Cell 15 2 2 4" xfId="20306" xr:uid="{00000000-0005-0000-0000-0000396D0000}"/>
    <cellStyle name="Linked Cell 15 2 2 5" xfId="20307" xr:uid="{00000000-0005-0000-0000-00003A6D0000}"/>
    <cellStyle name="Linked Cell 15 2 3" xfId="20308" xr:uid="{00000000-0005-0000-0000-00003B6D0000}"/>
    <cellStyle name="Linked Cell 15 2 4" xfId="20309" xr:uid="{00000000-0005-0000-0000-00003C6D0000}"/>
    <cellStyle name="Linked Cell 15 2 5" xfId="20310" xr:uid="{00000000-0005-0000-0000-00003D6D0000}"/>
    <cellStyle name="Linked Cell 15 2 6" xfId="20311" xr:uid="{00000000-0005-0000-0000-00003E6D0000}"/>
    <cellStyle name="Linked Cell 15 3" xfId="9205" xr:uid="{00000000-0005-0000-0000-00003F6D0000}"/>
    <cellStyle name="Linked Cell 15 3 2" xfId="20312" xr:uid="{00000000-0005-0000-0000-0000406D0000}"/>
    <cellStyle name="Linked Cell 15 3 3" xfId="20313" xr:uid="{00000000-0005-0000-0000-0000416D0000}"/>
    <cellStyle name="Linked Cell 15 3 4" xfId="20314" xr:uid="{00000000-0005-0000-0000-0000426D0000}"/>
    <cellStyle name="Linked Cell 15 3 5" xfId="20315" xr:uid="{00000000-0005-0000-0000-0000436D0000}"/>
    <cellStyle name="Linked Cell 15 4" xfId="20316" xr:uid="{00000000-0005-0000-0000-0000446D0000}"/>
    <cellStyle name="Linked Cell 15 5" xfId="20317" xr:uid="{00000000-0005-0000-0000-0000456D0000}"/>
    <cellStyle name="Linked Cell 15 6" xfId="20318" xr:uid="{00000000-0005-0000-0000-0000466D0000}"/>
    <cellStyle name="Linked Cell 15 7" xfId="20319" xr:uid="{00000000-0005-0000-0000-0000476D0000}"/>
    <cellStyle name="Linked Cell 16" xfId="3488" xr:uid="{00000000-0005-0000-0000-0000486D0000}"/>
    <cellStyle name="Linked Cell 16 2" xfId="8226" xr:uid="{00000000-0005-0000-0000-0000496D0000}"/>
    <cellStyle name="Linked Cell 16 2 2" xfId="9208" xr:uid="{00000000-0005-0000-0000-00004A6D0000}"/>
    <cellStyle name="Linked Cell 16 2 2 2" xfId="20320" xr:uid="{00000000-0005-0000-0000-00004B6D0000}"/>
    <cellStyle name="Linked Cell 16 2 2 3" xfId="20321" xr:uid="{00000000-0005-0000-0000-00004C6D0000}"/>
    <cellStyle name="Linked Cell 16 2 2 4" xfId="20322" xr:uid="{00000000-0005-0000-0000-00004D6D0000}"/>
    <cellStyle name="Linked Cell 16 2 2 5" xfId="20323" xr:uid="{00000000-0005-0000-0000-00004E6D0000}"/>
    <cellStyle name="Linked Cell 16 2 3" xfId="20324" xr:uid="{00000000-0005-0000-0000-00004F6D0000}"/>
    <cellStyle name="Linked Cell 16 2 4" xfId="20325" xr:uid="{00000000-0005-0000-0000-0000506D0000}"/>
    <cellStyle name="Linked Cell 16 2 5" xfId="20326" xr:uid="{00000000-0005-0000-0000-0000516D0000}"/>
    <cellStyle name="Linked Cell 16 2 6" xfId="20327" xr:uid="{00000000-0005-0000-0000-0000526D0000}"/>
    <cellStyle name="Linked Cell 16 3" xfId="9207" xr:uid="{00000000-0005-0000-0000-0000536D0000}"/>
    <cellStyle name="Linked Cell 16 3 2" xfId="20328" xr:uid="{00000000-0005-0000-0000-0000546D0000}"/>
    <cellStyle name="Linked Cell 16 3 3" xfId="20329" xr:uid="{00000000-0005-0000-0000-0000556D0000}"/>
    <cellStyle name="Linked Cell 16 3 4" xfId="20330" xr:uid="{00000000-0005-0000-0000-0000566D0000}"/>
    <cellStyle name="Linked Cell 16 3 5" xfId="20331" xr:uid="{00000000-0005-0000-0000-0000576D0000}"/>
    <cellStyle name="Linked Cell 16 4" xfId="20332" xr:uid="{00000000-0005-0000-0000-0000586D0000}"/>
    <cellStyle name="Linked Cell 16 5" xfId="20333" xr:uid="{00000000-0005-0000-0000-0000596D0000}"/>
    <cellStyle name="Linked Cell 16 6" xfId="20334" xr:uid="{00000000-0005-0000-0000-00005A6D0000}"/>
    <cellStyle name="Linked Cell 16 7" xfId="20335" xr:uid="{00000000-0005-0000-0000-00005B6D0000}"/>
    <cellStyle name="Linked Cell 17" xfId="3489" xr:uid="{00000000-0005-0000-0000-00005C6D0000}"/>
    <cellStyle name="Linked Cell 17 2" xfId="8227" xr:uid="{00000000-0005-0000-0000-00005D6D0000}"/>
    <cellStyle name="Linked Cell 17 2 2" xfId="9210" xr:uid="{00000000-0005-0000-0000-00005E6D0000}"/>
    <cellStyle name="Linked Cell 17 2 2 2" xfId="20336" xr:uid="{00000000-0005-0000-0000-00005F6D0000}"/>
    <cellStyle name="Linked Cell 17 2 2 3" xfId="20337" xr:uid="{00000000-0005-0000-0000-0000606D0000}"/>
    <cellStyle name="Linked Cell 17 2 2 4" xfId="20338" xr:uid="{00000000-0005-0000-0000-0000616D0000}"/>
    <cellStyle name="Linked Cell 17 2 2 5" xfId="20339" xr:uid="{00000000-0005-0000-0000-0000626D0000}"/>
    <cellStyle name="Linked Cell 17 2 3" xfId="20340" xr:uid="{00000000-0005-0000-0000-0000636D0000}"/>
    <cellStyle name="Linked Cell 17 2 4" xfId="20341" xr:uid="{00000000-0005-0000-0000-0000646D0000}"/>
    <cellStyle name="Linked Cell 17 2 5" xfId="20342" xr:uid="{00000000-0005-0000-0000-0000656D0000}"/>
    <cellStyle name="Linked Cell 17 2 6" xfId="20343" xr:uid="{00000000-0005-0000-0000-0000666D0000}"/>
    <cellStyle name="Linked Cell 17 3" xfId="9209" xr:uid="{00000000-0005-0000-0000-0000676D0000}"/>
    <cellStyle name="Linked Cell 17 3 2" xfId="20344" xr:uid="{00000000-0005-0000-0000-0000686D0000}"/>
    <cellStyle name="Linked Cell 17 3 3" xfId="20345" xr:uid="{00000000-0005-0000-0000-0000696D0000}"/>
    <cellStyle name="Linked Cell 17 3 4" xfId="20346" xr:uid="{00000000-0005-0000-0000-00006A6D0000}"/>
    <cellStyle name="Linked Cell 17 3 5" xfId="20347" xr:uid="{00000000-0005-0000-0000-00006B6D0000}"/>
    <cellStyle name="Linked Cell 17 4" xfId="20348" xr:uid="{00000000-0005-0000-0000-00006C6D0000}"/>
    <cellStyle name="Linked Cell 17 5" xfId="20349" xr:uid="{00000000-0005-0000-0000-00006D6D0000}"/>
    <cellStyle name="Linked Cell 17 6" xfId="20350" xr:uid="{00000000-0005-0000-0000-00006E6D0000}"/>
    <cellStyle name="Linked Cell 17 7" xfId="20351" xr:uid="{00000000-0005-0000-0000-00006F6D0000}"/>
    <cellStyle name="Linked Cell 18" xfId="3490" xr:uid="{00000000-0005-0000-0000-0000706D0000}"/>
    <cellStyle name="Linked Cell 18 2" xfId="8228" xr:uid="{00000000-0005-0000-0000-0000716D0000}"/>
    <cellStyle name="Linked Cell 18 2 2" xfId="9212" xr:uid="{00000000-0005-0000-0000-0000726D0000}"/>
    <cellStyle name="Linked Cell 18 2 2 2" xfId="20352" xr:uid="{00000000-0005-0000-0000-0000736D0000}"/>
    <cellStyle name="Linked Cell 18 2 2 3" xfId="20353" xr:uid="{00000000-0005-0000-0000-0000746D0000}"/>
    <cellStyle name="Linked Cell 18 2 2 4" xfId="20354" xr:uid="{00000000-0005-0000-0000-0000756D0000}"/>
    <cellStyle name="Linked Cell 18 2 2 5" xfId="20355" xr:uid="{00000000-0005-0000-0000-0000766D0000}"/>
    <cellStyle name="Linked Cell 18 2 3" xfId="20356" xr:uid="{00000000-0005-0000-0000-0000776D0000}"/>
    <cellStyle name="Linked Cell 18 2 4" xfId="20357" xr:uid="{00000000-0005-0000-0000-0000786D0000}"/>
    <cellStyle name="Linked Cell 18 2 5" xfId="20358" xr:uid="{00000000-0005-0000-0000-0000796D0000}"/>
    <cellStyle name="Linked Cell 18 2 6" xfId="20359" xr:uid="{00000000-0005-0000-0000-00007A6D0000}"/>
    <cellStyle name="Linked Cell 18 3" xfId="9211" xr:uid="{00000000-0005-0000-0000-00007B6D0000}"/>
    <cellStyle name="Linked Cell 18 3 2" xfId="20360" xr:uid="{00000000-0005-0000-0000-00007C6D0000}"/>
    <cellStyle name="Linked Cell 18 3 3" xfId="20361" xr:uid="{00000000-0005-0000-0000-00007D6D0000}"/>
    <cellStyle name="Linked Cell 18 3 4" xfId="20362" xr:uid="{00000000-0005-0000-0000-00007E6D0000}"/>
    <cellStyle name="Linked Cell 18 3 5" xfId="20363" xr:uid="{00000000-0005-0000-0000-00007F6D0000}"/>
    <cellStyle name="Linked Cell 18 4" xfId="20364" xr:uid="{00000000-0005-0000-0000-0000806D0000}"/>
    <cellStyle name="Linked Cell 18 5" xfId="20365" xr:uid="{00000000-0005-0000-0000-0000816D0000}"/>
    <cellStyle name="Linked Cell 18 6" xfId="20366" xr:uid="{00000000-0005-0000-0000-0000826D0000}"/>
    <cellStyle name="Linked Cell 18 7" xfId="20367" xr:uid="{00000000-0005-0000-0000-0000836D0000}"/>
    <cellStyle name="Linked Cell 19" xfId="3491" xr:uid="{00000000-0005-0000-0000-0000846D0000}"/>
    <cellStyle name="Linked Cell 19 2" xfId="8229" xr:uid="{00000000-0005-0000-0000-0000856D0000}"/>
    <cellStyle name="Linked Cell 19 2 2" xfId="9214" xr:uid="{00000000-0005-0000-0000-0000866D0000}"/>
    <cellStyle name="Linked Cell 19 2 2 2" xfId="20368" xr:uid="{00000000-0005-0000-0000-0000876D0000}"/>
    <cellStyle name="Linked Cell 19 2 2 3" xfId="20369" xr:uid="{00000000-0005-0000-0000-0000886D0000}"/>
    <cellStyle name="Linked Cell 19 2 2 4" xfId="20370" xr:uid="{00000000-0005-0000-0000-0000896D0000}"/>
    <cellStyle name="Linked Cell 19 2 2 5" xfId="20371" xr:uid="{00000000-0005-0000-0000-00008A6D0000}"/>
    <cellStyle name="Linked Cell 19 2 3" xfId="20372" xr:uid="{00000000-0005-0000-0000-00008B6D0000}"/>
    <cellStyle name="Linked Cell 19 2 4" xfId="20373" xr:uid="{00000000-0005-0000-0000-00008C6D0000}"/>
    <cellStyle name="Linked Cell 19 2 5" xfId="20374" xr:uid="{00000000-0005-0000-0000-00008D6D0000}"/>
    <cellStyle name="Linked Cell 19 2 6" xfId="20375" xr:uid="{00000000-0005-0000-0000-00008E6D0000}"/>
    <cellStyle name="Linked Cell 19 3" xfId="9213" xr:uid="{00000000-0005-0000-0000-00008F6D0000}"/>
    <cellStyle name="Linked Cell 19 3 2" xfId="20376" xr:uid="{00000000-0005-0000-0000-0000906D0000}"/>
    <cellStyle name="Linked Cell 19 3 3" xfId="20377" xr:uid="{00000000-0005-0000-0000-0000916D0000}"/>
    <cellStyle name="Linked Cell 19 3 4" xfId="20378" xr:uid="{00000000-0005-0000-0000-0000926D0000}"/>
    <cellStyle name="Linked Cell 19 3 5" xfId="20379" xr:uid="{00000000-0005-0000-0000-0000936D0000}"/>
    <cellStyle name="Linked Cell 19 4" xfId="20380" xr:uid="{00000000-0005-0000-0000-0000946D0000}"/>
    <cellStyle name="Linked Cell 19 5" xfId="20381" xr:uid="{00000000-0005-0000-0000-0000956D0000}"/>
    <cellStyle name="Linked Cell 19 6" xfId="20382" xr:uid="{00000000-0005-0000-0000-0000966D0000}"/>
    <cellStyle name="Linked Cell 19 7" xfId="20383" xr:uid="{00000000-0005-0000-0000-0000976D0000}"/>
    <cellStyle name="Linked Cell 2" xfId="1459" xr:uid="{00000000-0005-0000-0000-0000986D0000}"/>
    <cellStyle name="Linked Cell 2 10" xfId="9215" xr:uid="{00000000-0005-0000-0000-0000996D0000}"/>
    <cellStyle name="Linked Cell 2 10 2" xfId="20384" xr:uid="{00000000-0005-0000-0000-00009A6D0000}"/>
    <cellStyle name="Linked Cell 2 10 3" xfId="20385" xr:uid="{00000000-0005-0000-0000-00009B6D0000}"/>
    <cellStyle name="Linked Cell 2 10 4" xfId="20386" xr:uid="{00000000-0005-0000-0000-00009C6D0000}"/>
    <cellStyle name="Linked Cell 2 10 5" xfId="20387" xr:uid="{00000000-0005-0000-0000-00009D6D0000}"/>
    <cellStyle name="Linked Cell 2 11" xfId="20388" xr:uid="{00000000-0005-0000-0000-00009E6D0000}"/>
    <cellStyle name="Linked Cell 2 12" xfId="20389" xr:uid="{00000000-0005-0000-0000-00009F6D0000}"/>
    <cellStyle name="Linked Cell 2 13" xfId="20390" xr:uid="{00000000-0005-0000-0000-0000A06D0000}"/>
    <cellStyle name="Linked Cell 2 14" xfId="20391" xr:uid="{00000000-0005-0000-0000-0000A16D0000}"/>
    <cellStyle name="Linked Cell 2 15" xfId="20392" xr:uid="{00000000-0005-0000-0000-0000A26D0000}"/>
    <cellStyle name="Linked Cell 2 16" xfId="20393" xr:uid="{00000000-0005-0000-0000-0000A36D0000}"/>
    <cellStyle name="Linked Cell 2 2" xfId="1460" xr:uid="{00000000-0005-0000-0000-0000A46D0000}"/>
    <cellStyle name="Linked Cell 2 2 2" xfId="9216" xr:uid="{00000000-0005-0000-0000-0000A56D0000}"/>
    <cellStyle name="Linked Cell 2 2 2 2" xfId="20394" xr:uid="{00000000-0005-0000-0000-0000A66D0000}"/>
    <cellStyle name="Linked Cell 2 2 2 3" xfId="20395" xr:uid="{00000000-0005-0000-0000-0000A76D0000}"/>
    <cellStyle name="Linked Cell 2 2 2 4" xfId="20396" xr:uid="{00000000-0005-0000-0000-0000A86D0000}"/>
    <cellStyle name="Linked Cell 2 2 2 5" xfId="20397" xr:uid="{00000000-0005-0000-0000-0000A96D0000}"/>
    <cellStyle name="Linked Cell 2 2 3" xfId="20398" xr:uid="{00000000-0005-0000-0000-0000AA6D0000}"/>
    <cellStyle name="Linked Cell 2 2 4" xfId="20399" xr:uid="{00000000-0005-0000-0000-0000AB6D0000}"/>
    <cellStyle name="Linked Cell 2 2 5" xfId="20400" xr:uid="{00000000-0005-0000-0000-0000AC6D0000}"/>
    <cellStyle name="Linked Cell 2 2 6" xfId="20401" xr:uid="{00000000-0005-0000-0000-0000AD6D0000}"/>
    <cellStyle name="Linked Cell 2 2 7" xfId="20402" xr:uid="{00000000-0005-0000-0000-0000AE6D0000}"/>
    <cellStyle name="Linked Cell 2 3" xfId="1461" xr:uid="{00000000-0005-0000-0000-0000AF6D0000}"/>
    <cellStyle name="Linked Cell 2 3 2" xfId="9217" xr:uid="{00000000-0005-0000-0000-0000B06D0000}"/>
    <cellStyle name="Linked Cell 2 3 2 2" xfId="20403" xr:uid="{00000000-0005-0000-0000-0000B16D0000}"/>
    <cellStyle name="Linked Cell 2 3 2 3" xfId="20404" xr:uid="{00000000-0005-0000-0000-0000B26D0000}"/>
    <cellStyle name="Linked Cell 2 3 2 4" xfId="20405" xr:uid="{00000000-0005-0000-0000-0000B36D0000}"/>
    <cellStyle name="Linked Cell 2 3 2 5" xfId="20406" xr:uid="{00000000-0005-0000-0000-0000B46D0000}"/>
    <cellStyle name="Linked Cell 2 3 3" xfId="20407" xr:uid="{00000000-0005-0000-0000-0000B56D0000}"/>
    <cellStyle name="Linked Cell 2 3 4" xfId="20408" xr:uid="{00000000-0005-0000-0000-0000B66D0000}"/>
    <cellStyle name="Linked Cell 2 3 5" xfId="20409" xr:uid="{00000000-0005-0000-0000-0000B76D0000}"/>
    <cellStyle name="Linked Cell 2 3 6" xfId="20410" xr:uid="{00000000-0005-0000-0000-0000B86D0000}"/>
    <cellStyle name="Linked Cell 2 3 7" xfId="20411" xr:uid="{00000000-0005-0000-0000-0000B96D0000}"/>
    <cellStyle name="Linked Cell 2 4" xfId="1462" xr:uid="{00000000-0005-0000-0000-0000BA6D0000}"/>
    <cellStyle name="Linked Cell 2 4 2" xfId="9218" xr:uid="{00000000-0005-0000-0000-0000BB6D0000}"/>
    <cellStyle name="Linked Cell 2 4 2 2" xfId="20412" xr:uid="{00000000-0005-0000-0000-0000BC6D0000}"/>
    <cellStyle name="Linked Cell 2 4 2 3" xfId="20413" xr:uid="{00000000-0005-0000-0000-0000BD6D0000}"/>
    <cellStyle name="Linked Cell 2 4 2 4" xfId="20414" xr:uid="{00000000-0005-0000-0000-0000BE6D0000}"/>
    <cellStyle name="Linked Cell 2 4 2 5" xfId="20415" xr:uid="{00000000-0005-0000-0000-0000BF6D0000}"/>
    <cellStyle name="Linked Cell 2 4 3" xfId="20416" xr:uid="{00000000-0005-0000-0000-0000C06D0000}"/>
    <cellStyle name="Linked Cell 2 4 4" xfId="20417" xr:uid="{00000000-0005-0000-0000-0000C16D0000}"/>
    <cellStyle name="Linked Cell 2 4 5" xfId="20418" xr:uid="{00000000-0005-0000-0000-0000C26D0000}"/>
    <cellStyle name="Linked Cell 2 4 6" xfId="20419" xr:uid="{00000000-0005-0000-0000-0000C36D0000}"/>
    <cellStyle name="Linked Cell 2 4 7" xfId="20420" xr:uid="{00000000-0005-0000-0000-0000C46D0000}"/>
    <cellStyle name="Linked Cell 2 5" xfId="1463" xr:uid="{00000000-0005-0000-0000-0000C56D0000}"/>
    <cellStyle name="Linked Cell 2 5 2" xfId="9219" xr:uid="{00000000-0005-0000-0000-0000C66D0000}"/>
    <cellStyle name="Linked Cell 2 5 2 2" xfId="20421" xr:uid="{00000000-0005-0000-0000-0000C76D0000}"/>
    <cellStyle name="Linked Cell 2 5 2 3" xfId="20422" xr:uid="{00000000-0005-0000-0000-0000C86D0000}"/>
    <cellStyle name="Linked Cell 2 5 2 4" xfId="20423" xr:uid="{00000000-0005-0000-0000-0000C96D0000}"/>
    <cellStyle name="Linked Cell 2 5 2 5" xfId="20424" xr:uid="{00000000-0005-0000-0000-0000CA6D0000}"/>
    <cellStyle name="Linked Cell 2 5 3" xfId="20425" xr:uid="{00000000-0005-0000-0000-0000CB6D0000}"/>
    <cellStyle name="Linked Cell 2 5 4" xfId="20426" xr:uid="{00000000-0005-0000-0000-0000CC6D0000}"/>
    <cellStyle name="Linked Cell 2 5 5" xfId="20427" xr:uid="{00000000-0005-0000-0000-0000CD6D0000}"/>
    <cellStyle name="Linked Cell 2 5 6" xfId="20428" xr:uid="{00000000-0005-0000-0000-0000CE6D0000}"/>
    <cellStyle name="Linked Cell 2 5 7" xfId="20429" xr:uid="{00000000-0005-0000-0000-0000CF6D0000}"/>
    <cellStyle name="Linked Cell 2 6" xfId="1464" xr:uid="{00000000-0005-0000-0000-0000D06D0000}"/>
    <cellStyle name="Linked Cell 2 6 2" xfId="9220" xr:uid="{00000000-0005-0000-0000-0000D16D0000}"/>
    <cellStyle name="Linked Cell 2 6 2 2" xfId="20430" xr:uid="{00000000-0005-0000-0000-0000D26D0000}"/>
    <cellStyle name="Linked Cell 2 6 2 3" xfId="20431" xr:uid="{00000000-0005-0000-0000-0000D36D0000}"/>
    <cellStyle name="Linked Cell 2 6 2 4" xfId="20432" xr:uid="{00000000-0005-0000-0000-0000D46D0000}"/>
    <cellStyle name="Linked Cell 2 6 2 5" xfId="20433" xr:uid="{00000000-0005-0000-0000-0000D56D0000}"/>
    <cellStyle name="Linked Cell 2 6 3" xfId="20434" xr:uid="{00000000-0005-0000-0000-0000D66D0000}"/>
    <cellStyle name="Linked Cell 2 6 4" xfId="20435" xr:uid="{00000000-0005-0000-0000-0000D76D0000}"/>
    <cellStyle name="Linked Cell 2 6 5" xfId="20436" xr:uid="{00000000-0005-0000-0000-0000D86D0000}"/>
    <cellStyle name="Linked Cell 2 6 6" xfId="20437" xr:uid="{00000000-0005-0000-0000-0000D96D0000}"/>
    <cellStyle name="Linked Cell 2 6 7" xfId="20438" xr:uid="{00000000-0005-0000-0000-0000DA6D0000}"/>
    <cellStyle name="Linked Cell 2 7" xfId="1465" xr:uid="{00000000-0005-0000-0000-0000DB6D0000}"/>
    <cellStyle name="Linked Cell 2 7 2" xfId="9221" xr:uid="{00000000-0005-0000-0000-0000DC6D0000}"/>
    <cellStyle name="Linked Cell 2 7 2 2" xfId="20439" xr:uid="{00000000-0005-0000-0000-0000DD6D0000}"/>
    <cellStyle name="Linked Cell 2 7 2 3" xfId="20440" xr:uid="{00000000-0005-0000-0000-0000DE6D0000}"/>
    <cellStyle name="Linked Cell 2 7 2 4" xfId="20441" xr:uid="{00000000-0005-0000-0000-0000DF6D0000}"/>
    <cellStyle name="Linked Cell 2 7 2 5" xfId="20442" xr:uid="{00000000-0005-0000-0000-0000E06D0000}"/>
    <cellStyle name="Linked Cell 2 7 3" xfId="20443" xr:uid="{00000000-0005-0000-0000-0000E16D0000}"/>
    <cellStyle name="Linked Cell 2 7 4" xfId="20444" xr:uid="{00000000-0005-0000-0000-0000E26D0000}"/>
    <cellStyle name="Linked Cell 2 7 5" xfId="20445" xr:uid="{00000000-0005-0000-0000-0000E36D0000}"/>
    <cellStyle name="Linked Cell 2 7 6" xfId="20446" xr:uid="{00000000-0005-0000-0000-0000E46D0000}"/>
    <cellStyle name="Linked Cell 2 7 7" xfId="20447" xr:uid="{00000000-0005-0000-0000-0000E56D0000}"/>
    <cellStyle name="Linked Cell 2 8" xfId="1466" xr:uid="{00000000-0005-0000-0000-0000E66D0000}"/>
    <cellStyle name="Linked Cell 2 8 2" xfId="9222" xr:uid="{00000000-0005-0000-0000-0000E76D0000}"/>
    <cellStyle name="Linked Cell 2 8 2 2" xfId="20448" xr:uid="{00000000-0005-0000-0000-0000E86D0000}"/>
    <cellStyle name="Linked Cell 2 8 2 3" xfId="20449" xr:uid="{00000000-0005-0000-0000-0000E96D0000}"/>
    <cellStyle name="Linked Cell 2 8 2 4" xfId="20450" xr:uid="{00000000-0005-0000-0000-0000EA6D0000}"/>
    <cellStyle name="Linked Cell 2 8 2 5" xfId="20451" xr:uid="{00000000-0005-0000-0000-0000EB6D0000}"/>
    <cellStyle name="Linked Cell 2 8 3" xfId="20452" xr:uid="{00000000-0005-0000-0000-0000EC6D0000}"/>
    <cellStyle name="Linked Cell 2 8 4" xfId="20453" xr:uid="{00000000-0005-0000-0000-0000ED6D0000}"/>
    <cellStyle name="Linked Cell 2 8 5" xfId="20454" xr:uid="{00000000-0005-0000-0000-0000EE6D0000}"/>
    <cellStyle name="Linked Cell 2 8 6" xfId="20455" xr:uid="{00000000-0005-0000-0000-0000EF6D0000}"/>
    <cellStyle name="Linked Cell 2 8 7" xfId="20456" xr:uid="{00000000-0005-0000-0000-0000F06D0000}"/>
    <cellStyle name="Linked Cell 2 9" xfId="1467" xr:uid="{00000000-0005-0000-0000-0000F16D0000}"/>
    <cellStyle name="Linked Cell 2 9 2" xfId="9223" xr:uid="{00000000-0005-0000-0000-0000F26D0000}"/>
    <cellStyle name="Linked Cell 2 9 2 2" xfId="20457" xr:uid="{00000000-0005-0000-0000-0000F36D0000}"/>
    <cellStyle name="Linked Cell 2 9 2 3" xfId="20458" xr:uid="{00000000-0005-0000-0000-0000F46D0000}"/>
    <cellStyle name="Linked Cell 2 9 2 4" xfId="20459" xr:uid="{00000000-0005-0000-0000-0000F56D0000}"/>
    <cellStyle name="Linked Cell 2 9 2 5" xfId="20460" xr:uid="{00000000-0005-0000-0000-0000F66D0000}"/>
    <cellStyle name="Linked Cell 2 9 3" xfId="20461" xr:uid="{00000000-0005-0000-0000-0000F76D0000}"/>
    <cellStyle name="Linked Cell 2 9 4" xfId="20462" xr:uid="{00000000-0005-0000-0000-0000F86D0000}"/>
    <cellStyle name="Linked Cell 2 9 5" xfId="20463" xr:uid="{00000000-0005-0000-0000-0000F96D0000}"/>
    <cellStyle name="Linked Cell 2 9 6" xfId="20464" xr:uid="{00000000-0005-0000-0000-0000FA6D0000}"/>
    <cellStyle name="Linked Cell 2 9 7" xfId="20465" xr:uid="{00000000-0005-0000-0000-0000FB6D0000}"/>
    <cellStyle name="Linked Cell 2_IND_UC" xfId="6595" xr:uid="{00000000-0005-0000-0000-0000FC6D0000}"/>
    <cellStyle name="Linked Cell 20" xfId="3492" xr:uid="{00000000-0005-0000-0000-0000FD6D0000}"/>
    <cellStyle name="Linked Cell 20 2" xfId="8230" xr:uid="{00000000-0005-0000-0000-0000FE6D0000}"/>
    <cellStyle name="Linked Cell 20 2 2" xfId="9225" xr:uid="{00000000-0005-0000-0000-0000FF6D0000}"/>
    <cellStyle name="Linked Cell 20 2 2 2" xfId="20466" xr:uid="{00000000-0005-0000-0000-0000006E0000}"/>
    <cellStyle name="Linked Cell 20 2 2 3" xfId="20467" xr:uid="{00000000-0005-0000-0000-0000016E0000}"/>
    <cellStyle name="Linked Cell 20 2 2 4" xfId="20468" xr:uid="{00000000-0005-0000-0000-0000026E0000}"/>
    <cellStyle name="Linked Cell 20 2 2 5" xfId="20469" xr:uid="{00000000-0005-0000-0000-0000036E0000}"/>
    <cellStyle name="Linked Cell 20 2 3" xfId="20470" xr:uid="{00000000-0005-0000-0000-0000046E0000}"/>
    <cellStyle name="Linked Cell 20 2 4" xfId="20471" xr:uid="{00000000-0005-0000-0000-0000056E0000}"/>
    <cellStyle name="Linked Cell 20 2 5" xfId="20472" xr:uid="{00000000-0005-0000-0000-0000066E0000}"/>
    <cellStyle name="Linked Cell 20 2 6" xfId="20473" xr:uid="{00000000-0005-0000-0000-0000076E0000}"/>
    <cellStyle name="Linked Cell 20 3" xfId="9224" xr:uid="{00000000-0005-0000-0000-0000086E0000}"/>
    <cellStyle name="Linked Cell 20 3 2" xfId="20474" xr:uid="{00000000-0005-0000-0000-0000096E0000}"/>
    <cellStyle name="Linked Cell 20 3 3" xfId="20475" xr:uid="{00000000-0005-0000-0000-00000A6E0000}"/>
    <cellStyle name="Linked Cell 20 3 4" xfId="20476" xr:uid="{00000000-0005-0000-0000-00000B6E0000}"/>
    <cellStyle name="Linked Cell 20 3 5" xfId="20477" xr:uid="{00000000-0005-0000-0000-00000C6E0000}"/>
    <cellStyle name="Linked Cell 20 4" xfId="20478" xr:uid="{00000000-0005-0000-0000-00000D6E0000}"/>
    <cellStyle name="Linked Cell 20 5" xfId="20479" xr:uid="{00000000-0005-0000-0000-00000E6E0000}"/>
    <cellStyle name="Linked Cell 20 6" xfId="20480" xr:uid="{00000000-0005-0000-0000-00000F6E0000}"/>
    <cellStyle name="Linked Cell 20 7" xfId="20481" xr:uid="{00000000-0005-0000-0000-0000106E0000}"/>
    <cellStyle name="Linked Cell 21" xfId="8231" xr:uid="{00000000-0005-0000-0000-0000116E0000}"/>
    <cellStyle name="Linked Cell 21 2" xfId="9226" xr:uid="{00000000-0005-0000-0000-0000126E0000}"/>
    <cellStyle name="Linked Cell 21 2 2" xfId="20482" xr:uid="{00000000-0005-0000-0000-0000136E0000}"/>
    <cellStyle name="Linked Cell 21 2 3" xfId="20483" xr:uid="{00000000-0005-0000-0000-0000146E0000}"/>
    <cellStyle name="Linked Cell 21 2 4" xfId="20484" xr:uid="{00000000-0005-0000-0000-0000156E0000}"/>
    <cellStyle name="Linked Cell 21 2 5" xfId="20485" xr:uid="{00000000-0005-0000-0000-0000166E0000}"/>
    <cellStyle name="Linked Cell 21 3" xfId="20486" xr:uid="{00000000-0005-0000-0000-0000176E0000}"/>
    <cellStyle name="Linked Cell 21 4" xfId="20487" xr:uid="{00000000-0005-0000-0000-0000186E0000}"/>
    <cellStyle name="Linked Cell 21 5" xfId="20488" xr:uid="{00000000-0005-0000-0000-0000196E0000}"/>
    <cellStyle name="Linked Cell 21 6" xfId="20489" xr:uid="{00000000-0005-0000-0000-00001A6E0000}"/>
    <cellStyle name="Linked Cell 22" xfId="6594" xr:uid="{00000000-0005-0000-0000-00001B6E0000}"/>
    <cellStyle name="Linked Cell 22 2" xfId="20491" xr:uid="{00000000-0005-0000-0000-00001C6E0000}"/>
    <cellStyle name="Linked Cell 22 3" xfId="20490" xr:uid="{00000000-0005-0000-0000-00001D6E0000}"/>
    <cellStyle name="Linked Cell 23" xfId="20492" xr:uid="{00000000-0005-0000-0000-00001E6E0000}"/>
    <cellStyle name="Linked Cell 24" xfId="20493" xr:uid="{00000000-0005-0000-0000-00001F6E0000}"/>
    <cellStyle name="Linked Cell 25" xfId="20494" xr:uid="{00000000-0005-0000-0000-0000206E0000}"/>
    <cellStyle name="Linked Cell 3" xfId="1468" xr:uid="{00000000-0005-0000-0000-0000216E0000}"/>
    <cellStyle name="Linked Cell 3 10" xfId="3493" xr:uid="{00000000-0005-0000-0000-0000226E0000}"/>
    <cellStyle name="Linked Cell 3 10 2" xfId="9228" xr:uid="{00000000-0005-0000-0000-0000236E0000}"/>
    <cellStyle name="Linked Cell 3 10 2 2" xfId="20495" xr:uid="{00000000-0005-0000-0000-0000246E0000}"/>
    <cellStyle name="Linked Cell 3 10 2 3" xfId="20496" xr:uid="{00000000-0005-0000-0000-0000256E0000}"/>
    <cellStyle name="Linked Cell 3 10 2 4" xfId="20497" xr:uid="{00000000-0005-0000-0000-0000266E0000}"/>
    <cellStyle name="Linked Cell 3 10 2 5" xfId="20498" xr:uid="{00000000-0005-0000-0000-0000276E0000}"/>
    <cellStyle name="Linked Cell 3 10 3" xfId="20499" xr:uid="{00000000-0005-0000-0000-0000286E0000}"/>
    <cellStyle name="Linked Cell 3 10 4" xfId="20500" xr:uid="{00000000-0005-0000-0000-0000296E0000}"/>
    <cellStyle name="Linked Cell 3 10 5" xfId="20501" xr:uid="{00000000-0005-0000-0000-00002A6E0000}"/>
    <cellStyle name="Linked Cell 3 10 6" xfId="20502" xr:uid="{00000000-0005-0000-0000-00002B6E0000}"/>
    <cellStyle name="Linked Cell 3 11" xfId="3494" xr:uid="{00000000-0005-0000-0000-00002C6E0000}"/>
    <cellStyle name="Linked Cell 3 11 2" xfId="9229" xr:uid="{00000000-0005-0000-0000-00002D6E0000}"/>
    <cellStyle name="Linked Cell 3 11 2 2" xfId="20503" xr:uid="{00000000-0005-0000-0000-00002E6E0000}"/>
    <cellStyle name="Linked Cell 3 11 2 3" xfId="20504" xr:uid="{00000000-0005-0000-0000-00002F6E0000}"/>
    <cellStyle name="Linked Cell 3 11 2 4" xfId="20505" xr:uid="{00000000-0005-0000-0000-0000306E0000}"/>
    <cellStyle name="Linked Cell 3 11 2 5" xfId="20506" xr:uid="{00000000-0005-0000-0000-0000316E0000}"/>
    <cellStyle name="Linked Cell 3 11 3" xfId="20507" xr:uid="{00000000-0005-0000-0000-0000326E0000}"/>
    <cellStyle name="Linked Cell 3 11 4" xfId="20508" xr:uid="{00000000-0005-0000-0000-0000336E0000}"/>
    <cellStyle name="Linked Cell 3 11 5" xfId="20509" xr:uid="{00000000-0005-0000-0000-0000346E0000}"/>
    <cellStyle name="Linked Cell 3 11 6" xfId="20510" xr:uid="{00000000-0005-0000-0000-0000356E0000}"/>
    <cellStyle name="Linked Cell 3 12" xfId="3495" xr:uid="{00000000-0005-0000-0000-0000366E0000}"/>
    <cellStyle name="Linked Cell 3 12 2" xfId="9230" xr:uid="{00000000-0005-0000-0000-0000376E0000}"/>
    <cellStyle name="Linked Cell 3 12 2 2" xfId="20511" xr:uid="{00000000-0005-0000-0000-0000386E0000}"/>
    <cellStyle name="Linked Cell 3 12 2 3" xfId="20512" xr:uid="{00000000-0005-0000-0000-0000396E0000}"/>
    <cellStyle name="Linked Cell 3 12 2 4" xfId="20513" xr:uid="{00000000-0005-0000-0000-00003A6E0000}"/>
    <cellStyle name="Linked Cell 3 12 2 5" xfId="20514" xr:uid="{00000000-0005-0000-0000-00003B6E0000}"/>
    <cellStyle name="Linked Cell 3 12 3" xfId="20515" xr:uid="{00000000-0005-0000-0000-00003C6E0000}"/>
    <cellStyle name="Linked Cell 3 12 4" xfId="20516" xr:uid="{00000000-0005-0000-0000-00003D6E0000}"/>
    <cellStyle name="Linked Cell 3 12 5" xfId="20517" xr:uid="{00000000-0005-0000-0000-00003E6E0000}"/>
    <cellStyle name="Linked Cell 3 12 6" xfId="20518" xr:uid="{00000000-0005-0000-0000-00003F6E0000}"/>
    <cellStyle name="Linked Cell 3 13" xfId="3496" xr:uid="{00000000-0005-0000-0000-0000406E0000}"/>
    <cellStyle name="Linked Cell 3 13 2" xfId="9231" xr:uid="{00000000-0005-0000-0000-0000416E0000}"/>
    <cellStyle name="Linked Cell 3 13 2 2" xfId="20519" xr:uid="{00000000-0005-0000-0000-0000426E0000}"/>
    <cellStyle name="Linked Cell 3 13 2 3" xfId="20520" xr:uid="{00000000-0005-0000-0000-0000436E0000}"/>
    <cellStyle name="Linked Cell 3 13 2 4" xfId="20521" xr:uid="{00000000-0005-0000-0000-0000446E0000}"/>
    <cellStyle name="Linked Cell 3 13 2 5" xfId="20522" xr:uid="{00000000-0005-0000-0000-0000456E0000}"/>
    <cellStyle name="Linked Cell 3 13 3" xfId="20523" xr:uid="{00000000-0005-0000-0000-0000466E0000}"/>
    <cellStyle name="Linked Cell 3 13 4" xfId="20524" xr:uid="{00000000-0005-0000-0000-0000476E0000}"/>
    <cellStyle name="Linked Cell 3 13 5" xfId="20525" xr:uid="{00000000-0005-0000-0000-0000486E0000}"/>
    <cellStyle name="Linked Cell 3 13 6" xfId="20526" xr:uid="{00000000-0005-0000-0000-0000496E0000}"/>
    <cellStyle name="Linked Cell 3 14" xfId="3497" xr:uid="{00000000-0005-0000-0000-00004A6E0000}"/>
    <cellStyle name="Linked Cell 3 14 2" xfId="9232" xr:uid="{00000000-0005-0000-0000-00004B6E0000}"/>
    <cellStyle name="Linked Cell 3 14 2 2" xfId="20527" xr:uid="{00000000-0005-0000-0000-00004C6E0000}"/>
    <cellStyle name="Linked Cell 3 14 2 3" xfId="20528" xr:uid="{00000000-0005-0000-0000-00004D6E0000}"/>
    <cellStyle name="Linked Cell 3 14 2 4" xfId="20529" xr:uid="{00000000-0005-0000-0000-00004E6E0000}"/>
    <cellStyle name="Linked Cell 3 14 2 5" xfId="20530" xr:uid="{00000000-0005-0000-0000-00004F6E0000}"/>
    <cellStyle name="Linked Cell 3 14 3" xfId="20531" xr:uid="{00000000-0005-0000-0000-0000506E0000}"/>
    <cellStyle name="Linked Cell 3 14 4" xfId="20532" xr:uid="{00000000-0005-0000-0000-0000516E0000}"/>
    <cellStyle name="Linked Cell 3 14 5" xfId="20533" xr:uid="{00000000-0005-0000-0000-0000526E0000}"/>
    <cellStyle name="Linked Cell 3 14 6" xfId="20534" xr:uid="{00000000-0005-0000-0000-0000536E0000}"/>
    <cellStyle name="Linked Cell 3 15" xfId="8232" xr:uid="{00000000-0005-0000-0000-0000546E0000}"/>
    <cellStyle name="Linked Cell 3 15 2" xfId="9233" xr:uid="{00000000-0005-0000-0000-0000556E0000}"/>
    <cellStyle name="Linked Cell 3 15 2 2" xfId="20535" xr:uid="{00000000-0005-0000-0000-0000566E0000}"/>
    <cellStyle name="Linked Cell 3 15 2 3" xfId="20536" xr:uid="{00000000-0005-0000-0000-0000576E0000}"/>
    <cellStyle name="Linked Cell 3 15 2 4" xfId="20537" xr:uid="{00000000-0005-0000-0000-0000586E0000}"/>
    <cellStyle name="Linked Cell 3 15 2 5" xfId="20538" xr:uid="{00000000-0005-0000-0000-0000596E0000}"/>
    <cellStyle name="Linked Cell 3 15 3" xfId="20539" xr:uid="{00000000-0005-0000-0000-00005A6E0000}"/>
    <cellStyle name="Linked Cell 3 15 4" xfId="20540" xr:uid="{00000000-0005-0000-0000-00005B6E0000}"/>
    <cellStyle name="Linked Cell 3 15 5" xfId="20541" xr:uid="{00000000-0005-0000-0000-00005C6E0000}"/>
    <cellStyle name="Linked Cell 3 15 6" xfId="20542" xr:uid="{00000000-0005-0000-0000-00005D6E0000}"/>
    <cellStyle name="Linked Cell 3 16" xfId="9227" xr:uid="{00000000-0005-0000-0000-00005E6E0000}"/>
    <cellStyle name="Linked Cell 3 16 2" xfId="20543" xr:uid="{00000000-0005-0000-0000-00005F6E0000}"/>
    <cellStyle name="Linked Cell 3 16 3" xfId="20544" xr:uid="{00000000-0005-0000-0000-0000606E0000}"/>
    <cellStyle name="Linked Cell 3 16 4" xfId="20545" xr:uid="{00000000-0005-0000-0000-0000616E0000}"/>
    <cellStyle name="Linked Cell 3 16 5" xfId="20546" xr:uid="{00000000-0005-0000-0000-0000626E0000}"/>
    <cellStyle name="Linked Cell 3 17" xfId="20547" xr:uid="{00000000-0005-0000-0000-0000636E0000}"/>
    <cellStyle name="Linked Cell 3 18" xfId="20548" xr:uid="{00000000-0005-0000-0000-0000646E0000}"/>
    <cellStyle name="Linked Cell 3 19" xfId="20549" xr:uid="{00000000-0005-0000-0000-0000656E0000}"/>
    <cellStyle name="Linked Cell 3 2" xfId="1469" xr:uid="{00000000-0005-0000-0000-0000666E0000}"/>
    <cellStyle name="Linked Cell 3 2 2" xfId="9234" xr:uid="{00000000-0005-0000-0000-0000676E0000}"/>
    <cellStyle name="Linked Cell 3 2 2 2" xfId="20550" xr:uid="{00000000-0005-0000-0000-0000686E0000}"/>
    <cellStyle name="Linked Cell 3 2 2 3" xfId="20551" xr:uid="{00000000-0005-0000-0000-0000696E0000}"/>
    <cellStyle name="Linked Cell 3 2 2 4" xfId="20552" xr:uid="{00000000-0005-0000-0000-00006A6E0000}"/>
    <cellStyle name="Linked Cell 3 2 2 5" xfId="20553" xr:uid="{00000000-0005-0000-0000-00006B6E0000}"/>
    <cellStyle name="Linked Cell 3 2 3" xfId="20554" xr:uid="{00000000-0005-0000-0000-00006C6E0000}"/>
    <cellStyle name="Linked Cell 3 2 4" xfId="20555" xr:uid="{00000000-0005-0000-0000-00006D6E0000}"/>
    <cellStyle name="Linked Cell 3 2 5" xfId="20556" xr:uid="{00000000-0005-0000-0000-00006E6E0000}"/>
    <cellStyle name="Linked Cell 3 2 6" xfId="20557" xr:uid="{00000000-0005-0000-0000-00006F6E0000}"/>
    <cellStyle name="Linked Cell 3 2 7" xfId="20558" xr:uid="{00000000-0005-0000-0000-0000706E0000}"/>
    <cellStyle name="Linked Cell 3 20" xfId="20559" xr:uid="{00000000-0005-0000-0000-0000716E0000}"/>
    <cellStyle name="Linked Cell 3 21" xfId="20560" xr:uid="{00000000-0005-0000-0000-0000726E0000}"/>
    <cellStyle name="Linked Cell 3 3" xfId="3498" xr:uid="{00000000-0005-0000-0000-0000736E0000}"/>
    <cellStyle name="Linked Cell 3 3 2" xfId="9235" xr:uid="{00000000-0005-0000-0000-0000746E0000}"/>
    <cellStyle name="Linked Cell 3 3 2 2" xfId="20561" xr:uid="{00000000-0005-0000-0000-0000756E0000}"/>
    <cellStyle name="Linked Cell 3 3 2 3" xfId="20562" xr:uid="{00000000-0005-0000-0000-0000766E0000}"/>
    <cellStyle name="Linked Cell 3 3 2 4" xfId="20563" xr:uid="{00000000-0005-0000-0000-0000776E0000}"/>
    <cellStyle name="Linked Cell 3 3 2 5" xfId="20564" xr:uid="{00000000-0005-0000-0000-0000786E0000}"/>
    <cellStyle name="Linked Cell 3 3 3" xfId="20565" xr:uid="{00000000-0005-0000-0000-0000796E0000}"/>
    <cellStyle name="Linked Cell 3 3 4" xfId="20566" xr:uid="{00000000-0005-0000-0000-00007A6E0000}"/>
    <cellStyle name="Linked Cell 3 3 5" xfId="20567" xr:uid="{00000000-0005-0000-0000-00007B6E0000}"/>
    <cellStyle name="Linked Cell 3 3 6" xfId="20568" xr:uid="{00000000-0005-0000-0000-00007C6E0000}"/>
    <cellStyle name="Linked Cell 3 4" xfId="3499" xr:uid="{00000000-0005-0000-0000-00007D6E0000}"/>
    <cellStyle name="Linked Cell 3 4 2" xfId="9236" xr:uid="{00000000-0005-0000-0000-00007E6E0000}"/>
    <cellStyle name="Linked Cell 3 4 2 2" xfId="20569" xr:uid="{00000000-0005-0000-0000-00007F6E0000}"/>
    <cellStyle name="Linked Cell 3 4 2 3" xfId="20570" xr:uid="{00000000-0005-0000-0000-0000806E0000}"/>
    <cellStyle name="Linked Cell 3 4 2 4" xfId="20571" xr:uid="{00000000-0005-0000-0000-0000816E0000}"/>
    <cellStyle name="Linked Cell 3 4 2 5" xfId="20572" xr:uid="{00000000-0005-0000-0000-0000826E0000}"/>
    <cellStyle name="Linked Cell 3 4 3" xfId="20573" xr:uid="{00000000-0005-0000-0000-0000836E0000}"/>
    <cellStyle name="Linked Cell 3 4 4" xfId="20574" xr:uid="{00000000-0005-0000-0000-0000846E0000}"/>
    <cellStyle name="Linked Cell 3 4 5" xfId="20575" xr:uid="{00000000-0005-0000-0000-0000856E0000}"/>
    <cellStyle name="Linked Cell 3 4 6" xfId="20576" xr:uid="{00000000-0005-0000-0000-0000866E0000}"/>
    <cellStyle name="Linked Cell 3 5" xfId="3500" xr:uid="{00000000-0005-0000-0000-0000876E0000}"/>
    <cellStyle name="Linked Cell 3 5 2" xfId="9237" xr:uid="{00000000-0005-0000-0000-0000886E0000}"/>
    <cellStyle name="Linked Cell 3 5 2 2" xfId="20577" xr:uid="{00000000-0005-0000-0000-0000896E0000}"/>
    <cellStyle name="Linked Cell 3 5 2 3" xfId="20578" xr:uid="{00000000-0005-0000-0000-00008A6E0000}"/>
    <cellStyle name="Linked Cell 3 5 2 4" xfId="20579" xr:uid="{00000000-0005-0000-0000-00008B6E0000}"/>
    <cellStyle name="Linked Cell 3 5 2 5" xfId="20580" xr:uid="{00000000-0005-0000-0000-00008C6E0000}"/>
    <cellStyle name="Linked Cell 3 5 3" xfId="20581" xr:uid="{00000000-0005-0000-0000-00008D6E0000}"/>
    <cellStyle name="Linked Cell 3 5 4" xfId="20582" xr:uid="{00000000-0005-0000-0000-00008E6E0000}"/>
    <cellStyle name="Linked Cell 3 5 5" xfId="20583" xr:uid="{00000000-0005-0000-0000-00008F6E0000}"/>
    <cellStyle name="Linked Cell 3 5 6" xfId="20584" xr:uid="{00000000-0005-0000-0000-0000906E0000}"/>
    <cellStyle name="Linked Cell 3 6" xfId="3501" xr:uid="{00000000-0005-0000-0000-0000916E0000}"/>
    <cellStyle name="Linked Cell 3 6 2" xfId="9238" xr:uid="{00000000-0005-0000-0000-0000926E0000}"/>
    <cellStyle name="Linked Cell 3 6 2 2" xfId="20585" xr:uid="{00000000-0005-0000-0000-0000936E0000}"/>
    <cellStyle name="Linked Cell 3 6 2 3" xfId="20586" xr:uid="{00000000-0005-0000-0000-0000946E0000}"/>
    <cellStyle name="Linked Cell 3 6 2 4" xfId="20587" xr:uid="{00000000-0005-0000-0000-0000956E0000}"/>
    <cellStyle name="Linked Cell 3 6 2 5" xfId="20588" xr:uid="{00000000-0005-0000-0000-0000966E0000}"/>
    <cellStyle name="Linked Cell 3 6 3" xfId="20589" xr:uid="{00000000-0005-0000-0000-0000976E0000}"/>
    <cellStyle name="Linked Cell 3 6 4" xfId="20590" xr:uid="{00000000-0005-0000-0000-0000986E0000}"/>
    <cellStyle name="Linked Cell 3 6 5" xfId="20591" xr:uid="{00000000-0005-0000-0000-0000996E0000}"/>
    <cellStyle name="Linked Cell 3 6 6" xfId="20592" xr:uid="{00000000-0005-0000-0000-00009A6E0000}"/>
    <cellStyle name="Linked Cell 3 7" xfId="3502" xr:uid="{00000000-0005-0000-0000-00009B6E0000}"/>
    <cellStyle name="Linked Cell 3 7 2" xfId="9239" xr:uid="{00000000-0005-0000-0000-00009C6E0000}"/>
    <cellStyle name="Linked Cell 3 7 2 2" xfId="20593" xr:uid="{00000000-0005-0000-0000-00009D6E0000}"/>
    <cellStyle name="Linked Cell 3 7 2 3" xfId="20594" xr:uid="{00000000-0005-0000-0000-00009E6E0000}"/>
    <cellStyle name="Linked Cell 3 7 2 4" xfId="20595" xr:uid="{00000000-0005-0000-0000-00009F6E0000}"/>
    <cellStyle name="Linked Cell 3 7 2 5" xfId="20596" xr:uid="{00000000-0005-0000-0000-0000A06E0000}"/>
    <cellStyle name="Linked Cell 3 7 3" xfId="20597" xr:uid="{00000000-0005-0000-0000-0000A16E0000}"/>
    <cellStyle name="Linked Cell 3 7 4" xfId="20598" xr:uid="{00000000-0005-0000-0000-0000A26E0000}"/>
    <cellStyle name="Linked Cell 3 7 5" xfId="20599" xr:uid="{00000000-0005-0000-0000-0000A36E0000}"/>
    <cellStyle name="Linked Cell 3 7 6" xfId="20600" xr:uid="{00000000-0005-0000-0000-0000A46E0000}"/>
    <cellStyle name="Linked Cell 3 8" xfId="3503" xr:uid="{00000000-0005-0000-0000-0000A56E0000}"/>
    <cellStyle name="Linked Cell 3 8 2" xfId="9240" xr:uid="{00000000-0005-0000-0000-0000A66E0000}"/>
    <cellStyle name="Linked Cell 3 8 2 2" xfId="20601" xr:uid="{00000000-0005-0000-0000-0000A76E0000}"/>
    <cellStyle name="Linked Cell 3 8 2 3" xfId="20602" xr:uid="{00000000-0005-0000-0000-0000A86E0000}"/>
    <cellStyle name="Linked Cell 3 8 2 4" xfId="20603" xr:uid="{00000000-0005-0000-0000-0000A96E0000}"/>
    <cellStyle name="Linked Cell 3 8 2 5" xfId="20604" xr:uid="{00000000-0005-0000-0000-0000AA6E0000}"/>
    <cellStyle name="Linked Cell 3 8 3" xfId="20605" xr:uid="{00000000-0005-0000-0000-0000AB6E0000}"/>
    <cellStyle name="Linked Cell 3 8 4" xfId="20606" xr:uid="{00000000-0005-0000-0000-0000AC6E0000}"/>
    <cellStyle name="Linked Cell 3 8 5" xfId="20607" xr:uid="{00000000-0005-0000-0000-0000AD6E0000}"/>
    <cellStyle name="Linked Cell 3 8 6" xfId="20608" xr:uid="{00000000-0005-0000-0000-0000AE6E0000}"/>
    <cellStyle name="Linked Cell 3 9" xfId="3504" xr:uid="{00000000-0005-0000-0000-0000AF6E0000}"/>
    <cellStyle name="Linked Cell 3 9 2" xfId="9241" xr:uid="{00000000-0005-0000-0000-0000B06E0000}"/>
    <cellStyle name="Linked Cell 3 9 2 2" xfId="20609" xr:uid="{00000000-0005-0000-0000-0000B16E0000}"/>
    <cellStyle name="Linked Cell 3 9 2 3" xfId="20610" xr:uid="{00000000-0005-0000-0000-0000B26E0000}"/>
    <cellStyle name="Linked Cell 3 9 2 4" xfId="20611" xr:uid="{00000000-0005-0000-0000-0000B36E0000}"/>
    <cellStyle name="Linked Cell 3 9 2 5" xfId="20612" xr:uid="{00000000-0005-0000-0000-0000B46E0000}"/>
    <cellStyle name="Linked Cell 3 9 3" xfId="20613" xr:uid="{00000000-0005-0000-0000-0000B56E0000}"/>
    <cellStyle name="Linked Cell 3 9 4" xfId="20614" xr:uid="{00000000-0005-0000-0000-0000B66E0000}"/>
    <cellStyle name="Linked Cell 3 9 5" xfId="20615" xr:uid="{00000000-0005-0000-0000-0000B76E0000}"/>
    <cellStyle name="Linked Cell 3 9 6" xfId="20616" xr:uid="{00000000-0005-0000-0000-0000B86E0000}"/>
    <cellStyle name="Linked Cell 3_IND_UC" xfId="6596" xr:uid="{00000000-0005-0000-0000-0000B96E0000}"/>
    <cellStyle name="Linked Cell 4" xfId="1470" xr:uid="{00000000-0005-0000-0000-0000BA6E0000}"/>
    <cellStyle name="Linked Cell 4 2" xfId="1471" xr:uid="{00000000-0005-0000-0000-0000BB6E0000}"/>
    <cellStyle name="Linked Cell 4 2 2" xfId="9243" xr:uid="{00000000-0005-0000-0000-0000BC6E0000}"/>
    <cellStyle name="Linked Cell 4 2 2 2" xfId="20617" xr:uid="{00000000-0005-0000-0000-0000BD6E0000}"/>
    <cellStyle name="Linked Cell 4 2 2 3" xfId="20618" xr:uid="{00000000-0005-0000-0000-0000BE6E0000}"/>
    <cellStyle name="Linked Cell 4 2 2 4" xfId="20619" xr:uid="{00000000-0005-0000-0000-0000BF6E0000}"/>
    <cellStyle name="Linked Cell 4 2 2 5" xfId="20620" xr:uid="{00000000-0005-0000-0000-0000C06E0000}"/>
    <cellStyle name="Linked Cell 4 2 3" xfId="20621" xr:uid="{00000000-0005-0000-0000-0000C16E0000}"/>
    <cellStyle name="Linked Cell 4 2 4" xfId="20622" xr:uid="{00000000-0005-0000-0000-0000C26E0000}"/>
    <cellStyle name="Linked Cell 4 2 5" xfId="20623" xr:uid="{00000000-0005-0000-0000-0000C36E0000}"/>
    <cellStyle name="Linked Cell 4 2 6" xfId="20624" xr:uid="{00000000-0005-0000-0000-0000C46E0000}"/>
    <cellStyle name="Linked Cell 4 2 7" xfId="20625" xr:uid="{00000000-0005-0000-0000-0000C56E0000}"/>
    <cellStyle name="Linked Cell 4 3" xfId="9242" xr:uid="{00000000-0005-0000-0000-0000C66E0000}"/>
    <cellStyle name="Linked Cell 4 3 2" xfId="20626" xr:uid="{00000000-0005-0000-0000-0000C76E0000}"/>
    <cellStyle name="Linked Cell 4 3 3" xfId="20627" xr:uid="{00000000-0005-0000-0000-0000C86E0000}"/>
    <cellStyle name="Linked Cell 4 3 4" xfId="20628" xr:uid="{00000000-0005-0000-0000-0000C96E0000}"/>
    <cellStyle name="Linked Cell 4 3 5" xfId="20629" xr:uid="{00000000-0005-0000-0000-0000CA6E0000}"/>
    <cellStyle name="Linked Cell 4 4" xfId="20630" xr:uid="{00000000-0005-0000-0000-0000CB6E0000}"/>
    <cellStyle name="Linked Cell 4 5" xfId="20631" xr:uid="{00000000-0005-0000-0000-0000CC6E0000}"/>
    <cellStyle name="Linked Cell 4 6" xfId="20632" xr:uid="{00000000-0005-0000-0000-0000CD6E0000}"/>
    <cellStyle name="Linked Cell 4 7" xfId="20633" xr:uid="{00000000-0005-0000-0000-0000CE6E0000}"/>
    <cellStyle name="Linked Cell 4 8" xfId="20634" xr:uid="{00000000-0005-0000-0000-0000CF6E0000}"/>
    <cellStyle name="Linked Cell 5" xfId="1472" xr:uid="{00000000-0005-0000-0000-0000D06E0000}"/>
    <cellStyle name="Linked Cell 5 2" xfId="1473" xr:uid="{00000000-0005-0000-0000-0000D16E0000}"/>
    <cellStyle name="Linked Cell 5 2 2" xfId="9245" xr:uid="{00000000-0005-0000-0000-0000D26E0000}"/>
    <cellStyle name="Linked Cell 5 2 2 2" xfId="20635" xr:uid="{00000000-0005-0000-0000-0000D36E0000}"/>
    <cellStyle name="Linked Cell 5 2 2 3" xfId="20636" xr:uid="{00000000-0005-0000-0000-0000D46E0000}"/>
    <cellStyle name="Linked Cell 5 2 2 4" xfId="20637" xr:uid="{00000000-0005-0000-0000-0000D56E0000}"/>
    <cellStyle name="Linked Cell 5 2 2 5" xfId="20638" xr:uid="{00000000-0005-0000-0000-0000D66E0000}"/>
    <cellStyle name="Linked Cell 5 2 3" xfId="20639" xr:uid="{00000000-0005-0000-0000-0000D76E0000}"/>
    <cellStyle name="Linked Cell 5 2 4" xfId="20640" xr:uid="{00000000-0005-0000-0000-0000D86E0000}"/>
    <cellStyle name="Linked Cell 5 2 5" xfId="20641" xr:uid="{00000000-0005-0000-0000-0000D96E0000}"/>
    <cellStyle name="Linked Cell 5 2 6" xfId="20642" xr:uid="{00000000-0005-0000-0000-0000DA6E0000}"/>
    <cellStyle name="Linked Cell 5 2 7" xfId="20643" xr:uid="{00000000-0005-0000-0000-0000DB6E0000}"/>
    <cellStyle name="Linked Cell 5 3" xfId="9244" xr:uid="{00000000-0005-0000-0000-0000DC6E0000}"/>
    <cellStyle name="Linked Cell 5 3 2" xfId="20644" xr:uid="{00000000-0005-0000-0000-0000DD6E0000}"/>
    <cellStyle name="Linked Cell 5 3 3" xfId="20645" xr:uid="{00000000-0005-0000-0000-0000DE6E0000}"/>
    <cellStyle name="Linked Cell 5 3 4" xfId="20646" xr:uid="{00000000-0005-0000-0000-0000DF6E0000}"/>
    <cellStyle name="Linked Cell 5 3 5" xfId="20647" xr:uid="{00000000-0005-0000-0000-0000E06E0000}"/>
    <cellStyle name="Linked Cell 5 4" xfId="20648" xr:uid="{00000000-0005-0000-0000-0000E16E0000}"/>
    <cellStyle name="Linked Cell 5 5" xfId="20649" xr:uid="{00000000-0005-0000-0000-0000E26E0000}"/>
    <cellStyle name="Linked Cell 5 6" xfId="20650" xr:uid="{00000000-0005-0000-0000-0000E36E0000}"/>
    <cellStyle name="Linked Cell 5 7" xfId="20651" xr:uid="{00000000-0005-0000-0000-0000E46E0000}"/>
    <cellStyle name="Linked Cell 5 8" xfId="20652" xr:uid="{00000000-0005-0000-0000-0000E56E0000}"/>
    <cellStyle name="Linked Cell 6" xfId="1474" xr:uid="{00000000-0005-0000-0000-0000E66E0000}"/>
    <cellStyle name="Linked Cell 6 2" xfId="1475" xr:uid="{00000000-0005-0000-0000-0000E76E0000}"/>
    <cellStyle name="Linked Cell 6 2 2" xfId="9247" xr:uid="{00000000-0005-0000-0000-0000E86E0000}"/>
    <cellStyle name="Linked Cell 6 2 2 2" xfId="20653" xr:uid="{00000000-0005-0000-0000-0000E96E0000}"/>
    <cellStyle name="Linked Cell 6 2 2 3" xfId="20654" xr:uid="{00000000-0005-0000-0000-0000EA6E0000}"/>
    <cellStyle name="Linked Cell 6 2 2 4" xfId="20655" xr:uid="{00000000-0005-0000-0000-0000EB6E0000}"/>
    <cellStyle name="Linked Cell 6 2 2 5" xfId="20656" xr:uid="{00000000-0005-0000-0000-0000EC6E0000}"/>
    <cellStyle name="Linked Cell 6 2 3" xfId="20657" xr:uid="{00000000-0005-0000-0000-0000ED6E0000}"/>
    <cellStyle name="Linked Cell 6 2 4" xfId="20658" xr:uid="{00000000-0005-0000-0000-0000EE6E0000}"/>
    <cellStyle name="Linked Cell 6 2 5" xfId="20659" xr:uid="{00000000-0005-0000-0000-0000EF6E0000}"/>
    <cellStyle name="Linked Cell 6 2 6" xfId="20660" xr:uid="{00000000-0005-0000-0000-0000F06E0000}"/>
    <cellStyle name="Linked Cell 6 2 7" xfId="20661" xr:uid="{00000000-0005-0000-0000-0000F16E0000}"/>
    <cellStyle name="Linked Cell 6 3" xfId="3505" xr:uid="{00000000-0005-0000-0000-0000F26E0000}"/>
    <cellStyle name="Linked Cell 6 3 2" xfId="9248" xr:uid="{00000000-0005-0000-0000-0000F36E0000}"/>
    <cellStyle name="Linked Cell 6 3 2 2" xfId="20662" xr:uid="{00000000-0005-0000-0000-0000F46E0000}"/>
    <cellStyle name="Linked Cell 6 3 2 3" xfId="20663" xr:uid="{00000000-0005-0000-0000-0000F56E0000}"/>
    <cellStyle name="Linked Cell 6 3 2 4" xfId="20664" xr:uid="{00000000-0005-0000-0000-0000F66E0000}"/>
    <cellStyle name="Linked Cell 6 3 2 5" xfId="20665" xr:uid="{00000000-0005-0000-0000-0000F76E0000}"/>
    <cellStyle name="Linked Cell 6 3 3" xfId="20666" xr:uid="{00000000-0005-0000-0000-0000F86E0000}"/>
    <cellStyle name="Linked Cell 6 3 4" xfId="20667" xr:uid="{00000000-0005-0000-0000-0000F96E0000}"/>
    <cellStyle name="Linked Cell 6 3 5" xfId="20668" xr:uid="{00000000-0005-0000-0000-0000FA6E0000}"/>
    <cellStyle name="Linked Cell 6 3 6" xfId="20669" xr:uid="{00000000-0005-0000-0000-0000FB6E0000}"/>
    <cellStyle name="Linked Cell 6 4" xfId="9246" xr:uid="{00000000-0005-0000-0000-0000FC6E0000}"/>
    <cellStyle name="Linked Cell 6 4 2" xfId="20670" xr:uid="{00000000-0005-0000-0000-0000FD6E0000}"/>
    <cellStyle name="Linked Cell 6 4 3" xfId="20671" xr:uid="{00000000-0005-0000-0000-0000FE6E0000}"/>
    <cellStyle name="Linked Cell 6 4 4" xfId="20672" xr:uid="{00000000-0005-0000-0000-0000FF6E0000}"/>
    <cellStyle name="Linked Cell 6 4 5" xfId="20673" xr:uid="{00000000-0005-0000-0000-0000006F0000}"/>
    <cellStyle name="Linked Cell 6 5" xfId="20674" xr:uid="{00000000-0005-0000-0000-0000016F0000}"/>
    <cellStyle name="Linked Cell 6 6" xfId="20675" xr:uid="{00000000-0005-0000-0000-0000026F0000}"/>
    <cellStyle name="Linked Cell 6 7" xfId="20676" xr:uid="{00000000-0005-0000-0000-0000036F0000}"/>
    <cellStyle name="Linked Cell 6 8" xfId="20677" xr:uid="{00000000-0005-0000-0000-0000046F0000}"/>
    <cellStyle name="Linked Cell 6 9" xfId="20678" xr:uid="{00000000-0005-0000-0000-0000056F0000}"/>
    <cellStyle name="Linked Cell 7" xfId="1476" xr:uid="{00000000-0005-0000-0000-0000066F0000}"/>
    <cellStyle name="Linked Cell 7 2" xfId="1477" xr:uid="{00000000-0005-0000-0000-0000076F0000}"/>
    <cellStyle name="Linked Cell 7 2 2" xfId="9250" xr:uid="{00000000-0005-0000-0000-0000086F0000}"/>
    <cellStyle name="Linked Cell 7 2 2 2" xfId="20679" xr:uid="{00000000-0005-0000-0000-0000096F0000}"/>
    <cellStyle name="Linked Cell 7 2 2 3" xfId="20680" xr:uid="{00000000-0005-0000-0000-00000A6F0000}"/>
    <cellStyle name="Linked Cell 7 2 2 4" xfId="20681" xr:uid="{00000000-0005-0000-0000-00000B6F0000}"/>
    <cellStyle name="Linked Cell 7 2 2 5" xfId="20682" xr:uid="{00000000-0005-0000-0000-00000C6F0000}"/>
    <cellStyle name="Linked Cell 7 2 3" xfId="20683" xr:uid="{00000000-0005-0000-0000-00000D6F0000}"/>
    <cellStyle name="Linked Cell 7 2 4" xfId="20684" xr:uid="{00000000-0005-0000-0000-00000E6F0000}"/>
    <cellStyle name="Linked Cell 7 2 5" xfId="20685" xr:uid="{00000000-0005-0000-0000-00000F6F0000}"/>
    <cellStyle name="Linked Cell 7 2 6" xfId="20686" xr:uid="{00000000-0005-0000-0000-0000106F0000}"/>
    <cellStyle name="Linked Cell 7 2 7" xfId="20687" xr:uid="{00000000-0005-0000-0000-0000116F0000}"/>
    <cellStyle name="Linked Cell 7 3" xfId="3506" xr:uid="{00000000-0005-0000-0000-0000126F0000}"/>
    <cellStyle name="Linked Cell 7 3 2" xfId="9251" xr:uid="{00000000-0005-0000-0000-0000136F0000}"/>
    <cellStyle name="Linked Cell 7 3 2 2" xfId="20688" xr:uid="{00000000-0005-0000-0000-0000146F0000}"/>
    <cellStyle name="Linked Cell 7 3 2 3" xfId="20689" xr:uid="{00000000-0005-0000-0000-0000156F0000}"/>
    <cellStyle name="Linked Cell 7 3 2 4" xfId="20690" xr:uid="{00000000-0005-0000-0000-0000166F0000}"/>
    <cellStyle name="Linked Cell 7 3 2 5" xfId="20691" xr:uid="{00000000-0005-0000-0000-0000176F0000}"/>
    <cellStyle name="Linked Cell 7 3 3" xfId="20692" xr:uid="{00000000-0005-0000-0000-0000186F0000}"/>
    <cellStyle name="Linked Cell 7 3 4" xfId="20693" xr:uid="{00000000-0005-0000-0000-0000196F0000}"/>
    <cellStyle name="Linked Cell 7 3 5" xfId="20694" xr:uid="{00000000-0005-0000-0000-00001A6F0000}"/>
    <cellStyle name="Linked Cell 7 3 6" xfId="20695" xr:uid="{00000000-0005-0000-0000-00001B6F0000}"/>
    <cellStyle name="Linked Cell 7 4" xfId="9249" xr:uid="{00000000-0005-0000-0000-00001C6F0000}"/>
    <cellStyle name="Linked Cell 7 4 2" xfId="20696" xr:uid="{00000000-0005-0000-0000-00001D6F0000}"/>
    <cellStyle name="Linked Cell 7 4 3" xfId="20697" xr:uid="{00000000-0005-0000-0000-00001E6F0000}"/>
    <cellStyle name="Linked Cell 7 4 4" xfId="20698" xr:uid="{00000000-0005-0000-0000-00001F6F0000}"/>
    <cellStyle name="Linked Cell 7 4 5" xfId="20699" xr:uid="{00000000-0005-0000-0000-0000206F0000}"/>
    <cellStyle name="Linked Cell 7 5" xfId="20700" xr:uid="{00000000-0005-0000-0000-0000216F0000}"/>
    <cellStyle name="Linked Cell 7 6" xfId="20701" xr:uid="{00000000-0005-0000-0000-0000226F0000}"/>
    <cellStyle name="Linked Cell 7 7" xfId="20702" xr:uid="{00000000-0005-0000-0000-0000236F0000}"/>
    <cellStyle name="Linked Cell 7 8" xfId="20703" xr:uid="{00000000-0005-0000-0000-0000246F0000}"/>
    <cellStyle name="Linked Cell 7 9" xfId="20704" xr:uid="{00000000-0005-0000-0000-0000256F0000}"/>
    <cellStyle name="Linked Cell 8" xfId="1478" xr:uid="{00000000-0005-0000-0000-0000266F0000}"/>
    <cellStyle name="Linked Cell 8 2" xfId="1479" xr:uid="{00000000-0005-0000-0000-0000276F0000}"/>
    <cellStyle name="Linked Cell 8 2 2" xfId="9253" xr:uid="{00000000-0005-0000-0000-0000286F0000}"/>
    <cellStyle name="Linked Cell 8 2 2 2" xfId="20705" xr:uid="{00000000-0005-0000-0000-0000296F0000}"/>
    <cellStyle name="Linked Cell 8 2 2 3" xfId="20706" xr:uid="{00000000-0005-0000-0000-00002A6F0000}"/>
    <cellStyle name="Linked Cell 8 2 2 4" xfId="20707" xr:uid="{00000000-0005-0000-0000-00002B6F0000}"/>
    <cellStyle name="Linked Cell 8 2 2 5" xfId="20708" xr:uid="{00000000-0005-0000-0000-00002C6F0000}"/>
    <cellStyle name="Linked Cell 8 2 3" xfId="20709" xr:uid="{00000000-0005-0000-0000-00002D6F0000}"/>
    <cellStyle name="Linked Cell 8 2 4" xfId="20710" xr:uid="{00000000-0005-0000-0000-00002E6F0000}"/>
    <cellStyle name="Linked Cell 8 2 5" xfId="20711" xr:uid="{00000000-0005-0000-0000-00002F6F0000}"/>
    <cellStyle name="Linked Cell 8 2 6" xfId="20712" xr:uid="{00000000-0005-0000-0000-0000306F0000}"/>
    <cellStyle name="Linked Cell 8 2 7" xfId="20713" xr:uid="{00000000-0005-0000-0000-0000316F0000}"/>
    <cellStyle name="Linked Cell 8 3" xfId="3507" xr:uid="{00000000-0005-0000-0000-0000326F0000}"/>
    <cellStyle name="Linked Cell 8 3 2" xfId="9254" xr:uid="{00000000-0005-0000-0000-0000336F0000}"/>
    <cellStyle name="Linked Cell 8 3 2 2" xfId="20714" xr:uid="{00000000-0005-0000-0000-0000346F0000}"/>
    <cellStyle name="Linked Cell 8 3 2 3" xfId="20715" xr:uid="{00000000-0005-0000-0000-0000356F0000}"/>
    <cellStyle name="Linked Cell 8 3 2 4" xfId="20716" xr:uid="{00000000-0005-0000-0000-0000366F0000}"/>
    <cellStyle name="Linked Cell 8 3 2 5" xfId="20717" xr:uid="{00000000-0005-0000-0000-0000376F0000}"/>
    <cellStyle name="Linked Cell 8 3 3" xfId="20718" xr:uid="{00000000-0005-0000-0000-0000386F0000}"/>
    <cellStyle name="Linked Cell 8 3 4" xfId="20719" xr:uid="{00000000-0005-0000-0000-0000396F0000}"/>
    <cellStyle name="Linked Cell 8 3 5" xfId="20720" xr:uid="{00000000-0005-0000-0000-00003A6F0000}"/>
    <cellStyle name="Linked Cell 8 3 6" xfId="20721" xr:uid="{00000000-0005-0000-0000-00003B6F0000}"/>
    <cellStyle name="Linked Cell 8 4" xfId="9252" xr:uid="{00000000-0005-0000-0000-00003C6F0000}"/>
    <cellStyle name="Linked Cell 8 4 2" xfId="20722" xr:uid="{00000000-0005-0000-0000-00003D6F0000}"/>
    <cellStyle name="Linked Cell 8 4 3" xfId="20723" xr:uid="{00000000-0005-0000-0000-00003E6F0000}"/>
    <cellStyle name="Linked Cell 8 4 4" xfId="20724" xr:uid="{00000000-0005-0000-0000-00003F6F0000}"/>
    <cellStyle name="Linked Cell 8 4 5" xfId="20725" xr:uid="{00000000-0005-0000-0000-0000406F0000}"/>
    <cellStyle name="Linked Cell 8 5" xfId="20726" xr:uid="{00000000-0005-0000-0000-0000416F0000}"/>
    <cellStyle name="Linked Cell 8 6" xfId="20727" xr:uid="{00000000-0005-0000-0000-0000426F0000}"/>
    <cellStyle name="Linked Cell 8 7" xfId="20728" xr:uid="{00000000-0005-0000-0000-0000436F0000}"/>
    <cellStyle name="Linked Cell 8 8" xfId="20729" xr:uid="{00000000-0005-0000-0000-0000446F0000}"/>
    <cellStyle name="Linked Cell 8 9" xfId="20730" xr:uid="{00000000-0005-0000-0000-0000456F0000}"/>
    <cellStyle name="Linked Cell 9" xfId="1480" xr:uid="{00000000-0005-0000-0000-0000466F0000}"/>
    <cellStyle name="Linked Cell 9 2" xfId="3508" xr:uid="{00000000-0005-0000-0000-0000476F0000}"/>
    <cellStyle name="Linked Cell 9 2 2" xfId="9256" xr:uid="{00000000-0005-0000-0000-0000486F0000}"/>
    <cellStyle name="Linked Cell 9 2 2 2" xfId="20731" xr:uid="{00000000-0005-0000-0000-0000496F0000}"/>
    <cellStyle name="Linked Cell 9 2 2 3" xfId="20732" xr:uid="{00000000-0005-0000-0000-00004A6F0000}"/>
    <cellStyle name="Linked Cell 9 2 2 4" xfId="20733" xr:uid="{00000000-0005-0000-0000-00004B6F0000}"/>
    <cellStyle name="Linked Cell 9 2 2 5" xfId="20734" xr:uid="{00000000-0005-0000-0000-00004C6F0000}"/>
    <cellStyle name="Linked Cell 9 2 3" xfId="20735" xr:uid="{00000000-0005-0000-0000-00004D6F0000}"/>
    <cellStyle name="Linked Cell 9 2 4" xfId="20736" xr:uid="{00000000-0005-0000-0000-00004E6F0000}"/>
    <cellStyle name="Linked Cell 9 2 5" xfId="20737" xr:uid="{00000000-0005-0000-0000-00004F6F0000}"/>
    <cellStyle name="Linked Cell 9 2 6" xfId="20738" xr:uid="{00000000-0005-0000-0000-0000506F0000}"/>
    <cellStyle name="Linked Cell 9 3" xfId="9255" xr:uid="{00000000-0005-0000-0000-0000516F0000}"/>
    <cellStyle name="Linked Cell 9 3 2" xfId="20739" xr:uid="{00000000-0005-0000-0000-0000526F0000}"/>
    <cellStyle name="Linked Cell 9 3 3" xfId="20740" xr:uid="{00000000-0005-0000-0000-0000536F0000}"/>
    <cellStyle name="Linked Cell 9 3 4" xfId="20741" xr:uid="{00000000-0005-0000-0000-0000546F0000}"/>
    <cellStyle name="Linked Cell 9 3 5" xfId="20742" xr:uid="{00000000-0005-0000-0000-0000556F0000}"/>
    <cellStyle name="Linked Cell 9 4" xfId="20743" xr:uid="{00000000-0005-0000-0000-0000566F0000}"/>
    <cellStyle name="Linked Cell 9 5" xfId="20744" xr:uid="{00000000-0005-0000-0000-0000576F0000}"/>
    <cellStyle name="Linked Cell 9 6" xfId="20745" xr:uid="{00000000-0005-0000-0000-0000586F0000}"/>
    <cellStyle name="Linked Cell 9 7" xfId="20746" xr:uid="{00000000-0005-0000-0000-0000596F0000}"/>
    <cellStyle name="Linked Cell 9 8" xfId="20747" xr:uid="{00000000-0005-0000-0000-00005A6F0000}"/>
    <cellStyle name="Neutral 10" xfId="1481" xr:uid="{00000000-0005-0000-0000-00005B6F0000}"/>
    <cellStyle name="Neutral 10 2" xfId="3509" xr:uid="{00000000-0005-0000-0000-00005C6F0000}"/>
    <cellStyle name="Neutral 10 2 2" xfId="9258" xr:uid="{00000000-0005-0000-0000-00005D6F0000}"/>
    <cellStyle name="Neutral 10 2 2 2" xfId="20748" xr:uid="{00000000-0005-0000-0000-00005E6F0000}"/>
    <cellStyle name="Neutral 10 2 2 3" xfId="20749" xr:uid="{00000000-0005-0000-0000-00005F6F0000}"/>
    <cellStyle name="Neutral 10 2 2 4" xfId="20750" xr:uid="{00000000-0005-0000-0000-0000606F0000}"/>
    <cellStyle name="Neutral 10 2 2 5" xfId="20751" xr:uid="{00000000-0005-0000-0000-0000616F0000}"/>
    <cellStyle name="Neutral 10 2 3" xfId="20752" xr:uid="{00000000-0005-0000-0000-0000626F0000}"/>
    <cellStyle name="Neutral 10 2 4" xfId="20753" xr:uid="{00000000-0005-0000-0000-0000636F0000}"/>
    <cellStyle name="Neutral 10 2 5" xfId="20754" xr:uid="{00000000-0005-0000-0000-0000646F0000}"/>
    <cellStyle name="Neutral 10 2 6" xfId="20755" xr:uid="{00000000-0005-0000-0000-0000656F0000}"/>
    <cellStyle name="Neutral 10 3" xfId="9257" xr:uid="{00000000-0005-0000-0000-0000666F0000}"/>
    <cellStyle name="Neutral 10 3 2" xfId="20756" xr:uid="{00000000-0005-0000-0000-0000676F0000}"/>
    <cellStyle name="Neutral 10 3 3" xfId="20757" xr:uid="{00000000-0005-0000-0000-0000686F0000}"/>
    <cellStyle name="Neutral 10 3 4" xfId="20758" xr:uid="{00000000-0005-0000-0000-0000696F0000}"/>
    <cellStyle name="Neutral 10 3 5" xfId="20759" xr:uid="{00000000-0005-0000-0000-00006A6F0000}"/>
    <cellStyle name="Neutral 10 4" xfId="20760" xr:uid="{00000000-0005-0000-0000-00006B6F0000}"/>
    <cellStyle name="Neutral 10 5" xfId="20761" xr:uid="{00000000-0005-0000-0000-00006C6F0000}"/>
    <cellStyle name="Neutral 10 6" xfId="20762" xr:uid="{00000000-0005-0000-0000-00006D6F0000}"/>
    <cellStyle name="Neutral 10 7" xfId="20763" xr:uid="{00000000-0005-0000-0000-00006E6F0000}"/>
    <cellStyle name="Neutral 10 8" xfId="20764" xr:uid="{00000000-0005-0000-0000-00006F6F0000}"/>
    <cellStyle name="Neutral 11" xfId="1482" xr:uid="{00000000-0005-0000-0000-0000706F0000}"/>
    <cellStyle name="Neutral 11 2" xfId="8233" xr:uid="{00000000-0005-0000-0000-0000716F0000}"/>
    <cellStyle name="Neutral 11 2 2" xfId="9260" xr:uid="{00000000-0005-0000-0000-0000726F0000}"/>
    <cellStyle name="Neutral 11 2 2 2" xfId="20765" xr:uid="{00000000-0005-0000-0000-0000736F0000}"/>
    <cellStyle name="Neutral 11 2 2 3" xfId="20766" xr:uid="{00000000-0005-0000-0000-0000746F0000}"/>
    <cellStyle name="Neutral 11 2 2 4" xfId="20767" xr:uid="{00000000-0005-0000-0000-0000756F0000}"/>
    <cellStyle name="Neutral 11 2 2 5" xfId="20768" xr:uid="{00000000-0005-0000-0000-0000766F0000}"/>
    <cellStyle name="Neutral 11 2 3" xfId="20769" xr:uid="{00000000-0005-0000-0000-0000776F0000}"/>
    <cellStyle name="Neutral 11 2 4" xfId="20770" xr:uid="{00000000-0005-0000-0000-0000786F0000}"/>
    <cellStyle name="Neutral 11 2 5" xfId="20771" xr:uid="{00000000-0005-0000-0000-0000796F0000}"/>
    <cellStyle name="Neutral 11 2 6" xfId="20772" xr:uid="{00000000-0005-0000-0000-00007A6F0000}"/>
    <cellStyle name="Neutral 11 3" xfId="9259" xr:uid="{00000000-0005-0000-0000-00007B6F0000}"/>
    <cellStyle name="Neutral 11 3 2" xfId="20773" xr:uid="{00000000-0005-0000-0000-00007C6F0000}"/>
    <cellStyle name="Neutral 11 3 3" xfId="20774" xr:uid="{00000000-0005-0000-0000-00007D6F0000}"/>
    <cellStyle name="Neutral 11 3 4" xfId="20775" xr:uid="{00000000-0005-0000-0000-00007E6F0000}"/>
    <cellStyle name="Neutral 11 3 5" xfId="20776" xr:uid="{00000000-0005-0000-0000-00007F6F0000}"/>
    <cellStyle name="Neutral 11 4" xfId="20777" xr:uid="{00000000-0005-0000-0000-0000806F0000}"/>
    <cellStyle name="Neutral 11 5" xfId="20778" xr:uid="{00000000-0005-0000-0000-0000816F0000}"/>
    <cellStyle name="Neutral 11 6" xfId="20779" xr:uid="{00000000-0005-0000-0000-0000826F0000}"/>
    <cellStyle name="Neutral 11 7" xfId="20780" xr:uid="{00000000-0005-0000-0000-0000836F0000}"/>
    <cellStyle name="Neutral 11 8" xfId="20781" xr:uid="{00000000-0005-0000-0000-0000846F0000}"/>
    <cellStyle name="Neutral 12" xfId="1483" xr:uid="{00000000-0005-0000-0000-0000856F0000}"/>
    <cellStyle name="Neutral 12 2" xfId="8234" xr:uid="{00000000-0005-0000-0000-0000866F0000}"/>
    <cellStyle name="Neutral 12 2 2" xfId="9262" xr:uid="{00000000-0005-0000-0000-0000876F0000}"/>
    <cellStyle name="Neutral 12 2 2 2" xfId="20782" xr:uid="{00000000-0005-0000-0000-0000886F0000}"/>
    <cellStyle name="Neutral 12 2 2 3" xfId="20783" xr:uid="{00000000-0005-0000-0000-0000896F0000}"/>
    <cellStyle name="Neutral 12 2 2 4" xfId="20784" xr:uid="{00000000-0005-0000-0000-00008A6F0000}"/>
    <cellStyle name="Neutral 12 2 2 5" xfId="20785" xr:uid="{00000000-0005-0000-0000-00008B6F0000}"/>
    <cellStyle name="Neutral 12 2 3" xfId="20786" xr:uid="{00000000-0005-0000-0000-00008C6F0000}"/>
    <cellStyle name="Neutral 12 2 4" xfId="20787" xr:uid="{00000000-0005-0000-0000-00008D6F0000}"/>
    <cellStyle name="Neutral 12 2 5" xfId="20788" xr:uid="{00000000-0005-0000-0000-00008E6F0000}"/>
    <cellStyle name="Neutral 12 2 6" xfId="20789" xr:uid="{00000000-0005-0000-0000-00008F6F0000}"/>
    <cellStyle name="Neutral 12 3" xfId="9261" xr:uid="{00000000-0005-0000-0000-0000906F0000}"/>
    <cellStyle name="Neutral 12 3 2" xfId="20790" xr:uid="{00000000-0005-0000-0000-0000916F0000}"/>
    <cellStyle name="Neutral 12 3 3" xfId="20791" xr:uid="{00000000-0005-0000-0000-0000926F0000}"/>
    <cellStyle name="Neutral 12 3 4" xfId="20792" xr:uid="{00000000-0005-0000-0000-0000936F0000}"/>
    <cellStyle name="Neutral 12 3 5" xfId="20793" xr:uid="{00000000-0005-0000-0000-0000946F0000}"/>
    <cellStyle name="Neutral 12 4" xfId="20794" xr:uid="{00000000-0005-0000-0000-0000956F0000}"/>
    <cellStyle name="Neutral 12 5" xfId="20795" xr:uid="{00000000-0005-0000-0000-0000966F0000}"/>
    <cellStyle name="Neutral 12 6" xfId="20796" xr:uid="{00000000-0005-0000-0000-0000976F0000}"/>
    <cellStyle name="Neutral 12 7" xfId="20797" xr:uid="{00000000-0005-0000-0000-0000986F0000}"/>
    <cellStyle name="Neutral 12 8" xfId="20798" xr:uid="{00000000-0005-0000-0000-0000996F0000}"/>
    <cellStyle name="Neutral 13" xfId="1484" xr:uid="{00000000-0005-0000-0000-00009A6F0000}"/>
    <cellStyle name="Neutral 13 2" xfId="8235" xr:uid="{00000000-0005-0000-0000-00009B6F0000}"/>
    <cellStyle name="Neutral 13 2 2" xfId="9264" xr:uid="{00000000-0005-0000-0000-00009C6F0000}"/>
    <cellStyle name="Neutral 13 2 2 2" xfId="20799" xr:uid="{00000000-0005-0000-0000-00009D6F0000}"/>
    <cellStyle name="Neutral 13 2 2 3" xfId="20800" xr:uid="{00000000-0005-0000-0000-00009E6F0000}"/>
    <cellStyle name="Neutral 13 2 2 4" xfId="20801" xr:uid="{00000000-0005-0000-0000-00009F6F0000}"/>
    <cellStyle name="Neutral 13 2 2 5" xfId="20802" xr:uid="{00000000-0005-0000-0000-0000A06F0000}"/>
    <cellStyle name="Neutral 13 2 3" xfId="20803" xr:uid="{00000000-0005-0000-0000-0000A16F0000}"/>
    <cellStyle name="Neutral 13 2 4" xfId="20804" xr:uid="{00000000-0005-0000-0000-0000A26F0000}"/>
    <cellStyle name="Neutral 13 2 5" xfId="20805" xr:uid="{00000000-0005-0000-0000-0000A36F0000}"/>
    <cellStyle name="Neutral 13 2 6" xfId="20806" xr:uid="{00000000-0005-0000-0000-0000A46F0000}"/>
    <cellStyle name="Neutral 13 3" xfId="9263" xr:uid="{00000000-0005-0000-0000-0000A56F0000}"/>
    <cellStyle name="Neutral 13 3 2" xfId="20807" xr:uid="{00000000-0005-0000-0000-0000A66F0000}"/>
    <cellStyle name="Neutral 13 3 3" xfId="20808" xr:uid="{00000000-0005-0000-0000-0000A76F0000}"/>
    <cellStyle name="Neutral 13 3 4" xfId="20809" xr:uid="{00000000-0005-0000-0000-0000A86F0000}"/>
    <cellStyle name="Neutral 13 3 5" xfId="20810" xr:uid="{00000000-0005-0000-0000-0000A96F0000}"/>
    <cellStyle name="Neutral 13 4" xfId="20811" xr:uid="{00000000-0005-0000-0000-0000AA6F0000}"/>
    <cellStyle name="Neutral 13 5" xfId="20812" xr:uid="{00000000-0005-0000-0000-0000AB6F0000}"/>
    <cellStyle name="Neutral 13 6" xfId="20813" xr:uid="{00000000-0005-0000-0000-0000AC6F0000}"/>
    <cellStyle name="Neutral 13 7" xfId="20814" xr:uid="{00000000-0005-0000-0000-0000AD6F0000}"/>
    <cellStyle name="Neutral 13 8" xfId="20815" xr:uid="{00000000-0005-0000-0000-0000AE6F0000}"/>
    <cellStyle name="Neutral 14" xfId="1485" xr:uid="{00000000-0005-0000-0000-0000AF6F0000}"/>
    <cellStyle name="Neutral 14 2" xfId="8236" xr:uid="{00000000-0005-0000-0000-0000B06F0000}"/>
    <cellStyle name="Neutral 14 2 2" xfId="9266" xr:uid="{00000000-0005-0000-0000-0000B16F0000}"/>
    <cellStyle name="Neutral 14 2 2 2" xfId="20816" xr:uid="{00000000-0005-0000-0000-0000B26F0000}"/>
    <cellStyle name="Neutral 14 2 2 3" xfId="20817" xr:uid="{00000000-0005-0000-0000-0000B36F0000}"/>
    <cellStyle name="Neutral 14 2 2 4" xfId="20818" xr:uid="{00000000-0005-0000-0000-0000B46F0000}"/>
    <cellStyle name="Neutral 14 2 2 5" xfId="20819" xr:uid="{00000000-0005-0000-0000-0000B56F0000}"/>
    <cellStyle name="Neutral 14 2 3" xfId="20820" xr:uid="{00000000-0005-0000-0000-0000B66F0000}"/>
    <cellStyle name="Neutral 14 2 4" xfId="20821" xr:uid="{00000000-0005-0000-0000-0000B76F0000}"/>
    <cellStyle name="Neutral 14 2 5" xfId="20822" xr:uid="{00000000-0005-0000-0000-0000B86F0000}"/>
    <cellStyle name="Neutral 14 2 6" xfId="20823" xr:uid="{00000000-0005-0000-0000-0000B96F0000}"/>
    <cellStyle name="Neutral 14 3" xfId="9265" xr:uid="{00000000-0005-0000-0000-0000BA6F0000}"/>
    <cellStyle name="Neutral 14 3 2" xfId="20824" xr:uid="{00000000-0005-0000-0000-0000BB6F0000}"/>
    <cellStyle name="Neutral 14 3 3" xfId="20825" xr:uid="{00000000-0005-0000-0000-0000BC6F0000}"/>
    <cellStyle name="Neutral 14 3 4" xfId="20826" xr:uid="{00000000-0005-0000-0000-0000BD6F0000}"/>
    <cellStyle name="Neutral 14 3 5" xfId="20827" xr:uid="{00000000-0005-0000-0000-0000BE6F0000}"/>
    <cellStyle name="Neutral 14 4" xfId="20828" xr:uid="{00000000-0005-0000-0000-0000BF6F0000}"/>
    <cellStyle name="Neutral 14 5" xfId="20829" xr:uid="{00000000-0005-0000-0000-0000C06F0000}"/>
    <cellStyle name="Neutral 14 6" xfId="20830" xr:uid="{00000000-0005-0000-0000-0000C16F0000}"/>
    <cellStyle name="Neutral 14 7" xfId="20831" xr:uid="{00000000-0005-0000-0000-0000C26F0000}"/>
    <cellStyle name="Neutral 14 8" xfId="20832" xr:uid="{00000000-0005-0000-0000-0000C36F0000}"/>
    <cellStyle name="Neutral 15" xfId="3510" xr:uid="{00000000-0005-0000-0000-0000C46F0000}"/>
    <cellStyle name="Neutral 15 2" xfId="8237" xr:uid="{00000000-0005-0000-0000-0000C56F0000}"/>
    <cellStyle name="Neutral 15 2 2" xfId="9268" xr:uid="{00000000-0005-0000-0000-0000C66F0000}"/>
    <cellStyle name="Neutral 15 2 2 2" xfId="20833" xr:uid="{00000000-0005-0000-0000-0000C76F0000}"/>
    <cellStyle name="Neutral 15 2 2 3" xfId="20834" xr:uid="{00000000-0005-0000-0000-0000C86F0000}"/>
    <cellStyle name="Neutral 15 2 2 4" xfId="20835" xr:uid="{00000000-0005-0000-0000-0000C96F0000}"/>
    <cellStyle name="Neutral 15 2 2 5" xfId="20836" xr:uid="{00000000-0005-0000-0000-0000CA6F0000}"/>
    <cellStyle name="Neutral 15 2 3" xfId="20837" xr:uid="{00000000-0005-0000-0000-0000CB6F0000}"/>
    <cellStyle name="Neutral 15 2 4" xfId="20838" xr:uid="{00000000-0005-0000-0000-0000CC6F0000}"/>
    <cellStyle name="Neutral 15 2 5" xfId="20839" xr:uid="{00000000-0005-0000-0000-0000CD6F0000}"/>
    <cellStyle name="Neutral 15 2 6" xfId="20840" xr:uid="{00000000-0005-0000-0000-0000CE6F0000}"/>
    <cellStyle name="Neutral 15 3" xfId="9267" xr:uid="{00000000-0005-0000-0000-0000CF6F0000}"/>
    <cellStyle name="Neutral 15 3 2" xfId="20841" xr:uid="{00000000-0005-0000-0000-0000D06F0000}"/>
    <cellStyle name="Neutral 15 3 3" xfId="20842" xr:uid="{00000000-0005-0000-0000-0000D16F0000}"/>
    <cellStyle name="Neutral 15 3 4" xfId="20843" xr:uid="{00000000-0005-0000-0000-0000D26F0000}"/>
    <cellStyle name="Neutral 15 3 5" xfId="20844" xr:uid="{00000000-0005-0000-0000-0000D36F0000}"/>
    <cellStyle name="Neutral 15 4" xfId="20845" xr:uid="{00000000-0005-0000-0000-0000D46F0000}"/>
    <cellStyle name="Neutral 15 5" xfId="20846" xr:uid="{00000000-0005-0000-0000-0000D56F0000}"/>
    <cellStyle name="Neutral 15 6" xfId="20847" xr:uid="{00000000-0005-0000-0000-0000D66F0000}"/>
    <cellStyle name="Neutral 15 7" xfId="20848" xr:uid="{00000000-0005-0000-0000-0000D76F0000}"/>
    <cellStyle name="Neutral 16" xfId="3511" xr:uid="{00000000-0005-0000-0000-0000D86F0000}"/>
    <cellStyle name="Neutral 16 2" xfId="8238" xr:uid="{00000000-0005-0000-0000-0000D96F0000}"/>
    <cellStyle name="Neutral 16 2 2" xfId="9270" xr:uid="{00000000-0005-0000-0000-0000DA6F0000}"/>
    <cellStyle name="Neutral 16 2 2 2" xfId="20849" xr:uid="{00000000-0005-0000-0000-0000DB6F0000}"/>
    <cellStyle name="Neutral 16 2 2 3" xfId="20850" xr:uid="{00000000-0005-0000-0000-0000DC6F0000}"/>
    <cellStyle name="Neutral 16 2 2 4" xfId="20851" xr:uid="{00000000-0005-0000-0000-0000DD6F0000}"/>
    <cellStyle name="Neutral 16 2 2 5" xfId="20852" xr:uid="{00000000-0005-0000-0000-0000DE6F0000}"/>
    <cellStyle name="Neutral 16 2 3" xfId="20853" xr:uid="{00000000-0005-0000-0000-0000DF6F0000}"/>
    <cellStyle name="Neutral 16 2 4" xfId="20854" xr:uid="{00000000-0005-0000-0000-0000E06F0000}"/>
    <cellStyle name="Neutral 16 2 5" xfId="20855" xr:uid="{00000000-0005-0000-0000-0000E16F0000}"/>
    <cellStyle name="Neutral 16 2 6" xfId="20856" xr:uid="{00000000-0005-0000-0000-0000E26F0000}"/>
    <cellStyle name="Neutral 16 3" xfId="9269" xr:uid="{00000000-0005-0000-0000-0000E36F0000}"/>
    <cellStyle name="Neutral 16 3 2" xfId="20857" xr:uid="{00000000-0005-0000-0000-0000E46F0000}"/>
    <cellStyle name="Neutral 16 3 3" xfId="20858" xr:uid="{00000000-0005-0000-0000-0000E56F0000}"/>
    <cellStyle name="Neutral 16 3 4" xfId="20859" xr:uid="{00000000-0005-0000-0000-0000E66F0000}"/>
    <cellStyle name="Neutral 16 3 5" xfId="20860" xr:uid="{00000000-0005-0000-0000-0000E76F0000}"/>
    <cellStyle name="Neutral 16 4" xfId="20861" xr:uid="{00000000-0005-0000-0000-0000E86F0000}"/>
    <cellStyle name="Neutral 16 5" xfId="20862" xr:uid="{00000000-0005-0000-0000-0000E96F0000}"/>
    <cellStyle name="Neutral 16 6" xfId="20863" xr:uid="{00000000-0005-0000-0000-0000EA6F0000}"/>
    <cellStyle name="Neutral 16 7" xfId="20864" xr:uid="{00000000-0005-0000-0000-0000EB6F0000}"/>
    <cellStyle name="Neutral 17" xfId="3512" xr:uid="{00000000-0005-0000-0000-0000EC6F0000}"/>
    <cellStyle name="Neutral 17 2" xfId="8239" xr:uid="{00000000-0005-0000-0000-0000ED6F0000}"/>
    <cellStyle name="Neutral 17 2 2" xfId="9272" xr:uid="{00000000-0005-0000-0000-0000EE6F0000}"/>
    <cellStyle name="Neutral 17 2 2 2" xfId="20865" xr:uid="{00000000-0005-0000-0000-0000EF6F0000}"/>
    <cellStyle name="Neutral 17 2 2 3" xfId="20866" xr:uid="{00000000-0005-0000-0000-0000F06F0000}"/>
    <cellStyle name="Neutral 17 2 2 4" xfId="20867" xr:uid="{00000000-0005-0000-0000-0000F16F0000}"/>
    <cellStyle name="Neutral 17 2 2 5" xfId="20868" xr:uid="{00000000-0005-0000-0000-0000F26F0000}"/>
    <cellStyle name="Neutral 17 2 3" xfId="20869" xr:uid="{00000000-0005-0000-0000-0000F36F0000}"/>
    <cellStyle name="Neutral 17 2 4" xfId="20870" xr:uid="{00000000-0005-0000-0000-0000F46F0000}"/>
    <cellStyle name="Neutral 17 2 5" xfId="20871" xr:uid="{00000000-0005-0000-0000-0000F56F0000}"/>
    <cellStyle name="Neutral 17 2 6" xfId="20872" xr:uid="{00000000-0005-0000-0000-0000F66F0000}"/>
    <cellStyle name="Neutral 17 3" xfId="9271" xr:uid="{00000000-0005-0000-0000-0000F76F0000}"/>
    <cellStyle name="Neutral 17 3 2" xfId="20873" xr:uid="{00000000-0005-0000-0000-0000F86F0000}"/>
    <cellStyle name="Neutral 17 3 3" xfId="20874" xr:uid="{00000000-0005-0000-0000-0000F96F0000}"/>
    <cellStyle name="Neutral 17 3 4" xfId="20875" xr:uid="{00000000-0005-0000-0000-0000FA6F0000}"/>
    <cellStyle name="Neutral 17 3 5" xfId="20876" xr:uid="{00000000-0005-0000-0000-0000FB6F0000}"/>
    <cellStyle name="Neutral 17 4" xfId="20877" xr:uid="{00000000-0005-0000-0000-0000FC6F0000}"/>
    <cellStyle name="Neutral 17 5" xfId="20878" xr:uid="{00000000-0005-0000-0000-0000FD6F0000}"/>
    <cellStyle name="Neutral 17 6" xfId="20879" xr:uid="{00000000-0005-0000-0000-0000FE6F0000}"/>
    <cellStyle name="Neutral 17 7" xfId="20880" xr:uid="{00000000-0005-0000-0000-0000FF6F0000}"/>
    <cellStyle name="Neutral 18" xfId="3513" xr:uid="{00000000-0005-0000-0000-000000700000}"/>
    <cellStyle name="Neutral 18 2" xfId="8240" xr:uid="{00000000-0005-0000-0000-000001700000}"/>
    <cellStyle name="Neutral 18 2 2" xfId="9274" xr:uid="{00000000-0005-0000-0000-000002700000}"/>
    <cellStyle name="Neutral 18 2 2 2" xfId="20881" xr:uid="{00000000-0005-0000-0000-000003700000}"/>
    <cellStyle name="Neutral 18 2 2 3" xfId="20882" xr:uid="{00000000-0005-0000-0000-000004700000}"/>
    <cellStyle name="Neutral 18 2 2 4" xfId="20883" xr:uid="{00000000-0005-0000-0000-000005700000}"/>
    <cellStyle name="Neutral 18 2 2 5" xfId="20884" xr:uid="{00000000-0005-0000-0000-000006700000}"/>
    <cellStyle name="Neutral 18 2 3" xfId="20885" xr:uid="{00000000-0005-0000-0000-000007700000}"/>
    <cellStyle name="Neutral 18 2 4" xfId="20886" xr:uid="{00000000-0005-0000-0000-000008700000}"/>
    <cellStyle name="Neutral 18 2 5" xfId="20887" xr:uid="{00000000-0005-0000-0000-000009700000}"/>
    <cellStyle name="Neutral 18 2 6" xfId="20888" xr:uid="{00000000-0005-0000-0000-00000A700000}"/>
    <cellStyle name="Neutral 18 3" xfId="9273" xr:uid="{00000000-0005-0000-0000-00000B700000}"/>
    <cellStyle name="Neutral 18 3 2" xfId="20889" xr:uid="{00000000-0005-0000-0000-00000C700000}"/>
    <cellStyle name="Neutral 18 3 3" xfId="20890" xr:uid="{00000000-0005-0000-0000-00000D700000}"/>
    <cellStyle name="Neutral 18 3 4" xfId="20891" xr:uid="{00000000-0005-0000-0000-00000E700000}"/>
    <cellStyle name="Neutral 18 3 5" xfId="20892" xr:uid="{00000000-0005-0000-0000-00000F700000}"/>
    <cellStyle name="Neutral 18 4" xfId="20893" xr:uid="{00000000-0005-0000-0000-000010700000}"/>
    <cellStyle name="Neutral 18 5" xfId="20894" xr:uid="{00000000-0005-0000-0000-000011700000}"/>
    <cellStyle name="Neutral 18 6" xfId="20895" xr:uid="{00000000-0005-0000-0000-000012700000}"/>
    <cellStyle name="Neutral 18 7" xfId="20896" xr:uid="{00000000-0005-0000-0000-000013700000}"/>
    <cellStyle name="Neutral 19" xfId="3514" xr:uid="{00000000-0005-0000-0000-000014700000}"/>
    <cellStyle name="Neutral 19 2" xfId="8241" xr:uid="{00000000-0005-0000-0000-000015700000}"/>
    <cellStyle name="Neutral 19 2 2" xfId="9276" xr:uid="{00000000-0005-0000-0000-000016700000}"/>
    <cellStyle name="Neutral 19 2 2 2" xfId="20897" xr:uid="{00000000-0005-0000-0000-000017700000}"/>
    <cellStyle name="Neutral 19 2 2 3" xfId="20898" xr:uid="{00000000-0005-0000-0000-000018700000}"/>
    <cellStyle name="Neutral 19 2 2 4" xfId="20899" xr:uid="{00000000-0005-0000-0000-000019700000}"/>
    <cellStyle name="Neutral 19 2 2 5" xfId="20900" xr:uid="{00000000-0005-0000-0000-00001A700000}"/>
    <cellStyle name="Neutral 19 2 3" xfId="20901" xr:uid="{00000000-0005-0000-0000-00001B700000}"/>
    <cellStyle name="Neutral 19 2 4" xfId="20902" xr:uid="{00000000-0005-0000-0000-00001C700000}"/>
    <cellStyle name="Neutral 19 2 5" xfId="20903" xr:uid="{00000000-0005-0000-0000-00001D700000}"/>
    <cellStyle name="Neutral 19 2 6" xfId="20904" xr:uid="{00000000-0005-0000-0000-00001E700000}"/>
    <cellStyle name="Neutral 19 3" xfId="9275" xr:uid="{00000000-0005-0000-0000-00001F700000}"/>
    <cellStyle name="Neutral 19 3 2" xfId="20905" xr:uid="{00000000-0005-0000-0000-000020700000}"/>
    <cellStyle name="Neutral 19 3 3" xfId="20906" xr:uid="{00000000-0005-0000-0000-000021700000}"/>
    <cellStyle name="Neutral 19 3 4" xfId="20907" xr:uid="{00000000-0005-0000-0000-000022700000}"/>
    <cellStyle name="Neutral 19 3 5" xfId="20908" xr:uid="{00000000-0005-0000-0000-000023700000}"/>
    <cellStyle name="Neutral 19 4" xfId="20909" xr:uid="{00000000-0005-0000-0000-000024700000}"/>
    <cellStyle name="Neutral 19 5" xfId="20910" xr:uid="{00000000-0005-0000-0000-000025700000}"/>
    <cellStyle name="Neutral 19 6" xfId="20911" xr:uid="{00000000-0005-0000-0000-000026700000}"/>
    <cellStyle name="Neutral 19 7" xfId="20912" xr:uid="{00000000-0005-0000-0000-000027700000}"/>
    <cellStyle name="Neutral 2" xfId="1486" xr:uid="{00000000-0005-0000-0000-000028700000}"/>
    <cellStyle name="Neutral 2 10" xfId="9277" xr:uid="{00000000-0005-0000-0000-000029700000}"/>
    <cellStyle name="Neutral 2 10 2" xfId="20913" xr:uid="{00000000-0005-0000-0000-00002A700000}"/>
    <cellStyle name="Neutral 2 10 3" xfId="20914" xr:uid="{00000000-0005-0000-0000-00002B700000}"/>
    <cellStyle name="Neutral 2 10 4" xfId="20915" xr:uid="{00000000-0005-0000-0000-00002C700000}"/>
    <cellStyle name="Neutral 2 10 5" xfId="20916" xr:uid="{00000000-0005-0000-0000-00002D700000}"/>
    <cellStyle name="Neutral 2 11" xfId="20917" xr:uid="{00000000-0005-0000-0000-00002E700000}"/>
    <cellStyle name="Neutral 2 12" xfId="20918" xr:uid="{00000000-0005-0000-0000-00002F700000}"/>
    <cellStyle name="Neutral 2 13" xfId="20919" xr:uid="{00000000-0005-0000-0000-000030700000}"/>
    <cellStyle name="Neutral 2 14" xfId="20920" xr:uid="{00000000-0005-0000-0000-000031700000}"/>
    <cellStyle name="Neutral 2 15" xfId="20921" xr:uid="{00000000-0005-0000-0000-000032700000}"/>
    <cellStyle name="Neutral 2 16" xfId="20922" xr:uid="{00000000-0005-0000-0000-000033700000}"/>
    <cellStyle name="Neutral 2 2" xfId="1487" xr:uid="{00000000-0005-0000-0000-000034700000}"/>
    <cellStyle name="Neutral 2 2 2" xfId="9278" xr:uid="{00000000-0005-0000-0000-000035700000}"/>
    <cellStyle name="Neutral 2 2 2 2" xfId="20923" xr:uid="{00000000-0005-0000-0000-000036700000}"/>
    <cellStyle name="Neutral 2 2 2 3" xfId="20924" xr:uid="{00000000-0005-0000-0000-000037700000}"/>
    <cellStyle name="Neutral 2 2 2 4" xfId="20925" xr:uid="{00000000-0005-0000-0000-000038700000}"/>
    <cellStyle name="Neutral 2 2 2 5" xfId="20926" xr:uid="{00000000-0005-0000-0000-000039700000}"/>
    <cellStyle name="Neutral 2 2 3" xfId="20927" xr:uid="{00000000-0005-0000-0000-00003A700000}"/>
    <cellStyle name="Neutral 2 2 4" xfId="20928" xr:uid="{00000000-0005-0000-0000-00003B700000}"/>
    <cellStyle name="Neutral 2 2 5" xfId="20929" xr:uid="{00000000-0005-0000-0000-00003C700000}"/>
    <cellStyle name="Neutral 2 2 6" xfId="20930" xr:uid="{00000000-0005-0000-0000-00003D700000}"/>
    <cellStyle name="Neutral 2 2 7" xfId="20931" xr:uid="{00000000-0005-0000-0000-00003E700000}"/>
    <cellStyle name="Neutral 2 3" xfId="1488" xr:uid="{00000000-0005-0000-0000-00003F700000}"/>
    <cellStyle name="Neutral 2 3 2" xfId="9279" xr:uid="{00000000-0005-0000-0000-000040700000}"/>
    <cellStyle name="Neutral 2 3 2 2" xfId="20932" xr:uid="{00000000-0005-0000-0000-000041700000}"/>
    <cellStyle name="Neutral 2 3 2 3" xfId="20933" xr:uid="{00000000-0005-0000-0000-000042700000}"/>
    <cellStyle name="Neutral 2 3 2 4" xfId="20934" xr:uid="{00000000-0005-0000-0000-000043700000}"/>
    <cellStyle name="Neutral 2 3 2 5" xfId="20935" xr:uid="{00000000-0005-0000-0000-000044700000}"/>
    <cellStyle name="Neutral 2 3 3" xfId="20936" xr:uid="{00000000-0005-0000-0000-000045700000}"/>
    <cellStyle name="Neutral 2 3 4" xfId="20937" xr:uid="{00000000-0005-0000-0000-000046700000}"/>
    <cellStyle name="Neutral 2 3 5" xfId="20938" xr:uid="{00000000-0005-0000-0000-000047700000}"/>
    <cellStyle name="Neutral 2 3 6" xfId="20939" xr:uid="{00000000-0005-0000-0000-000048700000}"/>
    <cellStyle name="Neutral 2 3 7" xfId="20940" xr:uid="{00000000-0005-0000-0000-000049700000}"/>
    <cellStyle name="Neutral 2 4" xfId="1489" xr:uid="{00000000-0005-0000-0000-00004A700000}"/>
    <cellStyle name="Neutral 2 4 2" xfId="9280" xr:uid="{00000000-0005-0000-0000-00004B700000}"/>
    <cellStyle name="Neutral 2 4 2 2" xfId="20941" xr:uid="{00000000-0005-0000-0000-00004C700000}"/>
    <cellStyle name="Neutral 2 4 2 3" xfId="20942" xr:uid="{00000000-0005-0000-0000-00004D700000}"/>
    <cellStyle name="Neutral 2 4 2 4" xfId="20943" xr:uid="{00000000-0005-0000-0000-00004E700000}"/>
    <cellStyle name="Neutral 2 4 2 5" xfId="20944" xr:uid="{00000000-0005-0000-0000-00004F700000}"/>
    <cellStyle name="Neutral 2 4 3" xfId="20945" xr:uid="{00000000-0005-0000-0000-000050700000}"/>
    <cellStyle name="Neutral 2 4 4" xfId="20946" xr:uid="{00000000-0005-0000-0000-000051700000}"/>
    <cellStyle name="Neutral 2 4 5" xfId="20947" xr:uid="{00000000-0005-0000-0000-000052700000}"/>
    <cellStyle name="Neutral 2 4 6" xfId="20948" xr:uid="{00000000-0005-0000-0000-000053700000}"/>
    <cellStyle name="Neutral 2 4 7" xfId="20949" xr:uid="{00000000-0005-0000-0000-000054700000}"/>
    <cellStyle name="Neutral 2 5" xfId="1490" xr:uid="{00000000-0005-0000-0000-000055700000}"/>
    <cellStyle name="Neutral 2 5 2" xfId="9281" xr:uid="{00000000-0005-0000-0000-000056700000}"/>
    <cellStyle name="Neutral 2 5 2 2" xfId="20950" xr:uid="{00000000-0005-0000-0000-000057700000}"/>
    <cellStyle name="Neutral 2 5 2 3" xfId="20951" xr:uid="{00000000-0005-0000-0000-000058700000}"/>
    <cellStyle name="Neutral 2 5 2 4" xfId="20952" xr:uid="{00000000-0005-0000-0000-000059700000}"/>
    <cellStyle name="Neutral 2 5 2 5" xfId="20953" xr:uid="{00000000-0005-0000-0000-00005A700000}"/>
    <cellStyle name="Neutral 2 5 3" xfId="20954" xr:uid="{00000000-0005-0000-0000-00005B700000}"/>
    <cellStyle name="Neutral 2 5 4" xfId="20955" xr:uid="{00000000-0005-0000-0000-00005C700000}"/>
    <cellStyle name="Neutral 2 5 5" xfId="20956" xr:uid="{00000000-0005-0000-0000-00005D700000}"/>
    <cellStyle name="Neutral 2 5 6" xfId="20957" xr:uid="{00000000-0005-0000-0000-00005E700000}"/>
    <cellStyle name="Neutral 2 5 7" xfId="20958" xr:uid="{00000000-0005-0000-0000-00005F700000}"/>
    <cellStyle name="Neutral 2 6" xfId="1491" xr:uid="{00000000-0005-0000-0000-000060700000}"/>
    <cellStyle name="Neutral 2 6 2" xfId="9282" xr:uid="{00000000-0005-0000-0000-000061700000}"/>
    <cellStyle name="Neutral 2 6 2 2" xfId="20959" xr:uid="{00000000-0005-0000-0000-000062700000}"/>
    <cellStyle name="Neutral 2 6 2 3" xfId="20960" xr:uid="{00000000-0005-0000-0000-000063700000}"/>
    <cellStyle name="Neutral 2 6 2 4" xfId="20961" xr:uid="{00000000-0005-0000-0000-000064700000}"/>
    <cellStyle name="Neutral 2 6 2 5" xfId="20962" xr:uid="{00000000-0005-0000-0000-000065700000}"/>
    <cellStyle name="Neutral 2 6 3" xfId="20963" xr:uid="{00000000-0005-0000-0000-000066700000}"/>
    <cellStyle name="Neutral 2 6 4" xfId="20964" xr:uid="{00000000-0005-0000-0000-000067700000}"/>
    <cellStyle name="Neutral 2 6 5" xfId="20965" xr:uid="{00000000-0005-0000-0000-000068700000}"/>
    <cellStyle name="Neutral 2 6 6" xfId="20966" xr:uid="{00000000-0005-0000-0000-000069700000}"/>
    <cellStyle name="Neutral 2 6 7" xfId="20967" xr:uid="{00000000-0005-0000-0000-00006A700000}"/>
    <cellStyle name="Neutral 2 7" xfId="1492" xr:uid="{00000000-0005-0000-0000-00006B700000}"/>
    <cellStyle name="Neutral 2 7 2" xfId="9283" xr:uid="{00000000-0005-0000-0000-00006C700000}"/>
    <cellStyle name="Neutral 2 7 2 2" xfId="20968" xr:uid="{00000000-0005-0000-0000-00006D700000}"/>
    <cellStyle name="Neutral 2 7 2 3" xfId="20969" xr:uid="{00000000-0005-0000-0000-00006E700000}"/>
    <cellStyle name="Neutral 2 7 2 4" xfId="20970" xr:uid="{00000000-0005-0000-0000-00006F700000}"/>
    <cellStyle name="Neutral 2 7 2 5" xfId="20971" xr:uid="{00000000-0005-0000-0000-000070700000}"/>
    <cellStyle name="Neutral 2 7 3" xfId="20972" xr:uid="{00000000-0005-0000-0000-000071700000}"/>
    <cellStyle name="Neutral 2 7 4" xfId="20973" xr:uid="{00000000-0005-0000-0000-000072700000}"/>
    <cellStyle name="Neutral 2 7 5" xfId="20974" xr:uid="{00000000-0005-0000-0000-000073700000}"/>
    <cellStyle name="Neutral 2 7 6" xfId="20975" xr:uid="{00000000-0005-0000-0000-000074700000}"/>
    <cellStyle name="Neutral 2 7 7" xfId="20976" xr:uid="{00000000-0005-0000-0000-000075700000}"/>
    <cellStyle name="Neutral 2 8" xfId="1493" xr:uid="{00000000-0005-0000-0000-000076700000}"/>
    <cellStyle name="Neutral 2 8 2" xfId="9284" xr:uid="{00000000-0005-0000-0000-000077700000}"/>
    <cellStyle name="Neutral 2 8 2 2" xfId="20977" xr:uid="{00000000-0005-0000-0000-000078700000}"/>
    <cellStyle name="Neutral 2 8 2 3" xfId="20978" xr:uid="{00000000-0005-0000-0000-000079700000}"/>
    <cellStyle name="Neutral 2 8 2 4" xfId="20979" xr:uid="{00000000-0005-0000-0000-00007A700000}"/>
    <cellStyle name="Neutral 2 8 2 5" xfId="20980" xr:uid="{00000000-0005-0000-0000-00007B700000}"/>
    <cellStyle name="Neutral 2 8 3" xfId="20981" xr:uid="{00000000-0005-0000-0000-00007C700000}"/>
    <cellStyle name="Neutral 2 8 4" xfId="20982" xr:uid="{00000000-0005-0000-0000-00007D700000}"/>
    <cellStyle name="Neutral 2 8 5" xfId="20983" xr:uid="{00000000-0005-0000-0000-00007E700000}"/>
    <cellStyle name="Neutral 2 8 6" xfId="20984" xr:uid="{00000000-0005-0000-0000-00007F700000}"/>
    <cellStyle name="Neutral 2 8 7" xfId="20985" xr:uid="{00000000-0005-0000-0000-000080700000}"/>
    <cellStyle name="Neutral 2 9" xfId="1494" xr:uid="{00000000-0005-0000-0000-000081700000}"/>
    <cellStyle name="Neutral 2 9 2" xfId="9285" xr:uid="{00000000-0005-0000-0000-000082700000}"/>
    <cellStyle name="Neutral 2 9 2 2" xfId="20986" xr:uid="{00000000-0005-0000-0000-000083700000}"/>
    <cellStyle name="Neutral 2 9 2 3" xfId="20987" xr:uid="{00000000-0005-0000-0000-000084700000}"/>
    <cellStyle name="Neutral 2 9 2 4" xfId="20988" xr:uid="{00000000-0005-0000-0000-000085700000}"/>
    <cellStyle name="Neutral 2 9 2 5" xfId="20989" xr:uid="{00000000-0005-0000-0000-000086700000}"/>
    <cellStyle name="Neutral 2 9 3" xfId="20990" xr:uid="{00000000-0005-0000-0000-000087700000}"/>
    <cellStyle name="Neutral 2 9 4" xfId="20991" xr:uid="{00000000-0005-0000-0000-000088700000}"/>
    <cellStyle name="Neutral 2 9 5" xfId="20992" xr:uid="{00000000-0005-0000-0000-000089700000}"/>
    <cellStyle name="Neutral 2 9 6" xfId="20993" xr:uid="{00000000-0005-0000-0000-00008A700000}"/>
    <cellStyle name="Neutral 2 9 7" xfId="20994" xr:uid="{00000000-0005-0000-0000-00008B700000}"/>
    <cellStyle name="Neutral 20" xfId="3515" xr:uid="{00000000-0005-0000-0000-00008C700000}"/>
    <cellStyle name="Neutral 20 2" xfId="8242" xr:uid="{00000000-0005-0000-0000-00008D700000}"/>
    <cellStyle name="Neutral 20 2 2" xfId="9287" xr:uid="{00000000-0005-0000-0000-00008E700000}"/>
    <cellStyle name="Neutral 20 2 2 2" xfId="20995" xr:uid="{00000000-0005-0000-0000-00008F700000}"/>
    <cellStyle name="Neutral 20 2 2 3" xfId="20996" xr:uid="{00000000-0005-0000-0000-000090700000}"/>
    <cellStyle name="Neutral 20 2 2 4" xfId="20997" xr:uid="{00000000-0005-0000-0000-000091700000}"/>
    <cellStyle name="Neutral 20 2 2 5" xfId="20998" xr:uid="{00000000-0005-0000-0000-000092700000}"/>
    <cellStyle name="Neutral 20 2 3" xfId="20999" xr:uid="{00000000-0005-0000-0000-000093700000}"/>
    <cellStyle name="Neutral 20 2 4" xfId="21000" xr:uid="{00000000-0005-0000-0000-000094700000}"/>
    <cellStyle name="Neutral 20 2 5" xfId="21001" xr:uid="{00000000-0005-0000-0000-000095700000}"/>
    <cellStyle name="Neutral 20 2 6" xfId="21002" xr:uid="{00000000-0005-0000-0000-000096700000}"/>
    <cellStyle name="Neutral 20 3" xfId="9286" xr:uid="{00000000-0005-0000-0000-000097700000}"/>
    <cellStyle name="Neutral 20 3 2" xfId="21003" xr:uid="{00000000-0005-0000-0000-000098700000}"/>
    <cellStyle name="Neutral 20 3 3" xfId="21004" xr:uid="{00000000-0005-0000-0000-000099700000}"/>
    <cellStyle name="Neutral 20 3 4" xfId="21005" xr:uid="{00000000-0005-0000-0000-00009A700000}"/>
    <cellStyle name="Neutral 20 3 5" xfId="21006" xr:uid="{00000000-0005-0000-0000-00009B700000}"/>
    <cellStyle name="Neutral 20 4" xfId="21007" xr:uid="{00000000-0005-0000-0000-00009C700000}"/>
    <cellStyle name="Neutral 20 5" xfId="21008" xr:uid="{00000000-0005-0000-0000-00009D700000}"/>
    <cellStyle name="Neutral 20 6" xfId="21009" xr:uid="{00000000-0005-0000-0000-00009E700000}"/>
    <cellStyle name="Neutral 20 7" xfId="21010" xr:uid="{00000000-0005-0000-0000-00009F700000}"/>
    <cellStyle name="Neutral 21" xfId="8243" xr:uid="{00000000-0005-0000-0000-0000A0700000}"/>
    <cellStyle name="Neutral 21 2" xfId="9288" xr:uid="{00000000-0005-0000-0000-0000A1700000}"/>
    <cellStyle name="Neutral 21 2 2" xfId="21011" xr:uid="{00000000-0005-0000-0000-0000A2700000}"/>
    <cellStyle name="Neutral 21 2 3" xfId="21012" xr:uid="{00000000-0005-0000-0000-0000A3700000}"/>
    <cellStyle name="Neutral 21 2 4" xfId="21013" xr:uid="{00000000-0005-0000-0000-0000A4700000}"/>
    <cellStyle name="Neutral 21 2 5" xfId="21014" xr:uid="{00000000-0005-0000-0000-0000A5700000}"/>
    <cellStyle name="Neutral 21 3" xfId="21015" xr:uid="{00000000-0005-0000-0000-0000A6700000}"/>
    <cellStyle name="Neutral 21 4" xfId="21016" xr:uid="{00000000-0005-0000-0000-0000A7700000}"/>
    <cellStyle name="Neutral 21 5" xfId="21017" xr:uid="{00000000-0005-0000-0000-0000A8700000}"/>
    <cellStyle name="Neutral 21 6" xfId="21018" xr:uid="{00000000-0005-0000-0000-0000A9700000}"/>
    <cellStyle name="Neutral 22" xfId="6597" xr:uid="{00000000-0005-0000-0000-0000AA700000}"/>
    <cellStyle name="Neutral 22 2" xfId="21020" xr:uid="{00000000-0005-0000-0000-0000AB700000}"/>
    <cellStyle name="Neutral 22 3" xfId="21019" xr:uid="{00000000-0005-0000-0000-0000AC700000}"/>
    <cellStyle name="Neutral 23" xfId="21021" xr:uid="{00000000-0005-0000-0000-0000AD700000}"/>
    <cellStyle name="Neutral 24" xfId="21022" xr:uid="{00000000-0005-0000-0000-0000AE700000}"/>
    <cellStyle name="Neutral 25" xfId="21023" xr:uid="{00000000-0005-0000-0000-0000AF700000}"/>
    <cellStyle name="Neutral 3" xfId="1495" xr:uid="{00000000-0005-0000-0000-0000B0700000}"/>
    <cellStyle name="Neutral 3 10" xfId="3516" xr:uid="{00000000-0005-0000-0000-0000B1700000}"/>
    <cellStyle name="Neutral 3 10 2" xfId="9290" xr:uid="{00000000-0005-0000-0000-0000B2700000}"/>
    <cellStyle name="Neutral 3 10 2 2" xfId="21024" xr:uid="{00000000-0005-0000-0000-0000B3700000}"/>
    <cellStyle name="Neutral 3 10 2 3" xfId="21025" xr:uid="{00000000-0005-0000-0000-0000B4700000}"/>
    <cellStyle name="Neutral 3 10 2 4" xfId="21026" xr:uid="{00000000-0005-0000-0000-0000B5700000}"/>
    <cellStyle name="Neutral 3 10 2 5" xfId="21027" xr:uid="{00000000-0005-0000-0000-0000B6700000}"/>
    <cellStyle name="Neutral 3 10 3" xfId="21028" xr:uid="{00000000-0005-0000-0000-0000B7700000}"/>
    <cellStyle name="Neutral 3 10 4" xfId="21029" xr:uid="{00000000-0005-0000-0000-0000B8700000}"/>
    <cellStyle name="Neutral 3 10 5" xfId="21030" xr:uid="{00000000-0005-0000-0000-0000B9700000}"/>
    <cellStyle name="Neutral 3 10 6" xfId="21031" xr:uid="{00000000-0005-0000-0000-0000BA700000}"/>
    <cellStyle name="Neutral 3 11" xfId="3517" xr:uid="{00000000-0005-0000-0000-0000BB700000}"/>
    <cellStyle name="Neutral 3 11 2" xfId="9291" xr:uid="{00000000-0005-0000-0000-0000BC700000}"/>
    <cellStyle name="Neutral 3 11 2 2" xfId="21032" xr:uid="{00000000-0005-0000-0000-0000BD700000}"/>
    <cellStyle name="Neutral 3 11 2 3" xfId="21033" xr:uid="{00000000-0005-0000-0000-0000BE700000}"/>
    <cellStyle name="Neutral 3 11 2 4" xfId="21034" xr:uid="{00000000-0005-0000-0000-0000BF700000}"/>
    <cellStyle name="Neutral 3 11 2 5" xfId="21035" xr:uid="{00000000-0005-0000-0000-0000C0700000}"/>
    <cellStyle name="Neutral 3 11 3" xfId="21036" xr:uid="{00000000-0005-0000-0000-0000C1700000}"/>
    <cellStyle name="Neutral 3 11 4" xfId="21037" xr:uid="{00000000-0005-0000-0000-0000C2700000}"/>
    <cellStyle name="Neutral 3 11 5" xfId="21038" xr:uid="{00000000-0005-0000-0000-0000C3700000}"/>
    <cellStyle name="Neutral 3 11 6" xfId="21039" xr:uid="{00000000-0005-0000-0000-0000C4700000}"/>
    <cellStyle name="Neutral 3 12" xfId="3518" xr:uid="{00000000-0005-0000-0000-0000C5700000}"/>
    <cellStyle name="Neutral 3 12 2" xfId="9292" xr:uid="{00000000-0005-0000-0000-0000C6700000}"/>
    <cellStyle name="Neutral 3 12 2 2" xfId="21040" xr:uid="{00000000-0005-0000-0000-0000C7700000}"/>
    <cellStyle name="Neutral 3 12 2 3" xfId="21041" xr:uid="{00000000-0005-0000-0000-0000C8700000}"/>
    <cellStyle name="Neutral 3 12 2 4" xfId="21042" xr:uid="{00000000-0005-0000-0000-0000C9700000}"/>
    <cellStyle name="Neutral 3 12 2 5" xfId="21043" xr:uid="{00000000-0005-0000-0000-0000CA700000}"/>
    <cellStyle name="Neutral 3 12 3" xfId="21044" xr:uid="{00000000-0005-0000-0000-0000CB700000}"/>
    <cellStyle name="Neutral 3 12 4" xfId="21045" xr:uid="{00000000-0005-0000-0000-0000CC700000}"/>
    <cellStyle name="Neutral 3 12 5" xfId="21046" xr:uid="{00000000-0005-0000-0000-0000CD700000}"/>
    <cellStyle name="Neutral 3 12 6" xfId="21047" xr:uid="{00000000-0005-0000-0000-0000CE700000}"/>
    <cellStyle name="Neutral 3 13" xfId="3519" xr:uid="{00000000-0005-0000-0000-0000CF700000}"/>
    <cellStyle name="Neutral 3 13 2" xfId="9293" xr:uid="{00000000-0005-0000-0000-0000D0700000}"/>
    <cellStyle name="Neutral 3 13 2 2" xfId="21048" xr:uid="{00000000-0005-0000-0000-0000D1700000}"/>
    <cellStyle name="Neutral 3 13 2 3" xfId="21049" xr:uid="{00000000-0005-0000-0000-0000D2700000}"/>
    <cellStyle name="Neutral 3 13 2 4" xfId="21050" xr:uid="{00000000-0005-0000-0000-0000D3700000}"/>
    <cellStyle name="Neutral 3 13 2 5" xfId="21051" xr:uid="{00000000-0005-0000-0000-0000D4700000}"/>
    <cellStyle name="Neutral 3 13 3" xfId="21052" xr:uid="{00000000-0005-0000-0000-0000D5700000}"/>
    <cellStyle name="Neutral 3 13 4" xfId="21053" xr:uid="{00000000-0005-0000-0000-0000D6700000}"/>
    <cellStyle name="Neutral 3 13 5" xfId="21054" xr:uid="{00000000-0005-0000-0000-0000D7700000}"/>
    <cellStyle name="Neutral 3 13 6" xfId="21055" xr:uid="{00000000-0005-0000-0000-0000D8700000}"/>
    <cellStyle name="Neutral 3 14" xfId="3520" xr:uid="{00000000-0005-0000-0000-0000D9700000}"/>
    <cellStyle name="Neutral 3 14 2" xfId="9294" xr:uid="{00000000-0005-0000-0000-0000DA700000}"/>
    <cellStyle name="Neutral 3 14 2 2" xfId="21056" xr:uid="{00000000-0005-0000-0000-0000DB700000}"/>
    <cellStyle name="Neutral 3 14 2 3" xfId="21057" xr:uid="{00000000-0005-0000-0000-0000DC700000}"/>
    <cellStyle name="Neutral 3 14 2 4" xfId="21058" xr:uid="{00000000-0005-0000-0000-0000DD700000}"/>
    <cellStyle name="Neutral 3 14 2 5" xfId="21059" xr:uid="{00000000-0005-0000-0000-0000DE700000}"/>
    <cellStyle name="Neutral 3 14 3" xfId="21060" xr:uid="{00000000-0005-0000-0000-0000DF700000}"/>
    <cellStyle name="Neutral 3 14 4" xfId="21061" xr:uid="{00000000-0005-0000-0000-0000E0700000}"/>
    <cellStyle name="Neutral 3 14 5" xfId="21062" xr:uid="{00000000-0005-0000-0000-0000E1700000}"/>
    <cellStyle name="Neutral 3 14 6" xfId="21063" xr:uid="{00000000-0005-0000-0000-0000E2700000}"/>
    <cellStyle name="Neutral 3 15" xfId="8244" xr:uid="{00000000-0005-0000-0000-0000E3700000}"/>
    <cellStyle name="Neutral 3 15 2" xfId="9295" xr:uid="{00000000-0005-0000-0000-0000E4700000}"/>
    <cellStyle name="Neutral 3 15 2 2" xfId="21064" xr:uid="{00000000-0005-0000-0000-0000E5700000}"/>
    <cellStyle name="Neutral 3 15 2 3" xfId="21065" xr:uid="{00000000-0005-0000-0000-0000E6700000}"/>
    <cellStyle name="Neutral 3 15 2 4" xfId="21066" xr:uid="{00000000-0005-0000-0000-0000E7700000}"/>
    <cellStyle name="Neutral 3 15 2 5" xfId="21067" xr:uid="{00000000-0005-0000-0000-0000E8700000}"/>
    <cellStyle name="Neutral 3 15 3" xfId="21068" xr:uid="{00000000-0005-0000-0000-0000E9700000}"/>
    <cellStyle name="Neutral 3 15 4" xfId="21069" xr:uid="{00000000-0005-0000-0000-0000EA700000}"/>
    <cellStyle name="Neutral 3 15 5" xfId="21070" xr:uid="{00000000-0005-0000-0000-0000EB700000}"/>
    <cellStyle name="Neutral 3 15 6" xfId="21071" xr:uid="{00000000-0005-0000-0000-0000EC700000}"/>
    <cellStyle name="Neutral 3 16" xfId="9289" xr:uid="{00000000-0005-0000-0000-0000ED700000}"/>
    <cellStyle name="Neutral 3 16 2" xfId="21072" xr:uid="{00000000-0005-0000-0000-0000EE700000}"/>
    <cellStyle name="Neutral 3 16 3" xfId="21073" xr:uid="{00000000-0005-0000-0000-0000EF700000}"/>
    <cellStyle name="Neutral 3 16 4" xfId="21074" xr:uid="{00000000-0005-0000-0000-0000F0700000}"/>
    <cellStyle name="Neutral 3 16 5" xfId="21075" xr:uid="{00000000-0005-0000-0000-0000F1700000}"/>
    <cellStyle name="Neutral 3 17" xfId="21076" xr:uid="{00000000-0005-0000-0000-0000F2700000}"/>
    <cellStyle name="Neutral 3 18" xfId="21077" xr:uid="{00000000-0005-0000-0000-0000F3700000}"/>
    <cellStyle name="Neutral 3 19" xfId="21078" xr:uid="{00000000-0005-0000-0000-0000F4700000}"/>
    <cellStyle name="Neutral 3 2" xfId="1496" xr:uid="{00000000-0005-0000-0000-0000F5700000}"/>
    <cellStyle name="Neutral 3 2 2" xfId="9296" xr:uid="{00000000-0005-0000-0000-0000F6700000}"/>
    <cellStyle name="Neutral 3 2 2 2" xfId="21079" xr:uid="{00000000-0005-0000-0000-0000F7700000}"/>
    <cellStyle name="Neutral 3 2 2 3" xfId="21080" xr:uid="{00000000-0005-0000-0000-0000F8700000}"/>
    <cellStyle name="Neutral 3 2 2 4" xfId="21081" xr:uid="{00000000-0005-0000-0000-0000F9700000}"/>
    <cellStyle name="Neutral 3 2 2 5" xfId="21082" xr:uid="{00000000-0005-0000-0000-0000FA700000}"/>
    <cellStyle name="Neutral 3 2 3" xfId="21083" xr:uid="{00000000-0005-0000-0000-0000FB700000}"/>
    <cellStyle name="Neutral 3 2 4" xfId="21084" xr:uid="{00000000-0005-0000-0000-0000FC700000}"/>
    <cellStyle name="Neutral 3 2 5" xfId="21085" xr:uid="{00000000-0005-0000-0000-0000FD700000}"/>
    <cellStyle name="Neutral 3 2 6" xfId="21086" xr:uid="{00000000-0005-0000-0000-0000FE700000}"/>
    <cellStyle name="Neutral 3 2 7" xfId="21087" xr:uid="{00000000-0005-0000-0000-0000FF700000}"/>
    <cellStyle name="Neutral 3 20" xfId="21088" xr:uid="{00000000-0005-0000-0000-000000710000}"/>
    <cellStyle name="Neutral 3 21" xfId="21089" xr:uid="{00000000-0005-0000-0000-000001710000}"/>
    <cellStyle name="Neutral 3 3" xfId="3521" xr:uid="{00000000-0005-0000-0000-000002710000}"/>
    <cellStyle name="Neutral 3 3 2" xfId="9297" xr:uid="{00000000-0005-0000-0000-000003710000}"/>
    <cellStyle name="Neutral 3 3 2 2" xfId="21090" xr:uid="{00000000-0005-0000-0000-000004710000}"/>
    <cellStyle name="Neutral 3 3 2 3" xfId="21091" xr:uid="{00000000-0005-0000-0000-000005710000}"/>
    <cellStyle name="Neutral 3 3 2 4" xfId="21092" xr:uid="{00000000-0005-0000-0000-000006710000}"/>
    <cellStyle name="Neutral 3 3 2 5" xfId="21093" xr:uid="{00000000-0005-0000-0000-000007710000}"/>
    <cellStyle name="Neutral 3 3 3" xfId="21094" xr:uid="{00000000-0005-0000-0000-000008710000}"/>
    <cellStyle name="Neutral 3 3 4" xfId="21095" xr:uid="{00000000-0005-0000-0000-000009710000}"/>
    <cellStyle name="Neutral 3 3 5" xfId="21096" xr:uid="{00000000-0005-0000-0000-00000A710000}"/>
    <cellStyle name="Neutral 3 3 6" xfId="21097" xr:uid="{00000000-0005-0000-0000-00000B710000}"/>
    <cellStyle name="Neutral 3 4" xfId="3522" xr:uid="{00000000-0005-0000-0000-00000C710000}"/>
    <cellStyle name="Neutral 3 4 2" xfId="9298" xr:uid="{00000000-0005-0000-0000-00000D710000}"/>
    <cellStyle name="Neutral 3 4 2 2" xfId="21098" xr:uid="{00000000-0005-0000-0000-00000E710000}"/>
    <cellStyle name="Neutral 3 4 2 3" xfId="21099" xr:uid="{00000000-0005-0000-0000-00000F710000}"/>
    <cellStyle name="Neutral 3 4 2 4" xfId="21100" xr:uid="{00000000-0005-0000-0000-000010710000}"/>
    <cellStyle name="Neutral 3 4 2 5" xfId="21101" xr:uid="{00000000-0005-0000-0000-000011710000}"/>
    <cellStyle name="Neutral 3 4 3" xfId="21102" xr:uid="{00000000-0005-0000-0000-000012710000}"/>
    <cellStyle name="Neutral 3 4 4" xfId="21103" xr:uid="{00000000-0005-0000-0000-000013710000}"/>
    <cellStyle name="Neutral 3 4 5" xfId="21104" xr:uid="{00000000-0005-0000-0000-000014710000}"/>
    <cellStyle name="Neutral 3 4 6" xfId="21105" xr:uid="{00000000-0005-0000-0000-000015710000}"/>
    <cellStyle name="Neutral 3 5" xfId="3523" xr:uid="{00000000-0005-0000-0000-000016710000}"/>
    <cellStyle name="Neutral 3 5 2" xfId="9299" xr:uid="{00000000-0005-0000-0000-000017710000}"/>
    <cellStyle name="Neutral 3 5 2 2" xfId="21106" xr:uid="{00000000-0005-0000-0000-000018710000}"/>
    <cellStyle name="Neutral 3 5 2 3" xfId="21107" xr:uid="{00000000-0005-0000-0000-000019710000}"/>
    <cellStyle name="Neutral 3 5 2 4" xfId="21108" xr:uid="{00000000-0005-0000-0000-00001A710000}"/>
    <cellStyle name="Neutral 3 5 2 5" xfId="21109" xr:uid="{00000000-0005-0000-0000-00001B710000}"/>
    <cellStyle name="Neutral 3 5 3" xfId="21110" xr:uid="{00000000-0005-0000-0000-00001C710000}"/>
    <cellStyle name="Neutral 3 5 4" xfId="21111" xr:uid="{00000000-0005-0000-0000-00001D710000}"/>
    <cellStyle name="Neutral 3 5 5" xfId="21112" xr:uid="{00000000-0005-0000-0000-00001E710000}"/>
    <cellStyle name="Neutral 3 5 6" xfId="21113" xr:uid="{00000000-0005-0000-0000-00001F710000}"/>
    <cellStyle name="Neutral 3 6" xfId="3524" xr:uid="{00000000-0005-0000-0000-000020710000}"/>
    <cellStyle name="Neutral 3 6 2" xfId="9300" xr:uid="{00000000-0005-0000-0000-000021710000}"/>
    <cellStyle name="Neutral 3 6 2 2" xfId="21114" xr:uid="{00000000-0005-0000-0000-000022710000}"/>
    <cellStyle name="Neutral 3 6 2 3" xfId="21115" xr:uid="{00000000-0005-0000-0000-000023710000}"/>
    <cellStyle name="Neutral 3 6 2 4" xfId="21116" xr:uid="{00000000-0005-0000-0000-000024710000}"/>
    <cellStyle name="Neutral 3 6 2 5" xfId="21117" xr:uid="{00000000-0005-0000-0000-000025710000}"/>
    <cellStyle name="Neutral 3 6 3" xfId="21118" xr:uid="{00000000-0005-0000-0000-000026710000}"/>
    <cellStyle name="Neutral 3 6 4" xfId="21119" xr:uid="{00000000-0005-0000-0000-000027710000}"/>
    <cellStyle name="Neutral 3 6 5" xfId="21120" xr:uid="{00000000-0005-0000-0000-000028710000}"/>
    <cellStyle name="Neutral 3 6 6" xfId="21121" xr:uid="{00000000-0005-0000-0000-000029710000}"/>
    <cellStyle name="Neutral 3 7" xfId="3525" xr:uid="{00000000-0005-0000-0000-00002A710000}"/>
    <cellStyle name="Neutral 3 7 2" xfId="9301" xr:uid="{00000000-0005-0000-0000-00002B710000}"/>
    <cellStyle name="Neutral 3 7 2 2" xfId="21122" xr:uid="{00000000-0005-0000-0000-00002C710000}"/>
    <cellStyle name="Neutral 3 7 2 3" xfId="21123" xr:uid="{00000000-0005-0000-0000-00002D710000}"/>
    <cellStyle name="Neutral 3 7 2 4" xfId="21124" xr:uid="{00000000-0005-0000-0000-00002E710000}"/>
    <cellStyle name="Neutral 3 7 2 5" xfId="21125" xr:uid="{00000000-0005-0000-0000-00002F710000}"/>
    <cellStyle name="Neutral 3 7 3" xfId="21126" xr:uid="{00000000-0005-0000-0000-000030710000}"/>
    <cellStyle name="Neutral 3 7 4" xfId="21127" xr:uid="{00000000-0005-0000-0000-000031710000}"/>
    <cellStyle name="Neutral 3 7 5" xfId="21128" xr:uid="{00000000-0005-0000-0000-000032710000}"/>
    <cellStyle name="Neutral 3 7 6" xfId="21129" xr:uid="{00000000-0005-0000-0000-000033710000}"/>
    <cellStyle name="Neutral 3 8" xfId="3526" xr:uid="{00000000-0005-0000-0000-000034710000}"/>
    <cellStyle name="Neutral 3 8 2" xfId="9302" xr:uid="{00000000-0005-0000-0000-000035710000}"/>
    <cellStyle name="Neutral 3 8 2 2" xfId="21130" xr:uid="{00000000-0005-0000-0000-000036710000}"/>
    <cellStyle name="Neutral 3 8 2 3" xfId="21131" xr:uid="{00000000-0005-0000-0000-000037710000}"/>
    <cellStyle name="Neutral 3 8 2 4" xfId="21132" xr:uid="{00000000-0005-0000-0000-000038710000}"/>
    <cellStyle name="Neutral 3 8 2 5" xfId="21133" xr:uid="{00000000-0005-0000-0000-000039710000}"/>
    <cellStyle name="Neutral 3 8 3" xfId="21134" xr:uid="{00000000-0005-0000-0000-00003A710000}"/>
    <cellStyle name="Neutral 3 8 4" xfId="21135" xr:uid="{00000000-0005-0000-0000-00003B710000}"/>
    <cellStyle name="Neutral 3 8 5" xfId="21136" xr:uid="{00000000-0005-0000-0000-00003C710000}"/>
    <cellStyle name="Neutral 3 8 6" xfId="21137" xr:uid="{00000000-0005-0000-0000-00003D710000}"/>
    <cellStyle name="Neutral 3 9" xfId="3527" xr:uid="{00000000-0005-0000-0000-00003E710000}"/>
    <cellStyle name="Neutral 3 9 2" xfId="9303" xr:uid="{00000000-0005-0000-0000-00003F710000}"/>
    <cellStyle name="Neutral 3 9 2 2" xfId="21138" xr:uid="{00000000-0005-0000-0000-000040710000}"/>
    <cellStyle name="Neutral 3 9 2 3" xfId="21139" xr:uid="{00000000-0005-0000-0000-000041710000}"/>
    <cellStyle name="Neutral 3 9 2 4" xfId="21140" xr:uid="{00000000-0005-0000-0000-000042710000}"/>
    <cellStyle name="Neutral 3 9 2 5" xfId="21141" xr:uid="{00000000-0005-0000-0000-000043710000}"/>
    <cellStyle name="Neutral 3 9 3" xfId="21142" xr:uid="{00000000-0005-0000-0000-000044710000}"/>
    <cellStyle name="Neutral 3 9 4" xfId="21143" xr:uid="{00000000-0005-0000-0000-000045710000}"/>
    <cellStyle name="Neutral 3 9 5" xfId="21144" xr:uid="{00000000-0005-0000-0000-000046710000}"/>
    <cellStyle name="Neutral 3 9 6" xfId="21145" xr:uid="{00000000-0005-0000-0000-000047710000}"/>
    <cellStyle name="Neutral 4" xfId="1497" xr:uid="{00000000-0005-0000-0000-000048710000}"/>
    <cellStyle name="Neutral 4 2" xfId="1498" xr:uid="{00000000-0005-0000-0000-000049710000}"/>
    <cellStyle name="Neutral 4 2 2" xfId="9305" xr:uid="{00000000-0005-0000-0000-00004A710000}"/>
    <cellStyle name="Neutral 4 2 2 2" xfId="21146" xr:uid="{00000000-0005-0000-0000-00004B710000}"/>
    <cellStyle name="Neutral 4 2 2 3" xfId="21147" xr:uid="{00000000-0005-0000-0000-00004C710000}"/>
    <cellStyle name="Neutral 4 2 2 4" xfId="21148" xr:uid="{00000000-0005-0000-0000-00004D710000}"/>
    <cellStyle name="Neutral 4 2 2 5" xfId="21149" xr:uid="{00000000-0005-0000-0000-00004E710000}"/>
    <cellStyle name="Neutral 4 2 3" xfId="21150" xr:uid="{00000000-0005-0000-0000-00004F710000}"/>
    <cellStyle name="Neutral 4 2 4" xfId="21151" xr:uid="{00000000-0005-0000-0000-000050710000}"/>
    <cellStyle name="Neutral 4 2 5" xfId="21152" xr:uid="{00000000-0005-0000-0000-000051710000}"/>
    <cellStyle name="Neutral 4 2 6" xfId="21153" xr:uid="{00000000-0005-0000-0000-000052710000}"/>
    <cellStyle name="Neutral 4 2 7" xfId="21154" xr:uid="{00000000-0005-0000-0000-000053710000}"/>
    <cellStyle name="Neutral 4 3" xfId="9304" xr:uid="{00000000-0005-0000-0000-000054710000}"/>
    <cellStyle name="Neutral 4 3 2" xfId="21155" xr:uid="{00000000-0005-0000-0000-000055710000}"/>
    <cellStyle name="Neutral 4 3 3" xfId="21156" xr:uid="{00000000-0005-0000-0000-000056710000}"/>
    <cellStyle name="Neutral 4 3 4" xfId="21157" xr:uid="{00000000-0005-0000-0000-000057710000}"/>
    <cellStyle name="Neutral 4 3 5" xfId="21158" xr:uid="{00000000-0005-0000-0000-000058710000}"/>
    <cellStyle name="Neutral 4 4" xfId="21159" xr:uid="{00000000-0005-0000-0000-000059710000}"/>
    <cellStyle name="Neutral 4 5" xfId="21160" xr:uid="{00000000-0005-0000-0000-00005A710000}"/>
    <cellStyle name="Neutral 4 6" xfId="21161" xr:uid="{00000000-0005-0000-0000-00005B710000}"/>
    <cellStyle name="Neutral 4 7" xfId="21162" xr:uid="{00000000-0005-0000-0000-00005C710000}"/>
    <cellStyle name="Neutral 4 8" xfId="21163" xr:uid="{00000000-0005-0000-0000-00005D710000}"/>
    <cellStyle name="Neutral 5" xfId="1499" xr:uid="{00000000-0005-0000-0000-00005E710000}"/>
    <cellStyle name="Neutral 5 2" xfId="1500" xr:uid="{00000000-0005-0000-0000-00005F710000}"/>
    <cellStyle name="Neutral 5 2 2" xfId="9307" xr:uid="{00000000-0005-0000-0000-000060710000}"/>
    <cellStyle name="Neutral 5 2 2 2" xfId="21164" xr:uid="{00000000-0005-0000-0000-000061710000}"/>
    <cellStyle name="Neutral 5 2 2 3" xfId="21165" xr:uid="{00000000-0005-0000-0000-000062710000}"/>
    <cellStyle name="Neutral 5 2 2 4" xfId="21166" xr:uid="{00000000-0005-0000-0000-000063710000}"/>
    <cellStyle name="Neutral 5 2 2 5" xfId="21167" xr:uid="{00000000-0005-0000-0000-000064710000}"/>
    <cellStyle name="Neutral 5 2 3" xfId="21168" xr:uid="{00000000-0005-0000-0000-000065710000}"/>
    <cellStyle name="Neutral 5 2 4" xfId="21169" xr:uid="{00000000-0005-0000-0000-000066710000}"/>
    <cellStyle name="Neutral 5 2 5" xfId="21170" xr:uid="{00000000-0005-0000-0000-000067710000}"/>
    <cellStyle name="Neutral 5 2 6" xfId="21171" xr:uid="{00000000-0005-0000-0000-000068710000}"/>
    <cellStyle name="Neutral 5 2 7" xfId="21172" xr:uid="{00000000-0005-0000-0000-000069710000}"/>
    <cellStyle name="Neutral 5 3" xfId="9306" xr:uid="{00000000-0005-0000-0000-00006A710000}"/>
    <cellStyle name="Neutral 5 3 2" xfId="21173" xr:uid="{00000000-0005-0000-0000-00006B710000}"/>
    <cellStyle name="Neutral 5 3 3" xfId="21174" xr:uid="{00000000-0005-0000-0000-00006C710000}"/>
    <cellStyle name="Neutral 5 3 4" xfId="21175" xr:uid="{00000000-0005-0000-0000-00006D710000}"/>
    <cellStyle name="Neutral 5 3 5" xfId="21176" xr:uid="{00000000-0005-0000-0000-00006E710000}"/>
    <cellStyle name="Neutral 5 4" xfId="21177" xr:uid="{00000000-0005-0000-0000-00006F710000}"/>
    <cellStyle name="Neutral 5 5" xfId="21178" xr:uid="{00000000-0005-0000-0000-000070710000}"/>
    <cellStyle name="Neutral 5 6" xfId="21179" xr:uid="{00000000-0005-0000-0000-000071710000}"/>
    <cellStyle name="Neutral 5 7" xfId="21180" xr:uid="{00000000-0005-0000-0000-000072710000}"/>
    <cellStyle name="Neutral 5 8" xfId="21181" xr:uid="{00000000-0005-0000-0000-000073710000}"/>
    <cellStyle name="Neutral 6" xfId="1501" xr:uid="{00000000-0005-0000-0000-000074710000}"/>
    <cellStyle name="Neutral 6 2" xfId="1502" xr:uid="{00000000-0005-0000-0000-000075710000}"/>
    <cellStyle name="Neutral 6 2 2" xfId="9309" xr:uid="{00000000-0005-0000-0000-000076710000}"/>
    <cellStyle name="Neutral 6 2 2 2" xfId="21182" xr:uid="{00000000-0005-0000-0000-000077710000}"/>
    <cellStyle name="Neutral 6 2 2 3" xfId="21183" xr:uid="{00000000-0005-0000-0000-000078710000}"/>
    <cellStyle name="Neutral 6 2 2 4" xfId="21184" xr:uid="{00000000-0005-0000-0000-000079710000}"/>
    <cellStyle name="Neutral 6 2 2 5" xfId="21185" xr:uid="{00000000-0005-0000-0000-00007A710000}"/>
    <cellStyle name="Neutral 6 2 3" xfId="21186" xr:uid="{00000000-0005-0000-0000-00007B710000}"/>
    <cellStyle name="Neutral 6 2 4" xfId="21187" xr:uid="{00000000-0005-0000-0000-00007C710000}"/>
    <cellStyle name="Neutral 6 2 5" xfId="21188" xr:uid="{00000000-0005-0000-0000-00007D710000}"/>
    <cellStyle name="Neutral 6 2 6" xfId="21189" xr:uid="{00000000-0005-0000-0000-00007E710000}"/>
    <cellStyle name="Neutral 6 2 7" xfId="21190" xr:uid="{00000000-0005-0000-0000-00007F710000}"/>
    <cellStyle name="Neutral 6 3" xfId="3528" xr:uid="{00000000-0005-0000-0000-000080710000}"/>
    <cellStyle name="Neutral 6 3 2" xfId="9310" xr:uid="{00000000-0005-0000-0000-000081710000}"/>
    <cellStyle name="Neutral 6 3 2 2" xfId="21191" xr:uid="{00000000-0005-0000-0000-000082710000}"/>
    <cellStyle name="Neutral 6 3 2 3" xfId="21192" xr:uid="{00000000-0005-0000-0000-000083710000}"/>
    <cellStyle name="Neutral 6 3 2 4" xfId="21193" xr:uid="{00000000-0005-0000-0000-000084710000}"/>
    <cellStyle name="Neutral 6 3 2 5" xfId="21194" xr:uid="{00000000-0005-0000-0000-000085710000}"/>
    <cellStyle name="Neutral 6 3 3" xfId="21195" xr:uid="{00000000-0005-0000-0000-000086710000}"/>
    <cellStyle name="Neutral 6 3 4" xfId="21196" xr:uid="{00000000-0005-0000-0000-000087710000}"/>
    <cellStyle name="Neutral 6 3 5" xfId="21197" xr:uid="{00000000-0005-0000-0000-000088710000}"/>
    <cellStyle name="Neutral 6 3 6" xfId="21198" xr:uid="{00000000-0005-0000-0000-000089710000}"/>
    <cellStyle name="Neutral 6 4" xfId="9308" xr:uid="{00000000-0005-0000-0000-00008A710000}"/>
    <cellStyle name="Neutral 6 4 2" xfId="21199" xr:uid="{00000000-0005-0000-0000-00008B710000}"/>
    <cellStyle name="Neutral 6 4 3" xfId="21200" xr:uid="{00000000-0005-0000-0000-00008C710000}"/>
    <cellStyle name="Neutral 6 4 4" xfId="21201" xr:uid="{00000000-0005-0000-0000-00008D710000}"/>
    <cellStyle name="Neutral 6 4 5" xfId="21202" xr:uid="{00000000-0005-0000-0000-00008E710000}"/>
    <cellStyle name="Neutral 6 5" xfId="21203" xr:uid="{00000000-0005-0000-0000-00008F710000}"/>
    <cellStyle name="Neutral 6 6" xfId="21204" xr:uid="{00000000-0005-0000-0000-000090710000}"/>
    <cellStyle name="Neutral 6 7" xfId="21205" xr:uid="{00000000-0005-0000-0000-000091710000}"/>
    <cellStyle name="Neutral 6 8" xfId="21206" xr:uid="{00000000-0005-0000-0000-000092710000}"/>
    <cellStyle name="Neutral 6 9" xfId="21207" xr:uid="{00000000-0005-0000-0000-000093710000}"/>
    <cellStyle name="Neutral 7" xfId="1503" xr:uid="{00000000-0005-0000-0000-000094710000}"/>
    <cellStyle name="Neutral 7 2" xfId="1504" xr:uid="{00000000-0005-0000-0000-000095710000}"/>
    <cellStyle name="Neutral 7 2 2" xfId="9312" xr:uid="{00000000-0005-0000-0000-000096710000}"/>
    <cellStyle name="Neutral 7 2 2 2" xfId="21208" xr:uid="{00000000-0005-0000-0000-000097710000}"/>
    <cellStyle name="Neutral 7 2 2 3" xfId="21209" xr:uid="{00000000-0005-0000-0000-000098710000}"/>
    <cellStyle name="Neutral 7 2 2 4" xfId="21210" xr:uid="{00000000-0005-0000-0000-000099710000}"/>
    <cellStyle name="Neutral 7 2 2 5" xfId="21211" xr:uid="{00000000-0005-0000-0000-00009A710000}"/>
    <cellStyle name="Neutral 7 2 3" xfId="21212" xr:uid="{00000000-0005-0000-0000-00009B710000}"/>
    <cellStyle name="Neutral 7 2 4" xfId="21213" xr:uid="{00000000-0005-0000-0000-00009C710000}"/>
    <cellStyle name="Neutral 7 2 5" xfId="21214" xr:uid="{00000000-0005-0000-0000-00009D710000}"/>
    <cellStyle name="Neutral 7 2 6" xfId="21215" xr:uid="{00000000-0005-0000-0000-00009E710000}"/>
    <cellStyle name="Neutral 7 2 7" xfId="21216" xr:uid="{00000000-0005-0000-0000-00009F710000}"/>
    <cellStyle name="Neutral 7 3" xfId="3529" xr:uid="{00000000-0005-0000-0000-0000A0710000}"/>
    <cellStyle name="Neutral 7 3 2" xfId="9313" xr:uid="{00000000-0005-0000-0000-0000A1710000}"/>
    <cellStyle name="Neutral 7 3 2 2" xfId="21217" xr:uid="{00000000-0005-0000-0000-0000A2710000}"/>
    <cellStyle name="Neutral 7 3 2 3" xfId="21218" xr:uid="{00000000-0005-0000-0000-0000A3710000}"/>
    <cellStyle name="Neutral 7 3 2 4" xfId="21219" xr:uid="{00000000-0005-0000-0000-0000A4710000}"/>
    <cellStyle name="Neutral 7 3 2 5" xfId="21220" xr:uid="{00000000-0005-0000-0000-0000A5710000}"/>
    <cellStyle name="Neutral 7 3 3" xfId="21221" xr:uid="{00000000-0005-0000-0000-0000A6710000}"/>
    <cellStyle name="Neutral 7 3 4" xfId="21222" xr:uid="{00000000-0005-0000-0000-0000A7710000}"/>
    <cellStyle name="Neutral 7 3 5" xfId="21223" xr:uid="{00000000-0005-0000-0000-0000A8710000}"/>
    <cellStyle name="Neutral 7 3 6" xfId="21224" xr:uid="{00000000-0005-0000-0000-0000A9710000}"/>
    <cellStyle name="Neutral 7 4" xfId="9311" xr:uid="{00000000-0005-0000-0000-0000AA710000}"/>
    <cellStyle name="Neutral 7 4 2" xfId="21225" xr:uid="{00000000-0005-0000-0000-0000AB710000}"/>
    <cellStyle name="Neutral 7 4 3" xfId="21226" xr:uid="{00000000-0005-0000-0000-0000AC710000}"/>
    <cellStyle name="Neutral 7 4 4" xfId="21227" xr:uid="{00000000-0005-0000-0000-0000AD710000}"/>
    <cellStyle name="Neutral 7 4 5" xfId="21228" xr:uid="{00000000-0005-0000-0000-0000AE710000}"/>
    <cellStyle name="Neutral 7 5" xfId="21229" xr:uid="{00000000-0005-0000-0000-0000AF710000}"/>
    <cellStyle name="Neutral 7 6" xfId="21230" xr:uid="{00000000-0005-0000-0000-0000B0710000}"/>
    <cellStyle name="Neutral 7 7" xfId="21231" xr:uid="{00000000-0005-0000-0000-0000B1710000}"/>
    <cellStyle name="Neutral 7 8" xfId="21232" xr:uid="{00000000-0005-0000-0000-0000B2710000}"/>
    <cellStyle name="Neutral 7 9" xfId="21233" xr:uid="{00000000-0005-0000-0000-0000B3710000}"/>
    <cellStyle name="Neutral 8" xfId="1505" xr:uid="{00000000-0005-0000-0000-0000B4710000}"/>
    <cellStyle name="Neutral 8 2" xfId="1506" xr:uid="{00000000-0005-0000-0000-0000B5710000}"/>
    <cellStyle name="Neutral 8 2 2" xfId="9315" xr:uid="{00000000-0005-0000-0000-0000B6710000}"/>
    <cellStyle name="Neutral 8 2 2 2" xfId="21234" xr:uid="{00000000-0005-0000-0000-0000B7710000}"/>
    <cellStyle name="Neutral 8 2 2 3" xfId="21235" xr:uid="{00000000-0005-0000-0000-0000B8710000}"/>
    <cellStyle name="Neutral 8 2 2 4" xfId="21236" xr:uid="{00000000-0005-0000-0000-0000B9710000}"/>
    <cellStyle name="Neutral 8 2 2 5" xfId="21237" xr:uid="{00000000-0005-0000-0000-0000BA710000}"/>
    <cellStyle name="Neutral 8 2 3" xfId="21238" xr:uid="{00000000-0005-0000-0000-0000BB710000}"/>
    <cellStyle name="Neutral 8 2 4" xfId="21239" xr:uid="{00000000-0005-0000-0000-0000BC710000}"/>
    <cellStyle name="Neutral 8 2 5" xfId="21240" xr:uid="{00000000-0005-0000-0000-0000BD710000}"/>
    <cellStyle name="Neutral 8 2 6" xfId="21241" xr:uid="{00000000-0005-0000-0000-0000BE710000}"/>
    <cellStyle name="Neutral 8 2 7" xfId="21242" xr:uid="{00000000-0005-0000-0000-0000BF710000}"/>
    <cellStyle name="Neutral 8 3" xfId="3530" xr:uid="{00000000-0005-0000-0000-0000C0710000}"/>
    <cellStyle name="Neutral 8 3 2" xfId="9316" xr:uid="{00000000-0005-0000-0000-0000C1710000}"/>
    <cellStyle name="Neutral 8 3 2 2" xfId="21243" xr:uid="{00000000-0005-0000-0000-0000C2710000}"/>
    <cellStyle name="Neutral 8 3 2 3" xfId="21244" xr:uid="{00000000-0005-0000-0000-0000C3710000}"/>
    <cellStyle name="Neutral 8 3 2 4" xfId="21245" xr:uid="{00000000-0005-0000-0000-0000C4710000}"/>
    <cellStyle name="Neutral 8 3 2 5" xfId="21246" xr:uid="{00000000-0005-0000-0000-0000C5710000}"/>
    <cellStyle name="Neutral 8 3 3" xfId="21247" xr:uid="{00000000-0005-0000-0000-0000C6710000}"/>
    <cellStyle name="Neutral 8 3 4" xfId="21248" xr:uid="{00000000-0005-0000-0000-0000C7710000}"/>
    <cellStyle name="Neutral 8 3 5" xfId="21249" xr:uid="{00000000-0005-0000-0000-0000C8710000}"/>
    <cellStyle name="Neutral 8 3 6" xfId="21250" xr:uid="{00000000-0005-0000-0000-0000C9710000}"/>
    <cellStyle name="Neutral 8 4" xfId="9314" xr:uid="{00000000-0005-0000-0000-0000CA710000}"/>
    <cellStyle name="Neutral 8 4 2" xfId="21251" xr:uid="{00000000-0005-0000-0000-0000CB710000}"/>
    <cellStyle name="Neutral 8 4 3" xfId="21252" xr:uid="{00000000-0005-0000-0000-0000CC710000}"/>
    <cellStyle name="Neutral 8 4 4" xfId="21253" xr:uid="{00000000-0005-0000-0000-0000CD710000}"/>
    <cellStyle name="Neutral 8 4 5" xfId="21254" xr:uid="{00000000-0005-0000-0000-0000CE710000}"/>
    <cellStyle name="Neutral 8 5" xfId="21255" xr:uid="{00000000-0005-0000-0000-0000CF710000}"/>
    <cellStyle name="Neutral 8 6" xfId="21256" xr:uid="{00000000-0005-0000-0000-0000D0710000}"/>
    <cellStyle name="Neutral 8 7" xfId="21257" xr:uid="{00000000-0005-0000-0000-0000D1710000}"/>
    <cellStyle name="Neutral 8 8" xfId="21258" xr:uid="{00000000-0005-0000-0000-0000D2710000}"/>
    <cellStyle name="Neutral 8 9" xfId="21259" xr:uid="{00000000-0005-0000-0000-0000D3710000}"/>
    <cellStyle name="Neutral 9" xfId="1507" xr:uid="{00000000-0005-0000-0000-0000D4710000}"/>
    <cellStyle name="Neutral 9 2" xfId="3531" xr:uid="{00000000-0005-0000-0000-0000D5710000}"/>
    <cellStyle name="Neutral 9 2 2" xfId="9318" xr:uid="{00000000-0005-0000-0000-0000D6710000}"/>
    <cellStyle name="Neutral 9 2 2 2" xfId="21260" xr:uid="{00000000-0005-0000-0000-0000D7710000}"/>
    <cellStyle name="Neutral 9 2 2 3" xfId="21261" xr:uid="{00000000-0005-0000-0000-0000D8710000}"/>
    <cellStyle name="Neutral 9 2 2 4" xfId="21262" xr:uid="{00000000-0005-0000-0000-0000D9710000}"/>
    <cellStyle name="Neutral 9 2 2 5" xfId="21263" xr:uid="{00000000-0005-0000-0000-0000DA710000}"/>
    <cellStyle name="Neutral 9 2 3" xfId="21264" xr:uid="{00000000-0005-0000-0000-0000DB710000}"/>
    <cellStyle name="Neutral 9 2 4" xfId="21265" xr:uid="{00000000-0005-0000-0000-0000DC710000}"/>
    <cellStyle name="Neutral 9 2 5" xfId="21266" xr:uid="{00000000-0005-0000-0000-0000DD710000}"/>
    <cellStyle name="Neutral 9 2 6" xfId="21267" xr:uid="{00000000-0005-0000-0000-0000DE710000}"/>
    <cellStyle name="Neutral 9 3" xfId="9317" xr:uid="{00000000-0005-0000-0000-0000DF710000}"/>
    <cellStyle name="Neutral 9 3 2" xfId="21268" xr:uid="{00000000-0005-0000-0000-0000E0710000}"/>
    <cellStyle name="Neutral 9 3 3" xfId="21269" xr:uid="{00000000-0005-0000-0000-0000E1710000}"/>
    <cellStyle name="Neutral 9 3 4" xfId="21270" xr:uid="{00000000-0005-0000-0000-0000E2710000}"/>
    <cellStyle name="Neutral 9 3 5" xfId="21271" xr:uid="{00000000-0005-0000-0000-0000E3710000}"/>
    <cellStyle name="Neutral 9 4" xfId="21272" xr:uid="{00000000-0005-0000-0000-0000E4710000}"/>
    <cellStyle name="Neutral 9 5" xfId="21273" xr:uid="{00000000-0005-0000-0000-0000E5710000}"/>
    <cellStyle name="Neutral 9 6" xfId="21274" xr:uid="{00000000-0005-0000-0000-0000E6710000}"/>
    <cellStyle name="Neutral 9 7" xfId="21275" xr:uid="{00000000-0005-0000-0000-0000E7710000}"/>
    <cellStyle name="Neutral 9 8" xfId="21276" xr:uid="{00000000-0005-0000-0000-0000E8710000}"/>
    <cellStyle name="Neutro" xfId="1508" xr:uid="{00000000-0005-0000-0000-0000E9710000}"/>
    <cellStyle name="Neutro 2" xfId="9319" xr:uid="{00000000-0005-0000-0000-0000EA710000}"/>
    <cellStyle name="Neutro 2 2" xfId="21277" xr:uid="{00000000-0005-0000-0000-0000EB710000}"/>
    <cellStyle name="Neutro 2 3" xfId="21278" xr:uid="{00000000-0005-0000-0000-0000EC710000}"/>
    <cellStyle name="Neutro 2 4" xfId="21279" xr:uid="{00000000-0005-0000-0000-0000ED710000}"/>
    <cellStyle name="Neutro 2 5" xfId="21280" xr:uid="{00000000-0005-0000-0000-0000EE710000}"/>
    <cellStyle name="Neutro 3" xfId="21281" xr:uid="{00000000-0005-0000-0000-0000EF710000}"/>
    <cellStyle name="Neutro 4" xfId="21282" xr:uid="{00000000-0005-0000-0000-0000F0710000}"/>
    <cellStyle name="Neutro 5" xfId="21283" xr:uid="{00000000-0005-0000-0000-0000F1710000}"/>
    <cellStyle name="Neutro 6" xfId="21284" xr:uid="{00000000-0005-0000-0000-0000F2710000}"/>
    <cellStyle name="Neutro 7" xfId="21285" xr:uid="{00000000-0005-0000-0000-0000F3710000}"/>
    <cellStyle name="Neutro 8" xfId="21286" xr:uid="{00000000-0005-0000-0000-0000F4710000}"/>
    <cellStyle name="Normaali_Layo9704" xfId="1509" xr:uid="{00000000-0005-0000-0000-0000F5710000}"/>
    <cellStyle name="Normal" xfId="0" builtinId="0"/>
    <cellStyle name="Normal - Style1" xfId="1510" xr:uid="{00000000-0005-0000-0000-0000F7710000}"/>
    <cellStyle name="Normal - Style1 2" xfId="9320" xr:uid="{00000000-0005-0000-0000-0000F8710000}"/>
    <cellStyle name="Normal - Style1 2 2" xfId="12941" xr:uid="{00000000-0005-0000-0000-0000F9710000}"/>
    <cellStyle name="Normal - Style1 3" xfId="21287" xr:uid="{00000000-0005-0000-0000-0000FA710000}"/>
    <cellStyle name="Normal - Style1 4" xfId="21288" xr:uid="{00000000-0005-0000-0000-0000FB710000}"/>
    <cellStyle name="Normal - Style1 5" xfId="21289" xr:uid="{00000000-0005-0000-0000-0000FC710000}"/>
    <cellStyle name="Normal - Style1 6" xfId="21290" xr:uid="{00000000-0005-0000-0000-0000FD710000}"/>
    <cellStyle name="Normal - Style1 7" xfId="21291" xr:uid="{00000000-0005-0000-0000-0000FE710000}"/>
    <cellStyle name="Normal - Style1 8" xfId="21292" xr:uid="{00000000-0005-0000-0000-0000FF710000}"/>
    <cellStyle name="Normal - Style2" xfId="1511" xr:uid="{00000000-0005-0000-0000-000000720000}"/>
    <cellStyle name="Normal - Style2 2" xfId="9321" xr:uid="{00000000-0005-0000-0000-000001720000}"/>
    <cellStyle name="Normal - Style2 2 2" xfId="12942" xr:uid="{00000000-0005-0000-0000-000002720000}"/>
    <cellStyle name="Normal - Style2 3" xfId="21293" xr:uid="{00000000-0005-0000-0000-000003720000}"/>
    <cellStyle name="Normal - Style2 4" xfId="21294" xr:uid="{00000000-0005-0000-0000-000004720000}"/>
    <cellStyle name="Normal - Style2 5" xfId="21295" xr:uid="{00000000-0005-0000-0000-000005720000}"/>
    <cellStyle name="Normal - Style2 6" xfId="21296" xr:uid="{00000000-0005-0000-0000-000006720000}"/>
    <cellStyle name="Normal - Style2 7" xfId="21297" xr:uid="{00000000-0005-0000-0000-000007720000}"/>
    <cellStyle name="Normal - Style2 8" xfId="21298" xr:uid="{00000000-0005-0000-0000-000008720000}"/>
    <cellStyle name="Normal - Style3" xfId="1512" xr:uid="{00000000-0005-0000-0000-000009720000}"/>
    <cellStyle name="Normal - Style3 2" xfId="9322" xr:uid="{00000000-0005-0000-0000-00000A720000}"/>
    <cellStyle name="Normal - Style3 2 2" xfId="12943" xr:uid="{00000000-0005-0000-0000-00000B720000}"/>
    <cellStyle name="Normal - Style3 3" xfId="21299" xr:uid="{00000000-0005-0000-0000-00000C720000}"/>
    <cellStyle name="Normal - Style3 4" xfId="21300" xr:uid="{00000000-0005-0000-0000-00000D720000}"/>
    <cellStyle name="Normal - Style3 5" xfId="21301" xr:uid="{00000000-0005-0000-0000-00000E720000}"/>
    <cellStyle name="Normal - Style3 6" xfId="21302" xr:uid="{00000000-0005-0000-0000-00000F720000}"/>
    <cellStyle name="Normal - Style3 7" xfId="21303" xr:uid="{00000000-0005-0000-0000-000010720000}"/>
    <cellStyle name="Normal - Style3 8" xfId="21304" xr:uid="{00000000-0005-0000-0000-000011720000}"/>
    <cellStyle name="Normal - Style4" xfId="1513" xr:uid="{00000000-0005-0000-0000-000012720000}"/>
    <cellStyle name="Normal - Style4 2" xfId="9323" xr:uid="{00000000-0005-0000-0000-000013720000}"/>
    <cellStyle name="Normal - Style4 2 2" xfId="12944" xr:uid="{00000000-0005-0000-0000-000014720000}"/>
    <cellStyle name="Normal - Style4 3" xfId="21305" xr:uid="{00000000-0005-0000-0000-000015720000}"/>
    <cellStyle name="Normal - Style4 4" xfId="21306" xr:uid="{00000000-0005-0000-0000-000016720000}"/>
    <cellStyle name="Normal - Style4 5" xfId="21307" xr:uid="{00000000-0005-0000-0000-000017720000}"/>
    <cellStyle name="Normal - Style4 6" xfId="21308" xr:uid="{00000000-0005-0000-0000-000018720000}"/>
    <cellStyle name="Normal - Style4 7" xfId="21309" xr:uid="{00000000-0005-0000-0000-000019720000}"/>
    <cellStyle name="Normal - Style4 8" xfId="21310" xr:uid="{00000000-0005-0000-0000-00001A720000}"/>
    <cellStyle name="Normal - Style5" xfId="1514" xr:uid="{00000000-0005-0000-0000-00001B720000}"/>
    <cellStyle name="Normal - Style5 2" xfId="9324" xr:uid="{00000000-0005-0000-0000-00001C720000}"/>
    <cellStyle name="Normal - Style5 2 2" xfId="12945" xr:uid="{00000000-0005-0000-0000-00001D720000}"/>
    <cellStyle name="Normal - Style5 3" xfId="21311" xr:uid="{00000000-0005-0000-0000-00001E720000}"/>
    <cellStyle name="Normal - Style5 4" xfId="21312" xr:uid="{00000000-0005-0000-0000-00001F720000}"/>
    <cellStyle name="Normal - Style5 5" xfId="21313" xr:uid="{00000000-0005-0000-0000-000020720000}"/>
    <cellStyle name="Normal - Style5 6" xfId="21314" xr:uid="{00000000-0005-0000-0000-000021720000}"/>
    <cellStyle name="Normal - Style5 7" xfId="21315" xr:uid="{00000000-0005-0000-0000-000022720000}"/>
    <cellStyle name="Normal - Style5 8" xfId="21316" xr:uid="{00000000-0005-0000-0000-000023720000}"/>
    <cellStyle name="Normal - Style6" xfId="1515" xr:uid="{00000000-0005-0000-0000-000024720000}"/>
    <cellStyle name="Normal - Style6 2" xfId="9325" xr:uid="{00000000-0005-0000-0000-000025720000}"/>
    <cellStyle name="Normal - Style6 2 2" xfId="12946" xr:uid="{00000000-0005-0000-0000-000026720000}"/>
    <cellStyle name="Normal - Style6 3" xfId="21317" xr:uid="{00000000-0005-0000-0000-000027720000}"/>
    <cellStyle name="Normal - Style6 4" xfId="21318" xr:uid="{00000000-0005-0000-0000-000028720000}"/>
    <cellStyle name="Normal - Style6 5" xfId="21319" xr:uid="{00000000-0005-0000-0000-000029720000}"/>
    <cellStyle name="Normal - Style6 6" xfId="21320" xr:uid="{00000000-0005-0000-0000-00002A720000}"/>
    <cellStyle name="Normal - Style6 7" xfId="21321" xr:uid="{00000000-0005-0000-0000-00002B720000}"/>
    <cellStyle name="Normal - Style6 8" xfId="21322" xr:uid="{00000000-0005-0000-0000-00002C720000}"/>
    <cellStyle name="Normal - Style7" xfId="1516" xr:uid="{00000000-0005-0000-0000-00002D720000}"/>
    <cellStyle name="Normal - Style7 2" xfId="9326" xr:uid="{00000000-0005-0000-0000-00002E720000}"/>
    <cellStyle name="Normal - Style7 2 2" xfId="12947" xr:uid="{00000000-0005-0000-0000-00002F720000}"/>
    <cellStyle name="Normal - Style7 3" xfId="21323" xr:uid="{00000000-0005-0000-0000-000030720000}"/>
    <cellStyle name="Normal - Style7 4" xfId="21324" xr:uid="{00000000-0005-0000-0000-000031720000}"/>
    <cellStyle name="Normal - Style7 5" xfId="21325" xr:uid="{00000000-0005-0000-0000-000032720000}"/>
    <cellStyle name="Normal - Style7 6" xfId="21326" xr:uid="{00000000-0005-0000-0000-000033720000}"/>
    <cellStyle name="Normal - Style7 7" xfId="21327" xr:uid="{00000000-0005-0000-0000-000034720000}"/>
    <cellStyle name="Normal - Style7 8" xfId="21328" xr:uid="{00000000-0005-0000-0000-000035720000}"/>
    <cellStyle name="Normal - Style8" xfId="1517" xr:uid="{00000000-0005-0000-0000-000036720000}"/>
    <cellStyle name="Normal - Style8 2" xfId="9327" xr:uid="{00000000-0005-0000-0000-000037720000}"/>
    <cellStyle name="Normal - Style8 2 2" xfId="12948" xr:uid="{00000000-0005-0000-0000-000038720000}"/>
    <cellStyle name="Normal - Style8 3" xfId="21329" xr:uid="{00000000-0005-0000-0000-000039720000}"/>
    <cellStyle name="Normal - Style8 4" xfId="21330" xr:uid="{00000000-0005-0000-0000-00003A720000}"/>
    <cellStyle name="Normal - Style8 5" xfId="21331" xr:uid="{00000000-0005-0000-0000-00003B720000}"/>
    <cellStyle name="Normal - Style8 6" xfId="21332" xr:uid="{00000000-0005-0000-0000-00003C720000}"/>
    <cellStyle name="Normal - Style8 7" xfId="21333" xr:uid="{00000000-0005-0000-0000-00003D720000}"/>
    <cellStyle name="Normal - Style8 8" xfId="21334" xr:uid="{00000000-0005-0000-0000-00003E720000}"/>
    <cellStyle name="Normal 10" xfId="6" xr:uid="{00000000-0005-0000-0000-00003F720000}"/>
    <cellStyle name="Normal 10 10" xfId="4754" xr:uid="{00000000-0005-0000-0000-000040720000}"/>
    <cellStyle name="Normal 10 10 2" xfId="12949" xr:uid="{00000000-0005-0000-0000-000041720000}"/>
    <cellStyle name="Normal 10 10 3" xfId="35750" xr:uid="{00000000-0005-0000-0000-000042720000}"/>
    <cellStyle name="Normal 10 10 4" xfId="9328" xr:uid="{00000000-0005-0000-0000-000043720000}"/>
    <cellStyle name="Normal 10 11" xfId="21335" xr:uid="{00000000-0005-0000-0000-000044720000}"/>
    <cellStyle name="Normal 10 11 2" xfId="37811" xr:uid="{00000000-0005-0000-0000-000045720000}"/>
    <cellStyle name="Normal 10 12" xfId="21336" xr:uid="{00000000-0005-0000-0000-000046720000}"/>
    <cellStyle name="Normal 10 13" xfId="21337" xr:uid="{00000000-0005-0000-0000-000047720000}"/>
    <cellStyle name="Normal 10 14" xfId="21338" xr:uid="{00000000-0005-0000-0000-000048720000}"/>
    <cellStyle name="Normal 10 15" xfId="21339" xr:uid="{00000000-0005-0000-0000-000049720000}"/>
    <cellStyle name="Normal 10 2" xfId="1518" xr:uid="{00000000-0005-0000-0000-00004A720000}"/>
    <cellStyle name="Normal 10 2 2" xfId="3533" xr:uid="{00000000-0005-0000-0000-00004B720000}"/>
    <cellStyle name="Normal 10 2 2 2" xfId="9330" xr:uid="{00000000-0005-0000-0000-00004C720000}"/>
    <cellStyle name="Normal 10 2 2 2 2" xfId="12951" xr:uid="{00000000-0005-0000-0000-00004D720000}"/>
    <cellStyle name="Normal 10 2 2 3" xfId="21340" xr:uid="{00000000-0005-0000-0000-00004E720000}"/>
    <cellStyle name="Normal 10 2 2 4" xfId="21341" xr:uid="{00000000-0005-0000-0000-00004F720000}"/>
    <cellStyle name="Normal 10 2 2 5" xfId="21342" xr:uid="{00000000-0005-0000-0000-000050720000}"/>
    <cellStyle name="Normal 10 2 2 6" xfId="21343" xr:uid="{00000000-0005-0000-0000-000051720000}"/>
    <cellStyle name="Normal 10 2 3" xfId="4755" xr:uid="{00000000-0005-0000-0000-000052720000}"/>
    <cellStyle name="Normal 10 2 3 2" xfId="12950" xr:uid="{00000000-0005-0000-0000-000053720000}"/>
    <cellStyle name="Normal 10 2 3 3" xfId="35751" xr:uid="{00000000-0005-0000-0000-000054720000}"/>
    <cellStyle name="Normal 10 2 3 4" xfId="9329" xr:uid="{00000000-0005-0000-0000-000055720000}"/>
    <cellStyle name="Normal 10 2 4" xfId="21344" xr:uid="{00000000-0005-0000-0000-000056720000}"/>
    <cellStyle name="Normal 10 2 4 2" xfId="37812" xr:uid="{00000000-0005-0000-0000-000057720000}"/>
    <cellStyle name="Normal 10 2 5" xfId="21345" xr:uid="{00000000-0005-0000-0000-000058720000}"/>
    <cellStyle name="Normal 10 2 6" xfId="21346" xr:uid="{00000000-0005-0000-0000-000059720000}"/>
    <cellStyle name="Normal 10 2 7" xfId="21347" xr:uid="{00000000-0005-0000-0000-00005A720000}"/>
    <cellStyle name="Normal 10 2 8" xfId="21348" xr:uid="{00000000-0005-0000-0000-00005B720000}"/>
    <cellStyle name="Normal 10 3" xfId="1519" xr:uid="{00000000-0005-0000-0000-00005C720000}"/>
    <cellStyle name="Normal 10 3 2" xfId="3534" xr:uid="{00000000-0005-0000-0000-00005D720000}"/>
    <cellStyle name="Normal 10 3 2 2" xfId="9332" xr:uid="{00000000-0005-0000-0000-00005E720000}"/>
    <cellStyle name="Normal 10 3 2 2 2" xfId="12953" xr:uid="{00000000-0005-0000-0000-00005F720000}"/>
    <cellStyle name="Normal 10 3 2 3" xfId="21349" xr:uid="{00000000-0005-0000-0000-000060720000}"/>
    <cellStyle name="Normal 10 3 2 4" xfId="21350" xr:uid="{00000000-0005-0000-0000-000061720000}"/>
    <cellStyle name="Normal 10 3 2 5" xfId="21351" xr:uid="{00000000-0005-0000-0000-000062720000}"/>
    <cellStyle name="Normal 10 3 2 6" xfId="21352" xr:uid="{00000000-0005-0000-0000-000063720000}"/>
    <cellStyle name="Normal 10 3 3" xfId="4756" xr:uid="{00000000-0005-0000-0000-000064720000}"/>
    <cellStyle name="Normal 10 3 3 2" xfId="12952" xr:uid="{00000000-0005-0000-0000-000065720000}"/>
    <cellStyle name="Normal 10 3 3 3" xfId="35752" xr:uid="{00000000-0005-0000-0000-000066720000}"/>
    <cellStyle name="Normal 10 3 3 4" xfId="9331" xr:uid="{00000000-0005-0000-0000-000067720000}"/>
    <cellStyle name="Normal 10 3 4" xfId="21353" xr:uid="{00000000-0005-0000-0000-000068720000}"/>
    <cellStyle name="Normal 10 3 4 2" xfId="37813" xr:uid="{00000000-0005-0000-0000-000069720000}"/>
    <cellStyle name="Normal 10 3 5" xfId="21354" xr:uid="{00000000-0005-0000-0000-00006A720000}"/>
    <cellStyle name="Normal 10 3 6" xfId="21355" xr:uid="{00000000-0005-0000-0000-00006B720000}"/>
    <cellStyle name="Normal 10 3 7" xfId="21356" xr:uid="{00000000-0005-0000-0000-00006C720000}"/>
    <cellStyle name="Normal 10 3 8" xfId="21357" xr:uid="{00000000-0005-0000-0000-00006D720000}"/>
    <cellStyle name="Normal 10 4" xfId="1520" xr:uid="{00000000-0005-0000-0000-00006E720000}"/>
    <cellStyle name="Normal 10 4 2" xfId="3535" xr:uid="{00000000-0005-0000-0000-00006F720000}"/>
    <cellStyle name="Normal 10 4 2 2" xfId="9334" xr:uid="{00000000-0005-0000-0000-000070720000}"/>
    <cellStyle name="Normal 10 4 2 2 2" xfId="12955" xr:uid="{00000000-0005-0000-0000-000071720000}"/>
    <cellStyle name="Normal 10 4 2 3" xfId="21358" xr:uid="{00000000-0005-0000-0000-000072720000}"/>
    <cellStyle name="Normal 10 4 2 4" xfId="21359" xr:uid="{00000000-0005-0000-0000-000073720000}"/>
    <cellStyle name="Normal 10 4 2 5" xfId="21360" xr:uid="{00000000-0005-0000-0000-000074720000}"/>
    <cellStyle name="Normal 10 4 2 6" xfId="21361" xr:uid="{00000000-0005-0000-0000-000075720000}"/>
    <cellStyle name="Normal 10 4 3" xfId="4757" xr:uid="{00000000-0005-0000-0000-000076720000}"/>
    <cellStyle name="Normal 10 4 3 2" xfId="12954" xr:uid="{00000000-0005-0000-0000-000077720000}"/>
    <cellStyle name="Normal 10 4 3 3" xfId="35753" xr:uid="{00000000-0005-0000-0000-000078720000}"/>
    <cellStyle name="Normal 10 4 3 4" xfId="9333" xr:uid="{00000000-0005-0000-0000-000079720000}"/>
    <cellStyle name="Normal 10 4 4" xfId="21362" xr:uid="{00000000-0005-0000-0000-00007A720000}"/>
    <cellStyle name="Normal 10 4 4 2" xfId="37814" xr:uid="{00000000-0005-0000-0000-00007B720000}"/>
    <cellStyle name="Normal 10 4 5" xfId="21363" xr:uid="{00000000-0005-0000-0000-00007C720000}"/>
    <cellStyle name="Normal 10 4 6" xfId="21364" xr:uid="{00000000-0005-0000-0000-00007D720000}"/>
    <cellStyle name="Normal 10 4 7" xfId="21365" xr:uid="{00000000-0005-0000-0000-00007E720000}"/>
    <cellStyle name="Normal 10 4 8" xfId="21366" xr:uid="{00000000-0005-0000-0000-00007F720000}"/>
    <cellStyle name="Normal 10 5" xfId="3536" xr:uid="{00000000-0005-0000-0000-000080720000}"/>
    <cellStyle name="Normal 10 5 2" xfId="5377" xr:uid="{00000000-0005-0000-0000-000081720000}"/>
    <cellStyle name="Normal 10 5 2 2" xfId="9336" xr:uid="{00000000-0005-0000-0000-000082720000}"/>
    <cellStyle name="Normal 10 5 2 2 2" xfId="12957" xr:uid="{00000000-0005-0000-0000-000083720000}"/>
    <cellStyle name="Normal 10 5 2 3" xfId="21367" xr:uid="{00000000-0005-0000-0000-000084720000}"/>
    <cellStyle name="Normal 10 5 2 4" xfId="21368" xr:uid="{00000000-0005-0000-0000-000085720000}"/>
    <cellStyle name="Normal 10 5 2 5" xfId="21369" xr:uid="{00000000-0005-0000-0000-000086720000}"/>
    <cellStyle name="Normal 10 5 2 6" xfId="21370" xr:uid="{00000000-0005-0000-0000-000087720000}"/>
    <cellStyle name="Normal 10 5 3" xfId="9335" xr:uid="{00000000-0005-0000-0000-000088720000}"/>
    <cellStyle name="Normal 10 5 3 2" xfId="12956" xr:uid="{00000000-0005-0000-0000-000089720000}"/>
    <cellStyle name="Normal 10 5 3 3" xfId="38392" xr:uid="{00000000-0005-0000-0000-00008A720000}"/>
    <cellStyle name="Normal 10 5 4" xfId="21371" xr:uid="{00000000-0005-0000-0000-00008B720000}"/>
    <cellStyle name="Normal 10 5 5" xfId="21372" xr:uid="{00000000-0005-0000-0000-00008C720000}"/>
    <cellStyle name="Normal 10 5 6" xfId="21373" xr:uid="{00000000-0005-0000-0000-00008D720000}"/>
    <cellStyle name="Normal 10 5 7" xfId="21374" xr:uid="{00000000-0005-0000-0000-00008E720000}"/>
    <cellStyle name="Normal 10 6" xfId="3537" xr:uid="{00000000-0005-0000-0000-00008F720000}"/>
    <cellStyle name="Normal 10 6 2" xfId="5378" xr:uid="{00000000-0005-0000-0000-000090720000}"/>
    <cellStyle name="Normal 10 6 2 2" xfId="9338" xr:uid="{00000000-0005-0000-0000-000091720000}"/>
    <cellStyle name="Normal 10 6 2 2 2" xfId="12959" xr:uid="{00000000-0005-0000-0000-000092720000}"/>
    <cellStyle name="Normal 10 6 2 3" xfId="21375" xr:uid="{00000000-0005-0000-0000-000093720000}"/>
    <cellStyle name="Normal 10 6 2 4" xfId="21376" xr:uid="{00000000-0005-0000-0000-000094720000}"/>
    <cellStyle name="Normal 10 6 2 5" xfId="21377" xr:uid="{00000000-0005-0000-0000-000095720000}"/>
    <cellStyle name="Normal 10 6 2 6" xfId="21378" xr:uid="{00000000-0005-0000-0000-000096720000}"/>
    <cellStyle name="Normal 10 6 3" xfId="9337" xr:uid="{00000000-0005-0000-0000-000097720000}"/>
    <cellStyle name="Normal 10 6 3 2" xfId="12958" xr:uid="{00000000-0005-0000-0000-000098720000}"/>
    <cellStyle name="Normal 10 6 3 3" xfId="38393" xr:uid="{00000000-0005-0000-0000-000099720000}"/>
    <cellStyle name="Normal 10 6 4" xfId="21379" xr:uid="{00000000-0005-0000-0000-00009A720000}"/>
    <cellStyle name="Normal 10 6 5" xfId="21380" xr:uid="{00000000-0005-0000-0000-00009B720000}"/>
    <cellStyle name="Normal 10 6 6" xfId="21381" xr:uid="{00000000-0005-0000-0000-00009C720000}"/>
    <cellStyle name="Normal 10 6 7" xfId="21382" xr:uid="{00000000-0005-0000-0000-00009D720000}"/>
    <cellStyle name="Normal 10 7" xfId="3538" xr:uid="{00000000-0005-0000-0000-00009E720000}"/>
    <cellStyle name="Normal 10 7 2" xfId="5379" xr:uid="{00000000-0005-0000-0000-00009F720000}"/>
    <cellStyle name="Normal 10 7 2 2" xfId="9340" xr:uid="{00000000-0005-0000-0000-0000A0720000}"/>
    <cellStyle name="Normal 10 7 2 2 2" xfId="12961" xr:uid="{00000000-0005-0000-0000-0000A1720000}"/>
    <cellStyle name="Normal 10 7 2 3" xfId="21383" xr:uid="{00000000-0005-0000-0000-0000A2720000}"/>
    <cellStyle name="Normal 10 7 2 4" xfId="21384" xr:uid="{00000000-0005-0000-0000-0000A3720000}"/>
    <cellStyle name="Normal 10 7 2 5" xfId="21385" xr:uid="{00000000-0005-0000-0000-0000A4720000}"/>
    <cellStyle name="Normal 10 7 2 6" xfId="21386" xr:uid="{00000000-0005-0000-0000-0000A5720000}"/>
    <cellStyle name="Normal 10 7 3" xfId="9339" xr:uid="{00000000-0005-0000-0000-0000A6720000}"/>
    <cellStyle name="Normal 10 7 3 2" xfId="12960" xr:uid="{00000000-0005-0000-0000-0000A7720000}"/>
    <cellStyle name="Normal 10 7 3 3" xfId="38394" xr:uid="{00000000-0005-0000-0000-0000A8720000}"/>
    <cellStyle name="Normal 10 7 4" xfId="21387" xr:uid="{00000000-0005-0000-0000-0000A9720000}"/>
    <cellStyle name="Normal 10 7 5" xfId="21388" xr:uid="{00000000-0005-0000-0000-0000AA720000}"/>
    <cellStyle name="Normal 10 7 6" xfId="21389" xr:uid="{00000000-0005-0000-0000-0000AB720000}"/>
    <cellStyle name="Normal 10 7 7" xfId="21390" xr:uid="{00000000-0005-0000-0000-0000AC720000}"/>
    <cellStyle name="Normal 10 8" xfId="3539" xr:uid="{00000000-0005-0000-0000-0000AD720000}"/>
    <cellStyle name="Normal 10 8 2" xfId="5380" xr:uid="{00000000-0005-0000-0000-0000AE720000}"/>
    <cellStyle name="Normal 10 8 2 2" xfId="9342" xr:uid="{00000000-0005-0000-0000-0000AF720000}"/>
    <cellStyle name="Normal 10 8 2 2 2" xfId="12963" xr:uid="{00000000-0005-0000-0000-0000B0720000}"/>
    <cellStyle name="Normal 10 8 2 3" xfId="21391" xr:uid="{00000000-0005-0000-0000-0000B1720000}"/>
    <cellStyle name="Normal 10 8 2 4" xfId="21392" xr:uid="{00000000-0005-0000-0000-0000B2720000}"/>
    <cellStyle name="Normal 10 8 2 5" xfId="21393" xr:uid="{00000000-0005-0000-0000-0000B3720000}"/>
    <cellStyle name="Normal 10 8 2 6" xfId="21394" xr:uid="{00000000-0005-0000-0000-0000B4720000}"/>
    <cellStyle name="Normal 10 8 3" xfId="9341" xr:uid="{00000000-0005-0000-0000-0000B5720000}"/>
    <cellStyle name="Normal 10 8 3 2" xfId="12962" xr:uid="{00000000-0005-0000-0000-0000B6720000}"/>
    <cellStyle name="Normal 10 8 3 3" xfId="38395" xr:uid="{00000000-0005-0000-0000-0000B7720000}"/>
    <cellStyle name="Normal 10 8 4" xfId="21395" xr:uid="{00000000-0005-0000-0000-0000B8720000}"/>
    <cellStyle name="Normal 10 8 5" xfId="21396" xr:uid="{00000000-0005-0000-0000-0000B9720000}"/>
    <cellStyle name="Normal 10 8 6" xfId="21397" xr:uid="{00000000-0005-0000-0000-0000BA720000}"/>
    <cellStyle name="Normal 10 8 7" xfId="21398" xr:uid="{00000000-0005-0000-0000-0000BB720000}"/>
    <cellStyle name="Normal 10 9" xfId="3532" xr:uid="{00000000-0005-0000-0000-0000BC720000}"/>
    <cellStyle name="Normal 10 9 2" xfId="9343" xr:uid="{00000000-0005-0000-0000-0000BD720000}"/>
    <cellStyle name="Normal 10 9 2 2" xfId="12964" xr:uid="{00000000-0005-0000-0000-0000BE720000}"/>
    <cellStyle name="Normal 10 9 3" xfId="21399" xr:uid="{00000000-0005-0000-0000-0000BF720000}"/>
    <cellStyle name="Normal 10 9 4" xfId="21400" xr:uid="{00000000-0005-0000-0000-0000C0720000}"/>
    <cellStyle name="Normal 10 9 5" xfId="21401" xr:uid="{00000000-0005-0000-0000-0000C1720000}"/>
    <cellStyle name="Normal 10 9 6" xfId="21402" xr:uid="{00000000-0005-0000-0000-0000C2720000}"/>
    <cellStyle name="Normal 100" xfId="35276" xr:uid="{00000000-0005-0000-0000-0000C3720000}"/>
    <cellStyle name="Normal 100 2" xfId="37374" xr:uid="{00000000-0005-0000-0000-0000C4720000}"/>
    <cellStyle name="Normal 101" xfId="36159" xr:uid="{00000000-0005-0000-0000-0000C5720000}"/>
    <cellStyle name="Normal 101 2" xfId="37376" xr:uid="{00000000-0005-0000-0000-0000C6720000}"/>
    <cellStyle name="Normal 102" xfId="37379" xr:uid="{00000000-0005-0000-0000-0000C7720000}"/>
    <cellStyle name="Normal 103" xfId="37381" xr:uid="{00000000-0005-0000-0000-0000C8720000}"/>
    <cellStyle name="Normal 104" xfId="36283" xr:uid="{00000000-0005-0000-0000-0000C9720000}"/>
    <cellStyle name="Normal 105" xfId="36424" xr:uid="{00000000-0005-0000-0000-0000CA720000}"/>
    <cellStyle name="Normal 105 2" xfId="43989" xr:uid="{00000000-0005-0000-0000-0000CB720000}"/>
    <cellStyle name="Normal 106" xfId="37383" xr:uid="{00000000-0005-0000-0000-0000CC720000}"/>
    <cellStyle name="Normal 107" xfId="37409" xr:uid="{00000000-0005-0000-0000-0000CD720000}"/>
    <cellStyle name="Normal 108" xfId="41332" xr:uid="{00000000-0005-0000-0000-0000CE720000}"/>
    <cellStyle name="Normal 109" xfId="46646" xr:uid="{00000000-0005-0000-0000-0000CF720000}"/>
    <cellStyle name="Normal 11" xfId="1521" xr:uid="{00000000-0005-0000-0000-0000D0720000}"/>
    <cellStyle name="Normal 11 10" xfId="4758" xr:uid="{00000000-0005-0000-0000-0000D1720000}"/>
    <cellStyle name="Normal 11 10 2" xfId="12965" xr:uid="{00000000-0005-0000-0000-0000D2720000}"/>
    <cellStyle name="Normal 11 10 3" xfId="35754" xr:uid="{00000000-0005-0000-0000-0000D3720000}"/>
    <cellStyle name="Normal 11 10 4" xfId="9344" xr:uid="{00000000-0005-0000-0000-0000D4720000}"/>
    <cellStyle name="Normal 11 11" xfId="21403" xr:uid="{00000000-0005-0000-0000-0000D5720000}"/>
    <cellStyle name="Normal 11 11 2" xfId="37815" xr:uid="{00000000-0005-0000-0000-0000D6720000}"/>
    <cellStyle name="Normal 11 12" xfId="21404" xr:uid="{00000000-0005-0000-0000-0000D7720000}"/>
    <cellStyle name="Normal 11 13" xfId="21405" xr:uid="{00000000-0005-0000-0000-0000D8720000}"/>
    <cellStyle name="Normal 11 14" xfId="21406" xr:uid="{00000000-0005-0000-0000-0000D9720000}"/>
    <cellStyle name="Normal 11 15" xfId="21407" xr:uid="{00000000-0005-0000-0000-0000DA720000}"/>
    <cellStyle name="Normal 11 2" xfId="1522" xr:uid="{00000000-0005-0000-0000-0000DB720000}"/>
    <cellStyle name="Normal 11 2 2" xfId="3541" xr:uid="{00000000-0005-0000-0000-0000DC720000}"/>
    <cellStyle name="Normal 11 2 2 2" xfId="9346" xr:uid="{00000000-0005-0000-0000-0000DD720000}"/>
    <cellStyle name="Normal 11 2 2 2 2" xfId="12967" xr:uid="{00000000-0005-0000-0000-0000DE720000}"/>
    <cellStyle name="Normal 11 2 2 3" xfId="21408" xr:uid="{00000000-0005-0000-0000-0000DF720000}"/>
    <cellStyle name="Normal 11 2 2 4" xfId="21409" xr:uid="{00000000-0005-0000-0000-0000E0720000}"/>
    <cellStyle name="Normal 11 2 2 5" xfId="21410" xr:uid="{00000000-0005-0000-0000-0000E1720000}"/>
    <cellStyle name="Normal 11 2 2 6" xfId="21411" xr:uid="{00000000-0005-0000-0000-0000E2720000}"/>
    <cellStyle name="Normal 11 2 3" xfId="4759" xr:uid="{00000000-0005-0000-0000-0000E3720000}"/>
    <cellStyle name="Normal 11 2 3 2" xfId="12966" xr:uid="{00000000-0005-0000-0000-0000E4720000}"/>
    <cellStyle name="Normal 11 2 3 3" xfId="35755" xr:uid="{00000000-0005-0000-0000-0000E5720000}"/>
    <cellStyle name="Normal 11 2 3 4" xfId="9345" xr:uid="{00000000-0005-0000-0000-0000E6720000}"/>
    <cellStyle name="Normal 11 2 4" xfId="21412" xr:uid="{00000000-0005-0000-0000-0000E7720000}"/>
    <cellStyle name="Normal 11 2 4 2" xfId="37816" xr:uid="{00000000-0005-0000-0000-0000E8720000}"/>
    <cellStyle name="Normal 11 2 5" xfId="21413" xr:uid="{00000000-0005-0000-0000-0000E9720000}"/>
    <cellStyle name="Normal 11 2 6" xfId="21414" xr:uid="{00000000-0005-0000-0000-0000EA720000}"/>
    <cellStyle name="Normal 11 2 7" xfId="21415" xr:uid="{00000000-0005-0000-0000-0000EB720000}"/>
    <cellStyle name="Normal 11 2 8" xfId="21416" xr:uid="{00000000-0005-0000-0000-0000EC720000}"/>
    <cellStyle name="Normal 11 3" xfId="1523" xr:uid="{00000000-0005-0000-0000-0000ED720000}"/>
    <cellStyle name="Normal 11 3 2" xfId="3542" xr:uid="{00000000-0005-0000-0000-0000EE720000}"/>
    <cellStyle name="Normal 11 3 2 2" xfId="9348" xr:uid="{00000000-0005-0000-0000-0000EF720000}"/>
    <cellStyle name="Normal 11 3 2 2 2" xfId="12969" xr:uid="{00000000-0005-0000-0000-0000F0720000}"/>
    <cellStyle name="Normal 11 3 2 3" xfId="21417" xr:uid="{00000000-0005-0000-0000-0000F1720000}"/>
    <cellStyle name="Normal 11 3 2 4" xfId="21418" xr:uid="{00000000-0005-0000-0000-0000F2720000}"/>
    <cellStyle name="Normal 11 3 2 5" xfId="21419" xr:uid="{00000000-0005-0000-0000-0000F3720000}"/>
    <cellStyle name="Normal 11 3 2 6" xfId="21420" xr:uid="{00000000-0005-0000-0000-0000F4720000}"/>
    <cellStyle name="Normal 11 3 3" xfId="4760" xr:uid="{00000000-0005-0000-0000-0000F5720000}"/>
    <cellStyle name="Normal 11 3 3 2" xfId="12968" xr:uid="{00000000-0005-0000-0000-0000F6720000}"/>
    <cellStyle name="Normal 11 3 3 3" xfId="35756" xr:uid="{00000000-0005-0000-0000-0000F7720000}"/>
    <cellStyle name="Normal 11 3 3 4" xfId="9347" xr:uid="{00000000-0005-0000-0000-0000F8720000}"/>
    <cellStyle name="Normal 11 3 4" xfId="21421" xr:uid="{00000000-0005-0000-0000-0000F9720000}"/>
    <cellStyle name="Normal 11 3 4 2" xfId="37817" xr:uid="{00000000-0005-0000-0000-0000FA720000}"/>
    <cellStyle name="Normal 11 3 5" xfId="21422" xr:uid="{00000000-0005-0000-0000-0000FB720000}"/>
    <cellStyle name="Normal 11 3 6" xfId="21423" xr:uid="{00000000-0005-0000-0000-0000FC720000}"/>
    <cellStyle name="Normal 11 3 7" xfId="21424" xr:uid="{00000000-0005-0000-0000-0000FD720000}"/>
    <cellStyle name="Normal 11 3 8" xfId="21425" xr:uid="{00000000-0005-0000-0000-0000FE720000}"/>
    <cellStyle name="Normal 11 4" xfId="1524" xr:uid="{00000000-0005-0000-0000-0000FF720000}"/>
    <cellStyle name="Normal 11 4 2" xfId="3543" xr:uid="{00000000-0005-0000-0000-000000730000}"/>
    <cellStyle name="Normal 11 4 2 2" xfId="9350" xr:uid="{00000000-0005-0000-0000-000001730000}"/>
    <cellStyle name="Normal 11 4 2 2 2" xfId="12971" xr:uid="{00000000-0005-0000-0000-000002730000}"/>
    <cellStyle name="Normal 11 4 2 3" xfId="21426" xr:uid="{00000000-0005-0000-0000-000003730000}"/>
    <cellStyle name="Normal 11 4 2 4" xfId="21427" xr:uid="{00000000-0005-0000-0000-000004730000}"/>
    <cellStyle name="Normal 11 4 2 5" xfId="21428" xr:uid="{00000000-0005-0000-0000-000005730000}"/>
    <cellStyle name="Normal 11 4 2 6" xfId="21429" xr:uid="{00000000-0005-0000-0000-000006730000}"/>
    <cellStyle name="Normal 11 4 3" xfId="4761" xr:uid="{00000000-0005-0000-0000-000007730000}"/>
    <cellStyle name="Normal 11 4 3 2" xfId="12970" xr:uid="{00000000-0005-0000-0000-000008730000}"/>
    <cellStyle name="Normal 11 4 3 3" xfId="35757" xr:uid="{00000000-0005-0000-0000-000009730000}"/>
    <cellStyle name="Normal 11 4 3 4" xfId="9349" xr:uid="{00000000-0005-0000-0000-00000A730000}"/>
    <cellStyle name="Normal 11 4 4" xfId="21430" xr:uid="{00000000-0005-0000-0000-00000B730000}"/>
    <cellStyle name="Normal 11 4 4 2" xfId="37818" xr:uid="{00000000-0005-0000-0000-00000C730000}"/>
    <cellStyle name="Normal 11 4 5" xfId="21431" xr:uid="{00000000-0005-0000-0000-00000D730000}"/>
    <cellStyle name="Normal 11 4 6" xfId="21432" xr:uid="{00000000-0005-0000-0000-00000E730000}"/>
    <cellStyle name="Normal 11 4 7" xfId="21433" xr:uid="{00000000-0005-0000-0000-00000F730000}"/>
    <cellStyle name="Normal 11 4 8" xfId="21434" xr:uid="{00000000-0005-0000-0000-000010730000}"/>
    <cellStyle name="Normal 11 5" xfId="3544" xr:uid="{00000000-0005-0000-0000-000011730000}"/>
    <cellStyle name="Normal 11 5 2" xfId="5381" xr:uid="{00000000-0005-0000-0000-000012730000}"/>
    <cellStyle name="Normal 11 5 2 2" xfId="9352" xr:uid="{00000000-0005-0000-0000-000013730000}"/>
    <cellStyle name="Normal 11 5 2 2 2" xfId="12973" xr:uid="{00000000-0005-0000-0000-000014730000}"/>
    <cellStyle name="Normal 11 5 2 3" xfId="21435" xr:uid="{00000000-0005-0000-0000-000015730000}"/>
    <cellStyle name="Normal 11 5 2 4" xfId="21436" xr:uid="{00000000-0005-0000-0000-000016730000}"/>
    <cellStyle name="Normal 11 5 2 5" xfId="21437" xr:uid="{00000000-0005-0000-0000-000017730000}"/>
    <cellStyle name="Normal 11 5 2 6" xfId="21438" xr:uid="{00000000-0005-0000-0000-000018730000}"/>
    <cellStyle name="Normal 11 5 3" xfId="9351" xr:uid="{00000000-0005-0000-0000-000019730000}"/>
    <cellStyle name="Normal 11 5 3 2" xfId="12972" xr:uid="{00000000-0005-0000-0000-00001A730000}"/>
    <cellStyle name="Normal 11 5 3 3" xfId="38396" xr:uid="{00000000-0005-0000-0000-00001B730000}"/>
    <cellStyle name="Normal 11 5 4" xfId="21439" xr:uid="{00000000-0005-0000-0000-00001C730000}"/>
    <cellStyle name="Normal 11 5 5" xfId="21440" xr:uid="{00000000-0005-0000-0000-00001D730000}"/>
    <cellStyle name="Normal 11 5 6" xfId="21441" xr:uid="{00000000-0005-0000-0000-00001E730000}"/>
    <cellStyle name="Normal 11 5 7" xfId="21442" xr:uid="{00000000-0005-0000-0000-00001F730000}"/>
    <cellStyle name="Normal 11 6" xfId="3545" xr:uid="{00000000-0005-0000-0000-000020730000}"/>
    <cellStyle name="Normal 11 6 2" xfId="5382" xr:uid="{00000000-0005-0000-0000-000021730000}"/>
    <cellStyle name="Normal 11 6 2 2" xfId="9354" xr:uid="{00000000-0005-0000-0000-000022730000}"/>
    <cellStyle name="Normal 11 6 2 2 2" xfId="12975" xr:uid="{00000000-0005-0000-0000-000023730000}"/>
    <cellStyle name="Normal 11 6 2 3" xfId="21443" xr:uid="{00000000-0005-0000-0000-000024730000}"/>
    <cellStyle name="Normal 11 6 2 4" xfId="21444" xr:uid="{00000000-0005-0000-0000-000025730000}"/>
    <cellStyle name="Normal 11 6 2 5" xfId="21445" xr:uid="{00000000-0005-0000-0000-000026730000}"/>
    <cellStyle name="Normal 11 6 2 6" xfId="21446" xr:uid="{00000000-0005-0000-0000-000027730000}"/>
    <cellStyle name="Normal 11 6 3" xfId="9353" xr:uid="{00000000-0005-0000-0000-000028730000}"/>
    <cellStyle name="Normal 11 6 3 2" xfId="12974" xr:uid="{00000000-0005-0000-0000-000029730000}"/>
    <cellStyle name="Normal 11 6 3 3" xfId="38397" xr:uid="{00000000-0005-0000-0000-00002A730000}"/>
    <cellStyle name="Normal 11 6 4" xfId="21447" xr:uid="{00000000-0005-0000-0000-00002B730000}"/>
    <cellStyle name="Normal 11 6 5" xfId="21448" xr:uid="{00000000-0005-0000-0000-00002C730000}"/>
    <cellStyle name="Normal 11 6 6" xfId="21449" xr:uid="{00000000-0005-0000-0000-00002D730000}"/>
    <cellStyle name="Normal 11 6 7" xfId="21450" xr:uid="{00000000-0005-0000-0000-00002E730000}"/>
    <cellStyle name="Normal 11 7" xfId="3546" xr:uid="{00000000-0005-0000-0000-00002F730000}"/>
    <cellStyle name="Normal 11 7 2" xfId="5383" xr:uid="{00000000-0005-0000-0000-000030730000}"/>
    <cellStyle name="Normal 11 7 2 2" xfId="9356" xr:uid="{00000000-0005-0000-0000-000031730000}"/>
    <cellStyle name="Normal 11 7 2 2 2" xfId="12977" xr:uid="{00000000-0005-0000-0000-000032730000}"/>
    <cellStyle name="Normal 11 7 2 3" xfId="21451" xr:uid="{00000000-0005-0000-0000-000033730000}"/>
    <cellStyle name="Normal 11 7 2 4" xfId="21452" xr:uid="{00000000-0005-0000-0000-000034730000}"/>
    <cellStyle name="Normal 11 7 2 5" xfId="21453" xr:uid="{00000000-0005-0000-0000-000035730000}"/>
    <cellStyle name="Normal 11 7 2 6" xfId="21454" xr:uid="{00000000-0005-0000-0000-000036730000}"/>
    <cellStyle name="Normal 11 7 3" xfId="9355" xr:uid="{00000000-0005-0000-0000-000037730000}"/>
    <cellStyle name="Normal 11 7 3 2" xfId="12976" xr:uid="{00000000-0005-0000-0000-000038730000}"/>
    <cellStyle name="Normal 11 7 3 3" xfId="38398" xr:uid="{00000000-0005-0000-0000-000039730000}"/>
    <cellStyle name="Normal 11 7 4" xfId="21455" xr:uid="{00000000-0005-0000-0000-00003A730000}"/>
    <cellStyle name="Normal 11 7 5" xfId="21456" xr:uid="{00000000-0005-0000-0000-00003B730000}"/>
    <cellStyle name="Normal 11 7 6" xfId="21457" xr:uid="{00000000-0005-0000-0000-00003C730000}"/>
    <cellStyle name="Normal 11 7 7" xfId="21458" xr:uid="{00000000-0005-0000-0000-00003D730000}"/>
    <cellStyle name="Normal 11 8" xfId="3547" xr:uid="{00000000-0005-0000-0000-00003E730000}"/>
    <cellStyle name="Normal 11 8 2" xfId="5384" xr:uid="{00000000-0005-0000-0000-00003F730000}"/>
    <cellStyle name="Normal 11 8 2 2" xfId="9358" xr:uid="{00000000-0005-0000-0000-000040730000}"/>
    <cellStyle name="Normal 11 8 2 2 2" xfId="12979" xr:uid="{00000000-0005-0000-0000-000041730000}"/>
    <cellStyle name="Normal 11 8 2 3" xfId="21459" xr:uid="{00000000-0005-0000-0000-000042730000}"/>
    <cellStyle name="Normal 11 8 2 4" xfId="21460" xr:uid="{00000000-0005-0000-0000-000043730000}"/>
    <cellStyle name="Normal 11 8 2 5" xfId="21461" xr:uid="{00000000-0005-0000-0000-000044730000}"/>
    <cellStyle name="Normal 11 8 2 6" xfId="21462" xr:uid="{00000000-0005-0000-0000-000045730000}"/>
    <cellStyle name="Normal 11 8 3" xfId="9357" xr:uid="{00000000-0005-0000-0000-000046730000}"/>
    <cellStyle name="Normal 11 8 3 2" xfId="12978" xr:uid="{00000000-0005-0000-0000-000047730000}"/>
    <cellStyle name="Normal 11 8 3 3" xfId="38399" xr:uid="{00000000-0005-0000-0000-000048730000}"/>
    <cellStyle name="Normal 11 8 4" xfId="21463" xr:uid="{00000000-0005-0000-0000-000049730000}"/>
    <cellStyle name="Normal 11 8 5" xfId="21464" xr:uid="{00000000-0005-0000-0000-00004A730000}"/>
    <cellStyle name="Normal 11 8 6" xfId="21465" xr:uid="{00000000-0005-0000-0000-00004B730000}"/>
    <cellStyle name="Normal 11 8 7" xfId="21466" xr:uid="{00000000-0005-0000-0000-00004C730000}"/>
    <cellStyle name="Normal 11 9" xfId="3540" xr:uid="{00000000-0005-0000-0000-00004D730000}"/>
    <cellStyle name="Normal 11 9 2" xfId="9359" xr:uid="{00000000-0005-0000-0000-00004E730000}"/>
    <cellStyle name="Normal 11 9 2 2" xfId="12980" xr:uid="{00000000-0005-0000-0000-00004F730000}"/>
    <cellStyle name="Normal 11 9 3" xfId="21467" xr:uid="{00000000-0005-0000-0000-000050730000}"/>
    <cellStyle name="Normal 11 9 4" xfId="21468" xr:uid="{00000000-0005-0000-0000-000051730000}"/>
    <cellStyle name="Normal 11 9 5" xfId="21469" xr:uid="{00000000-0005-0000-0000-000052730000}"/>
    <cellStyle name="Normal 11 9 6" xfId="21470" xr:uid="{00000000-0005-0000-0000-000053730000}"/>
    <cellStyle name="Normal 110" xfId="6481" xr:uid="{00000000-0005-0000-0000-000054730000}"/>
    <cellStyle name="Normal 111" xfId="9" xr:uid="{00000000-0005-0000-0000-000055730000}"/>
    <cellStyle name="Normal 112" xfId="46648" xr:uid="{00000000-0005-0000-0000-000056730000}"/>
    <cellStyle name="Normal 113" xfId="46650" xr:uid="{00000000-0005-0000-0000-000057730000}"/>
    <cellStyle name="Normal 114" xfId="46651" xr:uid="{00000000-0005-0000-0000-000058730000}"/>
    <cellStyle name="Normal 115" xfId="8" xr:uid="{00000000-0005-0000-0000-000059730000}"/>
    <cellStyle name="Normal 12" xfId="1525" xr:uid="{00000000-0005-0000-0000-00005A730000}"/>
    <cellStyle name="Normal 12 10" xfId="21471" xr:uid="{00000000-0005-0000-0000-00005B730000}"/>
    <cellStyle name="Normal 12 11" xfId="21472" xr:uid="{00000000-0005-0000-0000-00005C730000}"/>
    <cellStyle name="Normal 12 12" xfId="21473" xr:uid="{00000000-0005-0000-0000-00005D730000}"/>
    <cellStyle name="Normal 12 13" xfId="21474" xr:uid="{00000000-0005-0000-0000-00005E730000}"/>
    <cellStyle name="Normal 12 2" xfId="1526" xr:uid="{00000000-0005-0000-0000-00005F730000}"/>
    <cellStyle name="Normal 12 2 2" xfId="3549" xr:uid="{00000000-0005-0000-0000-000060730000}"/>
    <cellStyle name="Normal 12 2 2 2" xfId="9362" xr:uid="{00000000-0005-0000-0000-000061730000}"/>
    <cellStyle name="Normal 12 2 2 2 2" xfId="12983" xr:uid="{00000000-0005-0000-0000-000062730000}"/>
    <cellStyle name="Normal 12 2 2 3" xfId="21475" xr:uid="{00000000-0005-0000-0000-000063730000}"/>
    <cellStyle name="Normal 12 2 2 4" xfId="21476" xr:uid="{00000000-0005-0000-0000-000064730000}"/>
    <cellStyle name="Normal 12 2 2 5" xfId="21477" xr:uid="{00000000-0005-0000-0000-000065730000}"/>
    <cellStyle name="Normal 12 2 2 6" xfId="21478" xr:uid="{00000000-0005-0000-0000-000066730000}"/>
    <cellStyle name="Normal 12 2 3" xfId="4763" xr:uid="{00000000-0005-0000-0000-000067730000}"/>
    <cellStyle name="Normal 12 2 3 2" xfId="12982" xr:uid="{00000000-0005-0000-0000-000068730000}"/>
    <cellStyle name="Normal 12 2 3 3" xfId="35759" xr:uid="{00000000-0005-0000-0000-000069730000}"/>
    <cellStyle name="Normal 12 2 3 4" xfId="9361" xr:uid="{00000000-0005-0000-0000-00006A730000}"/>
    <cellStyle name="Normal 12 2 4" xfId="21479" xr:uid="{00000000-0005-0000-0000-00006B730000}"/>
    <cellStyle name="Normal 12 2 4 2" xfId="37820" xr:uid="{00000000-0005-0000-0000-00006C730000}"/>
    <cellStyle name="Normal 12 2 5" xfId="21480" xr:uid="{00000000-0005-0000-0000-00006D730000}"/>
    <cellStyle name="Normal 12 2 6" xfId="21481" xr:uid="{00000000-0005-0000-0000-00006E730000}"/>
    <cellStyle name="Normal 12 2 7" xfId="21482" xr:uid="{00000000-0005-0000-0000-00006F730000}"/>
    <cellStyle name="Normal 12 2 8" xfId="21483" xr:uid="{00000000-0005-0000-0000-000070730000}"/>
    <cellStyle name="Normal 12 3" xfId="1527" xr:uid="{00000000-0005-0000-0000-000071730000}"/>
    <cellStyle name="Normal 12 3 2" xfId="3550" xr:uid="{00000000-0005-0000-0000-000072730000}"/>
    <cellStyle name="Normal 12 3 2 2" xfId="9364" xr:uid="{00000000-0005-0000-0000-000073730000}"/>
    <cellStyle name="Normal 12 3 2 2 2" xfId="12985" xr:uid="{00000000-0005-0000-0000-000074730000}"/>
    <cellStyle name="Normal 12 3 2 3" xfId="21484" xr:uid="{00000000-0005-0000-0000-000075730000}"/>
    <cellStyle name="Normal 12 3 2 4" xfId="21485" xr:uid="{00000000-0005-0000-0000-000076730000}"/>
    <cellStyle name="Normal 12 3 2 5" xfId="21486" xr:uid="{00000000-0005-0000-0000-000077730000}"/>
    <cellStyle name="Normal 12 3 2 6" xfId="21487" xr:uid="{00000000-0005-0000-0000-000078730000}"/>
    <cellStyle name="Normal 12 3 3" xfId="4764" xr:uid="{00000000-0005-0000-0000-000079730000}"/>
    <cellStyle name="Normal 12 3 3 2" xfId="12984" xr:uid="{00000000-0005-0000-0000-00007A730000}"/>
    <cellStyle name="Normal 12 3 3 3" xfId="35760" xr:uid="{00000000-0005-0000-0000-00007B730000}"/>
    <cellStyle name="Normal 12 3 3 4" xfId="9363" xr:uid="{00000000-0005-0000-0000-00007C730000}"/>
    <cellStyle name="Normal 12 3 4" xfId="21488" xr:uid="{00000000-0005-0000-0000-00007D730000}"/>
    <cellStyle name="Normal 12 3 4 2" xfId="37821" xr:uid="{00000000-0005-0000-0000-00007E730000}"/>
    <cellStyle name="Normal 12 3 5" xfId="21489" xr:uid="{00000000-0005-0000-0000-00007F730000}"/>
    <cellStyle name="Normal 12 3 6" xfId="21490" xr:uid="{00000000-0005-0000-0000-000080730000}"/>
    <cellStyle name="Normal 12 3 7" xfId="21491" xr:uid="{00000000-0005-0000-0000-000081730000}"/>
    <cellStyle name="Normal 12 3 8" xfId="21492" xr:uid="{00000000-0005-0000-0000-000082730000}"/>
    <cellStyle name="Normal 12 4" xfId="1528" xr:uid="{00000000-0005-0000-0000-000083730000}"/>
    <cellStyle name="Normal 12 4 2" xfId="3551" xr:uid="{00000000-0005-0000-0000-000084730000}"/>
    <cellStyle name="Normal 12 4 2 2" xfId="9366" xr:uid="{00000000-0005-0000-0000-000085730000}"/>
    <cellStyle name="Normal 12 4 2 2 2" xfId="12987" xr:uid="{00000000-0005-0000-0000-000086730000}"/>
    <cellStyle name="Normal 12 4 2 3" xfId="21493" xr:uid="{00000000-0005-0000-0000-000087730000}"/>
    <cellStyle name="Normal 12 4 2 4" xfId="21494" xr:uid="{00000000-0005-0000-0000-000088730000}"/>
    <cellStyle name="Normal 12 4 2 5" xfId="21495" xr:uid="{00000000-0005-0000-0000-000089730000}"/>
    <cellStyle name="Normal 12 4 2 6" xfId="21496" xr:uid="{00000000-0005-0000-0000-00008A730000}"/>
    <cellStyle name="Normal 12 4 3" xfId="4765" xr:uid="{00000000-0005-0000-0000-00008B730000}"/>
    <cellStyle name="Normal 12 4 3 2" xfId="12986" xr:uid="{00000000-0005-0000-0000-00008C730000}"/>
    <cellStyle name="Normal 12 4 3 3" xfId="35761" xr:uid="{00000000-0005-0000-0000-00008D730000}"/>
    <cellStyle name="Normal 12 4 3 4" xfId="9365" xr:uid="{00000000-0005-0000-0000-00008E730000}"/>
    <cellStyle name="Normal 12 4 4" xfId="21497" xr:uid="{00000000-0005-0000-0000-00008F730000}"/>
    <cellStyle name="Normal 12 4 4 2" xfId="37822" xr:uid="{00000000-0005-0000-0000-000090730000}"/>
    <cellStyle name="Normal 12 4 5" xfId="21498" xr:uid="{00000000-0005-0000-0000-000091730000}"/>
    <cellStyle name="Normal 12 4 6" xfId="21499" xr:uid="{00000000-0005-0000-0000-000092730000}"/>
    <cellStyle name="Normal 12 4 7" xfId="21500" xr:uid="{00000000-0005-0000-0000-000093730000}"/>
    <cellStyle name="Normal 12 4 8" xfId="21501" xr:uid="{00000000-0005-0000-0000-000094730000}"/>
    <cellStyle name="Normal 12 5" xfId="3552" xr:uid="{00000000-0005-0000-0000-000095730000}"/>
    <cellStyle name="Normal 12 5 2" xfId="5385" xr:uid="{00000000-0005-0000-0000-000096730000}"/>
    <cellStyle name="Normal 12 5 2 2" xfId="9368" xr:uid="{00000000-0005-0000-0000-000097730000}"/>
    <cellStyle name="Normal 12 5 2 2 2" xfId="12989" xr:uid="{00000000-0005-0000-0000-000098730000}"/>
    <cellStyle name="Normal 12 5 2 3" xfId="21502" xr:uid="{00000000-0005-0000-0000-000099730000}"/>
    <cellStyle name="Normal 12 5 2 4" xfId="21503" xr:uid="{00000000-0005-0000-0000-00009A730000}"/>
    <cellStyle name="Normal 12 5 2 5" xfId="21504" xr:uid="{00000000-0005-0000-0000-00009B730000}"/>
    <cellStyle name="Normal 12 5 2 6" xfId="21505" xr:uid="{00000000-0005-0000-0000-00009C730000}"/>
    <cellStyle name="Normal 12 5 3" xfId="9367" xr:uid="{00000000-0005-0000-0000-00009D730000}"/>
    <cellStyle name="Normal 12 5 3 2" xfId="12988" xr:uid="{00000000-0005-0000-0000-00009E730000}"/>
    <cellStyle name="Normal 12 5 3 3" xfId="38400" xr:uid="{00000000-0005-0000-0000-00009F730000}"/>
    <cellStyle name="Normal 12 5 4" xfId="21506" xr:uid="{00000000-0005-0000-0000-0000A0730000}"/>
    <cellStyle name="Normal 12 5 5" xfId="21507" xr:uid="{00000000-0005-0000-0000-0000A1730000}"/>
    <cellStyle name="Normal 12 5 6" xfId="21508" xr:uid="{00000000-0005-0000-0000-0000A2730000}"/>
    <cellStyle name="Normal 12 5 7" xfId="21509" xr:uid="{00000000-0005-0000-0000-0000A3730000}"/>
    <cellStyle name="Normal 12 6" xfId="3553" xr:uid="{00000000-0005-0000-0000-0000A4730000}"/>
    <cellStyle name="Normal 12 6 2" xfId="5386" xr:uid="{00000000-0005-0000-0000-0000A5730000}"/>
    <cellStyle name="Normal 12 6 2 2" xfId="9370" xr:uid="{00000000-0005-0000-0000-0000A6730000}"/>
    <cellStyle name="Normal 12 6 2 2 2" xfId="12991" xr:uid="{00000000-0005-0000-0000-0000A7730000}"/>
    <cellStyle name="Normal 12 6 2 3" xfId="21510" xr:uid="{00000000-0005-0000-0000-0000A8730000}"/>
    <cellStyle name="Normal 12 6 2 4" xfId="21511" xr:uid="{00000000-0005-0000-0000-0000A9730000}"/>
    <cellStyle name="Normal 12 6 2 5" xfId="21512" xr:uid="{00000000-0005-0000-0000-0000AA730000}"/>
    <cellStyle name="Normal 12 6 2 6" xfId="21513" xr:uid="{00000000-0005-0000-0000-0000AB730000}"/>
    <cellStyle name="Normal 12 6 3" xfId="9369" xr:uid="{00000000-0005-0000-0000-0000AC730000}"/>
    <cellStyle name="Normal 12 6 3 2" xfId="12990" xr:uid="{00000000-0005-0000-0000-0000AD730000}"/>
    <cellStyle name="Normal 12 6 3 3" xfId="38401" xr:uid="{00000000-0005-0000-0000-0000AE730000}"/>
    <cellStyle name="Normal 12 6 4" xfId="21514" xr:uid="{00000000-0005-0000-0000-0000AF730000}"/>
    <cellStyle name="Normal 12 6 5" xfId="21515" xr:uid="{00000000-0005-0000-0000-0000B0730000}"/>
    <cellStyle name="Normal 12 6 6" xfId="21516" xr:uid="{00000000-0005-0000-0000-0000B1730000}"/>
    <cellStyle name="Normal 12 6 7" xfId="21517" xr:uid="{00000000-0005-0000-0000-0000B2730000}"/>
    <cellStyle name="Normal 12 7" xfId="3548" xr:uid="{00000000-0005-0000-0000-0000B3730000}"/>
    <cellStyle name="Normal 12 7 2" xfId="9371" xr:uid="{00000000-0005-0000-0000-0000B4730000}"/>
    <cellStyle name="Normal 12 7 2 2" xfId="12992" xr:uid="{00000000-0005-0000-0000-0000B5730000}"/>
    <cellStyle name="Normal 12 7 3" xfId="21518" xr:uid="{00000000-0005-0000-0000-0000B6730000}"/>
    <cellStyle name="Normal 12 7 4" xfId="21519" xr:uid="{00000000-0005-0000-0000-0000B7730000}"/>
    <cellStyle name="Normal 12 7 5" xfId="21520" xr:uid="{00000000-0005-0000-0000-0000B8730000}"/>
    <cellStyle name="Normal 12 7 6" xfId="21521" xr:uid="{00000000-0005-0000-0000-0000B9730000}"/>
    <cellStyle name="Normal 12 8" xfId="4762" xr:uid="{00000000-0005-0000-0000-0000BA730000}"/>
    <cellStyle name="Normal 12 8 2" xfId="12981" xr:uid="{00000000-0005-0000-0000-0000BB730000}"/>
    <cellStyle name="Normal 12 8 3" xfId="35758" xr:uid="{00000000-0005-0000-0000-0000BC730000}"/>
    <cellStyle name="Normal 12 8 4" xfId="9360" xr:uid="{00000000-0005-0000-0000-0000BD730000}"/>
    <cellStyle name="Normal 12 9" xfId="21522" xr:uid="{00000000-0005-0000-0000-0000BE730000}"/>
    <cellStyle name="Normal 12 9 2" xfId="37819" xr:uid="{00000000-0005-0000-0000-0000BF730000}"/>
    <cellStyle name="Normal 13" xfId="1529" xr:uid="{00000000-0005-0000-0000-0000C0730000}"/>
    <cellStyle name="Normal 13 10" xfId="7380" xr:uid="{00000000-0005-0000-0000-0000C1730000}"/>
    <cellStyle name="Normal 13 10 2" xfId="9373" xr:uid="{00000000-0005-0000-0000-0000C2730000}"/>
    <cellStyle name="Normal 13 10 2 2" xfId="12994" xr:uid="{00000000-0005-0000-0000-0000C3730000}"/>
    <cellStyle name="Normal 13 10 3" xfId="21523" xr:uid="{00000000-0005-0000-0000-0000C4730000}"/>
    <cellStyle name="Normal 13 10 4" xfId="21524" xr:uid="{00000000-0005-0000-0000-0000C5730000}"/>
    <cellStyle name="Normal 13 10 5" xfId="21525" xr:uid="{00000000-0005-0000-0000-0000C6730000}"/>
    <cellStyle name="Normal 13 10 6" xfId="21526" xr:uid="{00000000-0005-0000-0000-0000C7730000}"/>
    <cellStyle name="Normal 13 11" xfId="7381" xr:uid="{00000000-0005-0000-0000-0000C8730000}"/>
    <cellStyle name="Normal 13 11 2" xfId="9374" xr:uid="{00000000-0005-0000-0000-0000C9730000}"/>
    <cellStyle name="Normal 13 11 2 2" xfId="12995" xr:uid="{00000000-0005-0000-0000-0000CA730000}"/>
    <cellStyle name="Normal 13 11 3" xfId="21527" xr:uid="{00000000-0005-0000-0000-0000CB730000}"/>
    <cellStyle name="Normal 13 11 4" xfId="21528" xr:uid="{00000000-0005-0000-0000-0000CC730000}"/>
    <cellStyle name="Normal 13 11 5" xfId="21529" xr:uid="{00000000-0005-0000-0000-0000CD730000}"/>
    <cellStyle name="Normal 13 11 6" xfId="21530" xr:uid="{00000000-0005-0000-0000-0000CE730000}"/>
    <cellStyle name="Normal 13 12" xfId="7382" xr:uid="{00000000-0005-0000-0000-0000CF730000}"/>
    <cellStyle name="Normal 13 12 2" xfId="9375" xr:uid="{00000000-0005-0000-0000-0000D0730000}"/>
    <cellStyle name="Normal 13 12 2 2" xfId="12996" xr:uid="{00000000-0005-0000-0000-0000D1730000}"/>
    <cellStyle name="Normal 13 12 3" xfId="21531" xr:uid="{00000000-0005-0000-0000-0000D2730000}"/>
    <cellStyle name="Normal 13 12 4" xfId="21532" xr:uid="{00000000-0005-0000-0000-0000D3730000}"/>
    <cellStyle name="Normal 13 12 5" xfId="21533" xr:uid="{00000000-0005-0000-0000-0000D4730000}"/>
    <cellStyle name="Normal 13 12 6" xfId="21534" xr:uid="{00000000-0005-0000-0000-0000D5730000}"/>
    <cellStyle name="Normal 13 13" xfId="7383" xr:uid="{00000000-0005-0000-0000-0000D6730000}"/>
    <cellStyle name="Normal 13 13 2" xfId="9376" xr:uid="{00000000-0005-0000-0000-0000D7730000}"/>
    <cellStyle name="Normal 13 13 2 2" xfId="12997" xr:uid="{00000000-0005-0000-0000-0000D8730000}"/>
    <cellStyle name="Normal 13 13 3" xfId="21535" xr:uid="{00000000-0005-0000-0000-0000D9730000}"/>
    <cellStyle name="Normal 13 13 4" xfId="21536" xr:uid="{00000000-0005-0000-0000-0000DA730000}"/>
    <cellStyle name="Normal 13 13 5" xfId="21537" xr:uid="{00000000-0005-0000-0000-0000DB730000}"/>
    <cellStyle name="Normal 13 13 6" xfId="21538" xr:uid="{00000000-0005-0000-0000-0000DC730000}"/>
    <cellStyle name="Normal 13 14" xfId="7384" xr:uid="{00000000-0005-0000-0000-0000DD730000}"/>
    <cellStyle name="Normal 13 14 2" xfId="9377" xr:uid="{00000000-0005-0000-0000-0000DE730000}"/>
    <cellStyle name="Normal 13 14 2 2" xfId="12998" xr:uid="{00000000-0005-0000-0000-0000DF730000}"/>
    <cellStyle name="Normal 13 14 3" xfId="21539" xr:uid="{00000000-0005-0000-0000-0000E0730000}"/>
    <cellStyle name="Normal 13 14 4" xfId="21540" xr:uid="{00000000-0005-0000-0000-0000E1730000}"/>
    <cellStyle name="Normal 13 14 5" xfId="21541" xr:uid="{00000000-0005-0000-0000-0000E2730000}"/>
    <cellStyle name="Normal 13 14 6" xfId="21542" xr:uid="{00000000-0005-0000-0000-0000E3730000}"/>
    <cellStyle name="Normal 13 15" xfId="7385" xr:uid="{00000000-0005-0000-0000-0000E4730000}"/>
    <cellStyle name="Normal 13 15 2" xfId="9378" xr:uid="{00000000-0005-0000-0000-0000E5730000}"/>
    <cellStyle name="Normal 13 15 2 2" xfId="12999" xr:uid="{00000000-0005-0000-0000-0000E6730000}"/>
    <cellStyle name="Normal 13 15 3" xfId="21543" xr:uid="{00000000-0005-0000-0000-0000E7730000}"/>
    <cellStyle name="Normal 13 15 4" xfId="21544" xr:uid="{00000000-0005-0000-0000-0000E8730000}"/>
    <cellStyle name="Normal 13 15 5" xfId="21545" xr:uid="{00000000-0005-0000-0000-0000E9730000}"/>
    <cellStyle name="Normal 13 15 6" xfId="21546" xr:uid="{00000000-0005-0000-0000-0000EA730000}"/>
    <cellStyle name="Normal 13 16" xfId="7386" xr:uid="{00000000-0005-0000-0000-0000EB730000}"/>
    <cellStyle name="Normal 13 16 2" xfId="9379" xr:uid="{00000000-0005-0000-0000-0000EC730000}"/>
    <cellStyle name="Normal 13 16 2 2" xfId="13000" xr:uid="{00000000-0005-0000-0000-0000ED730000}"/>
    <cellStyle name="Normal 13 16 3" xfId="21547" xr:uid="{00000000-0005-0000-0000-0000EE730000}"/>
    <cellStyle name="Normal 13 16 4" xfId="21548" xr:uid="{00000000-0005-0000-0000-0000EF730000}"/>
    <cellStyle name="Normal 13 16 5" xfId="21549" xr:uid="{00000000-0005-0000-0000-0000F0730000}"/>
    <cellStyle name="Normal 13 16 6" xfId="21550" xr:uid="{00000000-0005-0000-0000-0000F1730000}"/>
    <cellStyle name="Normal 13 17" xfId="7387" xr:uid="{00000000-0005-0000-0000-0000F2730000}"/>
    <cellStyle name="Normal 13 17 2" xfId="9380" xr:uid="{00000000-0005-0000-0000-0000F3730000}"/>
    <cellStyle name="Normal 13 17 2 2" xfId="13001" xr:uid="{00000000-0005-0000-0000-0000F4730000}"/>
    <cellStyle name="Normal 13 17 3" xfId="21551" xr:uid="{00000000-0005-0000-0000-0000F5730000}"/>
    <cellStyle name="Normal 13 17 4" xfId="21552" xr:uid="{00000000-0005-0000-0000-0000F6730000}"/>
    <cellStyle name="Normal 13 17 5" xfId="21553" xr:uid="{00000000-0005-0000-0000-0000F7730000}"/>
    <cellStyle name="Normal 13 17 6" xfId="21554" xr:uid="{00000000-0005-0000-0000-0000F8730000}"/>
    <cellStyle name="Normal 13 18" xfId="9372" xr:uid="{00000000-0005-0000-0000-0000F9730000}"/>
    <cellStyle name="Normal 13 18 2" xfId="12993" xr:uid="{00000000-0005-0000-0000-0000FA730000}"/>
    <cellStyle name="Normal 13 19" xfId="21555" xr:uid="{00000000-0005-0000-0000-0000FB730000}"/>
    <cellStyle name="Normal 13 2" xfId="1530" xr:uid="{00000000-0005-0000-0000-0000FC730000}"/>
    <cellStyle name="Normal 13 2 2" xfId="9381" xr:uid="{00000000-0005-0000-0000-0000FD730000}"/>
    <cellStyle name="Normal 13 2 2 2" xfId="13002" xr:uid="{00000000-0005-0000-0000-0000FE730000}"/>
    <cellStyle name="Normal 13 2 3" xfId="21556" xr:uid="{00000000-0005-0000-0000-0000FF730000}"/>
    <cellStyle name="Normal 13 2 4" xfId="21557" xr:uid="{00000000-0005-0000-0000-000000740000}"/>
    <cellStyle name="Normal 13 2 5" xfId="21558" xr:uid="{00000000-0005-0000-0000-000001740000}"/>
    <cellStyle name="Normal 13 2 6" xfId="21559" xr:uid="{00000000-0005-0000-0000-000002740000}"/>
    <cellStyle name="Normal 13 2 7" xfId="21560" xr:uid="{00000000-0005-0000-0000-000003740000}"/>
    <cellStyle name="Normal 13 20" xfId="21561" xr:uid="{00000000-0005-0000-0000-000004740000}"/>
    <cellStyle name="Normal 13 21" xfId="21562" xr:uid="{00000000-0005-0000-0000-000005740000}"/>
    <cellStyle name="Normal 13 22" xfId="21563" xr:uid="{00000000-0005-0000-0000-000006740000}"/>
    <cellStyle name="Normal 13 23" xfId="21564" xr:uid="{00000000-0005-0000-0000-000007740000}"/>
    <cellStyle name="Normal 13 24" xfId="21565" xr:uid="{00000000-0005-0000-0000-000008740000}"/>
    <cellStyle name="Normal 13 3" xfId="1531" xr:uid="{00000000-0005-0000-0000-000009740000}"/>
    <cellStyle name="Normal 13 3 2" xfId="9382" xr:uid="{00000000-0005-0000-0000-00000A740000}"/>
    <cellStyle name="Normal 13 3 2 2" xfId="13003" xr:uid="{00000000-0005-0000-0000-00000B740000}"/>
    <cellStyle name="Normal 13 3 3" xfId="21566" xr:uid="{00000000-0005-0000-0000-00000C740000}"/>
    <cellStyle name="Normal 13 3 4" xfId="21567" xr:uid="{00000000-0005-0000-0000-00000D740000}"/>
    <cellStyle name="Normal 13 3 5" xfId="21568" xr:uid="{00000000-0005-0000-0000-00000E740000}"/>
    <cellStyle name="Normal 13 3 6" xfId="21569" xr:uid="{00000000-0005-0000-0000-00000F740000}"/>
    <cellStyle name="Normal 13 3 7" xfId="21570" xr:uid="{00000000-0005-0000-0000-000010740000}"/>
    <cellStyle name="Normal 13 4" xfId="1532" xr:uid="{00000000-0005-0000-0000-000011740000}"/>
    <cellStyle name="Normal 13 4 2" xfId="9383" xr:uid="{00000000-0005-0000-0000-000012740000}"/>
    <cellStyle name="Normal 13 4 2 2" xfId="13004" xr:uid="{00000000-0005-0000-0000-000013740000}"/>
    <cellStyle name="Normal 13 4 3" xfId="21571" xr:uid="{00000000-0005-0000-0000-000014740000}"/>
    <cellStyle name="Normal 13 4 4" xfId="21572" xr:uid="{00000000-0005-0000-0000-000015740000}"/>
    <cellStyle name="Normal 13 4 5" xfId="21573" xr:uid="{00000000-0005-0000-0000-000016740000}"/>
    <cellStyle name="Normal 13 4 6" xfId="21574" xr:uid="{00000000-0005-0000-0000-000017740000}"/>
    <cellStyle name="Normal 13 4 7" xfId="21575" xr:uid="{00000000-0005-0000-0000-000018740000}"/>
    <cellStyle name="Normal 13 5" xfId="1533" xr:uid="{00000000-0005-0000-0000-000019740000}"/>
    <cellStyle name="Normal 13 5 2" xfId="9384" xr:uid="{00000000-0005-0000-0000-00001A740000}"/>
    <cellStyle name="Normal 13 5 2 2" xfId="13005" xr:uid="{00000000-0005-0000-0000-00001B740000}"/>
    <cellStyle name="Normal 13 5 3" xfId="21576" xr:uid="{00000000-0005-0000-0000-00001C740000}"/>
    <cellStyle name="Normal 13 5 4" xfId="21577" xr:uid="{00000000-0005-0000-0000-00001D740000}"/>
    <cellStyle name="Normal 13 5 5" xfId="21578" xr:uid="{00000000-0005-0000-0000-00001E740000}"/>
    <cellStyle name="Normal 13 5 6" xfId="21579" xr:uid="{00000000-0005-0000-0000-00001F740000}"/>
    <cellStyle name="Normal 13 5 7" xfId="21580" xr:uid="{00000000-0005-0000-0000-000020740000}"/>
    <cellStyle name="Normal 13 6" xfId="1534" xr:uid="{00000000-0005-0000-0000-000021740000}"/>
    <cellStyle name="Normal 13 6 2" xfId="9385" xr:uid="{00000000-0005-0000-0000-000022740000}"/>
    <cellStyle name="Normal 13 6 2 2" xfId="13006" xr:uid="{00000000-0005-0000-0000-000023740000}"/>
    <cellStyle name="Normal 13 6 3" xfId="21581" xr:uid="{00000000-0005-0000-0000-000024740000}"/>
    <cellStyle name="Normal 13 6 4" xfId="21582" xr:uid="{00000000-0005-0000-0000-000025740000}"/>
    <cellStyle name="Normal 13 6 5" xfId="21583" xr:uid="{00000000-0005-0000-0000-000026740000}"/>
    <cellStyle name="Normal 13 6 6" xfId="21584" xr:uid="{00000000-0005-0000-0000-000027740000}"/>
    <cellStyle name="Normal 13 6 7" xfId="21585" xr:uid="{00000000-0005-0000-0000-000028740000}"/>
    <cellStyle name="Normal 13 7" xfId="1535" xr:uid="{00000000-0005-0000-0000-000029740000}"/>
    <cellStyle name="Normal 13 7 2" xfId="9386" xr:uid="{00000000-0005-0000-0000-00002A740000}"/>
    <cellStyle name="Normal 13 7 2 2" xfId="13007" xr:uid="{00000000-0005-0000-0000-00002B740000}"/>
    <cellStyle name="Normal 13 7 3" xfId="21586" xr:uid="{00000000-0005-0000-0000-00002C740000}"/>
    <cellStyle name="Normal 13 7 4" xfId="21587" xr:uid="{00000000-0005-0000-0000-00002D740000}"/>
    <cellStyle name="Normal 13 7 5" xfId="21588" xr:uid="{00000000-0005-0000-0000-00002E740000}"/>
    <cellStyle name="Normal 13 7 6" xfId="21589" xr:uid="{00000000-0005-0000-0000-00002F740000}"/>
    <cellStyle name="Normal 13 7 7" xfId="21590" xr:uid="{00000000-0005-0000-0000-000030740000}"/>
    <cellStyle name="Normal 13 8" xfId="3554" xr:uid="{00000000-0005-0000-0000-000031740000}"/>
    <cellStyle name="Normal 13 8 2" xfId="9387" xr:uid="{00000000-0005-0000-0000-000032740000}"/>
    <cellStyle name="Normal 13 8 2 2" xfId="13008" xr:uid="{00000000-0005-0000-0000-000033740000}"/>
    <cellStyle name="Normal 13 8 3" xfId="21591" xr:uid="{00000000-0005-0000-0000-000034740000}"/>
    <cellStyle name="Normal 13 8 4" xfId="21592" xr:uid="{00000000-0005-0000-0000-000035740000}"/>
    <cellStyle name="Normal 13 8 5" xfId="21593" xr:uid="{00000000-0005-0000-0000-000036740000}"/>
    <cellStyle name="Normal 13 8 6" xfId="21594" xr:uid="{00000000-0005-0000-0000-000037740000}"/>
    <cellStyle name="Normal 13 9" xfId="7388" xr:uid="{00000000-0005-0000-0000-000038740000}"/>
    <cellStyle name="Normal 13 9 2" xfId="9388" xr:uid="{00000000-0005-0000-0000-000039740000}"/>
    <cellStyle name="Normal 13 9 2 2" xfId="13009" xr:uid="{00000000-0005-0000-0000-00003A740000}"/>
    <cellStyle name="Normal 13 9 3" xfId="21595" xr:uid="{00000000-0005-0000-0000-00003B740000}"/>
    <cellStyle name="Normal 13 9 4" xfId="21596" xr:uid="{00000000-0005-0000-0000-00003C740000}"/>
    <cellStyle name="Normal 13 9 5" xfId="21597" xr:uid="{00000000-0005-0000-0000-00003D740000}"/>
    <cellStyle name="Normal 13 9 6" xfId="21598" xr:uid="{00000000-0005-0000-0000-00003E740000}"/>
    <cellStyle name="Normal 14" xfId="1536" xr:uid="{00000000-0005-0000-0000-00003F740000}"/>
    <cellStyle name="Normal 14 10" xfId="3556" xr:uid="{00000000-0005-0000-0000-000040740000}"/>
    <cellStyle name="Normal 14 10 2" xfId="5388" xr:uid="{00000000-0005-0000-0000-000041740000}"/>
    <cellStyle name="Normal 14 10 2 2" xfId="6139" xr:uid="{00000000-0005-0000-0000-000042740000}"/>
    <cellStyle name="Normal 14 10 2 2 2" xfId="13012" xr:uid="{00000000-0005-0000-0000-000043740000}"/>
    <cellStyle name="Normal 14 10 2 2 3" xfId="9391" xr:uid="{00000000-0005-0000-0000-000044740000}"/>
    <cellStyle name="Normal 14 10 2 3" xfId="6459" xr:uid="{00000000-0005-0000-0000-000045740000}"/>
    <cellStyle name="Normal 14 10 2 3 2" xfId="40837" xr:uid="{00000000-0005-0000-0000-000046740000}"/>
    <cellStyle name="Normal 14 10 2 3 3" xfId="12619" xr:uid="{00000000-0005-0000-0000-000047740000}"/>
    <cellStyle name="Normal 14 10 2 4" xfId="39726" xr:uid="{00000000-0005-0000-0000-000048740000}"/>
    <cellStyle name="Normal 14 10 2 4 2" xfId="41309" xr:uid="{00000000-0005-0000-0000-000049740000}"/>
    <cellStyle name="Normal 14 10 2 5" xfId="39985" xr:uid="{00000000-0005-0000-0000-00004A740000}"/>
    <cellStyle name="Normal 14 10 2 6" xfId="8613" xr:uid="{00000000-0005-0000-0000-00004B740000}"/>
    <cellStyle name="Normal 14 10 3" xfId="4511" xr:uid="{00000000-0005-0000-0000-00004C740000}"/>
    <cellStyle name="Normal 14 10 3 2" xfId="5962" xr:uid="{00000000-0005-0000-0000-00004D740000}"/>
    <cellStyle name="Normal 14 10 3 2 2" xfId="41137" xr:uid="{00000000-0005-0000-0000-00004E740000}"/>
    <cellStyle name="Normal 14 10 3 2 3" xfId="13011" xr:uid="{00000000-0005-0000-0000-00004F740000}"/>
    <cellStyle name="Normal 14 10 3 3" xfId="40282" xr:uid="{00000000-0005-0000-0000-000050740000}"/>
    <cellStyle name="Normal 14 10 3 4" xfId="9390" xr:uid="{00000000-0005-0000-0000-000051740000}"/>
    <cellStyle name="Normal 14 10 4" xfId="5824" xr:uid="{00000000-0005-0000-0000-000052740000}"/>
    <cellStyle name="Normal 14 10 4 2" xfId="40147" xr:uid="{00000000-0005-0000-0000-000053740000}"/>
    <cellStyle name="Normal 14 10 4 3" xfId="12333" xr:uid="{00000000-0005-0000-0000-000054740000}"/>
    <cellStyle name="Normal 14 10 5" xfId="6283" xr:uid="{00000000-0005-0000-0000-000055740000}"/>
    <cellStyle name="Normal 14 10 5 2" xfId="40692" xr:uid="{00000000-0005-0000-0000-000056740000}"/>
    <cellStyle name="Normal 14 10 5 3" xfId="39124" xr:uid="{00000000-0005-0000-0000-000057740000}"/>
    <cellStyle name="Normal 14 10 6" xfId="39428" xr:uid="{00000000-0005-0000-0000-000058740000}"/>
    <cellStyle name="Normal 14 10 6 2" xfId="40999" xr:uid="{00000000-0005-0000-0000-000059740000}"/>
    <cellStyle name="Normal 14 10 7" xfId="39850" xr:uid="{00000000-0005-0000-0000-00005A740000}"/>
    <cellStyle name="Normal 14 10 8" xfId="7389" xr:uid="{00000000-0005-0000-0000-00005B740000}"/>
    <cellStyle name="Normal 14 11" xfId="3555" xr:uid="{00000000-0005-0000-0000-00005C740000}"/>
    <cellStyle name="Normal 14 11 2" xfId="5387" xr:uid="{00000000-0005-0000-0000-00005D740000}"/>
    <cellStyle name="Normal 14 11 2 2" xfId="6138" xr:uid="{00000000-0005-0000-0000-00005E740000}"/>
    <cellStyle name="Normal 14 11 2 2 2" xfId="41308" xr:uid="{00000000-0005-0000-0000-00005F740000}"/>
    <cellStyle name="Normal 14 11 2 2 3" xfId="39725" xr:uid="{00000000-0005-0000-0000-000060740000}"/>
    <cellStyle name="Normal 14 11 2 3" xfId="40452" xr:uid="{00000000-0005-0000-0000-000061740000}"/>
    <cellStyle name="Normal 14 11 2 4" xfId="13010" xr:uid="{00000000-0005-0000-0000-000062740000}"/>
    <cellStyle name="Normal 14 11 3" xfId="5823" xr:uid="{00000000-0005-0000-0000-000063740000}"/>
    <cellStyle name="Normal 14 11 3 2" xfId="40146" xr:uid="{00000000-0005-0000-0000-000064740000}"/>
    <cellStyle name="Normal 14 11 3 3" xfId="38402" xr:uid="{00000000-0005-0000-0000-000065740000}"/>
    <cellStyle name="Normal 14 11 4" xfId="6458" xr:uid="{00000000-0005-0000-0000-000066740000}"/>
    <cellStyle name="Normal 14 11 4 2" xfId="40691" xr:uid="{00000000-0005-0000-0000-000067740000}"/>
    <cellStyle name="Normal 14 11 4 3" xfId="39123" xr:uid="{00000000-0005-0000-0000-000068740000}"/>
    <cellStyle name="Normal 14 11 5" xfId="39427" xr:uid="{00000000-0005-0000-0000-000069740000}"/>
    <cellStyle name="Normal 14 11 5 2" xfId="40998" xr:uid="{00000000-0005-0000-0000-00006A740000}"/>
    <cellStyle name="Normal 14 11 6" xfId="39932" xr:uid="{00000000-0005-0000-0000-00006B740000}"/>
    <cellStyle name="Normal 14 11 7" xfId="9389" xr:uid="{00000000-0005-0000-0000-00006C740000}"/>
    <cellStyle name="Normal 14 12" xfId="4766" xr:uid="{00000000-0005-0000-0000-00006D740000}"/>
    <cellStyle name="Normal 14 12 2" xfId="6010" xr:uid="{00000000-0005-0000-0000-00006E740000}"/>
    <cellStyle name="Normal 14 12 2 2" xfId="40568" xr:uid="{00000000-0005-0000-0000-00006F740000}"/>
    <cellStyle name="Normal 14 12 2 3" xfId="15190" xr:uid="{00000000-0005-0000-0000-000070740000}"/>
    <cellStyle name="Normal 14 12 3" xfId="6331" xr:uid="{00000000-0005-0000-0000-000071740000}"/>
    <cellStyle name="Normal 14 12 3 2" xfId="41183" xr:uid="{00000000-0005-0000-0000-000072740000}"/>
    <cellStyle name="Normal 14 12 3 3" xfId="39602" xr:uid="{00000000-0005-0000-0000-000073740000}"/>
    <cellStyle name="Normal 14 12 4" xfId="40328" xr:uid="{00000000-0005-0000-0000-000074740000}"/>
    <cellStyle name="Normal 14 12 5" xfId="11566" xr:uid="{00000000-0005-0000-0000-000075740000}"/>
    <cellStyle name="Normal 14 13" xfId="4510" xr:uid="{00000000-0005-0000-0000-000076740000}"/>
    <cellStyle name="Normal 14 13 2" xfId="5961" xr:uid="{00000000-0005-0000-0000-000077740000}"/>
    <cellStyle name="Normal 14 13 2 2" xfId="40780" xr:uid="{00000000-0005-0000-0000-000078740000}"/>
    <cellStyle name="Normal 14 13 2 3" xfId="15221" xr:uid="{00000000-0005-0000-0000-000079740000}"/>
    <cellStyle name="Normal 14 13 3" xfId="39560" xr:uid="{00000000-0005-0000-0000-00007A740000}"/>
    <cellStyle name="Normal 14 13 3 2" xfId="41136" xr:uid="{00000000-0005-0000-0000-00007B740000}"/>
    <cellStyle name="Normal 14 13 4" xfId="40281" xr:uid="{00000000-0005-0000-0000-00007C740000}"/>
    <cellStyle name="Normal 14 13 5" xfId="11607" xr:uid="{00000000-0005-0000-0000-00007D740000}"/>
    <cellStyle name="Normal 14 14" xfId="5694" xr:uid="{00000000-0005-0000-0000-00007E740000}"/>
    <cellStyle name="Normal 14 14 2" xfId="40023" xr:uid="{00000000-0005-0000-0000-00007F740000}"/>
    <cellStyle name="Normal 14 14 3" xfId="21599" xr:uid="{00000000-0005-0000-0000-000080740000}"/>
    <cellStyle name="Normal 14 15" xfId="6282" xr:uid="{00000000-0005-0000-0000-000081740000}"/>
    <cellStyle name="Normal 14 15 2" xfId="40536" xr:uid="{00000000-0005-0000-0000-000082740000}"/>
    <cellStyle name="Normal 14 15 3" xfId="21600" xr:uid="{00000000-0005-0000-0000-000083740000}"/>
    <cellStyle name="Normal 14 16" xfId="21601" xr:uid="{00000000-0005-0000-0000-000084740000}"/>
    <cellStyle name="Normal 14 16 2" xfId="40874" xr:uid="{00000000-0005-0000-0000-000085740000}"/>
    <cellStyle name="Normal 14 17" xfId="39772" xr:uid="{00000000-0005-0000-0000-000086740000}"/>
    <cellStyle name="Normal 14 2" xfId="3557" xr:uid="{00000000-0005-0000-0000-000087740000}"/>
    <cellStyle name="Normal 14 2 10" xfId="21602" xr:uid="{00000000-0005-0000-0000-000088740000}"/>
    <cellStyle name="Normal 14 2 11" xfId="21603" xr:uid="{00000000-0005-0000-0000-000089740000}"/>
    <cellStyle name="Normal 14 2 2" xfId="6702" xr:uid="{00000000-0005-0000-0000-00008A740000}"/>
    <cellStyle name="Normal 14 2 2 2" xfId="9393" xr:uid="{00000000-0005-0000-0000-00008B740000}"/>
    <cellStyle name="Normal 14 2 2 2 2" xfId="13014" xr:uid="{00000000-0005-0000-0000-00008C740000}"/>
    <cellStyle name="Normal 14 2 2 3" xfId="21604" xr:uid="{00000000-0005-0000-0000-00008D740000}"/>
    <cellStyle name="Normal 14 2 2 4" xfId="21605" xr:uid="{00000000-0005-0000-0000-00008E740000}"/>
    <cellStyle name="Normal 14 2 2 5" xfId="21606" xr:uid="{00000000-0005-0000-0000-00008F740000}"/>
    <cellStyle name="Normal 14 2 2 6" xfId="21607" xr:uid="{00000000-0005-0000-0000-000090740000}"/>
    <cellStyle name="Normal 14 2 3" xfId="7390" xr:uid="{00000000-0005-0000-0000-000091740000}"/>
    <cellStyle name="Normal 14 2 3 2" xfId="8614" xr:uid="{00000000-0005-0000-0000-000092740000}"/>
    <cellStyle name="Normal 14 2 3 2 2" xfId="9395" xr:uid="{00000000-0005-0000-0000-000093740000}"/>
    <cellStyle name="Normal 14 2 3 2 2 2" xfId="13016" xr:uid="{00000000-0005-0000-0000-000094740000}"/>
    <cellStyle name="Normal 14 2 3 2 3" xfId="12620" xr:uid="{00000000-0005-0000-0000-000095740000}"/>
    <cellStyle name="Normal 14 2 3 3" xfId="9394" xr:uid="{00000000-0005-0000-0000-000096740000}"/>
    <cellStyle name="Normal 14 2 3 3 2" xfId="13015" xr:uid="{00000000-0005-0000-0000-000097740000}"/>
    <cellStyle name="Normal 14 2 3 4" xfId="12334" xr:uid="{00000000-0005-0000-0000-000098740000}"/>
    <cellStyle name="Normal 14 2 4" xfId="8468" xr:uid="{00000000-0005-0000-0000-000099740000}"/>
    <cellStyle name="Normal 14 2 4 2" xfId="9396" xr:uid="{00000000-0005-0000-0000-00009A740000}"/>
    <cellStyle name="Normal 14 2 4 2 2" xfId="13017" xr:uid="{00000000-0005-0000-0000-00009B740000}"/>
    <cellStyle name="Normal 14 2 4 3" xfId="21608" xr:uid="{00000000-0005-0000-0000-00009C740000}"/>
    <cellStyle name="Normal 14 2 4 4" xfId="21609" xr:uid="{00000000-0005-0000-0000-00009D740000}"/>
    <cellStyle name="Normal 14 2 4 5" xfId="21610" xr:uid="{00000000-0005-0000-0000-00009E740000}"/>
    <cellStyle name="Normal 14 2 4 6" xfId="21611" xr:uid="{00000000-0005-0000-0000-00009F740000}"/>
    <cellStyle name="Normal 14 2 5" xfId="8246" xr:uid="{00000000-0005-0000-0000-0000A0740000}"/>
    <cellStyle name="Normal 14 2 5 2" xfId="9397" xr:uid="{00000000-0005-0000-0000-0000A1740000}"/>
    <cellStyle name="Normal 14 2 5 2 2" xfId="13018" xr:uid="{00000000-0005-0000-0000-0000A2740000}"/>
    <cellStyle name="Normal 14 2 5 3" xfId="12446" xr:uid="{00000000-0005-0000-0000-0000A3740000}"/>
    <cellStyle name="Normal 14 2 6" xfId="9398" xr:uid="{00000000-0005-0000-0000-0000A4740000}"/>
    <cellStyle name="Normal 14 2 6 2" xfId="13019" xr:uid="{00000000-0005-0000-0000-0000A5740000}"/>
    <cellStyle name="Normal 14 2 7" xfId="9392" xr:uid="{00000000-0005-0000-0000-0000A6740000}"/>
    <cellStyle name="Normal 14 2 7 2" xfId="13013" xr:uid="{00000000-0005-0000-0000-0000A7740000}"/>
    <cellStyle name="Normal 14 2 8" xfId="21612" xr:uid="{00000000-0005-0000-0000-0000A8740000}"/>
    <cellStyle name="Normal 14 2 9" xfId="21613" xr:uid="{00000000-0005-0000-0000-0000A9740000}"/>
    <cellStyle name="Normal 14 3" xfId="3558" xr:uid="{00000000-0005-0000-0000-0000AA740000}"/>
    <cellStyle name="Normal 14 3 10" xfId="21614" xr:uid="{00000000-0005-0000-0000-0000AB740000}"/>
    <cellStyle name="Normal 14 3 2" xfId="6703" xr:uid="{00000000-0005-0000-0000-0000AC740000}"/>
    <cellStyle name="Normal 14 3 2 2" xfId="9400" xr:uid="{00000000-0005-0000-0000-0000AD740000}"/>
    <cellStyle name="Normal 14 3 2 2 2" xfId="13021" xr:uid="{00000000-0005-0000-0000-0000AE740000}"/>
    <cellStyle name="Normal 14 3 2 3" xfId="21615" xr:uid="{00000000-0005-0000-0000-0000AF740000}"/>
    <cellStyle name="Normal 14 3 2 4" xfId="21616" xr:uid="{00000000-0005-0000-0000-0000B0740000}"/>
    <cellStyle name="Normal 14 3 2 5" xfId="21617" xr:uid="{00000000-0005-0000-0000-0000B1740000}"/>
    <cellStyle name="Normal 14 3 2 6" xfId="21618" xr:uid="{00000000-0005-0000-0000-0000B2740000}"/>
    <cellStyle name="Normal 14 3 3" xfId="7391" xr:uid="{00000000-0005-0000-0000-0000B3740000}"/>
    <cellStyle name="Normal 14 3 3 2" xfId="8615" xr:uid="{00000000-0005-0000-0000-0000B4740000}"/>
    <cellStyle name="Normal 14 3 3 2 2" xfId="9402" xr:uid="{00000000-0005-0000-0000-0000B5740000}"/>
    <cellStyle name="Normal 14 3 3 2 2 2" xfId="13023" xr:uid="{00000000-0005-0000-0000-0000B6740000}"/>
    <cellStyle name="Normal 14 3 3 2 3" xfId="12621" xr:uid="{00000000-0005-0000-0000-0000B7740000}"/>
    <cellStyle name="Normal 14 3 3 3" xfId="9401" xr:uid="{00000000-0005-0000-0000-0000B8740000}"/>
    <cellStyle name="Normal 14 3 3 3 2" xfId="13022" xr:uid="{00000000-0005-0000-0000-0000B9740000}"/>
    <cellStyle name="Normal 14 3 3 4" xfId="12335" xr:uid="{00000000-0005-0000-0000-0000BA740000}"/>
    <cellStyle name="Normal 14 3 4" xfId="8469" xr:uid="{00000000-0005-0000-0000-0000BB740000}"/>
    <cellStyle name="Normal 14 3 4 2" xfId="9403" xr:uid="{00000000-0005-0000-0000-0000BC740000}"/>
    <cellStyle name="Normal 14 3 4 2 2" xfId="13024" xr:uid="{00000000-0005-0000-0000-0000BD740000}"/>
    <cellStyle name="Normal 14 3 4 3" xfId="21619" xr:uid="{00000000-0005-0000-0000-0000BE740000}"/>
    <cellStyle name="Normal 14 3 4 4" xfId="21620" xr:uid="{00000000-0005-0000-0000-0000BF740000}"/>
    <cellStyle name="Normal 14 3 4 5" xfId="21621" xr:uid="{00000000-0005-0000-0000-0000C0740000}"/>
    <cellStyle name="Normal 14 3 4 6" xfId="21622" xr:uid="{00000000-0005-0000-0000-0000C1740000}"/>
    <cellStyle name="Normal 14 3 5" xfId="8247" xr:uid="{00000000-0005-0000-0000-0000C2740000}"/>
    <cellStyle name="Normal 14 3 5 2" xfId="9404" xr:uid="{00000000-0005-0000-0000-0000C3740000}"/>
    <cellStyle name="Normal 14 3 5 2 2" xfId="13025" xr:uid="{00000000-0005-0000-0000-0000C4740000}"/>
    <cellStyle name="Normal 14 3 5 3" xfId="12447" xr:uid="{00000000-0005-0000-0000-0000C5740000}"/>
    <cellStyle name="Normal 14 3 6" xfId="9399" xr:uid="{00000000-0005-0000-0000-0000C6740000}"/>
    <cellStyle name="Normal 14 3 6 2" xfId="13020" xr:uid="{00000000-0005-0000-0000-0000C7740000}"/>
    <cellStyle name="Normal 14 3 7" xfId="21623" xr:uid="{00000000-0005-0000-0000-0000C8740000}"/>
    <cellStyle name="Normal 14 3 8" xfId="21624" xr:uid="{00000000-0005-0000-0000-0000C9740000}"/>
    <cellStyle name="Normal 14 3 9" xfId="21625" xr:uid="{00000000-0005-0000-0000-0000CA740000}"/>
    <cellStyle name="Normal 14 4" xfId="3559" xr:uid="{00000000-0005-0000-0000-0000CB740000}"/>
    <cellStyle name="Normal 14 4 10" xfId="21626" xr:uid="{00000000-0005-0000-0000-0000CC740000}"/>
    <cellStyle name="Normal 14 4 2" xfId="6704" xr:uid="{00000000-0005-0000-0000-0000CD740000}"/>
    <cellStyle name="Normal 14 4 2 2" xfId="9406" xr:uid="{00000000-0005-0000-0000-0000CE740000}"/>
    <cellStyle name="Normal 14 4 2 2 2" xfId="13027" xr:uid="{00000000-0005-0000-0000-0000CF740000}"/>
    <cellStyle name="Normal 14 4 2 3" xfId="21627" xr:uid="{00000000-0005-0000-0000-0000D0740000}"/>
    <cellStyle name="Normal 14 4 2 4" xfId="21628" xr:uid="{00000000-0005-0000-0000-0000D1740000}"/>
    <cellStyle name="Normal 14 4 2 5" xfId="21629" xr:uid="{00000000-0005-0000-0000-0000D2740000}"/>
    <cellStyle name="Normal 14 4 2 6" xfId="21630" xr:uid="{00000000-0005-0000-0000-0000D3740000}"/>
    <cellStyle name="Normal 14 4 3" xfId="7392" xr:uid="{00000000-0005-0000-0000-0000D4740000}"/>
    <cellStyle name="Normal 14 4 3 2" xfId="8616" xr:uid="{00000000-0005-0000-0000-0000D5740000}"/>
    <cellStyle name="Normal 14 4 3 2 2" xfId="9408" xr:uid="{00000000-0005-0000-0000-0000D6740000}"/>
    <cellStyle name="Normal 14 4 3 2 2 2" xfId="13029" xr:uid="{00000000-0005-0000-0000-0000D7740000}"/>
    <cellStyle name="Normal 14 4 3 2 3" xfId="12622" xr:uid="{00000000-0005-0000-0000-0000D8740000}"/>
    <cellStyle name="Normal 14 4 3 3" xfId="9407" xr:uid="{00000000-0005-0000-0000-0000D9740000}"/>
    <cellStyle name="Normal 14 4 3 3 2" xfId="13028" xr:uid="{00000000-0005-0000-0000-0000DA740000}"/>
    <cellStyle name="Normal 14 4 3 4" xfId="12336" xr:uid="{00000000-0005-0000-0000-0000DB740000}"/>
    <cellStyle name="Normal 14 4 4" xfId="8470" xr:uid="{00000000-0005-0000-0000-0000DC740000}"/>
    <cellStyle name="Normal 14 4 4 2" xfId="9409" xr:uid="{00000000-0005-0000-0000-0000DD740000}"/>
    <cellStyle name="Normal 14 4 4 2 2" xfId="13030" xr:uid="{00000000-0005-0000-0000-0000DE740000}"/>
    <cellStyle name="Normal 14 4 4 3" xfId="21631" xr:uid="{00000000-0005-0000-0000-0000DF740000}"/>
    <cellStyle name="Normal 14 4 4 4" xfId="21632" xr:uid="{00000000-0005-0000-0000-0000E0740000}"/>
    <cellStyle name="Normal 14 4 4 5" xfId="21633" xr:uid="{00000000-0005-0000-0000-0000E1740000}"/>
    <cellStyle name="Normal 14 4 4 6" xfId="21634" xr:uid="{00000000-0005-0000-0000-0000E2740000}"/>
    <cellStyle name="Normal 14 4 5" xfId="8248" xr:uid="{00000000-0005-0000-0000-0000E3740000}"/>
    <cellStyle name="Normal 14 4 5 2" xfId="9410" xr:uid="{00000000-0005-0000-0000-0000E4740000}"/>
    <cellStyle name="Normal 14 4 5 2 2" xfId="13031" xr:uid="{00000000-0005-0000-0000-0000E5740000}"/>
    <cellStyle name="Normal 14 4 5 3" xfId="12448" xr:uid="{00000000-0005-0000-0000-0000E6740000}"/>
    <cellStyle name="Normal 14 4 6" xfId="9405" xr:uid="{00000000-0005-0000-0000-0000E7740000}"/>
    <cellStyle name="Normal 14 4 6 2" xfId="13026" xr:uid="{00000000-0005-0000-0000-0000E8740000}"/>
    <cellStyle name="Normal 14 4 7" xfId="21635" xr:uid="{00000000-0005-0000-0000-0000E9740000}"/>
    <cellStyle name="Normal 14 4 8" xfId="21636" xr:uid="{00000000-0005-0000-0000-0000EA740000}"/>
    <cellStyle name="Normal 14 4 9" xfId="21637" xr:uid="{00000000-0005-0000-0000-0000EB740000}"/>
    <cellStyle name="Normal 14 5" xfId="3560" xr:uid="{00000000-0005-0000-0000-0000EC740000}"/>
    <cellStyle name="Normal 14 5 10" xfId="21638" xr:uid="{00000000-0005-0000-0000-0000ED740000}"/>
    <cellStyle name="Normal 14 5 2" xfId="6705" xr:uid="{00000000-0005-0000-0000-0000EE740000}"/>
    <cellStyle name="Normal 14 5 2 2" xfId="9412" xr:uid="{00000000-0005-0000-0000-0000EF740000}"/>
    <cellStyle name="Normal 14 5 2 2 2" xfId="13033" xr:uid="{00000000-0005-0000-0000-0000F0740000}"/>
    <cellStyle name="Normal 14 5 2 3" xfId="21639" xr:uid="{00000000-0005-0000-0000-0000F1740000}"/>
    <cellStyle name="Normal 14 5 2 4" xfId="21640" xr:uid="{00000000-0005-0000-0000-0000F2740000}"/>
    <cellStyle name="Normal 14 5 2 5" xfId="21641" xr:uid="{00000000-0005-0000-0000-0000F3740000}"/>
    <cellStyle name="Normal 14 5 2 6" xfId="21642" xr:uid="{00000000-0005-0000-0000-0000F4740000}"/>
    <cellStyle name="Normal 14 5 3" xfId="7393" xr:uid="{00000000-0005-0000-0000-0000F5740000}"/>
    <cellStyle name="Normal 14 5 3 2" xfId="8617" xr:uid="{00000000-0005-0000-0000-0000F6740000}"/>
    <cellStyle name="Normal 14 5 3 2 2" xfId="9414" xr:uid="{00000000-0005-0000-0000-0000F7740000}"/>
    <cellStyle name="Normal 14 5 3 2 2 2" xfId="13035" xr:uid="{00000000-0005-0000-0000-0000F8740000}"/>
    <cellStyle name="Normal 14 5 3 2 3" xfId="12623" xr:uid="{00000000-0005-0000-0000-0000F9740000}"/>
    <cellStyle name="Normal 14 5 3 3" xfId="9413" xr:uid="{00000000-0005-0000-0000-0000FA740000}"/>
    <cellStyle name="Normal 14 5 3 3 2" xfId="13034" xr:uid="{00000000-0005-0000-0000-0000FB740000}"/>
    <cellStyle name="Normal 14 5 3 4" xfId="12337" xr:uid="{00000000-0005-0000-0000-0000FC740000}"/>
    <cellStyle name="Normal 14 5 4" xfId="8471" xr:uid="{00000000-0005-0000-0000-0000FD740000}"/>
    <cellStyle name="Normal 14 5 4 2" xfId="9415" xr:uid="{00000000-0005-0000-0000-0000FE740000}"/>
    <cellStyle name="Normal 14 5 4 2 2" xfId="13036" xr:uid="{00000000-0005-0000-0000-0000FF740000}"/>
    <cellStyle name="Normal 14 5 4 3" xfId="21643" xr:uid="{00000000-0005-0000-0000-000000750000}"/>
    <cellStyle name="Normal 14 5 4 4" xfId="21644" xr:uid="{00000000-0005-0000-0000-000001750000}"/>
    <cellStyle name="Normal 14 5 4 5" xfId="21645" xr:uid="{00000000-0005-0000-0000-000002750000}"/>
    <cellStyle name="Normal 14 5 4 6" xfId="21646" xr:uid="{00000000-0005-0000-0000-000003750000}"/>
    <cellStyle name="Normal 14 5 5" xfId="8249" xr:uid="{00000000-0005-0000-0000-000004750000}"/>
    <cellStyle name="Normal 14 5 5 2" xfId="9416" xr:uid="{00000000-0005-0000-0000-000005750000}"/>
    <cellStyle name="Normal 14 5 5 2 2" xfId="13037" xr:uid="{00000000-0005-0000-0000-000006750000}"/>
    <cellStyle name="Normal 14 5 5 3" xfId="12449" xr:uid="{00000000-0005-0000-0000-000007750000}"/>
    <cellStyle name="Normal 14 5 6" xfId="9411" xr:uid="{00000000-0005-0000-0000-000008750000}"/>
    <cellStyle name="Normal 14 5 6 2" xfId="13032" xr:uid="{00000000-0005-0000-0000-000009750000}"/>
    <cellStyle name="Normal 14 5 7" xfId="21647" xr:uid="{00000000-0005-0000-0000-00000A750000}"/>
    <cellStyle name="Normal 14 5 8" xfId="21648" xr:uid="{00000000-0005-0000-0000-00000B750000}"/>
    <cellStyle name="Normal 14 5 9" xfId="21649" xr:uid="{00000000-0005-0000-0000-00000C750000}"/>
    <cellStyle name="Normal 14 6" xfId="3561" xr:uid="{00000000-0005-0000-0000-00000D750000}"/>
    <cellStyle name="Normal 14 6 10" xfId="21650" xr:uid="{00000000-0005-0000-0000-00000E750000}"/>
    <cellStyle name="Normal 14 6 2" xfId="6706" xr:uid="{00000000-0005-0000-0000-00000F750000}"/>
    <cellStyle name="Normal 14 6 2 2" xfId="9418" xr:uid="{00000000-0005-0000-0000-000010750000}"/>
    <cellStyle name="Normal 14 6 2 2 2" xfId="13039" xr:uid="{00000000-0005-0000-0000-000011750000}"/>
    <cellStyle name="Normal 14 6 2 3" xfId="21651" xr:uid="{00000000-0005-0000-0000-000012750000}"/>
    <cellStyle name="Normal 14 6 2 4" xfId="21652" xr:uid="{00000000-0005-0000-0000-000013750000}"/>
    <cellStyle name="Normal 14 6 2 5" xfId="21653" xr:uid="{00000000-0005-0000-0000-000014750000}"/>
    <cellStyle name="Normal 14 6 2 6" xfId="21654" xr:uid="{00000000-0005-0000-0000-000015750000}"/>
    <cellStyle name="Normal 14 6 3" xfId="7394" xr:uid="{00000000-0005-0000-0000-000016750000}"/>
    <cellStyle name="Normal 14 6 3 2" xfId="8618" xr:uid="{00000000-0005-0000-0000-000017750000}"/>
    <cellStyle name="Normal 14 6 3 2 2" xfId="9420" xr:uid="{00000000-0005-0000-0000-000018750000}"/>
    <cellStyle name="Normal 14 6 3 2 2 2" xfId="13041" xr:uid="{00000000-0005-0000-0000-000019750000}"/>
    <cellStyle name="Normal 14 6 3 2 3" xfId="12624" xr:uid="{00000000-0005-0000-0000-00001A750000}"/>
    <cellStyle name="Normal 14 6 3 3" xfId="9419" xr:uid="{00000000-0005-0000-0000-00001B750000}"/>
    <cellStyle name="Normal 14 6 3 3 2" xfId="13040" xr:uid="{00000000-0005-0000-0000-00001C750000}"/>
    <cellStyle name="Normal 14 6 3 4" xfId="12338" xr:uid="{00000000-0005-0000-0000-00001D750000}"/>
    <cellStyle name="Normal 14 6 4" xfId="8472" xr:uid="{00000000-0005-0000-0000-00001E750000}"/>
    <cellStyle name="Normal 14 6 4 2" xfId="9421" xr:uid="{00000000-0005-0000-0000-00001F750000}"/>
    <cellStyle name="Normal 14 6 4 2 2" xfId="13042" xr:uid="{00000000-0005-0000-0000-000020750000}"/>
    <cellStyle name="Normal 14 6 4 3" xfId="21655" xr:uid="{00000000-0005-0000-0000-000021750000}"/>
    <cellStyle name="Normal 14 6 4 4" xfId="21656" xr:uid="{00000000-0005-0000-0000-000022750000}"/>
    <cellStyle name="Normal 14 6 4 5" xfId="21657" xr:uid="{00000000-0005-0000-0000-000023750000}"/>
    <cellStyle name="Normal 14 6 4 6" xfId="21658" xr:uid="{00000000-0005-0000-0000-000024750000}"/>
    <cellStyle name="Normal 14 6 5" xfId="8250" xr:uid="{00000000-0005-0000-0000-000025750000}"/>
    <cellStyle name="Normal 14 6 5 2" xfId="9422" xr:uid="{00000000-0005-0000-0000-000026750000}"/>
    <cellStyle name="Normal 14 6 5 2 2" xfId="13043" xr:uid="{00000000-0005-0000-0000-000027750000}"/>
    <cellStyle name="Normal 14 6 5 3" xfId="12450" xr:uid="{00000000-0005-0000-0000-000028750000}"/>
    <cellStyle name="Normal 14 6 6" xfId="9417" xr:uid="{00000000-0005-0000-0000-000029750000}"/>
    <cellStyle name="Normal 14 6 6 2" xfId="13038" xr:uid="{00000000-0005-0000-0000-00002A750000}"/>
    <cellStyle name="Normal 14 6 7" xfId="21659" xr:uid="{00000000-0005-0000-0000-00002B750000}"/>
    <cellStyle name="Normal 14 6 8" xfId="21660" xr:uid="{00000000-0005-0000-0000-00002C750000}"/>
    <cellStyle name="Normal 14 6 9" xfId="21661" xr:uid="{00000000-0005-0000-0000-00002D750000}"/>
    <cellStyle name="Normal 14 7" xfId="3562" xr:uid="{00000000-0005-0000-0000-00002E750000}"/>
    <cellStyle name="Normal 14 7 2" xfId="5389" xr:uid="{00000000-0005-0000-0000-00002F750000}"/>
    <cellStyle name="Normal 14 7 2 2" xfId="9424" xr:uid="{00000000-0005-0000-0000-000030750000}"/>
    <cellStyle name="Normal 14 7 2 2 2" xfId="13045" xr:uid="{00000000-0005-0000-0000-000031750000}"/>
    <cellStyle name="Normal 14 7 2 3" xfId="21662" xr:uid="{00000000-0005-0000-0000-000032750000}"/>
    <cellStyle name="Normal 14 7 2 4" xfId="21663" xr:uid="{00000000-0005-0000-0000-000033750000}"/>
    <cellStyle name="Normal 14 7 2 5" xfId="21664" xr:uid="{00000000-0005-0000-0000-000034750000}"/>
    <cellStyle name="Normal 14 7 2 6" xfId="21665" xr:uid="{00000000-0005-0000-0000-000035750000}"/>
    <cellStyle name="Normal 14 7 3" xfId="9423" xr:uid="{00000000-0005-0000-0000-000036750000}"/>
    <cellStyle name="Normal 14 7 3 2" xfId="13044" xr:uid="{00000000-0005-0000-0000-000037750000}"/>
    <cellStyle name="Normal 14 7 3 3" xfId="38403" xr:uid="{00000000-0005-0000-0000-000038750000}"/>
    <cellStyle name="Normal 14 7 4" xfId="21666" xr:uid="{00000000-0005-0000-0000-000039750000}"/>
    <cellStyle name="Normal 14 7 5" xfId="21667" xr:uid="{00000000-0005-0000-0000-00003A750000}"/>
    <cellStyle name="Normal 14 7 6" xfId="21668" xr:uid="{00000000-0005-0000-0000-00003B750000}"/>
    <cellStyle name="Normal 14 7 7" xfId="21669" xr:uid="{00000000-0005-0000-0000-00003C750000}"/>
    <cellStyle name="Normal 14 8" xfId="3563" xr:uid="{00000000-0005-0000-0000-00003D750000}"/>
    <cellStyle name="Normal 14 8 2" xfId="5390" xr:uid="{00000000-0005-0000-0000-00003E750000}"/>
    <cellStyle name="Normal 14 8 2 2" xfId="9426" xr:uid="{00000000-0005-0000-0000-00003F750000}"/>
    <cellStyle name="Normal 14 8 2 2 2" xfId="13047" xr:uid="{00000000-0005-0000-0000-000040750000}"/>
    <cellStyle name="Normal 14 8 2 3" xfId="21670" xr:uid="{00000000-0005-0000-0000-000041750000}"/>
    <cellStyle name="Normal 14 8 2 4" xfId="21671" xr:uid="{00000000-0005-0000-0000-000042750000}"/>
    <cellStyle name="Normal 14 8 2 5" xfId="21672" xr:uid="{00000000-0005-0000-0000-000043750000}"/>
    <cellStyle name="Normal 14 8 2 6" xfId="21673" xr:uid="{00000000-0005-0000-0000-000044750000}"/>
    <cellStyle name="Normal 14 8 3" xfId="9425" xr:uid="{00000000-0005-0000-0000-000045750000}"/>
    <cellStyle name="Normal 14 8 3 2" xfId="13046" xr:uid="{00000000-0005-0000-0000-000046750000}"/>
    <cellStyle name="Normal 14 8 3 3" xfId="38404" xr:uid="{00000000-0005-0000-0000-000047750000}"/>
    <cellStyle name="Normal 14 8 4" xfId="21674" xr:uid="{00000000-0005-0000-0000-000048750000}"/>
    <cellStyle name="Normal 14 8 5" xfId="21675" xr:uid="{00000000-0005-0000-0000-000049750000}"/>
    <cellStyle name="Normal 14 8 6" xfId="21676" xr:uid="{00000000-0005-0000-0000-00004A750000}"/>
    <cellStyle name="Normal 14 8 7" xfId="21677" xr:uid="{00000000-0005-0000-0000-00004B750000}"/>
    <cellStyle name="Normal 14 9" xfId="3564" xr:uid="{00000000-0005-0000-0000-00004C750000}"/>
    <cellStyle name="Normal 14 9 2" xfId="9427" xr:uid="{00000000-0005-0000-0000-00004D750000}"/>
    <cellStyle name="Normal 14 9 2 2" xfId="13048" xr:uid="{00000000-0005-0000-0000-00004E750000}"/>
    <cellStyle name="Normal 14 9 3" xfId="21678" xr:uid="{00000000-0005-0000-0000-00004F750000}"/>
    <cellStyle name="Normal 14 9 4" xfId="21679" xr:uid="{00000000-0005-0000-0000-000050750000}"/>
    <cellStyle name="Normal 14 9 5" xfId="21680" xr:uid="{00000000-0005-0000-0000-000051750000}"/>
    <cellStyle name="Normal 14 9 6" xfId="21681" xr:uid="{00000000-0005-0000-0000-000052750000}"/>
    <cellStyle name="Normal 14_ELC" xfId="3565" xr:uid="{00000000-0005-0000-0000-000053750000}"/>
    <cellStyle name="Normal 15" xfId="1537" xr:uid="{00000000-0005-0000-0000-000054750000}"/>
    <cellStyle name="Normal 15 10" xfId="3567" xr:uid="{00000000-0005-0000-0000-000055750000}"/>
    <cellStyle name="Normal 15 10 2" xfId="5392" xr:uid="{00000000-0005-0000-0000-000056750000}"/>
    <cellStyle name="Normal 15 10 2 2" xfId="6141" xr:uid="{00000000-0005-0000-0000-000057750000}"/>
    <cellStyle name="Normal 15 10 2 2 2" xfId="13051" xr:uid="{00000000-0005-0000-0000-000058750000}"/>
    <cellStyle name="Normal 15 10 2 2 3" xfId="9430" xr:uid="{00000000-0005-0000-0000-000059750000}"/>
    <cellStyle name="Normal 15 10 2 3" xfId="6461" xr:uid="{00000000-0005-0000-0000-00005A750000}"/>
    <cellStyle name="Normal 15 10 2 3 2" xfId="40838" xr:uid="{00000000-0005-0000-0000-00005B750000}"/>
    <cellStyle name="Normal 15 10 2 3 3" xfId="12625" xr:uid="{00000000-0005-0000-0000-00005C750000}"/>
    <cellStyle name="Normal 15 10 2 4" xfId="39728" xr:uid="{00000000-0005-0000-0000-00005D750000}"/>
    <cellStyle name="Normal 15 10 2 4 2" xfId="41311" xr:uid="{00000000-0005-0000-0000-00005E750000}"/>
    <cellStyle name="Normal 15 10 2 5" xfId="39986" xr:uid="{00000000-0005-0000-0000-00005F750000}"/>
    <cellStyle name="Normal 15 10 2 6" xfId="8619" xr:uid="{00000000-0005-0000-0000-000060750000}"/>
    <cellStyle name="Normal 15 10 3" xfId="4513" xr:uid="{00000000-0005-0000-0000-000061750000}"/>
    <cellStyle name="Normal 15 10 3 2" xfId="5964" xr:uid="{00000000-0005-0000-0000-000062750000}"/>
    <cellStyle name="Normal 15 10 3 2 2" xfId="41139" xr:uid="{00000000-0005-0000-0000-000063750000}"/>
    <cellStyle name="Normal 15 10 3 2 3" xfId="13050" xr:uid="{00000000-0005-0000-0000-000064750000}"/>
    <cellStyle name="Normal 15 10 3 3" xfId="40284" xr:uid="{00000000-0005-0000-0000-000065750000}"/>
    <cellStyle name="Normal 15 10 3 4" xfId="9429" xr:uid="{00000000-0005-0000-0000-000066750000}"/>
    <cellStyle name="Normal 15 10 4" xfId="5826" xr:uid="{00000000-0005-0000-0000-000067750000}"/>
    <cellStyle name="Normal 15 10 4 2" xfId="40149" xr:uid="{00000000-0005-0000-0000-000068750000}"/>
    <cellStyle name="Normal 15 10 4 3" xfId="12339" xr:uid="{00000000-0005-0000-0000-000069750000}"/>
    <cellStyle name="Normal 15 10 5" xfId="6285" xr:uid="{00000000-0005-0000-0000-00006A750000}"/>
    <cellStyle name="Normal 15 10 5 2" xfId="40694" xr:uid="{00000000-0005-0000-0000-00006B750000}"/>
    <cellStyle name="Normal 15 10 5 3" xfId="39126" xr:uid="{00000000-0005-0000-0000-00006C750000}"/>
    <cellStyle name="Normal 15 10 6" xfId="39430" xr:uid="{00000000-0005-0000-0000-00006D750000}"/>
    <cellStyle name="Normal 15 10 6 2" xfId="41001" xr:uid="{00000000-0005-0000-0000-00006E750000}"/>
    <cellStyle name="Normal 15 10 7" xfId="39851" xr:uid="{00000000-0005-0000-0000-00006F750000}"/>
    <cellStyle name="Normal 15 10 8" xfId="7395" xr:uid="{00000000-0005-0000-0000-000070750000}"/>
    <cellStyle name="Normal 15 11" xfId="3566" xr:uid="{00000000-0005-0000-0000-000071750000}"/>
    <cellStyle name="Normal 15 11 2" xfId="5391" xr:uid="{00000000-0005-0000-0000-000072750000}"/>
    <cellStyle name="Normal 15 11 2 2" xfId="6140" xr:uid="{00000000-0005-0000-0000-000073750000}"/>
    <cellStyle name="Normal 15 11 2 2 2" xfId="41310" xr:uid="{00000000-0005-0000-0000-000074750000}"/>
    <cellStyle name="Normal 15 11 2 2 3" xfId="39727" xr:uid="{00000000-0005-0000-0000-000075750000}"/>
    <cellStyle name="Normal 15 11 2 3" xfId="40453" xr:uid="{00000000-0005-0000-0000-000076750000}"/>
    <cellStyle name="Normal 15 11 2 4" xfId="13049" xr:uid="{00000000-0005-0000-0000-000077750000}"/>
    <cellStyle name="Normal 15 11 3" xfId="5825" xr:uid="{00000000-0005-0000-0000-000078750000}"/>
    <cellStyle name="Normal 15 11 3 2" xfId="40148" xr:uid="{00000000-0005-0000-0000-000079750000}"/>
    <cellStyle name="Normal 15 11 3 3" xfId="38405" xr:uid="{00000000-0005-0000-0000-00007A750000}"/>
    <cellStyle name="Normal 15 11 4" xfId="6460" xr:uid="{00000000-0005-0000-0000-00007B750000}"/>
    <cellStyle name="Normal 15 11 4 2" xfId="40693" xr:uid="{00000000-0005-0000-0000-00007C750000}"/>
    <cellStyle name="Normal 15 11 4 3" xfId="39125" xr:uid="{00000000-0005-0000-0000-00007D750000}"/>
    <cellStyle name="Normal 15 11 5" xfId="39429" xr:uid="{00000000-0005-0000-0000-00007E750000}"/>
    <cellStyle name="Normal 15 11 5 2" xfId="41000" xr:uid="{00000000-0005-0000-0000-00007F750000}"/>
    <cellStyle name="Normal 15 11 6" xfId="39933" xr:uid="{00000000-0005-0000-0000-000080750000}"/>
    <cellStyle name="Normal 15 11 7" xfId="9428" xr:uid="{00000000-0005-0000-0000-000081750000}"/>
    <cellStyle name="Normal 15 12" xfId="4767" xr:uid="{00000000-0005-0000-0000-000082750000}"/>
    <cellStyle name="Normal 15 12 2" xfId="6011" xr:uid="{00000000-0005-0000-0000-000083750000}"/>
    <cellStyle name="Normal 15 12 2 2" xfId="40569" xr:uid="{00000000-0005-0000-0000-000084750000}"/>
    <cellStyle name="Normal 15 12 2 3" xfId="15191" xr:uid="{00000000-0005-0000-0000-000085750000}"/>
    <cellStyle name="Normal 15 12 3" xfId="6332" xr:uid="{00000000-0005-0000-0000-000086750000}"/>
    <cellStyle name="Normal 15 12 3 2" xfId="41184" xr:uid="{00000000-0005-0000-0000-000087750000}"/>
    <cellStyle name="Normal 15 12 3 3" xfId="39603" xr:uid="{00000000-0005-0000-0000-000088750000}"/>
    <cellStyle name="Normal 15 12 4" xfId="40329" xr:uid="{00000000-0005-0000-0000-000089750000}"/>
    <cellStyle name="Normal 15 12 5" xfId="11567" xr:uid="{00000000-0005-0000-0000-00008A750000}"/>
    <cellStyle name="Normal 15 13" xfId="4512" xr:uid="{00000000-0005-0000-0000-00008B750000}"/>
    <cellStyle name="Normal 15 13 2" xfId="5963" xr:uid="{00000000-0005-0000-0000-00008C750000}"/>
    <cellStyle name="Normal 15 13 2 2" xfId="40781" xr:uid="{00000000-0005-0000-0000-00008D750000}"/>
    <cellStyle name="Normal 15 13 2 3" xfId="15222" xr:uid="{00000000-0005-0000-0000-00008E750000}"/>
    <cellStyle name="Normal 15 13 3" xfId="39561" xr:uid="{00000000-0005-0000-0000-00008F750000}"/>
    <cellStyle name="Normal 15 13 3 2" xfId="41138" xr:uid="{00000000-0005-0000-0000-000090750000}"/>
    <cellStyle name="Normal 15 13 4" xfId="40283" xr:uid="{00000000-0005-0000-0000-000091750000}"/>
    <cellStyle name="Normal 15 13 5" xfId="11608" xr:uid="{00000000-0005-0000-0000-000092750000}"/>
    <cellStyle name="Normal 15 14" xfId="5695" xr:uid="{00000000-0005-0000-0000-000093750000}"/>
    <cellStyle name="Normal 15 14 2" xfId="40024" xr:uid="{00000000-0005-0000-0000-000094750000}"/>
    <cellStyle name="Normal 15 14 3" xfId="21682" xr:uid="{00000000-0005-0000-0000-000095750000}"/>
    <cellStyle name="Normal 15 15" xfId="6284" xr:uid="{00000000-0005-0000-0000-000096750000}"/>
    <cellStyle name="Normal 15 15 2" xfId="40537" xr:uid="{00000000-0005-0000-0000-000097750000}"/>
    <cellStyle name="Normal 15 15 3" xfId="21683" xr:uid="{00000000-0005-0000-0000-000098750000}"/>
    <cellStyle name="Normal 15 16" xfId="21684" xr:uid="{00000000-0005-0000-0000-000099750000}"/>
    <cellStyle name="Normal 15 16 2" xfId="40875" xr:uid="{00000000-0005-0000-0000-00009A750000}"/>
    <cellStyle name="Normal 15 17" xfId="39773" xr:uid="{00000000-0005-0000-0000-00009B750000}"/>
    <cellStyle name="Normal 15 2" xfId="3568" xr:uid="{00000000-0005-0000-0000-00009C750000}"/>
    <cellStyle name="Normal 15 2 10" xfId="21685" xr:uid="{00000000-0005-0000-0000-00009D750000}"/>
    <cellStyle name="Normal 15 2 11" xfId="21686" xr:uid="{00000000-0005-0000-0000-00009E750000}"/>
    <cellStyle name="Normal 15 2 2" xfId="6707" xr:uid="{00000000-0005-0000-0000-00009F750000}"/>
    <cellStyle name="Normal 15 2 2 2" xfId="9432" xr:uid="{00000000-0005-0000-0000-0000A0750000}"/>
    <cellStyle name="Normal 15 2 2 2 2" xfId="13053" xr:uid="{00000000-0005-0000-0000-0000A1750000}"/>
    <cellStyle name="Normal 15 2 2 3" xfId="21687" xr:uid="{00000000-0005-0000-0000-0000A2750000}"/>
    <cellStyle name="Normal 15 2 2 4" xfId="21688" xr:uid="{00000000-0005-0000-0000-0000A3750000}"/>
    <cellStyle name="Normal 15 2 2 5" xfId="21689" xr:uid="{00000000-0005-0000-0000-0000A4750000}"/>
    <cellStyle name="Normal 15 2 2 6" xfId="21690" xr:uid="{00000000-0005-0000-0000-0000A5750000}"/>
    <cellStyle name="Normal 15 2 3" xfId="7396" xr:uid="{00000000-0005-0000-0000-0000A6750000}"/>
    <cellStyle name="Normal 15 2 3 2" xfId="8620" xr:uid="{00000000-0005-0000-0000-0000A7750000}"/>
    <cellStyle name="Normal 15 2 3 2 2" xfId="9434" xr:uid="{00000000-0005-0000-0000-0000A8750000}"/>
    <cellStyle name="Normal 15 2 3 2 2 2" xfId="13055" xr:uid="{00000000-0005-0000-0000-0000A9750000}"/>
    <cellStyle name="Normal 15 2 3 2 3" xfId="12626" xr:uid="{00000000-0005-0000-0000-0000AA750000}"/>
    <cellStyle name="Normal 15 2 3 3" xfId="9433" xr:uid="{00000000-0005-0000-0000-0000AB750000}"/>
    <cellStyle name="Normal 15 2 3 3 2" xfId="13054" xr:uid="{00000000-0005-0000-0000-0000AC750000}"/>
    <cellStyle name="Normal 15 2 3 4" xfId="12340" xr:uid="{00000000-0005-0000-0000-0000AD750000}"/>
    <cellStyle name="Normal 15 2 4" xfId="8473" xr:uid="{00000000-0005-0000-0000-0000AE750000}"/>
    <cellStyle name="Normal 15 2 4 2" xfId="9435" xr:uid="{00000000-0005-0000-0000-0000AF750000}"/>
    <cellStyle name="Normal 15 2 4 2 2" xfId="13056" xr:uid="{00000000-0005-0000-0000-0000B0750000}"/>
    <cellStyle name="Normal 15 2 4 3" xfId="21691" xr:uid="{00000000-0005-0000-0000-0000B1750000}"/>
    <cellStyle name="Normal 15 2 4 4" xfId="21692" xr:uid="{00000000-0005-0000-0000-0000B2750000}"/>
    <cellStyle name="Normal 15 2 4 5" xfId="21693" xr:uid="{00000000-0005-0000-0000-0000B3750000}"/>
    <cellStyle name="Normal 15 2 4 6" xfId="21694" xr:uid="{00000000-0005-0000-0000-0000B4750000}"/>
    <cellStyle name="Normal 15 2 5" xfId="8251" xr:uid="{00000000-0005-0000-0000-0000B5750000}"/>
    <cellStyle name="Normal 15 2 5 2" xfId="9436" xr:uid="{00000000-0005-0000-0000-0000B6750000}"/>
    <cellStyle name="Normal 15 2 5 2 2" xfId="13057" xr:uid="{00000000-0005-0000-0000-0000B7750000}"/>
    <cellStyle name="Normal 15 2 5 3" xfId="12451" xr:uid="{00000000-0005-0000-0000-0000B8750000}"/>
    <cellStyle name="Normal 15 2 6" xfId="9437" xr:uid="{00000000-0005-0000-0000-0000B9750000}"/>
    <cellStyle name="Normal 15 2 6 2" xfId="13058" xr:uid="{00000000-0005-0000-0000-0000BA750000}"/>
    <cellStyle name="Normal 15 2 7" xfId="9431" xr:uid="{00000000-0005-0000-0000-0000BB750000}"/>
    <cellStyle name="Normal 15 2 7 2" xfId="13052" xr:uid="{00000000-0005-0000-0000-0000BC750000}"/>
    <cellStyle name="Normal 15 2 8" xfId="21695" xr:uid="{00000000-0005-0000-0000-0000BD750000}"/>
    <cellStyle name="Normal 15 2 9" xfId="21696" xr:uid="{00000000-0005-0000-0000-0000BE750000}"/>
    <cellStyle name="Normal 15 3" xfId="3569" xr:uid="{00000000-0005-0000-0000-0000BF750000}"/>
    <cellStyle name="Normal 15 3 10" xfId="21697" xr:uid="{00000000-0005-0000-0000-0000C0750000}"/>
    <cellStyle name="Normal 15 3 2" xfId="6708" xr:uid="{00000000-0005-0000-0000-0000C1750000}"/>
    <cellStyle name="Normal 15 3 2 2" xfId="9439" xr:uid="{00000000-0005-0000-0000-0000C2750000}"/>
    <cellStyle name="Normal 15 3 2 2 2" xfId="13060" xr:uid="{00000000-0005-0000-0000-0000C3750000}"/>
    <cellStyle name="Normal 15 3 2 3" xfId="21698" xr:uid="{00000000-0005-0000-0000-0000C4750000}"/>
    <cellStyle name="Normal 15 3 2 4" xfId="21699" xr:uid="{00000000-0005-0000-0000-0000C5750000}"/>
    <cellStyle name="Normal 15 3 2 5" xfId="21700" xr:uid="{00000000-0005-0000-0000-0000C6750000}"/>
    <cellStyle name="Normal 15 3 2 6" xfId="21701" xr:uid="{00000000-0005-0000-0000-0000C7750000}"/>
    <cellStyle name="Normal 15 3 3" xfId="7397" xr:uid="{00000000-0005-0000-0000-0000C8750000}"/>
    <cellStyle name="Normal 15 3 3 2" xfId="8621" xr:uid="{00000000-0005-0000-0000-0000C9750000}"/>
    <cellStyle name="Normal 15 3 3 2 2" xfId="9441" xr:uid="{00000000-0005-0000-0000-0000CA750000}"/>
    <cellStyle name="Normal 15 3 3 2 2 2" xfId="13062" xr:uid="{00000000-0005-0000-0000-0000CB750000}"/>
    <cellStyle name="Normal 15 3 3 2 3" xfId="12627" xr:uid="{00000000-0005-0000-0000-0000CC750000}"/>
    <cellStyle name="Normal 15 3 3 3" xfId="9440" xr:uid="{00000000-0005-0000-0000-0000CD750000}"/>
    <cellStyle name="Normal 15 3 3 3 2" xfId="13061" xr:uid="{00000000-0005-0000-0000-0000CE750000}"/>
    <cellStyle name="Normal 15 3 3 4" xfId="12341" xr:uid="{00000000-0005-0000-0000-0000CF750000}"/>
    <cellStyle name="Normal 15 3 4" xfId="8474" xr:uid="{00000000-0005-0000-0000-0000D0750000}"/>
    <cellStyle name="Normal 15 3 4 2" xfId="9442" xr:uid="{00000000-0005-0000-0000-0000D1750000}"/>
    <cellStyle name="Normal 15 3 4 2 2" xfId="13063" xr:uid="{00000000-0005-0000-0000-0000D2750000}"/>
    <cellStyle name="Normal 15 3 4 3" xfId="21702" xr:uid="{00000000-0005-0000-0000-0000D3750000}"/>
    <cellStyle name="Normal 15 3 4 4" xfId="21703" xr:uid="{00000000-0005-0000-0000-0000D4750000}"/>
    <cellStyle name="Normal 15 3 4 5" xfId="21704" xr:uid="{00000000-0005-0000-0000-0000D5750000}"/>
    <cellStyle name="Normal 15 3 4 6" xfId="21705" xr:uid="{00000000-0005-0000-0000-0000D6750000}"/>
    <cellStyle name="Normal 15 3 5" xfId="8252" xr:uid="{00000000-0005-0000-0000-0000D7750000}"/>
    <cellStyle name="Normal 15 3 5 2" xfId="9443" xr:uid="{00000000-0005-0000-0000-0000D8750000}"/>
    <cellStyle name="Normal 15 3 5 2 2" xfId="13064" xr:uid="{00000000-0005-0000-0000-0000D9750000}"/>
    <cellStyle name="Normal 15 3 5 3" xfId="12452" xr:uid="{00000000-0005-0000-0000-0000DA750000}"/>
    <cellStyle name="Normal 15 3 6" xfId="9438" xr:uid="{00000000-0005-0000-0000-0000DB750000}"/>
    <cellStyle name="Normal 15 3 6 2" xfId="13059" xr:uid="{00000000-0005-0000-0000-0000DC750000}"/>
    <cellStyle name="Normal 15 3 7" xfId="21706" xr:uid="{00000000-0005-0000-0000-0000DD750000}"/>
    <cellStyle name="Normal 15 3 8" xfId="21707" xr:uid="{00000000-0005-0000-0000-0000DE750000}"/>
    <cellStyle name="Normal 15 3 9" xfId="21708" xr:uid="{00000000-0005-0000-0000-0000DF750000}"/>
    <cellStyle name="Normal 15 4" xfId="3570" xr:uid="{00000000-0005-0000-0000-0000E0750000}"/>
    <cellStyle name="Normal 15 4 10" xfId="21709" xr:uid="{00000000-0005-0000-0000-0000E1750000}"/>
    <cellStyle name="Normal 15 4 2" xfId="6709" xr:uid="{00000000-0005-0000-0000-0000E2750000}"/>
    <cellStyle name="Normal 15 4 2 2" xfId="9445" xr:uid="{00000000-0005-0000-0000-0000E3750000}"/>
    <cellStyle name="Normal 15 4 2 2 2" xfId="13066" xr:uid="{00000000-0005-0000-0000-0000E4750000}"/>
    <cellStyle name="Normal 15 4 2 3" xfId="21710" xr:uid="{00000000-0005-0000-0000-0000E5750000}"/>
    <cellStyle name="Normal 15 4 2 4" xfId="21711" xr:uid="{00000000-0005-0000-0000-0000E6750000}"/>
    <cellStyle name="Normal 15 4 2 5" xfId="21712" xr:uid="{00000000-0005-0000-0000-0000E7750000}"/>
    <cellStyle name="Normal 15 4 2 6" xfId="21713" xr:uid="{00000000-0005-0000-0000-0000E8750000}"/>
    <cellStyle name="Normal 15 4 3" xfId="7398" xr:uid="{00000000-0005-0000-0000-0000E9750000}"/>
    <cellStyle name="Normal 15 4 3 2" xfId="8622" xr:uid="{00000000-0005-0000-0000-0000EA750000}"/>
    <cellStyle name="Normal 15 4 3 2 2" xfId="9447" xr:uid="{00000000-0005-0000-0000-0000EB750000}"/>
    <cellStyle name="Normal 15 4 3 2 2 2" xfId="13068" xr:uid="{00000000-0005-0000-0000-0000EC750000}"/>
    <cellStyle name="Normal 15 4 3 2 3" xfId="12628" xr:uid="{00000000-0005-0000-0000-0000ED750000}"/>
    <cellStyle name="Normal 15 4 3 3" xfId="9446" xr:uid="{00000000-0005-0000-0000-0000EE750000}"/>
    <cellStyle name="Normal 15 4 3 3 2" xfId="13067" xr:uid="{00000000-0005-0000-0000-0000EF750000}"/>
    <cellStyle name="Normal 15 4 3 4" xfId="12342" xr:uid="{00000000-0005-0000-0000-0000F0750000}"/>
    <cellStyle name="Normal 15 4 4" xfId="8475" xr:uid="{00000000-0005-0000-0000-0000F1750000}"/>
    <cellStyle name="Normal 15 4 4 2" xfId="9448" xr:uid="{00000000-0005-0000-0000-0000F2750000}"/>
    <cellStyle name="Normal 15 4 4 2 2" xfId="13069" xr:uid="{00000000-0005-0000-0000-0000F3750000}"/>
    <cellStyle name="Normal 15 4 4 3" xfId="21714" xr:uid="{00000000-0005-0000-0000-0000F4750000}"/>
    <cellStyle name="Normal 15 4 4 4" xfId="21715" xr:uid="{00000000-0005-0000-0000-0000F5750000}"/>
    <cellStyle name="Normal 15 4 4 5" xfId="21716" xr:uid="{00000000-0005-0000-0000-0000F6750000}"/>
    <cellStyle name="Normal 15 4 4 6" xfId="21717" xr:uid="{00000000-0005-0000-0000-0000F7750000}"/>
    <cellStyle name="Normal 15 4 5" xfId="8253" xr:uid="{00000000-0005-0000-0000-0000F8750000}"/>
    <cellStyle name="Normal 15 4 5 2" xfId="9449" xr:uid="{00000000-0005-0000-0000-0000F9750000}"/>
    <cellStyle name="Normal 15 4 5 2 2" xfId="13070" xr:uid="{00000000-0005-0000-0000-0000FA750000}"/>
    <cellStyle name="Normal 15 4 5 3" xfId="12453" xr:uid="{00000000-0005-0000-0000-0000FB750000}"/>
    <cellStyle name="Normal 15 4 6" xfId="9444" xr:uid="{00000000-0005-0000-0000-0000FC750000}"/>
    <cellStyle name="Normal 15 4 6 2" xfId="13065" xr:uid="{00000000-0005-0000-0000-0000FD750000}"/>
    <cellStyle name="Normal 15 4 7" xfId="21718" xr:uid="{00000000-0005-0000-0000-0000FE750000}"/>
    <cellStyle name="Normal 15 4 8" xfId="21719" xr:uid="{00000000-0005-0000-0000-0000FF750000}"/>
    <cellStyle name="Normal 15 4 9" xfId="21720" xr:uid="{00000000-0005-0000-0000-000000760000}"/>
    <cellStyle name="Normal 15 5" xfId="3571" xr:uid="{00000000-0005-0000-0000-000001760000}"/>
    <cellStyle name="Normal 15 5 10" xfId="21721" xr:uid="{00000000-0005-0000-0000-000002760000}"/>
    <cellStyle name="Normal 15 5 2" xfId="6710" xr:uid="{00000000-0005-0000-0000-000003760000}"/>
    <cellStyle name="Normal 15 5 2 2" xfId="9451" xr:uid="{00000000-0005-0000-0000-000004760000}"/>
    <cellStyle name="Normal 15 5 2 2 2" xfId="13072" xr:uid="{00000000-0005-0000-0000-000005760000}"/>
    <cellStyle name="Normal 15 5 2 3" xfId="21722" xr:uid="{00000000-0005-0000-0000-000006760000}"/>
    <cellStyle name="Normal 15 5 2 4" xfId="21723" xr:uid="{00000000-0005-0000-0000-000007760000}"/>
    <cellStyle name="Normal 15 5 2 5" xfId="21724" xr:uid="{00000000-0005-0000-0000-000008760000}"/>
    <cellStyle name="Normal 15 5 2 6" xfId="21725" xr:uid="{00000000-0005-0000-0000-000009760000}"/>
    <cellStyle name="Normal 15 5 3" xfId="7399" xr:uid="{00000000-0005-0000-0000-00000A760000}"/>
    <cellStyle name="Normal 15 5 3 2" xfId="8623" xr:uid="{00000000-0005-0000-0000-00000B760000}"/>
    <cellStyle name="Normal 15 5 3 2 2" xfId="9453" xr:uid="{00000000-0005-0000-0000-00000C760000}"/>
    <cellStyle name="Normal 15 5 3 2 2 2" xfId="13074" xr:uid="{00000000-0005-0000-0000-00000D760000}"/>
    <cellStyle name="Normal 15 5 3 2 3" xfId="12629" xr:uid="{00000000-0005-0000-0000-00000E760000}"/>
    <cellStyle name="Normal 15 5 3 3" xfId="9452" xr:uid="{00000000-0005-0000-0000-00000F760000}"/>
    <cellStyle name="Normal 15 5 3 3 2" xfId="13073" xr:uid="{00000000-0005-0000-0000-000010760000}"/>
    <cellStyle name="Normal 15 5 3 4" xfId="12343" xr:uid="{00000000-0005-0000-0000-000011760000}"/>
    <cellStyle name="Normal 15 5 4" xfId="8476" xr:uid="{00000000-0005-0000-0000-000012760000}"/>
    <cellStyle name="Normal 15 5 4 2" xfId="9454" xr:uid="{00000000-0005-0000-0000-000013760000}"/>
    <cellStyle name="Normal 15 5 4 2 2" xfId="13075" xr:uid="{00000000-0005-0000-0000-000014760000}"/>
    <cellStyle name="Normal 15 5 4 3" xfId="21726" xr:uid="{00000000-0005-0000-0000-000015760000}"/>
    <cellStyle name="Normal 15 5 4 4" xfId="21727" xr:uid="{00000000-0005-0000-0000-000016760000}"/>
    <cellStyle name="Normal 15 5 4 5" xfId="21728" xr:uid="{00000000-0005-0000-0000-000017760000}"/>
    <cellStyle name="Normal 15 5 4 6" xfId="21729" xr:uid="{00000000-0005-0000-0000-000018760000}"/>
    <cellStyle name="Normal 15 5 5" xfId="8254" xr:uid="{00000000-0005-0000-0000-000019760000}"/>
    <cellStyle name="Normal 15 5 5 2" xfId="9455" xr:uid="{00000000-0005-0000-0000-00001A760000}"/>
    <cellStyle name="Normal 15 5 5 2 2" xfId="13076" xr:uid="{00000000-0005-0000-0000-00001B760000}"/>
    <cellStyle name="Normal 15 5 5 3" xfId="12454" xr:uid="{00000000-0005-0000-0000-00001C760000}"/>
    <cellStyle name="Normal 15 5 6" xfId="9450" xr:uid="{00000000-0005-0000-0000-00001D760000}"/>
    <cellStyle name="Normal 15 5 6 2" xfId="13071" xr:uid="{00000000-0005-0000-0000-00001E760000}"/>
    <cellStyle name="Normal 15 5 7" xfId="21730" xr:uid="{00000000-0005-0000-0000-00001F760000}"/>
    <cellStyle name="Normal 15 5 8" xfId="21731" xr:uid="{00000000-0005-0000-0000-000020760000}"/>
    <cellStyle name="Normal 15 5 9" xfId="21732" xr:uid="{00000000-0005-0000-0000-000021760000}"/>
    <cellStyle name="Normal 15 6" xfId="3572" xr:uid="{00000000-0005-0000-0000-000022760000}"/>
    <cellStyle name="Normal 15 6 10" xfId="21733" xr:uid="{00000000-0005-0000-0000-000023760000}"/>
    <cellStyle name="Normal 15 6 2" xfId="6711" xr:uid="{00000000-0005-0000-0000-000024760000}"/>
    <cellStyle name="Normal 15 6 2 2" xfId="9457" xr:uid="{00000000-0005-0000-0000-000025760000}"/>
    <cellStyle name="Normal 15 6 2 2 2" xfId="13078" xr:uid="{00000000-0005-0000-0000-000026760000}"/>
    <cellStyle name="Normal 15 6 2 3" xfId="21734" xr:uid="{00000000-0005-0000-0000-000027760000}"/>
    <cellStyle name="Normal 15 6 2 4" xfId="21735" xr:uid="{00000000-0005-0000-0000-000028760000}"/>
    <cellStyle name="Normal 15 6 2 5" xfId="21736" xr:uid="{00000000-0005-0000-0000-000029760000}"/>
    <cellStyle name="Normal 15 6 2 6" xfId="21737" xr:uid="{00000000-0005-0000-0000-00002A760000}"/>
    <cellStyle name="Normal 15 6 3" xfId="7400" xr:uid="{00000000-0005-0000-0000-00002B760000}"/>
    <cellStyle name="Normal 15 6 3 2" xfId="8624" xr:uid="{00000000-0005-0000-0000-00002C760000}"/>
    <cellStyle name="Normal 15 6 3 2 2" xfId="9459" xr:uid="{00000000-0005-0000-0000-00002D760000}"/>
    <cellStyle name="Normal 15 6 3 2 2 2" xfId="13080" xr:uid="{00000000-0005-0000-0000-00002E760000}"/>
    <cellStyle name="Normal 15 6 3 2 3" xfId="12630" xr:uid="{00000000-0005-0000-0000-00002F760000}"/>
    <cellStyle name="Normal 15 6 3 3" xfId="9458" xr:uid="{00000000-0005-0000-0000-000030760000}"/>
    <cellStyle name="Normal 15 6 3 3 2" xfId="13079" xr:uid="{00000000-0005-0000-0000-000031760000}"/>
    <cellStyle name="Normal 15 6 3 4" xfId="12344" xr:uid="{00000000-0005-0000-0000-000032760000}"/>
    <cellStyle name="Normal 15 6 4" xfId="8477" xr:uid="{00000000-0005-0000-0000-000033760000}"/>
    <cellStyle name="Normal 15 6 4 2" xfId="9460" xr:uid="{00000000-0005-0000-0000-000034760000}"/>
    <cellStyle name="Normal 15 6 4 2 2" xfId="13081" xr:uid="{00000000-0005-0000-0000-000035760000}"/>
    <cellStyle name="Normal 15 6 4 3" xfId="21738" xr:uid="{00000000-0005-0000-0000-000036760000}"/>
    <cellStyle name="Normal 15 6 4 4" xfId="21739" xr:uid="{00000000-0005-0000-0000-000037760000}"/>
    <cellStyle name="Normal 15 6 4 5" xfId="21740" xr:uid="{00000000-0005-0000-0000-000038760000}"/>
    <cellStyle name="Normal 15 6 4 6" xfId="21741" xr:uid="{00000000-0005-0000-0000-000039760000}"/>
    <cellStyle name="Normal 15 6 5" xfId="8255" xr:uid="{00000000-0005-0000-0000-00003A760000}"/>
    <cellStyle name="Normal 15 6 5 2" xfId="9461" xr:uid="{00000000-0005-0000-0000-00003B760000}"/>
    <cellStyle name="Normal 15 6 5 2 2" xfId="13082" xr:uid="{00000000-0005-0000-0000-00003C760000}"/>
    <cellStyle name="Normal 15 6 5 3" xfId="12455" xr:uid="{00000000-0005-0000-0000-00003D760000}"/>
    <cellStyle name="Normal 15 6 6" xfId="9456" xr:uid="{00000000-0005-0000-0000-00003E760000}"/>
    <cellStyle name="Normal 15 6 6 2" xfId="13077" xr:uid="{00000000-0005-0000-0000-00003F760000}"/>
    <cellStyle name="Normal 15 6 7" xfId="21742" xr:uid="{00000000-0005-0000-0000-000040760000}"/>
    <cellStyle name="Normal 15 6 8" xfId="21743" xr:uid="{00000000-0005-0000-0000-000041760000}"/>
    <cellStyle name="Normal 15 6 9" xfId="21744" xr:uid="{00000000-0005-0000-0000-000042760000}"/>
    <cellStyle name="Normal 15 7" xfId="3573" xr:uid="{00000000-0005-0000-0000-000043760000}"/>
    <cellStyle name="Normal 15 7 2" xfId="5393" xr:uid="{00000000-0005-0000-0000-000044760000}"/>
    <cellStyle name="Normal 15 7 2 2" xfId="9463" xr:uid="{00000000-0005-0000-0000-000045760000}"/>
    <cellStyle name="Normal 15 7 2 2 2" xfId="13084" xr:uid="{00000000-0005-0000-0000-000046760000}"/>
    <cellStyle name="Normal 15 7 2 3" xfId="21745" xr:uid="{00000000-0005-0000-0000-000047760000}"/>
    <cellStyle name="Normal 15 7 2 4" xfId="21746" xr:uid="{00000000-0005-0000-0000-000048760000}"/>
    <cellStyle name="Normal 15 7 2 5" xfId="21747" xr:uid="{00000000-0005-0000-0000-000049760000}"/>
    <cellStyle name="Normal 15 7 2 6" xfId="21748" xr:uid="{00000000-0005-0000-0000-00004A760000}"/>
    <cellStyle name="Normal 15 7 3" xfId="9462" xr:uid="{00000000-0005-0000-0000-00004B760000}"/>
    <cellStyle name="Normal 15 7 3 2" xfId="13083" xr:uid="{00000000-0005-0000-0000-00004C760000}"/>
    <cellStyle name="Normal 15 7 3 3" xfId="38406" xr:uid="{00000000-0005-0000-0000-00004D760000}"/>
    <cellStyle name="Normal 15 7 4" xfId="21749" xr:uid="{00000000-0005-0000-0000-00004E760000}"/>
    <cellStyle name="Normal 15 7 5" xfId="21750" xr:uid="{00000000-0005-0000-0000-00004F760000}"/>
    <cellStyle name="Normal 15 7 6" xfId="21751" xr:uid="{00000000-0005-0000-0000-000050760000}"/>
    <cellStyle name="Normal 15 7 7" xfId="21752" xr:uid="{00000000-0005-0000-0000-000051760000}"/>
    <cellStyle name="Normal 15 8" xfId="3574" xr:uid="{00000000-0005-0000-0000-000052760000}"/>
    <cellStyle name="Normal 15 8 2" xfId="5394" xr:uid="{00000000-0005-0000-0000-000053760000}"/>
    <cellStyle name="Normal 15 8 2 2" xfId="9465" xr:uid="{00000000-0005-0000-0000-000054760000}"/>
    <cellStyle name="Normal 15 8 2 2 2" xfId="13086" xr:uid="{00000000-0005-0000-0000-000055760000}"/>
    <cellStyle name="Normal 15 8 2 3" xfId="21753" xr:uid="{00000000-0005-0000-0000-000056760000}"/>
    <cellStyle name="Normal 15 8 2 4" xfId="21754" xr:uid="{00000000-0005-0000-0000-000057760000}"/>
    <cellStyle name="Normal 15 8 2 5" xfId="21755" xr:uid="{00000000-0005-0000-0000-000058760000}"/>
    <cellStyle name="Normal 15 8 2 6" xfId="21756" xr:uid="{00000000-0005-0000-0000-000059760000}"/>
    <cellStyle name="Normal 15 8 3" xfId="9464" xr:uid="{00000000-0005-0000-0000-00005A760000}"/>
    <cellStyle name="Normal 15 8 3 2" xfId="13085" xr:uid="{00000000-0005-0000-0000-00005B760000}"/>
    <cellStyle name="Normal 15 8 3 3" xfId="38407" xr:uid="{00000000-0005-0000-0000-00005C760000}"/>
    <cellStyle name="Normal 15 8 4" xfId="21757" xr:uid="{00000000-0005-0000-0000-00005D760000}"/>
    <cellStyle name="Normal 15 8 5" xfId="21758" xr:uid="{00000000-0005-0000-0000-00005E760000}"/>
    <cellStyle name="Normal 15 8 6" xfId="21759" xr:uid="{00000000-0005-0000-0000-00005F760000}"/>
    <cellStyle name="Normal 15 8 7" xfId="21760" xr:uid="{00000000-0005-0000-0000-000060760000}"/>
    <cellStyle name="Normal 15 9" xfId="3575" xr:uid="{00000000-0005-0000-0000-000061760000}"/>
    <cellStyle name="Normal 15 9 2" xfId="9466" xr:uid="{00000000-0005-0000-0000-000062760000}"/>
    <cellStyle name="Normal 15 9 2 2" xfId="13087" xr:uid="{00000000-0005-0000-0000-000063760000}"/>
    <cellStyle name="Normal 15 9 3" xfId="21761" xr:uid="{00000000-0005-0000-0000-000064760000}"/>
    <cellStyle name="Normal 15 9 4" xfId="21762" xr:uid="{00000000-0005-0000-0000-000065760000}"/>
    <cellStyle name="Normal 15 9 5" xfId="21763" xr:uid="{00000000-0005-0000-0000-000066760000}"/>
    <cellStyle name="Normal 15 9 6" xfId="21764" xr:uid="{00000000-0005-0000-0000-000067760000}"/>
    <cellStyle name="Normal 15_ELC" xfId="3576" xr:uid="{00000000-0005-0000-0000-000068760000}"/>
    <cellStyle name="Normal 16" xfId="1538" xr:uid="{00000000-0005-0000-0000-000069760000}"/>
    <cellStyle name="Normal 16 10" xfId="8478" xr:uid="{00000000-0005-0000-0000-00006A760000}"/>
    <cellStyle name="Normal 16 10 2" xfId="9468" xr:uid="{00000000-0005-0000-0000-00006B760000}"/>
    <cellStyle name="Normal 16 10 2 2" xfId="13089" xr:uid="{00000000-0005-0000-0000-00006C760000}"/>
    <cellStyle name="Normal 16 10 3" xfId="21765" xr:uid="{00000000-0005-0000-0000-00006D760000}"/>
    <cellStyle name="Normal 16 10 4" xfId="21766" xr:uid="{00000000-0005-0000-0000-00006E760000}"/>
    <cellStyle name="Normal 16 10 5" xfId="21767" xr:uid="{00000000-0005-0000-0000-00006F760000}"/>
    <cellStyle name="Normal 16 10 6" xfId="21768" xr:uid="{00000000-0005-0000-0000-000070760000}"/>
    <cellStyle name="Normal 16 11" xfId="9469" xr:uid="{00000000-0005-0000-0000-000071760000}"/>
    <cellStyle name="Normal 16 11 2" xfId="13090" xr:uid="{00000000-0005-0000-0000-000072760000}"/>
    <cellStyle name="Normal 16 12" xfId="9467" xr:uid="{00000000-0005-0000-0000-000073760000}"/>
    <cellStyle name="Normal 16 12 2" xfId="13088" xr:uid="{00000000-0005-0000-0000-000074760000}"/>
    <cellStyle name="Normal 16 13" xfId="21769" xr:uid="{00000000-0005-0000-0000-000075760000}"/>
    <cellStyle name="Normal 16 14" xfId="21770" xr:uid="{00000000-0005-0000-0000-000076760000}"/>
    <cellStyle name="Normal 16 15" xfId="21771" xr:uid="{00000000-0005-0000-0000-000077760000}"/>
    <cellStyle name="Normal 16 16" xfId="21772" xr:uid="{00000000-0005-0000-0000-000078760000}"/>
    <cellStyle name="Normal 16 17" xfId="21773" xr:uid="{00000000-0005-0000-0000-000079760000}"/>
    <cellStyle name="Normal 16 18" xfId="6598" xr:uid="{00000000-0005-0000-0000-00007A760000}"/>
    <cellStyle name="Normal 16 2" xfId="1539" xr:uid="{00000000-0005-0000-0000-00007B760000}"/>
    <cellStyle name="Normal 16 2 2" xfId="3579" xr:uid="{00000000-0005-0000-0000-00007C760000}"/>
    <cellStyle name="Normal 16 2 2 2" xfId="5395" xr:uid="{00000000-0005-0000-0000-00007D760000}"/>
    <cellStyle name="Normal 16 2 2 2 2" xfId="9472" xr:uid="{00000000-0005-0000-0000-00007E760000}"/>
    <cellStyle name="Normal 16 2 2 2 2 2" xfId="13093" xr:uid="{00000000-0005-0000-0000-00007F760000}"/>
    <cellStyle name="Normal 16 2 2 2 3" xfId="21774" xr:uid="{00000000-0005-0000-0000-000080760000}"/>
    <cellStyle name="Normal 16 2 2 2 4" xfId="21775" xr:uid="{00000000-0005-0000-0000-000081760000}"/>
    <cellStyle name="Normal 16 2 2 2 5" xfId="21776" xr:uid="{00000000-0005-0000-0000-000082760000}"/>
    <cellStyle name="Normal 16 2 2 2 6" xfId="21777" xr:uid="{00000000-0005-0000-0000-000083760000}"/>
    <cellStyle name="Normal 16 2 2 3" xfId="9471" xr:uid="{00000000-0005-0000-0000-000084760000}"/>
    <cellStyle name="Normal 16 2 2 3 2" xfId="13092" xr:uid="{00000000-0005-0000-0000-000085760000}"/>
    <cellStyle name="Normal 16 2 2 3 3" xfId="38408" xr:uid="{00000000-0005-0000-0000-000086760000}"/>
    <cellStyle name="Normal 16 2 2 4" xfId="21778" xr:uid="{00000000-0005-0000-0000-000087760000}"/>
    <cellStyle name="Normal 16 2 2 5" xfId="21779" xr:uid="{00000000-0005-0000-0000-000088760000}"/>
    <cellStyle name="Normal 16 2 2 6" xfId="21780" xr:uid="{00000000-0005-0000-0000-000089760000}"/>
    <cellStyle name="Normal 16 2 2 7" xfId="21781" xr:uid="{00000000-0005-0000-0000-00008A760000}"/>
    <cellStyle name="Normal 16 2 3" xfId="3578" xr:uid="{00000000-0005-0000-0000-00008B760000}"/>
    <cellStyle name="Normal 16 2 3 2" xfId="9473" xr:uid="{00000000-0005-0000-0000-00008C760000}"/>
    <cellStyle name="Normal 16 2 3 2 2" xfId="13094" xr:uid="{00000000-0005-0000-0000-00008D760000}"/>
    <cellStyle name="Normal 16 2 3 3" xfId="21782" xr:uid="{00000000-0005-0000-0000-00008E760000}"/>
    <cellStyle name="Normal 16 2 3 4" xfId="21783" xr:uid="{00000000-0005-0000-0000-00008F760000}"/>
    <cellStyle name="Normal 16 2 3 5" xfId="21784" xr:uid="{00000000-0005-0000-0000-000090760000}"/>
    <cellStyle name="Normal 16 2 3 6" xfId="21785" xr:uid="{00000000-0005-0000-0000-000091760000}"/>
    <cellStyle name="Normal 16 2 4" xfId="4769" xr:uid="{00000000-0005-0000-0000-000092760000}"/>
    <cellStyle name="Normal 16 2 4 2" xfId="13091" xr:uid="{00000000-0005-0000-0000-000093760000}"/>
    <cellStyle name="Normal 16 2 4 3" xfId="35762" xr:uid="{00000000-0005-0000-0000-000094760000}"/>
    <cellStyle name="Normal 16 2 4 4" xfId="9470" xr:uid="{00000000-0005-0000-0000-000095760000}"/>
    <cellStyle name="Normal 16 2 5" xfId="21786" xr:uid="{00000000-0005-0000-0000-000096760000}"/>
    <cellStyle name="Normal 16 2 5 2" xfId="37823" xr:uid="{00000000-0005-0000-0000-000097760000}"/>
    <cellStyle name="Normal 16 2 6" xfId="21787" xr:uid="{00000000-0005-0000-0000-000098760000}"/>
    <cellStyle name="Normal 16 2 7" xfId="21788" xr:uid="{00000000-0005-0000-0000-000099760000}"/>
    <cellStyle name="Normal 16 2 8" xfId="21789" xr:uid="{00000000-0005-0000-0000-00009A760000}"/>
    <cellStyle name="Normal 16 2 9" xfId="21790" xr:uid="{00000000-0005-0000-0000-00009B760000}"/>
    <cellStyle name="Normal 16 2_ELC" xfId="3580" xr:uid="{00000000-0005-0000-0000-00009C760000}"/>
    <cellStyle name="Normal 16 3" xfId="3581" xr:uid="{00000000-0005-0000-0000-00009D760000}"/>
    <cellStyle name="Normal 16 3 2" xfId="5396" xr:uid="{00000000-0005-0000-0000-00009E760000}"/>
    <cellStyle name="Normal 16 3 2 2" xfId="9475" xr:uid="{00000000-0005-0000-0000-00009F760000}"/>
    <cellStyle name="Normal 16 3 2 2 2" xfId="13096" xr:uid="{00000000-0005-0000-0000-0000A0760000}"/>
    <cellStyle name="Normal 16 3 2 3" xfId="21791" xr:uid="{00000000-0005-0000-0000-0000A1760000}"/>
    <cellStyle name="Normal 16 3 2 4" xfId="21792" xr:uid="{00000000-0005-0000-0000-0000A2760000}"/>
    <cellStyle name="Normal 16 3 2 5" xfId="21793" xr:uid="{00000000-0005-0000-0000-0000A3760000}"/>
    <cellStyle name="Normal 16 3 2 6" xfId="21794" xr:uid="{00000000-0005-0000-0000-0000A4760000}"/>
    <cellStyle name="Normal 16 3 3" xfId="9474" xr:uid="{00000000-0005-0000-0000-0000A5760000}"/>
    <cellStyle name="Normal 16 3 3 2" xfId="13095" xr:uid="{00000000-0005-0000-0000-0000A6760000}"/>
    <cellStyle name="Normal 16 3 3 3" xfId="38409" xr:uid="{00000000-0005-0000-0000-0000A7760000}"/>
    <cellStyle name="Normal 16 3 4" xfId="21795" xr:uid="{00000000-0005-0000-0000-0000A8760000}"/>
    <cellStyle name="Normal 16 3 5" xfId="21796" xr:uid="{00000000-0005-0000-0000-0000A9760000}"/>
    <cellStyle name="Normal 16 3 6" xfId="21797" xr:uid="{00000000-0005-0000-0000-0000AA760000}"/>
    <cellStyle name="Normal 16 3 7" xfId="21798" xr:uid="{00000000-0005-0000-0000-0000AB760000}"/>
    <cellStyle name="Normal 16 4" xfId="3582" xr:uid="{00000000-0005-0000-0000-0000AC760000}"/>
    <cellStyle name="Normal 16 4 2" xfId="7401" xr:uid="{00000000-0005-0000-0000-0000AD760000}"/>
    <cellStyle name="Normal 16 4 2 2" xfId="9477" xr:uid="{00000000-0005-0000-0000-0000AE760000}"/>
    <cellStyle name="Normal 16 4 2 2 2" xfId="13098" xr:uid="{00000000-0005-0000-0000-0000AF760000}"/>
    <cellStyle name="Normal 16 4 2 3" xfId="21799" xr:uid="{00000000-0005-0000-0000-0000B0760000}"/>
    <cellStyle name="Normal 16 4 2 4" xfId="21800" xr:uid="{00000000-0005-0000-0000-0000B1760000}"/>
    <cellStyle name="Normal 16 4 2 5" xfId="21801" xr:uid="{00000000-0005-0000-0000-0000B2760000}"/>
    <cellStyle name="Normal 16 4 2 6" xfId="21802" xr:uid="{00000000-0005-0000-0000-0000B3760000}"/>
    <cellStyle name="Normal 16 4 3" xfId="9476" xr:uid="{00000000-0005-0000-0000-0000B4760000}"/>
    <cellStyle name="Normal 16 4 3 2" xfId="13097" xr:uid="{00000000-0005-0000-0000-0000B5760000}"/>
    <cellStyle name="Normal 16 4 4" xfId="21803" xr:uid="{00000000-0005-0000-0000-0000B6760000}"/>
    <cellStyle name="Normal 16 4 5" xfId="21804" xr:uid="{00000000-0005-0000-0000-0000B7760000}"/>
    <cellStyle name="Normal 16 4 6" xfId="21805" xr:uid="{00000000-0005-0000-0000-0000B8760000}"/>
    <cellStyle name="Normal 16 4 7" xfId="21806" xr:uid="{00000000-0005-0000-0000-0000B9760000}"/>
    <cellStyle name="Normal 16 5" xfId="3577" xr:uid="{00000000-0005-0000-0000-0000BA760000}"/>
    <cellStyle name="Normal 16 5 2" xfId="8061" xr:uid="{00000000-0005-0000-0000-0000BB760000}"/>
    <cellStyle name="Normal 16 5 2 2" xfId="9479" xr:uid="{00000000-0005-0000-0000-0000BC760000}"/>
    <cellStyle name="Normal 16 5 2 2 2" xfId="13100" xr:uid="{00000000-0005-0000-0000-0000BD760000}"/>
    <cellStyle name="Normal 16 5 2 3" xfId="21807" xr:uid="{00000000-0005-0000-0000-0000BE760000}"/>
    <cellStyle name="Normal 16 5 2 4" xfId="21808" xr:uid="{00000000-0005-0000-0000-0000BF760000}"/>
    <cellStyle name="Normal 16 5 2 5" xfId="21809" xr:uid="{00000000-0005-0000-0000-0000C0760000}"/>
    <cellStyle name="Normal 16 5 2 6" xfId="21810" xr:uid="{00000000-0005-0000-0000-0000C1760000}"/>
    <cellStyle name="Normal 16 5 2 7" xfId="39127" xr:uid="{00000000-0005-0000-0000-0000C2760000}"/>
    <cellStyle name="Normal 16 5 3" xfId="9478" xr:uid="{00000000-0005-0000-0000-0000C3760000}"/>
    <cellStyle name="Normal 16 5 3 2" xfId="13099" xr:uid="{00000000-0005-0000-0000-0000C4760000}"/>
    <cellStyle name="Normal 16 5 3 3" xfId="38978" xr:uid="{00000000-0005-0000-0000-0000C5760000}"/>
    <cellStyle name="Normal 16 5 4" xfId="21811" xr:uid="{00000000-0005-0000-0000-0000C6760000}"/>
    <cellStyle name="Normal 16 5 5" xfId="21812" xr:uid="{00000000-0005-0000-0000-0000C7760000}"/>
    <cellStyle name="Normal 16 5 6" xfId="21813" xr:uid="{00000000-0005-0000-0000-0000C8760000}"/>
    <cellStyle name="Normal 16 5 7" xfId="21814" xr:uid="{00000000-0005-0000-0000-0000C9760000}"/>
    <cellStyle name="Normal 16 6" xfId="4768" xr:uid="{00000000-0005-0000-0000-0000CA760000}"/>
    <cellStyle name="Normal 16 6 2" xfId="8059" xr:uid="{00000000-0005-0000-0000-0000CB760000}"/>
    <cellStyle name="Normal 16 6 2 2" xfId="9481" xr:uid="{00000000-0005-0000-0000-0000CC760000}"/>
    <cellStyle name="Normal 16 6 2 2 2" xfId="13102" xr:uid="{00000000-0005-0000-0000-0000CD760000}"/>
    <cellStyle name="Normal 16 6 2 3" xfId="21815" xr:uid="{00000000-0005-0000-0000-0000CE760000}"/>
    <cellStyle name="Normal 16 6 2 4" xfId="21816" xr:uid="{00000000-0005-0000-0000-0000CF760000}"/>
    <cellStyle name="Normal 16 6 2 5" xfId="21817" xr:uid="{00000000-0005-0000-0000-0000D0760000}"/>
    <cellStyle name="Normal 16 6 2 6" xfId="21818" xr:uid="{00000000-0005-0000-0000-0000D1760000}"/>
    <cellStyle name="Normal 16 6 3" xfId="9480" xr:uid="{00000000-0005-0000-0000-0000D2760000}"/>
    <cellStyle name="Normal 16 6 3 2" xfId="13101" xr:uid="{00000000-0005-0000-0000-0000D3760000}"/>
    <cellStyle name="Normal 16 6 4" xfId="21819" xr:uid="{00000000-0005-0000-0000-0000D4760000}"/>
    <cellStyle name="Normal 16 6 5" xfId="21820" xr:uid="{00000000-0005-0000-0000-0000D5760000}"/>
    <cellStyle name="Normal 16 6 6" xfId="21821" xr:uid="{00000000-0005-0000-0000-0000D6760000}"/>
    <cellStyle name="Normal 16 6 7" xfId="21822" xr:uid="{00000000-0005-0000-0000-0000D7760000}"/>
    <cellStyle name="Normal 16 7" xfId="7402" xr:uid="{00000000-0005-0000-0000-0000D8760000}"/>
    <cellStyle name="Normal 16 7 2" xfId="8057" xr:uid="{00000000-0005-0000-0000-0000D9760000}"/>
    <cellStyle name="Normal 16 7 2 2" xfId="9483" xr:uid="{00000000-0005-0000-0000-0000DA760000}"/>
    <cellStyle name="Normal 16 7 2 2 2" xfId="13104" xr:uid="{00000000-0005-0000-0000-0000DB760000}"/>
    <cellStyle name="Normal 16 7 2 3" xfId="21823" xr:uid="{00000000-0005-0000-0000-0000DC760000}"/>
    <cellStyle name="Normal 16 7 2 4" xfId="21824" xr:uid="{00000000-0005-0000-0000-0000DD760000}"/>
    <cellStyle name="Normal 16 7 2 5" xfId="21825" xr:uid="{00000000-0005-0000-0000-0000DE760000}"/>
    <cellStyle name="Normal 16 7 2 6" xfId="21826" xr:uid="{00000000-0005-0000-0000-0000DF760000}"/>
    <cellStyle name="Normal 16 7 3" xfId="9482" xr:uid="{00000000-0005-0000-0000-0000E0760000}"/>
    <cellStyle name="Normal 16 7 3 2" xfId="13103" xr:uid="{00000000-0005-0000-0000-0000E1760000}"/>
    <cellStyle name="Normal 16 7 4" xfId="21827" xr:uid="{00000000-0005-0000-0000-0000E2760000}"/>
    <cellStyle name="Normal 16 7 5" xfId="21828" xr:uid="{00000000-0005-0000-0000-0000E3760000}"/>
    <cellStyle name="Normal 16 7 6" xfId="21829" xr:uid="{00000000-0005-0000-0000-0000E4760000}"/>
    <cellStyle name="Normal 16 7 7" xfId="21830" xr:uid="{00000000-0005-0000-0000-0000E5760000}"/>
    <cellStyle name="Normal 16 8" xfId="7403" xr:uid="{00000000-0005-0000-0000-0000E6760000}"/>
    <cellStyle name="Normal 16 8 2" xfId="9484" xr:uid="{00000000-0005-0000-0000-0000E7760000}"/>
    <cellStyle name="Normal 16 8 2 2" xfId="13105" xr:uid="{00000000-0005-0000-0000-0000E8760000}"/>
    <cellStyle name="Normal 16 8 3" xfId="21831" xr:uid="{00000000-0005-0000-0000-0000E9760000}"/>
    <cellStyle name="Normal 16 8 4" xfId="21832" xr:uid="{00000000-0005-0000-0000-0000EA760000}"/>
    <cellStyle name="Normal 16 8 5" xfId="21833" xr:uid="{00000000-0005-0000-0000-0000EB760000}"/>
    <cellStyle name="Normal 16 8 6" xfId="21834" xr:uid="{00000000-0005-0000-0000-0000EC760000}"/>
    <cellStyle name="Normal 16 9" xfId="7404" xr:uid="{00000000-0005-0000-0000-0000ED760000}"/>
    <cellStyle name="Normal 16 9 2" xfId="9485" xr:uid="{00000000-0005-0000-0000-0000EE760000}"/>
    <cellStyle name="Normal 16 9 2 2" xfId="13106" xr:uid="{00000000-0005-0000-0000-0000EF760000}"/>
    <cellStyle name="Normal 16 9 3" xfId="21835" xr:uid="{00000000-0005-0000-0000-0000F0760000}"/>
    <cellStyle name="Normal 16 9 4" xfId="21836" xr:uid="{00000000-0005-0000-0000-0000F1760000}"/>
    <cellStyle name="Normal 16 9 5" xfId="21837" xr:uid="{00000000-0005-0000-0000-0000F2760000}"/>
    <cellStyle name="Normal 16 9 6" xfId="21838" xr:uid="{00000000-0005-0000-0000-0000F3760000}"/>
    <cellStyle name="Normal 16_ELC" xfId="6599" xr:uid="{00000000-0005-0000-0000-0000F4760000}"/>
    <cellStyle name="Normal 17" xfId="1540" xr:uid="{00000000-0005-0000-0000-0000F5760000}"/>
    <cellStyle name="Normal 17 10" xfId="8479" xr:uid="{00000000-0005-0000-0000-0000F6760000}"/>
    <cellStyle name="Normal 17 10 2" xfId="9487" xr:uid="{00000000-0005-0000-0000-0000F7760000}"/>
    <cellStyle name="Normal 17 10 2 2" xfId="13108" xr:uid="{00000000-0005-0000-0000-0000F8760000}"/>
    <cellStyle name="Normal 17 10 3" xfId="21839" xr:uid="{00000000-0005-0000-0000-0000F9760000}"/>
    <cellStyle name="Normal 17 10 4" xfId="21840" xr:uid="{00000000-0005-0000-0000-0000FA760000}"/>
    <cellStyle name="Normal 17 10 5" xfId="21841" xr:uid="{00000000-0005-0000-0000-0000FB760000}"/>
    <cellStyle name="Normal 17 10 6" xfId="21842" xr:uid="{00000000-0005-0000-0000-0000FC760000}"/>
    <cellStyle name="Normal 17 11" xfId="9488" xr:uid="{00000000-0005-0000-0000-0000FD760000}"/>
    <cellStyle name="Normal 17 11 2" xfId="13109" xr:uid="{00000000-0005-0000-0000-0000FE760000}"/>
    <cellStyle name="Normal 17 12" xfId="9486" xr:uid="{00000000-0005-0000-0000-0000FF760000}"/>
    <cellStyle name="Normal 17 12 2" xfId="13107" xr:uid="{00000000-0005-0000-0000-000000770000}"/>
    <cellStyle name="Normal 17 13" xfId="21843" xr:uid="{00000000-0005-0000-0000-000001770000}"/>
    <cellStyle name="Normal 17 14" xfId="21844" xr:uid="{00000000-0005-0000-0000-000002770000}"/>
    <cellStyle name="Normal 17 15" xfId="21845" xr:uid="{00000000-0005-0000-0000-000003770000}"/>
    <cellStyle name="Normal 17 16" xfId="21846" xr:uid="{00000000-0005-0000-0000-000004770000}"/>
    <cellStyle name="Normal 17 17" xfId="21847" xr:uid="{00000000-0005-0000-0000-000005770000}"/>
    <cellStyle name="Normal 17 18" xfId="6600" xr:uid="{00000000-0005-0000-0000-000006770000}"/>
    <cellStyle name="Normal 17 2" xfId="1541" xr:uid="{00000000-0005-0000-0000-000007770000}"/>
    <cellStyle name="Normal 17 2 2" xfId="3585" xr:uid="{00000000-0005-0000-0000-000008770000}"/>
    <cellStyle name="Normal 17 2 2 2" xfId="5397" xr:uid="{00000000-0005-0000-0000-000009770000}"/>
    <cellStyle name="Normal 17 2 2 2 2" xfId="9491" xr:uid="{00000000-0005-0000-0000-00000A770000}"/>
    <cellStyle name="Normal 17 2 2 2 2 2" xfId="13112" xr:uid="{00000000-0005-0000-0000-00000B770000}"/>
    <cellStyle name="Normal 17 2 2 2 3" xfId="21848" xr:uid="{00000000-0005-0000-0000-00000C770000}"/>
    <cellStyle name="Normal 17 2 2 2 4" xfId="21849" xr:uid="{00000000-0005-0000-0000-00000D770000}"/>
    <cellStyle name="Normal 17 2 2 2 5" xfId="21850" xr:uid="{00000000-0005-0000-0000-00000E770000}"/>
    <cellStyle name="Normal 17 2 2 2 6" xfId="21851" xr:uid="{00000000-0005-0000-0000-00000F770000}"/>
    <cellStyle name="Normal 17 2 2 3" xfId="9490" xr:uid="{00000000-0005-0000-0000-000010770000}"/>
    <cellStyle name="Normal 17 2 2 3 2" xfId="13111" xr:uid="{00000000-0005-0000-0000-000011770000}"/>
    <cellStyle name="Normal 17 2 2 3 3" xfId="38410" xr:uid="{00000000-0005-0000-0000-000012770000}"/>
    <cellStyle name="Normal 17 2 2 4" xfId="21852" xr:uid="{00000000-0005-0000-0000-000013770000}"/>
    <cellStyle name="Normal 17 2 2 5" xfId="21853" xr:uid="{00000000-0005-0000-0000-000014770000}"/>
    <cellStyle name="Normal 17 2 2 6" xfId="21854" xr:uid="{00000000-0005-0000-0000-000015770000}"/>
    <cellStyle name="Normal 17 2 2 7" xfId="21855" xr:uid="{00000000-0005-0000-0000-000016770000}"/>
    <cellStyle name="Normal 17 2 3" xfId="3584" xr:uid="{00000000-0005-0000-0000-000017770000}"/>
    <cellStyle name="Normal 17 2 3 2" xfId="9492" xr:uid="{00000000-0005-0000-0000-000018770000}"/>
    <cellStyle name="Normal 17 2 3 2 2" xfId="13113" xr:uid="{00000000-0005-0000-0000-000019770000}"/>
    <cellStyle name="Normal 17 2 3 3" xfId="21856" xr:uid="{00000000-0005-0000-0000-00001A770000}"/>
    <cellStyle name="Normal 17 2 3 4" xfId="21857" xr:uid="{00000000-0005-0000-0000-00001B770000}"/>
    <cellStyle name="Normal 17 2 3 5" xfId="21858" xr:uid="{00000000-0005-0000-0000-00001C770000}"/>
    <cellStyle name="Normal 17 2 3 6" xfId="21859" xr:uid="{00000000-0005-0000-0000-00001D770000}"/>
    <cellStyle name="Normal 17 2 4" xfId="4771" xr:uid="{00000000-0005-0000-0000-00001E770000}"/>
    <cellStyle name="Normal 17 2 4 2" xfId="13110" xr:uid="{00000000-0005-0000-0000-00001F770000}"/>
    <cellStyle name="Normal 17 2 4 3" xfId="35763" xr:uid="{00000000-0005-0000-0000-000020770000}"/>
    <cellStyle name="Normal 17 2 4 4" xfId="9489" xr:uid="{00000000-0005-0000-0000-000021770000}"/>
    <cellStyle name="Normal 17 2 5" xfId="21860" xr:uid="{00000000-0005-0000-0000-000022770000}"/>
    <cellStyle name="Normal 17 2 5 2" xfId="37824" xr:uid="{00000000-0005-0000-0000-000023770000}"/>
    <cellStyle name="Normal 17 2 6" xfId="21861" xr:uid="{00000000-0005-0000-0000-000024770000}"/>
    <cellStyle name="Normal 17 2 7" xfId="21862" xr:uid="{00000000-0005-0000-0000-000025770000}"/>
    <cellStyle name="Normal 17 2 8" xfId="21863" xr:uid="{00000000-0005-0000-0000-000026770000}"/>
    <cellStyle name="Normal 17 2 9" xfId="21864" xr:uid="{00000000-0005-0000-0000-000027770000}"/>
    <cellStyle name="Normal 17 2_ELC" xfId="3586" xr:uid="{00000000-0005-0000-0000-000028770000}"/>
    <cellStyle name="Normal 17 3" xfId="1542" xr:uid="{00000000-0005-0000-0000-000029770000}"/>
    <cellStyle name="Normal 17 3 2" xfId="3587" xr:uid="{00000000-0005-0000-0000-00002A770000}"/>
    <cellStyle name="Normal 17 3 2 2" xfId="9494" xr:uid="{00000000-0005-0000-0000-00002B770000}"/>
    <cellStyle name="Normal 17 3 2 2 2" xfId="13115" xr:uid="{00000000-0005-0000-0000-00002C770000}"/>
    <cellStyle name="Normal 17 3 2 3" xfId="21865" xr:uid="{00000000-0005-0000-0000-00002D770000}"/>
    <cellStyle name="Normal 17 3 2 4" xfId="21866" xr:uid="{00000000-0005-0000-0000-00002E770000}"/>
    <cellStyle name="Normal 17 3 2 5" xfId="21867" xr:uid="{00000000-0005-0000-0000-00002F770000}"/>
    <cellStyle name="Normal 17 3 2 6" xfId="21868" xr:uid="{00000000-0005-0000-0000-000030770000}"/>
    <cellStyle name="Normal 17 3 3" xfId="4772" xr:uid="{00000000-0005-0000-0000-000031770000}"/>
    <cellStyle name="Normal 17 3 3 2" xfId="13114" xr:uid="{00000000-0005-0000-0000-000032770000}"/>
    <cellStyle name="Normal 17 3 3 3" xfId="35764" xr:uid="{00000000-0005-0000-0000-000033770000}"/>
    <cellStyle name="Normal 17 3 3 4" xfId="9493" xr:uid="{00000000-0005-0000-0000-000034770000}"/>
    <cellStyle name="Normal 17 3 4" xfId="21869" xr:uid="{00000000-0005-0000-0000-000035770000}"/>
    <cellStyle name="Normal 17 3 4 2" xfId="37825" xr:uid="{00000000-0005-0000-0000-000036770000}"/>
    <cellStyle name="Normal 17 3 5" xfId="21870" xr:uid="{00000000-0005-0000-0000-000037770000}"/>
    <cellStyle name="Normal 17 3 6" xfId="21871" xr:uid="{00000000-0005-0000-0000-000038770000}"/>
    <cellStyle name="Normal 17 3 7" xfId="21872" xr:uid="{00000000-0005-0000-0000-000039770000}"/>
    <cellStyle name="Normal 17 3 8" xfId="21873" xr:uid="{00000000-0005-0000-0000-00003A770000}"/>
    <cellStyle name="Normal 17 4" xfId="3588" xr:uid="{00000000-0005-0000-0000-00003B770000}"/>
    <cellStyle name="Normal 17 4 2" xfId="7405" xr:uid="{00000000-0005-0000-0000-00003C770000}"/>
    <cellStyle name="Normal 17 4 2 2" xfId="9496" xr:uid="{00000000-0005-0000-0000-00003D770000}"/>
    <cellStyle name="Normal 17 4 2 2 2" xfId="13117" xr:uid="{00000000-0005-0000-0000-00003E770000}"/>
    <cellStyle name="Normal 17 4 2 3" xfId="21874" xr:uid="{00000000-0005-0000-0000-00003F770000}"/>
    <cellStyle name="Normal 17 4 2 4" xfId="21875" xr:uid="{00000000-0005-0000-0000-000040770000}"/>
    <cellStyle name="Normal 17 4 2 5" xfId="21876" xr:uid="{00000000-0005-0000-0000-000041770000}"/>
    <cellStyle name="Normal 17 4 2 6" xfId="21877" xr:uid="{00000000-0005-0000-0000-000042770000}"/>
    <cellStyle name="Normal 17 4 3" xfId="9495" xr:uid="{00000000-0005-0000-0000-000043770000}"/>
    <cellStyle name="Normal 17 4 3 2" xfId="13116" xr:uid="{00000000-0005-0000-0000-000044770000}"/>
    <cellStyle name="Normal 17 4 4" xfId="21878" xr:uid="{00000000-0005-0000-0000-000045770000}"/>
    <cellStyle name="Normal 17 4 5" xfId="21879" xr:uid="{00000000-0005-0000-0000-000046770000}"/>
    <cellStyle name="Normal 17 4 6" xfId="21880" xr:uid="{00000000-0005-0000-0000-000047770000}"/>
    <cellStyle name="Normal 17 4 7" xfId="21881" xr:uid="{00000000-0005-0000-0000-000048770000}"/>
    <cellStyle name="Normal 17 5" xfId="3583" xr:uid="{00000000-0005-0000-0000-000049770000}"/>
    <cellStyle name="Normal 17 5 2" xfId="9497" xr:uid="{00000000-0005-0000-0000-00004A770000}"/>
    <cellStyle name="Normal 17 5 2 2" xfId="13118" xr:uid="{00000000-0005-0000-0000-00004B770000}"/>
    <cellStyle name="Normal 17 5 3" xfId="21882" xr:uid="{00000000-0005-0000-0000-00004C770000}"/>
    <cellStyle name="Normal 17 5 4" xfId="21883" xr:uid="{00000000-0005-0000-0000-00004D770000}"/>
    <cellStyle name="Normal 17 5 5" xfId="21884" xr:uid="{00000000-0005-0000-0000-00004E770000}"/>
    <cellStyle name="Normal 17 5 6" xfId="21885" xr:uid="{00000000-0005-0000-0000-00004F770000}"/>
    <cellStyle name="Normal 17 6" xfId="4770" xr:uid="{00000000-0005-0000-0000-000050770000}"/>
    <cellStyle name="Normal 17 6 2" xfId="9498" xr:uid="{00000000-0005-0000-0000-000051770000}"/>
    <cellStyle name="Normal 17 6 2 2" xfId="13119" xr:uid="{00000000-0005-0000-0000-000052770000}"/>
    <cellStyle name="Normal 17 6 3" xfId="21886" xr:uid="{00000000-0005-0000-0000-000053770000}"/>
    <cellStyle name="Normal 17 6 4" xfId="21887" xr:uid="{00000000-0005-0000-0000-000054770000}"/>
    <cellStyle name="Normal 17 6 5" xfId="21888" xr:uid="{00000000-0005-0000-0000-000055770000}"/>
    <cellStyle name="Normal 17 6 6" xfId="21889" xr:uid="{00000000-0005-0000-0000-000056770000}"/>
    <cellStyle name="Normal 17 7" xfId="7406" xr:uid="{00000000-0005-0000-0000-000057770000}"/>
    <cellStyle name="Normal 17 7 2" xfId="9499" xr:uid="{00000000-0005-0000-0000-000058770000}"/>
    <cellStyle name="Normal 17 7 2 2" xfId="13120" xr:uid="{00000000-0005-0000-0000-000059770000}"/>
    <cellStyle name="Normal 17 7 3" xfId="21890" xr:uid="{00000000-0005-0000-0000-00005A770000}"/>
    <cellStyle name="Normal 17 7 4" xfId="21891" xr:uid="{00000000-0005-0000-0000-00005B770000}"/>
    <cellStyle name="Normal 17 7 5" xfId="21892" xr:uid="{00000000-0005-0000-0000-00005C770000}"/>
    <cellStyle name="Normal 17 7 6" xfId="21893" xr:uid="{00000000-0005-0000-0000-00005D770000}"/>
    <cellStyle name="Normal 17 8" xfId="7407" xr:uid="{00000000-0005-0000-0000-00005E770000}"/>
    <cellStyle name="Normal 17 8 2" xfId="9500" xr:uid="{00000000-0005-0000-0000-00005F770000}"/>
    <cellStyle name="Normal 17 8 2 2" xfId="13121" xr:uid="{00000000-0005-0000-0000-000060770000}"/>
    <cellStyle name="Normal 17 8 3" xfId="21894" xr:uid="{00000000-0005-0000-0000-000061770000}"/>
    <cellStyle name="Normal 17 8 4" xfId="21895" xr:uid="{00000000-0005-0000-0000-000062770000}"/>
    <cellStyle name="Normal 17 8 5" xfId="21896" xr:uid="{00000000-0005-0000-0000-000063770000}"/>
    <cellStyle name="Normal 17 8 6" xfId="21897" xr:uid="{00000000-0005-0000-0000-000064770000}"/>
    <cellStyle name="Normal 17 9" xfId="7408" xr:uid="{00000000-0005-0000-0000-000065770000}"/>
    <cellStyle name="Normal 17 9 2" xfId="9501" xr:uid="{00000000-0005-0000-0000-000066770000}"/>
    <cellStyle name="Normal 17 9 2 2" xfId="13122" xr:uid="{00000000-0005-0000-0000-000067770000}"/>
    <cellStyle name="Normal 17 9 3" xfId="21898" xr:uid="{00000000-0005-0000-0000-000068770000}"/>
    <cellStyle name="Normal 17 9 4" xfId="21899" xr:uid="{00000000-0005-0000-0000-000069770000}"/>
    <cellStyle name="Normal 17 9 5" xfId="21900" xr:uid="{00000000-0005-0000-0000-00006A770000}"/>
    <cellStyle name="Normal 17 9 6" xfId="21901" xr:uid="{00000000-0005-0000-0000-00006B770000}"/>
    <cellStyle name="Normal 17_ELC" xfId="3589" xr:uid="{00000000-0005-0000-0000-00006C770000}"/>
    <cellStyle name="Normal 18" xfId="1543" xr:uid="{00000000-0005-0000-0000-00006D770000}"/>
    <cellStyle name="Normal 18 10" xfId="8480" xr:uid="{00000000-0005-0000-0000-00006E770000}"/>
    <cellStyle name="Normal 18 10 2" xfId="9503" xr:uid="{00000000-0005-0000-0000-00006F770000}"/>
    <cellStyle name="Normal 18 10 2 2" xfId="13124" xr:uid="{00000000-0005-0000-0000-000070770000}"/>
    <cellStyle name="Normal 18 10 3" xfId="21902" xr:uid="{00000000-0005-0000-0000-000071770000}"/>
    <cellStyle name="Normal 18 10 4" xfId="21903" xr:uid="{00000000-0005-0000-0000-000072770000}"/>
    <cellStyle name="Normal 18 10 5" xfId="21904" xr:uid="{00000000-0005-0000-0000-000073770000}"/>
    <cellStyle name="Normal 18 10 6" xfId="21905" xr:uid="{00000000-0005-0000-0000-000074770000}"/>
    <cellStyle name="Normal 18 11" xfId="8586" xr:uid="{00000000-0005-0000-0000-000075770000}"/>
    <cellStyle name="Normal 18 11 2" xfId="9504" xr:uid="{00000000-0005-0000-0000-000076770000}"/>
    <cellStyle name="Normal 18 11 2 2" xfId="13125" xr:uid="{00000000-0005-0000-0000-000077770000}"/>
    <cellStyle name="Normal 18 11 3" xfId="12595" xr:uid="{00000000-0005-0000-0000-000078770000}"/>
    <cellStyle name="Normal 18 11 3 2" xfId="21906" xr:uid="{00000000-0005-0000-0000-000079770000}"/>
    <cellStyle name="Normal 18 11 4" xfId="21907" xr:uid="{00000000-0005-0000-0000-00007A770000}"/>
    <cellStyle name="Normal 18 11 5" xfId="21908" xr:uid="{00000000-0005-0000-0000-00007B770000}"/>
    <cellStyle name="Normal 18 11 6" xfId="21909" xr:uid="{00000000-0005-0000-0000-00007C770000}"/>
    <cellStyle name="Normal 18 11 7" xfId="21910" xr:uid="{00000000-0005-0000-0000-00007D770000}"/>
    <cellStyle name="Normal 18 12" xfId="9505" xr:uid="{00000000-0005-0000-0000-00007E770000}"/>
    <cellStyle name="Normal 18 12 2" xfId="13126" xr:uid="{00000000-0005-0000-0000-00007F770000}"/>
    <cellStyle name="Normal 18 13" xfId="9502" xr:uid="{00000000-0005-0000-0000-000080770000}"/>
    <cellStyle name="Normal 18 13 2" xfId="13123" xr:uid="{00000000-0005-0000-0000-000081770000}"/>
    <cellStyle name="Normal 18 14" xfId="21911" xr:uid="{00000000-0005-0000-0000-000082770000}"/>
    <cellStyle name="Normal 18 15" xfId="21912" xr:uid="{00000000-0005-0000-0000-000083770000}"/>
    <cellStyle name="Normal 18 16" xfId="21913" xr:uid="{00000000-0005-0000-0000-000084770000}"/>
    <cellStyle name="Normal 18 17" xfId="21914" xr:uid="{00000000-0005-0000-0000-000085770000}"/>
    <cellStyle name="Normal 18 18" xfId="21915" xr:uid="{00000000-0005-0000-0000-000086770000}"/>
    <cellStyle name="Normal 18 19" xfId="6601" xr:uid="{00000000-0005-0000-0000-000087770000}"/>
    <cellStyle name="Normal 18 2" xfId="1544" xr:uid="{00000000-0005-0000-0000-000088770000}"/>
    <cellStyle name="Normal 18 2 10" xfId="21916" xr:uid="{00000000-0005-0000-0000-000089770000}"/>
    <cellStyle name="Normal 18 2 2" xfId="3592" xr:uid="{00000000-0005-0000-0000-00008A770000}"/>
    <cellStyle name="Normal 18 2 2 2" xfId="5398" xr:uid="{00000000-0005-0000-0000-00008B770000}"/>
    <cellStyle name="Normal 18 2 2 2 2" xfId="9508" xr:uid="{00000000-0005-0000-0000-00008C770000}"/>
    <cellStyle name="Normal 18 2 2 2 2 2" xfId="13129" xr:uid="{00000000-0005-0000-0000-00008D770000}"/>
    <cellStyle name="Normal 18 2 2 2 3" xfId="21917" xr:uid="{00000000-0005-0000-0000-00008E770000}"/>
    <cellStyle name="Normal 18 2 2 2 4" xfId="21918" xr:uid="{00000000-0005-0000-0000-00008F770000}"/>
    <cellStyle name="Normal 18 2 2 2 5" xfId="21919" xr:uid="{00000000-0005-0000-0000-000090770000}"/>
    <cellStyle name="Normal 18 2 2 2 6" xfId="21920" xr:uid="{00000000-0005-0000-0000-000091770000}"/>
    <cellStyle name="Normal 18 2 2 3" xfId="9507" xr:uid="{00000000-0005-0000-0000-000092770000}"/>
    <cellStyle name="Normal 18 2 2 3 2" xfId="13128" xr:uid="{00000000-0005-0000-0000-000093770000}"/>
    <cellStyle name="Normal 18 2 2 3 3" xfId="38411" xr:uid="{00000000-0005-0000-0000-000094770000}"/>
    <cellStyle name="Normal 18 2 2 4" xfId="21921" xr:uid="{00000000-0005-0000-0000-000095770000}"/>
    <cellStyle name="Normal 18 2 2 5" xfId="21922" xr:uid="{00000000-0005-0000-0000-000096770000}"/>
    <cellStyle name="Normal 18 2 2 6" xfId="21923" xr:uid="{00000000-0005-0000-0000-000097770000}"/>
    <cellStyle name="Normal 18 2 2 7" xfId="21924" xr:uid="{00000000-0005-0000-0000-000098770000}"/>
    <cellStyle name="Normal 18 2 3" xfId="3591" xr:uid="{00000000-0005-0000-0000-000099770000}"/>
    <cellStyle name="Normal 18 2 3 2" xfId="9509" xr:uid="{00000000-0005-0000-0000-00009A770000}"/>
    <cellStyle name="Normal 18 2 3 2 2" xfId="13130" xr:uid="{00000000-0005-0000-0000-00009B770000}"/>
    <cellStyle name="Normal 18 2 3 3" xfId="21925" xr:uid="{00000000-0005-0000-0000-00009C770000}"/>
    <cellStyle name="Normal 18 2 3 4" xfId="21926" xr:uid="{00000000-0005-0000-0000-00009D770000}"/>
    <cellStyle name="Normal 18 2 3 5" xfId="21927" xr:uid="{00000000-0005-0000-0000-00009E770000}"/>
    <cellStyle name="Normal 18 2 3 6" xfId="21928" xr:uid="{00000000-0005-0000-0000-00009F770000}"/>
    <cellStyle name="Normal 18 2 4" xfId="4774" xr:uid="{00000000-0005-0000-0000-0000A0770000}"/>
    <cellStyle name="Normal 18 2 4 2" xfId="9510" xr:uid="{00000000-0005-0000-0000-0000A1770000}"/>
    <cellStyle name="Normal 18 2 4 2 2" xfId="13131" xr:uid="{00000000-0005-0000-0000-0000A2770000}"/>
    <cellStyle name="Normal 18 2 4 3" xfId="12456" xr:uid="{00000000-0005-0000-0000-0000A3770000}"/>
    <cellStyle name="Normal 18 2 4 4" xfId="35765" xr:uid="{00000000-0005-0000-0000-0000A4770000}"/>
    <cellStyle name="Normal 18 2 4 5" xfId="8256" xr:uid="{00000000-0005-0000-0000-0000A5770000}"/>
    <cellStyle name="Normal 18 2 5" xfId="9506" xr:uid="{00000000-0005-0000-0000-0000A6770000}"/>
    <cellStyle name="Normal 18 2 5 2" xfId="13127" xr:uid="{00000000-0005-0000-0000-0000A7770000}"/>
    <cellStyle name="Normal 18 2 5 3" xfId="37826" xr:uid="{00000000-0005-0000-0000-0000A8770000}"/>
    <cellStyle name="Normal 18 2 6" xfId="21929" xr:uid="{00000000-0005-0000-0000-0000A9770000}"/>
    <cellStyle name="Normal 18 2 7" xfId="21930" xr:uid="{00000000-0005-0000-0000-0000AA770000}"/>
    <cellStyle name="Normal 18 2 8" xfId="21931" xr:uid="{00000000-0005-0000-0000-0000AB770000}"/>
    <cellStyle name="Normal 18 2 9" xfId="21932" xr:uid="{00000000-0005-0000-0000-0000AC770000}"/>
    <cellStyle name="Normal 18 2_ELC" xfId="3593" xr:uid="{00000000-0005-0000-0000-0000AD770000}"/>
    <cellStyle name="Normal 18 3" xfId="3594" xr:uid="{00000000-0005-0000-0000-0000AE770000}"/>
    <cellStyle name="Normal 18 3 2" xfId="5399" xr:uid="{00000000-0005-0000-0000-0000AF770000}"/>
    <cellStyle name="Normal 18 3 2 2" xfId="9512" xr:uid="{00000000-0005-0000-0000-0000B0770000}"/>
    <cellStyle name="Normal 18 3 2 2 2" xfId="13133" xr:uid="{00000000-0005-0000-0000-0000B1770000}"/>
    <cellStyle name="Normal 18 3 2 3" xfId="21933" xr:uid="{00000000-0005-0000-0000-0000B2770000}"/>
    <cellStyle name="Normal 18 3 2 4" xfId="21934" xr:uid="{00000000-0005-0000-0000-0000B3770000}"/>
    <cellStyle name="Normal 18 3 2 5" xfId="21935" xr:uid="{00000000-0005-0000-0000-0000B4770000}"/>
    <cellStyle name="Normal 18 3 2 6" xfId="21936" xr:uid="{00000000-0005-0000-0000-0000B5770000}"/>
    <cellStyle name="Normal 18 3 3" xfId="9511" xr:uid="{00000000-0005-0000-0000-0000B6770000}"/>
    <cellStyle name="Normal 18 3 3 2" xfId="13132" xr:uid="{00000000-0005-0000-0000-0000B7770000}"/>
    <cellStyle name="Normal 18 3 3 3" xfId="38412" xr:uid="{00000000-0005-0000-0000-0000B8770000}"/>
    <cellStyle name="Normal 18 3 4" xfId="21937" xr:uid="{00000000-0005-0000-0000-0000B9770000}"/>
    <cellStyle name="Normal 18 3 5" xfId="21938" xr:uid="{00000000-0005-0000-0000-0000BA770000}"/>
    <cellStyle name="Normal 18 3 6" xfId="21939" xr:uid="{00000000-0005-0000-0000-0000BB770000}"/>
    <cellStyle name="Normal 18 3 7" xfId="21940" xr:uid="{00000000-0005-0000-0000-0000BC770000}"/>
    <cellStyle name="Normal 18 4" xfId="3595" xr:uid="{00000000-0005-0000-0000-0000BD770000}"/>
    <cellStyle name="Normal 18 4 2" xfId="7409" xr:uid="{00000000-0005-0000-0000-0000BE770000}"/>
    <cellStyle name="Normal 18 4 2 2" xfId="9514" xr:uid="{00000000-0005-0000-0000-0000BF770000}"/>
    <cellStyle name="Normal 18 4 2 2 2" xfId="13135" xr:uid="{00000000-0005-0000-0000-0000C0770000}"/>
    <cellStyle name="Normal 18 4 2 3" xfId="21941" xr:uid="{00000000-0005-0000-0000-0000C1770000}"/>
    <cellStyle name="Normal 18 4 2 4" xfId="21942" xr:uid="{00000000-0005-0000-0000-0000C2770000}"/>
    <cellStyle name="Normal 18 4 2 5" xfId="21943" xr:uid="{00000000-0005-0000-0000-0000C3770000}"/>
    <cellStyle name="Normal 18 4 2 6" xfId="21944" xr:uid="{00000000-0005-0000-0000-0000C4770000}"/>
    <cellStyle name="Normal 18 4 3" xfId="8567" xr:uid="{00000000-0005-0000-0000-0000C5770000}"/>
    <cellStyle name="Normal 18 4 3 2" xfId="9515" xr:uid="{00000000-0005-0000-0000-0000C6770000}"/>
    <cellStyle name="Normal 18 4 3 2 2" xfId="13136" xr:uid="{00000000-0005-0000-0000-0000C7770000}"/>
    <cellStyle name="Normal 18 4 3 3" xfId="21945" xr:uid="{00000000-0005-0000-0000-0000C8770000}"/>
    <cellStyle name="Normal 18 4 3 4" xfId="21946" xr:uid="{00000000-0005-0000-0000-0000C9770000}"/>
    <cellStyle name="Normal 18 4 3 5" xfId="21947" xr:uid="{00000000-0005-0000-0000-0000CA770000}"/>
    <cellStyle name="Normal 18 4 3 6" xfId="21948" xr:uid="{00000000-0005-0000-0000-0000CB770000}"/>
    <cellStyle name="Normal 18 4 4" xfId="8383" xr:uid="{00000000-0005-0000-0000-0000CC770000}"/>
    <cellStyle name="Normal 18 4 4 2" xfId="9516" xr:uid="{00000000-0005-0000-0000-0000CD770000}"/>
    <cellStyle name="Normal 18 4 4 2 2" xfId="13137" xr:uid="{00000000-0005-0000-0000-0000CE770000}"/>
    <cellStyle name="Normal 18 4 4 3" xfId="12506" xr:uid="{00000000-0005-0000-0000-0000CF770000}"/>
    <cellStyle name="Normal 18 4 4 3 2" xfId="21949" xr:uid="{00000000-0005-0000-0000-0000D0770000}"/>
    <cellStyle name="Normal 18 4 4 4" xfId="21950" xr:uid="{00000000-0005-0000-0000-0000D1770000}"/>
    <cellStyle name="Normal 18 4 4 5" xfId="21951" xr:uid="{00000000-0005-0000-0000-0000D2770000}"/>
    <cellStyle name="Normal 18 4 4 6" xfId="21952" xr:uid="{00000000-0005-0000-0000-0000D3770000}"/>
    <cellStyle name="Normal 18 4 4 7" xfId="21953" xr:uid="{00000000-0005-0000-0000-0000D4770000}"/>
    <cellStyle name="Normal 18 4 5" xfId="9513" xr:uid="{00000000-0005-0000-0000-0000D5770000}"/>
    <cellStyle name="Normal 18 4 5 2" xfId="13134" xr:uid="{00000000-0005-0000-0000-0000D6770000}"/>
    <cellStyle name="Normal 18 4 6" xfId="21954" xr:uid="{00000000-0005-0000-0000-0000D7770000}"/>
    <cellStyle name="Normal 18 4 7" xfId="21955" xr:uid="{00000000-0005-0000-0000-0000D8770000}"/>
    <cellStyle name="Normal 18 4 8" xfId="21956" xr:uid="{00000000-0005-0000-0000-0000D9770000}"/>
    <cellStyle name="Normal 18 4 9" xfId="21957" xr:uid="{00000000-0005-0000-0000-0000DA770000}"/>
    <cellStyle name="Normal 18 5" xfId="3590" xr:uid="{00000000-0005-0000-0000-0000DB770000}"/>
    <cellStyle name="Normal 18 5 2" xfId="9517" xr:uid="{00000000-0005-0000-0000-0000DC770000}"/>
    <cellStyle name="Normal 18 5 2 2" xfId="13138" xr:uid="{00000000-0005-0000-0000-0000DD770000}"/>
    <cellStyle name="Normal 18 5 3" xfId="21958" xr:uid="{00000000-0005-0000-0000-0000DE770000}"/>
    <cellStyle name="Normal 18 5 4" xfId="21959" xr:uid="{00000000-0005-0000-0000-0000DF770000}"/>
    <cellStyle name="Normal 18 5 5" xfId="21960" xr:uid="{00000000-0005-0000-0000-0000E0770000}"/>
    <cellStyle name="Normal 18 5 6" xfId="21961" xr:uid="{00000000-0005-0000-0000-0000E1770000}"/>
    <cellStyle name="Normal 18 6" xfId="4773" xr:uid="{00000000-0005-0000-0000-0000E2770000}"/>
    <cellStyle name="Normal 18 6 2" xfId="9518" xr:uid="{00000000-0005-0000-0000-0000E3770000}"/>
    <cellStyle name="Normal 18 6 2 2" xfId="13139" xr:uid="{00000000-0005-0000-0000-0000E4770000}"/>
    <cellStyle name="Normal 18 6 3" xfId="21962" xr:uid="{00000000-0005-0000-0000-0000E5770000}"/>
    <cellStyle name="Normal 18 6 4" xfId="21963" xr:uid="{00000000-0005-0000-0000-0000E6770000}"/>
    <cellStyle name="Normal 18 6 5" xfId="21964" xr:uid="{00000000-0005-0000-0000-0000E7770000}"/>
    <cellStyle name="Normal 18 6 6" xfId="21965" xr:uid="{00000000-0005-0000-0000-0000E8770000}"/>
    <cellStyle name="Normal 18 7" xfId="7410" xr:uid="{00000000-0005-0000-0000-0000E9770000}"/>
    <cellStyle name="Normal 18 7 2" xfId="9519" xr:uid="{00000000-0005-0000-0000-0000EA770000}"/>
    <cellStyle name="Normal 18 7 2 2" xfId="13140" xr:uid="{00000000-0005-0000-0000-0000EB770000}"/>
    <cellStyle name="Normal 18 7 3" xfId="21966" xr:uid="{00000000-0005-0000-0000-0000EC770000}"/>
    <cellStyle name="Normal 18 7 4" xfId="21967" xr:uid="{00000000-0005-0000-0000-0000ED770000}"/>
    <cellStyle name="Normal 18 7 5" xfId="21968" xr:uid="{00000000-0005-0000-0000-0000EE770000}"/>
    <cellStyle name="Normal 18 7 6" xfId="21969" xr:uid="{00000000-0005-0000-0000-0000EF770000}"/>
    <cellStyle name="Normal 18 8" xfId="7411" xr:uid="{00000000-0005-0000-0000-0000F0770000}"/>
    <cellStyle name="Normal 18 8 2" xfId="9520" xr:uid="{00000000-0005-0000-0000-0000F1770000}"/>
    <cellStyle name="Normal 18 8 2 2" xfId="13141" xr:uid="{00000000-0005-0000-0000-0000F2770000}"/>
    <cellStyle name="Normal 18 8 3" xfId="21970" xr:uid="{00000000-0005-0000-0000-0000F3770000}"/>
    <cellStyle name="Normal 18 8 4" xfId="21971" xr:uid="{00000000-0005-0000-0000-0000F4770000}"/>
    <cellStyle name="Normal 18 8 5" xfId="21972" xr:uid="{00000000-0005-0000-0000-0000F5770000}"/>
    <cellStyle name="Normal 18 8 6" xfId="21973" xr:uid="{00000000-0005-0000-0000-0000F6770000}"/>
    <cellStyle name="Normal 18 9" xfId="7412" xr:uid="{00000000-0005-0000-0000-0000F7770000}"/>
    <cellStyle name="Normal 18 9 2" xfId="9521" xr:uid="{00000000-0005-0000-0000-0000F8770000}"/>
    <cellStyle name="Normal 18 9 2 2" xfId="13142" xr:uid="{00000000-0005-0000-0000-0000F9770000}"/>
    <cellStyle name="Normal 18 9 3" xfId="21974" xr:uid="{00000000-0005-0000-0000-0000FA770000}"/>
    <cellStyle name="Normal 18 9 4" xfId="21975" xr:uid="{00000000-0005-0000-0000-0000FB770000}"/>
    <cellStyle name="Normal 18 9 5" xfId="21976" xr:uid="{00000000-0005-0000-0000-0000FC770000}"/>
    <cellStyle name="Normal 18 9 6" xfId="21977" xr:uid="{00000000-0005-0000-0000-0000FD770000}"/>
    <cellStyle name="Normal 18_ELC" xfId="3596" xr:uid="{00000000-0005-0000-0000-0000FE770000}"/>
    <cellStyle name="Normal 19" xfId="1545" xr:uid="{00000000-0005-0000-0000-0000FF770000}"/>
    <cellStyle name="Normal 19 10" xfId="8481" xr:uid="{00000000-0005-0000-0000-000000780000}"/>
    <cellStyle name="Normal 19 10 2" xfId="9523" xr:uid="{00000000-0005-0000-0000-000001780000}"/>
    <cellStyle name="Normal 19 10 2 2" xfId="13144" xr:uid="{00000000-0005-0000-0000-000002780000}"/>
    <cellStyle name="Normal 19 10 3" xfId="21978" xr:uid="{00000000-0005-0000-0000-000003780000}"/>
    <cellStyle name="Normal 19 10 4" xfId="21979" xr:uid="{00000000-0005-0000-0000-000004780000}"/>
    <cellStyle name="Normal 19 10 5" xfId="21980" xr:uid="{00000000-0005-0000-0000-000005780000}"/>
    <cellStyle name="Normal 19 10 6" xfId="21981" xr:uid="{00000000-0005-0000-0000-000006780000}"/>
    <cellStyle name="Normal 19 11" xfId="9524" xr:uid="{00000000-0005-0000-0000-000007780000}"/>
    <cellStyle name="Normal 19 11 2" xfId="13145" xr:uid="{00000000-0005-0000-0000-000008780000}"/>
    <cellStyle name="Normal 19 12" xfId="9522" xr:uid="{00000000-0005-0000-0000-000009780000}"/>
    <cellStyle name="Normal 19 12 2" xfId="13143" xr:uid="{00000000-0005-0000-0000-00000A780000}"/>
    <cellStyle name="Normal 19 13" xfId="21982" xr:uid="{00000000-0005-0000-0000-00000B780000}"/>
    <cellStyle name="Normal 19 14" xfId="21983" xr:uid="{00000000-0005-0000-0000-00000C780000}"/>
    <cellStyle name="Normal 19 15" xfId="21984" xr:uid="{00000000-0005-0000-0000-00000D780000}"/>
    <cellStyle name="Normal 19 16" xfId="21985" xr:uid="{00000000-0005-0000-0000-00000E780000}"/>
    <cellStyle name="Normal 19 17" xfId="21986" xr:uid="{00000000-0005-0000-0000-00000F780000}"/>
    <cellStyle name="Normal 19 2" xfId="1546" xr:uid="{00000000-0005-0000-0000-000010780000}"/>
    <cellStyle name="Normal 19 2 2" xfId="3599" xr:uid="{00000000-0005-0000-0000-000011780000}"/>
    <cellStyle name="Normal 19 2 2 2" xfId="5400" xr:uid="{00000000-0005-0000-0000-000012780000}"/>
    <cellStyle name="Normal 19 2 2 2 2" xfId="9527" xr:uid="{00000000-0005-0000-0000-000013780000}"/>
    <cellStyle name="Normal 19 2 2 2 2 2" xfId="13148" xr:uid="{00000000-0005-0000-0000-000014780000}"/>
    <cellStyle name="Normal 19 2 2 2 3" xfId="21987" xr:uid="{00000000-0005-0000-0000-000015780000}"/>
    <cellStyle name="Normal 19 2 2 2 4" xfId="21988" xr:uid="{00000000-0005-0000-0000-000016780000}"/>
    <cellStyle name="Normal 19 2 2 2 5" xfId="21989" xr:uid="{00000000-0005-0000-0000-000017780000}"/>
    <cellStyle name="Normal 19 2 2 2 6" xfId="21990" xr:uid="{00000000-0005-0000-0000-000018780000}"/>
    <cellStyle name="Normal 19 2 2 3" xfId="9526" xr:uid="{00000000-0005-0000-0000-000019780000}"/>
    <cellStyle name="Normal 19 2 2 3 2" xfId="13147" xr:uid="{00000000-0005-0000-0000-00001A780000}"/>
    <cellStyle name="Normal 19 2 2 3 3" xfId="38413" xr:uid="{00000000-0005-0000-0000-00001B780000}"/>
    <cellStyle name="Normal 19 2 2 4" xfId="21991" xr:uid="{00000000-0005-0000-0000-00001C780000}"/>
    <cellStyle name="Normal 19 2 2 5" xfId="21992" xr:uid="{00000000-0005-0000-0000-00001D780000}"/>
    <cellStyle name="Normal 19 2 2 6" xfId="21993" xr:uid="{00000000-0005-0000-0000-00001E780000}"/>
    <cellStyle name="Normal 19 2 2 7" xfId="21994" xr:uid="{00000000-0005-0000-0000-00001F780000}"/>
    <cellStyle name="Normal 19 2 3" xfId="3600" xr:uid="{00000000-0005-0000-0000-000020780000}"/>
    <cellStyle name="Normal 19 2 3 2" xfId="5401" xr:uid="{00000000-0005-0000-0000-000021780000}"/>
    <cellStyle name="Normal 19 2 3 2 2" xfId="13149" xr:uid="{00000000-0005-0000-0000-000022780000}"/>
    <cellStyle name="Normal 19 2 3 2 3" xfId="36129" xr:uid="{00000000-0005-0000-0000-000023780000}"/>
    <cellStyle name="Normal 19 2 3 2 4" xfId="9528" xr:uid="{00000000-0005-0000-0000-000024780000}"/>
    <cellStyle name="Normal 19 2 3 3" xfId="21995" xr:uid="{00000000-0005-0000-0000-000025780000}"/>
    <cellStyle name="Normal 19 2 3 3 2" xfId="38414" xr:uid="{00000000-0005-0000-0000-000026780000}"/>
    <cellStyle name="Normal 19 2 3 4" xfId="21996" xr:uid="{00000000-0005-0000-0000-000027780000}"/>
    <cellStyle name="Normal 19 2 3 5" xfId="21997" xr:uid="{00000000-0005-0000-0000-000028780000}"/>
    <cellStyle name="Normal 19 2 3 6" xfId="21998" xr:uid="{00000000-0005-0000-0000-000029780000}"/>
    <cellStyle name="Normal 19 2 4" xfId="3598" xr:uid="{00000000-0005-0000-0000-00002A780000}"/>
    <cellStyle name="Normal 19 2 4 2" xfId="13146" xr:uid="{00000000-0005-0000-0000-00002B780000}"/>
    <cellStyle name="Normal 19 2 4 3" xfId="35429" xr:uid="{00000000-0005-0000-0000-00002C780000}"/>
    <cellStyle name="Normal 19 2 4 4" xfId="9525" xr:uid="{00000000-0005-0000-0000-00002D780000}"/>
    <cellStyle name="Normal 19 2 5" xfId="4776" xr:uid="{00000000-0005-0000-0000-00002E780000}"/>
    <cellStyle name="Normal 19 2 5 2" xfId="35766" xr:uid="{00000000-0005-0000-0000-00002F780000}"/>
    <cellStyle name="Normal 19 2 5 3" xfId="21999" xr:uid="{00000000-0005-0000-0000-000030780000}"/>
    <cellStyle name="Normal 19 2 6" xfId="22000" xr:uid="{00000000-0005-0000-0000-000031780000}"/>
    <cellStyle name="Normal 19 2 6 2" xfId="37827" xr:uid="{00000000-0005-0000-0000-000032780000}"/>
    <cellStyle name="Normal 19 2 7" xfId="22001" xr:uid="{00000000-0005-0000-0000-000033780000}"/>
    <cellStyle name="Normal 19 2 8" xfId="22002" xr:uid="{00000000-0005-0000-0000-000034780000}"/>
    <cellStyle name="Normal 19 2 9" xfId="22003" xr:uid="{00000000-0005-0000-0000-000035780000}"/>
    <cellStyle name="Normal 19 3" xfId="3601" xr:uid="{00000000-0005-0000-0000-000036780000}"/>
    <cellStyle name="Normal 19 3 2" xfId="5402" xr:uid="{00000000-0005-0000-0000-000037780000}"/>
    <cellStyle name="Normal 19 3 2 2" xfId="9530" xr:uid="{00000000-0005-0000-0000-000038780000}"/>
    <cellStyle name="Normal 19 3 2 2 2" xfId="13151" xr:uid="{00000000-0005-0000-0000-000039780000}"/>
    <cellStyle name="Normal 19 3 2 3" xfId="22004" xr:uid="{00000000-0005-0000-0000-00003A780000}"/>
    <cellStyle name="Normal 19 3 2 4" xfId="22005" xr:uid="{00000000-0005-0000-0000-00003B780000}"/>
    <cellStyle name="Normal 19 3 2 5" xfId="22006" xr:uid="{00000000-0005-0000-0000-00003C780000}"/>
    <cellStyle name="Normal 19 3 2 6" xfId="22007" xr:uid="{00000000-0005-0000-0000-00003D780000}"/>
    <cellStyle name="Normal 19 3 3" xfId="9529" xr:uid="{00000000-0005-0000-0000-00003E780000}"/>
    <cellStyle name="Normal 19 3 3 2" xfId="13150" xr:uid="{00000000-0005-0000-0000-00003F780000}"/>
    <cellStyle name="Normal 19 3 3 3" xfId="38415" xr:uid="{00000000-0005-0000-0000-000040780000}"/>
    <cellStyle name="Normal 19 3 4" xfId="22008" xr:uid="{00000000-0005-0000-0000-000041780000}"/>
    <cellStyle name="Normal 19 3 5" xfId="22009" xr:uid="{00000000-0005-0000-0000-000042780000}"/>
    <cellStyle name="Normal 19 3 6" xfId="22010" xr:uid="{00000000-0005-0000-0000-000043780000}"/>
    <cellStyle name="Normal 19 3 7" xfId="22011" xr:uid="{00000000-0005-0000-0000-000044780000}"/>
    <cellStyle name="Normal 19 4" xfId="3602" xr:uid="{00000000-0005-0000-0000-000045780000}"/>
    <cellStyle name="Normal 19 4 2" xfId="7413" xr:uid="{00000000-0005-0000-0000-000046780000}"/>
    <cellStyle name="Normal 19 4 2 2" xfId="9532" xr:uid="{00000000-0005-0000-0000-000047780000}"/>
    <cellStyle name="Normal 19 4 2 2 2" xfId="13153" xr:uid="{00000000-0005-0000-0000-000048780000}"/>
    <cellStyle name="Normal 19 4 2 3" xfId="22012" xr:uid="{00000000-0005-0000-0000-000049780000}"/>
    <cellStyle name="Normal 19 4 2 4" xfId="22013" xr:uid="{00000000-0005-0000-0000-00004A780000}"/>
    <cellStyle name="Normal 19 4 2 5" xfId="22014" xr:uid="{00000000-0005-0000-0000-00004B780000}"/>
    <cellStyle name="Normal 19 4 2 6" xfId="22015" xr:uid="{00000000-0005-0000-0000-00004C780000}"/>
    <cellStyle name="Normal 19 4 3" xfId="8568" xr:uid="{00000000-0005-0000-0000-00004D780000}"/>
    <cellStyle name="Normal 19 4 3 2" xfId="9533" xr:uid="{00000000-0005-0000-0000-00004E780000}"/>
    <cellStyle name="Normal 19 4 3 2 2" xfId="13154" xr:uid="{00000000-0005-0000-0000-00004F780000}"/>
    <cellStyle name="Normal 19 4 3 3" xfId="22016" xr:uid="{00000000-0005-0000-0000-000050780000}"/>
    <cellStyle name="Normal 19 4 3 4" xfId="22017" xr:uid="{00000000-0005-0000-0000-000051780000}"/>
    <cellStyle name="Normal 19 4 3 5" xfId="22018" xr:uid="{00000000-0005-0000-0000-000052780000}"/>
    <cellStyle name="Normal 19 4 3 6" xfId="22019" xr:uid="{00000000-0005-0000-0000-000053780000}"/>
    <cellStyle name="Normal 19 4 4" xfId="8384" xr:uid="{00000000-0005-0000-0000-000054780000}"/>
    <cellStyle name="Normal 19 4 4 2" xfId="9534" xr:uid="{00000000-0005-0000-0000-000055780000}"/>
    <cellStyle name="Normal 19 4 4 2 2" xfId="13155" xr:uid="{00000000-0005-0000-0000-000056780000}"/>
    <cellStyle name="Normal 19 4 4 3" xfId="12507" xr:uid="{00000000-0005-0000-0000-000057780000}"/>
    <cellStyle name="Normal 19 4 4 3 2" xfId="22020" xr:uid="{00000000-0005-0000-0000-000058780000}"/>
    <cellStyle name="Normal 19 4 4 4" xfId="22021" xr:uid="{00000000-0005-0000-0000-000059780000}"/>
    <cellStyle name="Normal 19 4 4 5" xfId="22022" xr:uid="{00000000-0005-0000-0000-00005A780000}"/>
    <cellStyle name="Normal 19 4 4 6" xfId="22023" xr:uid="{00000000-0005-0000-0000-00005B780000}"/>
    <cellStyle name="Normal 19 4 4 7" xfId="22024" xr:uid="{00000000-0005-0000-0000-00005C780000}"/>
    <cellStyle name="Normal 19 4 5" xfId="9531" xr:uid="{00000000-0005-0000-0000-00005D780000}"/>
    <cellStyle name="Normal 19 4 5 2" xfId="13152" xr:uid="{00000000-0005-0000-0000-00005E780000}"/>
    <cellStyle name="Normal 19 4 6" xfId="22025" xr:uid="{00000000-0005-0000-0000-00005F780000}"/>
    <cellStyle name="Normal 19 4 7" xfId="22026" xr:uid="{00000000-0005-0000-0000-000060780000}"/>
    <cellStyle name="Normal 19 4 8" xfId="22027" xr:uid="{00000000-0005-0000-0000-000061780000}"/>
    <cellStyle name="Normal 19 4 9" xfId="22028" xr:uid="{00000000-0005-0000-0000-000062780000}"/>
    <cellStyle name="Normal 19 5" xfId="3597" xr:uid="{00000000-0005-0000-0000-000063780000}"/>
    <cellStyle name="Normal 19 5 2" xfId="9535" xr:uid="{00000000-0005-0000-0000-000064780000}"/>
    <cellStyle name="Normal 19 5 2 2" xfId="13156" xr:uid="{00000000-0005-0000-0000-000065780000}"/>
    <cellStyle name="Normal 19 5 3" xfId="22029" xr:uid="{00000000-0005-0000-0000-000066780000}"/>
    <cellStyle name="Normal 19 5 4" xfId="22030" xr:uid="{00000000-0005-0000-0000-000067780000}"/>
    <cellStyle name="Normal 19 5 5" xfId="22031" xr:uid="{00000000-0005-0000-0000-000068780000}"/>
    <cellStyle name="Normal 19 5 6" xfId="22032" xr:uid="{00000000-0005-0000-0000-000069780000}"/>
    <cellStyle name="Normal 19 6" xfId="4775" xr:uid="{00000000-0005-0000-0000-00006A780000}"/>
    <cellStyle name="Normal 19 6 2" xfId="9536" xr:uid="{00000000-0005-0000-0000-00006B780000}"/>
    <cellStyle name="Normal 19 6 2 2" xfId="13157" xr:uid="{00000000-0005-0000-0000-00006C780000}"/>
    <cellStyle name="Normal 19 6 3" xfId="22033" xr:uid="{00000000-0005-0000-0000-00006D780000}"/>
    <cellStyle name="Normal 19 6 4" xfId="22034" xr:uid="{00000000-0005-0000-0000-00006E780000}"/>
    <cellStyle name="Normal 19 6 5" xfId="22035" xr:uid="{00000000-0005-0000-0000-00006F780000}"/>
    <cellStyle name="Normal 19 6 6" xfId="22036" xr:uid="{00000000-0005-0000-0000-000070780000}"/>
    <cellStyle name="Normal 19 7" xfId="7414" xr:uid="{00000000-0005-0000-0000-000071780000}"/>
    <cellStyle name="Normal 19 7 2" xfId="9537" xr:uid="{00000000-0005-0000-0000-000072780000}"/>
    <cellStyle name="Normal 19 7 2 2" xfId="13158" xr:uid="{00000000-0005-0000-0000-000073780000}"/>
    <cellStyle name="Normal 19 7 3" xfId="22037" xr:uid="{00000000-0005-0000-0000-000074780000}"/>
    <cellStyle name="Normal 19 7 4" xfId="22038" xr:uid="{00000000-0005-0000-0000-000075780000}"/>
    <cellStyle name="Normal 19 7 5" xfId="22039" xr:uid="{00000000-0005-0000-0000-000076780000}"/>
    <cellStyle name="Normal 19 7 6" xfId="22040" xr:uid="{00000000-0005-0000-0000-000077780000}"/>
    <cellStyle name="Normal 19 8" xfId="7415" xr:uid="{00000000-0005-0000-0000-000078780000}"/>
    <cellStyle name="Normal 19 8 2" xfId="9538" xr:uid="{00000000-0005-0000-0000-000079780000}"/>
    <cellStyle name="Normal 19 8 2 2" xfId="13159" xr:uid="{00000000-0005-0000-0000-00007A780000}"/>
    <cellStyle name="Normal 19 8 3" xfId="22041" xr:uid="{00000000-0005-0000-0000-00007B780000}"/>
    <cellStyle name="Normal 19 8 4" xfId="22042" xr:uid="{00000000-0005-0000-0000-00007C780000}"/>
    <cellStyle name="Normal 19 8 5" xfId="22043" xr:uid="{00000000-0005-0000-0000-00007D780000}"/>
    <cellStyle name="Normal 19 8 6" xfId="22044" xr:uid="{00000000-0005-0000-0000-00007E780000}"/>
    <cellStyle name="Normal 19 9" xfId="7416" xr:uid="{00000000-0005-0000-0000-00007F780000}"/>
    <cellStyle name="Normal 19 9 2" xfId="9539" xr:uid="{00000000-0005-0000-0000-000080780000}"/>
    <cellStyle name="Normal 19 9 2 2" xfId="13160" xr:uid="{00000000-0005-0000-0000-000081780000}"/>
    <cellStyle name="Normal 19 9 3" xfId="22045" xr:uid="{00000000-0005-0000-0000-000082780000}"/>
    <cellStyle name="Normal 19 9 4" xfId="22046" xr:uid="{00000000-0005-0000-0000-000083780000}"/>
    <cellStyle name="Normal 19 9 5" xfId="22047" xr:uid="{00000000-0005-0000-0000-000084780000}"/>
    <cellStyle name="Normal 19 9 6" xfId="22048" xr:uid="{00000000-0005-0000-0000-000085780000}"/>
    <cellStyle name="Normal 19_ELC" xfId="3603" xr:uid="{00000000-0005-0000-0000-000086780000}"/>
    <cellStyle name="Normal 2" xfId="4" xr:uid="{00000000-0005-0000-0000-000087780000}"/>
    <cellStyle name="Normal 2 10" xfId="1548" xr:uid="{00000000-0005-0000-0000-000088780000}"/>
    <cellStyle name="Normal 2 10 2" xfId="3605" xr:uid="{00000000-0005-0000-0000-000089780000}"/>
    <cellStyle name="Normal 2 10 2 2" xfId="9542" xr:uid="{00000000-0005-0000-0000-00008A780000}"/>
    <cellStyle name="Normal 2 10 2 2 2" xfId="13163" xr:uid="{00000000-0005-0000-0000-00008B780000}"/>
    <cellStyle name="Normal 2 10 2 3" xfId="22049" xr:uid="{00000000-0005-0000-0000-00008C780000}"/>
    <cellStyle name="Normal 2 10 2 4" xfId="22050" xr:uid="{00000000-0005-0000-0000-00008D780000}"/>
    <cellStyle name="Normal 2 10 2 5" xfId="22051" xr:uid="{00000000-0005-0000-0000-00008E780000}"/>
    <cellStyle name="Normal 2 10 2 6" xfId="22052" xr:uid="{00000000-0005-0000-0000-00008F780000}"/>
    <cellStyle name="Normal 2 10 3" xfId="4778" xr:uid="{00000000-0005-0000-0000-000090780000}"/>
    <cellStyle name="Normal 2 10 3 2" xfId="13162" xr:uid="{00000000-0005-0000-0000-000091780000}"/>
    <cellStyle name="Normal 2 10 3 3" xfId="35767" xr:uid="{00000000-0005-0000-0000-000092780000}"/>
    <cellStyle name="Normal 2 10 3 4" xfId="9541" xr:uid="{00000000-0005-0000-0000-000093780000}"/>
    <cellStyle name="Normal 2 10 4" xfId="22053" xr:uid="{00000000-0005-0000-0000-000094780000}"/>
    <cellStyle name="Normal 2 10 4 2" xfId="37828" xr:uid="{00000000-0005-0000-0000-000095780000}"/>
    <cellStyle name="Normal 2 10 5" xfId="22054" xr:uid="{00000000-0005-0000-0000-000096780000}"/>
    <cellStyle name="Normal 2 10 6" xfId="22055" xr:uid="{00000000-0005-0000-0000-000097780000}"/>
    <cellStyle name="Normal 2 10 7" xfId="22056" xr:uid="{00000000-0005-0000-0000-000098780000}"/>
    <cellStyle name="Normal 2 10 8" xfId="22057" xr:uid="{00000000-0005-0000-0000-000099780000}"/>
    <cellStyle name="Normal 2 11" xfId="1549" xr:uid="{00000000-0005-0000-0000-00009A780000}"/>
    <cellStyle name="Normal 2 11 10" xfId="39774" xr:uid="{00000000-0005-0000-0000-00009B780000}"/>
    <cellStyle name="Normal 2 11 2" xfId="3607" xr:uid="{00000000-0005-0000-0000-00009C780000}"/>
    <cellStyle name="Normal 2 11 2 2" xfId="5404" xr:uid="{00000000-0005-0000-0000-00009D780000}"/>
    <cellStyle name="Normal 2 11 2 2 2" xfId="9545" xr:uid="{00000000-0005-0000-0000-00009E780000}"/>
    <cellStyle name="Normal 2 11 2 2 2 2" xfId="13166" xr:uid="{00000000-0005-0000-0000-00009F780000}"/>
    <cellStyle name="Normal 2 11 2 2 3" xfId="22058" xr:uid="{00000000-0005-0000-0000-0000A0780000}"/>
    <cellStyle name="Normal 2 11 2 2 4" xfId="22059" xr:uid="{00000000-0005-0000-0000-0000A1780000}"/>
    <cellStyle name="Normal 2 11 2 2 5" xfId="22060" xr:uid="{00000000-0005-0000-0000-0000A2780000}"/>
    <cellStyle name="Normal 2 11 2 2 6" xfId="22061" xr:uid="{00000000-0005-0000-0000-0000A3780000}"/>
    <cellStyle name="Normal 2 11 2 3" xfId="8257" xr:uid="{00000000-0005-0000-0000-0000A4780000}"/>
    <cellStyle name="Normal 2 11 2 3 2" xfId="9546" xr:uid="{00000000-0005-0000-0000-0000A5780000}"/>
    <cellStyle name="Normal 2 11 2 3 2 2" xfId="13167" xr:uid="{00000000-0005-0000-0000-0000A6780000}"/>
    <cellStyle name="Normal 2 11 2 3 3" xfId="12457" xr:uid="{00000000-0005-0000-0000-0000A7780000}"/>
    <cellStyle name="Normal 2 11 2 3 4" xfId="38418" xr:uid="{00000000-0005-0000-0000-0000A8780000}"/>
    <cellStyle name="Normal 2 11 2 4" xfId="9544" xr:uid="{00000000-0005-0000-0000-0000A9780000}"/>
    <cellStyle name="Normal 2 11 2 4 2" xfId="13165" xr:uid="{00000000-0005-0000-0000-0000AA780000}"/>
    <cellStyle name="Normal 2 11 2 5" xfId="22062" xr:uid="{00000000-0005-0000-0000-0000AB780000}"/>
    <cellStyle name="Normal 2 11 2 6" xfId="22063" xr:uid="{00000000-0005-0000-0000-0000AC780000}"/>
    <cellStyle name="Normal 2 11 2 7" xfId="22064" xr:uid="{00000000-0005-0000-0000-0000AD780000}"/>
    <cellStyle name="Normal 2 11 2 8" xfId="22065" xr:uid="{00000000-0005-0000-0000-0000AE780000}"/>
    <cellStyle name="Normal 2 11 3" xfId="3608" xr:uid="{00000000-0005-0000-0000-0000AF780000}"/>
    <cellStyle name="Normal 2 11 3 2" xfId="5405" xr:uid="{00000000-0005-0000-0000-0000B0780000}"/>
    <cellStyle name="Normal 2 11 3 2 2" xfId="6143" xr:uid="{00000000-0005-0000-0000-0000B1780000}"/>
    <cellStyle name="Normal 2 11 3 2 2 2" xfId="40455" xr:uid="{00000000-0005-0000-0000-0000B2780000}"/>
    <cellStyle name="Normal 2 11 3 2 2 3" xfId="38904" xr:uid="{00000000-0005-0000-0000-0000B3780000}"/>
    <cellStyle name="Normal 2 11 3 2 3" xfId="6463" xr:uid="{00000000-0005-0000-0000-0000B4780000}"/>
    <cellStyle name="Normal 2 11 3 2 3 2" xfId="40839" xr:uid="{00000000-0005-0000-0000-0000B5780000}"/>
    <cellStyle name="Normal 2 11 3 2 3 3" xfId="39274" xr:uid="{00000000-0005-0000-0000-0000B6780000}"/>
    <cellStyle name="Normal 2 11 3 2 4" xfId="39730" xr:uid="{00000000-0005-0000-0000-0000B7780000}"/>
    <cellStyle name="Normal 2 11 3 2 4 2" xfId="41313" xr:uid="{00000000-0005-0000-0000-0000B8780000}"/>
    <cellStyle name="Normal 2 11 3 2 5" xfId="39987" xr:uid="{00000000-0005-0000-0000-0000B9780000}"/>
    <cellStyle name="Normal 2 11 3 2 6" xfId="13164" xr:uid="{00000000-0005-0000-0000-0000BA780000}"/>
    <cellStyle name="Normal 2 11 3 3" xfId="4515" xr:uid="{00000000-0005-0000-0000-0000BB780000}"/>
    <cellStyle name="Normal 2 11 3 3 2" xfId="5966" xr:uid="{00000000-0005-0000-0000-0000BC780000}"/>
    <cellStyle name="Normal 2 11 3 3 2 2" xfId="41141" xr:uid="{00000000-0005-0000-0000-0000BD780000}"/>
    <cellStyle name="Normal 2 11 3 3 2 3" xfId="39563" xr:uid="{00000000-0005-0000-0000-0000BE780000}"/>
    <cellStyle name="Normal 2 11 3 3 3" xfId="40286" xr:uid="{00000000-0005-0000-0000-0000BF780000}"/>
    <cellStyle name="Normal 2 11 3 3 4" xfId="35693" xr:uid="{00000000-0005-0000-0000-0000C0780000}"/>
    <cellStyle name="Normal 2 11 3 4" xfId="5828" xr:uid="{00000000-0005-0000-0000-0000C1780000}"/>
    <cellStyle name="Normal 2 11 3 4 2" xfId="40151" xr:uid="{00000000-0005-0000-0000-0000C2780000}"/>
    <cellStyle name="Normal 2 11 3 4 3" xfId="38419" xr:uid="{00000000-0005-0000-0000-0000C3780000}"/>
    <cellStyle name="Normal 2 11 3 5" xfId="6287" xr:uid="{00000000-0005-0000-0000-0000C4780000}"/>
    <cellStyle name="Normal 2 11 3 5 2" xfId="40696" xr:uid="{00000000-0005-0000-0000-0000C5780000}"/>
    <cellStyle name="Normal 2 11 3 5 3" xfId="39129" xr:uid="{00000000-0005-0000-0000-0000C6780000}"/>
    <cellStyle name="Normal 2 11 3 6" xfId="39432" xr:uid="{00000000-0005-0000-0000-0000C7780000}"/>
    <cellStyle name="Normal 2 11 3 6 2" xfId="41003" xr:uid="{00000000-0005-0000-0000-0000C8780000}"/>
    <cellStyle name="Normal 2 11 3 7" xfId="39852" xr:uid="{00000000-0005-0000-0000-0000C9780000}"/>
    <cellStyle name="Normal 2 11 3 8" xfId="9543" xr:uid="{00000000-0005-0000-0000-0000CA780000}"/>
    <cellStyle name="Normal 2 11 4" xfId="3606" xr:uid="{00000000-0005-0000-0000-0000CB780000}"/>
    <cellStyle name="Normal 2 11 4 2" xfId="5403" xr:uid="{00000000-0005-0000-0000-0000CC780000}"/>
    <cellStyle name="Normal 2 11 4 2 2" xfId="6142" xr:uid="{00000000-0005-0000-0000-0000CD780000}"/>
    <cellStyle name="Normal 2 11 4 2 2 2" xfId="41312" xr:uid="{00000000-0005-0000-0000-0000CE780000}"/>
    <cellStyle name="Normal 2 11 4 2 2 3" xfId="39729" xr:uid="{00000000-0005-0000-0000-0000CF780000}"/>
    <cellStyle name="Normal 2 11 4 2 3" xfId="40454" xr:uid="{00000000-0005-0000-0000-0000D0780000}"/>
    <cellStyle name="Normal 2 11 4 2 4" xfId="15192" xr:uid="{00000000-0005-0000-0000-0000D1780000}"/>
    <cellStyle name="Normal 2 11 4 3" xfId="5827" xr:uid="{00000000-0005-0000-0000-0000D2780000}"/>
    <cellStyle name="Normal 2 11 4 3 2" xfId="40150" xr:uid="{00000000-0005-0000-0000-0000D3780000}"/>
    <cellStyle name="Normal 2 11 4 3 3" xfId="38417" xr:uid="{00000000-0005-0000-0000-0000D4780000}"/>
    <cellStyle name="Normal 2 11 4 4" xfId="6462" xr:uid="{00000000-0005-0000-0000-0000D5780000}"/>
    <cellStyle name="Normal 2 11 4 4 2" xfId="40695" xr:uid="{00000000-0005-0000-0000-0000D6780000}"/>
    <cellStyle name="Normal 2 11 4 4 3" xfId="39128" xr:uid="{00000000-0005-0000-0000-0000D7780000}"/>
    <cellStyle name="Normal 2 11 4 5" xfId="39431" xr:uid="{00000000-0005-0000-0000-0000D8780000}"/>
    <cellStyle name="Normal 2 11 4 5 2" xfId="41002" xr:uid="{00000000-0005-0000-0000-0000D9780000}"/>
    <cellStyle name="Normal 2 11 4 6" xfId="39934" xr:uid="{00000000-0005-0000-0000-0000DA780000}"/>
    <cellStyle name="Normal 2 11 4 7" xfId="11568" xr:uid="{00000000-0005-0000-0000-0000DB780000}"/>
    <cellStyle name="Normal 2 11 5" xfId="4779" xr:uid="{00000000-0005-0000-0000-0000DC780000}"/>
    <cellStyle name="Normal 2 11 5 2" xfId="6013" xr:uid="{00000000-0005-0000-0000-0000DD780000}"/>
    <cellStyle name="Normal 2 11 5 2 2" xfId="40570" xr:uid="{00000000-0005-0000-0000-0000DE780000}"/>
    <cellStyle name="Normal 2 11 5 2 3" xfId="39005" xr:uid="{00000000-0005-0000-0000-0000DF780000}"/>
    <cellStyle name="Normal 2 11 5 3" xfId="6334" xr:uid="{00000000-0005-0000-0000-0000E0780000}"/>
    <cellStyle name="Normal 2 11 5 3 2" xfId="41185" xr:uid="{00000000-0005-0000-0000-0000E1780000}"/>
    <cellStyle name="Normal 2 11 5 3 3" xfId="39604" xr:uid="{00000000-0005-0000-0000-0000E2780000}"/>
    <cellStyle name="Normal 2 11 5 4" xfId="40330" xr:uid="{00000000-0005-0000-0000-0000E3780000}"/>
    <cellStyle name="Normal 2 11 5 5" xfId="22066" xr:uid="{00000000-0005-0000-0000-0000E4780000}"/>
    <cellStyle name="Normal 2 11 6" xfId="4514" xr:uid="{00000000-0005-0000-0000-0000E5780000}"/>
    <cellStyle name="Normal 2 11 6 2" xfId="5965" xr:uid="{00000000-0005-0000-0000-0000E6780000}"/>
    <cellStyle name="Normal 2 11 6 2 2" xfId="40782" xr:uid="{00000000-0005-0000-0000-0000E7780000}"/>
    <cellStyle name="Normal 2 11 6 2 3" xfId="39214" xr:uid="{00000000-0005-0000-0000-0000E8780000}"/>
    <cellStyle name="Normal 2 11 6 3" xfId="39562" xr:uid="{00000000-0005-0000-0000-0000E9780000}"/>
    <cellStyle name="Normal 2 11 6 3 2" xfId="41140" xr:uid="{00000000-0005-0000-0000-0000EA780000}"/>
    <cellStyle name="Normal 2 11 6 4" xfId="40285" xr:uid="{00000000-0005-0000-0000-0000EB780000}"/>
    <cellStyle name="Normal 2 11 6 5" xfId="22067" xr:uid="{00000000-0005-0000-0000-0000EC780000}"/>
    <cellStyle name="Normal 2 11 7" xfId="5697" xr:uid="{00000000-0005-0000-0000-0000ED780000}"/>
    <cellStyle name="Normal 2 11 7 2" xfId="40025" xr:uid="{00000000-0005-0000-0000-0000EE780000}"/>
    <cellStyle name="Normal 2 11 7 3" xfId="22068" xr:uid="{00000000-0005-0000-0000-0000EF780000}"/>
    <cellStyle name="Normal 2 11 8" xfId="6286" xr:uid="{00000000-0005-0000-0000-0000F0780000}"/>
    <cellStyle name="Normal 2 11 8 2" xfId="40538" xr:uid="{00000000-0005-0000-0000-0000F1780000}"/>
    <cellStyle name="Normal 2 11 8 3" xfId="22069" xr:uid="{00000000-0005-0000-0000-0000F2780000}"/>
    <cellStyle name="Normal 2 11 9" xfId="39309" xr:uid="{00000000-0005-0000-0000-0000F3780000}"/>
    <cellStyle name="Normal 2 11 9 2" xfId="40876" xr:uid="{00000000-0005-0000-0000-0000F4780000}"/>
    <cellStyle name="Normal 2 12" xfId="1550" xr:uid="{00000000-0005-0000-0000-0000F5780000}"/>
    <cellStyle name="Normal 2 12 10" xfId="22070" xr:uid="{00000000-0005-0000-0000-0000F6780000}"/>
    <cellStyle name="Normal 2 12 11" xfId="22071" xr:uid="{00000000-0005-0000-0000-0000F7780000}"/>
    <cellStyle name="Normal 2 12 2" xfId="3610" xr:uid="{00000000-0005-0000-0000-0000F8780000}"/>
    <cellStyle name="Normal 2 12 2 2" xfId="8569" xr:uid="{00000000-0005-0000-0000-0000F9780000}"/>
    <cellStyle name="Normal 2 12 2 2 2" xfId="9549" xr:uid="{00000000-0005-0000-0000-0000FA780000}"/>
    <cellStyle name="Normal 2 12 2 2 2 2" xfId="13170" xr:uid="{00000000-0005-0000-0000-0000FB780000}"/>
    <cellStyle name="Normal 2 12 2 2 3" xfId="22072" xr:uid="{00000000-0005-0000-0000-0000FC780000}"/>
    <cellStyle name="Normal 2 12 2 2 4" xfId="22073" xr:uid="{00000000-0005-0000-0000-0000FD780000}"/>
    <cellStyle name="Normal 2 12 2 2 5" xfId="22074" xr:uid="{00000000-0005-0000-0000-0000FE780000}"/>
    <cellStyle name="Normal 2 12 2 2 6" xfId="22075" xr:uid="{00000000-0005-0000-0000-0000FF780000}"/>
    <cellStyle name="Normal 2 12 2 3" xfId="8259" xr:uid="{00000000-0005-0000-0000-000000790000}"/>
    <cellStyle name="Normal 2 12 2 3 2" xfId="9550" xr:uid="{00000000-0005-0000-0000-000001790000}"/>
    <cellStyle name="Normal 2 12 2 3 2 2" xfId="13171" xr:uid="{00000000-0005-0000-0000-000002790000}"/>
    <cellStyle name="Normal 2 12 2 3 3" xfId="22076" xr:uid="{00000000-0005-0000-0000-000003790000}"/>
    <cellStyle name="Normal 2 12 2 3 4" xfId="22077" xr:uid="{00000000-0005-0000-0000-000004790000}"/>
    <cellStyle name="Normal 2 12 2 3 5" xfId="22078" xr:uid="{00000000-0005-0000-0000-000005790000}"/>
    <cellStyle name="Normal 2 12 2 3 6" xfId="22079" xr:uid="{00000000-0005-0000-0000-000006790000}"/>
    <cellStyle name="Normal 2 12 2 4" xfId="9548" xr:uid="{00000000-0005-0000-0000-000007790000}"/>
    <cellStyle name="Normal 2 12 2 4 2" xfId="13169" xr:uid="{00000000-0005-0000-0000-000008790000}"/>
    <cellStyle name="Normal 2 12 2 5" xfId="22080" xr:uid="{00000000-0005-0000-0000-000009790000}"/>
    <cellStyle name="Normal 2 12 2 6" xfId="22081" xr:uid="{00000000-0005-0000-0000-00000A790000}"/>
    <cellStyle name="Normal 2 12 2 7" xfId="22082" xr:uid="{00000000-0005-0000-0000-00000B790000}"/>
    <cellStyle name="Normal 2 12 2 8" xfId="22083" xr:uid="{00000000-0005-0000-0000-00000C790000}"/>
    <cellStyle name="Normal 2 12 3" xfId="3609" xr:uid="{00000000-0005-0000-0000-00000D790000}"/>
    <cellStyle name="Normal 2 12 3 2" xfId="9551" xr:uid="{00000000-0005-0000-0000-00000E790000}"/>
    <cellStyle name="Normal 2 12 3 2 2" xfId="13172" xr:uid="{00000000-0005-0000-0000-00000F790000}"/>
    <cellStyle name="Normal 2 12 3 3" xfId="22084" xr:uid="{00000000-0005-0000-0000-000010790000}"/>
    <cellStyle name="Normal 2 12 3 4" xfId="22085" xr:uid="{00000000-0005-0000-0000-000011790000}"/>
    <cellStyle name="Normal 2 12 3 5" xfId="22086" xr:uid="{00000000-0005-0000-0000-000012790000}"/>
    <cellStyle name="Normal 2 12 3 6" xfId="22087" xr:uid="{00000000-0005-0000-0000-000013790000}"/>
    <cellStyle name="Normal 2 12 4" xfId="4780" xr:uid="{00000000-0005-0000-0000-000014790000}"/>
    <cellStyle name="Normal 2 12 4 2" xfId="9552" xr:uid="{00000000-0005-0000-0000-000015790000}"/>
    <cellStyle name="Normal 2 12 4 2 2" xfId="13173" xr:uid="{00000000-0005-0000-0000-000016790000}"/>
    <cellStyle name="Normal 2 12 4 3" xfId="22088" xr:uid="{00000000-0005-0000-0000-000017790000}"/>
    <cellStyle name="Normal 2 12 4 4" xfId="22089" xr:uid="{00000000-0005-0000-0000-000018790000}"/>
    <cellStyle name="Normal 2 12 4 5" xfId="22090" xr:uid="{00000000-0005-0000-0000-000019790000}"/>
    <cellStyle name="Normal 2 12 4 6" xfId="22091" xr:uid="{00000000-0005-0000-0000-00001A790000}"/>
    <cellStyle name="Normal 2 12 4 7" xfId="35768" xr:uid="{00000000-0005-0000-0000-00001B790000}"/>
    <cellStyle name="Normal 2 12 4 8" xfId="8482" xr:uid="{00000000-0005-0000-0000-00001C790000}"/>
    <cellStyle name="Normal 2 12 5" xfId="8258" xr:uid="{00000000-0005-0000-0000-00001D790000}"/>
    <cellStyle name="Normal 2 12 5 2" xfId="9553" xr:uid="{00000000-0005-0000-0000-00001E790000}"/>
    <cellStyle name="Normal 2 12 5 2 2" xfId="13174" xr:uid="{00000000-0005-0000-0000-00001F790000}"/>
    <cellStyle name="Normal 2 12 5 3" xfId="12458" xr:uid="{00000000-0005-0000-0000-000020790000}"/>
    <cellStyle name="Normal 2 12 5 4" xfId="37829" xr:uid="{00000000-0005-0000-0000-000021790000}"/>
    <cellStyle name="Normal 2 12 6" xfId="9547" xr:uid="{00000000-0005-0000-0000-000022790000}"/>
    <cellStyle name="Normal 2 12 6 2" xfId="13168" xr:uid="{00000000-0005-0000-0000-000023790000}"/>
    <cellStyle name="Normal 2 12 7" xfId="22092" xr:uid="{00000000-0005-0000-0000-000024790000}"/>
    <cellStyle name="Normal 2 12 8" xfId="22093" xr:uid="{00000000-0005-0000-0000-000025790000}"/>
    <cellStyle name="Normal 2 12 9" xfId="22094" xr:uid="{00000000-0005-0000-0000-000026790000}"/>
    <cellStyle name="Normal 2 13" xfId="1551" xr:uid="{00000000-0005-0000-0000-000027790000}"/>
    <cellStyle name="Normal 2 13 10" xfId="22095" xr:uid="{00000000-0005-0000-0000-000028790000}"/>
    <cellStyle name="Normal 2 13 11" xfId="22096" xr:uid="{00000000-0005-0000-0000-000029790000}"/>
    <cellStyle name="Normal 2 13 2" xfId="3611" xr:uid="{00000000-0005-0000-0000-00002A790000}"/>
    <cellStyle name="Normal 2 13 2 2" xfId="9555" xr:uid="{00000000-0005-0000-0000-00002B790000}"/>
    <cellStyle name="Normal 2 13 2 2 2" xfId="13176" xr:uid="{00000000-0005-0000-0000-00002C790000}"/>
    <cellStyle name="Normal 2 13 2 3" xfId="22097" xr:uid="{00000000-0005-0000-0000-00002D790000}"/>
    <cellStyle name="Normal 2 13 2 4" xfId="22098" xr:uid="{00000000-0005-0000-0000-00002E790000}"/>
    <cellStyle name="Normal 2 13 2 5" xfId="22099" xr:uid="{00000000-0005-0000-0000-00002F790000}"/>
    <cellStyle name="Normal 2 13 2 6" xfId="22100" xr:uid="{00000000-0005-0000-0000-000030790000}"/>
    <cellStyle name="Normal 2 13 3" xfId="4781" xr:uid="{00000000-0005-0000-0000-000031790000}"/>
    <cellStyle name="Normal 2 13 3 2" xfId="9556" xr:uid="{00000000-0005-0000-0000-000032790000}"/>
    <cellStyle name="Normal 2 13 3 2 2" xfId="13177" xr:uid="{00000000-0005-0000-0000-000033790000}"/>
    <cellStyle name="Normal 2 13 3 3" xfId="22101" xr:uid="{00000000-0005-0000-0000-000034790000}"/>
    <cellStyle name="Normal 2 13 3 4" xfId="22102" xr:uid="{00000000-0005-0000-0000-000035790000}"/>
    <cellStyle name="Normal 2 13 3 5" xfId="22103" xr:uid="{00000000-0005-0000-0000-000036790000}"/>
    <cellStyle name="Normal 2 13 3 6" xfId="22104" xr:uid="{00000000-0005-0000-0000-000037790000}"/>
    <cellStyle name="Normal 2 13 4" xfId="8483" xr:uid="{00000000-0005-0000-0000-000038790000}"/>
    <cellStyle name="Normal 2 13 4 2" xfId="9557" xr:uid="{00000000-0005-0000-0000-000039790000}"/>
    <cellStyle name="Normal 2 13 4 2 2" xfId="13178" xr:uid="{00000000-0005-0000-0000-00003A790000}"/>
    <cellStyle name="Normal 2 13 4 3" xfId="22105" xr:uid="{00000000-0005-0000-0000-00003B790000}"/>
    <cellStyle name="Normal 2 13 4 4" xfId="22106" xr:uid="{00000000-0005-0000-0000-00003C790000}"/>
    <cellStyle name="Normal 2 13 4 5" xfId="22107" xr:uid="{00000000-0005-0000-0000-00003D790000}"/>
    <cellStyle name="Normal 2 13 4 6" xfId="22108" xr:uid="{00000000-0005-0000-0000-00003E790000}"/>
    <cellStyle name="Normal 2 13 4 7" xfId="37830" xr:uid="{00000000-0005-0000-0000-00003F790000}"/>
    <cellStyle name="Normal 2 13 5" xfId="8260" xr:uid="{00000000-0005-0000-0000-000040790000}"/>
    <cellStyle name="Normal 2 13 5 2" xfId="9558" xr:uid="{00000000-0005-0000-0000-000041790000}"/>
    <cellStyle name="Normal 2 13 5 2 2" xfId="13179" xr:uid="{00000000-0005-0000-0000-000042790000}"/>
    <cellStyle name="Normal 2 13 5 3" xfId="12459" xr:uid="{00000000-0005-0000-0000-000043790000}"/>
    <cellStyle name="Normal 2 13 6" xfId="9554" xr:uid="{00000000-0005-0000-0000-000044790000}"/>
    <cellStyle name="Normal 2 13 6 2" xfId="13175" xr:uid="{00000000-0005-0000-0000-000045790000}"/>
    <cellStyle name="Normal 2 13 7" xfId="22109" xr:uid="{00000000-0005-0000-0000-000046790000}"/>
    <cellStyle name="Normal 2 13 8" xfId="22110" xr:uid="{00000000-0005-0000-0000-000047790000}"/>
    <cellStyle name="Normal 2 13 9" xfId="22111" xr:uid="{00000000-0005-0000-0000-000048790000}"/>
    <cellStyle name="Normal 2 14" xfId="3612" xr:uid="{00000000-0005-0000-0000-000049790000}"/>
    <cellStyle name="Normal 2 14 10" xfId="22112" xr:uid="{00000000-0005-0000-0000-00004A790000}"/>
    <cellStyle name="Normal 2 14 2" xfId="6712" xr:uid="{00000000-0005-0000-0000-00004B790000}"/>
    <cellStyle name="Normal 2 14 2 2" xfId="9560" xr:uid="{00000000-0005-0000-0000-00004C790000}"/>
    <cellStyle name="Normal 2 14 2 2 2" xfId="13181" xr:uid="{00000000-0005-0000-0000-00004D790000}"/>
    <cellStyle name="Normal 2 14 2 3" xfId="22113" xr:uid="{00000000-0005-0000-0000-00004E790000}"/>
    <cellStyle name="Normal 2 14 2 4" xfId="22114" xr:uid="{00000000-0005-0000-0000-00004F790000}"/>
    <cellStyle name="Normal 2 14 2 5" xfId="22115" xr:uid="{00000000-0005-0000-0000-000050790000}"/>
    <cellStyle name="Normal 2 14 2 6" xfId="22116" xr:uid="{00000000-0005-0000-0000-000051790000}"/>
    <cellStyle name="Normal 2 14 3" xfId="7417" xr:uid="{00000000-0005-0000-0000-000052790000}"/>
    <cellStyle name="Normal 2 14 3 2" xfId="9561" xr:uid="{00000000-0005-0000-0000-000053790000}"/>
    <cellStyle name="Normal 2 14 3 2 2" xfId="13182" xr:uid="{00000000-0005-0000-0000-000054790000}"/>
    <cellStyle name="Normal 2 14 3 3" xfId="22117" xr:uid="{00000000-0005-0000-0000-000055790000}"/>
    <cellStyle name="Normal 2 14 3 4" xfId="22118" xr:uid="{00000000-0005-0000-0000-000056790000}"/>
    <cellStyle name="Normal 2 14 3 5" xfId="22119" xr:uid="{00000000-0005-0000-0000-000057790000}"/>
    <cellStyle name="Normal 2 14 3 6" xfId="22120" xr:uid="{00000000-0005-0000-0000-000058790000}"/>
    <cellStyle name="Normal 2 14 4" xfId="8484" xr:uid="{00000000-0005-0000-0000-000059790000}"/>
    <cellStyle name="Normal 2 14 4 2" xfId="9562" xr:uid="{00000000-0005-0000-0000-00005A790000}"/>
    <cellStyle name="Normal 2 14 4 2 2" xfId="13183" xr:uid="{00000000-0005-0000-0000-00005B790000}"/>
    <cellStyle name="Normal 2 14 4 3" xfId="22121" xr:uid="{00000000-0005-0000-0000-00005C790000}"/>
    <cellStyle name="Normal 2 14 4 4" xfId="22122" xr:uid="{00000000-0005-0000-0000-00005D790000}"/>
    <cellStyle name="Normal 2 14 4 5" xfId="22123" xr:uid="{00000000-0005-0000-0000-00005E790000}"/>
    <cellStyle name="Normal 2 14 4 6" xfId="22124" xr:uid="{00000000-0005-0000-0000-00005F790000}"/>
    <cellStyle name="Normal 2 14 5" xfId="8261" xr:uid="{00000000-0005-0000-0000-000060790000}"/>
    <cellStyle name="Normal 2 14 5 2" xfId="9563" xr:uid="{00000000-0005-0000-0000-000061790000}"/>
    <cellStyle name="Normal 2 14 5 2 2" xfId="13184" xr:uid="{00000000-0005-0000-0000-000062790000}"/>
    <cellStyle name="Normal 2 14 5 3" xfId="12460" xr:uid="{00000000-0005-0000-0000-000063790000}"/>
    <cellStyle name="Normal 2 14 6" xfId="9559" xr:uid="{00000000-0005-0000-0000-000064790000}"/>
    <cellStyle name="Normal 2 14 6 2" xfId="13180" xr:uid="{00000000-0005-0000-0000-000065790000}"/>
    <cellStyle name="Normal 2 14 7" xfId="22125" xr:uid="{00000000-0005-0000-0000-000066790000}"/>
    <cellStyle name="Normal 2 14 8" xfId="22126" xr:uid="{00000000-0005-0000-0000-000067790000}"/>
    <cellStyle name="Normal 2 14 9" xfId="22127" xr:uid="{00000000-0005-0000-0000-000068790000}"/>
    <cellStyle name="Normal 2 15" xfId="3613" xr:uid="{00000000-0005-0000-0000-000069790000}"/>
    <cellStyle name="Normal 2 15 2" xfId="5406" xr:uid="{00000000-0005-0000-0000-00006A790000}"/>
    <cellStyle name="Normal 2 15 2 2" xfId="9565" xr:uid="{00000000-0005-0000-0000-00006B790000}"/>
    <cellStyle name="Normal 2 15 2 2 2" xfId="13186" xr:uid="{00000000-0005-0000-0000-00006C790000}"/>
    <cellStyle name="Normal 2 15 2 3" xfId="22128" xr:uid="{00000000-0005-0000-0000-00006D790000}"/>
    <cellStyle name="Normal 2 15 2 4" xfId="22129" xr:uid="{00000000-0005-0000-0000-00006E790000}"/>
    <cellStyle name="Normal 2 15 2 5" xfId="22130" xr:uid="{00000000-0005-0000-0000-00006F790000}"/>
    <cellStyle name="Normal 2 15 2 6" xfId="22131" xr:uid="{00000000-0005-0000-0000-000070790000}"/>
    <cellStyle name="Normal 2 15 3" xfId="9564" xr:uid="{00000000-0005-0000-0000-000071790000}"/>
    <cellStyle name="Normal 2 15 3 2" xfId="13185" xr:uid="{00000000-0005-0000-0000-000072790000}"/>
    <cellStyle name="Normal 2 15 3 3" xfId="38420" xr:uid="{00000000-0005-0000-0000-000073790000}"/>
    <cellStyle name="Normal 2 15 4" xfId="22132" xr:uid="{00000000-0005-0000-0000-000074790000}"/>
    <cellStyle name="Normal 2 15 5" xfId="22133" xr:uid="{00000000-0005-0000-0000-000075790000}"/>
    <cellStyle name="Normal 2 15 6" xfId="22134" xr:uid="{00000000-0005-0000-0000-000076790000}"/>
    <cellStyle name="Normal 2 15 7" xfId="22135" xr:uid="{00000000-0005-0000-0000-000077790000}"/>
    <cellStyle name="Normal 2 16" xfId="3614" xr:uid="{00000000-0005-0000-0000-000078790000}"/>
    <cellStyle name="Normal 2 16 2" xfId="5407" xr:uid="{00000000-0005-0000-0000-000079790000}"/>
    <cellStyle name="Normal 2 16 2 2" xfId="9567" xr:uid="{00000000-0005-0000-0000-00007A790000}"/>
    <cellStyle name="Normal 2 16 2 2 2" xfId="13188" xr:uid="{00000000-0005-0000-0000-00007B790000}"/>
    <cellStyle name="Normal 2 16 2 3" xfId="22136" xr:uid="{00000000-0005-0000-0000-00007C790000}"/>
    <cellStyle name="Normal 2 16 2 4" xfId="22137" xr:uid="{00000000-0005-0000-0000-00007D790000}"/>
    <cellStyle name="Normal 2 16 2 5" xfId="22138" xr:uid="{00000000-0005-0000-0000-00007E790000}"/>
    <cellStyle name="Normal 2 16 2 6" xfId="22139" xr:uid="{00000000-0005-0000-0000-00007F790000}"/>
    <cellStyle name="Normal 2 16 3" xfId="9566" xr:uid="{00000000-0005-0000-0000-000080790000}"/>
    <cellStyle name="Normal 2 16 3 2" xfId="13187" xr:uid="{00000000-0005-0000-0000-000081790000}"/>
    <cellStyle name="Normal 2 16 3 3" xfId="38421" xr:uid="{00000000-0005-0000-0000-000082790000}"/>
    <cellStyle name="Normal 2 16 4" xfId="22140" xr:uid="{00000000-0005-0000-0000-000083790000}"/>
    <cellStyle name="Normal 2 16 5" xfId="22141" xr:uid="{00000000-0005-0000-0000-000084790000}"/>
    <cellStyle name="Normal 2 16 6" xfId="22142" xr:uid="{00000000-0005-0000-0000-000085790000}"/>
    <cellStyle name="Normal 2 16 7" xfId="22143" xr:uid="{00000000-0005-0000-0000-000086790000}"/>
    <cellStyle name="Normal 2 17" xfId="3615" xr:uid="{00000000-0005-0000-0000-000087790000}"/>
    <cellStyle name="Normal 2 17 2" xfId="5408" xr:uid="{00000000-0005-0000-0000-000088790000}"/>
    <cellStyle name="Normal 2 17 2 2" xfId="9569" xr:uid="{00000000-0005-0000-0000-000089790000}"/>
    <cellStyle name="Normal 2 17 2 2 2" xfId="13190" xr:uid="{00000000-0005-0000-0000-00008A790000}"/>
    <cellStyle name="Normal 2 17 2 3" xfId="22144" xr:uid="{00000000-0005-0000-0000-00008B790000}"/>
    <cellStyle name="Normal 2 17 2 4" xfId="22145" xr:uid="{00000000-0005-0000-0000-00008C790000}"/>
    <cellStyle name="Normal 2 17 2 5" xfId="22146" xr:uid="{00000000-0005-0000-0000-00008D790000}"/>
    <cellStyle name="Normal 2 17 2 6" xfId="22147" xr:uid="{00000000-0005-0000-0000-00008E790000}"/>
    <cellStyle name="Normal 2 17 3" xfId="9568" xr:uid="{00000000-0005-0000-0000-00008F790000}"/>
    <cellStyle name="Normal 2 17 3 2" xfId="13189" xr:uid="{00000000-0005-0000-0000-000090790000}"/>
    <cellStyle name="Normal 2 17 3 3" xfId="38422" xr:uid="{00000000-0005-0000-0000-000091790000}"/>
    <cellStyle name="Normal 2 17 4" xfId="22148" xr:uid="{00000000-0005-0000-0000-000092790000}"/>
    <cellStyle name="Normal 2 17 5" xfId="22149" xr:uid="{00000000-0005-0000-0000-000093790000}"/>
    <cellStyle name="Normal 2 17 6" xfId="22150" xr:uid="{00000000-0005-0000-0000-000094790000}"/>
    <cellStyle name="Normal 2 17 7" xfId="22151" xr:uid="{00000000-0005-0000-0000-000095790000}"/>
    <cellStyle name="Normal 2 18" xfId="3616" xr:uid="{00000000-0005-0000-0000-000096790000}"/>
    <cellStyle name="Normal 2 18 2" xfId="5409" xr:uid="{00000000-0005-0000-0000-000097790000}"/>
    <cellStyle name="Normal 2 18 2 2" xfId="9571" xr:uid="{00000000-0005-0000-0000-000098790000}"/>
    <cellStyle name="Normal 2 18 2 2 2" xfId="13192" xr:uid="{00000000-0005-0000-0000-000099790000}"/>
    <cellStyle name="Normal 2 18 2 3" xfId="22152" xr:uid="{00000000-0005-0000-0000-00009A790000}"/>
    <cellStyle name="Normal 2 18 2 4" xfId="22153" xr:uid="{00000000-0005-0000-0000-00009B790000}"/>
    <cellStyle name="Normal 2 18 2 5" xfId="22154" xr:uid="{00000000-0005-0000-0000-00009C790000}"/>
    <cellStyle name="Normal 2 18 2 6" xfId="22155" xr:uid="{00000000-0005-0000-0000-00009D790000}"/>
    <cellStyle name="Normal 2 18 3" xfId="9570" xr:uid="{00000000-0005-0000-0000-00009E790000}"/>
    <cellStyle name="Normal 2 18 3 2" xfId="13191" xr:uid="{00000000-0005-0000-0000-00009F790000}"/>
    <cellStyle name="Normal 2 18 3 3" xfId="38423" xr:uid="{00000000-0005-0000-0000-0000A0790000}"/>
    <cellStyle name="Normal 2 18 4" xfId="22156" xr:uid="{00000000-0005-0000-0000-0000A1790000}"/>
    <cellStyle name="Normal 2 18 5" xfId="22157" xr:uid="{00000000-0005-0000-0000-0000A2790000}"/>
    <cellStyle name="Normal 2 18 6" xfId="22158" xr:uid="{00000000-0005-0000-0000-0000A3790000}"/>
    <cellStyle name="Normal 2 18 7" xfId="22159" xr:uid="{00000000-0005-0000-0000-0000A4790000}"/>
    <cellStyle name="Normal 2 19" xfId="3617" xr:uid="{00000000-0005-0000-0000-0000A5790000}"/>
    <cellStyle name="Normal 2 19 2" xfId="5410" xr:uid="{00000000-0005-0000-0000-0000A6790000}"/>
    <cellStyle name="Normal 2 19 2 2" xfId="9573" xr:uid="{00000000-0005-0000-0000-0000A7790000}"/>
    <cellStyle name="Normal 2 19 2 2 2" xfId="13194" xr:uid="{00000000-0005-0000-0000-0000A8790000}"/>
    <cellStyle name="Normal 2 19 2 3" xfId="22160" xr:uid="{00000000-0005-0000-0000-0000A9790000}"/>
    <cellStyle name="Normal 2 19 2 4" xfId="22161" xr:uid="{00000000-0005-0000-0000-0000AA790000}"/>
    <cellStyle name="Normal 2 19 2 5" xfId="22162" xr:uid="{00000000-0005-0000-0000-0000AB790000}"/>
    <cellStyle name="Normal 2 19 2 6" xfId="22163" xr:uid="{00000000-0005-0000-0000-0000AC790000}"/>
    <cellStyle name="Normal 2 19 3" xfId="9572" xr:uid="{00000000-0005-0000-0000-0000AD790000}"/>
    <cellStyle name="Normal 2 19 3 2" xfId="13193" xr:uid="{00000000-0005-0000-0000-0000AE790000}"/>
    <cellStyle name="Normal 2 19 3 3" xfId="38424" xr:uid="{00000000-0005-0000-0000-0000AF790000}"/>
    <cellStyle name="Normal 2 19 4" xfId="22164" xr:uid="{00000000-0005-0000-0000-0000B0790000}"/>
    <cellStyle name="Normal 2 19 5" xfId="22165" xr:uid="{00000000-0005-0000-0000-0000B1790000}"/>
    <cellStyle name="Normal 2 19 6" xfId="22166" xr:uid="{00000000-0005-0000-0000-0000B2790000}"/>
    <cellStyle name="Normal 2 19 7" xfId="22167" xr:uid="{00000000-0005-0000-0000-0000B3790000}"/>
    <cellStyle name="Normal 2 2" xfId="1552" xr:uid="{00000000-0005-0000-0000-0000B4790000}"/>
    <cellStyle name="Normal 2 2 10" xfId="1553" xr:uid="{00000000-0005-0000-0000-0000B5790000}"/>
    <cellStyle name="Normal 2 2 10 10" xfId="8262" xr:uid="{00000000-0005-0000-0000-0000B6790000}"/>
    <cellStyle name="Normal 2 2 10 10 2" xfId="9576" xr:uid="{00000000-0005-0000-0000-0000B7790000}"/>
    <cellStyle name="Normal 2 2 10 10 2 2" xfId="13197" xr:uid="{00000000-0005-0000-0000-0000B8790000}"/>
    <cellStyle name="Normal 2 2 10 10 3" xfId="12461" xr:uid="{00000000-0005-0000-0000-0000B9790000}"/>
    <cellStyle name="Normal 2 2 10 11" xfId="9575" xr:uid="{00000000-0005-0000-0000-0000BA790000}"/>
    <cellStyle name="Normal 2 2 10 11 2" xfId="13196" xr:uid="{00000000-0005-0000-0000-0000BB790000}"/>
    <cellStyle name="Normal 2 2 10 12" xfId="22168" xr:uid="{00000000-0005-0000-0000-0000BC790000}"/>
    <cellStyle name="Normal 2 2 10 13" xfId="22169" xr:uid="{00000000-0005-0000-0000-0000BD790000}"/>
    <cellStyle name="Normal 2 2 10 14" xfId="22170" xr:uid="{00000000-0005-0000-0000-0000BE790000}"/>
    <cellStyle name="Normal 2 2 10 15" xfId="22171" xr:uid="{00000000-0005-0000-0000-0000BF790000}"/>
    <cellStyle name="Normal 2 2 10 16" xfId="22172" xr:uid="{00000000-0005-0000-0000-0000C0790000}"/>
    <cellStyle name="Normal 2 2 10 2" xfId="1554" xr:uid="{00000000-0005-0000-0000-0000C1790000}"/>
    <cellStyle name="Normal 2 2 10 2 2" xfId="7418" xr:uid="{00000000-0005-0000-0000-0000C2790000}"/>
    <cellStyle name="Normal 2 2 10 2 2 2" xfId="9578" xr:uid="{00000000-0005-0000-0000-0000C3790000}"/>
    <cellStyle name="Normal 2 2 10 2 2 2 2" xfId="13199" xr:uid="{00000000-0005-0000-0000-0000C4790000}"/>
    <cellStyle name="Normal 2 2 10 2 2 3" xfId="22173" xr:uid="{00000000-0005-0000-0000-0000C5790000}"/>
    <cellStyle name="Normal 2 2 10 2 2 4" xfId="22174" xr:uid="{00000000-0005-0000-0000-0000C6790000}"/>
    <cellStyle name="Normal 2 2 10 2 2 5" xfId="22175" xr:uid="{00000000-0005-0000-0000-0000C7790000}"/>
    <cellStyle name="Normal 2 2 10 2 2 6" xfId="22176" xr:uid="{00000000-0005-0000-0000-0000C8790000}"/>
    <cellStyle name="Normal 2 2 10 2 3" xfId="9577" xr:uid="{00000000-0005-0000-0000-0000C9790000}"/>
    <cellStyle name="Normal 2 2 10 2 3 2" xfId="13198" xr:uid="{00000000-0005-0000-0000-0000CA790000}"/>
    <cellStyle name="Normal 2 2 10 2 4" xfId="22177" xr:uid="{00000000-0005-0000-0000-0000CB790000}"/>
    <cellStyle name="Normal 2 2 10 2 5" xfId="22178" xr:uid="{00000000-0005-0000-0000-0000CC790000}"/>
    <cellStyle name="Normal 2 2 10 2 6" xfId="22179" xr:uid="{00000000-0005-0000-0000-0000CD790000}"/>
    <cellStyle name="Normal 2 2 10 2 7" xfId="22180" xr:uid="{00000000-0005-0000-0000-0000CE790000}"/>
    <cellStyle name="Normal 2 2 10 2 8" xfId="22181" xr:uid="{00000000-0005-0000-0000-0000CF790000}"/>
    <cellStyle name="Normal 2 2 10 3" xfId="3618" xr:uid="{00000000-0005-0000-0000-0000D0790000}"/>
    <cellStyle name="Normal 2 2 10 3 2" xfId="9579" xr:uid="{00000000-0005-0000-0000-0000D1790000}"/>
    <cellStyle name="Normal 2 2 10 3 2 2" xfId="13200" xr:uid="{00000000-0005-0000-0000-0000D2790000}"/>
    <cellStyle name="Normal 2 2 10 3 3" xfId="22182" xr:uid="{00000000-0005-0000-0000-0000D3790000}"/>
    <cellStyle name="Normal 2 2 10 3 4" xfId="22183" xr:uid="{00000000-0005-0000-0000-0000D4790000}"/>
    <cellStyle name="Normal 2 2 10 3 5" xfId="22184" xr:uid="{00000000-0005-0000-0000-0000D5790000}"/>
    <cellStyle name="Normal 2 2 10 3 6" xfId="22185" xr:uid="{00000000-0005-0000-0000-0000D6790000}"/>
    <cellStyle name="Normal 2 2 10 4" xfId="4783" xr:uid="{00000000-0005-0000-0000-0000D7790000}"/>
    <cellStyle name="Normal 2 2 10 4 2" xfId="9580" xr:uid="{00000000-0005-0000-0000-0000D8790000}"/>
    <cellStyle name="Normal 2 2 10 4 2 2" xfId="13201" xr:uid="{00000000-0005-0000-0000-0000D9790000}"/>
    <cellStyle name="Normal 2 2 10 4 3" xfId="22186" xr:uid="{00000000-0005-0000-0000-0000DA790000}"/>
    <cellStyle name="Normal 2 2 10 4 4" xfId="22187" xr:uid="{00000000-0005-0000-0000-0000DB790000}"/>
    <cellStyle name="Normal 2 2 10 4 5" xfId="22188" xr:uid="{00000000-0005-0000-0000-0000DC790000}"/>
    <cellStyle name="Normal 2 2 10 4 6" xfId="22189" xr:uid="{00000000-0005-0000-0000-0000DD790000}"/>
    <cellStyle name="Normal 2 2 10 5" xfId="7419" xr:uid="{00000000-0005-0000-0000-0000DE790000}"/>
    <cellStyle name="Normal 2 2 10 5 2" xfId="9581" xr:uid="{00000000-0005-0000-0000-0000DF790000}"/>
    <cellStyle name="Normal 2 2 10 5 2 2" xfId="13202" xr:uid="{00000000-0005-0000-0000-0000E0790000}"/>
    <cellStyle name="Normal 2 2 10 5 3" xfId="22190" xr:uid="{00000000-0005-0000-0000-0000E1790000}"/>
    <cellStyle name="Normal 2 2 10 5 4" xfId="22191" xr:uid="{00000000-0005-0000-0000-0000E2790000}"/>
    <cellStyle name="Normal 2 2 10 5 5" xfId="22192" xr:uid="{00000000-0005-0000-0000-0000E3790000}"/>
    <cellStyle name="Normal 2 2 10 5 6" xfId="22193" xr:uid="{00000000-0005-0000-0000-0000E4790000}"/>
    <cellStyle name="Normal 2 2 10 6" xfId="7420" xr:uid="{00000000-0005-0000-0000-0000E5790000}"/>
    <cellStyle name="Normal 2 2 10 6 2" xfId="9582" xr:uid="{00000000-0005-0000-0000-0000E6790000}"/>
    <cellStyle name="Normal 2 2 10 6 2 2" xfId="13203" xr:uid="{00000000-0005-0000-0000-0000E7790000}"/>
    <cellStyle name="Normal 2 2 10 6 3" xfId="22194" xr:uid="{00000000-0005-0000-0000-0000E8790000}"/>
    <cellStyle name="Normal 2 2 10 6 4" xfId="22195" xr:uid="{00000000-0005-0000-0000-0000E9790000}"/>
    <cellStyle name="Normal 2 2 10 6 5" xfId="22196" xr:uid="{00000000-0005-0000-0000-0000EA790000}"/>
    <cellStyle name="Normal 2 2 10 6 6" xfId="22197" xr:uid="{00000000-0005-0000-0000-0000EB790000}"/>
    <cellStyle name="Normal 2 2 10 7" xfId="7421" xr:uid="{00000000-0005-0000-0000-0000EC790000}"/>
    <cellStyle name="Normal 2 2 10 7 2" xfId="9583" xr:uid="{00000000-0005-0000-0000-0000ED790000}"/>
    <cellStyle name="Normal 2 2 10 7 2 2" xfId="13204" xr:uid="{00000000-0005-0000-0000-0000EE790000}"/>
    <cellStyle name="Normal 2 2 10 7 3" xfId="22198" xr:uid="{00000000-0005-0000-0000-0000EF790000}"/>
    <cellStyle name="Normal 2 2 10 7 4" xfId="22199" xr:uid="{00000000-0005-0000-0000-0000F0790000}"/>
    <cellStyle name="Normal 2 2 10 7 5" xfId="22200" xr:uid="{00000000-0005-0000-0000-0000F1790000}"/>
    <cellStyle name="Normal 2 2 10 7 6" xfId="22201" xr:uid="{00000000-0005-0000-0000-0000F2790000}"/>
    <cellStyle name="Normal 2 2 10 8" xfId="7422" xr:uid="{00000000-0005-0000-0000-0000F3790000}"/>
    <cellStyle name="Normal 2 2 10 8 2" xfId="9584" xr:uid="{00000000-0005-0000-0000-0000F4790000}"/>
    <cellStyle name="Normal 2 2 10 8 2 2" xfId="13205" xr:uid="{00000000-0005-0000-0000-0000F5790000}"/>
    <cellStyle name="Normal 2 2 10 8 3" xfId="22202" xr:uid="{00000000-0005-0000-0000-0000F6790000}"/>
    <cellStyle name="Normal 2 2 10 8 4" xfId="22203" xr:uid="{00000000-0005-0000-0000-0000F7790000}"/>
    <cellStyle name="Normal 2 2 10 8 5" xfId="22204" xr:uid="{00000000-0005-0000-0000-0000F8790000}"/>
    <cellStyle name="Normal 2 2 10 8 6" xfId="22205" xr:uid="{00000000-0005-0000-0000-0000F9790000}"/>
    <cellStyle name="Normal 2 2 10 9" xfId="7423" xr:uid="{00000000-0005-0000-0000-0000FA790000}"/>
    <cellStyle name="Normal 2 2 10 9 2" xfId="9585" xr:uid="{00000000-0005-0000-0000-0000FB790000}"/>
    <cellStyle name="Normal 2 2 10 9 2 2" xfId="13206" xr:uid="{00000000-0005-0000-0000-0000FC790000}"/>
    <cellStyle name="Normal 2 2 10 9 3" xfId="22206" xr:uid="{00000000-0005-0000-0000-0000FD790000}"/>
    <cellStyle name="Normal 2 2 10 9 4" xfId="22207" xr:uid="{00000000-0005-0000-0000-0000FE790000}"/>
    <cellStyle name="Normal 2 2 10 9 5" xfId="22208" xr:uid="{00000000-0005-0000-0000-0000FF790000}"/>
    <cellStyle name="Normal 2 2 10 9 6" xfId="22209" xr:uid="{00000000-0005-0000-0000-0000007A0000}"/>
    <cellStyle name="Normal 2 2 11" xfId="1555" xr:uid="{00000000-0005-0000-0000-0000017A0000}"/>
    <cellStyle name="Normal 2 2 11 10" xfId="8263" xr:uid="{00000000-0005-0000-0000-0000027A0000}"/>
    <cellStyle name="Normal 2 2 11 10 2" xfId="9587" xr:uid="{00000000-0005-0000-0000-0000037A0000}"/>
    <cellStyle name="Normal 2 2 11 10 2 2" xfId="13208" xr:uid="{00000000-0005-0000-0000-0000047A0000}"/>
    <cellStyle name="Normal 2 2 11 10 3" xfId="12462" xr:uid="{00000000-0005-0000-0000-0000057A0000}"/>
    <cellStyle name="Normal 2 2 11 11" xfId="9586" xr:uid="{00000000-0005-0000-0000-0000067A0000}"/>
    <cellStyle name="Normal 2 2 11 11 2" xfId="13207" xr:uid="{00000000-0005-0000-0000-0000077A0000}"/>
    <cellStyle name="Normal 2 2 11 12" xfId="22210" xr:uid="{00000000-0005-0000-0000-0000087A0000}"/>
    <cellStyle name="Normal 2 2 11 13" xfId="22211" xr:uid="{00000000-0005-0000-0000-0000097A0000}"/>
    <cellStyle name="Normal 2 2 11 14" xfId="22212" xr:uid="{00000000-0005-0000-0000-00000A7A0000}"/>
    <cellStyle name="Normal 2 2 11 15" xfId="22213" xr:uid="{00000000-0005-0000-0000-00000B7A0000}"/>
    <cellStyle name="Normal 2 2 11 16" xfId="22214" xr:uid="{00000000-0005-0000-0000-00000C7A0000}"/>
    <cellStyle name="Normal 2 2 11 2" xfId="6713" xr:uid="{00000000-0005-0000-0000-00000D7A0000}"/>
    <cellStyle name="Normal 2 2 11 2 2" xfId="7424" xr:uid="{00000000-0005-0000-0000-00000E7A0000}"/>
    <cellStyle name="Normal 2 2 11 2 2 2" xfId="9589" xr:uid="{00000000-0005-0000-0000-00000F7A0000}"/>
    <cellStyle name="Normal 2 2 11 2 2 2 2" xfId="13210" xr:uid="{00000000-0005-0000-0000-0000107A0000}"/>
    <cellStyle name="Normal 2 2 11 2 2 3" xfId="22215" xr:uid="{00000000-0005-0000-0000-0000117A0000}"/>
    <cellStyle name="Normal 2 2 11 2 2 4" xfId="22216" xr:uid="{00000000-0005-0000-0000-0000127A0000}"/>
    <cellStyle name="Normal 2 2 11 2 2 5" xfId="22217" xr:uid="{00000000-0005-0000-0000-0000137A0000}"/>
    <cellStyle name="Normal 2 2 11 2 2 6" xfId="22218" xr:uid="{00000000-0005-0000-0000-0000147A0000}"/>
    <cellStyle name="Normal 2 2 11 2 3" xfId="9588" xr:uid="{00000000-0005-0000-0000-0000157A0000}"/>
    <cellStyle name="Normal 2 2 11 2 3 2" xfId="13209" xr:uid="{00000000-0005-0000-0000-0000167A0000}"/>
    <cellStyle name="Normal 2 2 11 2 4" xfId="22219" xr:uid="{00000000-0005-0000-0000-0000177A0000}"/>
    <cellStyle name="Normal 2 2 11 2 5" xfId="22220" xr:uid="{00000000-0005-0000-0000-0000187A0000}"/>
    <cellStyle name="Normal 2 2 11 2 6" xfId="22221" xr:uid="{00000000-0005-0000-0000-0000197A0000}"/>
    <cellStyle name="Normal 2 2 11 2 7" xfId="22222" xr:uid="{00000000-0005-0000-0000-00001A7A0000}"/>
    <cellStyle name="Normal 2 2 11 3" xfId="7425" xr:uid="{00000000-0005-0000-0000-00001B7A0000}"/>
    <cellStyle name="Normal 2 2 11 3 2" xfId="9590" xr:uid="{00000000-0005-0000-0000-00001C7A0000}"/>
    <cellStyle name="Normal 2 2 11 3 2 2" xfId="13211" xr:uid="{00000000-0005-0000-0000-00001D7A0000}"/>
    <cellStyle name="Normal 2 2 11 3 3" xfId="22223" xr:uid="{00000000-0005-0000-0000-00001E7A0000}"/>
    <cellStyle name="Normal 2 2 11 3 4" xfId="22224" xr:uid="{00000000-0005-0000-0000-00001F7A0000}"/>
    <cellStyle name="Normal 2 2 11 3 5" xfId="22225" xr:uid="{00000000-0005-0000-0000-0000207A0000}"/>
    <cellStyle name="Normal 2 2 11 3 6" xfId="22226" xr:uid="{00000000-0005-0000-0000-0000217A0000}"/>
    <cellStyle name="Normal 2 2 11 4" xfId="7426" xr:uid="{00000000-0005-0000-0000-0000227A0000}"/>
    <cellStyle name="Normal 2 2 11 4 2" xfId="9591" xr:uid="{00000000-0005-0000-0000-0000237A0000}"/>
    <cellStyle name="Normal 2 2 11 4 2 2" xfId="13212" xr:uid="{00000000-0005-0000-0000-0000247A0000}"/>
    <cellStyle name="Normal 2 2 11 4 3" xfId="22227" xr:uid="{00000000-0005-0000-0000-0000257A0000}"/>
    <cellStyle name="Normal 2 2 11 4 4" xfId="22228" xr:uid="{00000000-0005-0000-0000-0000267A0000}"/>
    <cellStyle name="Normal 2 2 11 4 5" xfId="22229" xr:uid="{00000000-0005-0000-0000-0000277A0000}"/>
    <cellStyle name="Normal 2 2 11 4 6" xfId="22230" xr:uid="{00000000-0005-0000-0000-0000287A0000}"/>
    <cellStyle name="Normal 2 2 11 5" xfId="7427" xr:uid="{00000000-0005-0000-0000-0000297A0000}"/>
    <cellStyle name="Normal 2 2 11 5 2" xfId="9592" xr:uid="{00000000-0005-0000-0000-00002A7A0000}"/>
    <cellStyle name="Normal 2 2 11 5 2 2" xfId="13213" xr:uid="{00000000-0005-0000-0000-00002B7A0000}"/>
    <cellStyle name="Normal 2 2 11 5 3" xfId="22231" xr:uid="{00000000-0005-0000-0000-00002C7A0000}"/>
    <cellStyle name="Normal 2 2 11 5 4" xfId="22232" xr:uid="{00000000-0005-0000-0000-00002D7A0000}"/>
    <cellStyle name="Normal 2 2 11 5 5" xfId="22233" xr:uid="{00000000-0005-0000-0000-00002E7A0000}"/>
    <cellStyle name="Normal 2 2 11 5 6" xfId="22234" xr:uid="{00000000-0005-0000-0000-00002F7A0000}"/>
    <cellStyle name="Normal 2 2 11 6" xfId="7428" xr:uid="{00000000-0005-0000-0000-0000307A0000}"/>
    <cellStyle name="Normal 2 2 11 6 2" xfId="9593" xr:uid="{00000000-0005-0000-0000-0000317A0000}"/>
    <cellStyle name="Normal 2 2 11 6 2 2" xfId="13214" xr:uid="{00000000-0005-0000-0000-0000327A0000}"/>
    <cellStyle name="Normal 2 2 11 6 3" xfId="22235" xr:uid="{00000000-0005-0000-0000-0000337A0000}"/>
    <cellStyle name="Normal 2 2 11 6 4" xfId="22236" xr:uid="{00000000-0005-0000-0000-0000347A0000}"/>
    <cellStyle name="Normal 2 2 11 6 5" xfId="22237" xr:uid="{00000000-0005-0000-0000-0000357A0000}"/>
    <cellStyle name="Normal 2 2 11 6 6" xfId="22238" xr:uid="{00000000-0005-0000-0000-0000367A0000}"/>
    <cellStyle name="Normal 2 2 11 7" xfId="7429" xr:uid="{00000000-0005-0000-0000-0000377A0000}"/>
    <cellStyle name="Normal 2 2 11 7 2" xfId="9594" xr:uid="{00000000-0005-0000-0000-0000387A0000}"/>
    <cellStyle name="Normal 2 2 11 7 2 2" xfId="13215" xr:uid="{00000000-0005-0000-0000-0000397A0000}"/>
    <cellStyle name="Normal 2 2 11 7 3" xfId="22239" xr:uid="{00000000-0005-0000-0000-00003A7A0000}"/>
    <cellStyle name="Normal 2 2 11 7 4" xfId="22240" xr:uid="{00000000-0005-0000-0000-00003B7A0000}"/>
    <cellStyle name="Normal 2 2 11 7 5" xfId="22241" xr:uid="{00000000-0005-0000-0000-00003C7A0000}"/>
    <cellStyle name="Normal 2 2 11 7 6" xfId="22242" xr:uid="{00000000-0005-0000-0000-00003D7A0000}"/>
    <cellStyle name="Normal 2 2 11 8" xfId="7430" xr:uid="{00000000-0005-0000-0000-00003E7A0000}"/>
    <cellStyle name="Normal 2 2 11 8 2" xfId="9595" xr:uid="{00000000-0005-0000-0000-00003F7A0000}"/>
    <cellStyle name="Normal 2 2 11 8 2 2" xfId="13216" xr:uid="{00000000-0005-0000-0000-0000407A0000}"/>
    <cellStyle name="Normal 2 2 11 8 3" xfId="22243" xr:uid="{00000000-0005-0000-0000-0000417A0000}"/>
    <cellStyle name="Normal 2 2 11 8 4" xfId="22244" xr:uid="{00000000-0005-0000-0000-0000427A0000}"/>
    <cellStyle name="Normal 2 2 11 8 5" xfId="22245" xr:uid="{00000000-0005-0000-0000-0000437A0000}"/>
    <cellStyle name="Normal 2 2 11 8 6" xfId="22246" xr:uid="{00000000-0005-0000-0000-0000447A0000}"/>
    <cellStyle name="Normal 2 2 11 9" xfId="7431" xr:uid="{00000000-0005-0000-0000-0000457A0000}"/>
    <cellStyle name="Normal 2 2 11 9 2" xfId="9596" xr:uid="{00000000-0005-0000-0000-0000467A0000}"/>
    <cellStyle name="Normal 2 2 11 9 2 2" xfId="13217" xr:uid="{00000000-0005-0000-0000-0000477A0000}"/>
    <cellStyle name="Normal 2 2 11 9 3" xfId="22247" xr:uid="{00000000-0005-0000-0000-0000487A0000}"/>
    <cellStyle name="Normal 2 2 11 9 4" xfId="22248" xr:uid="{00000000-0005-0000-0000-0000497A0000}"/>
    <cellStyle name="Normal 2 2 11 9 5" xfId="22249" xr:uid="{00000000-0005-0000-0000-00004A7A0000}"/>
    <cellStyle name="Normal 2 2 11 9 6" xfId="22250" xr:uid="{00000000-0005-0000-0000-00004B7A0000}"/>
    <cellStyle name="Normal 2 2 12" xfId="1556" xr:uid="{00000000-0005-0000-0000-00004C7A0000}"/>
    <cellStyle name="Normal 2 2 12 10" xfId="8485" xr:uid="{00000000-0005-0000-0000-00004D7A0000}"/>
    <cellStyle name="Normal 2 2 12 10 2" xfId="9598" xr:uid="{00000000-0005-0000-0000-00004E7A0000}"/>
    <cellStyle name="Normal 2 2 12 10 2 2" xfId="13219" xr:uid="{00000000-0005-0000-0000-00004F7A0000}"/>
    <cellStyle name="Normal 2 2 12 10 3" xfId="22251" xr:uid="{00000000-0005-0000-0000-0000507A0000}"/>
    <cellStyle name="Normal 2 2 12 10 4" xfId="22252" xr:uid="{00000000-0005-0000-0000-0000517A0000}"/>
    <cellStyle name="Normal 2 2 12 10 5" xfId="22253" xr:uid="{00000000-0005-0000-0000-0000527A0000}"/>
    <cellStyle name="Normal 2 2 12 10 6" xfId="22254" xr:uid="{00000000-0005-0000-0000-0000537A0000}"/>
    <cellStyle name="Normal 2 2 12 11" xfId="8264" xr:uid="{00000000-0005-0000-0000-0000547A0000}"/>
    <cellStyle name="Normal 2 2 12 11 2" xfId="9599" xr:uid="{00000000-0005-0000-0000-0000557A0000}"/>
    <cellStyle name="Normal 2 2 12 11 2 2" xfId="13220" xr:uid="{00000000-0005-0000-0000-0000567A0000}"/>
    <cellStyle name="Normal 2 2 12 11 3" xfId="12463" xr:uid="{00000000-0005-0000-0000-0000577A0000}"/>
    <cellStyle name="Normal 2 2 12 12" xfId="9597" xr:uid="{00000000-0005-0000-0000-0000587A0000}"/>
    <cellStyle name="Normal 2 2 12 12 2" xfId="13218" xr:uid="{00000000-0005-0000-0000-0000597A0000}"/>
    <cellStyle name="Normal 2 2 12 13" xfId="22255" xr:uid="{00000000-0005-0000-0000-00005A7A0000}"/>
    <cellStyle name="Normal 2 2 12 14" xfId="22256" xr:uid="{00000000-0005-0000-0000-00005B7A0000}"/>
    <cellStyle name="Normal 2 2 12 15" xfId="22257" xr:uid="{00000000-0005-0000-0000-00005C7A0000}"/>
    <cellStyle name="Normal 2 2 12 16" xfId="22258" xr:uid="{00000000-0005-0000-0000-00005D7A0000}"/>
    <cellStyle name="Normal 2 2 12 17" xfId="22259" xr:uid="{00000000-0005-0000-0000-00005E7A0000}"/>
    <cellStyle name="Normal 2 2 12 2" xfId="3620" xr:uid="{00000000-0005-0000-0000-00005F7A0000}"/>
    <cellStyle name="Normal 2 2 12 2 2" xfId="7432" xr:uid="{00000000-0005-0000-0000-0000607A0000}"/>
    <cellStyle name="Normal 2 2 12 2 2 2" xfId="9601" xr:uid="{00000000-0005-0000-0000-0000617A0000}"/>
    <cellStyle name="Normal 2 2 12 2 2 2 2" xfId="13222" xr:uid="{00000000-0005-0000-0000-0000627A0000}"/>
    <cellStyle name="Normal 2 2 12 2 2 3" xfId="22260" xr:uid="{00000000-0005-0000-0000-0000637A0000}"/>
    <cellStyle name="Normal 2 2 12 2 2 4" xfId="22261" xr:uid="{00000000-0005-0000-0000-0000647A0000}"/>
    <cellStyle name="Normal 2 2 12 2 2 5" xfId="22262" xr:uid="{00000000-0005-0000-0000-0000657A0000}"/>
    <cellStyle name="Normal 2 2 12 2 2 6" xfId="22263" xr:uid="{00000000-0005-0000-0000-0000667A0000}"/>
    <cellStyle name="Normal 2 2 12 2 3" xfId="8570" xr:uid="{00000000-0005-0000-0000-0000677A0000}"/>
    <cellStyle name="Normal 2 2 12 2 3 2" xfId="9602" xr:uid="{00000000-0005-0000-0000-0000687A0000}"/>
    <cellStyle name="Normal 2 2 12 2 3 2 2" xfId="13223" xr:uid="{00000000-0005-0000-0000-0000697A0000}"/>
    <cellStyle name="Normal 2 2 12 2 3 3" xfId="22264" xr:uid="{00000000-0005-0000-0000-00006A7A0000}"/>
    <cellStyle name="Normal 2 2 12 2 3 4" xfId="22265" xr:uid="{00000000-0005-0000-0000-00006B7A0000}"/>
    <cellStyle name="Normal 2 2 12 2 3 5" xfId="22266" xr:uid="{00000000-0005-0000-0000-00006C7A0000}"/>
    <cellStyle name="Normal 2 2 12 2 3 6" xfId="22267" xr:uid="{00000000-0005-0000-0000-00006D7A0000}"/>
    <cellStyle name="Normal 2 2 12 2 4" xfId="9600" xr:uid="{00000000-0005-0000-0000-00006E7A0000}"/>
    <cellStyle name="Normal 2 2 12 2 4 2" xfId="13221" xr:uid="{00000000-0005-0000-0000-00006F7A0000}"/>
    <cellStyle name="Normal 2 2 12 2 5" xfId="22268" xr:uid="{00000000-0005-0000-0000-0000707A0000}"/>
    <cellStyle name="Normal 2 2 12 2 6" xfId="22269" xr:uid="{00000000-0005-0000-0000-0000717A0000}"/>
    <cellStyle name="Normal 2 2 12 2 7" xfId="22270" xr:uid="{00000000-0005-0000-0000-0000727A0000}"/>
    <cellStyle name="Normal 2 2 12 2 8" xfId="22271" xr:uid="{00000000-0005-0000-0000-0000737A0000}"/>
    <cellStyle name="Normal 2 2 12 3" xfId="3619" xr:uid="{00000000-0005-0000-0000-0000747A0000}"/>
    <cellStyle name="Normal 2 2 12 3 2" xfId="9603" xr:uid="{00000000-0005-0000-0000-0000757A0000}"/>
    <cellStyle name="Normal 2 2 12 3 2 2" xfId="13224" xr:uid="{00000000-0005-0000-0000-0000767A0000}"/>
    <cellStyle name="Normal 2 2 12 3 3" xfId="22272" xr:uid="{00000000-0005-0000-0000-0000777A0000}"/>
    <cellStyle name="Normal 2 2 12 3 4" xfId="22273" xr:uid="{00000000-0005-0000-0000-0000787A0000}"/>
    <cellStyle name="Normal 2 2 12 3 5" xfId="22274" xr:uid="{00000000-0005-0000-0000-0000797A0000}"/>
    <cellStyle name="Normal 2 2 12 3 6" xfId="22275" xr:uid="{00000000-0005-0000-0000-00007A7A0000}"/>
    <cellStyle name="Normal 2 2 12 4" xfId="4784" xr:uid="{00000000-0005-0000-0000-00007B7A0000}"/>
    <cellStyle name="Normal 2 2 12 4 2" xfId="9604" xr:uid="{00000000-0005-0000-0000-00007C7A0000}"/>
    <cellStyle name="Normal 2 2 12 4 2 2" xfId="13225" xr:uid="{00000000-0005-0000-0000-00007D7A0000}"/>
    <cellStyle name="Normal 2 2 12 4 3" xfId="22276" xr:uid="{00000000-0005-0000-0000-00007E7A0000}"/>
    <cellStyle name="Normal 2 2 12 4 4" xfId="22277" xr:uid="{00000000-0005-0000-0000-00007F7A0000}"/>
    <cellStyle name="Normal 2 2 12 4 5" xfId="22278" xr:uid="{00000000-0005-0000-0000-0000807A0000}"/>
    <cellStyle name="Normal 2 2 12 4 6" xfId="22279" xr:uid="{00000000-0005-0000-0000-0000817A0000}"/>
    <cellStyle name="Normal 2 2 12 5" xfId="7433" xr:uid="{00000000-0005-0000-0000-0000827A0000}"/>
    <cellStyle name="Normal 2 2 12 5 2" xfId="9605" xr:uid="{00000000-0005-0000-0000-0000837A0000}"/>
    <cellStyle name="Normal 2 2 12 5 2 2" xfId="13226" xr:uid="{00000000-0005-0000-0000-0000847A0000}"/>
    <cellStyle name="Normal 2 2 12 5 3" xfId="22280" xr:uid="{00000000-0005-0000-0000-0000857A0000}"/>
    <cellStyle name="Normal 2 2 12 5 4" xfId="22281" xr:uid="{00000000-0005-0000-0000-0000867A0000}"/>
    <cellStyle name="Normal 2 2 12 5 5" xfId="22282" xr:uid="{00000000-0005-0000-0000-0000877A0000}"/>
    <cellStyle name="Normal 2 2 12 5 6" xfId="22283" xr:uid="{00000000-0005-0000-0000-0000887A0000}"/>
    <cellStyle name="Normal 2 2 12 6" xfId="7434" xr:uid="{00000000-0005-0000-0000-0000897A0000}"/>
    <cellStyle name="Normal 2 2 12 6 2" xfId="9606" xr:uid="{00000000-0005-0000-0000-00008A7A0000}"/>
    <cellStyle name="Normal 2 2 12 6 2 2" xfId="13227" xr:uid="{00000000-0005-0000-0000-00008B7A0000}"/>
    <cellStyle name="Normal 2 2 12 6 3" xfId="22284" xr:uid="{00000000-0005-0000-0000-00008C7A0000}"/>
    <cellStyle name="Normal 2 2 12 6 4" xfId="22285" xr:uid="{00000000-0005-0000-0000-00008D7A0000}"/>
    <cellStyle name="Normal 2 2 12 6 5" xfId="22286" xr:uid="{00000000-0005-0000-0000-00008E7A0000}"/>
    <cellStyle name="Normal 2 2 12 6 6" xfId="22287" xr:uid="{00000000-0005-0000-0000-00008F7A0000}"/>
    <cellStyle name="Normal 2 2 12 7" xfId="7435" xr:uid="{00000000-0005-0000-0000-0000907A0000}"/>
    <cellStyle name="Normal 2 2 12 7 2" xfId="9607" xr:uid="{00000000-0005-0000-0000-0000917A0000}"/>
    <cellStyle name="Normal 2 2 12 7 2 2" xfId="13228" xr:uid="{00000000-0005-0000-0000-0000927A0000}"/>
    <cellStyle name="Normal 2 2 12 7 3" xfId="22288" xr:uid="{00000000-0005-0000-0000-0000937A0000}"/>
    <cellStyle name="Normal 2 2 12 7 4" xfId="22289" xr:uid="{00000000-0005-0000-0000-0000947A0000}"/>
    <cellStyle name="Normal 2 2 12 7 5" xfId="22290" xr:uid="{00000000-0005-0000-0000-0000957A0000}"/>
    <cellStyle name="Normal 2 2 12 7 6" xfId="22291" xr:uid="{00000000-0005-0000-0000-0000967A0000}"/>
    <cellStyle name="Normal 2 2 12 8" xfId="7436" xr:uid="{00000000-0005-0000-0000-0000977A0000}"/>
    <cellStyle name="Normal 2 2 12 8 2" xfId="9608" xr:uid="{00000000-0005-0000-0000-0000987A0000}"/>
    <cellStyle name="Normal 2 2 12 8 2 2" xfId="13229" xr:uid="{00000000-0005-0000-0000-0000997A0000}"/>
    <cellStyle name="Normal 2 2 12 8 3" xfId="22292" xr:uid="{00000000-0005-0000-0000-00009A7A0000}"/>
    <cellStyle name="Normal 2 2 12 8 4" xfId="22293" xr:uid="{00000000-0005-0000-0000-00009B7A0000}"/>
    <cellStyle name="Normal 2 2 12 8 5" xfId="22294" xr:uid="{00000000-0005-0000-0000-00009C7A0000}"/>
    <cellStyle name="Normal 2 2 12 8 6" xfId="22295" xr:uid="{00000000-0005-0000-0000-00009D7A0000}"/>
    <cellStyle name="Normal 2 2 12 9" xfId="7437" xr:uid="{00000000-0005-0000-0000-00009E7A0000}"/>
    <cellStyle name="Normal 2 2 12 9 2" xfId="9609" xr:uid="{00000000-0005-0000-0000-00009F7A0000}"/>
    <cellStyle name="Normal 2 2 12 9 2 2" xfId="13230" xr:uid="{00000000-0005-0000-0000-0000A07A0000}"/>
    <cellStyle name="Normal 2 2 12 9 3" xfId="22296" xr:uid="{00000000-0005-0000-0000-0000A17A0000}"/>
    <cellStyle name="Normal 2 2 12 9 4" xfId="22297" xr:uid="{00000000-0005-0000-0000-0000A27A0000}"/>
    <cellStyle name="Normal 2 2 12 9 5" xfId="22298" xr:uid="{00000000-0005-0000-0000-0000A37A0000}"/>
    <cellStyle name="Normal 2 2 12 9 6" xfId="22299" xr:uid="{00000000-0005-0000-0000-0000A47A0000}"/>
    <cellStyle name="Normal 2 2 13" xfId="1557" xr:uid="{00000000-0005-0000-0000-0000A57A0000}"/>
    <cellStyle name="Normal 2 2 13 10" xfId="7438" xr:uid="{00000000-0005-0000-0000-0000A67A0000}"/>
    <cellStyle name="Normal 2 2 13 2" xfId="3621" xr:uid="{00000000-0005-0000-0000-0000A77A0000}"/>
    <cellStyle name="Normal 2 2 13 2 2" xfId="5411" xr:uid="{00000000-0005-0000-0000-0000A87A0000}"/>
    <cellStyle name="Normal 2 2 13 2 2 2" xfId="6144" xr:uid="{00000000-0005-0000-0000-0000A97A0000}"/>
    <cellStyle name="Normal 2 2 13 2 2 2 2" xfId="41314" xr:uid="{00000000-0005-0000-0000-0000AA7A0000}"/>
    <cellStyle name="Normal 2 2 13 2 2 2 3" xfId="39731" xr:uid="{00000000-0005-0000-0000-0000AB7A0000}"/>
    <cellStyle name="Normal 2 2 13 2 2 3" xfId="40456" xr:uid="{00000000-0005-0000-0000-0000AC7A0000}"/>
    <cellStyle name="Normal 2 2 13 2 2 4" xfId="13231" xr:uid="{00000000-0005-0000-0000-0000AD7A0000}"/>
    <cellStyle name="Normal 2 2 13 2 3" xfId="5829" xr:uid="{00000000-0005-0000-0000-0000AE7A0000}"/>
    <cellStyle name="Normal 2 2 13 2 3 2" xfId="40152" xr:uid="{00000000-0005-0000-0000-0000AF7A0000}"/>
    <cellStyle name="Normal 2 2 13 2 3 3" xfId="38425" xr:uid="{00000000-0005-0000-0000-0000B07A0000}"/>
    <cellStyle name="Normal 2 2 13 2 4" xfId="6464" xr:uid="{00000000-0005-0000-0000-0000B17A0000}"/>
    <cellStyle name="Normal 2 2 13 2 4 2" xfId="40697" xr:uid="{00000000-0005-0000-0000-0000B27A0000}"/>
    <cellStyle name="Normal 2 2 13 2 4 3" xfId="39130" xr:uid="{00000000-0005-0000-0000-0000B37A0000}"/>
    <cellStyle name="Normal 2 2 13 2 5" xfId="39433" xr:uid="{00000000-0005-0000-0000-0000B47A0000}"/>
    <cellStyle name="Normal 2 2 13 2 5 2" xfId="41004" xr:uid="{00000000-0005-0000-0000-0000B57A0000}"/>
    <cellStyle name="Normal 2 2 13 2 6" xfId="39935" xr:uid="{00000000-0005-0000-0000-0000B67A0000}"/>
    <cellStyle name="Normal 2 2 13 2 7" xfId="9610" xr:uid="{00000000-0005-0000-0000-0000B77A0000}"/>
    <cellStyle name="Normal 2 2 13 3" xfId="4785" xr:uid="{00000000-0005-0000-0000-0000B87A0000}"/>
    <cellStyle name="Normal 2 2 13 3 2" xfId="15193" xr:uid="{00000000-0005-0000-0000-0000B97A0000}"/>
    <cellStyle name="Normal 2 2 13 3 3" xfId="35769" xr:uid="{00000000-0005-0000-0000-0000BA7A0000}"/>
    <cellStyle name="Normal 2 2 13 3 4" xfId="11569" xr:uid="{00000000-0005-0000-0000-0000BB7A0000}"/>
    <cellStyle name="Normal 2 2 13 4" xfId="4516" xr:uid="{00000000-0005-0000-0000-0000BC7A0000}"/>
    <cellStyle name="Normal 2 2 13 4 2" xfId="5967" xr:uid="{00000000-0005-0000-0000-0000BD7A0000}"/>
    <cellStyle name="Normal 2 2 13 4 2 2" xfId="41142" xr:uid="{00000000-0005-0000-0000-0000BE7A0000}"/>
    <cellStyle name="Normal 2 2 13 4 2 3" xfId="39564" xr:uid="{00000000-0005-0000-0000-0000BF7A0000}"/>
    <cellStyle name="Normal 2 2 13 4 3" xfId="40287" xr:uid="{00000000-0005-0000-0000-0000C07A0000}"/>
    <cellStyle name="Normal 2 2 13 4 4" xfId="22300" xr:uid="{00000000-0005-0000-0000-0000C17A0000}"/>
    <cellStyle name="Normal 2 2 13 5" xfId="6288" xr:uid="{00000000-0005-0000-0000-0000C27A0000}"/>
    <cellStyle name="Normal 2 2 13 5 2" xfId="37831" xr:uid="{00000000-0005-0000-0000-0000C37A0000}"/>
    <cellStyle name="Normal 2 2 13 5 3" xfId="22301" xr:uid="{00000000-0005-0000-0000-0000C47A0000}"/>
    <cellStyle name="Normal 2 2 13 6" xfId="22302" xr:uid="{00000000-0005-0000-0000-0000C57A0000}"/>
    <cellStyle name="Normal 2 2 13 7" xfId="22303" xr:uid="{00000000-0005-0000-0000-0000C67A0000}"/>
    <cellStyle name="Normal 2 2 13 8" xfId="22304" xr:uid="{00000000-0005-0000-0000-0000C77A0000}"/>
    <cellStyle name="Normal 2 2 13 9" xfId="35302" xr:uid="{00000000-0005-0000-0000-0000C87A0000}"/>
    <cellStyle name="Normal 2 2 14" xfId="4782" xr:uid="{00000000-0005-0000-0000-0000C97A0000}"/>
    <cellStyle name="Normal 2 2 14 2" xfId="6014" xr:uid="{00000000-0005-0000-0000-0000CA7A0000}"/>
    <cellStyle name="Normal 2 2 14 2 2" xfId="13232" xr:uid="{00000000-0005-0000-0000-0000CB7A0000}"/>
    <cellStyle name="Normal 2 2 14 2 3" xfId="9611" xr:uid="{00000000-0005-0000-0000-0000CC7A0000}"/>
    <cellStyle name="Normal 2 2 14 3" xfId="6335" xr:uid="{00000000-0005-0000-0000-0000CD7A0000}"/>
    <cellStyle name="Normal 2 2 14 3 2" xfId="41186" xr:uid="{00000000-0005-0000-0000-0000CE7A0000}"/>
    <cellStyle name="Normal 2 2 14 3 3" xfId="22305" xr:uid="{00000000-0005-0000-0000-0000CF7A0000}"/>
    <cellStyle name="Normal 2 2 14 4" xfId="22306" xr:uid="{00000000-0005-0000-0000-0000D07A0000}"/>
    <cellStyle name="Normal 2 2 14 5" xfId="22307" xr:uid="{00000000-0005-0000-0000-0000D17A0000}"/>
    <cellStyle name="Normal 2 2 14 6" xfId="22308" xr:uid="{00000000-0005-0000-0000-0000D27A0000}"/>
    <cellStyle name="Normal 2 2 14 7" xfId="7439" xr:uid="{00000000-0005-0000-0000-0000D37A0000}"/>
    <cellStyle name="Normal 2 2 15" xfId="5698" xr:uid="{00000000-0005-0000-0000-0000D47A0000}"/>
    <cellStyle name="Normal 2 2 15 2" xfId="9612" xr:uid="{00000000-0005-0000-0000-0000D57A0000}"/>
    <cellStyle name="Normal 2 2 15 2 2" xfId="13233" xr:uid="{00000000-0005-0000-0000-0000D67A0000}"/>
    <cellStyle name="Normal 2 2 15 3" xfId="22309" xr:uid="{00000000-0005-0000-0000-0000D77A0000}"/>
    <cellStyle name="Normal 2 2 15 4" xfId="22310" xr:uid="{00000000-0005-0000-0000-0000D87A0000}"/>
    <cellStyle name="Normal 2 2 15 5" xfId="22311" xr:uid="{00000000-0005-0000-0000-0000D97A0000}"/>
    <cellStyle name="Normal 2 2 15 6" xfId="22312" xr:uid="{00000000-0005-0000-0000-0000DA7A0000}"/>
    <cellStyle name="Normal 2 2 15 7" xfId="7440" xr:uid="{00000000-0005-0000-0000-0000DB7A0000}"/>
    <cellStyle name="Normal 2 2 16" xfId="7441" xr:uid="{00000000-0005-0000-0000-0000DC7A0000}"/>
    <cellStyle name="Normal 2 2 16 2" xfId="9613" xr:uid="{00000000-0005-0000-0000-0000DD7A0000}"/>
    <cellStyle name="Normal 2 2 16 2 2" xfId="13234" xr:uid="{00000000-0005-0000-0000-0000DE7A0000}"/>
    <cellStyle name="Normal 2 2 16 3" xfId="22313" xr:uid="{00000000-0005-0000-0000-0000DF7A0000}"/>
    <cellStyle name="Normal 2 2 16 4" xfId="22314" xr:uid="{00000000-0005-0000-0000-0000E07A0000}"/>
    <cellStyle name="Normal 2 2 16 5" xfId="22315" xr:uid="{00000000-0005-0000-0000-0000E17A0000}"/>
    <cellStyle name="Normal 2 2 16 6" xfId="22316" xr:uid="{00000000-0005-0000-0000-0000E27A0000}"/>
    <cellStyle name="Normal 2 2 17" xfId="7442" xr:uid="{00000000-0005-0000-0000-0000E37A0000}"/>
    <cellStyle name="Normal 2 2 17 2" xfId="9614" xr:uid="{00000000-0005-0000-0000-0000E47A0000}"/>
    <cellStyle name="Normal 2 2 17 2 2" xfId="13235" xr:uid="{00000000-0005-0000-0000-0000E57A0000}"/>
    <cellStyle name="Normal 2 2 17 3" xfId="22317" xr:uid="{00000000-0005-0000-0000-0000E67A0000}"/>
    <cellStyle name="Normal 2 2 17 4" xfId="22318" xr:uid="{00000000-0005-0000-0000-0000E77A0000}"/>
    <cellStyle name="Normal 2 2 17 5" xfId="22319" xr:uid="{00000000-0005-0000-0000-0000E87A0000}"/>
    <cellStyle name="Normal 2 2 17 6" xfId="22320" xr:uid="{00000000-0005-0000-0000-0000E97A0000}"/>
    <cellStyle name="Normal 2 2 18" xfId="7443" xr:uid="{00000000-0005-0000-0000-0000EA7A0000}"/>
    <cellStyle name="Normal 2 2 18 2" xfId="9615" xr:uid="{00000000-0005-0000-0000-0000EB7A0000}"/>
    <cellStyle name="Normal 2 2 18 2 2" xfId="13236" xr:uid="{00000000-0005-0000-0000-0000EC7A0000}"/>
    <cellStyle name="Normal 2 2 18 3" xfId="22321" xr:uid="{00000000-0005-0000-0000-0000ED7A0000}"/>
    <cellStyle name="Normal 2 2 18 4" xfId="22322" xr:uid="{00000000-0005-0000-0000-0000EE7A0000}"/>
    <cellStyle name="Normal 2 2 18 5" xfId="22323" xr:uid="{00000000-0005-0000-0000-0000EF7A0000}"/>
    <cellStyle name="Normal 2 2 18 6" xfId="22324" xr:uid="{00000000-0005-0000-0000-0000F07A0000}"/>
    <cellStyle name="Normal 2 2 19" xfId="7444" xr:uid="{00000000-0005-0000-0000-0000F17A0000}"/>
    <cellStyle name="Normal 2 2 19 2" xfId="9616" xr:uid="{00000000-0005-0000-0000-0000F27A0000}"/>
    <cellStyle name="Normal 2 2 19 2 2" xfId="13237" xr:uid="{00000000-0005-0000-0000-0000F37A0000}"/>
    <cellStyle name="Normal 2 2 19 3" xfId="22325" xr:uid="{00000000-0005-0000-0000-0000F47A0000}"/>
    <cellStyle name="Normal 2 2 19 4" xfId="22326" xr:uid="{00000000-0005-0000-0000-0000F57A0000}"/>
    <cellStyle name="Normal 2 2 19 5" xfId="22327" xr:uid="{00000000-0005-0000-0000-0000F67A0000}"/>
    <cellStyle name="Normal 2 2 19 6" xfId="22328" xr:uid="{00000000-0005-0000-0000-0000F77A0000}"/>
    <cellStyle name="Normal 2 2 2" xfId="1558" xr:uid="{00000000-0005-0000-0000-0000F87A0000}"/>
    <cellStyle name="Normal 2 2 2 10" xfId="7445" xr:uid="{00000000-0005-0000-0000-0000F97A0000}"/>
    <cellStyle name="Normal 2 2 2 10 2" xfId="9618" xr:uid="{00000000-0005-0000-0000-0000FA7A0000}"/>
    <cellStyle name="Normal 2 2 2 10 2 2" xfId="13239" xr:uid="{00000000-0005-0000-0000-0000FB7A0000}"/>
    <cellStyle name="Normal 2 2 2 10 3" xfId="22329" xr:uid="{00000000-0005-0000-0000-0000FC7A0000}"/>
    <cellStyle name="Normal 2 2 2 10 4" xfId="22330" xr:uid="{00000000-0005-0000-0000-0000FD7A0000}"/>
    <cellStyle name="Normal 2 2 2 10 5" xfId="22331" xr:uid="{00000000-0005-0000-0000-0000FE7A0000}"/>
    <cellStyle name="Normal 2 2 2 10 6" xfId="22332" xr:uid="{00000000-0005-0000-0000-0000FF7A0000}"/>
    <cellStyle name="Normal 2 2 2 11" xfId="7446" xr:uid="{00000000-0005-0000-0000-0000007B0000}"/>
    <cellStyle name="Normal 2 2 2 11 2" xfId="9619" xr:uid="{00000000-0005-0000-0000-0000017B0000}"/>
    <cellStyle name="Normal 2 2 2 11 2 2" xfId="13240" xr:uid="{00000000-0005-0000-0000-0000027B0000}"/>
    <cellStyle name="Normal 2 2 2 11 3" xfId="22333" xr:uid="{00000000-0005-0000-0000-0000037B0000}"/>
    <cellStyle name="Normal 2 2 2 11 4" xfId="22334" xr:uid="{00000000-0005-0000-0000-0000047B0000}"/>
    <cellStyle name="Normal 2 2 2 11 5" xfId="22335" xr:uid="{00000000-0005-0000-0000-0000057B0000}"/>
    <cellStyle name="Normal 2 2 2 11 6" xfId="22336" xr:uid="{00000000-0005-0000-0000-0000067B0000}"/>
    <cellStyle name="Normal 2 2 2 12" xfId="7447" xr:uid="{00000000-0005-0000-0000-0000077B0000}"/>
    <cellStyle name="Normal 2 2 2 12 2" xfId="9620" xr:uid="{00000000-0005-0000-0000-0000087B0000}"/>
    <cellStyle name="Normal 2 2 2 12 2 2" xfId="13241" xr:uid="{00000000-0005-0000-0000-0000097B0000}"/>
    <cellStyle name="Normal 2 2 2 12 3" xfId="22337" xr:uid="{00000000-0005-0000-0000-00000A7B0000}"/>
    <cellStyle name="Normal 2 2 2 12 4" xfId="22338" xr:uid="{00000000-0005-0000-0000-00000B7B0000}"/>
    <cellStyle name="Normal 2 2 2 12 5" xfId="22339" xr:uid="{00000000-0005-0000-0000-00000C7B0000}"/>
    <cellStyle name="Normal 2 2 2 12 6" xfId="22340" xr:uid="{00000000-0005-0000-0000-00000D7B0000}"/>
    <cellStyle name="Normal 2 2 2 13" xfId="7448" xr:uid="{00000000-0005-0000-0000-00000E7B0000}"/>
    <cellStyle name="Normal 2 2 2 13 2" xfId="9621" xr:uid="{00000000-0005-0000-0000-00000F7B0000}"/>
    <cellStyle name="Normal 2 2 2 13 2 2" xfId="13242" xr:uid="{00000000-0005-0000-0000-0000107B0000}"/>
    <cellStyle name="Normal 2 2 2 13 3" xfId="22341" xr:uid="{00000000-0005-0000-0000-0000117B0000}"/>
    <cellStyle name="Normal 2 2 2 13 4" xfId="22342" xr:uid="{00000000-0005-0000-0000-0000127B0000}"/>
    <cellStyle name="Normal 2 2 2 13 5" xfId="22343" xr:uid="{00000000-0005-0000-0000-0000137B0000}"/>
    <cellStyle name="Normal 2 2 2 13 6" xfId="22344" xr:uid="{00000000-0005-0000-0000-0000147B0000}"/>
    <cellStyle name="Normal 2 2 2 14" xfId="7449" xr:uid="{00000000-0005-0000-0000-0000157B0000}"/>
    <cellStyle name="Normal 2 2 2 14 2" xfId="9622" xr:uid="{00000000-0005-0000-0000-0000167B0000}"/>
    <cellStyle name="Normal 2 2 2 14 2 2" xfId="13243" xr:uid="{00000000-0005-0000-0000-0000177B0000}"/>
    <cellStyle name="Normal 2 2 2 14 3" xfId="22345" xr:uid="{00000000-0005-0000-0000-0000187B0000}"/>
    <cellStyle name="Normal 2 2 2 14 4" xfId="22346" xr:uid="{00000000-0005-0000-0000-0000197B0000}"/>
    <cellStyle name="Normal 2 2 2 14 5" xfId="22347" xr:uid="{00000000-0005-0000-0000-00001A7B0000}"/>
    <cellStyle name="Normal 2 2 2 14 6" xfId="22348" xr:uid="{00000000-0005-0000-0000-00001B7B0000}"/>
    <cellStyle name="Normal 2 2 2 15" xfId="7450" xr:uid="{00000000-0005-0000-0000-00001C7B0000}"/>
    <cellStyle name="Normal 2 2 2 15 2" xfId="9623" xr:uid="{00000000-0005-0000-0000-00001D7B0000}"/>
    <cellStyle name="Normal 2 2 2 15 2 2" xfId="13244" xr:uid="{00000000-0005-0000-0000-00001E7B0000}"/>
    <cellStyle name="Normal 2 2 2 15 3" xfId="22349" xr:uid="{00000000-0005-0000-0000-00001F7B0000}"/>
    <cellStyle name="Normal 2 2 2 15 4" xfId="22350" xr:uid="{00000000-0005-0000-0000-0000207B0000}"/>
    <cellStyle name="Normal 2 2 2 15 5" xfId="22351" xr:uid="{00000000-0005-0000-0000-0000217B0000}"/>
    <cellStyle name="Normal 2 2 2 15 6" xfId="22352" xr:uid="{00000000-0005-0000-0000-0000227B0000}"/>
    <cellStyle name="Normal 2 2 2 16" xfId="9624" xr:uid="{00000000-0005-0000-0000-0000237B0000}"/>
    <cellStyle name="Normal 2 2 2 16 2" xfId="13245" xr:uid="{00000000-0005-0000-0000-0000247B0000}"/>
    <cellStyle name="Normal 2 2 2 17" xfId="9617" xr:uid="{00000000-0005-0000-0000-0000257B0000}"/>
    <cellStyle name="Normal 2 2 2 17 2" xfId="13238" xr:uid="{00000000-0005-0000-0000-0000267B0000}"/>
    <cellStyle name="Normal 2 2 2 18" xfId="22353" xr:uid="{00000000-0005-0000-0000-0000277B0000}"/>
    <cellStyle name="Normal 2 2 2 19" xfId="22354" xr:uid="{00000000-0005-0000-0000-0000287B0000}"/>
    <cellStyle name="Normal 2 2 2 2" xfId="1559" xr:uid="{00000000-0005-0000-0000-0000297B0000}"/>
    <cellStyle name="Normal 2 2 2 2 10" xfId="7452" xr:uid="{00000000-0005-0000-0000-00002A7B0000}"/>
    <cellStyle name="Normal 2 2 2 2 10 2" xfId="9626" xr:uid="{00000000-0005-0000-0000-00002B7B0000}"/>
    <cellStyle name="Normal 2 2 2 2 10 2 2" xfId="13247" xr:uid="{00000000-0005-0000-0000-00002C7B0000}"/>
    <cellStyle name="Normal 2 2 2 2 10 3" xfId="22355" xr:uid="{00000000-0005-0000-0000-00002D7B0000}"/>
    <cellStyle name="Normal 2 2 2 2 10 4" xfId="22356" xr:uid="{00000000-0005-0000-0000-00002E7B0000}"/>
    <cellStyle name="Normal 2 2 2 2 10 5" xfId="22357" xr:uid="{00000000-0005-0000-0000-00002F7B0000}"/>
    <cellStyle name="Normal 2 2 2 2 10 6" xfId="22358" xr:uid="{00000000-0005-0000-0000-0000307B0000}"/>
    <cellStyle name="Normal 2 2 2 2 11" xfId="7453" xr:uid="{00000000-0005-0000-0000-0000317B0000}"/>
    <cellStyle name="Normal 2 2 2 2 11 2" xfId="9627" xr:uid="{00000000-0005-0000-0000-0000327B0000}"/>
    <cellStyle name="Normal 2 2 2 2 11 2 2" xfId="13248" xr:uid="{00000000-0005-0000-0000-0000337B0000}"/>
    <cellStyle name="Normal 2 2 2 2 11 3" xfId="22359" xr:uid="{00000000-0005-0000-0000-0000347B0000}"/>
    <cellStyle name="Normal 2 2 2 2 11 4" xfId="22360" xr:uid="{00000000-0005-0000-0000-0000357B0000}"/>
    <cellStyle name="Normal 2 2 2 2 11 5" xfId="22361" xr:uid="{00000000-0005-0000-0000-0000367B0000}"/>
    <cellStyle name="Normal 2 2 2 2 11 6" xfId="22362" xr:uid="{00000000-0005-0000-0000-0000377B0000}"/>
    <cellStyle name="Normal 2 2 2 2 12" xfId="7454" xr:uid="{00000000-0005-0000-0000-0000387B0000}"/>
    <cellStyle name="Normal 2 2 2 2 12 2" xfId="9628" xr:uid="{00000000-0005-0000-0000-0000397B0000}"/>
    <cellStyle name="Normal 2 2 2 2 12 2 2" xfId="13249" xr:uid="{00000000-0005-0000-0000-00003A7B0000}"/>
    <cellStyle name="Normal 2 2 2 2 12 3" xfId="22363" xr:uid="{00000000-0005-0000-0000-00003B7B0000}"/>
    <cellStyle name="Normal 2 2 2 2 12 4" xfId="22364" xr:uid="{00000000-0005-0000-0000-00003C7B0000}"/>
    <cellStyle name="Normal 2 2 2 2 12 5" xfId="22365" xr:uid="{00000000-0005-0000-0000-00003D7B0000}"/>
    <cellStyle name="Normal 2 2 2 2 12 6" xfId="22366" xr:uid="{00000000-0005-0000-0000-00003E7B0000}"/>
    <cellStyle name="Normal 2 2 2 2 13" xfId="7451" xr:uid="{00000000-0005-0000-0000-00003F7B0000}"/>
    <cellStyle name="Normal 2 2 2 2 13 2" xfId="9629" xr:uid="{00000000-0005-0000-0000-0000407B0000}"/>
    <cellStyle name="Normal 2 2 2 2 13 2 2" xfId="13250" xr:uid="{00000000-0005-0000-0000-0000417B0000}"/>
    <cellStyle name="Normal 2 2 2 2 13 3" xfId="22367" xr:uid="{00000000-0005-0000-0000-0000427B0000}"/>
    <cellStyle name="Normal 2 2 2 2 13 4" xfId="22368" xr:uid="{00000000-0005-0000-0000-0000437B0000}"/>
    <cellStyle name="Normal 2 2 2 2 13 5" xfId="22369" xr:uid="{00000000-0005-0000-0000-0000447B0000}"/>
    <cellStyle name="Normal 2 2 2 2 13 6" xfId="22370" xr:uid="{00000000-0005-0000-0000-0000457B0000}"/>
    <cellStyle name="Normal 2 2 2 2 14" xfId="9625" xr:uid="{00000000-0005-0000-0000-0000467B0000}"/>
    <cellStyle name="Normal 2 2 2 2 14 2" xfId="13246" xr:uid="{00000000-0005-0000-0000-0000477B0000}"/>
    <cellStyle name="Normal 2 2 2 2 15" xfId="22371" xr:uid="{00000000-0005-0000-0000-0000487B0000}"/>
    <cellStyle name="Normal 2 2 2 2 16" xfId="22372" xr:uid="{00000000-0005-0000-0000-0000497B0000}"/>
    <cellStyle name="Normal 2 2 2 2 17" xfId="22373" xr:uid="{00000000-0005-0000-0000-00004A7B0000}"/>
    <cellStyle name="Normal 2 2 2 2 18" xfId="22374" xr:uid="{00000000-0005-0000-0000-00004B7B0000}"/>
    <cellStyle name="Normal 2 2 2 2 19" xfId="22375" xr:uid="{00000000-0005-0000-0000-00004C7B0000}"/>
    <cellStyle name="Normal 2 2 2 2 2" xfId="3622" xr:uid="{00000000-0005-0000-0000-00004D7B0000}"/>
    <cellStyle name="Normal 2 2 2 2 2 2" xfId="9630" xr:uid="{00000000-0005-0000-0000-00004E7B0000}"/>
    <cellStyle name="Normal 2 2 2 2 2 2 2" xfId="13251" xr:uid="{00000000-0005-0000-0000-00004F7B0000}"/>
    <cellStyle name="Normal 2 2 2 2 2 3" xfId="22376" xr:uid="{00000000-0005-0000-0000-0000507B0000}"/>
    <cellStyle name="Normal 2 2 2 2 2 4" xfId="22377" xr:uid="{00000000-0005-0000-0000-0000517B0000}"/>
    <cellStyle name="Normal 2 2 2 2 2 5" xfId="22378" xr:uid="{00000000-0005-0000-0000-0000527B0000}"/>
    <cellStyle name="Normal 2 2 2 2 2 6" xfId="22379" xr:uid="{00000000-0005-0000-0000-0000537B0000}"/>
    <cellStyle name="Normal 2 2 2 2 3" xfId="7455" xr:uid="{00000000-0005-0000-0000-0000547B0000}"/>
    <cellStyle name="Normal 2 2 2 2 3 2" xfId="9631" xr:uid="{00000000-0005-0000-0000-0000557B0000}"/>
    <cellStyle name="Normal 2 2 2 2 3 2 2" xfId="13252" xr:uid="{00000000-0005-0000-0000-0000567B0000}"/>
    <cellStyle name="Normal 2 2 2 2 3 3" xfId="22380" xr:uid="{00000000-0005-0000-0000-0000577B0000}"/>
    <cellStyle name="Normal 2 2 2 2 3 4" xfId="22381" xr:uid="{00000000-0005-0000-0000-0000587B0000}"/>
    <cellStyle name="Normal 2 2 2 2 3 5" xfId="22382" xr:uid="{00000000-0005-0000-0000-0000597B0000}"/>
    <cellStyle name="Normal 2 2 2 2 3 6" xfId="22383" xr:uid="{00000000-0005-0000-0000-00005A7B0000}"/>
    <cellStyle name="Normal 2 2 2 2 4" xfId="7456" xr:uid="{00000000-0005-0000-0000-00005B7B0000}"/>
    <cellStyle name="Normal 2 2 2 2 4 2" xfId="9632" xr:uid="{00000000-0005-0000-0000-00005C7B0000}"/>
    <cellStyle name="Normal 2 2 2 2 4 2 2" xfId="13253" xr:uid="{00000000-0005-0000-0000-00005D7B0000}"/>
    <cellStyle name="Normal 2 2 2 2 4 3" xfId="22384" xr:uid="{00000000-0005-0000-0000-00005E7B0000}"/>
    <cellStyle name="Normal 2 2 2 2 4 4" xfId="22385" xr:uid="{00000000-0005-0000-0000-00005F7B0000}"/>
    <cellStyle name="Normal 2 2 2 2 4 5" xfId="22386" xr:uid="{00000000-0005-0000-0000-0000607B0000}"/>
    <cellStyle name="Normal 2 2 2 2 4 6" xfId="22387" xr:uid="{00000000-0005-0000-0000-0000617B0000}"/>
    <cellStyle name="Normal 2 2 2 2 5" xfId="7457" xr:uid="{00000000-0005-0000-0000-0000627B0000}"/>
    <cellStyle name="Normal 2 2 2 2 5 2" xfId="9633" xr:uid="{00000000-0005-0000-0000-0000637B0000}"/>
    <cellStyle name="Normal 2 2 2 2 5 2 2" xfId="13254" xr:uid="{00000000-0005-0000-0000-0000647B0000}"/>
    <cellStyle name="Normal 2 2 2 2 5 3" xfId="22388" xr:uid="{00000000-0005-0000-0000-0000657B0000}"/>
    <cellStyle name="Normal 2 2 2 2 5 4" xfId="22389" xr:uid="{00000000-0005-0000-0000-0000667B0000}"/>
    <cellStyle name="Normal 2 2 2 2 5 5" xfId="22390" xr:uid="{00000000-0005-0000-0000-0000677B0000}"/>
    <cellStyle name="Normal 2 2 2 2 5 6" xfId="22391" xr:uid="{00000000-0005-0000-0000-0000687B0000}"/>
    <cellStyle name="Normal 2 2 2 2 6" xfId="7458" xr:uid="{00000000-0005-0000-0000-0000697B0000}"/>
    <cellStyle name="Normal 2 2 2 2 6 2" xfId="9634" xr:uid="{00000000-0005-0000-0000-00006A7B0000}"/>
    <cellStyle name="Normal 2 2 2 2 6 2 2" xfId="13255" xr:uid="{00000000-0005-0000-0000-00006B7B0000}"/>
    <cellStyle name="Normal 2 2 2 2 6 3" xfId="22392" xr:uid="{00000000-0005-0000-0000-00006C7B0000}"/>
    <cellStyle name="Normal 2 2 2 2 6 4" xfId="22393" xr:uid="{00000000-0005-0000-0000-00006D7B0000}"/>
    <cellStyle name="Normal 2 2 2 2 6 5" xfId="22394" xr:uid="{00000000-0005-0000-0000-00006E7B0000}"/>
    <cellStyle name="Normal 2 2 2 2 6 6" xfId="22395" xr:uid="{00000000-0005-0000-0000-00006F7B0000}"/>
    <cellStyle name="Normal 2 2 2 2 7" xfId="7459" xr:uid="{00000000-0005-0000-0000-0000707B0000}"/>
    <cellStyle name="Normal 2 2 2 2 7 2" xfId="9635" xr:uid="{00000000-0005-0000-0000-0000717B0000}"/>
    <cellStyle name="Normal 2 2 2 2 7 2 2" xfId="13256" xr:uid="{00000000-0005-0000-0000-0000727B0000}"/>
    <cellStyle name="Normal 2 2 2 2 7 3" xfId="22396" xr:uid="{00000000-0005-0000-0000-0000737B0000}"/>
    <cellStyle name="Normal 2 2 2 2 7 4" xfId="22397" xr:uid="{00000000-0005-0000-0000-0000747B0000}"/>
    <cellStyle name="Normal 2 2 2 2 7 5" xfId="22398" xr:uid="{00000000-0005-0000-0000-0000757B0000}"/>
    <cellStyle name="Normal 2 2 2 2 7 6" xfId="22399" xr:uid="{00000000-0005-0000-0000-0000767B0000}"/>
    <cellStyle name="Normal 2 2 2 2 8" xfId="7460" xr:uid="{00000000-0005-0000-0000-0000777B0000}"/>
    <cellStyle name="Normal 2 2 2 2 8 2" xfId="9636" xr:uid="{00000000-0005-0000-0000-0000787B0000}"/>
    <cellStyle name="Normal 2 2 2 2 8 2 2" xfId="13257" xr:uid="{00000000-0005-0000-0000-0000797B0000}"/>
    <cellStyle name="Normal 2 2 2 2 8 3" xfId="22400" xr:uid="{00000000-0005-0000-0000-00007A7B0000}"/>
    <cellStyle name="Normal 2 2 2 2 8 4" xfId="22401" xr:uid="{00000000-0005-0000-0000-00007B7B0000}"/>
    <cellStyle name="Normal 2 2 2 2 8 5" xfId="22402" xr:uid="{00000000-0005-0000-0000-00007C7B0000}"/>
    <cellStyle name="Normal 2 2 2 2 8 6" xfId="22403" xr:uid="{00000000-0005-0000-0000-00007D7B0000}"/>
    <cellStyle name="Normal 2 2 2 2 9" xfId="7461" xr:uid="{00000000-0005-0000-0000-00007E7B0000}"/>
    <cellStyle name="Normal 2 2 2 2 9 2" xfId="9637" xr:uid="{00000000-0005-0000-0000-00007F7B0000}"/>
    <cellStyle name="Normal 2 2 2 2 9 2 2" xfId="13258" xr:uid="{00000000-0005-0000-0000-0000807B0000}"/>
    <cellStyle name="Normal 2 2 2 2 9 3" xfId="22404" xr:uid="{00000000-0005-0000-0000-0000817B0000}"/>
    <cellStyle name="Normal 2 2 2 2 9 4" xfId="22405" xr:uid="{00000000-0005-0000-0000-0000827B0000}"/>
    <cellStyle name="Normal 2 2 2 2 9 5" xfId="22406" xr:uid="{00000000-0005-0000-0000-0000837B0000}"/>
    <cellStyle name="Normal 2 2 2 2 9 6" xfId="22407" xr:uid="{00000000-0005-0000-0000-0000847B0000}"/>
    <cellStyle name="Normal 2 2 2 20" xfId="22408" xr:uid="{00000000-0005-0000-0000-0000857B0000}"/>
    <cellStyle name="Normal 2 2 2 21" xfId="22409" xr:uid="{00000000-0005-0000-0000-0000867B0000}"/>
    <cellStyle name="Normal 2 2 2 22" xfId="22410" xr:uid="{00000000-0005-0000-0000-0000877B0000}"/>
    <cellStyle name="Normal 2 2 2 23" xfId="22411" xr:uid="{00000000-0005-0000-0000-0000887B0000}"/>
    <cellStyle name="Normal 2 2 2 3" xfId="3623" xr:uid="{00000000-0005-0000-0000-0000897B0000}"/>
    <cellStyle name="Normal 2 2 2 3 2" xfId="8385" xr:uid="{00000000-0005-0000-0000-00008A7B0000}"/>
    <cellStyle name="Normal 2 2 2 3 2 2" xfId="9639" xr:uid="{00000000-0005-0000-0000-00008B7B0000}"/>
    <cellStyle name="Normal 2 2 2 3 2 2 2" xfId="13260" xr:uid="{00000000-0005-0000-0000-00008C7B0000}"/>
    <cellStyle name="Normal 2 2 2 3 2 3" xfId="12508" xr:uid="{00000000-0005-0000-0000-00008D7B0000}"/>
    <cellStyle name="Normal 2 2 2 3 3" xfId="9640" xr:uid="{00000000-0005-0000-0000-00008E7B0000}"/>
    <cellStyle name="Normal 2 2 2 3 3 2" xfId="13261" xr:uid="{00000000-0005-0000-0000-00008F7B0000}"/>
    <cellStyle name="Normal 2 2 2 3 4" xfId="9638" xr:uid="{00000000-0005-0000-0000-0000907B0000}"/>
    <cellStyle name="Normal 2 2 2 3 4 2" xfId="13259" xr:uid="{00000000-0005-0000-0000-0000917B0000}"/>
    <cellStyle name="Normal 2 2 2 3 5" xfId="22412" xr:uid="{00000000-0005-0000-0000-0000927B0000}"/>
    <cellStyle name="Normal 2 2 2 3 6" xfId="22413" xr:uid="{00000000-0005-0000-0000-0000937B0000}"/>
    <cellStyle name="Normal 2 2 2 3 7" xfId="22414" xr:uid="{00000000-0005-0000-0000-0000947B0000}"/>
    <cellStyle name="Normal 2 2 2 3 8" xfId="22415" xr:uid="{00000000-0005-0000-0000-0000957B0000}"/>
    <cellStyle name="Normal 2 2 2 4" xfId="3624" xr:uid="{00000000-0005-0000-0000-0000967B0000}"/>
    <cellStyle name="Normal 2 2 2 4 2" xfId="9641" xr:uid="{00000000-0005-0000-0000-0000977B0000}"/>
    <cellStyle name="Normal 2 2 2 4 2 2" xfId="13262" xr:uid="{00000000-0005-0000-0000-0000987B0000}"/>
    <cellStyle name="Normal 2 2 2 4 3" xfId="22416" xr:uid="{00000000-0005-0000-0000-0000997B0000}"/>
    <cellStyle name="Normal 2 2 2 4 4" xfId="22417" xr:uid="{00000000-0005-0000-0000-00009A7B0000}"/>
    <cellStyle name="Normal 2 2 2 4 5" xfId="22418" xr:uid="{00000000-0005-0000-0000-00009B7B0000}"/>
    <cellStyle name="Normal 2 2 2 4 6" xfId="22419" xr:uid="{00000000-0005-0000-0000-00009C7B0000}"/>
    <cellStyle name="Normal 2 2 2 5" xfId="3625" xr:uid="{00000000-0005-0000-0000-00009D7B0000}"/>
    <cellStyle name="Normal 2 2 2 5 2" xfId="9642" xr:uid="{00000000-0005-0000-0000-00009E7B0000}"/>
    <cellStyle name="Normal 2 2 2 5 2 2" xfId="13263" xr:uid="{00000000-0005-0000-0000-00009F7B0000}"/>
    <cellStyle name="Normal 2 2 2 5 3" xfId="22420" xr:uid="{00000000-0005-0000-0000-0000A07B0000}"/>
    <cellStyle name="Normal 2 2 2 5 4" xfId="22421" xr:uid="{00000000-0005-0000-0000-0000A17B0000}"/>
    <cellStyle name="Normal 2 2 2 5 5" xfId="22422" xr:uid="{00000000-0005-0000-0000-0000A27B0000}"/>
    <cellStyle name="Normal 2 2 2 5 6" xfId="22423" xr:uid="{00000000-0005-0000-0000-0000A37B0000}"/>
    <cellStyle name="Normal 2 2 2 6" xfId="3626" xr:uid="{00000000-0005-0000-0000-0000A47B0000}"/>
    <cellStyle name="Normal 2 2 2 6 2" xfId="7462" xr:uid="{00000000-0005-0000-0000-0000A57B0000}"/>
    <cellStyle name="Normal 2 2 2 6 2 2" xfId="9644" xr:uid="{00000000-0005-0000-0000-0000A67B0000}"/>
    <cellStyle name="Normal 2 2 2 6 2 2 2" xfId="13265" xr:uid="{00000000-0005-0000-0000-0000A77B0000}"/>
    <cellStyle name="Normal 2 2 2 6 2 3" xfId="22424" xr:uid="{00000000-0005-0000-0000-0000A87B0000}"/>
    <cellStyle name="Normal 2 2 2 6 2 4" xfId="22425" xr:uid="{00000000-0005-0000-0000-0000A97B0000}"/>
    <cellStyle name="Normal 2 2 2 6 2 5" xfId="22426" xr:uid="{00000000-0005-0000-0000-0000AA7B0000}"/>
    <cellStyle name="Normal 2 2 2 6 2 6" xfId="22427" xr:uid="{00000000-0005-0000-0000-0000AB7B0000}"/>
    <cellStyle name="Normal 2 2 2 6 3" xfId="9643" xr:uid="{00000000-0005-0000-0000-0000AC7B0000}"/>
    <cellStyle name="Normal 2 2 2 6 3 2" xfId="13264" xr:uid="{00000000-0005-0000-0000-0000AD7B0000}"/>
    <cellStyle name="Normal 2 2 2 6 4" xfId="22428" xr:uid="{00000000-0005-0000-0000-0000AE7B0000}"/>
    <cellStyle name="Normal 2 2 2 6 5" xfId="22429" xr:uid="{00000000-0005-0000-0000-0000AF7B0000}"/>
    <cellStyle name="Normal 2 2 2 6 6" xfId="22430" xr:uid="{00000000-0005-0000-0000-0000B07B0000}"/>
    <cellStyle name="Normal 2 2 2 6 7" xfId="22431" xr:uid="{00000000-0005-0000-0000-0000B17B0000}"/>
    <cellStyle name="Normal 2 2 2 7" xfId="3627" xr:uid="{00000000-0005-0000-0000-0000B27B0000}"/>
    <cellStyle name="Normal 2 2 2 7 2" xfId="7463" xr:uid="{00000000-0005-0000-0000-0000B37B0000}"/>
    <cellStyle name="Normal 2 2 2 7 2 2" xfId="9646" xr:uid="{00000000-0005-0000-0000-0000B47B0000}"/>
    <cellStyle name="Normal 2 2 2 7 2 2 2" xfId="13267" xr:uid="{00000000-0005-0000-0000-0000B57B0000}"/>
    <cellStyle name="Normal 2 2 2 7 2 3" xfId="22432" xr:uid="{00000000-0005-0000-0000-0000B67B0000}"/>
    <cellStyle name="Normal 2 2 2 7 2 4" xfId="22433" xr:uid="{00000000-0005-0000-0000-0000B77B0000}"/>
    <cellStyle name="Normal 2 2 2 7 2 5" xfId="22434" xr:uid="{00000000-0005-0000-0000-0000B87B0000}"/>
    <cellStyle name="Normal 2 2 2 7 2 6" xfId="22435" xr:uid="{00000000-0005-0000-0000-0000B97B0000}"/>
    <cellStyle name="Normal 2 2 2 7 3" xfId="9645" xr:uid="{00000000-0005-0000-0000-0000BA7B0000}"/>
    <cellStyle name="Normal 2 2 2 7 3 2" xfId="13266" xr:uid="{00000000-0005-0000-0000-0000BB7B0000}"/>
    <cellStyle name="Normal 2 2 2 7 4" xfId="22436" xr:uid="{00000000-0005-0000-0000-0000BC7B0000}"/>
    <cellStyle name="Normal 2 2 2 7 5" xfId="22437" xr:uid="{00000000-0005-0000-0000-0000BD7B0000}"/>
    <cellStyle name="Normal 2 2 2 7 6" xfId="22438" xr:uid="{00000000-0005-0000-0000-0000BE7B0000}"/>
    <cellStyle name="Normal 2 2 2 7 7" xfId="22439" xr:uid="{00000000-0005-0000-0000-0000BF7B0000}"/>
    <cellStyle name="Normal 2 2 2 8" xfId="3628" xr:uid="{00000000-0005-0000-0000-0000C07B0000}"/>
    <cellStyle name="Normal 2 2 2 8 2" xfId="5412" xr:uid="{00000000-0005-0000-0000-0000C17B0000}"/>
    <cellStyle name="Normal 2 2 2 8 2 2" xfId="13268" xr:uid="{00000000-0005-0000-0000-0000C27B0000}"/>
    <cellStyle name="Normal 2 2 2 8 2 3" xfId="36130" xr:uid="{00000000-0005-0000-0000-0000C37B0000}"/>
    <cellStyle name="Normal 2 2 2 8 2 4" xfId="9647" xr:uid="{00000000-0005-0000-0000-0000C47B0000}"/>
    <cellStyle name="Normal 2 2 2 8 3" xfId="22440" xr:uid="{00000000-0005-0000-0000-0000C57B0000}"/>
    <cellStyle name="Normal 2 2 2 8 3 2" xfId="38426" xr:uid="{00000000-0005-0000-0000-0000C67B0000}"/>
    <cellStyle name="Normal 2 2 2 8 4" xfId="22441" xr:uid="{00000000-0005-0000-0000-0000C77B0000}"/>
    <cellStyle name="Normal 2 2 2 8 5" xfId="22442" xr:uid="{00000000-0005-0000-0000-0000C87B0000}"/>
    <cellStyle name="Normal 2 2 2 8 6" xfId="22443" xr:uid="{00000000-0005-0000-0000-0000C97B0000}"/>
    <cellStyle name="Normal 2 2 2 9" xfId="7464" xr:uid="{00000000-0005-0000-0000-0000CA7B0000}"/>
    <cellStyle name="Normal 2 2 2 9 2" xfId="9648" xr:uid="{00000000-0005-0000-0000-0000CB7B0000}"/>
    <cellStyle name="Normal 2 2 2 9 2 2" xfId="13269" xr:uid="{00000000-0005-0000-0000-0000CC7B0000}"/>
    <cellStyle name="Normal 2 2 2 9 3" xfId="22444" xr:uid="{00000000-0005-0000-0000-0000CD7B0000}"/>
    <cellStyle name="Normal 2 2 2 9 4" xfId="22445" xr:uid="{00000000-0005-0000-0000-0000CE7B0000}"/>
    <cellStyle name="Normal 2 2 2 9 5" xfId="22446" xr:uid="{00000000-0005-0000-0000-0000CF7B0000}"/>
    <cellStyle name="Normal 2 2 2 9 6" xfId="22447" xr:uid="{00000000-0005-0000-0000-0000D07B0000}"/>
    <cellStyle name="Normal 2 2 2_ELC" xfId="3629" xr:uid="{00000000-0005-0000-0000-0000D17B0000}"/>
    <cellStyle name="Normal 2 2 20" xfId="7465" xr:uid="{00000000-0005-0000-0000-0000D27B0000}"/>
    <cellStyle name="Normal 2 2 20 2" xfId="9649" xr:uid="{00000000-0005-0000-0000-0000D37B0000}"/>
    <cellStyle name="Normal 2 2 20 2 2" xfId="13270" xr:uid="{00000000-0005-0000-0000-0000D47B0000}"/>
    <cellStyle name="Normal 2 2 20 3" xfId="22448" xr:uid="{00000000-0005-0000-0000-0000D57B0000}"/>
    <cellStyle name="Normal 2 2 20 4" xfId="22449" xr:uid="{00000000-0005-0000-0000-0000D67B0000}"/>
    <cellStyle name="Normal 2 2 20 5" xfId="22450" xr:uid="{00000000-0005-0000-0000-0000D77B0000}"/>
    <cellStyle name="Normal 2 2 20 6" xfId="22451" xr:uid="{00000000-0005-0000-0000-0000D87B0000}"/>
    <cellStyle name="Normal 2 2 21" xfId="7466" xr:uid="{00000000-0005-0000-0000-0000D97B0000}"/>
    <cellStyle name="Normal 2 2 21 2" xfId="9650" xr:uid="{00000000-0005-0000-0000-0000DA7B0000}"/>
    <cellStyle name="Normal 2 2 21 2 2" xfId="13271" xr:uid="{00000000-0005-0000-0000-0000DB7B0000}"/>
    <cellStyle name="Normal 2 2 21 3" xfId="22452" xr:uid="{00000000-0005-0000-0000-0000DC7B0000}"/>
    <cellStyle name="Normal 2 2 21 4" xfId="22453" xr:uid="{00000000-0005-0000-0000-0000DD7B0000}"/>
    <cellStyle name="Normal 2 2 21 5" xfId="22454" xr:uid="{00000000-0005-0000-0000-0000DE7B0000}"/>
    <cellStyle name="Normal 2 2 21 6" xfId="22455" xr:uid="{00000000-0005-0000-0000-0000DF7B0000}"/>
    <cellStyle name="Normal 2 2 22" xfId="7467" xr:uid="{00000000-0005-0000-0000-0000E07B0000}"/>
    <cellStyle name="Normal 2 2 22 2" xfId="9651" xr:uid="{00000000-0005-0000-0000-0000E17B0000}"/>
    <cellStyle name="Normal 2 2 22 2 2" xfId="13272" xr:uid="{00000000-0005-0000-0000-0000E27B0000}"/>
    <cellStyle name="Normal 2 2 22 3" xfId="22456" xr:uid="{00000000-0005-0000-0000-0000E37B0000}"/>
    <cellStyle name="Normal 2 2 22 4" xfId="22457" xr:uid="{00000000-0005-0000-0000-0000E47B0000}"/>
    <cellStyle name="Normal 2 2 22 5" xfId="22458" xr:uid="{00000000-0005-0000-0000-0000E57B0000}"/>
    <cellStyle name="Normal 2 2 22 6" xfId="22459" xr:uid="{00000000-0005-0000-0000-0000E67B0000}"/>
    <cellStyle name="Normal 2 2 23" xfId="7468" xr:uid="{00000000-0005-0000-0000-0000E77B0000}"/>
    <cellStyle name="Normal 2 2 23 2" xfId="9652" xr:uid="{00000000-0005-0000-0000-0000E87B0000}"/>
    <cellStyle name="Normal 2 2 23 2 2" xfId="13273" xr:uid="{00000000-0005-0000-0000-0000E97B0000}"/>
    <cellStyle name="Normal 2 2 23 3" xfId="22460" xr:uid="{00000000-0005-0000-0000-0000EA7B0000}"/>
    <cellStyle name="Normal 2 2 23 4" xfId="22461" xr:uid="{00000000-0005-0000-0000-0000EB7B0000}"/>
    <cellStyle name="Normal 2 2 23 5" xfId="22462" xr:uid="{00000000-0005-0000-0000-0000EC7B0000}"/>
    <cellStyle name="Normal 2 2 23 6" xfId="22463" xr:uid="{00000000-0005-0000-0000-0000ED7B0000}"/>
    <cellStyle name="Normal 2 2 24" xfId="7469" xr:uid="{00000000-0005-0000-0000-0000EE7B0000}"/>
    <cellStyle name="Normal 2 2 24 2" xfId="9653" xr:uid="{00000000-0005-0000-0000-0000EF7B0000}"/>
    <cellStyle name="Normal 2 2 24 2 2" xfId="13274" xr:uid="{00000000-0005-0000-0000-0000F07B0000}"/>
    <cellStyle name="Normal 2 2 24 3" xfId="22464" xr:uid="{00000000-0005-0000-0000-0000F17B0000}"/>
    <cellStyle name="Normal 2 2 24 4" xfId="22465" xr:uid="{00000000-0005-0000-0000-0000F27B0000}"/>
    <cellStyle name="Normal 2 2 24 5" xfId="22466" xr:uid="{00000000-0005-0000-0000-0000F37B0000}"/>
    <cellStyle name="Normal 2 2 24 6" xfId="22467" xr:uid="{00000000-0005-0000-0000-0000F47B0000}"/>
    <cellStyle name="Normal 2 2 25" xfId="7470" xr:uid="{00000000-0005-0000-0000-0000F57B0000}"/>
    <cellStyle name="Normal 2 2 25 2" xfId="9654" xr:uid="{00000000-0005-0000-0000-0000F67B0000}"/>
    <cellStyle name="Normal 2 2 25 2 2" xfId="13275" xr:uid="{00000000-0005-0000-0000-0000F77B0000}"/>
    <cellStyle name="Normal 2 2 25 3" xfId="22468" xr:uid="{00000000-0005-0000-0000-0000F87B0000}"/>
    <cellStyle name="Normal 2 2 25 4" xfId="22469" xr:uid="{00000000-0005-0000-0000-0000F97B0000}"/>
    <cellStyle name="Normal 2 2 25 5" xfId="22470" xr:uid="{00000000-0005-0000-0000-0000FA7B0000}"/>
    <cellStyle name="Normal 2 2 25 6" xfId="22471" xr:uid="{00000000-0005-0000-0000-0000FB7B0000}"/>
    <cellStyle name="Normal 2 2 26" xfId="7471" xr:uid="{00000000-0005-0000-0000-0000FC7B0000}"/>
    <cellStyle name="Normal 2 2 26 2" xfId="9655" xr:uid="{00000000-0005-0000-0000-0000FD7B0000}"/>
    <cellStyle name="Normal 2 2 26 2 2" xfId="13276" xr:uid="{00000000-0005-0000-0000-0000FE7B0000}"/>
    <cellStyle name="Normal 2 2 26 3" xfId="22472" xr:uid="{00000000-0005-0000-0000-0000FF7B0000}"/>
    <cellStyle name="Normal 2 2 26 4" xfId="22473" xr:uid="{00000000-0005-0000-0000-0000007C0000}"/>
    <cellStyle name="Normal 2 2 26 5" xfId="22474" xr:uid="{00000000-0005-0000-0000-0000017C0000}"/>
    <cellStyle name="Normal 2 2 26 6" xfId="22475" xr:uid="{00000000-0005-0000-0000-0000027C0000}"/>
    <cellStyle name="Normal 2 2 27" xfId="7472" xr:uid="{00000000-0005-0000-0000-0000037C0000}"/>
    <cellStyle name="Normal 2 2 27 2" xfId="9656" xr:uid="{00000000-0005-0000-0000-0000047C0000}"/>
    <cellStyle name="Normal 2 2 27 2 2" xfId="13277" xr:uid="{00000000-0005-0000-0000-0000057C0000}"/>
    <cellStyle name="Normal 2 2 27 3" xfId="22476" xr:uid="{00000000-0005-0000-0000-0000067C0000}"/>
    <cellStyle name="Normal 2 2 27 4" xfId="22477" xr:uid="{00000000-0005-0000-0000-0000077C0000}"/>
    <cellStyle name="Normal 2 2 27 5" xfId="22478" xr:uid="{00000000-0005-0000-0000-0000087C0000}"/>
    <cellStyle name="Normal 2 2 27 6" xfId="22479" xr:uid="{00000000-0005-0000-0000-0000097C0000}"/>
    <cellStyle name="Normal 2 2 28" xfId="7473" xr:uid="{00000000-0005-0000-0000-00000A7C0000}"/>
    <cellStyle name="Normal 2 2 28 2" xfId="9657" xr:uid="{00000000-0005-0000-0000-00000B7C0000}"/>
    <cellStyle name="Normal 2 2 28 2 2" xfId="13278" xr:uid="{00000000-0005-0000-0000-00000C7C0000}"/>
    <cellStyle name="Normal 2 2 28 3" xfId="22480" xr:uid="{00000000-0005-0000-0000-00000D7C0000}"/>
    <cellStyle name="Normal 2 2 28 4" xfId="22481" xr:uid="{00000000-0005-0000-0000-00000E7C0000}"/>
    <cellStyle name="Normal 2 2 28 5" xfId="22482" xr:uid="{00000000-0005-0000-0000-00000F7C0000}"/>
    <cellStyle name="Normal 2 2 28 6" xfId="22483" xr:uid="{00000000-0005-0000-0000-0000107C0000}"/>
    <cellStyle name="Normal 2 2 29" xfId="7474" xr:uid="{00000000-0005-0000-0000-0000117C0000}"/>
    <cellStyle name="Normal 2 2 29 2" xfId="9658" xr:uid="{00000000-0005-0000-0000-0000127C0000}"/>
    <cellStyle name="Normal 2 2 29 2 2" xfId="13279" xr:uid="{00000000-0005-0000-0000-0000137C0000}"/>
    <cellStyle name="Normal 2 2 29 3" xfId="22484" xr:uid="{00000000-0005-0000-0000-0000147C0000}"/>
    <cellStyle name="Normal 2 2 29 4" xfId="22485" xr:uid="{00000000-0005-0000-0000-0000157C0000}"/>
    <cellStyle name="Normal 2 2 29 5" xfId="22486" xr:uid="{00000000-0005-0000-0000-0000167C0000}"/>
    <cellStyle name="Normal 2 2 29 6" xfId="22487" xr:uid="{00000000-0005-0000-0000-0000177C0000}"/>
    <cellStyle name="Normal 2 2 3" xfId="1560" xr:uid="{00000000-0005-0000-0000-0000187C0000}"/>
    <cellStyle name="Normal 2 2 3 10" xfId="7475" xr:uid="{00000000-0005-0000-0000-0000197C0000}"/>
    <cellStyle name="Normal 2 2 3 10 2" xfId="9660" xr:uid="{00000000-0005-0000-0000-00001A7C0000}"/>
    <cellStyle name="Normal 2 2 3 10 2 2" xfId="13281" xr:uid="{00000000-0005-0000-0000-00001B7C0000}"/>
    <cellStyle name="Normal 2 2 3 10 3" xfId="22488" xr:uid="{00000000-0005-0000-0000-00001C7C0000}"/>
    <cellStyle name="Normal 2 2 3 10 4" xfId="22489" xr:uid="{00000000-0005-0000-0000-00001D7C0000}"/>
    <cellStyle name="Normal 2 2 3 10 5" xfId="22490" xr:uid="{00000000-0005-0000-0000-00001E7C0000}"/>
    <cellStyle name="Normal 2 2 3 10 6" xfId="22491" xr:uid="{00000000-0005-0000-0000-00001F7C0000}"/>
    <cellStyle name="Normal 2 2 3 11" xfId="7476" xr:uid="{00000000-0005-0000-0000-0000207C0000}"/>
    <cellStyle name="Normal 2 2 3 11 2" xfId="9661" xr:uid="{00000000-0005-0000-0000-0000217C0000}"/>
    <cellStyle name="Normal 2 2 3 11 2 2" xfId="13282" xr:uid="{00000000-0005-0000-0000-0000227C0000}"/>
    <cellStyle name="Normal 2 2 3 11 3" xfId="22492" xr:uid="{00000000-0005-0000-0000-0000237C0000}"/>
    <cellStyle name="Normal 2 2 3 11 4" xfId="22493" xr:uid="{00000000-0005-0000-0000-0000247C0000}"/>
    <cellStyle name="Normal 2 2 3 11 5" xfId="22494" xr:uid="{00000000-0005-0000-0000-0000257C0000}"/>
    <cellStyle name="Normal 2 2 3 11 6" xfId="22495" xr:uid="{00000000-0005-0000-0000-0000267C0000}"/>
    <cellStyle name="Normal 2 2 3 12" xfId="7477" xr:uid="{00000000-0005-0000-0000-0000277C0000}"/>
    <cellStyle name="Normal 2 2 3 12 2" xfId="9662" xr:uid="{00000000-0005-0000-0000-0000287C0000}"/>
    <cellStyle name="Normal 2 2 3 12 2 2" xfId="13283" xr:uid="{00000000-0005-0000-0000-0000297C0000}"/>
    <cellStyle name="Normal 2 2 3 12 3" xfId="22496" xr:uid="{00000000-0005-0000-0000-00002A7C0000}"/>
    <cellStyle name="Normal 2 2 3 12 4" xfId="22497" xr:uid="{00000000-0005-0000-0000-00002B7C0000}"/>
    <cellStyle name="Normal 2 2 3 12 5" xfId="22498" xr:uid="{00000000-0005-0000-0000-00002C7C0000}"/>
    <cellStyle name="Normal 2 2 3 12 6" xfId="22499" xr:uid="{00000000-0005-0000-0000-00002D7C0000}"/>
    <cellStyle name="Normal 2 2 3 13" xfId="9663" xr:uid="{00000000-0005-0000-0000-00002E7C0000}"/>
    <cellStyle name="Normal 2 2 3 13 2" xfId="13284" xr:uid="{00000000-0005-0000-0000-00002F7C0000}"/>
    <cellStyle name="Normal 2 2 3 14" xfId="9659" xr:uid="{00000000-0005-0000-0000-0000307C0000}"/>
    <cellStyle name="Normal 2 2 3 14 2" xfId="13280" xr:uid="{00000000-0005-0000-0000-0000317C0000}"/>
    <cellStyle name="Normal 2 2 3 15" xfId="22500" xr:uid="{00000000-0005-0000-0000-0000327C0000}"/>
    <cellStyle name="Normal 2 2 3 16" xfId="22501" xr:uid="{00000000-0005-0000-0000-0000337C0000}"/>
    <cellStyle name="Normal 2 2 3 17" xfId="22502" xr:uid="{00000000-0005-0000-0000-0000347C0000}"/>
    <cellStyle name="Normal 2 2 3 18" xfId="22503" xr:uid="{00000000-0005-0000-0000-0000357C0000}"/>
    <cellStyle name="Normal 2 2 3 19" xfId="22504" xr:uid="{00000000-0005-0000-0000-0000367C0000}"/>
    <cellStyle name="Normal 2 2 3 2" xfId="1561" xr:uid="{00000000-0005-0000-0000-0000377C0000}"/>
    <cellStyle name="Normal 2 2 3 2 2" xfId="8266" xr:uid="{00000000-0005-0000-0000-0000387C0000}"/>
    <cellStyle name="Normal 2 2 3 2 2 2" xfId="9665" xr:uid="{00000000-0005-0000-0000-0000397C0000}"/>
    <cellStyle name="Normal 2 2 3 2 2 2 2" xfId="13286" xr:uid="{00000000-0005-0000-0000-00003A7C0000}"/>
    <cellStyle name="Normal 2 2 3 2 2 3" xfId="22505" xr:uid="{00000000-0005-0000-0000-00003B7C0000}"/>
    <cellStyle name="Normal 2 2 3 2 2 4" xfId="22506" xr:uid="{00000000-0005-0000-0000-00003C7C0000}"/>
    <cellStyle name="Normal 2 2 3 2 2 5" xfId="22507" xr:uid="{00000000-0005-0000-0000-00003D7C0000}"/>
    <cellStyle name="Normal 2 2 3 2 2 6" xfId="22508" xr:uid="{00000000-0005-0000-0000-00003E7C0000}"/>
    <cellStyle name="Normal 2 2 3 2 3" xfId="8265" xr:uid="{00000000-0005-0000-0000-00003F7C0000}"/>
    <cellStyle name="Normal 2 2 3 2 3 2" xfId="9666" xr:uid="{00000000-0005-0000-0000-0000407C0000}"/>
    <cellStyle name="Normal 2 2 3 2 3 2 2" xfId="13287" xr:uid="{00000000-0005-0000-0000-0000417C0000}"/>
    <cellStyle name="Normal 2 2 3 2 3 3" xfId="22509" xr:uid="{00000000-0005-0000-0000-0000427C0000}"/>
    <cellStyle name="Normal 2 2 3 2 3 4" xfId="22510" xr:uid="{00000000-0005-0000-0000-0000437C0000}"/>
    <cellStyle name="Normal 2 2 3 2 3 5" xfId="22511" xr:uid="{00000000-0005-0000-0000-0000447C0000}"/>
    <cellStyle name="Normal 2 2 3 2 3 6" xfId="22512" xr:uid="{00000000-0005-0000-0000-0000457C0000}"/>
    <cellStyle name="Normal 2 2 3 2 4" xfId="9664" xr:uid="{00000000-0005-0000-0000-0000467C0000}"/>
    <cellStyle name="Normal 2 2 3 2 4 2" xfId="13285" xr:uid="{00000000-0005-0000-0000-0000477C0000}"/>
    <cellStyle name="Normal 2 2 3 2 5" xfId="22513" xr:uid="{00000000-0005-0000-0000-0000487C0000}"/>
    <cellStyle name="Normal 2 2 3 2 6" xfId="22514" xr:uid="{00000000-0005-0000-0000-0000497C0000}"/>
    <cellStyle name="Normal 2 2 3 2 7" xfId="22515" xr:uid="{00000000-0005-0000-0000-00004A7C0000}"/>
    <cellStyle name="Normal 2 2 3 2 8" xfId="22516" xr:uid="{00000000-0005-0000-0000-00004B7C0000}"/>
    <cellStyle name="Normal 2 2 3 2 9" xfId="22517" xr:uid="{00000000-0005-0000-0000-00004C7C0000}"/>
    <cellStyle name="Normal 2 2 3 3" xfId="3631" xr:uid="{00000000-0005-0000-0000-00004D7C0000}"/>
    <cellStyle name="Normal 2 2 3 3 2" xfId="9667" xr:uid="{00000000-0005-0000-0000-00004E7C0000}"/>
    <cellStyle name="Normal 2 2 3 3 2 2" xfId="13288" xr:uid="{00000000-0005-0000-0000-00004F7C0000}"/>
    <cellStyle name="Normal 2 2 3 3 3" xfId="22518" xr:uid="{00000000-0005-0000-0000-0000507C0000}"/>
    <cellStyle name="Normal 2 2 3 3 4" xfId="22519" xr:uid="{00000000-0005-0000-0000-0000517C0000}"/>
    <cellStyle name="Normal 2 2 3 3 5" xfId="22520" xr:uid="{00000000-0005-0000-0000-0000527C0000}"/>
    <cellStyle name="Normal 2 2 3 3 6" xfId="22521" xr:uid="{00000000-0005-0000-0000-0000537C0000}"/>
    <cellStyle name="Normal 2 2 3 4" xfId="3630" xr:uid="{00000000-0005-0000-0000-0000547C0000}"/>
    <cellStyle name="Normal 2 2 3 4 2" xfId="7478" xr:uid="{00000000-0005-0000-0000-0000557C0000}"/>
    <cellStyle name="Normal 2 2 3 4 2 2" xfId="9669" xr:uid="{00000000-0005-0000-0000-0000567C0000}"/>
    <cellStyle name="Normal 2 2 3 4 2 2 2" xfId="13290" xr:uid="{00000000-0005-0000-0000-0000577C0000}"/>
    <cellStyle name="Normal 2 2 3 4 2 3" xfId="22522" xr:uid="{00000000-0005-0000-0000-0000587C0000}"/>
    <cellStyle name="Normal 2 2 3 4 2 4" xfId="22523" xr:uid="{00000000-0005-0000-0000-0000597C0000}"/>
    <cellStyle name="Normal 2 2 3 4 2 5" xfId="22524" xr:uid="{00000000-0005-0000-0000-00005A7C0000}"/>
    <cellStyle name="Normal 2 2 3 4 2 6" xfId="22525" xr:uid="{00000000-0005-0000-0000-00005B7C0000}"/>
    <cellStyle name="Normal 2 2 3 4 3" xfId="9668" xr:uid="{00000000-0005-0000-0000-00005C7C0000}"/>
    <cellStyle name="Normal 2 2 3 4 3 2" xfId="13289" xr:uid="{00000000-0005-0000-0000-00005D7C0000}"/>
    <cellStyle name="Normal 2 2 3 4 4" xfId="22526" xr:uid="{00000000-0005-0000-0000-00005E7C0000}"/>
    <cellStyle name="Normal 2 2 3 4 5" xfId="22527" xr:uid="{00000000-0005-0000-0000-00005F7C0000}"/>
    <cellStyle name="Normal 2 2 3 4 6" xfId="22528" xr:uid="{00000000-0005-0000-0000-0000607C0000}"/>
    <cellStyle name="Normal 2 2 3 4 7" xfId="22529" xr:uid="{00000000-0005-0000-0000-0000617C0000}"/>
    <cellStyle name="Normal 2 2 3 5" xfId="4786" xr:uid="{00000000-0005-0000-0000-0000627C0000}"/>
    <cellStyle name="Normal 2 2 3 5 2" xfId="9670" xr:uid="{00000000-0005-0000-0000-0000637C0000}"/>
    <cellStyle name="Normal 2 2 3 5 2 2" xfId="13291" xr:uid="{00000000-0005-0000-0000-0000647C0000}"/>
    <cellStyle name="Normal 2 2 3 5 3" xfId="22530" xr:uid="{00000000-0005-0000-0000-0000657C0000}"/>
    <cellStyle name="Normal 2 2 3 5 4" xfId="22531" xr:uid="{00000000-0005-0000-0000-0000667C0000}"/>
    <cellStyle name="Normal 2 2 3 5 5" xfId="22532" xr:uid="{00000000-0005-0000-0000-0000677C0000}"/>
    <cellStyle name="Normal 2 2 3 5 6" xfId="22533" xr:uid="{00000000-0005-0000-0000-0000687C0000}"/>
    <cellStyle name="Normal 2 2 3 5 7" xfId="35770" xr:uid="{00000000-0005-0000-0000-0000697C0000}"/>
    <cellStyle name="Normal 2 2 3 5 8" xfId="7479" xr:uid="{00000000-0005-0000-0000-00006A7C0000}"/>
    <cellStyle name="Normal 2 2 3 6" xfId="7480" xr:uid="{00000000-0005-0000-0000-00006B7C0000}"/>
    <cellStyle name="Normal 2 2 3 6 2" xfId="9671" xr:uid="{00000000-0005-0000-0000-00006C7C0000}"/>
    <cellStyle name="Normal 2 2 3 6 2 2" xfId="13292" xr:uid="{00000000-0005-0000-0000-00006D7C0000}"/>
    <cellStyle name="Normal 2 2 3 6 3" xfId="22534" xr:uid="{00000000-0005-0000-0000-00006E7C0000}"/>
    <cellStyle name="Normal 2 2 3 6 4" xfId="22535" xr:uid="{00000000-0005-0000-0000-00006F7C0000}"/>
    <cellStyle name="Normal 2 2 3 6 5" xfId="22536" xr:uid="{00000000-0005-0000-0000-0000707C0000}"/>
    <cellStyle name="Normal 2 2 3 6 6" xfId="22537" xr:uid="{00000000-0005-0000-0000-0000717C0000}"/>
    <cellStyle name="Normal 2 2 3 6 7" xfId="37832" xr:uid="{00000000-0005-0000-0000-0000727C0000}"/>
    <cellStyle name="Normal 2 2 3 7" xfId="7481" xr:uid="{00000000-0005-0000-0000-0000737C0000}"/>
    <cellStyle name="Normal 2 2 3 7 2" xfId="9672" xr:uid="{00000000-0005-0000-0000-0000747C0000}"/>
    <cellStyle name="Normal 2 2 3 7 2 2" xfId="13293" xr:uid="{00000000-0005-0000-0000-0000757C0000}"/>
    <cellStyle name="Normal 2 2 3 7 3" xfId="22538" xr:uid="{00000000-0005-0000-0000-0000767C0000}"/>
    <cellStyle name="Normal 2 2 3 7 4" xfId="22539" xr:uid="{00000000-0005-0000-0000-0000777C0000}"/>
    <cellStyle name="Normal 2 2 3 7 5" xfId="22540" xr:uid="{00000000-0005-0000-0000-0000787C0000}"/>
    <cellStyle name="Normal 2 2 3 7 6" xfId="22541" xr:uid="{00000000-0005-0000-0000-0000797C0000}"/>
    <cellStyle name="Normal 2 2 3 8" xfId="7482" xr:uid="{00000000-0005-0000-0000-00007A7C0000}"/>
    <cellStyle name="Normal 2 2 3 8 2" xfId="9673" xr:uid="{00000000-0005-0000-0000-00007B7C0000}"/>
    <cellStyle name="Normal 2 2 3 8 2 2" xfId="13294" xr:uid="{00000000-0005-0000-0000-00007C7C0000}"/>
    <cellStyle name="Normal 2 2 3 8 3" xfId="22542" xr:uid="{00000000-0005-0000-0000-00007D7C0000}"/>
    <cellStyle name="Normal 2 2 3 8 4" xfId="22543" xr:uid="{00000000-0005-0000-0000-00007E7C0000}"/>
    <cellStyle name="Normal 2 2 3 8 5" xfId="22544" xr:uid="{00000000-0005-0000-0000-00007F7C0000}"/>
    <cellStyle name="Normal 2 2 3 8 6" xfId="22545" xr:uid="{00000000-0005-0000-0000-0000807C0000}"/>
    <cellStyle name="Normal 2 2 3 9" xfId="7483" xr:uid="{00000000-0005-0000-0000-0000817C0000}"/>
    <cellStyle name="Normal 2 2 3 9 2" xfId="9674" xr:uid="{00000000-0005-0000-0000-0000827C0000}"/>
    <cellStyle name="Normal 2 2 3 9 2 2" xfId="13295" xr:uid="{00000000-0005-0000-0000-0000837C0000}"/>
    <cellStyle name="Normal 2 2 3 9 3" xfId="22546" xr:uid="{00000000-0005-0000-0000-0000847C0000}"/>
    <cellStyle name="Normal 2 2 3 9 4" xfId="22547" xr:uid="{00000000-0005-0000-0000-0000857C0000}"/>
    <cellStyle name="Normal 2 2 3 9 5" xfId="22548" xr:uid="{00000000-0005-0000-0000-0000867C0000}"/>
    <cellStyle name="Normal 2 2 3 9 6" xfId="22549" xr:uid="{00000000-0005-0000-0000-0000877C0000}"/>
    <cellStyle name="Normal 2 2 3_ELC" xfId="3632" xr:uid="{00000000-0005-0000-0000-0000887C0000}"/>
    <cellStyle name="Normal 2 2 30" xfId="7484" xr:uid="{00000000-0005-0000-0000-0000897C0000}"/>
    <cellStyle name="Normal 2 2 30 2" xfId="9675" xr:uid="{00000000-0005-0000-0000-00008A7C0000}"/>
    <cellStyle name="Normal 2 2 30 2 2" xfId="13296" xr:uid="{00000000-0005-0000-0000-00008B7C0000}"/>
    <cellStyle name="Normal 2 2 30 3" xfId="22550" xr:uid="{00000000-0005-0000-0000-00008C7C0000}"/>
    <cellStyle name="Normal 2 2 30 4" xfId="22551" xr:uid="{00000000-0005-0000-0000-00008D7C0000}"/>
    <cellStyle name="Normal 2 2 30 5" xfId="22552" xr:uid="{00000000-0005-0000-0000-00008E7C0000}"/>
    <cellStyle name="Normal 2 2 30 6" xfId="22553" xr:uid="{00000000-0005-0000-0000-00008F7C0000}"/>
    <cellStyle name="Normal 2 2 31" xfId="7485" xr:uid="{00000000-0005-0000-0000-0000907C0000}"/>
    <cellStyle name="Normal 2 2 31 2" xfId="9676" xr:uid="{00000000-0005-0000-0000-0000917C0000}"/>
    <cellStyle name="Normal 2 2 31 2 2" xfId="13297" xr:uid="{00000000-0005-0000-0000-0000927C0000}"/>
    <cellStyle name="Normal 2 2 31 3" xfId="22554" xr:uid="{00000000-0005-0000-0000-0000937C0000}"/>
    <cellStyle name="Normal 2 2 31 4" xfId="22555" xr:uid="{00000000-0005-0000-0000-0000947C0000}"/>
    <cellStyle name="Normal 2 2 31 5" xfId="22556" xr:uid="{00000000-0005-0000-0000-0000957C0000}"/>
    <cellStyle name="Normal 2 2 31 6" xfId="22557" xr:uid="{00000000-0005-0000-0000-0000967C0000}"/>
    <cellStyle name="Normal 2 2 32" xfId="7486" xr:uid="{00000000-0005-0000-0000-0000977C0000}"/>
    <cellStyle name="Normal 2 2 32 2" xfId="8625" xr:uid="{00000000-0005-0000-0000-0000987C0000}"/>
    <cellStyle name="Normal 2 2 32 2 2" xfId="9678" xr:uid="{00000000-0005-0000-0000-0000997C0000}"/>
    <cellStyle name="Normal 2 2 32 2 2 2" xfId="13299" xr:uid="{00000000-0005-0000-0000-00009A7C0000}"/>
    <cellStyle name="Normal 2 2 32 2 3" xfId="12631" xr:uid="{00000000-0005-0000-0000-00009B7C0000}"/>
    <cellStyle name="Normal 2 2 32 3" xfId="9677" xr:uid="{00000000-0005-0000-0000-00009C7C0000}"/>
    <cellStyle name="Normal 2 2 32 3 2" xfId="13298" xr:uid="{00000000-0005-0000-0000-00009D7C0000}"/>
    <cellStyle name="Normal 2 2 32 4" xfId="12345" xr:uid="{00000000-0005-0000-0000-00009E7C0000}"/>
    <cellStyle name="Normal 2 2 33" xfId="7487" xr:uid="{00000000-0005-0000-0000-00009F7C0000}"/>
    <cellStyle name="Normal 2 2 33 2" xfId="8626" xr:uid="{00000000-0005-0000-0000-0000A07C0000}"/>
    <cellStyle name="Normal 2 2 33 2 2" xfId="9680" xr:uid="{00000000-0005-0000-0000-0000A17C0000}"/>
    <cellStyle name="Normal 2 2 33 2 2 2" xfId="13301" xr:uid="{00000000-0005-0000-0000-0000A27C0000}"/>
    <cellStyle name="Normal 2 2 33 2 3" xfId="12632" xr:uid="{00000000-0005-0000-0000-0000A37C0000}"/>
    <cellStyle name="Normal 2 2 33 3" xfId="9679" xr:uid="{00000000-0005-0000-0000-0000A47C0000}"/>
    <cellStyle name="Normal 2 2 33 3 2" xfId="13300" xr:uid="{00000000-0005-0000-0000-0000A57C0000}"/>
    <cellStyle name="Normal 2 2 33 4" xfId="12346" xr:uid="{00000000-0005-0000-0000-0000A67C0000}"/>
    <cellStyle name="Normal 2 2 34" xfId="7488" xr:uid="{00000000-0005-0000-0000-0000A77C0000}"/>
    <cellStyle name="Normal 2 2 34 2" xfId="8627" xr:uid="{00000000-0005-0000-0000-0000A87C0000}"/>
    <cellStyle name="Normal 2 2 34 2 2" xfId="9682" xr:uid="{00000000-0005-0000-0000-0000A97C0000}"/>
    <cellStyle name="Normal 2 2 34 2 2 2" xfId="13303" xr:uid="{00000000-0005-0000-0000-0000AA7C0000}"/>
    <cellStyle name="Normal 2 2 34 2 3" xfId="12633" xr:uid="{00000000-0005-0000-0000-0000AB7C0000}"/>
    <cellStyle name="Normal 2 2 34 3" xfId="9681" xr:uid="{00000000-0005-0000-0000-0000AC7C0000}"/>
    <cellStyle name="Normal 2 2 34 3 2" xfId="13302" xr:uid="{00000000-0005-0000-0000-0000AD7C0000}"/>
    <cellStyle name="Normal 2 2 34 4" xfId="12347" xr:uid="{00000000-0005-0000-0000-0000AE7C0000}"/>
    <cellStyle name="Normal 2 2 35" xfId="7489" xr:uid="{00000000-0005-0000-0000-0000AF7C0000}"/>
    <cellStyle name="Normal 2 2 35 2" xfId="8628" xr:uid="{00000000-0005-0000-0000-0000B07C0000}"/>
    <cellStyle name="Normal 2 2 35 2 2" xfId="9684" xr:uid="{00000000-0005-0000-0000-0000B17C0000}"/>
    <cellStyle name="Normal 2 2 35 2 2 2" xfId="13305" xr:uid="{00000000-0005-0000-0000-0000B27C0000}"/>
    <cellStyle name="Normal 2 2 35 2 3" xfId="12634" xr:uid="{00000000-0005-0000-0000-0000B37C0000}"/>
    <cellStyle name="Normal 2 2 35 3" xfId="9683" xr:uid="{00000000-0005-0000-0000-0000B47C0000}"/>
    <cellStyle name="Normal 2 2 35 3 2" xfId="13304" xr:uid="{00000000-0005-0000-0000-0000B57C0000}"/>
    <cellStyle name="Normal 2 2 35 4" xfId="12348" xr:uid="{00000000-0005-0000-0000-0000B67C0000}"/>
    <cellStyle name="Normal 2 2 36" xfId="9574" xr:uid="{00000000-0005-0000-0000-0000B77C0000}"/>
    <cellStyle name="Normal 2 2 36 2" xfId="13195" xr:uid="{00000000-0005-0000-0000-0000B87C0000}"/>
    <cellStyle name="Normal 2 2 37" xfId="22558" xr:uid="{00000000-0005-0000-0000-0000B97C0000}"/>
    <cellStyle name="Normal 2 2 38" xfId="22559" xr:uid="{00000000-0005-0000-0000-0000BA7C0000}"/>
    <cellStyle name="Normal 2 2 39" xfId="22560" xr:uid="{00000000-0005-0000-0000-0000BB7C0000}"/>
    <cellStyle name="Normal 2 2 4" xfId="1562" xr:uid="{00000000-0005-0000-0000-0000BC7C0000}"/>
    <cellStyle name="Normal 2 2 4 10" xfId="9685" xr:uid="{00000000-0005-0000-0000-0000BD7C0000}"/>
    <cellStyle name="Normal 2 2 4 10 2" xfId="13306" xr:uid="{00000000-0005-0000-0000-0000BE7C0000}"/>
    <cellStyle name="Normal 2 2 4 11" xfId="22561" xr:uid="{00000000-0005-0000-0000-0000BF7C0000}"/>
    <cellStyle name="Normal 2 2 4 12" xfId="22562" xr:uid="{00000000-0005-0000-0000-0000C07C0000}"/>
    <cellStyle name="Normal 2 2 4 13" xfId="22563" xr:uid="{00000000-0005-0000-0000-0000C17C0000}"/>
    <cellStyle name="Normal 2 2 4 14" xfId="22564" xr:uid="{00000000-0005-0000-0000-0000C27C0000}"/>
    <cellStyle name="Normal 2 2 4 15" xfId="22565" xr:uid="{00000000-0005-0000-0000-0000C37C0000}"/>
    <cellStyle name="Normal 2 2 4 2" xfId="7490" xr:uid="{00000000-0005-0000-0000-0000C47C0000}"/>
    <cellStyle name="Normal 2 2 4 2 2" xfId="9686" xr:uid="{00000000-0005-0000-0000-0000C57C0000}"/>
    <cellStyle name="Normal 2 2 4 2 2 2" xfId="13307" xr:uid="{00000000-0005-0000-0000-0000C67C0000}"/>
    <cellStyle name="Normal 2 2 4 2 3" xfId="22566" xr:uid="{00000000-0005-0000-0000-0000C77C0000}"/>
    <cellStyle name="Normal 2 2 4 2 4" xfId="22567" xr:uid="{00000000-0005-0000-0000-0000C87C0000}"/>
    <cellStyle name="Normal 2 2 4 2 5" xfId="22568" xr:uid="{00000000-0005-0000-0000-0000C97C0000}"/>
    <cellStyle name="Normal 2 2 4 2 6" xfId="22569" xr:uid="{00000000-0005-0000-0000-0000CA7C0000}"/>
    <cellStyle name="Normal 2 2 4 3" xfId="7491" xr:uid="{00000000-0005-0000-0000-0000CB7C0000}"/>
    <cellStyle name="Normal 2 2 4 3 2" xfId="9687" xr:uid="{00000000-0005-0000-0000-0000CC7C0000}"/>
    <cellStyle name="Normal 2 2 4 3 2 2" xfId="13308" xr:uid="{00000000-0005-0000-0000-0000CD7C0000}"/>
    <cellStyle name="Normal 2 2 4 3 3" xfId="22570" xr:uid="{00000000-0005-0000-0000-0000CE7C0000}"/>
    <cellStyle name="Normal 2 2 4 3 4" xfId="22571" xr:uid="{00000000-0005-0000-0000-0000CF7C0000}"/>
    <cellStyle name="Normal 2 2 4 3 5" xfId="22572" xr:uid="{00000000-0005-0000-0000-0000D07C0000}"/>
    <cellStyle name="Normal 2 2 4 3 6" xfId="22573" xr:uid="{00000000-0005-0000-0000-0000D17C0000}"/>
    <cellStyle name="Normal 2 2 4 4" xfId="7492" xr:uid="{00000000-0005-0000-0000-0000D27C0000}"/>
    <cellStyle name="Normal 2 2 4 4 2" xfId="9688" xr:uid="{00000000-0005-0000-0000-0000D37C0000}"/>
    <cellStyle name="Normal 2 2 4 4 2 2" xfId="13309" xr:uid="{00000000-0005-0000-0000-0000D47C0000}"/>
    <cellStyle name="Normal 2 2 4 4 3" xfId="22574" xr:uid="{00000000-0005-0000-0000-0000D57C0000}"/>
    <cellStyle name="Normal 2 2 4 4 4" xfId="22575" xr:uid="{00000000-0005-0000-0000-0000D67C0000}"/>
    <cellStyle name="Normal 2 2 4 4 5" xfId="22576" xr:uid="{00000000-0005-0000-0000-0000D77C0000}"/>
    <cellStyle name="Normal 2 2 4 4 6" xfId="22577" xr:uid="{00000000-0005-0000-0000-0000D87C0000}"/>
    <cellStyle name="Normal 2 2 4 5" xfId="7493" xr:uid="{00000000-0005-0000-0000-0000D97C0000}"/>
    <cellStyle name="Normal 2 2 4 5 2" xfId="9689" xr:uid="{00000000-0005-0000-0000-0000DA7C0000}"/>
    <cellStyle name="Normal 2 2 4 5 2 2" xfId="13310" xr:uid="{00000000-0005-0000-0000-0000DB7C0000}"/>
    <cellStyle name="Normal 2 2 4 5 3" xfId="22578" xr:uid="{00000000-0005-0000-0000-0000DC7C0000}"/>
    <cellStyle name="Normal 2 2 4 5 4" xfId="22579" xr:uid="{00000000-0005-0000-0000-0000DD7C0000}"/>
    <cellStyle name="Normal 2 2 4 5 5" xfId="22580" xr:uid="{00000000-0005-0000-0000-0000DE7C0000}"/>
    <cellStyle name="Normal 2 2 4 5 6" xfId="22581" xr:uid="{00000000-0005-0000-0000-0000DF7C0000}"/>
    <cellStyle name="Normal 2 2 4 6" xfId="7494" xr:uid="{00000000-0005-0000-0000-0000E07C0000}"/>
    <cellStyle name="Normal 2 2 4 6 2" xfId="9690" xr:uid="{00000000-0005-0000-0000-0000E17C0000}"/>
    <cellStyle name="Normal 2 2 4 6 2 2" xfId="13311" xr:uid="{00000000-0005-0000-0000-0000E27C0000}"/>
    <cellStyle name="Normal 2 2 4 6 3" xfId="22582" xr:uid="{00000000-0005-0000-0000-0000E37C0000}"/>
    <cellStyle name="Normal 2 2 4 6 4" xfId="22583" xr:uid="{00000000-0005-0000-0000-0000E47C0000}"/>
    <cellStyle name="Normal 2 2 4 6 5" xfId="22584" xr:uid="{00000000-0005-0000-0000-0000E57C0000}"/>
    <cellStyle name="Normal 2 2 4 6 6" xfId="22585" xr:uid="{00000000-0005-0000-0000-0000E67C0000}"/>
    <cellStyle name="Normal 2 2 4 7" xfId="7495" xr:uid="{00000000-0005-0000-0000-0000E77C0000}"/>
    <cellStyle name="Normal 2 2 4 7 2" xfId="9691" xr:uid="{00000000-0005-0000-0000-0000E87C0000}"/>
    <cellStyle name="Normal 2 2 4 7 2 2" xfId="13312" xr:uid="{00000000-0005-0000-0000-0000E97C0000}"/>
    <cellStyle name="Normal 2 2 4 7 3" xfId="22586" xr:uid="{00000000-0005-0000-0000-0000EA7C0000}"/>
    <cellStyle name="Normal 2 2 4 7 4" xfId="22587" xr:uid="{00000000-0005-0000-0000-0000EB7C0000}"/>
    <cellStyle name="Normal 2 2 4 7 5" xfId="22588" xr:uid="{00000000-0005-0000-0000-0000EC7C0000}"/>
    <cellStyle name="Normal 2 2 4 7 6" xfId="22589" xr:uid="{00000000-0005-0000-0000-0000ED7C0000}"/>
    <cellStyle name="Normal 2 2 4 8" xfId="7496" xr:uid="{00000000-0005-0000-0000-0000EE7C0000}"/>
    <cellStyle name="Normal 2 2 4 8 2" xfId="9692" xr:uid="{00000000-0005-0000-0000-0000EF7C0000}"/>
    <cellStyle name="Normal 2 2 4 8 2 2" xfId="13313" xr:uid="{00000000-0005-0000-0000-0000F07C0000}"/>
    <cellStyle name="Normal 2 2 4 8 3" xfId="22590" xr:uid="{00000000-0005-0000-0000-0000F17C0000}"/>
    <cellStyle name="Normal 2 2 4 8 4" xfId="22591" xr:uid="{00000000-0005-0000-0000-0000F27C0000}"/>
    <cellStyle name="Normal 2 2 4 8 5" xfId="22592" xr:uid="{00000000-0005-0000-0000-0000F37C0000}"/>
    <cellStyle name="Normal 2 2 4 8 6" xfId="22593" xr:uid="{00000000-0005-0000-0000-0000F47C0000}"/>
    <cellStyle name="Normal 2 2 4 9" xfId="7497" xr:uid="{00000000-0005-0000-0000-0000F57C0000}"/>
    <cellStyle name="Normal 2 2 4 9 2" xfId="9693" xr:uid="{00000000-0005-0000-0000-0000F67C0000}"/>
    <cellStyle name="Normal 2 2 4 9 2 2" xfId="13314" xr:uid="{00000000-0005-0000-0000-0000F77C0000}"/>
    <cellStyle name="Normal 2 2 4 9 3" xfId="22594" xr:uid="{00000000-0005-0000-0000-0000F87C0000}"/>
    <cellStyle name="Normal 2 2 4 9 4" xfId="22595" xr:uid="{00000000-0005-0000-0000-0000F97C0000}"/>
    <cellStyle name="Normal 2 2 4 9 5" xfId="22596" xr:uid="{00000000-0005-0000-0000-0000FA7C0000}"/>
    <cellStyle name="Normal 2 2 4 9 6" xfId="22597" xr:uid="{00000000-0005-0000-0000-0000FB7C0000}"/>
    <cellStyle name="Normal 2 2 40" xfId="22598" xr:uid="{00000000-0005-0000-0000-0000FC7C0000}"/>
    <cellStyle name="Normal 2 2 41" xfId="22599" xr:uid="{00000000-0005-0000-0000-0000FD7C0000}"/>
    <cellStyle name="Normal 2 2 5" xfId="1563" xr:uid="{00000000-0005-0000-0000-0000FE7C0000}"/>
    <cellStyle name="Normal 2 2 5 10" xfId="7498" xr:uid="{00000000-0005-0000-0000-0000FF7C0000}"/>
    <cellStyle name="Normal 2 2 5 10 2" xfId="9695" xr:uid="{00000000-0005-0000-0000-0000007D0000}"/>
    <cellStyle name="Normal 2 2 5 10 2 2" xfId="13316" xr:uid="{00000000-0005-0000-0000-0000017D0000}"/>
    <cellStyle name="Normal 2 2 5 10 3" xfId="22600" xr:uid="{00000000-0005-0000-0000-0000027D0000}"/>
    <cellStyle name="Normal 2 2 5 10 4" xfId="22601" xr:uid="{00000000-0005-0000-0000-0000037D0000}"/>
    <cellStyle name="Normal 2 2 5 10 5" xfId="22602" xr:uid="{00000000-0005-0000-0000-0000047D0000}"/>
    <cellStyle name="Normal 2 2 5 10 6" xfId="22603" xr:uid="{00000000-0005-0000-0000-0000057D0000}"/>
    <cellStyle name="Normal 2 2 5 11" xfId="9694" xr:uid="{00000000-0005-0000-0000-0000067D0000}"/>
    <cellStyle name="Normal 2 2 5 11 2" xfId="13315" xr:uid="{00000000-0005-0000-0000-0000077D0000}"/>
    <cellStyle name="Normal 2 2 5 12" xfId="22604" xr:uid="{00000000-0005-0000-0000-0000087D0000}"/>
    <cellStyle name="Normal 2 2 5 13" xfId="22605" xr:uid="{00000000-0005-0000-0000-0000097D0000}"/>
    <cellStyle name="Normal 2 2 5 14" xfId="22606" xr:uid="{00000000-0005-0000-0000-00000A7D0000}"/>
    <cellStyle name="Normal 2 2 5 15" xfId="22607" xr:uid="{00000000-0005-0000-0000-00000B7D0000}"/>
    <cellStyle name="Normal 2 2 5 16" xfId="22608" xr:uid="{00000000-0005-0000-0000-00000C7D0000}"/>
    <cellStyle name="Normal 2 2 5 2" xfId="3633" xr:uid="{00000000-0005-0000-0000-00000D7D0000}"/>
    <cellStyle name="Normal 2 2 5 2 2" xfId="5413" xr:uid="{00000000-0005-0000-0000-00000E7D0000}"/>
    <cellStyle name="Normal 2 2 5 2 2 2" xfId="9697" xr:uid="{00000000-0005-0000-0000-00000F7D0000}"/>
    <cellStyle name="Normal 2 2 5 2 2 2 2" xfId="13318" xr:uid="{00000000-0005-0000-0000-0000107D0000}"/>
    <cellStyle name="Normal 2 2 5 2 2 3" xfId="22609" xr:uid="{00000000-0005-0000-0000-0000117D0000}"/>
    <cellStyle name="Normal 2 2 5 2 2 4" xfId="22610" xr:uid="{00000000-0005-0000-0000-0000127D0000}"/>
    <cellStyle name="Normal 2 2 5 2 2 5" xfId="22611" xr:uid="{00000000-0005-0000-0000-0000137D0000}"/>
    <cellStyle name="Normal 2 2 5 2 2 6" xfId="22612" xr:uid="{00000000-0005-0000-0000-0000147D0000}"/>
    <cellStyle name="Normal 2 2 5 2 2 7" xfId="36131" xr:uid="{00000000-0005-0000-0000-0000157D0000}"/>
    <cellStyle name="Normal 2 2 5 2 2 8" xfId="7499" xr:uid="{00000000-0005-0000-0000-0000167D0000}"/>
    <cellStyle name="Normal 2 2 5 2 3" xfId="8571" xr:uid="{00000000-0005-0000-0000-0000177D0000}"/>
    <cellStyle name="Normal 2 2 5 2 3 2" xfId="9698" xr:uid="{00000000-0005-0000-0000-0000187D0000}"/>
    <cellStyle name="Normal 2 2 5 2 3 2 2" xfId="13319" xr:uid="{00000000-0005-0000-0000-0000197D0000}"/>
    <cellStyle name="Normal 2 2 5 2 3 3" xfId="22613" xr:uid="{00000000-0005-0000-0000-00001A7D0000}"/>
    <cellStyle name="Normal 2 2 5 2 3 4" xfId="22614" xr:uid="{00000000-0005-0000-0000-00001B7D0000}"/>
    <cellStyle name="Normal 2 2 5 2 3 5" xfId="22615" xr:uid="{00000000-0005-0000-0000-00001C7D0000}"/>
    <cellStyle name="Normal 2 2 5 2 3 6" xfId="22616" xr:uid="{00000000-0005-0000-0000-00001D7D0000}"/>
    <cellStyle name="Normal 2 2 5 2 4" xfId="9696" xr:uid="{00000000-0005-0000-0000-00001E7D0000}"/>
    <cellStyle name="Normal 2 2 5 2 4 2" xfId="13317" xr:uid="{00000000-0005-0000-0000-00001F7D0000}"/>
    <cellStyle name="Normal 2 2 5 2 5" xfId="22617" xr:uid="{00000000-0005-0000-0000-0000207D0000}"/>
    <cellStyle name="Normal 2 2 5 2 6" xfId="22618" xr:uid="{00000000-0005-0000-0000-0000217D0000}"/>
    <cellStyle name="Normal 2 2 5 2 7" xfId="22619" xr:uid="{00000000-0005-0000-0000-0000227D0000}"/>
    <cellStyle name="Normal 2 2 5 2 8" xfId="22620" xr:uid="{00000000-0005-0000-0000-0000237D0000}"/>
    <cellStyle name="Normal 2 2 5 3" xfId="7500" xr:uid="{00000000-0005-0000-0000-0000247D0000}"/>
    <cellStyle name="Normal 2 2 5 3 2" xfId="9699" xr:uid="{00000000-0005-0000-0000-0000257D0000}"/>
    <cellStyle name="Normal 2 2 5 3 2 2" xfId="13320" xr:uid="{00000000-0005-0000-0000-0000267D0000}"/>
    <cellStyle name="Normal 2 2 5 3 3" xfId="22621" xr:uid="{00000000-0005-0000-0000-0000277D0000}"/>
    <cellStyle name="Normal 2 2 5 3 4" xfId="22622" xr:uid="{00000000-0005-0000-0000-0000287D0000}"/>
    <cellStyle name="Normal 2 2 5 3 5" xfId="22623" xr:uid="{00000000-0005-0000-0000-0000297D0000}"/>
    <cellStyle name="Normal 2 2 5 3 6" xfId="22624" xr:uid="{00000000-0005-0000-0000-00002A7D0000}"/>
    <cellStyle name="Normal 2 2 5 4" xfId="7501" xr:uid="{00000000-0005-0000-0000-00002B7D0000}"/>
    <cellStyle name="Normal 2 2 5 4 2" xfId="9700" xr:uid="{00000000-0005-0000-0000-00002C7D0000}"/>
    <cellStyle name="Normal 2 2 5 4 2 2" xfId="13321" xr:uid="{00000000-0005-0000-0000-00002D7D0000}"/>
    <cellStyle name="Normal 2 2 5 4 3" xfId="22625" xr:uid="{00000000-0005-0000-0000-00002E7D0000}"/>
    <cellStyle name="Normal 2 2 5 4 4" xfId="22626" xr:uid="{00000000-0005-0000-0000-00002F7D0000}"/>
    <cellStyle name="Normal 2 2 5 4 5" xfId="22627" xr:uid="{00000000-0005-0000-0000-0000307D0000}"/>
    <cellStyle name="Normal 2 2 5 4 6" xfId="22628" xr:uid="{00000000-0005-0000-0000-0000317D0000}"/>
    <cellStyle name="Normal 2 2 5 5" xfId="7502" xr:uid="{00000000-0005-0000-0000-0000327D0000}"/>
    <cellStyle name="Normal 2 2 5 5 2" xfId="9701" xr:uid="{00000000-0005-0000-0000-0000337D0000}"/>
    <cellStyle name="Normal 2 2 5 5 2 2" xfId="13322" xr:uid="{00000000-0005-0000-0000-0000347D0000}"/>
    <cellStyle name="Normal 2 2 5 5 3" xfId="22629" xr:uid="{00000000-0005-0000-0000-0000357D0000}"/>
    <cellStyle name="Normal 2 2 5 5 4" xfId="22630" xr:uid="{00000000-0005-0000-0000-0000367D0000}"/>
    <cellStyle name="Normal 2 2 5 5 5" xfId="22631" xr:uid="{00000000-0005-0000-0000-0000377D0000}"/>
    <cellStyle name="Normal 2 2 5 5 6" xfId="22632" xr:uid="{00000000-0005-0000-0000-0000387D0000}"/>
    <cellStyle name="Normal 2 2 5 6" xfId="7503" xr:uid="{00000000-0005-0000-0000-0000397D0000}"/>
    <cellStyle name="Normal 2 2 5 6 2" xfId="9702" xr:uid="{00000000-0005-0000-0000-00003A7D0000}"/>
    <cellStyle name="Normal 2 2 5 6 2 2" xfId="13323" xr:uid="{00000000-0005-0000-0000-00003B7D0000}"/>
    <cellStyle name="Normal 2 2 5 6 3" xfId="22633" xr:uid="{00000000-0005-0000-0000-00003C7D0000}"/>
    <cellStyle name="Normal 2 2 5 6 4" xfId="22634" xr:uid="{00000000-0005-0000-0000-00003D7D0000}"/>
    <cellStyle name="Normal 2 2 5 6 5" xfId="22635" xr:uid="{00000000-0005-0000-0000-00003E7D0000}"/>
    <cellStyle name="Normal 2 2 5 6 6" xfId="22636" xr:uid="{00000000-0005-0000-0000-00003F7D0000}"/>
    <cellStyle name="Normal 2 2 5 7" xfId="7504" xr:uid="{00000000-0005-0000-0000-0000407D0000}"/>
    <cellStyle name="Normal 2 2 5 7 2" xfId="9703" xr:uid="{00000000-0005-0000-0000-0000417D0000}"/>
    <cellStyle name="Normal 2 2 5 7 2 2" xfId="13324" xr:uid="{00000000-0005-0000-0000-0000427D0000}"/>
    <cellStyle name="Normal 2 2 5 7 3" xfId="22637" xr:uid="{00000000-0005-0000-0000-0000437D0000}"/>
    <cellStyle name="Normal 2 2 5 7 4" xfId="22638" xr:uid="{00000000-0005-0000-0000-0000447D0000}"/>
    <cellStyle name="Normal 2 2 5 7 5" xfId="22639" xr:uid="{00000000-0005-0000-0000-0000457D0000}"/>
    <cellStyle name="Normal 2 2 5 7 6" xfId="22640" xr:uid="{00000000-0005-0000-0000-0000467D0000}"/>
    <cellStyle name="Normal 2 2 5 8" xfId="7505" xr:uid="{00000000-0005-0000-0000-0000477D0000}"/>
    <cellStyle name="Normal 2 2 5 8 2" xfId="9704" xr:uid="{00000000-0005-0000-0000-0000487D0000}"/>
    <cellStyle name="Normal 2 2 5 8 2 2" xfId="13325" xr:uid="{00000000-0005-0000-0000-0000497D0000}"/>
    <cellStyle name="Normal 2 2 5 8 3" xfId="22641" xr:uid="{00000000-0005-0000-0000-00004A7D0000}"/>
    <cellStyle name="Normal 2 2 5 8 4" xfId="22642" xr:uid="{00000000-0005-0000-0000-00004B7D0000}"/>
    <cellStyle name="Normal 2 2 5 8 5" xfId="22643" xr:uid="{00000000-0005-0000-0000-00004C7D0000}"/>
    <cellStyle name="Normal 2 2 5 8 6" xfId="22644" xr:uid="{00000000-0005-0000-0000-00004D7D0000}"/>
    <cellStyle name="Normal 2 2 5 9" xfId="7506" xr:uid="{00000000-0005-0000-0000-00004E7D0000}"/>
    <cellStyle name="Normal 2 2 5 9 2" xfId="9705" xr:uid="{00000000-0005-0000-0000-00004F7D0000}"/>
    <cellStyle name="Normal 2 2 5 9 2 2" xfId="13326" xr:uid="{00000000-0005-0000-0000-0000507D0000}"/>
    <cellStyle name="Normal 2 2 5 9 3" xfId="22645" xr:uid="{00000000-0005-0000-0000-0000517D0000}"/>
    <cellStyle name="Normal 2 2 5 9 4" xfId="22646" xr:uid="{00000000-0005-0000-0000-0000527D0000}"/>
    <cellStyle name="Normal 2 2 5 9 5" xfId="22647" xr:uid="{00000000-0005-0000-0000-0000537D0000}"/>
    <cellStyle name="Normal 2 2 5 9 6" xfId="22648" xr:uid="{00000000-0005-0000-0000-0000547D0000}"/>
    <cellStyle name="Normal 2 2 6" xfId="1564" xr:uid="{00000000-0005-0000-0000-0000557D0000}"/>
    <cellStyle name="Normal 2 2 6 10" xfId="7507" xr:uid="{00000000-0005-0000-0000-0000567D0000}"/>
    <cellStyle name="Normal 2 2 6 10 2" xfId="9707" xr:uid="{00000000-0005-0000-0000-0000577D0000}"/>
    <cellStyle name="Normal 2 2 6 10 2 2" xfId="13328" xr:uid="{00000000-0005-0000-0000-0000587D0000}"/>
    <cellStyle name="Normal 2 2 6 10 3" xfId="22649" xr:uid="{00000000-0005-0000-0000-0000597D0000}"/>
    <cellStyle name="Normal 2 2 6 10 4" xfId="22650" xr:uid="{00000000-0005-0000-0000-00005A7D0000}"/>
    <cellStyle name="Normal 2 2 6 10 5" xfId="22651" xr:uid="{00000000-0005-0000-0000-00005B7D0000}"/>
    <cellStyle name="Normal 2 2 6 10 6" xfId="22652" xr:uid="{00000000-0005-0000-0000-00005C7D0000}"/>
    <cellStyle name="Normal 2 2 6 11" xfId="9706" xr:uid="{00000000-0005-0000-0000-00005D7D0000}"/>
    <cellStyle name="Normal 2 2 6 11 2" xfId="13327" xr:uid="{00000000-0005-0000-0000-00005E7D0000}"/>
    <cellStyle name="Normal 2 2 6 12" xfId="22653" xr:uid="{00000000-0005-0000-0000-00005F7D0000}"/>
    <cellStyle name="Normal 2 2 6 13" xfId="22654" xr:uid="{00000000-0005-0000-0000-0000607D0000}"/>
    <cellStyle name="Normal 2 2 6 14" xfId="22655" xr:uid="{00000000-0005-0000-0000-0000617D0000}"/>
    <cellStyle name="Normal 2 2 6 15" xfId="22656" xr:uid="{00000000-0005-0000-0000-0000627D0000}"/>
    <cellStyle name="Normal 2 2 6 16" xfId="22657" xr:uid="{00000000-0005-0000-0000-0000637D0000}"/>
    <cellStyle name="Normal 2 2 6 2" xfId="3634" xr:uid="{00000000-0005-0000-0000-0000647D0000}"/>
    <cellStyle name="Normal 2 2 6 2 2" xfId="5414" xr:uid="{00000000-0005-0000-0000-0000657D0000}"/>
    <cellStyle name="Normal 2 2 6 2 2 2" xfId="9709" xr:uid="{00000000-0005-0000-0000-0000667D0000}"/>
    <cellStyle name="Normal 2 2 6 2 2 2 2" xfId="13330" xr:uid="{00000000-0005-0000-0000-0000677D0000}"/>
    <cellStyle name="Normal 2 2 6 2 2 3" xfId="22658" xr:uid="{00000000-0005-0000-0000-0000687D0000}"/>
    <cellStyle name="Normal 2 2 6 2 2 4" xfId="22659" xr:uid="{00000000-0005-0000-0000-0000697D0000}"/>
    <cellStyle name="Normal 2 2 6 2 2 5" xfId="22660" xr:uid="{00000000-0005-0000-0000-00006A7D0000}"/>
    <cellStyle name="Normal 2 2 6 2 2 6" xfId="22661" xr:uid="{00000000-0005-0000-0000-00006B7D0000}"/>
    <cellStyle name="Normal 2 2 6 2 2 7" xfId="36132" xr:uid="{00000000-0005-0000-0000-00006C7D0000}"/>
    <cellStyle name="Normal 2 2 6 2 2 8" xfId="7508" xr:uid="{00000000-0005-0000-0000-00006D7D0000}"/>
    <cellStyle name="Normal 2 2 6 2 3" xfId="8572" xr:uid="{00000000-0005-0000-0000-00006E7D0000}"/>
    <cellStyle name="Normal 2 2 6 2 3 2" xfId="9710" xr:uid="{00000000-0005-0000-0000-00006F7D0000}"/>
    <cellStyle name="Normal 2 2 6 2 3 2 2" xfId="13331" xr:uid="{00000000-0005-0000-0000-0000707D0000}"/>
    <cellStyle name="Normal 2 2 6 2 3 3" xfId="22662" xr:uid="{00000000-0005-0000-0000-0000717D0000}"/>
    <cellStyle name="Normal 2 2 6 2 3 4" xfId="22663" xr:uid="{00000000-0005-0000-0000-0000727D0000}"/>
    <cellStyle name="Normal 2 2 6 2 3 5" xfId="22664" xr:uid="{00000000-0005-0000-0000-0000737D0000}"/>
    <cellStyle name="Normal 2 2 6 2 3 6" xfId="22665" xr:uid="{00000000-0005-0000-0000-0000747D0000}"/>
    <cellStyle name="Normal 2 2 6 2 4" xfId="9708" xr:uid="{00000000-0005-0000-0000-0000757D0000}"/>
    <cellStyle name="Normal 2 2 6 2 4 2" xfId="13329" xr:uid="{00000000-0005-0000-0000-0000767D0000}"/>
    <cellStyle name="Normal 2 2 6 2 5" xfId="22666" xr:uid="{00000000-0005-0000-0000-0000777D0000}"/>
    <cellStyle name="Normal 2 2 6 2 6" xfId="22667" xr:uid="{00000000-0005-0000-0000-0000787D0000}"/>
    <cellStyle name="Normal 2 2 6 2 7" xfId="22668" xr:uid="{00000000-0005-0000-0000-0000797D0000}"/>
    <cellStyle name="Normal 2 2 6 2 8" xfId="22669" xr:uid="{00000000-0005-0000-0000-00007A7D0000}"/>
    <cellStyle name="Normal 2 2 6 3" xfId="7509" xr:uid="{00000000-0005-0000-0000-00007B7D0000}"/>
    <cellStyle name="Normal 2 2 6 3 2" xfId="9711" xr:uid="{00000000-0005-0000-0000-00007C7D0000}"/>
    <cellStyle name="Normal 2 2 6 3 2 2" xfId="13332" xr:uid="{00000000-0005-0000-0000-00007D7D0000}"/>
    <cellStyle name="Normal 2 2 6 3 3" xfId="22670" xr:uid="{00000000-0005-0000-0000-00007E7D0000}"/>
    <cellStyle name="Normal 2 2 6 3 4" xfId="22671" xr:uid="{00000000-0005-0000-0000-00007F7D0000}"/>
    <cellStyle name="Normal 2 2 6 3 5" xfId="22672" xr:uid="{00000000-0005-0000-0000-0000807D0000}"/>
    <cellStyle name="Normal 2 2 6 3 6" xfId="22673" xr:uid="{00000000-0005-0000-0000-0000817D0000}"/>
    <cellStyle name="Normal 2 2 6 4" xfId="7510" xr:uid="{00000000-0005-0000-0000-0000827D0000}"/>
    <cellStyle name="Normal 2 2 6 4 2" xfId="9712" xr:uid="{00000000-0005-0000-0000-0000837D0000}"/>
    <cellStyle name="Normal 2 2 6 4 2 2" xfId="13333" xr:uid="{00000000-0005-0000-0000-0000847D0000}"/>
    <cellStyle name="Normal 2 2 6 4 3" xfId="22674" xr:uid="{00000000-0005-0000-0000-0000857D0000}"/>
    <cellStyle name="Normal 2 2 6 4 4" xfId="22675" xr:uid="{00000000-0005-0000-0000-0000867D0000}"/>
    <cellStyle name="Normal 2 2 6 4 5" xfId="22676" xr:uid="{00000000-0005-0000-0000-0000877D0000}"/>
    <cellStyle name="Normal 2 2 6 4 6" xfId="22677" xr:uid="{00000000-0005-0000-0000-0000887D0000}"/>
    <cellStyle name="Normal 2 2 6 5" xfId="7511" xr:uid="{00000000-0005-0000-0000-0000897D0000}"/>
    <cellStyle name="Normal 2 2 6 5 2" xfId="9713" xr:uid="{00000000-0005-0000-0000-00008A7D0000}"/>
    <cellStyle name="Normal 2 2 6 5 2 2" xfId="13334" xr:uid="{00000000-0005-0000-0000-00008B7D0000}"/>
    <cellStyle name="Normal 2 2 6 5 3" xfId="22678" xr:uid="{00000000-0005-0000-0000-00008C7D0000}"/>
    <cellStyle name="Normal 2 2 6 5 4" xfId="22679" xr:uid="{00000000-0005-0000-0000-00008D7D0000}"/>
    <cellStyle name="Normal 2 2 6 5 5" xfId="22680" xr:uid="{00000000-0005-0000-0000-00008E7D0000}"/>
    <cellStyle name="Normal 2 2 6 5 6" xfId="22681" xr:uid="{00000000-0005-0000-0000-00008F7D0000}"/>
    <cellStyle name="Normal 2 2 6 6" xfId="7512" xr:uid="{00000000-0005-0000-0000-0000907D0000}"/>
    <cellStyle name="Normal 2 2 6 6 2" xfId="9714" xr:uid="{00000000-0005-0000-0000-0000917D0000}"/>
    <cellStyle name="Normal 2 2 6 6 2 2" xfId="13335" xr:uid="{00000000-0005-0000-0000-0000927D0000}"/>
    <cellStyle name="Normal 2 2 6 6 3" xfId="22682" xr:uid="{00000000-0005-0000-0000-0000937D0000}"/>
    <cellStyle name="Normal 2 2 6 6 4" xfId="22683" xr:uid="{00000000-0005-0000-0000-0000947D0000}"/>
    <cellStyle name="Normal 2 2 6 6 5" xfId="22684" xr:uid="{00000000-0005-0000-0000-0000957D0000}"/>
    <cellStyle name="Normal 2 2 6 6 6" xfId="22685" xr:uid="{00000000-0005-0000-0000-0000967D0000}"/>
    <cellStyle name="Normal 2 2 6 7" xfId="7513" xr:uid="{00000000-0005-0000-0000-0000977D0000}"/>
    <cellStyle name="Normal 2 2 6 7 2" xfId="9715" xr:uid="{00000000-0005-0000-0000-0000987D0000}"/>
    <cellStyle name="Normal 2 2 6 7 2 2" xfId="13336" xr:uid="{00000000-0005-0000-0000-0000997D0000}"/>
    <cellStyle name="Normal 2 2 6 7 3" xfId="22686" xr:uid="{00000000-0005-0000-0000-00009A7D0000}"/>
    <cellStyle name="Normal 2 2 6 7 4" xfId="22687" xr:uid="{00000000-0005-0000-0000-00009B7D0000}"/>
    <cellStyle name="Normal 2 2 6 7 5" xfId="22688" xr:uid="{00000000-0005-0000-0000-00009C7D0000}"/>
    <cellStyle name="Normal 2 2 6 7 6" xfId="22689" xr:uid="{00000000-0005-0000-0000-00009D7D0000}"/>
    <cellStyle name="Normal 2 2 6 8" xfId="7514" xr:uid="{00000000-0005-0000-0000-00009E7D0000}"/>
    <cellStyle name="Normal 2 2 6 8 2" xfId="9716" xr:uid="{00000000-0005-0000-0000-00009F7D0000}"/>
    <cellStyle name="Normal 2 2 6 8 2 2" xfId="13337" xr:uid="{00000000-0005-0000-0000-0000A07D0000}"/>
    <cellStyle name="Normal 2 2 6 8 3" xfId="22690" xr:uid="{00000000-0005-0000-0000-0000A17D0000}"/>
    <cellStyle name="Normal 2 2 6 8 4" xfId="22691" xr:uid="{00000000-0005-0000-0000-0000A27D0000}"/>
    <cellStyle name="Normal 2 2 6 8 5" xfId="22692" xr:uid="{00000000-0005-0000-0000-0000A37D0000}"/>
    <cellStyle name="Normal 2 2 6 8 6" xfId="22693" xr:uid="{00000000-0005-0000-0000-0000A47D0000}"/>
    <cellStyle name="Normal 2 2 6 9" xfId="7515" xr:uid="{00000000-0005-0000-0000-0000A57D0000}"/>
    <cellStyle name="Normal 2 2 6 9 2" xfId="9717" xr:uid="{00000000-0005-0000-0000-0000A67D0000}"/>
    <cellStyle name="Normal 2 2 6 9 2 2" xfId="13338" xr:uid="{00000000-0005-0000-0000-0000A77D0000}"/>
    <cellStyle name="Normal 2 2 6 9 3" xfId="22694" xr:uid="{00000000-0005-0000-0000-0000A87D0000}"/>
    <cellStyle name="Normal 2 2 6 9 4" xfId="22695" xr:uid="{00000000-0005-0000-0000-0000A97D0000}"/>
    <cellStyle name="Normal 2 2 6 9 5" xfId="22696" xr:uid="{00000000-0005-0000-0000-0000AA7D0000}"/>
    <cellStyle name="Normal 2 2 6 9 6" xfId="22697" xr:uid="{00000000-0005-0000-0000-0000AB7D0000}"/>
    <cellStyle name="Normal 2 2 7" xfId="1565" xr:uid="{00000000-0005-0000-0000-0000AC7D0000}"/>
    <cellStyle name="Normal 2 2 7 10" xfId="7516" xr:uid="{00000000-0005-0000-0000-0000AD7D0000}"/>
    <cellStyle name="Normal 2 2 7 10 2" xfId="9719" xr:uid="{00000000-0005-0000-0000-0000AE7D0000}"/>
    <cellStyle name="Normal 2 2 7 10 2 2" xfId="13340" xr:uid="{00000000-0005-0000-0000-0000AF7D0000}"/>
    <cellStyle name="Normal 2 2 7 10 3" xfId="22698" xr:uid="{00000000-0005-0000-0000-0000B07D0000}"/>
    <cellStyle name="Normal 2 2 7 10 4" xfId="22699" xr:uid="{00000000-0005-0000-0000-0000B17D0000}"/>
    <cellStyle name="Normal 2 2 7 10 5" xfId="22700" xr:uid="{00000000-0005-0000-0000-0000B27D0000}"/>
    <cellStyle name="Normal 2 2 7 10 6" xfId="22701" xr:uid="{00000000-0005-0000-0000-0000B37D0000}"/>
    <cellStyle name="Normal 2 2 7 11" xfId="9718" xr:uid="{00000000-0005-0000-0000-0000B47D0000}"/>
    <cellStyle name="Normal 2 2 7 11 2" xfId="13339" xr:uid="{00000000-0005-0000-0000-0000B57D0000}"/>
    <cellStyle name="Normal 2 2 7 12" xfId="22702" xr:uid="{00000000-0005-0000-0000-0000B67D0000}"/>
    <cellStyle name="Normal 2 2 7 13" xfId="22703" xr:uid="{00000000-0005-0000-0000-0000B77D0000}"/>
    <cellStyle name="Normal 2 2 7 14" xfId="22704" xr:uid="{00000000-0005-0000-0000-0000B87D0000}"/>
    <cellStyle name="Normal 2 2 7 15" xfId="22705" xr:uid="{00000000-0005-0000-0000-0000B97D0000}"/>
    <cellStyle name="Normal 2 2 7 16" xfId="22706" xr:uid="{00000000-0005-0000-0000-0000BA7D0000}"/>
    <cellStyle name="Normal 2 2 7 2" xfId="3635" xr:uid="{00000000-0005-0000-0000-0000BB7D0000}"/>
    <cellStyle name="Normal 2 2 7 2 2" xfId="5415" xr:uid="{00000000-0005-0000-0000-0000BC7D0000}"/>
    <cellStyle name="Normal 2 2 7 2 2 2" xfId="9721" xr:uid="{00000000-0005-0000-0000-0000BD7D0000}"/>
    <cellStyle name="Normal 2 2 7 2 2 2 2" xfId="13342" xr:uid="{00000000-0005-0000-0000-0000BE7D0000}"/>
    <cellStyle name="Normal 2 2 7 2 2 3" xfId="22707" xr:uid="{00000000-0005-0000-0000-0000BF7D0000}"/>
    <cellStyle name="Normal 2 2 7 2 2 4" xfId="22708" xr:uid="{00000000-0005-0000-0000-0000C07D0000}"/>
    <cellStyle name="Normal 2 2 7 2 2 5" xfId="22709" xr:uid="{00000000-0005-0000-0000-0000C17D0000}"/>
    <cellStyle name="Normal 2 2 7 2 2 6" xfId="22710" xr:uid="{00000000-0005-0000-0000-0000C27D0000}"/>
    <cellStyle name="Normal 2 2 7 2 2 7" xfId="36133" xr:uid="{00000000-0005-0000-0000-0000C37D0000}"/>
    <cellStyle name="Normal 2 2 7 2 2 8" xfId="7517" xr:uid="{00000000-0005-0000-0000-0000C47D0000}"/>
    <cellStyle name="Normal 2 2 7 2 3" xfId="8573" xr:uid="{00000000-0005-0000-0000-0000C57D0000}"/>
    <cellStyle name="Normal 2 2 7 2 3 2" xfId="9722" xr:uid="{00000000-0005-0000-0000-0000C67D0000}"/>
    <cellStyle name="Normal 2 2 7 2 3 2 2" xfId="13343" xr:uid="{00000000-0005-0000-0000-0000C77D0000}"/>
    <cellStyle name="Normal 2 2 7 2 3 3" xfId="22711" xr:uid="{00000000-0005-0000-0000-0000C87D0000}"/>
    <cellStyle name="Normal 2 2 7 2 3 4" xfId="22712" xr:uid="{00000000-0005-0000-0000-0000C97D0000}"/>
    <cellStyle name="Normal 2 2 7 2 3 5" xfId="22713" xr:uid="{00000000-0005-0000-0000-0000CA7D0000}"/>
    <cellStyle name="Normal 2 2 7 2 3 6" xfId="22714" xr:uid="{00000000-0005-0000-0000-0000CB7D0000}"/>
    <cellStyle name="Normal 2 2 7 2 4" xfId="9720" xr:uid="{00000000-0005-0000-0000-0000CC7D0000}"/>
    <cellStyle name="Normal 2 2 7 2 4 2" xfId="13341" xr:uid="{00000000-0005-0000-0000-0000CD7D0000}"/>
    <cellStyle name="Normal 2 2 7 2 5" xfId="22715" xr:uid="{00000000-0005-0000-0000-0000CE7D0000}"/>
    <cellStyle name="Normal 2 2 7 2 6" xfId="22716" xr:uid="{00000000-0005-0000-0000-0000CF7D0000}"/>
    <cellStyle name="Normal 2 2 7 2 7" xfId="22717" xr:uid="{00000000-0005-0000-0000-0000D07D0000}"/>
    <cellStyle name="Normal 2 2 7 2 8" xfId="22718" xr:uid="{00000000-0005-0000-0000-0000D17D0000}"/>
    <cellStyle name="Normal 2 2 7 3" xfId="7518" xr:uid="{00000000-0005-0000-0000-0000D27D0000}"/>
    <cellStyle name="Normal 2 2 7 3 2" xfId="9723" xr:uid="{00000000-0005-0000-0000-0000D37D0000}"/>
    <cellStyle name="Normal 2 2 7 3 2 2" xfId="13344" xr:uid="{00000000-0005-0000-0000-0000D47D0000}"/>
    <cellStyle name="Normal 2 2 7 3 3" xfId="22719" xr:uid="{00000000-0005-0000-0000-0000D57D0000}"/>
    <cellStyle name="Normal 2 2 7 3 4" xfId="22720" xr:uid="{00000000-0005-0000-0000-0000D67D0000}"/>
    <cellStyle name="Normal 2 2 7 3 5" xfId="22721" xr:uid="{00000000-0005-0000-0000-0000D77D0000}"/>
    <cellStyle name="Normal 2 2 7 3 6" xfId="22722" xr:uid="{00000000-0005-0000-0000-0000D87D0000}"/>
    <cellStyle name="Normal 2 2 7 4" xfId="7519" xr:uid="{00000000-0005-0000-0000-0000D97D0000}"/>
    <cellStyle name="Normal 2 2 7 4 2" xfId="9724" xr:uid="{00000000-0005-0000-0000-0000DA7D0000}"/>
    <cellStyle name="Normal 2 2 7 4 2 2" xfId="13345" xr:uid="{00000000-0005-0000-0000-0000DB7D0000}"/>
    <cellStyle name="Normal 2 2 7 4 3" xfId="22723" xr:uid="{00000000-0005-0000-0000-0000DC7D0000}"/>
    <cellStyle name="Normal 2 2 7 4 4" xfId="22724" xr:uid="{00000000-0005-0000-0000-0000DD7D0000}"/>
    <cellStyle name="Normal 2 2 7 4 5" xfId="22725" xr:uid="{00000000-0005-0000-0000-0000DE7D0000}"/>
    <cellStyle name="Normal 2 2 7 4 6" xfId="22726" xr:uid="{00000000-0005-0000-0000-0000DF7D0000}"/>
    <cellStyle name="Normal 2 2 7 5" xfId="7520" xr:uid="{00000000-0005-0000-0000-0000E07D0000}"/>
    <cellStyle name="Normal 2 2 7 5 2" xfId="9725" xr:uid="{00000000-0005-0000-0000-0000E17D0000}"/>
    <cellStyle name="Normal 2 2 7 5 2 2" xfId="13346" xr:uid="{00000000-0005-0000-0000-0000E27D0000}"/>
    <cellStyle name="Normal 2 2 7 5 3" xfId="22727" xr:uid="{00000000-0005-0000-0000-0000E37D0000}"/>
    <cellStyle name="Normal 2 2 7 5 4" xfId="22728" xr:uid="{00000000-0005-0000-0000-0000E47D0000}"/>
    <cellStyle name="Normal 2 2 7 5 5" xfId="22729" xr:uid="{00000000-0005-0000-0000-0000E57D0000}"/>
    <cellStyle name="Normal 2 2 7 5 6" xfId="22730" xr:uid="{00000000-0005-0000-0000-0000E67D0000}"/>
    <cellStyle name="Normal 2 2 7 6" xfId="7521" xr:uid="{00000000-0005-0000-0000-0000E77D0000}"/>
    <cellStyle name="Normal 2 2 7 6 2" xfId="9726" xr:uid="{00000000-0005-0000-0000-0000E87D0000}"/>
    <cellStyle name="Normal 2 2 7 6 2 2" xfId="13347" xr:uid="{00000000-0005-0000-0000-0000E97D0000}"/>
    <cellStyle name="Normal 2 2 7 6 3" xfId="22731" xr:uid="{00000000-0005-0000-0000-0000EA7D0000}"/>
    <cellStyle name="Normal 2 2 7 6 4" xfId="22732" xr:uid="{00000000-0005-0000-0000-0000EB7D0000}"/>
    <cellStyle name="Normal 2 2 7 6 5" xfId="22733" xr:uid="{00000000-0005-0000-0000-0000EC7D0000}"/>
    <cellStyle name="Normal 2 2 7 6 6" xfId="22734" xr:uid="{00000000-0005-0000-0000-0000ED7D0000}"/>
    <cellStyle name="Normal 2 2 7 7" xfId="7522" xr:uid="{00000000-0005-0000-0000-0000EE7D0000}"/>
    <cellStyle name="Normal 2 2 7 7 2" xfId="9727" xr:uid="{00000000-0005-0000-0000-0000EF7D0000}"/>
    <cellStyle name="Normal 2 2 7 7 2 2" xfId="13348" xr:uid="{00000000-0005-0000-0000-0000F07D0000}"/>
    <cellStyle name="Normal 2 2 7 7 3" xfId="22735" xr:uid="{00000000-0005-0000-0000-0000F17D0000}"/>
    <cellStyle name="Normal 2 2 7 7 4" xfId="22736" xr:uid="{00000000-0005-0000-0000-0000F27D0000}"/>
    <cellStyle name="Normal 2 2 7 7 5" xfId="22737" xr:uid="{00000000-0005-0000-0000-0000F37D0000}"/>
    <cellStyle name="Normal 2 2 7 7 6" xfId="22738" xr:uid="{00000000-0005-0000-0000-0000F47D0000}"/>
    <cellStyle name="Normal 2 2 7 8" xfId="7523" xr:uid="{00000000-0005-0000-0000-0000F57D0000}"/>
    <cellStyle name="Normal 2 2 7 8 2" xfId="9728" xr:uid="{00000000-0005-0000-0000-0000F67D0000}"/>
    <cellStyle name="Normal 2 2 7 8 2 2" xfId="13349" xr:uid="{00000000-0005-0000-0000-0000F77D0000}"/>
    <cellStyle name="Normal 2 2 7 8 3" xfId="22739" xr:uid="{00000000-0005-0000-0000-0000F87D0000}"/>
    <cellStyle name="Normal 2 2 7 8 4" xfId="22740" xr:uid="{00000000-0005-0000-0000-0000F97D0000}"/>
    <cellStyle name="Normal 2 2 7 8 5" xfId="22741" xr:uid="{00000000-0005-0000-0000-0000FA7D0000}"/>
    <cellStyle name="Normal 2 2 7 8 6" xfId="22742" xr:uid="{00000000-0005-0000-0000-0000FB7D0000}"/>
    <cellStyle name="Normal 2 2 7 9" xfId="7524" xr:uid="{00000000-0005-0000-0000-0000FC7D0000}"/>
    <cellStyle name="Normal 2 2 7 9 2" xfId="9729" xr:uid="{00000000-0005-0000-0000-0000FD7D0000}"/>
    <cellStyle name="Normal 2 2 7 9 2 2" xfId="13350" xr:uid="{00000000-0005-0000-0000-0000FE7D0000}"/>
    <cellStyle name="Normal 2 2 7 9 3" xfId="22743" xr:uid="{00000000-0005-0000-0000-0000FF7D0000}"/>
    <cellStyle name="Normal 2 2 7 9 4" xfId="22744" xr:uid="{00000000-0005-0000-0000-0000007E0000}"/>
    <cellStyle name="Normal 2 2 7 9 5" xfId="22745" xr:uid="{00000000-0005-0000-0000-0000017E0000}"/>
    <cellStyle name="Normal 2 2 7 9 6" xfId="22746" xr:uid="{00000000-0005-0000-0000-0000027E0000}"/>
    <cellStyle name="Normal 2 2 8" xfId="1566" xr:uid="{00000000-0005-0000-0000-0000037E0000}"/>
    <cellStyle name="Normal 2 2 8 10" xfId="7525" xr:uid="{00000000-0005-0000-0000-0000047E0000}"/>
    <cellStyle name="Normal 2 2 8 10 2" xfId="9731" xr:uid="{00000000-0005-0000-0000-0000057E0000}"/>
    <cellStyle name="Normal 2 2 8 10 2 2" xfId="13352" xr:uid="{00000000-0005-0000-0000-0000067E0000}"/>
    <cellStyle name="Normal 2 2 8 10 3" xfId="22747" xr:uid="{00000000-0005-0000-0000-0000077E0000}"/>
    <cellStyle name="Normal 2 2 8 10 4" xfId="22748" xr:uid="{00000000-0005-0000-0000-0000087E0000}"/>
    <cellStyle name="Normal 2 2 8 10 5" xfId="22749" xr:uid="{00000000-0005-0000-0000-0000097E0000}"/>
    <cellStyle name="Normal 2 2 8 10 6" xfId="22750" xr:uid="{00000000-0005-0000-0000-00000A7E0000}"/>
    <cellStyle name="Normal 2 2 8 11" xfId="9730" xr:uid="{00000000-0005-0000-0000-00000B7E0000}"/>
    <cellStyle name="Normal 2 2 8 11 2" xfId="13351" xr:uid="{00000000-0005-0000-0000-00000C7E0000}"/>
    <cellStyle name="Normal 2 2 8 12" xfId="22751" xr:uid="{00000000-0005-0000-0000-00000D7E0000}"/>
    <cellStyle name="Normal 2 2 8 13" xfId="22752" xr:uid="{00000000-0005-0000-0000-00000E7E0000}"/>
    <cellStyle name="Normal 2 2 8 14" xfId="22753" xr:uid="{00000000-0005-0000-0000-00000F7E0000}"/>
    <cellStyle name="Normal 2 2 8 15" xfId="22754" xr:uid="{00000000-0005-0000-0000-0000107E0000}"/>
    <cellStyle name="Normal 2 2 8 16" xfId="22755" xr:uid="{00000000-0005-0000-0000-0000117E0000}"/>
    <cellStyle name="Normal 2 2 8 2" xfId="3636" xr:uid="{00000000-0005-0000-0000-0000127E0000}"/>
    <cellStyle name="Normal 2 2 8 2 2" xfId="5416" xr:uid="{00000000-0005-0000-0000-0000137E0000}"/>
    <cellStyle name="Normal 2 2 8 2 2 2" xfId="9733" xr:uid="{00000000-0005-0000-0000-0000147E0000}"/>
    <cellStyle name="Normal 2 2 8 2 2 2 2" xfId="13354" xr:uid="{00000000-0005-0000-0000-0000157E0000}"/>
    <cellStyle name="Normal 2 2 8 2 2 3" xfId="22756" xr:uid="{00000000-0005-0000-0000-0000167E0000}"/>
    <cellStyle name="Normal 2 2 8 2 2 4" xfId="22757" xr:uid="{00000000-0005-0000-0000-0000177E0000}"/>
    <cellStyle name="Normal 2 2 8 2 2 5" xfId="22758" xr:uid="{00000000-0005-0000-0000-0000187E0000}"/>
    <cellStyle name="Normal 2 2 8 2 2 6" xfId="22759" xr:uid="{00000000-0005-0000-0000-0000197E0000}"/>
    <cellStyle name="Normal 2 2 8 2 2 7" xfId="36134" xr:uid="{00000000-0005-0000-0000-00001A7E0000}"/>
    <cellStyle name="Normal 2 2 8 2 2 8" xfId="7526" xr:uid="{00000000-0005-0000-0000-00001B7E0000}"/>
    <cellStyle name="Normal 2 2 8 2 3" xfId="8574" xr:uid="{00000000-0005-0000-0000-00001C7E0000}"/>
    <cellStyle name="Normal 2 2 8 2 3 2" xfId="9734" xr:uid="{00000000-0005-0000-0000-00001D7E0000}"/>
    <cellStyle name="Normal 2 2 8 2 3 2 2" xfId="13355" xr:uid="{00000000-0005-0000-0000-00001E7E0000}"/>
    <cellStyle name="Normal 2 2 8 2 3 3" xfId="22760" xr:uid="{00000000-0005-0000-0000-00001F7E0000}"/>
    <cellStyle name="Normal 2 2 8 2 3 4" xfId="22761" xr:uid="{00000000-0005-0000-0000-0000207E0000}"/>
    <cellStyle name="Normal 2 2 8 2 3 5" xfId="22762" xr:uid="{00000000-0005-0000-0000-0000217E0000}"/>
    <cellStyle name="Normal 2 2 8 2 3 6" xfId="22763" xr:uid="{00000000-0005-0000-0000-0000227E0000}"/>
    <cellStyle name="Normal 2 2 8 2 4" xfId="9732" xr:uid="{00000000-0005-0000-0000-0000237E0000}"/>
    <cellStyle name="Normal 2 2 8 2 4 2" xfId="13353" xr:uid="{00000000-0005-0000-0000-0000247E0000}"/>
    <cellStyle name="Normal 2 2 8 2 5" xfId="22764" xr:uid="{00000000-0005-0000-0000-0000257E0000}"/>
    <cellStyle name="Normal 2 2 8 2 6" xfId="22765" xr:uid="{00000000-0005-0000-0000-0000267E0000}"/>
    <cellStyle name="Normal 2 2 8 2 7" xfId="22766" xr:uid="{00000000-0005-0000-0000-0000277E0000}"/>
    <cellStyle name="Normal 2 2 8 2 8" xfId="22767" xr:uid="{00000000-0005-0000-0000-0000287E0000}"/>
    <cellStyle name="Normal 2 2 8 3" xfId="7527" xr:uid="{00000000-0005-0000-0000-0000297E0000}"/>
    <cellStyle name="Normal 2 2 8 3 2" xfId="9735" xr:uid="{00000000-0005-0000-0000-00002A7E0000}"/>
    <cellStyle name="Normal 2 2 8 3 2 2" xfId="13356" xr:uid="{00000000-0005-0000-0000-00002B7E0000}"/>
    <cellStyle name="Normal 2 2 8 3 3" xfId="22768" xr:uid="{00000000-0005-0000-0000-00002C7E0000}"/>
    <cellStyle name="Normal 2 2 8 3 4" xfId="22769" xr:uid="{00000000-0005-0000-0000-00002D7E0000}"/>
    <cellStyle name="Normal 2 2 8 3 5" xfId="22770" xr:uid="{00000000-0005-0000-0000-00002E7E0000}"/>
    <cellStyle name="Normal 2 2 8 3 6" xfId="22771" xr:uid="{00000000-0005-0000-0000-00002F7E0000}"/>
    <cellStyle name="Normal 2 2 8 4" xfId="7528" xr:uid="{00000000-0005-0000-0000-0000307E0000}"/>
    <cellStyle name="Normal 2 2 8 4 2" xfId="9736" xr:uid="{00000000-0005-0000-0000-0000317E0000}"/>
    <cellStyle name="Normal 2 2 8 4 2 2" xfId="13357" xr:uid="{00000000-0005-0000-0000-0000327E0000}"/>
    <cellStyle name="Normal 2 2 8 4 3" xfId="22772" xr:uid="{00000000-0005-0000-0000-0000337E0000}"/>
    <cellStyle name="Normal 2 2 8 4 4" xfId="22773" xr:uid="{00000000-0005-0000-0000-0000347E0000}"/>
    <cellStyle name="Normal 2 2 8 4 5" xfId="22774" xr:uid="{00000000-0005-0000-0000-0000357E0000}"/>
    <cellStyle name="Normal 2 2 8 4 6" xfId="22775" xr:uid="{00000000-0005-0000-0000-0000367E0000}"/>
    <cellStyle name="Normal 2 2 8 5" xfId="7529" xr:uid="{00000000-0005-0000-0000-0000377E0000}"/>
    <cellStyle name="Normal 2 2 8 5 2" xfId="9737" xr:uid="{00000000-0005-0000-0000-0000387E0000}"/>
    <cellStyle name="Normal 2 2 8 5 2 2" xfId="13358" xr:uid="{00000000-0005-0000-0000-0000397E0000}"/>
    <cellStyle name="Normal 2 2 8 5 3" xfId="22776" xr:uid="{00000000-0005-0000-0000-00003A7E0000}"/>
    <cellStyle name="Normal 2 2 8 5 4" xfId="22777" xr:uid="{00000000-0005-0000-0000-00003B7E0000}"/>
    <cellStyle name="Normal 2 2 8 5 5" xfId="22778" xr:uid="{00000000-0005-0000-0000-00003C7E0000}"/>
    <cellStyle name="Normal 2 2 8 5 6" xfId="22779" xr:uid="{00000000-0005-0000-0000-00003D7E0000}"/>
    <cellStyle name="Normal 2 2 8 6" xfId="7530" xr:uid="{00000000-0005-0000-0000-00003E7E0000}"/>
    <cellStyle name="Normal 2 2 8 6 2" xfId="9738" xr:uid="{00000000-0005-0000-0000-00003F7E0000}"/>
    <cellStyle name="Normal 2 2 8 6 2 2" xfId="13359" xr:uid="{00000000-0005-0000-0000-0000407E0000}"/>
    <cellStyle name="Normal 2 2 8 6 3" xfId="22780" xr:uid="{00000000-0005-0000-0000-0000417E0000}"/>
    <cellStyle name="Normal 2 2 8 6 4" xfId="22781" xr:uid="{00000000-0005-0000-0000-0000427E0000}"/>
    <cellStyle name="Normal 2 2 8 6 5" xfId="22782" xr:uid="{00000000-0005-0000-0000-0000437E0000}"/>
    <cellStyle name="Normal 2 2 8 6 6" xfId="22783" xr:uid="{00000000-0005-0000-0000-0000447E0000}"/>
    <cellStyle name="Normal 2 2 8 7" xfId="7531" xr:uid="{00000000-0005-0000-0000-0000457E0000}"/>
    <cellStyle name="Normal 2 2 8 7 2" xfId="9739" xr:uid="{00000000-0005-0000-0000-0000467E0000}"/>
    <cellStyle name="Normal 2 2 8 7 2 2" xfId="13360" xr:uid="{00000000-0005-0000-0000-0000477E0000}"/>
    <cellStyle name="Normal 2 2 8 7 3" xfId="22784" xr:uid="{00000000-0005-0000-0000-0000487E0000}"/>
    <cellStyle name="Normal 2 2 8 7 4" xfId="22785" xr:uid="{00000000-0005-0000-0000-0000497E0000}"/>
    <cellStyle name="Normal 2 2 8 7 5" xfId="22786" xr:uid="{00000000-0005-0000-0000-00004A7E0000}"/>
    <cellStyle name="Normal 2 2 8 7 6" xfId="22787" xr:uid="{00000000-0005-0000-0000-00004B7E0000}"/>
    <cellStyle name="Normal 2 2 8 8" xfId="7532" xr:uid="{00000000-0005-0000-0000-00004C7E0000}"/>
    <cellStyle name="Normal 2 2 8 8 2" xfId="9740" xr:uid="{00000000-0005-0000-0000-00004D7E0000}"/>
    <cellStyle name="Normal 2 2 8 8 2 2" xfId="13361" xr:uid="{00000000-0005-0000-0000-00004E7E0000}"/>
    <cellStyle name="Normal 2 2 8 8 3" xfId="22788" xr:uid="{00000000-0005-0000-0000-00004F7E0000}"/>
    <cellStyle name="Normal 2 2 8 8 4" xfId="22789" xr:uid="{00000000-0005-0000-0000-0000507E0000}"/>
    <cellStyle name="Normal 2 2 8 8 5" xfId="22790" xr:uid="{00000000-0005-0000-0000-0000517E0000}"/>
    <cellStyle name="Normal 2 2 8 8 6" xfId="22791" xr:uid="{00000000-0005-0000-0000-0000527E0000}"/>
    <cellStyle name="Normal 2 2 8 9" xfId="7533" xr:uid="{00000000-0005-0000-0000-0000537E0000}"/>
    <cellStyle name="Normal 2 2 8 9 2" xfId="9741" xr:uid="{00000000-0005-0000-0000-0000547E0000}"/>
    <cellStyle name="Normal 2 2 8 9 2 2" xfId="13362" xr:uid="{00000000-0005-0000-0000-0000557E0000}"/>
    <cellStyle name="Normal 2 2 8 9 3" xfId="22792" xr:uid="{00000000-0005-0000-0000-0000567E0000}"/>
    <cellStyle name="Normal 2 2 8 9 4" xfId="22793" xr:uid="{00000000-0005-0000-0000-0000577E0000}"/>
    <cellStyle name="Normal 2 2 8 9 5" xfId="22794" xr:uid="{00000000-0005-0000-0000-0000587E0000}"/>
    <cellStyle name="Normal 2 2 8 9 6" xfId="22795" xr:uid="{00000000-0005-0000-0000-0000597E0000}"/>
    <cellStyle name="Normal 2 2 9" xfId="1567" xr:uid="{00000000-0005-0000-0000-00005A7E0000}"/>
    <cellStyle name="Normal 2 2 9 10" xfId="7534" xr:uid="{00000000-0005-0000-0000-00005B7E0000}"/>
    <cellStyle name="Normal 2 2 9 10 2" xfId="9743" xr:uid="{00000000-0005-0000-0000-00005C7E0000}"/>
    <cellStyle name="Normal 2 2 9 10 2 2" xfId="13364" xr:uid="{00000000-0005-0000-0000-00005D7E0000}"/>
    <cellStyle name="Normal 2 2 9 10 3" xfId="22796" xr:uid="{00000000-0005-0000-0000-00005E7E0000}"/>
    <cellStyle name="Normal 2 2 9 10 4" xfId="22797" xr:uid="{00000000-0005-0000-0000-00005F7E0000}"/>
    <cellStyle name="Normal 2 2 9 10 5" xfId="22798" xr:uid="{00000000-0005-0000-0000-0000607E0000}"/>
    <cellStyle name="Normal 2 2 9 10 6" xfId="22799" xr:uid="{00000000-0005-0000-0000-0000617E0000}"/>
    <cellStyle name="Normal 2 2 9 11" xfId="9742" xr:uid="{00000000-0005-0000-0000-0000627E0000}"/>
    <cellStyle name="Normal 2 2 9 11 2" xfId="13363" xr:uid="{00000000-0005-0000-0000-0000637E0000}"/>
    <cellStyle name="Normal 2 2 9 12" xfId="22800" xr:uid="{00000000-0005-0000-0000-0000647E0000}"/>
    <cellStyle name="Normal 2 2 9 13" xfId="22801" xr:uid="{00000000-0005-0000-0000-0000657E0000}"/>
    <cellStyle name="Normal 2 2 9 14" xfId="22802" xr:uid="{00000000-0005-0000-0000-0000667E0000}"/>
    <cellStyle name="Normal 2 2 9 15" xfId="22803" xr:uid="{00000000-0005-0000-0000-0000677E0000}"/>
    <cellStyle name="Normal 2 2 9 16" xfId="22804" xr:uid="{00000000-0005-0000-0000-0000687E0000}"/>
    <cellStyle name="Normal 2 2 9 2" xfId="3637" xr:uid="{00000000-0005-0000-0000-0000697E0000}"/>
    <cellStyle name="Normal 2 2 9 2 2" xfId="5417" xr:uid="{00000000-0005-0000-0000-00006A7E0000}"/>
    <cellStyle name="Normal 2 2 9 2 2 2" xfId="9745" xr:uid="{00000000-0005-0000-0000-00006B7E0000}"/>
    <cellStyle name="Normal 2 2 9 2 2 2 2" xfId="13366" xr:uid="{00000000-0005-0000-0000-00006C7E0000}"/>
    <cellStyle name="Normal 2 2 9 2 2 3" xfId="22805" xr:uid="{00000000-0005-0000-0000-00006D7E0000}"/>
    <cellStyle name="Normal 2 2 9 2 2 4" xfId="22806" xr:uid="{00000000-0005-0000-0000-00006E7E0000}"/>
    <cellStyle name="Normal 2 2 9 2 2 5" xfId="22807" xr:uid="{00000000-0005-0000-0000-00006F7E0000}"/>
    <cellStyle name="Normal 2 2 9 2 2 6" xfId="22808" xr:uid="{00000000-0005-0000-0000-0000707E0000}"/>
    <cellStyle name="Normal 2 2 9 2 2 7" xfId="36135" xr:uid="{00000000-0005-0000-0000-0000717E0000}"/>
    <cellStyle name="Normal 2 2 9 2 2 8" xfId="7535" xr:uid="{00000000-0005-0000-0000-0000727E0000}"/>
    <cellStyle name="Normal 2 2 9 2 3" xfId="8575" xr:uid="{00000000-0005-0000-0000-0000737E0000}"/>
    <cellStyle name="Normal 2 2 9 2 3 2" xfId="9746" xr:uid="{00000000-0005-0000-0000-0000747E0000}"/>
    <cellStyle name="Normal 2 2 9 2 3 2 2" xfId="13367" xr:uid="{00000000-0005-0000-0000-0000757E0000}"/>
    <cellStyle name="Normal 2 2 9 2 3 3" xfId="22809" xr:uid="{00000000-0005-0000-0000-0000767E0000}"/>
    <cellStyle name="Normal 2 2 9 2 3 4" xfId="22810" xr:uid="{00000000-0005-0000-0000-0000777E0000}"/>
    <cellStyle name="Normal 2 2 9 2 3 5" xfId="22811" xr:uid="{00000000-0005-0000-0000-0000787E0000}"/>
    <cellStyle name="Normal 2 2 9 2 3 6" xfId="22812" xr:uid="{00000000-0005-0000-0000-0000797E0000}"/>
    <cellStyle name="Normal 2 2 9 2 4" xfId="9744" xr:uid="{00000000-0005-0000-0000-00007A7E0000}"/>
    <cellStyle name="Normal 2 2 9 2 4 2" xfId="13365" xr:uid="{00000000-0005-0000-0000-00007B7E0000}"/>
    <cellStyle name="Normal 2 2 9 2 5" xfId="22813" xr:uid="{00000000-0005-0000-0000-00007C7E0000}"/>
    <cellStyle name="Normal 2 2 9 2 6" xfId="22814" xr:uid="{00000000-0005-0000-0000-00007D7E0000}"/>
    <cellStyle name="Normal 2 2 9 2 7" xfId="22815" xr:uid="{00000000-0005-0000-0000-00007E7E0000}"/>
    <cellStyle name="Normal 2 2 9 2 8" xfId="22816" xr:uid="{00000000-0005-0000-0000-00007F7E0000}"/>
    <cellStyle name="Normal 2 2 9 3" xfId="7536" xr:uid="{00000000-0005-0000-0000-0000807E0000}"/>
    <cellStyle name="Normal 2 2 9 3 2" xfId="9747" xr:uid="{00000000-0005-0000-0000-0000817E0000}"/>
    <cellStyle name="Normal 2 2 9 3 2 2" xfId="13368" xr:uid="{00000000-0005-0000-0000-0000827E0000}"/>
    <cellStyle name="Normal 2 2 9 3 3" xfId="22817" xr:uid="{00000000-0005-0000-0000-0000837E0000}"/>
    <cellStyle name="Normal 2 2 9 3 4" xfId="22818" xr:uid="{00000000-0005-0000-0000-0000847E0000}"/>
    <cellStyle name="Normal 2 2 9 3 5" xfId="22819" xr:uid="{00000000-0005-0000-0000-0000857E0000}"/>
    <cellStyle name="Normal 2 2 9 3 6" xfId="22820" xr:uid="{00000000-0005-0000-0000-0000867E0000}"/>
    <cellStyle name="Normal 2 2 9 4" xfId="7537" xr:uid="{00000000-0005-0000-0000-0000877E0000}"/>
    <cellStyle name="Normal 2 2 9 4 2" xfId="9748" xr:uid="{00000000-0005-0000-0000-0000887E0000}"/>
    <cellStyle name="Normal 2 2 9 4 2 2" xfId="13369" xr:uid="{00000000-0005-0000-0000-0000897E0000}"/>
    <cellStyle name="Normal 2 2 9 4 3" xfId="22821" xr:uid="{00000000-0005-0000-0000-00008A7E0000}"/>
    <cellStyle name="Normal 2 2 9 4 4" xfId="22822" xr:uid="{00000000-0005-0000-0000-00008B7E0000}"/>
    <cellStyle name="Normal 2 2 9 4 5" xfId="22823" xr:uid="{00000000-0005-0000-0000-00008C7E0000}"/>
    <cellStyle name="Normal 2 2 9 4 6" xfId="22824" xr:uid="{00000000-0005-0000-0000-00008D7E0000}"/>
    <cellStyle name="Normal 2 2 9 5" xfId="7538" xr:uid="{00000000-0005-0000-0000-00008E7E0000}"/>
    <cellStyle name="Normal 2 2 9 5 2" xfId="9749" xr:uid="{00000000-0005-0000-0000-00008F7E0000}"/>
    <cellStyle name="Normal 2 2 9 5 2 2" xfId="13370" xr:uid="{00000000-0005-0000-0000-0000907E0000}"/>
    <cellStyle name="Normal 2 2 9 5 3" xfId="22825" xr:uid="{00000000-0005-0000-0000-0000917E0000}"/>
    <cellStyle name="Normal 2 2 9 5 4" xfId="22826" xr:uid="{00000000-0005-0000-0000-0000927E0000}"/>
    <cellStyle name="Normal 2 2 9 5 5" xfId="22827" xr:uid="{00000000-0005-0000-0000-0000937E0000}"/>
    <cellStyle name="Normal 2 2 9 5 6" xfId="22828" xr:uid="{00000000-0005-0000-0000-0000947E0000}"/>
    <cellStyle name="Normal 2 2 9 6" xfId="7539" xr:uid="{00000000-0005-0000-0000-0000957E0000}"/>
    <cellStyle name="Normal 2 2 9 6 2" xfId="9750" xr:uid="{00000000-0005-0000-0000-0000967E0000}"/>
    <cellStyle name="Normal 2 2 9 6 2 2" xfId="13371" xr:uid="{00000000-0005-0000-0000-0000977E0000}"/>
    <cellStyle name="Normal 2 2 9 6 3" xfId="22829" xr:uid="{00000000-0005-0000-0000-0000987E0000}"/>
    <cellStyle name="Normal 2 2 9 6 4" xfId="22830" xr:uid="{00000000-0005-0000-0000-0000997E0000}"/>
    <cellStyle name="Normal 2 2 9 6 5" xfId="22831" xr:uid="{00000000-0005-0000-0000-00009A7E0000}"/>
    <cellStyle name="Normal 2 2 9 6 6" xfId="22832" xr:uid="{00000000-0005-0000-0000-00009B7E0000}"/>
    <cellStyle name="Normal 2 2 9 7" xfId="7540" xr:uid="{00000000-0005-0000-0000-00009C7E0000}"/>
    <cellStyle name="Normal 2 2 9 7 2" xfId="9751" xr:uid="{00000000-0005-0000-0000-00009D7E0000}"/>
    <cellStyle name="Normal 2 2 9 7 2 2" xfId="13372" xr:uid="{00000000-0005-0000-0000-00009E7E0000}"/>
    <cellStyle name="Normal 2 2 9 7 3" xfId="22833" xr:uid="{00000000-0005-0000-0000-00009F7E0000}"/>
    <cellStyle name="Normal 2 2 9 7 4" xfId="22834" xr:uid="{00000000-0005-0000-0000-0000A07E0000}"/>
    <cellStyle name="Normal 2 2 9 7 5" xfId="22835" xr:uid="{00000000-0005-0000-0000-0000A17E0000}"/>
    <cellStyle name="Normal 2 2 9 7 6" xfId="22836" xr:uid="{00000000-0005-0000-0000-0000A27E0000}"/>
    <cellStyle name="Normal 2 2 9 8" xfId="7541" xr:uid="{00000000-0005-0000-0000-0000A37E0000}"/>
    <cellStyle name="Normal 2 2 9 8 2" xfId="9752" xr:uid="{00000000-0005-0000-0000-0000A47E0000}"/>
    <cellStyle name="Normal 2 2 9 8 2 2" xfId="13373" xr:uid="{00000000-0005-0000-0000-0000A57E0000}"/>
    <cellStyle name="Normal 2 2 9 8 3" xfId="22837" xr:uid="{00000000-0005-0000-0000-0000A67E0000}"/>
    <cellStyle name="Normal 2 2 9 8 4" xfId="22838" xr:uid="{00000000-0005-0000-0000-0000A77E0000}"/>
    <cellStyle name="Normal 2 2 9 8 5" xfId="22839" xr:uid="{00000000-0005-0000-0000-0000A87E0000}"/>
    <cellStyle name="Normal 2 2 9 8 6" xfId="22840" xr:uid="{00000000-0005-0000-0000-0000A97E0000}"/>
    <cellStyle name="Normal 2 2 9 9" xfId="7542" xr:uid="{00000000-0005-0000-0000-0000AA7E0000}"/>
    <cellStyle name="Normal 2 2 9 9 2" xfId="9753" xr:uid="{00000000-0005-0000-0000-0000AB7E0000}"/>
    <cellStyle name="Normal 2 2 9 9 2 2" xfId="13374" xr:uid="{00000000-0005-0000-0000-0000AC7E0000}"/>
    <cellStyle name="Normal 2 2 9 9 3" xfId="22841" xr:uid="{00000000-0005-0000-0000-0000AD7E0000}"/>
    <cellStyle name="Normal 2 2 9 9 4" xfId="22842" xr:uid="{00000000-0005-0000-0000-0000AE7E0000}"/>
    <cellStyle name="Normal 2 2 9 9 5" xfId="22843" xr:uid="{00000000-0005-0000-0000-0000AF7E0000}"/>
    <cellStyle name="Normal 2 2 9 9 6" xfId="22844" xr:uid="{00000000-0005-0000-0000-0000B07E0000}"/>
    <cellStyle name="Normal 2 2_ELC" xfId="3638" xr:uid="{00000000-0005-0000-0000-0000B17E0000}"/>
    <cellStyle name="Normal 2 20" xfId="3639" xr:uid="{00000000-0005-0000-0000-0000B27E0000}"/>
    <cellStyle name="Normal 2 20 2" xfId="5418" xr:uid="{00000000-0005-0000-0000-0000B37E0000}"/>
    <cellStyle name="Normal 2 20 2 2" xfId="9755" xr:uid="{00000000-0005-0000-0000-0000B47E0000}"/>
    <cellStyle name="Normal 2 20 2 2 2" xfId="13376" xr:uid="{00000000-0005-0000-0000-0000B57E0000}"/>
    <cellStyle name="Normal 2 20 2 3" xfId="22845" xr:uid="{00000000-0005-0000-0000-0000B67E0000}"/>
    <cellStyle name="Normal 2 20 2 4" xfId="22846" xr:uid="{00000000-0005-0000-0000-0000B77E0000}"/>
    <cellStyle name="Normal 2 20 2 5" xfId="22847" xr:uid="{00000000-0005-0000-0000-0000B87E0000}"/>
    <cellStyle name="Normal 2 20 2 6" xfId="22848" xr:uid="{00000000-0005-0000-0000-0000B97E0000}"/>
    <cellStyle name="Normal 2 20 3" xfId="9754" xr:uid="{00000000-0005-0000-0000-0000BA7E0000}"/>
    <cellStyle name="Normal 2 20 3 2" xfId="13375" xr:uid="{00000000-0005-0000-0000-0000BB7E0000}"/>
    <cellStyle name="Normal 2 20 3 3" xfId="38427" xr:uid="{00000000-0005-0000-0000-0000BC7E0000}"/>
    <cellStyle name="Normal 2 20 4" xfId="22849" xr:uid="{00000000-0005-0000-0000-0000BD7E0000}"/>
    <cellStyle name="Normal 2 20 5" xfId="22850" xr:uid="{00000000-0005-0000-0000-0000BE7E0000}"/>
    <cellStyle name="Normal 2 20 6" xfId="22851" xr:uid="{00000000-0005-0000-0000-0000BF7E0000}"/>
    <cellStyle name="Normal 2 20 7" xfId="22852" xr:uid="{00000000-0005-0000-0000-0000C07E0000}"/>
    <cellStyle name="Normal 2 21" xfId="3640" xr:uid="{00000000-0005-0000-0000-0000C17E0000}"/>
    <cellStyle name="Normal 2 21 2" xfId="5419" xr:uid="{00000000-0005-0000-0000-0000C27E0000}"/>
    <cellStyle name="Normal 2 21 2 2" xfId="9757" xr:uid="{00000000-0005-0000-0000-0000C37E0000}"/>
    <cellStyle name="Normal 2 21 2 2 2" xfId="13378" xr:uid="{00000000-0005-0000-0000-0000C47E0000}"/>
    <cellStyle name="Normal 2 21 2 3" xfId="22853" xr:uid="{00000000-0005-0000-0000-0000C57E0000}"/>
    <cellStyle name="Normal 2 21 2 4" xfId="22854" xr:uid="{00000000-0005-0000-0000-0000C67E0000}"/>
    <cellStyle name="Normal 2 21 2 5" xfId="22855" xr:uid="{00000000-0005-0000-0000-0000C77E0000}"/>
    <cellStyle name="Normal 2 21 2 6" xfId="22856" xr:uid="{00000000-0005-0000-0000-0000C87E0000}"/>
    <cellStyle name="Normal 2 21 3" xfId="9756" xr:uid="{00000000-0005-0000-0000-0000C97E0000}"/>
    <cellStyle name="Normal 2 21 3 2" xfId="13377" xr:uid="{00000000-0005-0000-0000-0000CA7E0000}"/>
    <cellStyle name="Normal 2 21 3 3" xfId="38428" xr:uid="{00000000-0005-0000-0000-0000CB7E0000}"/>
    <cellStyle name="Normal 2 21 4" xfId="22857" xr:uid="{00000000-0005-0000-0000-0000CC7E0000}"/>
    <cellStyle name="Normal 2 21 5" xfId="22858" xr:uid="{00000000-0005-0000-0000-0000CD7E0000}"/>
    <cellStyle name="Normal 2 21 6" xfId="22859" xr:uid="{00000000-0005-0000-0000-0000CE7E0000}"/>
    <cellStyle name="Normal 2 21 7" xfId="22860" xr:uid="{00000000-0005-0000-0000-0000CF7E0000}"/>
    <cellStyle name="Normal 2 22" xfId="3641" xr:uid="{00000000-0005-0000-0000-0000D07E0000}"/>
    <cellStyle name="Normal 2 22 2" xfId="5420" xr:uid="{00000000-0005-0000-0000-0000D17E0000}"/>
    <cellStyle name="Normal 2 22 2 2" xfId="9759" xr:uid="{00000000-0005-0000-0000-0000D27E0000}"/>
    <cellStyle name="Normal 2 22 2 2 2" xfId="13380" xr:uid="{00000000-0005-0000-0000-0000D37E0000}"/>
    <cellStyle name="Normal 2 22 2 3" xfId="22861" xr:uid="{00000000-0005-0000-0000-0000D47E0000}"/>
    <cellStyle name="Normal 2 22 2 4" xfId="22862" xr:uid="{00000000-0005-0000-0000-0000D57E0000}"/>
    <cellStyle name="Normal 2 22 2 5" xfId="22863" xr:uid="{00000000-0005-0000-0000-0000D67E0000}"/>
    <cellStyle name="Normal 2 22 2 6" xfId="22864" xr:uid="{00000000-0005-0000-0000-0000D77E0000}"/>
    <cellStyle name="Normal 2 22 3" xfId="9758" xr:uid="{00000000-0005-0000-0000-0000D87E0000}"/>
    <cellStyle name="Normal 2 22 3 2" xfId="13379" xr:uid="{00000000-0005-0000-0000-0000D97E0000}"/>
    <cellStyle name="Normal 2 22 3 3" xfId="38429" xr:uid="{00000000-0005-0000-0000-0000DA7E0000}"/>
    <cellStyle name="Normal 2 22 4" xfId="22865" xr:uid="{00000000-0005-0000-0000-0000DB7E0000}"/>
    <cellStyle name="Normal 2 22 5" xfId="22866" xr:uid="{00000000-0005-0000-0000-0000DC7E0000}"/>
    <cellStyle name="Normal 2 22 6" xfId="22867" xr:uid="{00000000-0005-0000-0000-0000DD7E0000}"/>
    <cellStyle name="Normal 2 22 7" xfId="22868" xr:uid="{00000000-0005-0000-0000-0000DE7E0000}"/>
    <cellStyle name="Normal 2 23" xfId="3642" xr:uid="{00000000-0005-0000-0000-0000DF7E0000}"/>
    <cellStyle name="Normal 2 23 2" xfId="5421" xr:uid="{00000000-0005-0000-0000-0000E07E0000}"/>
    <cellStyle name="Normal 2 23 2 2" xfId="9761" xr:uid="{00000000-0005-0000-0000-0000E17E0000}"/>
    <cellStyle name="Normal 2 23 2 2 2" xfId="13382" xr:uid="{00000000-0005-0000-0000-0000E27E0000}"/>
    <cellStyle name="Normal 2 23 2 3" xfId="22869" xr:uid="{00000000-0005-0000-0000-0000E37E0000}"/>
    <cellStyle name="Normal 2 23 2 4" xfId="22870" xr:uid="{00000000-0005-0000-0000-0000E47E0000}"/>
    <cellStyle name="Normal 2 23 2 5" xfId="22871" xr:uid="{00000000-0005-0000-0000-0000E57E0000}"/>
    <cellStyle name="Normal 2 23 2 6" xfId="22872" xr:uid="{00000000-0005-0000-0000-0000E67E0000}"/>
    <cellStyle name="Normal 2 23 3" xfId="9760" xr:uid="{00000000-0005-0000-0000-0000E77E0000}"/>
    <cellStyle name="Normal 2 23 3 2" xfId="13381" xr:uid="{00000000-0005-0000-0000-0000E87E0000}"/>
    <cellStyle name="Normal 2 23 3 3" xfId="38430" xr:uid="{00000000-0005-0000-0000-0000E97E0000}"/>
    <cellStyle name="Normal 2 23 4" xfId="22873" xr:uid="{00000000-0005-0000-0000-0000EA7E0000}"/>
    <cellStyle name="Normal 2 23 5" xfId="22874" xr:uid="{00000000-0005-0000-0000-0000EB7E0000}"/>
    <cellStyle name="Normal 2 23 6" xfId="22875" xr:uid="{00000000-0005-0000-0000-0000EC7E0000}"/>
    <cellStyle name="Normal 2 23 7" xfId="22876" xr:uid="{00000000-0005-0000-0000-0000ED7E0000}"/>
    <cellStyle name="Normal 2 24" xfId="3643" xr:uid="{00000000-0005-0000-0000-0000EE7E0000}"/>
    <cellStyle name="Normal 2 24 10" xfId="22877" xr:uid="{00000000-0005-0000-0000-0000EF7E0000}"/>
    <cellStyle name="Normal 2 24 2" xfId="6714" xr:uid="{00000000-0005-0000-0000-0000F07E0000}"/>
    <cellStyle name="Normal 2 24 2 2" xfId="9763" xr:uid="{00000000-0005-0000-0000-0000F17E0000}"/>
    <cellStyle name="Normal 2 24 2 2 2" xfId="13384" xr:uid="{00000000-0005-0000-0000-0000F27E0000}"/>
    <cellStyle name="Normal 2 24 2 3" xfId="22878" xr:uid="{00000000-0005-0000-0000-0000F37E0000}"/>
    <cellStyle name="Normal 2 24 2 4" xfId="22879" xr:uid="{00000000-0005-0000-0000-0000F47E0000}"/>
    <cellStyle name="Normal 2 24 2 5" xfId="22880" xr:uid="{00000000-0005-0000-0000-0000F57E0000}"/>
    <cellStyle name="Normal 2 24 2 6" xfId="22881" xr:uid="{00000000-0005-0000-0000-0000F67E0000}"/>
    <cellStyle name="Normal 2 24 3" xfId="7543" xr:uid="{00000000-0005-0000-0000-0000F77E0000}"/>
    <cellStyle name="Normal 2 24 3 2" xfId="9764" xr:uid="{00000000-0005-0000-0000-0000F87E0000}"/>
    <cellStyle name="Normal 2 24 3 2 2" xfId="13385" xr:uid="{00000000-0005-0000-0000-0000F97E0000}"/>
    <cellStyle name="Normal 2 24 3 3" xfId="22882" xr:uid="{00000000-0005-0000-0000-0000FA7E0000}"/>
    <cellStyle name="Normal 2 24 3 4" xfId="22883" xr:uid="{00000000-0005-0000-0000-0000FB7E0000}"/>
    <cellStyle name="Normal 2 24 3 5" xfId="22884" xr:uid="{00000000-0005-0000-0000-0000FC7E0000}"/>
    <cellStyle name="Normal 2 24 3 6" xfId="22885" xr:uid="{00000000-0005-0000-0000-0000FD7E0000}"/>
    <cellStyle name="Normal 2 24 4" xfId="8486" xr:uid="{00000000-0005-0000-0000-0000FE7E0000}"/>
    <cellStyle name="Normal 2 24 4 2" xfId="9765" xr:uid="{00000000-0005-0000-0000-0000FF7E0000}"/>
    <cellStyle name="Normal 2 24 4 2 2" xfId="13386" xr:uid="{00000000-0005-0000-0000-0000007F0000}"/>
    <cellStyle name="Normal 2 24 4 3" xfId="22886" xr:uid="{00000000-0005-0000-0000-0000017F0000}"/>
    <cellStyle name="Normal 2 24 4 4" xfId="22887" xr:uid="{00000000-0005-0000-0000-0000027F0000}"/>
    <cellStyle name="Normal 2 24 4 5" xfId="22888" xr:uid="{00000000-0005-0000-0000-0000037F0000}"/>
    <cellStyle name="Normal 2 24 4 6" xfId="22889" xr:uid="{00000000-0005-0000-0000-0000047F0000}"/>
    <cellStyle name="Normal 2 24 5" xfId="8267" xr:uid="{00000000-0005-0000-0000-0000057F0000}"/>
    <cellStyle name="Normal 2 24 5 2" xfId="9766" xr:uid="{00000000-0005-0000-0000-0000067F0000}"/>
    <cellStyle name="Normal 2 24 5 2 2" xfId="13387" xr:uid="{00000000-0005-0000-0000-0000077F0000}"/>
    <cellStyle name="Normal 2 24 5 3" xfId="12464" xr:uid="{00000000-0005-0000-0000-0000087F0000}"/>
    <cellStyle name="Normal 2 24 6" xfId="9762" xr:uid="{00000000-0005-0000-0000-0000097F0000}"/>
    <cellStyle name="Normal 2 24 6 2" xfId="13383" xr:uid="{00000000-0005-0000-0000-00000A7F0000}"/>
    <cellStyle name="Normal 2 24 7" xfId="22890" xr:uid="{00000000-0005-0000-0000-00000B7F0000}"/>
    <cellStyle name="Normal 2 24 8" xfId="22891" xr:uid="{00000000-0005-0000-0000-00000C7F0000}"/>
    <cellStyle name="Normal 2 24 9" xfId="22892" xr:uid="{00000000-0005-0000-0000-00000D7F0000}"/>
    <cellStyle name="Normal 2 25" xfId="3644" xr:uid="{00000000-0005-0000-0000-00000E7F0000}"/>
    <cellStyle name="Normal 2 25 10" xfId="22893" xr:uid="{00000000-0005-0000-0000-00000F7F0000}"/>
    <cellStyle name="Normal 2 25 2" xfId="6715" xr:uid="{00000000-0005-0000-0000-0000107F0000}"/>
    <cellStyle name="Normal 2 25 2 2" xfId="9768" xr:uid="{00000000-0005-0000-0000-0000117F0000}"/>
    <cellStyle name="Normal 2 25 2 2 2" xfId="13389" xr:uid="{00000000-0005-0000-0000-0000127F0000}"/>
    <cellStyle name="Normal 2 25 2 3" xfId="22894" xr:uid="{00000000-0005-0000-0000-0000137F0000}"/>
    <cellStyle name="Normal 2 25 2 4" xfId="22895" xr:uid="{00000000-0005-0000-0000-0000147F0000}"/>
    <cellStyle name="Normal 2 25 2 5" xfId="22896" xr:uid="{00000000-0005-0000-0000-0000157F0000}"/>
    <cellStyle name="Normal 2 25 2 6" xfId="22897" xr:uid="{00000000-0005-0000-0000-0000167F0000}"/>
    <cellStyle name="Normal 2 25 3" xfId="7544" xr:uid="{00000000-0005-0000-0000-0000177F0000}"/>
    <cellStyle name="Normal 2 25 3 2" xfId="9769" xr:uid="{00000000-0005-0000-0000-0000187F0000}"/>
    <cellStyle name="Normal 2 25 3 2 2" xfId="13390" xr:uid="{00000000-0005-0000-0000-0000197F0000}"/>
    <cellStyle name="Normal 2 25 3 3" xfId="22898" xr:uid="{00000000-0005-0000-0000-00001A7F0000}"/>
    <cellStyle name="Normal 2 25 3 4" xfId="22899" xr:uid="{00000000-0005-0000-0000-00001B7F0000}"/>
    <cellStyle name="Normal 2 25 3 5" xfId="22900" xr:uid="{00000000-0005-0000-0000-00001C7F0000}"/>
    <cellStyle name="Normal 2 25 3 6" xfId="22901" xr:uid="{00000000-0005-0000-0000-00001D7F0000}"/>
    <cellStyle name="Normal 2 25 4" xfId="8487" xr:uid="{00000000-0005-0000-0000-00001E7F0000}"/>
    <cellStyle name="Normal 2 25 4 2" xfId="9770" xr:uid="{00000000-0005-0000-0000-00001F7F0000}"/>
    <cellStyle name="Normal 2 25 4 2 2" xfId="13391" xr:uid="{00000000-0005-0000-0000-0000207F0000}"/>
    <cellStyle name="Normal 2 25 4 3" xfId="22902" xr:uid="{00000000-0005-0000-0000-0000217F0000}"/>
    <cellStyle name="Normal 2 25 4 4" xfId="22903" xr:uid="{00000000-0005-0000-0000-0000227F0000}"/>
    <cellStyle name="Normal 2 25 4 5" xfId="22904" xr:uid="{00000000-0005-0000-0000-0000237F0000}"/>
    <cellStyle name="Normal 2 25 4 6" xfId="22905" xr:uid="{00000000-0005-0000-0000-0000247F0000}"/>
    <cellStyle name="Normal 2 25 5" xfId="8268" xr:uid="{00000000-0005-0000-0000-0000257F0000}"/>
    <cellStyle name="Normal 2 25 5 2" xfId="9771" xr:uid="{00000000-0005-0000-0000-0000267F0000}"/>
    <cellStyle name="Normal 2 25 5 2 2" xfId="13392" xr:uid="{00000000-0005-0000-0000-0000277F0000}"/>
    <cellStyle name="Normal 2 25 5 3" xfId="12465" xr:uid="{00000000-0005-0000-0000-0000287F0000}"/>
    <cellStyle name="Normal 2 25 6" xfId="9767" xr:uid="{00000000-0005-0000-0000-0000297F0000}"/>
    <cellStyle name="Normal 2 25 6 2" xfId="13388" xr:uid="{00000000-0005-0000-0000-00002A7F0000}"/>
    <cellStyle name="Normal 2 25 7" xfId="22906" xr:uid="{00000000-0005-0000-0000-00002B7F0000}"/>
    <cellStyle name="Normal 2 25 8" xfId="22907" xr:uid="{00000000-0005-0000-0000-00002C7F0000}"/>
    <cellStyle name="Normal 2 25 9" xfId="22908" xr:uid="{00000000-0005-0000-0000-00002D7F0000}"/>
    <cellStyle name="Normal 2 26" xfId="3645" xr:uid="{00000000-0005-0000-0000-00002E7F0000}"/>
    <cellStyle name="Normal 2 26 2" xfId="7545" xr:uid="{00000000-0005-0000-0000-00002F7F0000}"/>
    <cellStyle name="Normal 2 26 2 2" xfId="8629" xr:uid="{00000000-0005-0000-0000-0000307F0000}"/>
    <cellStyle name="Normal 2 26 2 2 2" xfId="9774" xr:uid="{00000000-0005-0000-0000-0000317F0000}"/>
    <cellStyle name="Normal 2 26 2 2 2 2" xfId="13395" xr:uid="{00000000-0005-0000-0000-0000327F0000}"/>
    <cellStyle name="Normal 2 26 2 2 3" xfId="22909" xr:uid="{00000000-0005-0000-0000-0000337F0000}"/>
    <cellStyle name="Normal 2 26 2 2 4" xfId="22910" xr:uid="{00000000-0005-0000-0000-0000347F0000}"/>
    <cellStyle name="Normal 2 26 2 2 5" xfId="22911" xr:uid="{00000000-0005-0000-0000-0000357F0000}"/>
    <cellStyle name="Normal 2 26 2 2 6" xfId="22912" xr:uid="{00000000-0005-0000-0000-0000367F0000}"/>
    <cellStyle name="Normal 2 26 2 3" xfId="8269" xr:uid="{00000000-0005-0000-0000-0000377F0000}"/>
    <cellStyle name="Normal 2 26 2 3 2" xfId="9775" xr:uid="{00000000-0005-0000-0000-0000387F0000}"/>
    <cellStyle name="Normal 2 26 2 3 2 2" xfId="13396" xr:uid="{00000000-0005-0000-0000-0000397F0000}"/>
    <cellStyle name="Normal 2 26 2 3 3" xfId="22913" xr:uid="{00000000-0005-0000-0000-00003A7F0000}"/>
    <cellStyle name="Normal 2 26 2 3 4" xfId="22914" xr:uid="{00000000-0005-0000-0000-00003B7F0000}"/>
    <cellStyle name="Normal 2 26 2 3 5" xfId="22915" xr:uid="{00000000-0005-0000-0000-00003C7F0000}"/>
    <cellStyle name="Normal 2 26 2 3 6" xfId="22916" xr:uid="{00000000-0005-0000-0000-00003D7F0000}"/>
    <cellStyle name="Normal 2 26 2 4" xfId="9773" xr:uid="{00000000-0005-0000-0000-00003E7F0000}"/>
    <cellStyle name="Normal 2 26 2 4 2" xfId="13394" xr:uid="{00000000-0005-0000-0000-00003F7F0000}"/>
    <cellStyle name="Normal 2 26 2 5" xfId="22917" xr:uid="{00000000-0005-0000-0000-0000407F0000}"/>
    <cellStyle name="Normal 2 26 2 6" xfId="22918" xr:uid="{00000000-0005-0000-0000-0000417F0000}"/>
    <cellStyle name="Normal 2 26 2 7" xfId="22919" xr:uid="{00000000-0005-0000-0000-0000427F0000}"/>
    <cellStyle name="Normal 2 26 2 8" xfId="22920" xr:uid="{00000000-0005-0000-0000-0000437F0000}"/>
    <cellStyle name="Normal 2 26 3" xfId="9772" xr:uid="{00000000-0005-0000-0000-0000447F0000}"/>
    <cellStyle name="Normal 2 26 3 2" xfId="13393" xr:uid="{00000000-0005-0000-0000-0000457F0000}"/>
    <cellStyle name="Normal 2 26 4" xfId="22921" xr:uid="{00000000-0005-0000-0000-0000467F0000}"/>
    <cellStyle name="Normal 2 26 5" xfId="22922" xr:uid="{00000000-0005-0000-0000-0000477F0000}"/>
    <cellStyle name="Normal 2 26 6" xfId="22923" xr:uid="{00000000-0005-0000-0000-0000487F0000}"/>
    <cellStyle name="Normal 2 26 7" xfId="22924" xr:uid="{00000000-0005-0000-0000-0000497F0000}"/>
    <cellStyle name="Normal 2 27" xfId="3604" xr:uid="{00000000-0005-0000-0000-00004A7F0000}"/>
    <cellStyle name="Normal 2 27 2" xfId="7546" xr:uid="{00000000-0005-0000-0000-00004B7F0000}"/>
    <cellStyle name="Normal 2 27 2 2" xfId="8630" xr:uid="{00000000-0005-0000-0000-00004C7F0000}"/>
    <cellStyle name="Normal 2 27 2 2 2" xfId="9778" xr:uid="{00000000-0005-0000-0000-00004D7F0000}"/>
    <cellStyle name="Normal 2 27 2 2 2 2" xfId="13399" xr:uid="{00000000-0005-0000-0000-00004E7F0000}"/>
    <cellStyle name="Normal 2 27 2 2 3" xfId="12635" xr:uid="{00000000-0005-0000-0000-00004F7F0000}"/>
    <cellStyle name="Normal 2 27 2 3" xfId="9777" xr:uid="{00000000-0005-0000-0000-0000507F0000}"/>
    <cellStyle name="Normal 2 27 2 3 2" xfId="13398" xr:uid="{00000000-0005-0000-0000-0000517F0000}"/>
    <cellStyle name="Normal 2 27 2 4" xfId="12349" xr:uid="{00000000-0005-0000-0000-0000527F0000}"/>
    <cellStyle name="Normal 2 27 2 5" xfId="38416" xr:uid="{00000000-0005-0000-0000-0000537F0000}"/>
    <cellStyle name="Normal 2 27 3" xfId="8407" xr:uid="{00000000-0005-0000-0000-0000547F0000}"/>
    <cellStyle name="Normal 2 27 3 2" xfId="9779" xr:uid="{00000000-0005-0000-0000-0000557F0000}"/>
    <cellStyle name="Normal 2 27 3 2 2" xfId="13400" xr:uid="{00000000-0005-0000-0000-0000567F0000}"/>
    <cellStyle name="Normal 2 27 3 3" xfId="22925" xr:uid="{00000000-0005-0000-0000-0000577F0000}"/>
    <cellStyle name="Normal 2 27 3 4" xfId="22926" xr:uid="{00000000-0005-0000-0000-0000587F0000}"/>
    <cellStyle name="Normal 2 27 3 5" xfId="22927" xr:uid="{00000000-0005-0000-0000-0000597F0000}"/>
    <cellStyle name="Normal 2 27 3 6" xfId="22928" xr:uid="{00000000-0005-0000-0000-00005A7F0000}"/>
    <cellStyle name="Normal 2 27 4" xfId="9776" xr:uid="{00000000-0005-0000-0000-00005B7F0000}"/>
    <cellStyle name="Normal 2 27 4 2" xfId="13397" xr:uid="{00000000-0005-0000-0000-00005C7F0000}"/>
    <cellStyle name="Normal 2 27 5" xfId="22929" xr:uid="{00000000-0005-0000-0000-00005D7F0000}"/>
    <cellStyle name="Normal 2 27 6" xfId="22930" xr:uid="{00000000-0005-0000-0000-00005E7F0000}"/>
    <cellStyle name="Normal 2 27 7" xfId="22931" xr:uid="{00000000-0005-0000-0000-00005F7F0000}"/>
    <cellStyle name="Normal 2 27 8" xfId="22932" xr:uid="{00000000-0005-0000-0000-0000607F0000}"/>
    <cellStyle name="Normal 2 28" xfId="4777" xr:uid="{00000000-0005-0000-0000-0000617F0000}"/>
    <cellStyle name="Normal 2 28 2" xfId="6012" xr:uid="{00000000-0005-0000-0000-0000627F0000}"/>
    <cellStyle name="Normal 2 28 2 2" xfId="9781" xr:uid="{00000000-0005-0000-0000-0000637F0000}"/>
    <cellStyle name="Normal 2 28 2 2 2" xfId="13402" xr:uid="{00000000-0005-0000-0000-0000647F0000}"/>
    <cellStyle name="Normal 2 28 2 3" xfId="12636" xr:uid="{00000000-0005-0000-0000-0000657F0000}"/>
    <cellStyle name="Normal 2 28 2 4" xfId="8631" xr:uid="{00000000-0005-0000-0000-0000667F0000}"/>
    <cellStyle name="Normal 2 28 3" xfId="6333" xr:uid="{00000000-0005-0000-0000-0000677F0000}"/>
    <cellStyle name="Normal 2 28 3 2" xfId="13401" xr:uid="{00000000-0005-0000-0000-0000687F0000}"/>
    <cellStyle name="Normal 2 28 3 3" xfId="9780" xr:uid="{00000000-0005-0000-0000-0000697F0000}"/>
    <cellStyle name="Normal 2 28 4" xfId="12350" xr:uid="{00000000-0005-0000-0000-00006A7F0000}"/>
    <cellStyle name="Normal 2 28 5" xfId="7547" xr:uid="{00000000-0005-0000-0000-00006B7F0000}"/>
    <cellStyle name="Normal 2 29" xfId="5696" xr:uid="{00000000-0005-0000-0000-00006C7F0000}"/>
    <cellStyle name="Normal 2 29 2" xfId="8632" xr:uid="{00000000-0005-0000-0000-00006D7F0000}"/>
    <cellStyle name="Normal 2 29 2 2" xfId="9783" xr:uid="{00000000-0005-0000-0000-00006E7F0000}"/>
    <cellStyle name="Normal 2 29 2 2 2" xfId="13404" xr:uid="{00000000-0005-0000-0000-00006F7F0000}"/>
    <cellStyle name="Normal 2 29 2 3" xfId="12637" xr:uid="{00000000-0005-0000-0000-0000707F0000}"/>
    <cellStyle name="Normal 2 29 2 4" xfId="39213" xr:uid="{00000000-0005-0000-0000-0000717F0000}"/>
    <cellStyle name="Normal 2 29 3" xfId="9782" xr:uid="{00000000-0005-0000-0000-0000727F0000}"/>
    <cellStyle name="Normal 2 29 3 2" xfId="13403" xr:uid="{00000000-0005-0000-0000-0000737F0000}"/>
    <cellStyle name="Normal 2 29 4" xfId="12351" xr:uid="{00000000-0005-0000-0000-0000747F0000}"/>
    <cellStyle name="Normal 2 29 5" xfId="7548" xr:uid="{00000000-0005-0000-0000-0000757F0000}"/>
    <cellStyle name="Normal 2 3" xfId="1568" xr:uid="{00000000-0005-0000-0000-0000767F0000}"/>
    <cellStyle name="Normal 2 3 2" xfId="1569" xr:uid="{00000000-0005-0000-0000-0000777F0000}"/>
    <cellStyle name="Normal 2 3 2 10" xfId="22933" xr:uid="{00000000-0005-0000-0000-0000787F0000}"/>
    <cellStyle name="Normal 2 3 2 11" xfId="22934" xr:uid="{00000000-0005-0000-0000-0000797F0000}"/>
    <cellStyle name="Normal 2 3 2 2" xfId="3646" xr:uid="{00000000-0005-0000-0000-00007A7F0000}"/>
    <cellStyle name="Normal 2 3 2 2 10" xfId="22935" xr:uid="{00000000-0005-0000-0000-00007B7F0000}"/>
    <cellStyle name="Normal 2 3 2 2 2" xfId="6716" xr:uid="{00000000-0005-0000-0000-00007C7F0000}"/>
    <cellStyle name="Normal 2 3 2 2 2 2" xfId="8576" xr:uid="{00000000-0005-0000-0000-00007D7F0000}"/>
    <cellStyle name="Normal 2 3 2 2 2 2 2" xfId="9788" xr:uid="{00000000-0005-0000-0000-00007E7F0000}"/>
    <cellStyle name="Normal 2 3 2 2 2 2 2 2" xfId="13409" xr:uid="{00000000-0005-0000-0000-00007F7F0000}"/>
    <cellStyle name="Normal 2 3 2 2 2 2 3" xfId="22936" xr:uid="{00000000-0005-0000-0000-0000807F0000}"/>
    <cellStyle name="Normal 2 3 2 2 2 2 4" xfId="22937" xr:uid="{00000000-0005-0000-0000-0000817F0000}"/>
    <cellStyle name="Normal 2 3 2 2 2 2 5" xfId="22938" xr:uid="{00000000-0005-0000-0000-0000827F0000}"/>
    <cellStyle name="Normal 2 3 2 2 2 2 6" xfId="22939" xr:uid="{00000000-0005-0000-0000-0000837F0000}"/>
    <cellStyle name="Normal 2 3 2 2 2 3" xfId="8272" xr:uid="{00000000-0005-0000-0000-0000847F0000}"/>
    <cellStyle name="Normal 2 3 2 2 2 3 2" xfId="9789" xr:uid="{00000000-0005-0000-0000-0000857F0000}"/>
    <cellStyle name="Normal 2 3 2 2 2 3 2 2" xfId="13410" xr:uid="{00000000-0005-0000-0000-0000867F0000}"/>
    <cellStyle name="Normal 2 3 2 2 2 3 3" xfId="12467" xr:uid="{00000000-0005-0000-0000-0000877F0000}"/>
    <cellStyle name="Normal 2 3 2 2 2 4" xfId="9787" xr:uid="{00000000-0005-0000-0000-0000887F0000}"/>
    <cellStyle name="Normal 2 3 2 2 2 4 2" xfId="13408" xr:uid="{00000000-0005-0000-0000-0000897F0000}"/>
    <cellStyle name="Normal 2 3 2 2 2 5" xfId="22940" xr:uid="{00000000-0005-0000-0000-00008A7F0000}"/>
    <cellStyle name="Normal 2 3 2 2 2 6" xfId="22941" xr:uid="{00000000-0005-0000-0000-00008B7F0000}"/>
    <cellStyle name="Normal 2 3 2 2 2 7" xfId="22942" xr:uid="{00000000-0005-0000-0000-00008C7F0000}"/>
    <cellStyle name="Normal 2 3 2 2 2 8" xfId="22943" xr:uid="{00000000-0005-0000-0000-00008D7F0000}"/>
    <cellStyle name="Normal 2 3 2 2 3" xfId="8488" xr:uid="{00000000-0005-0000-0000-00008E7F0000}"/>
    <cellStyle name="Normal 2 3 2 2 3 2" xfId="9790" xr:uid="{00000000-0005-0000-0000-00008F7F0000}"/>
    <cellStyle name="Normal 2 3 2 2 3 2 2" xfId="13411" xr:uid="{00000000-0005-0000-0000-0000907F0000}"/>
    <cellStyle name="Normal 2 3 2 2 3 3" xfId="22944" xr:uid="{00000000-0005-0000-0000-0000917F0000}"/>
    <cellStyle name="Normal 2 3 2 2 3 4" xfId="22945" xr:uid="{00000000-0005-0000-0000-0000927F0000}"/>
    <cellStyle name="Normal 2 3 2 2 3 5" xfId="22946" xr:uid="{00000000-0005-0000-0000-0000937F0000}"/>
    <cellStyle name="Normal 2 3 2 2 3 6" xfId="22947" xr:uid="{00000000-0005-0000-0000-0000947F0000}"/>
    <cellStyle name="Normal 2 3 2 2 4" xfId="8271" xr:uid="{00000000-0005-0000-0000-0000957F0000}"/>
    <cellStyle name="Normal 2 3 2 2 4 2" xfId="9791" xr:uid="{00000000-0005-0000-0000-0000967F0000}"/>
    <cellStyle name="Normal 2 3 2 2 4 2 2" xfId="13412" xr:uid="{00000000-0005-0000-0000-0000977F0000}"/>
    <cellStyle name="Normal 2 3 2 2 4 3" xfId="22948" xr:uid="{00000000-0005-0000-0000-0000987F0000}"/>
    <cellStyle name="Normal 2 3 2 2 4 4" xfId="22949" xr:uid="{00000000-0005-0000-0000-0000997F0000}"/>
    <cellStyle name="Normal 2 3 2 2 4 5" xfId="22950" xr:uid="{00000000-0005-0000-0000-00009A7F0000}"/>
    <cellStyle name="Normal 2 3 2 2 4 6" xfId="22951" xr:uid="{00000000-0005-0000-0000-00009B7F0000}"/>
    <cellStyle name="Normal 2 3 2 2 5" xfId="9792" xr:uid="{00000000-0005-0000-0000-00009C7F0000}"/>
    <cellStyle name="Normal 2 3 2 2 5 2" xfId="13413" xr:uid="{00000000-0005-0000-0000-00009D7F0000}"/>
    <cellStyle name="Normal 2 3 2 2 6" xfId="9786" xr:uid="{00000000-0005-0000-0000-00009E7F0000}"/>
    <cellStyle name="Normal 2 3 2 2 6 2" xfId="13407" xr:uid="{00000000-0005-0000-0000-00009F7F0000}"/>
    <cellStyle name="Normal 2 3 2 2 7" xfId="22952" xr:uid="{00000000-0005-0000-0000-0000A07F0000}"/>
    <cellStyle name="Normal 2 3 2 2 8" xfId="22953" xr:uid="{00000000-0005-0000-0000-0000A17F0000}"/>
    <cellStyle name="Normal 2 3 2 2 9" xfId="22954" xr:uid="{00000000-0005-0000-0000-0000A27F0000}"/>
    <cellStyle name="Normal 2 3 2 3" xfId="3647" xr:uid="{00000000-0005-0000-0000-0000A37F0000}"/>
    <cellStyle name="Normal 2 3 2 3 2" xfId="6717" xr:uid="{00000000-0005-0000-0000-0000A47F0000}"/>
    <cellStyle name="Normal 2 3 2 3 2 2" xfId="9794" xr:uid="{00000000-0005-0000-0000-0000A57F0000}"/>
    <cellStyle name="Normal 2 3 2 3 2 2 2" xfId="13415" xr:uid="{00000000-0005-0000-0000-0000A67F0000}"/>
    <cellStyle name="Normal 2 3 2 3 2 3" xfId="22955" xr:uid="{00000000-0005-0000-0000-0000A77F0000}"/>
    <cellStyle name="Normal 2 3 2 3 2 4" xfId="22956" xr:uid="{00000000-0005-0000-0000-0000A87F0000}"/>
    <cellStyle name="Normal 2 3 2 3 2 5" xfId="22957" xr:uid="{00000000-0005-0000-0000-0000A97F0000}"/>
    <cellStyle name="Normal 2 3 2 3 2 6" xfId="22958" xr:uid="{00000000-0005-0000-0000-0000AA7F0000}"/>
    <cellStyle name="Normal 2 3 2 3 3" xfId="8489" xr:uid="{00000000-0005-0000-0000-0000AB7F0000}"/>
    <cellStyle name="Normal 2 3 2 3 3 2" xfId="9795" xr:uid="{00000000-0005-0000-0000-0000AC7F0000}"/>
    <cellStyle name="Normal 2 3 2 3 3 2 2" xfId="13416" xr:uid="{00000000-0005-0000-0000-0000AD7F0000}"/>
    <cellStyle name="Normal 2 3 2 3 3 3" xfId="22959" xr:uid="{00000000-0005-0000-0000-0000AE7F0000}"/>
    <cellStyle name="Normal 2 3 2 3 3 4" xfId="22960" xr:uid="{00000000-0005-0000-0000-0000AF7F0000}"/>
    <cellStyle name="Normal 2 3 2 3 3 5" xfId="22961" xr:uid="{00000000-0005-0000-0000-0000B07F0000}"/>
    <cellStyle name="Normal 2 3 2 3 3 6" xfId="22962" xr:uid="{00000000-0005-0000-0000-0000B17F0000}"/>
    <cellStyle name="Normal 2 3 2 3 4" xfId="8273" xr:uid="{00000000-0005-0000-0000-0000B27F0000}"/>
    <cellStyle name="Normal 2 3 2 3 4 2" xfId="9796" xr:uid="{00000000-0005-0000-0000-0000B37F0000}"/>
    <cellStyle name="Normal 2 3 2 3 4 2 2" xfId="13417" xr:uid="{00000000-0005-0000-0000-0000B47F0000}"/>
    <cellStyle name="Normal 2 3 2 3 4 3" xfId="12468" xr:uid="{00000000-0005-0000-0000-0000B57F0000}"/>
    <cellStyle name="Normal 2 3 2 3 5" xfId="9793" xr:uid="{00000000-0005-0000-0000-0000B67F0000}"/>
    <cellStyle name="Normal 2 3 2 3 5 2" xfId="13414" xr:uid="{00000000-0005-0000-0000-0000B77F0000}"/>
    <cellStyle name="Normal 2 3 2 3 6" xfId="22963" xr:uid="{00000000-0005-0000-0000-0000B87F0000}"/>
    <cellStyle name="Normal 2 3 2 3 7" xfId="22964" xr:uid="{00000000-0005-0000-0000-0000B97F0000}"/>
    <cellStyle name="Normal 2 3 2 3 8" xfId="22965" xr:uid="{00000000-0005-0000-0000-0000BA7F0000}"/>
    <cellStyle name="Normal 2 3 2 3 9" xfId="22966" xr:uid="{00000000-0005-0000-0000-0000BB7F0000}"/>
    <cellStyle name="Normal 2 3 2 4" xfId="3648" xr:uid="{00000000-0005-0000-0000-0000BC7F0000}"/>
    <cellStyle name="Normal 2 3 2 4 2" xfId="5422" xr:uid="{00000000-0005-0000-0000-0000BD7F0000}"/>
    <cellStyle name="Normal 2 3 2 4 2 2" xfId="9798" xr:uid="{00000000-0005-0000-0000-0000BE7F0000}"/>
    <cellStyle name="Normal 2 3 2 4 2 2 2" xfId="13419" xr:uid="{00000000-0005-0000-0000-0000BF7F0000}"/>
    <cellStyle name="Normal 2 3 2 4 2 3" xfId="22967" xr:uid="{00000000-0005-0000-0000-0000C07F0000}"/>
    <cellStyle name="Normal 2 3 2 4 2 4" xfId="22968" xr:uid="{00000000-0005-0000-0000-0000C17F0000}"/>
    <cellStyle name="Normal 2 3 2 4 2 5" xfId="22969" xr:uid="{00000000-0005-0000-0000-0000C27F0000}"/>
    <cellStyle name="Normal 2 3 2 4 2 6" xfId="22970" xr:uid="{00000000-0005-0000-0000-0000C37F0000}"/>
    <cellStyle name="Normal 2 3 2 4 3" xfId="8274" xr:uid="{00000000-0005-0000-0000-0000C47F0000}"/>
    <cellStyle name="Normal 2 3 2 4 3 2" xfId="9799" xr:uid="{00000000-0005-0000-0000-0000C57F0000}"/>
    <cellStyle name="Normal 2 3 2 4 3 2 2" xfId="13420" xr:uid="{00000000-0005-0000-0000-0000C67F0000}"/>
    <cellStyle name="Normal 2 3 2 4 3 3" xfId="22971" xr:uid="{00000000-0005-0000-0000-0000C77F0000}"/>
    <cellStyle name="Normal 2 3 2 4 3 4" xfId="22972" xr:uid="{00000000-0005-0000-0000-0000C87F0000}"/>
    <cellStyle name="Normal 2 3 2 4 3 5" xfId="22973" xr:uid="{00000000-0005-0000-0000-0000C97F0000}"/>
    <cellStyle name="Normal 2 3 2 4 3 6" xfId="22974" xr:uid="{00000000-0005-0000-0000-0000CA7F0000}"/>
    <cellStyle name="Normal 2 3 2 4 3 7" xfId="38431" xr:uid="{00000000-0005-0000-0000-0000CB7F0000}"/>
    <cellStyle name="Normal 2 3 2 4 4" xfId="9797" xr:uid="{00000000-0005-0000-0000-0000CC7F0000}"/>
    <cellStyle name="Normal 2 3 2 4 4 2" xfId="13418" xr:uid="{00000000-0005-0000-0000-0000CD7F0000}"/>
    <cellStyle name="Normal 2 3 2 4 5" xfId="22975" xr:uid="{00000000-0005-0000-0000-0000CE7F0000}"/>
    <cellStyle name="Normal 2 3 2 4 6" xfId="22976" xr:uid="{00000000-0005-0000-0000-0000CF7F0000}"/>
    <cellStyle name="Normal 2 3 2 4 7" xfId="22977" xr:uid="{00000000-0005-0000-0000-0000D07F0000}"/>
    <cellStyle name="Normal 2 3 2 4 8" xfId="22978" xr:uid="{00000000-0005-0000-0000-0000D17F0000}"/>
    <cellStyle name="Normal 2 3 2 5" xfId="8270" xr:uid="{00000000-0005-0000-0000-0000D27F0000}"/>
    <cellStyle name="Normal 2 3 2 5 2" xfId="9800" xr:uid="{00000000-0005-0000-0000-0000D37F0000}"/>
    <cellStyle name="Normal 2 3 2 5 2 2" xfId="13421" xr:uid="{00000000-0005-0000-0000-0000D47F0000}"/>
    <cellStyle name="Normal 2 3 2 5 3" xfId="12466" xr:uid="{00000000-0005-0000-0000-0000D57F0000}"/>
    <cellStyle name="Normal 2 3 2 6" xfId="9785" xr:uid="{00000000-0005-0000-0000-0000D67F0000}"/>
    <cellStyle name="Normal 2 3 2 6 2" xfId="13406" xr:uid="{00000000-0005-0000-0000-0000D77F0000}"/>
    <cellStyle name="Normal 2 3 2 7" xfId="22979" xr:uid="{00000000-0005-0000-0000-0000D87F0000}"/>
    <cellStyle name="Normal 2 3 2 8" xfId="22980" xr:uid="{00000000-0005-0000-0000-0000D97F0000}"/>
    <cellStyle name="Normal 2 3 2 9" xfId="22981" xr:uid="{00000000-0005-0000-0000-0000DA7F0000}"/>
    <cellStyle name="Normal 2 3 2_TRA" xfId="3649" xr:uid="{00000000-0005-0000-0000-0000DB7F0000}"/>
    <cellStyle name="Normal 2 3 3" xfId="1570" xr:uid="{00000000-0005-0000-0000-0000DC7F0000}"/>
    <cellStyle name="Normal 2 3 3 10" xfId="22982" xr:uid="{00000000-0005-0000-0000-0000DD7F0000}"/>
    <cellStyle name="Normal 2 3 3 11" xfId="22983" xr:uid="{00000000-0005-0000-0000-0000DE7F0000}"/>
    <cellStyle name="Normal 2 3 3 2" xfId="3650" xr:uid="{00000000-0005-0000-0000-0000DF7F0000}"/>
    <cellStyle name="Normal 2 3 3 2 2" xfId="9802" xr:uid="{00000000-0005-0000-0000-0000E07F0000}"/>
    <cellStyle name="Normal 2 3 3 2 2 2" xfId="13423" xr:uid="{00000000-0005-0000-0000-0000E17F0000}"/>
    <cellStyle name="Normal 2 3 3 2 3" xfId="22984" xr:uid="{00000000-0005-0000-0000-0000E27F0000}"/>
    <cellStyle name="Normal 2 3 3 2 4" xfId="22985" xr:uid="{00000000-0005-0000-0000-0000E37F0000}"/>
    <cellStyle name="Normal 2 3 3 2 5" xfId="22986" xr:uid="{00000000-0005-0000-0000-0000E47F0000}"/>
    <cellStyle name="Normal 2 3 3 2 6" xfId="22987" xr:uid="{00000000-0005-0000-0000-0000E57F0000}"/>
    <cellStyle name="Normal 2 3 3 3" xfId="4788" xr:uid="{00000000-0005-0000-0000-0000E67F0000}"/>
    <cellStyle name="Normal 2 3 3 3 2" xfId="9803" xr:uid="{00000000-0005-0000-0000-0000E77F0000}"/>
    <cellStyle name="Normal 2 3 3 3 2 2" xfId="13424" xr:uid="{00000000-0005-0000-0000-0000E87F0000}"/>
    <cellStyle name="Normal 2 3 3 3 3" xfId="12509" xr:uid="{00000000-0005-0000-0000-0000E97F0000}"/>
    <cellStyle name="Normal 2 3 3 3 4" xfId="35771" xr:uid="{00000000-0005-0000-0000-0000EA7F0000}"/>
    <cellStyle name="Normal 2 3 3 3 5" xfId="8386" xr:uid="{00000000-0005-0000-0000-0000EB7F0000}"/>
    <cellStyle name="Normal 2 3 3 4" xfId="8275" xr:uid="{00000000-0005-0000-0000-0000EC7F0000}"/>
    <cellStyle name="Normal 2 3 3 4 2" xfId="9804" xr:uid="{00000000-0005-0000-0000-0000ED7F0000}"/>
    <cellStyle name="Normal 2 3 3 4 2 2" xfId="13425" xr:uid="{00000000-0005-0000-0000-0000EE7F0000}"/>
    <cellStyle name="Normal 2 3 3 4 3" xfId="22988" xr:uid="{00000000-0005-0000-0000-0000EF7F0000}"/>
    <cellStyle name="Normal 2 3 3 4 4" xfId="22989" xr:uid="{00000000-0005-0000-0000-0000F07F0000}"/>
    <cellStyle name="Normal 2 3 3 4 5" xfId="22990" xr:uid="{00000000-0005-0000-0000-0000F17F0000}"/>
    <cellStyle name="Normal 2 3 3 4 6" xfId="22991" xr:uid="{00000000-0005-0000-0000-0000F27F0000}"/>
    <cellStyle name="Normal 2 3 3 4 7" xfId="37833" xr:uid="{00000000-0005-0000-0000-0000F37F0000}"/>
    <cellStyle name="Normal 2 3 3 5" xfId="9805" xr:uid="{00000000-0005-0000-0000-0000F47F0000}"/>
    <cellStyle name="Normal 2 3 3 5 2" xfId="13426" xr:uid="{00000000-0005-0000-0000-0000F57F0000}"/>
    <cellStyle name="Normal 2 3 3 6" xfId="9801" xr:uid="{00000000-0005-0000-0000-0000F67F0000}"/>
    <cellStyle name="Normal 2 3 3 6 2" xfId="13422" xr:uid="{00000000-0005-0000-0000-0000F77F0000}"/>
    <cellStyle name="Normal 2 3 3 7" xfId="22992" xr:uid="{00000000-0005-0000-0000-0000F87F0000}"/>
    <cellStyle name="Normal 2 3 3 8" xfId="22993" xr:uid="{00000000-0005-0000-0000-0000F97F0000}"/>
    <cellStyle name="Normal 2 3 3 9" xfId="22994" xr:uid="{00000000-0005-0000-0000-0000FA7F0000}"/>
    <cellStyle name="Normal 2 3 4" xfId="1571" xr:uid="{00000000-0005-0000-0000-0000FB7F0000}"/>
    <cellStyle name="Normal 2 3 4 2" xfId="3652" xr:uid="{00000000-0005-0000-0000-0000FC7F0000}"/>
    <cellStyle name="Normal 2 3 4 2 2" xfId="5424" xr:uid="{00000000-0005-0000-0000-0000FD7F0000}"/>
    <cellStyle name="Normal 2 3 4 2 2 2" xfId="22996" xr:uid="{00000000-0005-0000-0000-0000FE7F0000}"/>
    <cellStyle name="Normal 2 3 4 2 2 3" xfId="22997" xr:uid="{00000000-0005-0000-0000-0000FF7F0000}"/>
    <cellStyle name="Normal 2 3 4 2 2 4" xfId="22998" xr:uid="{00000000-0005-0000-0000-000000800000}"/>
    <cellStyle name="Normal 2 3 4 2 2 5" xfId="22999" xr:uid="{00000000-0005-0000-0000-000001800000}"/>
    <cellStyle name="Normal 2 3 4 2 2 6" xfId="22995" xr:uid="{00000000-0005-0000-0000-000002800000}"/>
    <cellStyle name="Normal 2 3 4 2 3" xfId="13427" xr:uid="{00000000-0005-0000-0000-000003800000}"/>
    <cellStyle name="Normal 2 3 4 2 3 2" xfId="38433" xr:uid="{00000000-0005-0000-0000-000004800000}"/>
    <cellStyle name="Normal 2 3 4 2 4" xfId="9806" xr:uid="{00000000-0005-0000-0000-000005800000}"/>
    <cellStyle name="Normal 2 3 4 3" xfId="3651" xr:uid="{00000000-0005-0000-0000-000006800000}"/>
    <cellStyle name="Normal 2 3 4 3 2" xfId="5423" xr:uid="{00000000-0005-0000-0000-000007800000}"/>
    <cellStyle name="Normal 2 3 4 3 2 2" xfId="6145" xr:uid="{00000000-0005-0000-0000-000008800000}"/>
    <cellStyle name="Normal 2 3 4 3 2 2 2" xfId="41315" xr:uid="{00000000-0005-0000-0000-000009800000}"/>
    <cellStyle name="Normal 2 3 4 3 2 2 3" xfId="39732" xr:uid="{00000000-0005-0000-0000-00000A800000}"/>
    <cellStyle name="Normal 2 3 4 3 2 3" xfId="40457" xr:uid="{00000000-0005-0000-0000-00000B800000}"/>
    <cellStyle name="Normal 2 3 4 3 2 4" xfId="15194" xr:uid="{00000000-0005-0000-0000-00000C800000}"/>
    <cellStyle name="Normal 2 3 4 3 3" xfId="5830" xr:uid="{00000000-0005-0000-0000-00000D800000}"/>
    <cellStyle name="Normal 2 3 4 3 3 2" xfId="40153" xr:uid="{00000000-0005-0000-0000-00000E800000}"/>
    <cellStyle name="Normal 2 3 4 3 3 3" xfId="38432" xr:uid="{00000000-0005-0000-0000-00000F800000}"/>
    <cellStyle name="Normal 2 3 4 3 4" xfId="6465" xr:uid="{00000000-0005-0000-0000-000010800000}"/>
    <cellStyle name="Normal 2 3 4 3 4 2" xfId="40698" xr:uid="{00000000-0005-0000-0000-000011800000}"/>
    <cellStyle name="Normal 2 3 4 3 4 3" xfId="39131" xr:uid="{00000000-0005-0000-0000-000012800000}"/>
    <cellStyle name="Normal 2 3 4 3 5" xfId="39434" xr:uid="{00000000-0005-0000-0000-000013800000}"/>
    <cellStyle name="Normal 2 3 4 3 5 2" xfId="41005" xr:uid="{00000000-0005-0000-0000-000014800000}"/>
    <cellStyle name="Normal 2 3 4 3 6" xfId="39936" xr:uid="{00000000-0005-0000-0000-000015800000}"/>
    <cellStyle name="Normal 2 3 4 3 7" xfId="11570" xr:uid="{00000000-0005-0000-0000-000016800000}"/>
    <cellStyle name="Normal 2 3 4 4" xfId="4789" xr:uid="{00000000-0005-0000-0000-000017800000}"/>
    <cellStyle name="Normal 2 3 4 4 2" xfId="35772" xr:uid="{00000000-0005-0000-0000-000018800000}"/>
    <cellStyle name="Normal 2 3 4 4 3" xfId="23000" xr:uid="{00000000-0005-0000-0000-000019800000}"/>
    <cellStyle name="Normal 2 3 4 5" xfId="4517" xr:uid="{00000000-0005-0000-0000-00001A800000}"/>
    <cellStyle name="Normal 2 3 4 5 2" xfId="5968" xr:uid="{00000000-0005-0000-0000-00001B800000}"/>
    <cellStyle name="Normal 2 3 4 5 2 2" xfId="39215" xr:uid="{00000000-0005-0000-0000-00001C800000}"/>
    <cellStyle name="Normal 2 3 4 5 3" xfId="39565" xr:uid="{00000000-0005-0000-0000-00001D800000}"/>
    <cellStyle name="Normal 2 3 4 5 3 2" xfId="41143" xr:uid="{00000000-0005-0000-0000-00001E800000}"/>
    <cellStyle name="Normal 2 3 4 5 4" xfId="40288" xr:uid="{00000000-0005-0000-0000-00001F800000}"/>
    <cellStyle name="Normal 2 3 4 5 5" xfId="23001" xr:uid="{00000000-0005-0000-0000-000020800000}"/>
    <cellStyle name="Normal 2 3 4 6" xfId="6289" xr:uid="{00000000-0005-0000-0000-000021800000}"/>
    <cellStyle name="Normal 2 3 4 6 2" xfId="37834" xr:uid="{00000000-0005-0000-0000-000022800000}"/>
    <cellStyle name="Normal 2 3 4 6 3" xfId="23002" xr:uid="{00000000-0005-0000-0000-000023800000}"/>
    <cellStyle name="Normal 2 3 4 7" xfId="23003" xr:uid="{00000000-0005-0000-0000-000024800000}"/>
    <cellStyle name="Normal 2 3 4 8" xfId="23004" xr:uid="{00000000-0005-0000-0000-000025800000}"/>
    <cellStyle name="Normal 2 3 5" xfId="4787" xr:uid="{00000000-0005-0000-0000-000026800000}"/>
    <cellStyle name="Normal 2 3 5 2" xfId="6015" xr:uid="{00000000-0005-0000-0000-000027800000}"/>
    <cellStyle name="Normal 2 3 5 2 2" xfId="40571" xr:uid="{00000000-0005-0000-0000-000028800000}"/>
    <cellStyle name="Normal 2 3 5 2 3" xfId="13405" xr:uid="{00000000-0005-0000-0000-000029800000}"/>
    <cellStyle name="Normal 2 3 5 3" xfId="6336" xr:uid="{00000000-0005-0000-0000-00002A800000}"/>
    <cellStyle name="Normal 2 3 5 3 2" xfId="41187" xr:uid="{00000000-0005-0000-0000-00002B800000}"/>
    <cellStyle name="Normal 2 3 5 3 3" xfId="39605" xr:uid="{00000000-0005-0000-0000-00002C800000}"/>
    <cellStyle name="Normal 2 3 5 4" xfId="40331" xr:uid="{00000000-0005-0000-0000-00002D800000}"/>
    <cellStyle name="Normal 2 3 5 5" xfId="9784" xr:uid="{00000000-0005-0000-0000-00002E800000}"/>
    <cellStyle name="Normal 2 3 6" xfId="4535" xr:uid="{00000000-0005-0000-0000-00002F800000}"/>
    <cellStyle name="Normal 2 3 6 2" xfId="5984" xr:uid="{00000000-0005-0000-0000-000030800000}"/>
    <cellStyle name="Normal 2 3 6 2 2" xfId="41157" xr:uid="{00000000-0005-0000-0000-000031800000}"/>
    <cellStyle name="Normal 2 3 6 2 3" xfId="39576" xr:uid="{00000000-0005-0000-0000-000032800000}"/>
    <cellStyle name="Normal 2 3 6 3" xfId="6305" xr:uid="{00000000-0005-0000-0000-000033800000}"/>
    <cellStyle name="Normal 2 3 6 3 2" xfId="40302" xr:uid="{00000000-0005-0000-0000-000034800000}"/>
    <cellStyle name="Normal 2 3 6 4" xfId="23005" xr:uid="{00000000-0005-0000-0000-000035800000}"/>
    <cellStyle name="Normal 2 3 7" xfId="5699" xr:uid="{00000000-0005-0000-0000-000036800000}"/>
    <cellStyle name="Normal 2 3 7 2" xfId="40026" xr:uid="{00000000-0005-0000-0000-000037800000}"/>
    <cellStyle name="Normal 2 3 7 3" xfId="23006" xr:uid="{00000000-0005-0000-0000-000038800000}"/>
    <cellStyle name="Normal 2 3 8" xfId="23007" xr:uid="{00000000-0005-0000-0000-000039800000}"/>
    <cellStyle name="Normal 2 3 8 2" xfId="40877" xr:uid="{00000000-0005-0000-0000-00003A800000}"/>
    <cellStyle name="Normal 2 3 9" xfId="23008" xr:uid="{00000000-0005-0000-0000-00003B800000}"/>
    <cellStyle name="Normal 2 3_ELC" xfId="3653" xr:uid="{00000000-0005-0000-0000-00003C800000}"/>
    <cellStyle name="Normal 2 30" xfId="5659" xr:uid="{00000000-0005-0000-0000-00003D800000}"/>
    <cellStyle name="Normal 2 30 2" xfId="8633" xr:uid="{00000000-0005-0000-0000-00003E800000}"/>
    <cellStyle name="Normal 2 30 2 2" xfId="9808" xr:uid="{00000000-0005-0000-0000-00003F800000}"/>
    <cellStyle name="Normal 2 30 2 2 2" xfId="13429" xr:uid="{00000000-0005-0000-0000-000040800000}"/>
    <cellStyle name="Normal 2 30 2 3" xfId="12638" xr:uid="{00000000-0005-0000-0000-000041800000}"/>
    <cellStyle name="Normal 2 30 3" xfId="9807" xr:uid="{00000000-0005-0000-0000-000042800000}"/>
    <cellStyle name="Normal 2 30 3 2" xfId="13428" xr:uid="{00000000-0005-0000-0000-000043800000}"/>
    <cellStyle name="Normal 2 30 4" xfId="12352" xr:uid="{00000000-0005-0000-0000-000044800000}"/>
    <cellStyle name="Normal 2 30 5" xfId="37604" xr:uid="{00000000-0005-0000-0000-000045800000}"/>
    <cellStyle name="Normal 2 30 6" xfId="7549" xr:uid="{00000000-0005-0000-0000-000046800000}"/>
    <cellStyle name="Normal 2 31" xfId="7550" xr:uid="{00000000-0005-0000-0000-000047800000}"/>
    <cellStyle name="Normal 2 31 2" xfId="8634" xr:uid="{00000000-0005-0000-0000-000048800000}"/>
    <cellStyle name="Normal 2 31 2 2" xfId="9810" xr:uid="{00000000-0005-0000-0000-000049800000}"/>
    <cellStyle name="Normal 2 31 2 2 2" xfId="13431" xr:uid="{00000000-0005-0000-0000-00004A800000}"/>
    <cellStyle name="Normal 2 31 2 3" xfId="12639" xr:uid="{00000000-0005-0000-0000-00004B800000}"/>
    <cellStyle name="Normal 2 31 3" xfId="9809" xr:uid="{00000000-0005-0000-0000-00004C800000}"/>
    <cellStyle name="Normal 2 31 3 2" xfId="13430" xr:uid="{00000000-0005-0000-0000-00004D800000}"/>
    <cellStyle name="Normal 2 31 4" xfId="12353" xr:uid="{00000000-0005-0000-0000-00004E800000}"/>
    <cellStyle name="Normal 2 31 5" xfId="39281" xr:uid="{00000000-0005-0000-0000-00004F800000}"/>
    <cellStyle name="Normal 2 32" xfId="7551" xr:uid="{00000000-0005-0000-0000-000050800000}"/>
    <cellStyle name="Normal 2 32 2" xfId="8635" xr:uid="{00000000-0005-0000-0000-000051800000}"/>
    <cellStyle name="Normal 2 32 2 2" xfId="9812" xr:uid="{00000000-0005-0000-0000-000052800000}"/>
    <cellStyle name="Normal 2 32 2 2 2" xfId="13433" xr:uid="{00000000-0005-0000-0000-000053800000}"/>
    <cellStyle name="Normal 2 32 2 3" xfId="12640" xr:uid="{00000000-0005-0000-0000-000054800000}"/>
    <cellStyle name="Normal 2 32 3" xfId="9811" xr:uid="{00000000-0005-0000-0000-000055800000}"/>
    <cellStyle name="Normal 2 32 3 2" xfId="13432" xr:uid="{00000000-0005-0000-0000-000056800000}"/>
    <cellStyle name="Normal 2 32 4" xfId="12354" xr:uid="{00000000-0005-0000-0000-000057800000}"/>
    <cellStyle name="Normal 2 33" xfId="7552" xr:uid="{00000000-0005-0000-0000-000058800000}"/>
    <cellStyle name="Normal 2 33 2" xfId="8636" xr:uid="{00000000-0005-0000-0000-000059800000}"/>
    <cellStyle name="Normal 2 33 2 2" xfId="9814" xr:uid="{00000000-0005-0000-0000-00005A800000}"/>
    <cellStyle name="Normal 2 33 2 2 2" xfId="13435" xr:uid="{00000000-0005-0000-0000-00005B800000}"/>
    <cellStyle name="Normal 2 33 2 3" xfId="12641" xr:uid="{00000000-0005-0000-0000-00005C800000}"/>
    <cellStyle name="Normal 2 33 3" xfId="9813" xr:uid="{00000000-0005-0000-0000-00005D800000}"/>
    <cellStyle name="Normal 2 33 3 2" xfId="13434" xr:uid="{00000000-0005-0000-0000-00005E800000}"/>
    <cellStyle name="Normal 2 33 4" xfId="12355" xr:uid="{00000000-0005-0000-0000-00005F800000}"/>
    <cellStyle name="Normal 2 34" xfId="7553" xr:uid="{00000000-0005-0000-0000-000060800000}"/>
    <cellStyle name="Normal 2 34 2" xfId="8637" xr:uid="{00000000-0005-0000-0000-000061800000}"/>
    <cellStyle name="Normal 2 34 2 2" xfId="9816" xr:uid="{00000000-0005-0000-0000-000062800000}"/>
    <cellStyle name="Normal 2 34 2 2 2" xfId="13437" xr:uid="{00000000-0005-0000-0000-000063800000}"/>
    <cellStyle name="Normal 2 34 2 3" xfId="12642" xr:uid="{00000000-0005-0000-0000-000064800000}"/>
    <cellStyle name="Normal 2 34 3" xfId="9815" xr:uid="{00000000-0005-0000-0000-000065800000}"/>
    <cellStyle name="Normal 2 34 3 2" xfId="13436" xr:uid="{00000000-0005-0000-0000-000066800000}"/>
    <cellStyle name="Normal 2 34 4" xfId="12356" xr:uid="{00000000-0005-0000-0000-000067800000}"/>
    <cellStyle name="Normal 2 35" xfId="7554" xr:uid="{00000000-0005-0000-0000-000068800000}"/>
    <cellStyle name="Normal 2 35 2" xfId="8638" xr:uid="{00000000-0005-0000-0000-000069800000}"/>
    <cellStyle name="Normal 2 35 2 2" xfId="9818" xr:uid="{00000000-0005-0000-0000-00006A800000}"/>
    <cellStyle name="Normal 2 35 2 2 2" xfId="13439" xr:uid="{00000000-0005-0000-0000-00006B800000}"/>
    <cellStyle name="Normal 2 35 2 3" xfId="12643" xr:uid="{00000000-0005-0000-0000-00006C800000}"/>
    <cellStyle name="Normal 2 35 3" xfId="9817" xr:uid="{00000000-0005-0000-0000-00006D800000}"/>
    <cellStyle name="Normal 2 35 3 2" xfId="13438" xr:uid="{00000000-0005-0000-0000-00006E800000}"/>
    <cellStyle name="Normal 2 35 4" xfId="12357" xr:uid="{00000000-0005-0000-0000-00006F800000}"/>
    <cellStyle name="Normal 2 36" xfId="7555" xr:uid="{00000000-0005-0000-0000-000070800000}"/>
    <cellStyle name="Normal 2 36 2" xfId="8639" xr:uid="{00000000-0005-0000-0000-000071800000}"/>
    <cellStyle name="Normal 2 36 2 2" xfId="9820" xr:uid="{00000000-0005-0000-0000-000072800000}"/>
    <cellStyle name="Normal 2 36 2 2 2" xfId="13441" xr:uid="{00000000-0005-0000-0000-000073800000}"/>
    <cellStyle name="Normal 2 36 2 3" xfId="12644" xr:uid="{00000000-0005-0000-0000-000074800000}"/>
    <cellStyle name="Normal 2 36 3" xfId="9819" xr:uid="{00000000-0005-0000-0000-000075800000}"/>
    <cellStyle name="Normal 2 36 3 2" xfId="13440" xr:uid="{00000000-0005-0000-0000-000076800000}"/>
    <cellStyle name="Normal 2 36 4" xfId="12358" xr:uid="{00000000-0005-0000-0000-000077800000}"/>
    <cellStyle name="Normal 2 37" xfId="7556" xr:uid="{00000000-0005-0000-0000-000078800000}"/>
    <cellStyle name="Normal 2 37 2" xfId="9821" xr:uid="{00000000-0005-0000-0000-000079800000}"/>
    <cellStyle name="Normal 2 37 2 2" xfId="13442" xr:uid="{00000000-0005-0000-0000-00007A800000}"/>
    <cellStyle name="Normal 2 37 3" xfId="23009" xr:uid="{00000000-0005-0000-0000-00007B800000}"/>
    <cellStyle name="Normal 2 37 4" xfId="23010" xr:uid="{00000000-0005-0000-0000-00007C800000}"/>
    <cellStyle name="Normal 2 37 5" xfId="23011" xr:uid="{00000000-0005-0000-0000-00007D800000}"/>
    <cellStyle name="Normal 2 37 6" xfId="23012" xr:uid="{00000000-0005-0000-0000-00007E800000}"/>
    <cellStyle name="Normal 2 38" xfId="7557" xr:uid="{00000000-0005-0000-0000-00007F800000}"/>
    <cellStyle name="Normal 2 38 2" xfId="9822" xr:uid="{00000000-0005-0000-0000-000080800000}"/>
    <cellStyle name="Normal 2 38 2 2" xfId="13443" xr:uid="{00000000-0005-0000-0000-000081800000}"/>
    <cellStyle name="Normal 2 38 3" xfId="23013" xr:uid="{00000000-0005-0000-0000-000082800000}"/>
    <cellStyle name="Normal 2 38 4" xfId="23014" xr:uid="{00000000-0005-0000-0000-000083800000}"/>
    <cellStyle name="Normal 2 38 5" xfId="23015" xr:uid="{00000000-0005-0000-0000-000084800000}"/>
    <cellStyle name="Normal 2 38 6" xfId="23016" xr:uid="{00000000-0005-0000-0000-000085800000}"/>
    <cellStyle name="Normal 2 39" xfId="7558" xr:uid="{00000000-0005-0000-0000-000086800000}"/>
    <cellStyle name="Normal 2 39 2" xfId="9823" xr:uid="{00000000-0005-0000-0000-000087800000}"/>
    <cellStyle name="Normal 2 39 2 2" xfId="13444" xr:uid="{00000000-0005-0000-0000-000088800000}"/>
    <cellStyle name="Normal 2 39 3" xfId="23017" xr:uid="{00000000-0005-0000-0000-000089800000}"/>
    <cellStyle name="Normal 2 39 4" xfId="23018" xr:uid="{00000000-0005-0000-0000-00008A800000}"/>
    <cellStyle name="Normal 2 39 5" xfId="23019" xr:uid="{00000000-0005-0000-0000-00008B800000}"/>
    <cellStyle name="Normal 2 39 6" xfId="23020" xr:uid="{00000000-0005-0000-0000-00008C800000}"/>
    <cellStyle name="Normal 2 4" xfId="1572" xr:uid="{00000000-0005-0000-0000-00008D800000}"/>
    <cellStyle name="Normal 2 4 2" xfId="3654" xr:uid="{00000000-0005-0000-0000-00008E800000}"/>
    <cellStyle name="Normal 2 4 2 2" xfId="9825" xr:uid="{00000000-0005-0000-0000-00008F800000}"/>
    <cellStyle name="Normal 2 4 2 2 2" xfId="13446" xr:uid="{00000000-0005-0000-0000-000090800000}"/>
    <cellStyle name="Normal 2 4 2 3" xfId="23021" xr:uid="{00000000-0005-0000-0000-000091800000}"/>
    <cellStyle name="Normal 2 4 2 4" xfId="23022" xr:uid="{00000000-0005-0000-0000-000092800000}"/>
    <cellStyle name="Normal 2 4 2 5" xfId="23023" xr:uid="{00000000-0005-0000-0000-000093800000}"/>
    <cellStyle name="Normal 2 4 2 6" xfId="23024" xr:uid="{00000000-0005-0000-0000-000094800000}"/>
    <cellStyle name="Normal 2 4 3" xfId="4790" xr:uid="{00000000-0005-0000-0000-000095800000}"/>
    <cellStyle name="Normal 2 4 3 2" xfId="13445" xr:uid="{00000000-0005-0000-0000-000096800000}"/>
    <cellStyle name="Normal 2 4 3 3" xfId="35773" xr:uid="{00000000-0005-0000-0000-000097800000}"/>
    <cellStyle name="Normal 2 4 3 4" xfId="9824" xr:uid="{00000000-0005-0000-0000-000098800000}"/>
    <cellStyle name="Normal 2 4 4" xfId="23025" xr:uid="{00000000-0005-0000-0000-000099800000}"/>
    <cellStyle name="Normal 2 4 4 2" xfId="37835" xr:uid="{00000000-0005-0000-0000-00009A800000}"/>
    <cellStyle name="Normal 2 4 5" xfId="23026" xr:uid="{00000000-0005-0000-0000-00009B800000}"/>
    <cellStyle name="Normal 2 4 6" xfId="23027" xr:uid="{00000000-0005-0000-0000-00009C800000}"/>
    <cellStyle name="Normal 2 4 7" xfId="23028" xr:uid="{00000000-0005-0000-0000-00009D800000}"/>
    <cellStyle name="Normal 2 4 8" xfId="23029" xr:uid="{00000000-0005-0000-0000-00009E800000}"/>
    <cellStyle name="Normal 2 40" xfId="7559" xr:uid="{00000000-0005-0000-0000-00009F800000}"/>
    <cellStyle name="Normal 2 40 2" xfId="8640" xr:uid="{00000000-0005-0000-0000-0000A0800000}"/>
    <cellStyle name="Normal 2 40 2 2" xfId="9827" xr:uid="{00000000-0005-0000-0000-0000A1800000}"/>
    <cellStyle name="Normal 2 40 2 2 2" xfId="13448" xr:uid="{00000000-0005-0000-0000-0000A2800000}"/>
    <cellStyle name="Normal 2 40 2 3" xfId="12645" xr:uid="{00000000-0005-0000-0000-0000A3800000}"/>
    <cellStyle name="Normal 2 40 3" xfId="9826" xr:uid="{00000000-0005-0000-0000-0000A4800000}"/>
    <cellStyle name="Normal 2 40 3 2" xfId="13447" xr:uid="{00000000-0005-0000-0000-0000A5800000}"/>
    <cellStyle name="Normal 2 40 4" xfId="12359" xr:uid="{00000000-0005-0000-0000-0000A6800000}"/>
    <cellStyle name="Normal 2 41" xfId="7560" xr:uid="{00000000-0005-0000-0000-0000A7800000}"/>
    <cellStyle name="Normal 2 41 2" xfId="9828" xr:uid="{00000000-0005-0000-0000-0000A8800000}"/>
    <cellStyle name="Normal 2 41 2 2" xfId="13449" xr:uid="{00000000-0005-0000-0000-0000A9800000}"/>
    <cellStyle name="Normal 2 41 3" xfId="23030" xr:uid="{00000000-0005-0000-0000-0000AA800000}"/>
    <cellStyle name="Normal 2 41 4" xfId="23031" xr:uid="{00000000-0005-0000-0000-0000AB800000}"/>
    <cellStyle name="Normal 2 41 5" xfId="23032" xr:uid="{00000000-0005-0000-0000-0000AC800000}"/>
    <cellStyle name="Normal 2 41 6" xfId="23033" xr:uid="{00000000-0005-0000-0000-0000AD800000}"/>
    <cellStyle name="Normal 2 42" xfId="7561" xr:uid="{00000000-0005-0000-0000-0000AE800000}"/>
    <cellStyle name="Normal 2 42 2" xfId="9829" xr:uid="{00000000-0005-0000-0000-0000AF800000}"/>
    <cellStyle name="Normal 2 42 2 2" xfId="13450" xr:uid="{00000000-0005-0000-0000-0000B0800000}"/>
    <cellStyle name="Normal 2 42 3" xfId="23034" xr:uid="{00000000-0005-0000-0000-0000B1800000}"/>
    <cellStyle name="Normal 2 42 4" xfId="23035" xr:uid="{00000000-0005-0000-0000-0000B2800000}"/>
    <cellStyle name="Normal 2 42 5" xfId="23036" xr:uid="{00000000-0005-0000-0000-0000B3800000}"/>
    <cellStyle name="Normal 2 42 6" xfId="23037" xr:uid="{00000000-0005-0000-0000-0000B4800000}"/>
    <cellStyle name="Normal 2 43" xfId="7562" xr:uid="{00000000-0005-0000-0000-0000B5800000}"/>
    <cellStyle name="Normal 2 43 2" xfId="8641" xr:uid="{00000000-0005-0000-0000-0000B6800000}"/>
    <cellStyle name="Normal 2 43 2 2" xfId="9831" xr:uid="{00000000-0005-0000-0000-0000B7800000}"/>
    <cellStyle name="Normal 2 43 2 2 2" xfId="13452" xr:uid="{00000000-0005-0000-0000-0000B8800000}"/>
    <cellStyle name="Normal 2 43 2 3" xfId="12646" xr:uid="{00000000-0005-0000-0000-0000B9800000}"/>
    <cellStyle name="Normal 2 43 3" xfId="9830" xr:uid="{00000000-0005-0000-0000-0000BA800000}"/>
    <cellStyle name="Normal 2 43 3 2" xfId="13451" xr:uid="{00000000-0005-0000-0000-0000BB800000}"/>
    <cellStyle name="Normal 2 43 4" xfId="12360" xr:uid="{00000000-0005-0000-0000-0000BC800000}"/>
    <cellStyle name="Normal 2 44" xfId="7563" xr:uid="{00000000-0005-0000-0000-0000BD800000}"/>
    <cellStyle name="Normal 2 44 2" xfId="8642" xr:uid="{00000000-0005-0000-0000-0000BE800000}"/>
    <cellStyle name="Normal 2 44 2 2" xfId="9833" xr:uid="{00000000-0005-0000-0000-0000BF800000}"/>
    <cellStyle name="Normal 2 44 2 2 2" xfId="13454" xr:uid="{00000000-0005-0000-0000-0000C0800000}"/>
    <cellStyle name="Normal 2 44 2 3" xfId="12647" xr:uid="{00000000-0005-0000-0000-0000C1800000}"/>
    <cellStyle name="Normal 2 44 3" xfId="9832" xr:uid="{00000000-0005-0000-0000-0000C2800000}"/>
    <cellStyle name="Normal 2 44 3 2" xfId="13453" xr:uid="{00000000-0005-0000-0000-0000C3800000}"/>
    <cellStyle name="Normal 2 44 4" xfId="12361" xr:uid="{00000000-0005-0000-0000-0000C4800000}"/>
    <cellStyle name="Normal 2 45" xfId="7564" xr:uid="{00000000-0005-0000-0000-0000C5800000}"/>
    <cellStyle name="Normal 2 45 2" xfId="8643" xr:uid="{00000000-0005-0000-0000-0000C6800000}"/>
    <cellStyle name="Normal 2 45 2 2" xfId="9835" xr:uid="{00000000-0005-0000-0000-0000C7800000}"/>
    <cellStyle name="Normal 2 45 2 2 2" xfId="13456" xr:uid="{00000000-0005-0000-0000-0000C8800000}"/>
    <cellStyle name="Normal 2 45 2 3" xfId="12648" xr:uid="{00000000-0005-0000-0000-0000C9800000}"/>
    <cellStyle name="Normal 2 45 3" xfId="9834" xr:uid="{00000000-0005-0000-0000-0000CA800000}"/>
    <cellStyle name="Normal 2 45 3 2" xfId="13455" xr:uid="{00000000-0005-0000-0000-0000CB800000}"/>
    <cellStyle name="Normal 2 45 4" xfId="12362" xr:uid="{00000000-0005-0000-0000-0000CC800000}"/>
    <cellStyle name="Normal 2 46" xfId="7565" xr:uid="{00000000-0005-0000-0000-0000CD800000}"/>
    <cellStyle name="Normal 2 46 2" xfId="8644" xr:uid="{00000000-0005-0000-0000-0000CE800000}"/>
    <cellStyle name="Normal 2 46 2 2" xfId="9837" xr:uid="{00000000-0005-0000-0000-0000CF800000}"/>
    <cellStyle name="Normal 2 46 2 2 2" xfId="13458" xr:uid="{00000000-0005-0000-0000-0000D0800000}"/>
    <cellStyle name="Normal 2 46 2 3" xfId="12649" xr:uid="{00000000-0005-0000-0000-0000D1800000}"/>
    <cellStyle name="Normal 2 46 3" xfId="9836" xr:uid="{00000000-0005-0000-0000-0000D2800000}"/>
    <cellStyle name="Normal 2 46 3 2" xfId="13457" xr:uid="{00000000-0005-0000-0000-0000D3800000}"/>
    <cellStyle name="Normal 2 46 4" xfId="12363" xr:uid="{00000000-0005-0000-0000-0000D4800000}"/>
    <cellStyle name="Normal 2 47" xfId="9838" xr:uid="{00000000-0005-0000-0000-0000D5800000}"/>
    <cellStyle name="Normal 2 47 2" xfId="13459" xr:uid="{00000000-0005-0000-0000-0000D6800000}"/>
    <cellStyle name="Normal 2 48" xfId="9540" xr:uid="{00000000-0005-0000-0000-0000D7800000}"/>
    <cellStyle name="Normal 2 48 2" xfId="13161" xr:uid="{00000000-0005-0000-0000-0000D8800000}"/>
    <cellStyle name="Normal 2 49" xfId="11583" xr:uid="{00000000-0005-0000-0000-0000D9800000}"/>
    <cellStyle name="Normal 2 49 2" xfId="23039" xr:uid="{00000000-0005-0000-0000-0000DA800000}"/>
    <cellStyle name="Normal 2 49 3" xfId="23038" xr:uid="{00000000-0005-0000-0000-0000DB800000}"/>
    <cellStyle name="Normal 2 5" xfId="1573" xr:uid="{00000000-0005-0000-0000-0000DC800000}"/>
    <cellStyle name="Normal 2 5 10" xfId="23040" xr:uid="{00000000-0005-0000-0000-0000DD800000}"/>
    <cellStyle name="Normal 2 5 2" xfId="3656" xr:uid="{00000000-0005-0000-0000-0000DE800000}"/>
    <cellStyle name="Normal 2 5 2 2" xfId="8577" xr:uid="{00000000-0005-0000-0000-0000DF800000}"/>
    <cellStyle name="Normal 2 5 2 2 2" xfId="9841" xr:uid="{00000000-0005-0000-0000-0000E0800000}"/>
    <cellStyle name="Normal 2 5 2 2 2 2" xfId="13462" xr:uid="{00000000-0005-0000-0000-0000E1800000}"/>
    <cellStyle name="Normal 2 5 2 2 3" xfId="23041" xr:uid="{00000000-0005-0000-0000-0000E2800000}"/>
    <cellStyle name="Normal 2 5 2 2 4" xfId="23042" xr:uid="{00000000-0005-0000-0000-0000E3800000}"/>
    <cellStyle name="Normal 2 5 2 2 5" xfId="23043" xr:uid="{00000000-0005-0000-0000-0000E4800000}"/>
    <cellStyle name="Normal 2 5 2 2 6" xfId="23044" xr:uid="{00000000-0005-0000-0000-0000E5800000}"/>
    <cellStyle name="Normal 2 5 2 3" xfId="8277" xr:uid="{00000000-0005-0000-0000-0000E6800000}"/>
    <cellStyle name="Normal 2 5 2 3 2" xfId="9842" xr:uid="{00000000-0005-0000-0000-0000E7800000}"/>
    <cellStyle name="Normal 2 5 2 3 2 2" xfId="13463" xr:uid="{00000000-0005-0000-0000-0000E8800000}"/>
    <cellStyle name="Normal 2 5 2 3 3" xfId="23045" xr:uid="{00000000-0005-0000-0000-0000E9800000}"/>
    <cellStyle name="Normal 2 5 2 3 4" xfId="23046" xr:uid="{00000000-0005-0000-0000-0000EA800000}"/>
    <cellStyle name="Normal 2 5 2 3 5" xfId="23047" xr:uid="{00000000-0005-0000-0000-0000EB800000}"/>
    <cellStyle name="Normal 2 5 2 3 6" xfId="23048" xr:uid="{00000000-0005-0000-0000-0000EC800000}"/>
    <cellStyle name="Normal 2 5 2 4" xfId="9840" xr:uid="{00000000-0005-0000-0000-0000ED800000}"/>
    <cellStyle name="Normal 2 5 2 4 2" xfId="13461" xr:uid="{00000000-0005-0000-0000-0000EE800000}"/>
    <cellStyle name="Normal 2 5 2 5" xfId="23049" xr:uid="{00000000-0005-0000-0000-0000EF800000}"/>
    <cellStyle name="Normal 2 5 2 6" xfId="23050" xr:uid="{00000000-0005-0000-0000-0000F0800000}"/>
    <cellStyle name="Normal 2 5 2 7" xfId="23051" xr:uid="{00000000-0005-0000-0000-0000F1800000}"/>
    <cellStyle name="Normal 2 5 2 8" xfId="23052" xr:uid="{00000000-0005-0000-0000-0000F2800000}"/>
    <cellStyle name="Normal 2 5 3" xfId="3655" xr:uid="{00000000-0005-0000-0000-0000F3800000}"/>
    <cellStyle name="Normal 2 5 3 2" xfId="8645" xr:uid="{00000000-0005-0000-0000-0000F4800000}"/>
    <cellStyle name="Normal 2 5 3 2 2" xfId="9844" xr:uid="{00000000-0005-0000-0000-0000F5800000}"/>
    <cellStyle name="Normal 2 5 3 2 2 2" xfId="13465" xr:uid="{00000000-0005-0000-0000-0000F6800000}"/>
    <cellStyle name="Normal 2 5 3 2 3" xfId="23053" xr:uid="{00000000-0005-0000-0000-0000F7800000}"/>
    <cellStyle name="Normal 2 5 3 2 4" xfId="23054" xr:uid="{00000000-0005-0000-0000-0000F8800000}"/>
    <cellStyle name="Normal 2 5 3 2 5" xfId="23055" xr:uid="{00000000-0005-0000-0000-0000F9800000}"/>
    <cellStyle name="Normal 2 5 3 2 6" xfId="23056" xr:uid="{00000000-0005-0000-0000-0000FA800000}"/>
    <cellStyle name="Normal 2 5 3 3" xfId="8387" xr:uid="{00000000-0005-0000-0000-0000FB800000}"/>
    <cellStyle name="Normal 2 5 3 3 2" xfId="9845" xr:uid="{00000000-0005-0000-0000-0000FC800000}"/>
    <cellStyle name="Normal 2 5 3 3 2 2" xfId="13466" xr:uid="{00000000-0005-0000-0000-0000FD800000}"/>
    <cellStyle name="Normal 2 5 3 3 3" xfId="23057" xr:uid="{00000000-0005-0000-0000-0000FE800000}"/>
    <cellStyle name="Normal 2 5 3 3 4" xfId="23058" xr:uid="{00000000-0005-0000-0000-0000FF800000}"/>
    <cellStyle name="Normal 2 5 3 3 5" xfId="23059" xr:uid="{00000000-0005-0000-0000-000000810000}"/>
    <cellStyle name="Normal 2 5 3 3 6" xfId="23060" xr:uid="{00000000-0005-0000-0000-000001810000}"/>
    <cellStyle name="Normal 2 5 3 4" xfId="9843" xr:uid="{00000000-0005-0000-0000-000002810000}"/>
    <cellStyle name="Normal 2 5 3 4 2" xfId="13464" xr:uid="{00000000-0005-0000-0000-000003810000}"/>
    <cellStyle name="Normal 2 5 3 5" xfId="23061" xr:uid="{00000000-0005-0000-0000-000004810000}"/>
    <cellStyle name="Normal 2 5 3 6" xfId="23062" xr:uid="{00000000-0005-0000-0000-000005810000}"/>
    <cellStyle name="Normal 2 5 3 7" xfId="23063" xr:uid="{00000000-0005-0000-0000-000006810000}"/>
    <cellStyle name="Normal 2 5 3 8" xfId="23064" xr:uid="{00000000-0005-0000-0000-000007810000}"/>
    <cellStyle name="Normal 2 5 4" xfId="4791" xr:uid="{00000000-0005-0000-0000-000008810000}"/>
    <cellStyle name="Normal 2 5 4 2" xfId="9846" xr:uid="{00000000-0005-0000-0000-000009810000}"/>
    <cellStyle name="Normal 2 5 4 2 2" xfId="13467" xr:uid="{00000000-0005-0000-0000-00000A810000}"/>
    <cellStyle name="Normal 2 5 4 3" xfId="12469" xr:uid="{00000000-0005-0000-0000-00000B810000}"/>
    <cellStyle name="Normal 2 5 4 4" xfId="35774" xr:uid="{00000000-0005-0000-0000-00000C810000}"/>
    <cellStyle name="Normal 2 5 4 5" xfId="8276" xr:uid="{00000000-0005-0000-0000-00000D810000}"/>
    <cellStyle name="Normal 2 5 5" xfId="9839" xr:uid="{00000000-0005-0000-0000-00000E810000}"/>
    <cellStyle name="Normal 2 5 5 2" xfId="13460" xr:uid="{00000000-0005-0000-0000-00000F810000}"/>
    <cellStyle name="Normal 2 5 5 3" xfId="37836" xr:uid="{00000000-0005-0000-0000-000010810000}"/>
    <cellStyle name="Normal 2 5 6" xfId="23065" xr:uid="{00000000-0005-0000-0000-000011810000}"/>
    <cellStyle name="Normal 2 5 7" xfId="23066" xr:uid="{00000000-0005-0000-0000-000012810000}"/>
    <cellStyle name="Normal 2 5 8" xfId="23067" xr:uid="{00000000-0005-0000-0000-000013810000}"/>
    <cellStyle name="Normal 2 5 9" xfId="23068" xr:uid="{00000000-0005-0000-0000-000014810000}"/>
    <cellStyle name="Normal 2 50" xfId="11586" xr:uid="{00000000-0005-0000-0000-000015810000}"/>
    <cellStyle name="Normal 2 50 2" xfId="23070" xr:uid="{00000000-0005-0000-0000-000016810000}"/>
    <cellStyle name="Normal 2 50 3" xfId="23069" xr:uid="{00000000-0005-0000-0000-000017810000}"/>
    <cellStyle name="Normal 2 51" xfId="11588" xr:uid="{00000000-0005-0000-0000-000018810000}"/>
    <cellStyle name="Normal 2 51 2" xfId="23072" xr:uid="{00000000-0005-0000-0000-000019810000}"/>
    <cellStyle name="Normal 2 51 3" xfId="23071" xr:uid="{00000000-0005-0000-0000-00001A810000}"/>
    <cellStyle name="Normal 2 52" xfId="11614" xr:uid="{00000000-0005-0000-0000-00001B810000}"/>
    <cellStyle name="Normal 2 52 2" xfId="23073" xr:uid="{00000000-0005-0000-0000-00001C810000}"/>
    <cellStyle name="Normal 2 53" xfId="11591" xr:uid="{00000000-0005-0000-0000-00001D810000}"/>
    <cellStyle name="Normal 2 53 2" xfId="23074" xr:uid="{00000000-0005-0000-0000-00001E810000}"/>
    <cellStyle name="Normal 2 54" xfId="11593" xr:uid="{00000000-0005-0000-0000-00001F810000}"/>
    <cellStyle name="Normal 2 55" xfId="11595" xr:uid="{00000000-0005-0000-0000-000020810000}"/>
    <cellStyle name="Normal 2 56" xfId="11597" xr:uid="{00000000-0005-0000-0000-000021810000}"/>
    <cellStyle name="Normal 2 57" xfId="11605" xr:uid="{00000000-0005-0000-0000-000022810000}"/>
    <cellStyle name="Normal 2 58" xfId="11610" xr:uid="{00000000-0005-0000-0000-000023810000}"/>
    <cellStyle name="Normal 2 59" xfId="11616" xr:uid="{00000000-0005-0000-0000-000024810000}"/>
    <cellStyle name="Normal 2 6" xfId="1574" xr:uid="{00000000-0005-0000-0000-000025810000}"/>
    <cellStyle name="Normal 2 6 10" xfId="23075" xr:uid="{00000000-0005-0000-0000-000026810000}"/>
    <cellStyle name="Normal 2 6 11" xfId="23076" xr:uid="{00000000-0005-0000-0000-000027810000}"/>
    <cellStyle name="Normal 2 6 12" xfId="23077" xr:uid="{00000000-0005-0000-0000-000028810000}"/>
    <cellStyle name="Normal 2 6 2" xfId="3658" xr:uid="{00000000-0005-0000-0000-000029810000}"/>
    <cellStyle name="Normal 2 6 2 2" xfId="8578" xr:uid="{00000000-0005-0000-0000-00002A810000}"/>
    <cellStyle name="Normal 2 6 2 2 2" xfId="9849" xr:uid="{00000000-0005-0000-0000-00002B810000}"/>
    <cellStyle name="Normal 2 6 2 2 2 2" xfId="13470" xr:uid="{00000000-0005-0000-0000-00002C810000}"/>
    <cellStyle name="Normal 2 6 2 2 3" xfId="23078" xr:uid="{00000000-0005-0000-0000-00002D810000}"/>
    <cellStyle name="Normal 2 6 2 2 4" xfId="23079" xr:uid="{00000000-0005-0000-0000-00002E810000}"/>
    <cellStyle name="Normal 2 6 2 2 5" xfId="23080" xr:uid="{00000000-0005-0000-0000-00002F810000}"/>
    <cellStyle name="Normal 2 6 2 2 6" xfId="23081" xr:uid="{00000000-0005-0000-0000-000030810000}"/>
    <cellStyle name="Normal 2 6 2 3" xfId="8279" xr:uid="{00000000-0005-0000-0000-000031810000}"/>
    <cellStyle name="Normal 2 6 2 3 2" xfId="9850" xr:uid="{00000000-0005-0000-0000-000032810000}"/>
    <cellStyle name="Normal 2 6 2 3 2 2" xfId="13471" xr:uid="{00000000-0005-0000-0000-000033810000}"/>
    <cellStyle name="Normal 2 6 2 3 3" xfId="23082" xr:uid="{00000000-0005-0000-0000-000034810000}"/>
    <cellStyle name="Normal 2 6 2 3 4" xfId="23083" xr:uid="{00000000-0005-0000-0000-000035810000}"/>
    <cellStyle name="Normal 2 6 2 3 5" xfId="23084" xr:uid="{00000000-0005-0000-0000-000036810000}"/>
    <cellStyle name="Normal 2 6 2 3 6" xfId="23085" xr:uid="{00000000-0005-0000-0000-000037810000}"/>
    <cellStyle name="Normal 2 6 2 4" xfId="9848" xr:uid="{00000000-0005-0000-0000-000038810000}"/>
    <cellStyle name="Normal 2 6 2 4 2" xfId="13469" xr:uid="{00000000-0005-0000-0000-000039810000}"/>
    <cellStyle name="Normal 2 6 2 5" xfId="23086" xr:uid="{00000000-0005-0000-0000-00003A810000}"/>
    <cellStyle name="Normal 2 6 2 6" xfId="23087" xr:uid="{00000000-0005-0000-0000-00003B810000}"/>
    <cellStyle name="Normal 2 6 2 7" xfId="23088" xr:uid="{00000000-0005-0000-0000-00003C810000}"/>
    <cellStyle name="Normal 2 6 2 8" xfId="23089" xr:uid="{00000000-0005-0000-0000-00003D810000}"/>
    <cellStyle name="Normal 2 6 3" xfId="3657" xr:uid="{00000000-0005-0000-0000-00003E810000}"/>
    <cellStyle name="Normal 2 6 3 2" xfId="9851" xr:uid="{00000000-0005-0000-0000-00003F810000}"/>
    <cellStyle name="Normal 2 6 3 2 2" xfId="13472" xr:uid="{00000000-0005-0000-0000-000040810000}"/>
    <cellStyle name="Normal 2 6 3 3" xfId="23090" xr:uid="{00000000-0005-0000-0000-000041810000}"/>
    <cellStyle name="Normal 2 6 3 4" xfId="23091" xr:uid="{00000000-0005-0000-0000-000042810000}"/>
    <cellStyle name="Normal 2 6 3 5" xfId="23092" xr:uid="{00000000-0005-0000-0000-000043810000}"/>
    <cellStyle name="Normal 2 6 3 6" xfId="23093" xr:uid="{00000000-0005-0000-0000-000044810000}"/>
    <cellStyle name="Normal 2 6 4" xfId="4792" xr:uid="{00000000-0005-0000-0000-000045810000}"/>
    <cellStyle name="Normal 2 6 4 2" xfId="9852" xr:uid="{00000000-0005-0000-0000-000046810000}"/>
    <cellStyle name="Normal 2 6 4 2 2" xfId="13473" xr:uid="{00000000-0005-0000-0000-000047810000}"/>
    <cellStyle name="Normal 2 6 4 3" xfId="23094" xr:uid="{00000000-0005-0000-0000-000048810000}"/>
    <cellStyle name="Normal 2 6 4 4" xfId="23095" xr:uid="{00000000-0005-0000-0000-000049810000}"/>
    <cellStyle name="Normal 2 6 4 5" xfId="23096" xr:uid="{00000000-0005-0000-0000-00004A810000}"/>
    <cellStyle name="Normal 2 6 4 6" xfId="23097" xr:uid="{00000000-0005-0000-0000-00004B810000}"/>
    <cellStyle name="Normal 2 6 4 7" xfId="35775" xr:uid="{00000000-0005-0000-0000-00004C810000}"/>
    <cellStyle name="Normal 2 6 4 8" xfId="8490" xr:uid="{00000000-0005-0000-0000-00004D810000}"/>
    <cellStyle name="Normal 2 6 5" xfId="8278" xr:uid="{00000000-0005-0000-0000-00004E810000}"/>
    <cellStyle name="Normal 2 6 5 2" xfId="9853" xr:uid="{00000000-0005-0000-0000-00004F810000}"/>
    <cellStyle name="Normal 2 6 5 2 2" xfId="13474" xr:uid="{00000000-0005-0000-0000-000050810000}"/>
    <cellStyle name="Normal 2 6 5 3" xfId="12470" xr:uid="{00000000-0005-0000-0000-000051810000}"/>
    <cellStyle name="Normal 2 6 5 4" xfId="37837" xr:uid="{00000000-0005-0000-0000-000052810000}"/>
    <cellStyle name="Normal 2 6 6" xfId="9854" xr:uid="{00000000-0005-0000-0000-000053810000}"/>
    <cellStyle name="Normal 2 6 6 2" xfId="13475" xr:uid="{00000000-0005-0000-0000-000054810000}"/>
    <cellStyle name="Normal 2 6 7" xfId="9847" xr:uid="{00000000-0005-0000-0000-000055810000}"/>
    <cellStyle name="Normal 2 6 7 2" xfId="13468" xr:uid="{00000000-0005-0000-0000-000056810000}"/>
    <cellStyle name="Normal 2 6 8" xfId="23098" xr:uid="{00000000-0005-0000-0000-000057810000}"/>
    <cellStyle name="Normal 2 6 9" xfId="23099" xr:uid="{00000000-0005-0000-0000-000058810000}"/>
    <cellStyle name="Normal 2 60" xfId="11618" xr:uid="{00000000-0005-0000-0000-000059810000}"/>
    <cellStyle name="Normal 2 61" xfId="11620" xr:uid="{00000000-0005-0000-0000-00005A810000}"/>
    <cellStyle name="Normal 2 62" xfId="11622" xr:uid="{00000000-0005-0000-0000-00005B810000}"/>
    <cellStyle name="Normal 2 63" xfId="11624" xr:uid="{00000000-0005-0000-0000-00005C810000}"/>
    <cellStyle name="Normal 2 64" xfId="11626" xr:uid="{00000000-0005-0000-0000-00005D810000}"/>
    <cellStyle name="Normal 2 65" xfId="11629" xr:uid="{00000000-0005-0000-0000-00005E810000}"/>
    <cellStyle name="Normal 2 66" xfId="11631" xr:uid="{00000000-0005-0000-0000-00005F810000}"/>
    <cellStyle name="Normal 2 67" xfId="11633" xr:uid="{00000000-0005-0000-0000-000060810000}"/>
    <cellStyle name="Normal 2 68" xfId="11636" xr:uid="{00000000-0005-0000-0000-000061810000}"/>
    <cellStyle name="Normal 2 69" xfId="11637" xr:uid="{00000000-0005-0000-0000-000062810000}"/>
    <cellStyle name="Normal 2 7" xfId="1575" xr:uid="{00000000-0005-0000-0000-000063810000}"/>
    <cellStyle name="Normal 2 7 10" xfId="23100" xr:uid="{00000000-0005-0000-0000-000064810000}"/>
    <cellStyle name="Normal 2 7 11" xfId="23101" xr:uid="{00000000-0005-0000-0000-000065810000}"/>
    <cellStyle name="Normal 2 7 12" xfId="23102" xr:uid="{00000000-0005-0000-0000-000066810000}"/>
    <cellStyle name="Normal 2 7 2" xfId="3660" xr:uid="{00000000-0005-0000-0000-000067810000}"/>
    <cellStyle name="Normal 2 7 2 2" xfId="8579" xr:uid="{00000000-0005-0000-0000-000068810000}"/>
    <cellStyle name="Normal 2 7 2 2 2" xfId="9857" xr:uid="{00000000-0005-0000-0000-000069810000}"/>
    <cellStyle name="Normal 2 7 2 2 2 2" xfId="13478" xr:uid="{00000000-0005-0000-0000-00006A810000}"/>
    <cellStyle name="Normal 2 7 2 2 3" xfId="23103" xr:uid="{00000000-0005-0000-0000-00006B810000}"/>
    <cellStyle name="Normal 2 7 2 2 4" xfId="23104" xr:uid="{00000000-0005-0000-0000-00006C810000}"/>
    <cellStyle name="Normal 2 7 2 2 5" xfId="23105" xr:uid="{00000000-0005-0000-0000-00006D810000}"/>
    <cellStyle name="Normal 2 7 2 2 6" xfId="23106" xr:uid="{00000000-0005-0000-0000-00006E810000}"/>
    <cellStyle name="Normal 2 7 2 3" xfId="8281" xr:uid="{00000000-0005-0000-0000-00006F810000}"/>
    <cellStyle name="Normal 2 7 2 3 2" xfId="9858" xr:uid="{00000000-0005-0000-0000-000070810000}"/>
    <cellStyle name="Normal 2 7 2 3 2 2" xfId="13479" xr:uid="{00000000-0005-0000-0000-000071810000}"/>
    <cellStyle name="Normal 2 7 2 3 3" xfId="23107" xr:uid="{00000000-0005-0000-0000-000072810000}"/>
    <cellStyle name="Normal 2 7 2 3 4" xfId="23108" xr:uid="{00000000-0005-0000-0000-000073810000}"/>
    <cellStyle name="Normal 2 7 2 3 5" xfId="23109" xr:uid="{00000000-0005-0000-0000-000074810000}"/>
    <cellStyle name="Normal 2 7 2 3 6" xfId="23110" xr:uid="{00000000-0005-0000-0000-000075810000}"/>
    <cellStyle name="Normal 2 7 2 4" xfId="9856" xr:uid="{00000000-0005-0000-0000-000076810000}"/>
    <cellStyle name="Normal 2 7 2 4 2" xfId="13477" xr:uid="{00000000-0005-0000-0000-000077810000}"/>
    <cellStyle name="Normal 2 7 2 5" xfId="23111" xr:uid="{00000000-0005-0000-0000-000078810000}"/>
    <cellStyle name="Normal 2 7 2 6" xfId="23112" xr:uid="{00000000-0005-0000-0000-000079810000}"/>
    <cellStyle name="Normal 2 7 2 7" xfId="23113" xr:uid="{00000000-0005-0000-0000-00007A810000}"/>
    <cellStyle name="Normal 2 7 2 8" xfId="23114" xr:uid="{00000000-0005-0000-0000-00007B810000}"/>
    <cellStyle name="Normal 2 7 3" xfId="3659" xr:uid="{00000000-0005-0000-0000-00007C810000}"/>
    <cellStyle name="Normal 2 7 3 2" xfId="9859" xr:uid="{00000000-0005-0000-0000-00007D810000}"/>
    <cellStyle name="Normal 2 7 3 2 2" xfId="13480" xr:uid="{00000000-0005-0000-0000-00007E810000}"/>
    <cellStyle name="Normal 2 7 3 3" xfId="23115" xr:uid="{00000000-0005-0000-0000-00007F810000}"/>
    <cellStyle name="Normal 2 7 3 4" xfId="23116" xr:uid="{00000000-0005-0000-0000-000080810000}"/>
    <cellStyle name="Normal 2 7 3 5" xfId="23117" xr:uid="{00000000-0005-0000-0000-000081810000}"/>
    <cellStyle name="Normal 2 7 3 6" xfId="23118" xr:uid="{00000000-0005-0000-0000-000082810000}"/>
    <cellStyle name="Normal 2 7 4" xfId="4793" xr:uid="{00000000-0005-0000-0000-000083810000}"/>
    <cellStyle name="Normal 2 7 4 2" xfId="9860" xr:uid="{00000000-0005-0000-0000-000084810000}"/>
    <cellStyle name="Normal 2 7 4 2 2" xfId="13481" xr:uid="{00000000-0005-0000-0000-000085810000}"/>
    <cellStyle name="Normal 2 7 4 3" xfId="23119" xr:uid="{00000000-0005-0000-0000-000086810000}"/>
    <cellStyle name="Normal 2 7 4 4" xfId="23120" xr:uid="{00000000-0005-0000-0000-000087810000}"/>
    <cellStyle name="Normal 2 7 4 5" xfId="23121" xr:uid="{00000000-0005-0000-0000-000088810000}"/>
    <cellStyle name="Normal 2 7 4 6" xfId="23122" xr:uid="{00000000-0005-0000-0000-000089810000}"/>
    <cellStyle name="Normal 2 7 4 7" xfId="35776" xr:uid="{00000000-0005-0000-0000-00008A810000}"/>
    <cellStyle name="Normal 2 7 4 8" xfId="8491" xr:uid="{00000000-0005-0000-0000-00008B810000}"/>
    <cellStyle name="Normal 2 7 5" xfId="8280" xr:uid="{00000000-0005-0000-0000-00008C810000}"/>
    <cellStyle name="Normal 2 7 5 2" xfId="9861" xr:uid="{00000000-0005-0000-0000-00008D810000}"/>
    <cellStyle name="Normal 2 7 5 2 2" xfId="13482" xr:uid="{00000000-0005-0000-0000-00008E810000}"/>
    <cellStyle name="Normal 2 7 5 3" xfId="12471" xr:uid="{00000000-0005-0000-0000-00008F810000}"/>
    <cellStyle name="Normal 2 7 5 4" xfId="37838" xr:uid="{00000000-0005-0000-0000-000090810000}"/>
    <cellStyle name="Normal 2 7 6" xfId="9862" xr:uid="{00000000-0005-0000-0000-000091810000}"/>
    <cellStyle name="Normal 2 7 6 2" xfId="13483" xr:uid="{00000000-0005-0000-0000-000092810000}"/>
    <cellStyle name="Normal 2 7 7" xfId="9855" xr:uid="{00000000-0005-0000-0000-000093810000}"/>
    <cellStyle name="Normal 2 7 7 2" xfId="13476" xr:uid="{00000000-0005-0000-0000-000094810000}"/>
    <cellStyle name="Normal 2 7 8" xfId="23123" xr:uid="{00000000-0005-0000-0000-000095810000}"/>
    <cellStyle name="Normal 2 7 9" xfId="23124" xr:uid="{00000000-0005-0000-0000-000096810000}"/>
    <cellStyle name="Normal 2 70" xfId="37354" xr:uid="{00000000-0005-0000-0000-000097810000}"/>
    <cellStyle name="Normal 2 71" xfId="37356" xr:uid="{00000000-0005-0000-0000-000098810000}"/>
    <cellStyle name="Normal 2 72" xfId="37359" xr:uid="{00000000-0005-0000-0000-000099810000}"/>
    <cellStyle name="Normal 2 73" xfId="37361" xr:uid="{00000000-0005-0000-0000-00009A810000}"/>
    <cellStyle name="Normal 2 74" xfId="37363" xr:uid="{00000000-0005-0000-0000-00009B810000}"/>
    <cellStyle name="Normal 2 75" xfId="37365" xr:uid="{00000000-0005-0000-0000-00009C810000}"/>
    <cellStyle name="Normal 2 76" xfId="37367" xr:uid="{00000000-0005-0000-0000-00009D810000}"/>
    <cellStyle name="Normal 2 77" xfId="37369" xr:uid="{00000000-0005-0000-0000-00009E810000}"/>
    <cellStyle name="Normal 2 78" xfId="37371" xr:uid="{00000000-0005-0000-0000-00009F810000}"/>
    <cellStyle name="Normal 2 79" xfId="37373" xr:uid="{00000000-0005-0000-0000-0000A0810000}"/>
    <cellStyle name="Normal 2 8" xfId="1576" xr:uid="{00000000-0005-0000-0000-0000A1810000}"/>
    <cellStyle name="Normal 2 8 2" xfId="3661" xr:uid="{00000000-0005-0000-0000-0000A2810000}"/>
    <cellStyle name="Normal 2 8 2 2" xfId="9864" xr:uid="{00000000-0005-0000-0000-0000A3810000}"/>
    <cellStyle name="Normal 2 8 2 2 2" xfId="13485" xr:uid="{00000000-0005-0000-0000-0000A4810000}"/>
    <cellStyle name="Normal 2 8 2 3" xfId="23125" xr:uid="{00000000-0005-0000-0000-0000A5810000}"/>
    <cellStyle name="Normal 2 8 2 4" xfId="23126" xr:uid="{00000000-0005-0000-0000-0000A6810000}"/>
    <cellStyle name="Normal 2 8 2 5" xfId="23127" xr:uid="{00000000-0005-0000-0000-0000A7810000}"/>
    <cellStyle name="Normal 2 8 2 6" xfId="23128" xr:uid="{00000000-0005-0000-0000-0000A8810000}"/>
    <cellStyle name="Normal 2 8 3" xfId="4794" xr:uid="{00000000-0005-0000-0000-0000A9810000}"/>
    <cellStyle name="Normal 2 8 3 2" xfId="13484" xr:uid="{00000000-0005-0000-0000-0000AA810000}"/>
    <cellStyle name="Normal 2 8 3 3" xfId="35777" xr:uid="{00000000-0005-0000-0000-0000AB810000}"/>
    <cellStyle name="Normal 2 8 3 4" xfId="9863" xr:uid="{00000000-0005-0000-0000-0000AC810000}"/>
    <cellStyle name="Normal 2 8 4" xfId="23129" xr:uid="{00000000-0005-0000-0000-0000AD810000}"/>
    <cellStyle name="Normal 2 8 4 2" xfId="37839" xr:uid="{00000000-0005-0000-0000-0000AE810000}"/>
    <cellStyle name="Normal 2 8 5" xfId="23130" xr:uid="{00000000-0005-0000-0000-0000AF810000}"/>
    <cellStyle name="Normal 2 8 6" xfId="23131" xr:uid="{00000000-0005-0000-0000-0000B0810000}"/>
    <cellStyle name="Normal 2 8 7" xfId="23132" xr:uid="{00000000-0005-0000-0000-0000B1810000}"/>
    <cellStyle name="Normal 2 8 8" xfId="23133" xr:uid="{00000000-0005-0000-0000-0000B2810000}"/>
    <cellStyle name="Normal 2 80" xfId="37375" xr:uid="{00000000-0005-0000-0000-0000B3810000}"/>
    <cellStyle name="Normal 2 81" xfId="37377" xr:uid="{00000000-0005-0000-0000-0000B4810000}"/>
    <cellStyle name="Normal 2 82" xfId="37380" xr:uid="{00000000-0005-0000-0000-0000B5810000}"/>
    <cellStyle name="Normal 2 83" xfId="37382" xr:uid="{00000000-0005-0000-0000-0000B6810000}"/>
    <cellStyle name="Normal 2 84" xfId="37483" xr:uid="{00000000-0005-0000-0000-0000B7810000}"/>
    <cellStyle name="Normal 2 85" xfId="38903" xr:uid="{00000000-0005-0000-0000-0000B8810000}"/>
    <cellStyle name="Normal 2 86" xfId="37384" xr:uid="{00000000-0005-0000-0000-0000B9810000}"/>
    <cellStyle name="Normal 2 87" xfId="1547" xr:uid="{00000000-0005-0000-0000-0000BA810000}"/>
    <cellStyle name="Normal 2 9" xfId="1577" xr:uid="{00000000-0005-0000-0000-0000BB810000}"/>
    <cellStyle name="Normal 2 9 2" xfId="3662" xr:uid="{00000000-0005-0000-0000-0000BC810000}"/>
    <cellStyle name="Normal 2 9 2 2" xfId="9866" xr:uid="{00000000-0005-0000-0000-0000BD810000}"/>
    <cellStyle name="Normal 2 9 2 2 2" xfId="13487" xr:uid="{00000000-0005-0000-0000-0000BE810000}"/>
    <cellStyle name="Normal 2 9 2 3" xfId="23134" xr:uid="{00000000-0005-0000-0000-0000BF810000}"/>
    <cellStyle name="Normal 2 9 2 4" xfId="23135" xr:uid="{00000000-0005-0000-0000-0000C0810000}"/>
    <cellStyle name="Normal 2 9 2 5" xfId="23136" xr:uid="{00000000-0005-0000-0000-0000C1810000}"/>
    <cellStyle name="Normal 2 9 2 6" xfId="23137" xr:uid="{00000000-0005-0000-0000-0000C2810000}"/>
    <cellStyle name="Normal 2 9 3" xfId="4795" xr:uid="{00000000-0005-0000-0000-0000C3810000}"/>
    <cellStyle name="Normal 2 9 3 2" xfId="13486" xr:uid="{00000000-0005-0000-0000-0000C4810000}"/>
    <cellStyle name="Normal 2 9 3 3" xfId="35778" xr:uid="{00000000-0005-0000-0000-0000C5810000}"/>
    <cellStyle name="Normal 2 9 3 4" xfId="9865" xr:uid="{00000000-0005-0000-0000-0000C6810000}"/>
    <cellStyle name="Normal 2 9 4" xfId="23138" xr:uid="{00000000-0005-0000-0000-0000C7810000}"/>
    <cellStyle name="Normal 2 9 4 2" xfId="37840" xr:uid="{00000000-0005-0000-0000-0000C8810000}"/>
    <cellStyle name="Normal 2 9 5" xfId="23139" xr:uid="{00000000-0005-0000-0000-0000C9810000}"/>
    <cellStyle name="Normal 2 9 6" xfId="23140" xr:uid="{00000000-0005-0000-0000-0000CA810000}"/>
    <cellStyle name="Normal 2 9 7" xfId="23141" xr:uid="{00000000-0005-0000-0000-0000CB810000}"/>
    <cellStyle name="Normal 2 9 8" xfId="23142" xr:uid="{00000000-0005-0000-0000-0000CC810000}"/>
    <cellStyle name="Normal 2 94" xfId="46647" xr:uid="{00000000-0005-0000-0000-0000CD810000}"/>
    <cellStyle name="Normal 2_RCA" xfId="3663" xr:uid="{00000000-0005-0000-0000-0000CE810000}"/>
    <cellStyle name="Normal 20" xfId="1578" xr:uid="{00000000-0005-0000-0000-0000CF810000}"/>
    <cellStyle name="Normal 20 10" xfId="9867" xr:uid="{00000000-0005-0000-0000-0000D0810000}"/>
    <cellStyle name="Normal 20 10 2" xfId="13488" xr:uid="{00000000-0005-0000-0000-0000D1810000}"/>
    <cellStyle name="Normal 20 11" xfId="23143" xr:uid="{00000000-0005-0000-0000-0000D2810000}"/>
    <cellStyle name="Normal 20 12" xfId="23144" xr:uid="{00000000-0005-0000-0000-0000D3810000}"/>
    <cellStyle name="Normal 20 13" xfId="23145" xr:uid="{00000000-0005-0000-0000-0000D4810000}"/>
    <cellStyle name="Normal 20 14" xfId="23146" xr:uid="{00000000-0005-0000-0000-0000D5810000}"/>
    <cellStyle name="Normal 20 15" xfId="23147" xr:uid="{00000000-0005-0000-0000-0000D6810000}"/>
    <cellStyle name="Normal 20 2" xfId="1579" xr:uid="{00000000-0005-0000-0000-0000D7810000}"/>
    <cellStyle name="Normal 20 2 2" xfId="3666" xr:uid="{00000000-0005-0000-0000-0000D8810000}"/>
    <cellStyle name="Normal 20 2 2 2" xfId="5425" xr:uid="{00000000-0005-0000-0000-0000D9810000}"/>
    <cellStyle name="Normal 20 2 2 2 2" xfId="9870" xr:uid="{00000000-0005-0000-0000-0000DA810000}"/>
    <cellStyle name="Normal 20 2 2 2 2 2" xfId="13491" xr:uid="{00000000-0005-0000-0000-0000DB810000}"/>
    <cellStyle name="Normal 20 2 2 2 3" xfId="23148" xr:uid="{00000000-0005-0000-0000-0000DC810000}"/>
    <cellStyle name="Normal 20 2 2 2 4" xfId="23149" xr:uid="{00000000-0005-0000-0000-0000DD810000}"/>
    <cellStyle name="Normal 20 2 2 2 5" xfId="23150" xr:uid="{00000000-0005-0000-0000-0000DE810000}"/>
    <cellStyle name="Normal 20 2 2 2 6" xfId="23151" xr:uid="{00000000-0005-0000-0000-0000DF810000}"/>
    <cellStyle name="Normal 20 2 2 3" xfId="9869" xr:uid="{00000000-0005-0000-0000-0000E0810000}"/>
    <cellStyle name="Normal 20 2 2 3 2" xfId="13490" xr:uid="{00000000-0005-0000-0000-0000E1810000}"/>
    <cellStyle name="Normal 20 2 2 3 3" xfId="38434" xr:uid="{00000000-0005-0000-0000-0000E2810000}"/>
    <cellStyle name="Normal 20 2 2 4" xfId="23152" xr:uid="{00000000-0005-0000-0000-0000E3810000}"/>
    <cellStyle name="Normal 20 2 2 5" xfId="23153" xr:uid="{00000000-0005-0000-0000-0000E4810000}"/>
    <cellStyle name="Normal 20 2 2 6" xfId="23154" xr:uid="{00000000-0005-0000-0000-0000E5810000}"/>
    <cellStyle name="Normal 20 2 2 7" xfId="23155" xr:uid="{00000000-0005-0000-0000-0000E6810000}"/>
    <cellStyle name="Normal 20 2 3" xfId="3667" xr:uid="{00000000-0005-0000-0000-0000E7810000}"/>
    <cellStyle name="Normal 20 2 3 2" xfId="5426" xr:uid="{00000000-0005-0000-0000-0000E8810000}"/>
    <cellStyle name="Normal 20 2 3 2 2" xfId="13492" xr:uid="{00000000-0005-0000-0000-0000E9810000}"/>
    <cellStyle name="Normal 20 2 3 2 3" xfId="36136" xr:uid="{00000000-0005-0000-0000-0000EA810000}"/>
    <cellStyle name="Normal 20 2 3 2 4" xfId="9871" xr:uid="{00000000-0005-0000-0000-0000EB810000}"/>
    <cellStyle name="Normal 20 2 3 3" xfId="23156" xr:uid="{00000000-0005-0000-0000-0000EC810000}"/>
    <cellStyle name="Normal 20 2 3 3 2" xfId="38435" xr:uid="{00000000-0005-0000-0000-0000ED810000}"/>
    <cellStyle name="Normal 20 2 3 4" xfId="23157" xr:uid="{00000000-0005-0000-0000-0000EE810000}"/>
    <cellStyle name="Normal 20 2 3 5" xfId="23158" xr:uid="{00000000-0005-0000-0000-0000EF810000}"/>
    <cellStyle name="Normal 20 2 3 6" xfId="23159" xr:uid="{00000000-0005-0000-0000-0000F0810000}"/>
    <cellStyle name="Normal 20 2 4" xfId="3665" xr:uid="{00000000-0005-0000-0000-0000F1810000}"/>
    <cellStyle name="Normal 20 2 4 2" xfId="13489" xr:uid="{00000000-0005-0000-0000-0000F2810000}"/>
    <cellStyle name="Normal 20 2 4 3" xfId="35430" xr:uid="{00000000-0005-0000-0000-0000F3810000}"/>
    <cellStyle name="Normal 20 2 4 4" xfId="9868" xr:uid="{00000000-0005-0000-0000-0000F4810000}"/>
    <cellStyle name="Normal 20 2 5" xfId="4797" xr:uid="{00000000-0005-0000-0000-0000F5810000}"/>
    <cellStyle name="Normal 20 2 5 2" xfId="35779" xr:uid="{00000000-0005-0000-0000-0000F6810000}"/>
    <cellStyle name="Normal 20 2 5 3" xfId="23160" xr:uid="{00000000-0005-0000-0000-0000F7810000}"/>
    <cellStyle name="Normal 20 2 6" xfId="23161" xr:uid="{00000000-0005-0000-0000-0000F8810000}"/>
    <cellStyle name="Normal 20 2 6 2" xfId="37841" xr:uid="{00000000-0005-0000-0000-0000F9810000}"/>
    <cellStyle name="Normal 20 2 7" xfId="23162" xr:uid="{00000000-0005-0000-0000-0000FA810000}"/>
    <cellStyle name="Normal 20 2 8" xfId="23163" xr:uid="{00000000-0005-0000-0000-0000FB810000}"/>
    <cellStyle name="Normal 20 2 9" xfId="23164" xr:uid="{00000000-0005-0000-0000-0000FC810000}"/>
    <cellStyle name="Normal 20 3" xfId="3668" xr:uid="{00000000-0005-0000-0000-0000FD810000}"/>
    <cellStyle name="Normal 20 3 2" xfId="5427" xr:uid="{00000000-0005-0000-0000-0000FE810000}"/>
    <cellStyle name="Normal 20 3 2 2" xfId="9873" xr:uid="{00000000-0005-0000-0000-0000FF810000}"/>
    <cellStyle name="Normal 20 3 2 2 2" xfId="13494" xr:uid="{00000000-0005-0000-0000-000000820000}"/>
    <cellStyle name="Normal 20 3 2 3" xfId="23165" xr:uid="{00000000-0005-0000-0000-000001820000}"/>
    <cellStyle name="Normal 20 3 2 4" xfId="23166" xr:uid="{00000000-0005-0000-0000-000002820000}"/>
    <cellStyle name="Normal 20 3 2 5" xfId="23167" xr:uid="{00000000-0005-0000-0000-000003820000}"/>
    <cellStyle name="Normal 20 3 2 6" xfId="23168" xr:uid="{00000000-0005-0000-0000-000004820000}"/>
    <cellStyle name="Normal 20 3 3" xfId="9872" xr:uid="{00000000-0005-0000-0000-000005820000}"/>
    <cellStyle name="Normal 20 3 3 2" xfId="13493" xr:uid="{00000000-0005-0000-0000-000006820000}"/>
    <cellStyle name="Normal 20 3 3 3" xfId="38436" xr:uid="{00000000-0005-0000-0000-000007820000}"/>
    <cellStyle name="Normal 20 3 4" xfId="23169" xr:uid="{00000000-0005-0000-0000-000008820000}"/>
    <cellStyle name="Normal 20 3 5" xfId="23170" xr:uid="{00000000-0005-0000-0000-000009820000}"/>
    <cellStyle name="Normal 20 3 6" xfId="23171" xr:uid="{00000000-0005-0000-0000-00000A820000}"/>
    <cellStyle name="Normal 20 3 7" xfId="23172" xr:uid="{00000000-0005-0000-0000-00000B820000}"/>
    <cellStyle name="Normal 20 4" xfId="3664" xr:uid="{00000000-0005-0000-0000-00000C820000}"/>
    <cellStyle name="Normal 20 4 2" xfId="9874" xr:uid="{00000000-0005-0000-0000-00000D820000}"/>
    <cellStyle name="Normal 20 4 2 2" xfId="13495" xr:uid="{00000000-0005-0000-0000-00000E820000}"/>
    <cellStyle name="Normal 20 4 3" xfId="23173" xr:uid="{00000000-0005-0000-0000-00000F820000}"/>
    <cellStyle name="Normal 20 4 4" xfId="23174" xr:uid="{00000000-0005-0000-0000-000010820000}"/>
    <cellStyle name="Normal 20 4 5" xfId="23175" xr:uid="{00000000-0005-0000-0000-000011820000}"/>
    <cellStyle name="Normal 20 4 6" xfId="23176" xr:uid="{00000000-0005-0000-0000-000012820000}"/>
    <cellStyle name="Normal 20 5" xfId="4796" xr:uid="{00000000-0005-0000-0000-000013820000}"/>
    <cellStyle name="Normal 20 5 2" xfId="9875" xr:uid="{00000000-0005-0000-0000-000014820000}"/>
    <cellStyle name="Normal 20 5 2 2" xfId="13496" xr:uid="{00000000-0005-0000-0000-000015820000}"/>
    <cellStyle name="Normal 20 5 3" xfId="23177" xr:uid="{00000000-0005-0000-0000-000016820000}"/>
    <cellStyle name="Normal 20 5 4" xfId="23178" xr:uid="{00000000-0005-0000-0000-000017820000}"/>
    <cellStyle name="Normal 20 5 5" xfId="23179" xr:uid="{00000000-0005-0000-0000-000018820000}"/>
    <cellStyle name="Normal 20 5 6" xfId="23180" xr:uid="{00000000-0005-0000-0000-000019820000}"/>
    <cellStyle name="Normal 20 6" xfId="7566" xr:uid="{00000000-0005-0000-0000-00001A820000}"/>
    <cellStyle name="Normal 20 6 2" xfId="9876" xr:uid="{00000000-0005-0000-0000-00001B820000}"/>
    <cellStyle name="Normal 20 6 2 2" xfId="13497" xr:uid="{00000000-0005-0000-0000-00001C820000}"/>
    <cellStyle name="Normal 20 6 3" xfId="23181" xr:uid="{00000000-0005-0000-0000-00001D820000}"/>
    <cellStyle name="Normal 20 6 4" xfId="23182" xr:uid="{00000000-0005-0000-0000-00001E820000}"/>
    <cellStyle name="Normal 20 6 5" xfId="23183" xr:uid="{00000000-0005-0000-0000-00001F820000}"/>
    <cellStyle name="Normal 20 6 6" xfId="23184" xr:uid="{00000000-0005-0000-0000-000020820000}"/>
    <cellStyle name="Normal 20 7" xfId="7567" xr:uid="{00000000-0005-0000-0000-000021820000}"/>
    <cellStyle name="Normal 20 7 2" xfId="9877" xr:uid="{00000000-0005-0000-0000-000022820000}"/>
    <cellStyle name="Normal 20 7 2 2" xfId="13498" xr:uid="{00000000-0005-0000-0000-000023820000}"/>
    <cellStyle name="Normal 20 7 3" xfId="23185" xr:uid="{00000000-0005-0000-0000-000024820000}"/>
    <cellStyle name="Normal 20 7 4" xfId="23186" xr:uid="{00000000-0005-0000-0000-000025820000}"/>
    <cellStyle name="Normal 20 7 5" xfId="23187" xr:uid="{00000000-0005-0000-0000-000026820000}"/>
    <cellStyle name="Normal 20 7 6" xfId="23188" xr:uid="{00000000-0005-0000-0000-000027820000}"/>
    <cellStyle name="Normal 20 8" xfId="7568" xr:uid="{00000000-0005-0000-0000-000028820000}"/>
    <cellStyle name="Normal 20 8 2" xfId="9878" xr:uid="{00000000-0005-0000-0000-000029820000}"/>
    <cellStyle name="Normal 20 8 2 2" xfId="13499" xr:uid="{00000000-0005-0000-0000-00002A820000}"/>
    <cellStyle name="Normal 20 8 3" xfId="23189" xr:uid="{00000000-0005-0000-0000-00002B820000}"/>
    <cellStyle name="Normal 20 8 4" xfId="23190" xr:uid="{00000000-0005-0000-0000-00002C820000}"/>
    <cellStyle name="Normal 20 8 5" xfId="23191" xr:uid="{00000000-0005-0000-0000-00002D820000}"/>
    <cellStyle name="Normal 20 8 6" xfId="23192" xr:uid="{00000000-0005-0000-0000-00002E820000}"/>
    <cellStyle name="Normal 20 9" xfId="7569" xr:uid="{00000000-0005-0000-0000-00002F820000}"/>
    <cellStyle name="Normal 20 9 2" xfId="9879" xr:uid="{00000000-0005-0000-0000-000030820000}"/>
    <cellStyle name="Normal 20 9 2 2" xfId="13500" xr:uid="{00000000-0005-0000-0000-000031820000}"/>
    <cellStyle name="Normal 20 9 3" xfId="23193" xr:uid="{00000000-0005-0000-0000-000032820000}"/>
    <cellStyle name="Normal 20 9 4" xfId="23194" xr:uid="{00000000-0005-0000-0000-000033820000}"/>
    <cellStyle name="Normal 20 9 5" xfId="23195" xr:uid="{00000000-0005-0000-0000-000034820000}"/>
    <cellStyle name="Normal 20 9 6" xfId="23196" xr:uid="{00000000-0005-0000-0000-000035820000}"/>
    <cellStyle name="Normal 20_ELC" xfId="3669" xr:uid="{00000000-0005-0000-0000-000036820000}"/>
    <cellStyle name="Normal 21" xfId="1580" xr:uid="{00000000-0005-0000-0000-000037820000}"/>
    <cellStyle name="Normal 21 10" xfId="9880" xr:uid="{00000000-0005-0000-0000-000038820000}"/>
    <cellStyle name="Normal 21 10 2" xfId="13501" xr:uid="{00000000-0005-0000-0000-000039820000}"/>
    <cellStyle name="Normal 21 11" xfId="23197" xr:uid="{00000000-0005-0000-0000-00003A820000}"/>
    <cellStyle name="Normal 21 12" xfId="23198" xr:uid="{00000000-0005-0000-0000-00003B820000}"/>
    <cellStyle name="Normal 21 13" xfId="23199" xr:uid="{00000000-0005-0000-0000-00003C820000}"/>
    <cellStyle name="Normal 21 14" xfId="23200" xr:uid="{00000000-0005-0000-0000-00003D820000}"/>
    <cellStyle name="Normal 21 15" xfId="23201" xr:uid="{00000000-0005-0000-0000-00003E820000}"/>
    <cellStyle name="Normal 21 2" xfId="3670" xr:uid="{00000000-0005-0000-0000-00003F820000}"/>
    <cellStyle name="Normal 21 2 2" xfId="9881" xr:uid="{00000000-0005-0000-0000-000040820000}"/>
    <cellStyle name="Normal 21 2 2 2" xfId="13502" xr:uid="{00000000-0005-0000-0000-000041820000}"/>
    <cellStyle name="Normal 21 2 3" xfId="23202" xr:uid="{00000000-0005-0000-0000-000042820000}"/>
    <cellStyle name="Normal 21 2 4" xfId="23203" xr:uid="{00000000-0005-0000-0000-000043820000}"/>
    <cellStyle name="Normal 21 2 5" xfId="23204" xr:uid="{00000000-0005-0000-0000-000044820000}"/>
    <cellStyle name="Normal 21 2 6" xfId="23205" xr:uid="{00000000-0005-0000-0000-000045820000}"/>
    <cellStyle name="Normal 21 3" xfId="4798" xr:uid="{00000000-0005-0000-0000-000046820000}"/>
    <cellStyle name="Normal 21 3 2" xfId="9882" xr:uid="{00000000-0005-0000-0000-000047820000}"/>
    <cellStyle name="Normal 21 3 2 2" xfId="13503" xr:uid="{00000000-0005-0000-0000-000048820000}"/>
    <cellStyle name="Normal 21 3 3" xfId="23206" xr:uid="{00000000-0005-0000-0000-000049820000}"/>
    <cellStyle name="Normal 21 3 4" xfId="23207" xr:uid="{00000000-0005-0000-0000-00004A820000}"/>
    <cellStyle name="Normal 21 3 5" xfId="23208" xr:uid="{00000000-0005-0000-0000-00004B820000}"/>
    <cellStyle name="Normal 21 3 6" xfId="23209" xr:uid="{00000000-0005-0000-0000-00004C820000}"/>
    <cellStyle name="Normal 21 4" xfId="7570" xr:uid="{00000000-0005-0000-0000-00004D820000}"/>
    <cellStyle name="Normal 21 4 2" xfId="9883" xr:uid="{00000000-0005-0000-0000-00004E820000}"/>
    <cellStyle name="Normal 21 4 2 2" xfId="13504" xr:uid="{00000000-0005-0000-0000-00004F820000}"/>
    <cellStyle name="Normal 21 4 3" xfId="23210" xr:uid="{00000000-0005-0000-0000-000050820000}"/>
    <cellStyle name="Normal 21 4 4" xfId="23211" xr:uid="{00000000-0005-0000-0000-000051820000}"/>
    <cellStyle name="Normal 21 4 5" xfId="23212" xr:uid="{00000000-0005-0000-0000-000052820000}"/>
    <cellStyle name="Normal 21 4 6" xfId="23213" xr:uid="{00000000-0005-0000-0000-000053820000}"/>
    <cellStyle name="Normal 21 5" xfId="7571" xr:uid="{00000000-0005-0000-0000-000054820000}"/>
    <cellStyle name="Normal 21 5 2" xfId="9884" xr:uid="{00000000-0005-0000-0000-000055820000}"/>
    <cellStyle name="Normal 21 5 2 2" xfId="13505" xr:uid="{00000000-0005-0000-0000-000056820000}"/>
    <cellStyle name="Normal 21 5 3" xfId="23214" xr:uid="{00000000-0005-0000-0000-000057820000}"/>
    <cellStyle name="Normal 21 5 4" xfId="23215" xr:uid="{00000000-0005-0000-0000-000058820000}"/>
    <cellStyle name="Normal 21 5 5" xfId="23216" xr:uid="{00000000-0005-0000-0000-000059820000}"/>
    <cellStyle name="Normal 21 5 6" xfId="23217" xr:uid="{00000000-0005-0000-0000-00005A820000}"/>
    <cellStyle name="Normal 21 6" xfId="7572" xr:uid="{00000000-0005-0000-0000-00005B820000}"/>
    <cellStyle name="Normal 21 6 2" xfId="9885" xr:uid="{00000000-0005-0000-0000-00005C820000}"/>
    <cellStyle name="Normal 21 6 2 2" xfId="13506" xr:uid="{00000000-0005-0000-0000-00005D820000}"/>
    <cellStyle name="Normal 21 6 3" xfId="23218" xr:uid="{00000000-0005-0000-0000-00005E820000}"/>
    <cellStyle name="Normal 21 6 4" xfId="23219" xr:uid="{00000000-0005-0000-0000-00005F820000}"/>
    <cellStyle name="Normal 21 6 5" xfId="23220" xr:uid="{00000000-0005-0000-0000-000060820000}"/>
    <cellStyle name="Normal 21 6 6" xfId="23221" xr:uid="{00000000-0005-0000-0000-000061820000}"/>
    <cellStyle name="Normal 21 7" xfId="7573" xr:uid="{00000000-0005-0000-0000-000062820000}"/>
    <cellStyle name="Normal 21 7 2" xfId="9886" xr:uid="{00000000-0005-0000-0000-000063820000}"/>
    <cellStyle name="Normal 21 7 2 2" xfId="13507" xr:uid="{00000000-0005-0000-0000-000064820000}"/>
    <cellStyle name="Normal 21 7 3" xfId="23222" xr:uid="{00000000-0005-0000-0000-000065820000}"/>
    <cellStyle name="Normal 21 7 4" xfId="23223" xr:uid="{00000000-0005-0000-0000-000066820000}"/>
    <cellStyle name="Normal 21 7 5" xfId="23224" xr:uid="{00000000-0005-0000-0000-000067820000}"/>
    <cellStyle name="Normal 21 7 6" xfId="23225" xr:uid="{00000000-0005-0000-0000-000068820000}"/>
    <cellStyle name="Normal 21 8" xfId="7574" xr:uid="{00000000-0005-0000-0000-000069820000}"/>
    <cellStyle name="Normal 21 8 2" xfId="9887" xr:uid="{00000000-0005-0000-0000-00006A820000}"/>
    <cellStyle name="Normal 21 8 2 2" xfId="13508" xr:uid="{00000000-0005-0000-0000-00006B820000}"/>
    <cellStyle name="Normal 21 8 3" xfId="23226" xr:uid="{00000000-0005-0000-0000-00006C820000}"/>
    <cellStyle name="Normal 21 8 4" xfId="23227" xr:uid="{00000000-0005-0000-0000-00006D820000}"/>
    <cellStyle name="Normal 21 8 5" xfId="23228" xr:uid="{00000000-0005-0000-0000-00006E820000}"/>
    <cellStyle name="Normal 21 8 6" xfId="23229" xr:uid="{00000000-0005-0000-0000-00006F820000}"/>
    <cellStyle name="Normal 21 9" xfId="7575" xr:uid="{00000000-0005-0000-0000-000070820000}"/>
    <cellStyle name="Normal 21 9 2" xfId="9888" xr:uid="{00000000-0005-0000-0000-000071820000}"/>
    <cellStyle name="Normal 21 9 2 2" xfId="13509" xr:uid="{00000000-0005-0000-0000-000072820000}"/>
    <cellStyle name="Normal 21 9 3" xfId="23230" xr:uid="{00000000-0005-0000-0000-000073820000}"/>
    <cellStyle name="Normal 21 9 4" xfId="23231" xr:uid="{00000000-0005-0000-0000-000074820000}"/>
    <cellStyle name="Normal 21 9 5" xfId="23232" xr:uid="{00000000-0005-0000-0000-000075820000}"/>
    <cellStyle name="Normal 21 9 6" xfId="23233" xr:uid="{00000000-0005-0000-0000-000076820000}"/>
    <cellStyle name="Normal 22" xfId="1581" xr:uid="{00000000-0005-0000-0000-000077820000}"/>
    <cellStyle name="Normal 22 10" xfId="9889" xr:uid="{00000000-0005-0000-0000-000078820000}"/>
    <cellStyle name="Normal 22 10 2" xfId="13510" xr:uid="{00000000-0005-0000-0000-000079820000}"/>
    <cellStyle name="Normal 22 11" xfId="23234" xr:uid="{00000000-0005-0000-0000-00007A820000}"/>
    <cellStyle name="Normal 22 12" xfId="23235" xr:uid="{00000000-0005-0000-0000-00007B820000}"/>
    <cellStyle name="Normal 22 13" xfId="23236" xr:uid="{00000000-0005-0000-0000-00007C820000}"/>
    <cellStyle name="Normal 22 14" xfId="23237" xr:uid="{00000000-0005-0000-0000-00007D820000}"/>
    <cellStyle name="Normal 22 15" xfId="23238" xr:uid="{00000000-0005-0000-0000-00007E820000}"/>
    <cellStyle name="Normal 22 2" xfId="1582" xr:uid="{00000000-0005-0000-0000-00007F820000}"/>
    <cellStyle name="Normal 22 2 2" xfId="3673" xr:uid="{00000000-0005-0000-0000-000080820000}"/>
    <cellStyle name="Normal 22 2 2 2" xfId="5428" xr:uid="{00000000-0005-0000-0000-000081820000}"/>
    <cellStyle name="Normal 22 2 2 2 2" xfId="9892" xr:uid="{00000000-0005-0000-0000-000082820000}"/>
    <cellStyle name="Normal 22 2 2 2 2 2" xfId="13513" xr:uid="{00000000-0005-0000-0000-000083820000}"/>
    <cellStyle name="Normal 22 2 2 2 3" xfId="23239" xr:uid="{00000000-0005-0000-0000-000084820000}"/>
    <cellStyle name="Normal 22 2 2 2 4" xfId="23240" xr:uid="{00000000-0005-0000-0000-000085820000}"/>
    <cellStyle name="Normal 22 2 2 2 5" xfId="23241" xr:uid="{00000000-0005-0000-0000-000086820000}"/>
    <cellStyle name="Normal 22 2 2 2 6" xfId="23242" xr:uid="{00000000-0005-0000-0000-000087820000}"/>
    <cellStyle name="Normal 22 2 2 3" xfId="9891" xr:uid="{00000000-0005-0000-0000-000088820000}"/>
    <cellStyle name="Normal 22 2 2 3 2" xfId="13512" xr:uid="{00000000-0005-0000-0000-000089820000}"/>
    <cellStyle name="Normal 22 2 2 3 3" xfId="38437" xr:uid="{00000000-0005-0000-0000-00008A820000}"/>
    <cellStyle name="Normal 22 2 2 4" xfId="23243" xr:uid="{00000000-0005-0000-0000-00008B820000}"/>
    <cellStyle name="Normal 22 2 2 5" xfId="23244" xr:uid="{00000000-0005-0000-0000-00008C820000}"/>
    <cellStyle name="Normal 22 2 2 6" xfId="23245" xr:uid="{00000000-0005-0000-0000-00008D820000}"/>
    <cellStyle name="Normal 22 2 2 7" xfId="23246" xr:uid="{00000000-0005-0000-0000-00008E820000}"/>
    <cellStyle name="Normal 22 2 3" xfId="3674" xr:uid="{00000000-0005-0000-0000-00008F820000}"/>
    <cellStyle name="Normal 22 2 3 2" xfId="5429" xr:uid="{00000000-0005-0000-0000-000090820000}"/>
    <cellStyle name="Normal 22 2 3 2 2" xfId="13514" xr:uid="{00000000-0005-0000-0000-000091820000}"/>
    <cellStyle name="Normal 22 2 3 2 3" xfId="36137" xr:uid="{00000000-0005-0000-0000-000092820000}"/>
    <cellStyle name="Normal 22 2 3 2 4" xfId="9893" xr:uid="{00000000-0005-0000-0000-000093820000}"/>
    <cellStyle name="Normal 22 2 3 3" xfId="23247" xr:uid="{00000000-0005-0000-0000-000094820000}"/>
    <cellStyle name="Normal 22 2 3 3 2" xfId="38438" xr:uid="{00000000-0005-0000-0000-000095820000}"/>
    <cellStyle name="Normal 22 2 3 4" xfId="23248" xr:uid="{00000000-0005-0000-0000-000096820000}"/>
    <cellStyle name="Normal 22 2 3 5" xfId="23249" xr:uid="{00000000-0005-0000-0000-000097820000}"/>
    <cellStyle name="Normal 22 2 3 6" xfId="23250" xr:uid="{00000000-0005-0000-0000-000098820000}"/>
    <cellStyle name="Normal 22 2 4" xfId="3672" xr:uid="{00000000-0005-0000-0000-000099820000}"/>
    <cellStyle name="Normal 22 2 4 2" xfId="13511" xr:uid="{00000000-0005-0000-0000-00009A820000}"/>
    <cellStyle name="Normal 22 2 4 3" xfId="35431" xr:uid="{00000000-0005-0000-0000-00009B820000}"/>
    <cellStyle name="Normal 22 2 4 4" xfId="9890" xr:uid="{00000000-0005-0000-0000-00009C820000}"/>
    <cellStyle name="Normal 22 2 5" xfId="4800" xr:uid="{00000000-0005-0000-0000-00009D820000}"/>
    <cellStyle name="Normal 22 2 5 2" xfId="35780" xr:uid="{00000000-0005-0000-0000-00009E820000}"/>
    <cellStyle name="Normal 22 2 5 3" xfId="23251" xr:uid="{00000000-0005-0000-0000-00009F820000}"/>
    <cellStyle name="Normal 22 2 6" xfId="23252" xr:uid="{00000000-0005-0000-0000-0000A0820000}"/>
    <cellStyle name="Normal 22 2 6 2" xfId="37842" xr:uid="{00000000-0005-0000-0000-0000A1820000}"/>
    <cellStyle name="Normal 22 2 7" xfId="23253" xr:uid="{00000000-0005-0000-0000-0000A2820000}"/>
    <cellStyle name="Normal 22 2 8" xfId="23254" xr:uid="{00000000-0005-0000-0000-0000A3820000}"/>
    <cellStyle name="Normal 22 2 9" xfId="23255" xr:uid="{00000000-0005-0000-0000-0000A4820000}"/>
    <cellStyle name="Normal 22 3" xfId="3675" xr:uid="{00000000-0005-0000-0000-0000A5820000}"/>
    <cellStyle name="Normal 22 3 2" xfId="5430" xr:uid="{00000000-0005-0000-0000-0000A6820000}"/>
    <cellStyle name="Normal 22 3 2 2" xfId="9895" xr:uid="{00000000-0005-0000-0000-0000A7820000}"/>
    <cellStyle name="Normal 22 3 2 2 2" xfId="13516" xr:uid="{00000000-0005-0000-0000-0000A8820000}"/>
    <cellStyle name="Normal 22 3 2 3" xfId="23256" xr:uid="{00000000-0005-0000-0000-0000A9820000}"/>
    <cellStyle name="Normal 22 3 2 4" xfId="23257" xr:uid="{00000000-0005-0000-0000-0000AA820000}"/>
    <cellStyle name="Normal 22 3 2 5" xfId="23258" xr:uid="{00000000-0005-0000-0000-0000AB820000}"/>
    <cellStyle name="Normal 22 3 2 6" xfId="23259" xr:uid="{00000000-0005-0000-0000-0000AC820000}"/>
    <cellStyle name="Normal 22 3 3" xfId="9894" xr:uid="{00000000-0005-0000-0000-0000AD820000}"/>
    <cellStyle name="Normal 22 3 3 2" xfId="13515" xr:uid="{00000000-0005-0000-0000-0000AE820000}"/>
    <cellStyle name="Normal 22 3 3 3" xfId="38439" xr:uid="{00000000-0005-0000-0000-0000AF820000}"/>
    <cellStyle name="Normal 22 3 4" xfId="23260" xr:uid="{00000000-0005-0000-0000-0000B0820000}"/>
    <cellStyle name="Normal 22 3 5" xfId="23261" xr:uid="{00000000-0005-0000-0000-0000B1820000}"/>
    <cellStyle name="Normal 22 3 6" xfId="23262" xr:uid="{00000000-0005-0000-0000-0000B2820000}"/>
    <cellStyle name="Normal 22 3 7" xfId="23263" xr:uid="{00000000-0005-0000-0000-0000B3820000}"/>
    <cellStyle name="Normal 22 4" xfId="3671" xr:uid="{00000000-0005-0000-0000-0000B4820000}"/>
    <cellStyle name="Normal 22 4 2" xfId="9896" xr:uid="{00000000-0005-0000-0000-0000B5820000}"/>
    <cellStyle name="Normal 22 4 2 2" xfId="13517" xr:uid="{00000000-0005-0000-0000-0000B6820000}"/>
    <cellStyle name="Normal 22 4 3" xfId="23264" xr:uid="{00000000-0005-0000-0000-0000B7820000}"/>
    <cellStyle name="Normal 22 4 4" xfId="23265" xr:uid="{00000000-0005-0000-0000-0000B8820000}"/>
    <cellStyle name="Normal 22 4 5" xfId="23266" xr:uid="{00000000-0005-0000-0000-0000B9820000}"/>
    <cellStyle name="Normal 22 4 6" xfId="23267" xr:uid="{00000000-0005-0000-0000-0000BA820000}"/>
    <cellStyle name="Normal 22 5" xfId="4799" xr:uid="{00000000-0005-0000-0000-0000BB820000}"/>
    <cellStyle name="Normal 22 5 2" xfId="9897" xr:uid="{00000000-0005-0000-0000-0000BC820000}"/>
    <cellStyle name="Normal 22 5 2 2" xfId="13518" xr:uid="{00000000-0005-0000-0000-0000BD820000}"/>
    <cellStyle name="Normal 22 5 3" xfId="23268" xr:uid="{00000000-0005-0000-0000-0000BE820000}"/>
    <cellStyle name="Normal 22 5 4" xfId="23269" xr:uid="{00000000-0005-0000-0000-0000BF820000}"/>
    <cellStyle name="Normal 22 5 5" xfId="23270" xr:uid="{00000000-0005-0000-0000-0000C0820000}"/>
    <cellStyle name="Normal 22 5 6" xfId="23271" xr:uid="{00000000-0005-0000-0000-0000C1820000}"/>
    <cellStyle name="Normal 22 6" xfId="7576" xr:uid="{00000000-0005-0000-0000-0000C2820000}"/>
    <cellStyle name="Normal 22 6 2" xfId="9898" xr:uid="{00000000-0005-0000-0000-0000C3820000}"/>
    <cellStyle name="Normal 22 6 2 2" xfId="13519" xr:uid="{00000000-0005-0000-0000-0000C4820000}"/>
    <cellStyle name="Normal 22 6 3" xfId="23272" xr:uid="{00000000-0005-0000-0000-0000C5820000}"/>
    <cellStyle name="Normal 22 6 4" xfId="23273" xr:uid="{00000000-0005-0000-0000-0000C6820000}"/>
    <cellStyle name="Normal 22 6 5" xfId="23274" xr:uid="{00000000-0005-0000-0000-0000C7820000}"/>
    <cellStyle name="Normal 22 6 6" xfId="23275" xr:uid="{00000000-0005-0000-0000-0000C8820000}"/>
    <cellStyle name="Normal 22 7" xfId="7577" xr:uid="{00000000-0005-0000-0000-0000C9820000}"/>
    <cellStyle name="Normal 22 7 2" xfId="9899" xr:uid="{00000000-0005-0000-0000-0000CA820000}"/>
    <cellStyle name="Normal 22 7 2 2" xfId="13520" xr:uid="{00000000-0005-0000-0000-0000CB820000}"/>
    <cellStyle name="Normal 22 7 3" xfId="23276" xr:uid="{00000000-0005-0000-0000-0000CC820000}"/>
    <cellStyle name="Normal 22 7 4" xfId="23277" xr:uid="{00000000-0005-0000-0000-0000CD820000}"/>
    <cellStyle name="Normal 22 7 5" xfId="23278" xr:uid="{00000000-0005-0000-0000-0000CE820000}"/>
    <cellStyle name="Normal 22 7 6" xfId="23279" xr:uid="{00000000-0005-0000-0000-0000CF820000}"/>
    <cellStyle name="Normal 22 8" xfId="7578" xr:uid="{00000000-0005-0000-0000-0000D0820000}"/>
    <cellStyle name="Normal 22 8 2" xfId="9900" xr:uid="{00000000-0005-0000-0000-0000D1820000}"/>
    <cellStyle name="Normal 22 8 2 2" xfId="13521" xr:uid="{00000000-0005-0000-0000-0000D2820000}"/>
    <cellStyle name="Normal 22 8 3" xfId="23280" xr:uid="{00000000-0005-0000-0000-0000D3820000}"/>
    <cellStyle name="Normal 22 8 4" xfId="23281" xr:uid="{00000000-0005-0000-0000-0000D4820000}"/>
    <cellStyle name="Normal 22 8 5" xfId="23282" xr:uid="{00000000-0005-0000-0000-0000D5820000}"/>
    <cellStyle name="Normal 22 8 6" xfId="23283" xr:uid="{00000000-0005-0000-0000-0000D6820000}"/>
    <cellStyle name="Normal 22 9" xfId="7579" xr:uid="{00000000-0005-0000-0000-0000D7820000}"/>
    <cellStyle name="Normal 22 9 2" xfId="9901" xr:uid="{00000000-0005-0000-0000-0000D8820000}"/>
    <cellStyle name="Normal 22 9 2 2" xfId="13522" xr:uid="{00000000-0005-0000-0000-0000D9820000}"/>
    <cellStyle name="Normal 22 9 3" xfId="23284" xr:uid="{00000000-0005-0000-0000-0000DA820000}"/>
    <cellStyle name="Normal 22 9 4" xfId="23285" xr:uid="{00000000-0005-0000-0000-0000DB820000}"/>
    <cellStyle name="Normal 22 9 5" xfId="23286" xr:uid="{00000000-0005-0000-0000-0000DC820000}"/>
    <cellStyle name="Normal 22 9 6" xfId="23287" xr:uid="{00000000-0005-0000-0000-0000DD820000}"/>
    <cellStyle name="Normal 22_ELC" xfId="3676" xr:uid="{00000000-0005-0000-0000-0000DE820000}"/>
    <cellStyle name="Normal 23" xfId="1583" xr:uid="{00000000-0005-0000-0000-0000DF820000}"/>
    <cellStyle name="Normal 23 10" xfId="8492" xr:uid="{00000000-0005-0000-0000-0000E0820000}"/>
    <cellStyle name="Normal 23 10 2" xfId="9903" xr:uid="{00000000-0005-0000-0000-0000E1820000}"/>
    <cellStyle name="Normal 23 10 2 2" xfId="13524" xr:uid="{00000000-0005-0000-0000-0000E2820000}"/>
    <cellStyle name="Normal 23 10 3" xfId="23288" xr:uid="{00000000-0005-0000-0000-0000E3820000}"/>
    <cellStyle name="Normal 23 10 4" xfId="23289" xr:uid="{00000000-0005-0000-0000-0000E4820000}"/>
    <cellStyle name="Normal 23 10 5" xfId="23290" xr:uid="{00000000-0005-0000-0000-0000E5820000}"/>
    <cellStyle name="Normal 23 10 6" xfId="23291" xr:uid="{00000000-0005-0000-0000-0000E6820000}"/>
    <cellStyle name="Normal 23 11" xfId="9902" xr:uid="{00000000-0005-0000-0000-0000E7820000}"/>
    <cellStyle name="Normal 23 11 2" xfId="13523" xr:uid="{00000000-0005-0000-0000-0000E8820000}"/>
    <cellStyle name="Normal 23 12" xfId="23292" xr:uid="{00000000-0005-0000-0000-0000E9820000}"/>
    <cellStyle name="Normal 23 13" xfId="23293" xr:uid="{00000000-0005-0000-0000-0000EA820000}"/>
    <cellStyle name="Normal 23 14" xfId="23294" xr:uid="{00000000-0005-0000-0000-0000EB820000}"/>
    <cellStyle name="Normal 23 15" xfId="23295" xr:uid="{00000000-0005-0000-0000-0000EC820000}"/>
    <cellStyle name="Normal 23 16" xfId="23296" xr:uid="{00000000-0005-0000-0000-0000ED820000}"/>
    <cellStyle name="Normal 23 2" xfId="1584" xr:uid="{00000000-0005-0000-0000-0000EE820000}"/>
    <cellStyle name="Normal 23 2 2" xfId="3679" xr:uid="{00000000-0005-0000-0000-0000EF820000}"/>
    <cellStyle name="Normal 23 2 2 2" xfId="5431" xr:uid="{00000000-0005-0000-0000-0000F0820000}"/>
    <cellStyle name="Normal 23 2 2 2 2" xfId="9906" xr:uid="{00000000-0005-0000-0000-0000F1820000}"/>
    <cellStyle name="Normal 23 2 2 2 2 2" xfId="13527" xr:uid="{00000000-0005-0000-0000-0000F2820000}"/>
    <cellStyle name="Normal 23 2 2 2 3" xfId="23297" xr:uid="{00000000-0005-0000-0000-0000F3820000}"/>
    <cellStyle name="Normal 23 2 2 2 4" xfId="23298" xr:uid="{00000000-0005-0000-0000-0000F4820000}"/>
    <cellStyle name="Normal 23 2 2 2 5" xfId="23299" xr:uid="{00000000-0005-0000-0000-0000F5820000}"/>
    <cellStyle name="Normal 23 2 2 2 6" xfId="23300" xr:uid="{00000000-0005-0000-0000-0000F6820000}"/>
    <cellStyle name="Normal 23 2 2 3" xfId="9905" xr:uid="{00000000-0005-0000-0000-0000F7820000}"/>
    <cellStyle name="Normal 23 2 2 3 2" xfId="13526" xr:uid="{00000000-0005-0000-0000-0000F8820000}"/>
    <cellStyle name="Normal 23 2 2 3 3" xfId="38440" xr:uid="{00000000-0005-0000-0000-0000F9820000}"/>
    <cellStyle name="Normal 23 2 2 4" xfId="23301" xr:uid="{00000000-0005-0000-0000-0000FA820000}"/>
    <cellStyle name="Normal 23 2 2 5" xfId="23302" xr:uid="{00000000-0005-0000-0000-0000FB820000}"/>
    <cellStyle name="Normal 23 2 2 6" xfId="23303" xr:uid="{00000000-0005-0000-0000-0000FC820000}"/>
    <cellStyle name="Normal 23 2 2 7" xfId="23304" xr:uid="{00000000-0005-0000-0000-0000FD820000}"/>
    <cellStyle name="Normal 23 2 3" xfId="3680" xr:uid="{00000000-0005-0000-0000-0000FE820000}"/>
    <cellStyle name="Normal 23 2 3 2" xfId="5432" xr:uid="{00000000-0005-0000-0000-0000FF820000}"/>
    <cellStyle name="Normal 23 2 3 2 2" xfId="9908" xr:uid="{00000000-0005-0000-0000-000000830000}"/>
    <cellStyle name="Normal 23 2 3 2 2 2" xfId="13529" xr:uid="{00000000-0005-0000-0000-000001830000}"/>
    <cellStyle name="Normal 23 2 3 2 3" xfId="23305" xr:uid="{00000000-0005-0000-0000-000002830000}"/>
    <cellStyle name="Normal 23 2 3 2 4" xfId="23306" xr:uid="{00000000-0005-0000-0000-000003830000}"/>
    <cellStyle name="Normal 23 2 3 2 5" xfId="23307" xr:uid="{00000000-0005-0000-0000-000004830000}"/>
    <cellStyle name="Normal 23 2 3 2 6" xfId="23308" xr:uid="{00000000-0005-0000-0000-000005830000}"/>
    <cellStyle name="Normal 23 2 3 3" xfId="9907" xr:uid="{00000000-0005-0000-0000-000006830000}"/>
    <cellStyle name="Normal 23 2 3 3 2" xfId="13528" xr:uid="{00000000-0005-0000-0000-000007830000}"/>
    <cellStyle name="Normal 23 2 3 3 3" xfId="38441" xr:uid="{00000000-0005-0000-0000-000008830000}"/>
    <cellStyle name="Normal 23 2 3 4" xfId="12472" xr:uid="{00000000-0005-0000-0000-000009830000}"/>
    <cellStyle name="Normal 23 2 3 5" xfId="8282" xr:uid="{00000000-0005-0000-0000-00000A830000}"/>
    <cellStyle name="Normal 23 2 4" xfId="3678" xr:uid="{00000000-0005-0000-0000-00000B830000}"/>
    <cellStyle name="Normal 23 2 4 2" xfId="13525" xr:uid="{00000000-0005-0000-0000-00000C830000}"/>
    <cellStyle name="Normal 23 2 4 3" xfId="35432" xr:uid="{00000000-0005-0000-0000-00000D830000}"/>
    <cellStyle name="Normal 23 2 4 4" xfId="9904" xr:uid="{00000000-0005-0000-0000-00000E830000}"/>
    <cellStyle name="Normal 23 2 5" xfId="4802" xr:uid="{00000000-0005-0000-0000-00000F830000}"/>
    <cellStyle name="Normal 23 2 5 2" xfId="35781" xr:uid="{00000000-0005-0000-0000-000010830000}"/>
    <cellStyle name="Normal 23 2 5 3" xfId="23309" xr:uid="{00000000-0005-0000-0000-000011830000}"/>
    <cellStyle name="Normal 23 2 6" xfId="23310" xr:uid="{00000000-0005-0000-0000-000012830000}"/>
    <cellStyle name="Normal 23 2 6 2" xfId="37843" xr:uid="{00000000-0005-0000-0000-000013830000}"/>
    <cellStyle name="Normal 23 2 7" xfId="23311" xr:uid="{00000000-0005-0000-0000-000014830000}"/>
    <cellStyle name="Normal 23 2 8" xfId="23312" xr:uid="{00000000-0005-0000-0000-000015830000}"/>
    <cellStyle name="Normal 23 2 9" xfId="23313" xr:uid="{00000000-0005-0000-0000-000016830000}"/>
    <cellStyle name="Normal 23 3" xfId="3681" xr:uid="{00000000-0005-0000-0000-000017830000}"/>
    <cellStyle name="Normal 23 3 2" xfId="5433" xr:uid="{00000000-0005-0000-0000-000018830000}"/>
    <cellStyle name="Normal 23 3 2 2" xfId="9910" xr:uid="{00000000-0005-0000-0000-000019830000}"/>
    <cellStyle name="Normal 23 3 2 2 2" xfId="13531" xr:uid="{00000000-0005-0000-0000-00001A830000}"/>
    <cellStyle name="Normal 23 3 2 3" xfId="23314" xr:uid="{00000000-0005-0000-0000-00001B830000}"/>
    <cellStyle name="Normal 23 3 2 4" xfId="23315" xr:uid="{00000000-0005-0000-0000-00001C830000}"/>
    <cellStyle name="Normal 23 3 2 5" xfId="23316" xr:uid="{00000000-0005-0000-0000-00001D830000}"/>
    <cellStyle name="Normal 23 3 2 6" xfId="23317" xr:uid="{00000000-0005-0000-0000-00001E830000}"/>
    <cellStyle name="Normal 23 3 3" xfId="9909" xr:uid="{00000000-0005-0000-0000-00001F830000}"/>
    <cellStyle name="Normal 23 3 3 2" xfId="13530" xr:uid="{00000000-0005-0000-0000-000020830000}"/>
    <cellStyle name="Normal 23 3 3 3" xfId="38442" xr:uid="{00000000-0005-0000-0000-000021830000}"/>
    <cellStyle name="Normal 23 3 4" xfId="23318" xr:uid="{00000000-0005-0000-0000-000022830000}"/>
    <cellStyle name="Normal 23 3 5" xfId="23319" xr:uid="{00000000-0005-0000-0000-000023830000}"/>
    <cellStyle name="Normal 23 3 6" xfId="23320" xr:uid="{00000000-0005-0000-0000-000024830000}"/>
    <cellStyle name="Normal 23 3 7" xfId="23321" xr:uid="{00000000-0005-0000-0000-000025830000}"/>
    <cellStyle name="Normal 23 4" xfId="3682" xr:uid="{00000000-0005-0000-0000-000026830000}"/>
    <cellStyle name="Normal 23 4 2" xfId="7580" xr:uid="{00000000-0005-0000-0000-000027830000}"/>
    <cellStyle name="Normal 23 4 2 2" xfId="9912" xr:uid="{00000000-0005-0000-0000-000028830000}"/>
    <cellStyle name="Normal 23 4 2 2 2" xfId="13533" xr:uid="{00000000-0005-0000-0000-000029830000}"/>
    <cellStyle name="Normal 23 4 2 3" xfId="23322" xr:uid="{00000000-0005-0000-0000-00002A830000}"/>
    <cellStyle name="Normal 23 4 2 4" xfId="23323" xr:uid="{00000000-0005-0000-0000-00002B830000}"/>
    <cellStyle name="Normal 23 4 2 5" xfId="23324" xr:uid="{00000000-0005-0000-0000-00002C830000}"/>
    <cellStyle name="Normal 23 4 2 6" xfId="23325" xr:uid="{00000000-0005-0000-0000-00002D830000}"/>
    <cellStyle name="Normal 23 4 3" xfId="9911" xr:uid="{00000000-0005-0000-0000-00002E830000}"/>
    <cellStyle name="Normal 23 4 3 2" xfId="13532" xr:uid="{00000000-0005-0000-0000-00002F830000}"/>
    <cellStyle name="Normal 23 4 4" xfId="23326" xr:uid="{00000000-0005-0000-0000-000030830000}"/>
    <cellStyle name="Normal 23 4 5" xfId="23327" xr:uid="{00000000-0005-0000-0000-000031830000}"/>
    <cellStyle name="Normal 23 4 6" xfId="23328" xr:uid="{00000000-0005-0000-0000-000032830000}"/>
    <cellStyle name="Normal 23 4 7" xfId="23329" xr:uid="{00000000-0005-0000-0000-000033830000}"/>
    <cellStyle name="Normal 23 5" xfId="3677" xr:uid="{00000000-0005-0000-0000-000034830000}"/>
    <cellStyle name="Normal 23 5 2" xfId="9913" xr:uid="{00000000-0005-0000-0000-000035830000}"/>
    <cellStyle name="Normal 23 5 2 2" xfId="13534" xr:uid="{00000000-0005-0000-0000-000036830000}"/>
    <cellStyle name="Normal 23 5 3" xfId="23330" xr:uid="{00000000-0005-0000-0000-000037830000}"/>
    <cellStyle name="Normal 23 5 4" xfId="23331" xr:uid="{00000000-0005-0000-0000-000038830000}"/>
    <cellStyle name="Normal 23 5 5" xfId="23332" xr:uid="{00000000-0005-0000-0000-000039830000}"/>
    <cellStyle name="Normal 23 5 6" xfId="23333" xr:uid="{00000000-0005-0000-0000-00003A830000}"/>
    <cellStyle name="Normal 23 6" xfId="4801" xr:uid="{00000000-0005-0000-0000-00003B830000}"/>
    <cellStyle name="Normal 23 6 2" xfId="9914" xr:uid="{00000000-0005-0000-0000-00003C830000}"/>
    <cellStyle name="Normal 23 6 2 2" xfId="13535" xr:uid="{00000000-0005-0000-0000-00003D830000}"/>
    <cellStyle name="Normal 23 6 3" xfId="23334" xr:uid="{00000000-0005-0000-0000-00003E830000}"/>
    <cellStyle name="Normal 23 6 4" xfId="23335" xr:uid="{00000000-0005-0000-0000-00003F830000}"/>
    <cellStyle name="Normal 23 6 5" xfId="23336" xr:uid="{00000000-0005-0000-0000-000040830000}"/>
    <cellStyle name="Normal 23 6 6" xfId="23337" xr:uid="{00000000-0005-0000-0000-000041830000}"/>
    <cellStyle name="Normal 23 7" xfId="7581" xr:uid="{00000000-0005-0000-0000-000042830000}"/>
    <cellStyle name="Normal 23 7 2" xfId="9915" xr:uid="{00000000-0005-0000-0000-000043830000}"/>
    <cellStyle name="Normal 23 7 2 2" xfId="13536" xr:uid="{00000000-0005-0000-0000-000044830000}"/>
    <cellStyle name="Normal 23 7 3" xfId="23338" xr:uid="{00000000-0005-0000-0000-000045830000}"/>
    <cellStyle name="Normal 23 7 4" xfId="23339" xr:uid="{00000000-0005-0000-0000-000046830000}"/>
    <cellStyle name="Normal 23 7 5" xfId="23340" xr:uid="{00000000-0005-0000-0000-000047830000}"/>
    <cellStyle name="Normal 23 7 6" xfId="23341" xr:uid="{00000000-0005-0000-0000-000048830000}"/>
    <cellStyle name="Normal 23 8" xfId="7582" xr:uid="{00000000-0005-0000-0000-000049830000}"/>
    <cellStyle name="Normal 23 8 2" xfId="9916" xr:uid="{00000000-0005-0000-0000-00004A830000}"/>
    <cellStyle name="Normal 23 8 2 2" xfId="13537" xr:uid="{00000000-0005-0000-0000-00004B830000}"/>
    <cellStyle name="Normal 23 8 3" xfId="23342" xr:uid="{00000000-0005-0000-0000-00004C830000}"/>
    <cellStyle name="Normal 23 8 4" xfId="23343" xr:uid="{00000000-0005-0000-0000-00004D830000}"/>
    <cellStyle name="Normal 23 8 5" xfId="23344" xr:uid="{00000000-0005-0000-0000-00004E830000}"/>
    <cellStyle name="Normal 23 8 6" xfId="23345" xr:uid="{00000000-0005-0000-0000-00004F830000}"/>
    <cellStyle name="Normal 23 9" xfId="7583" xr:uid="{00000000-0005-0000-0000-000050830000}"/>
    <cellStyle name="Normal 23 9 2" xfId="9917" xr:uid="{00000000-0005-0000-0000-000051830000}"/>
    <cellStyle name="Normal 23 9 2 2" xfId="13538" xr:uid="{00000000-0005-0000-0000-000052830000}"/>
    <cellStyle name="Normal 23 9 3" xfId="23346" xr:uid="{00000000-0005-0000-0000-000053830000}"/>
    <cellStyle name="Normal 23 9 4" xfId="23347" xr:uid="{00000000-0005-0000-0000-000054830000}"/>
    <cellStyle name="Normal 23 9 5" xfId="23348" xr:uid="{00000000-0005-0000-0000-000055830000}"/>
    <cellStyle name="Normal 23 9 6" xfId="23349" xr:uid="{00000000-0005-0000-0000-000056830000}"/>
    <cellStyle name="Normal 23_ELC" xfId="3683" xr:uid="{00000000-0005-0000-0000-000057830000}"/>
    <cellStyle name="Normal 24" xfId="1585" xr:uid="{00000000-0005-0000-0000-000058830000}"/>
    <cellStyle name="Normal 24 10" xfId="9918" xr:uid="{00000000-0005-0000-0000-000059830000}"/>
    <cellStyle name="Normal 24 10 2" xfId="13539" xr:uid="{00000000-0005-0000-0000-00005A830000}"/>
    <cellStyle name="Normal 24 11" xfId="23350" xr:uid="{00000000-0005-0000-0000-00005B830000}"/>
    <cellStyle name="Normal 24 12" xfId="23351" xr:uid="{00000000-0005-0000-0000-00005C830000}"/>
    <cellStyle name="Normal 24 13" xfId="23352" xr:uid="{00000000-0005-0000-0000-00005D830000}"/>
    <cellStyle name="Normal 24 14" xfId="23353" xr:uid="{00000000-0005-0000-0000-00005E830000}"/>
    <cellStyle name="Normal 24 15" xfId="23354" xr:uid="{00000000-0005-0000-0000-00005F830000}"/>
    <cellStyle name="Normal 24 2" xfId="3685" xr:uid="{00000000-0005-0000-0000-000060830000}"/>
    <cellStyle name="Normal 24 2 2" xfId="5434" xr:uid="{00000000-0005-0000-0000-000061830000}"/>
    <cellStyle name="Normal 24 2 2 2" xfId="9920" xr:uid="{00000000-0005-0000-0000-000062830000}"/>
    <cellStyle name="Normal 24 2 2 2 2" xfId="13541" xr:uid="{00000000-0005-0000-0000-000063830000}"/>
    <cellStyle name="Normal 24 2 2 3" xfId="23355" xr:uid="{00000000-0005-0000-0000-000064830000}"/>
    <cellStyle name="Normal 24 2 2 4" xfId="23356" xr:uid="{00000000-0005-0000-0000-000065830000}"/>
    <cellStyle name="Normal 24 2 2 5" xfId="23357" xr:uid="{00000000-0005-0000-0000-000066830000}"/>
    <cellStyle name="Normal 24 2 2 6" xfId="23358" xr:uid="{00000000-0005-0000-0000-000067830000}"/>
    <cellStyle name="Normal 24 2 3" xfId="9919" xr:uid="{00000000-0005-0000-0000-000068830000}"/>
    <cellStyle name="Normal 24 2 3 2" xfId="13540" xr:uid="{00000000-0005-0000-0000-000069830000}"/>
    <cellStyle name="Normal 24 2 3 3" xfId="38443" xr:uid="{00000000-0005-0000-0000-00006A830000}"/>
    <cellStyle name="Normal 24 2 4" xfId="23359" xr:uid="{00000000-0005-0000-0000-00006B830000}"/>
    <cellStyle name="Normal 24 2 5" xfId="23360" xr:uid="{00000000-0005-0000-0000-00006C830000}"/>
    <cellStyle name="Normal 24 2 6" xfId="23361" xr:uid="{00000000-0005-0000-0000-00006D830000}"/>
    <cellStyle name="Normal 24 2 7" xfId="23362" xr:uid="{00000000-0005-0000-0000-00006E830000}"/>
    <cellStyle name="Normal 24 3" xfId="3684" xr:uid="{00000000-0005-0000-0000-00006F830000}"/>
    <cellStyle name="Normal 24 3 2" xfId="9921" xr:uid="{00000000-0005-0000-0000-000070830000}"/>
    <cellStyle name="Normal 24 3 2 2" xfId="13542" xr:uid="{00000000-0005-0000-0000-000071830000}"/>
    <cellStyle name="Normal 24 3 3" xfId="23363" xr:uid="{00000000-0005-0000-0000-000072830000}"/>
    <cellStyle name="Normal 24 3 4" xfId="23364" xr:uid="{00000000-0005-0000-0000-000073830000}"/>
    <cellStyle name="Normal 24 3 5" xfId="23365" xr:uid="{00000000-0005-0000-0000-000074830000}"/>
    <cellStyle name="Normal 24 3 6" xfId="23366" xr:uid="{00000000-0005-0000-0000-000075830000}"/>
    <cellStyle name="Normal 24 4" xfId="4803" xr:uid="{00000000-0005-0000-0000-000076830000}"/>
    <cellStyle name="Normal 24 4 2" xfId="9922" xr:uid="{00000000-0005-0000-0000-000077830000}"/>
    <cellStyle name="Normal 24 4 2 2" xfId="13543" xr:uid="{00000000-0005-0000-0000-000078830000}"/>
    <cellStyle name="Normal 24 4 3" xfId="23367" xr:uid="{00000000-0005-0000-0000-000079830000}"/>
    <cellStyle name="Normal 24 4 4" xfId="23368" xr:uid="{00000000-0005-0000-0000-00007A830000}"/>
    <cellStyle name="Normal 24 4 5" xfId="23369" xr:uid="{00000000-0005-0000-0000-00007B830000}"/>
    <cellStyle name="Normal 24 4 6" xfId="23370" xr:uid="{00000000-0005-0000-0000-00007C830000}"/>
    <cellStyle name="Normal 24 5" xfId="7584" xr:uid="{00000000-0005-0000-0000-00007D830000}"/>
    <cellStyle name="Normal 24 5 2" xfId="9923" xr:uid="{00000000-0005-0000-0000-00007E830000}"/>
    <cellStyle name="Normal 24 5 2 2" xfId="13544" xr:uid="{00000000-0005-0000-0000-00007F830000}"/>
    <cellStyle name="Normal 24 5 3" xfId="23371" xr:uid="{00000000-0005-0000-0000-000080830000}"/>
    <cellStyle name="Normal 24 5 4" xfId="23372" xr:uid="{00000000-0005-0000-0000-000081830000}"/>
    <cellStyle name="Normal 24 5 5" xfId="23373" xr:uid="{00000000-0005-0000-0000-000082830000}"/>
    <cellStyle name="Normal 24 5 6" xfId="23374" xr:uid="{00000000-0005-0000-0000-000083830000}"/>
    <cellStyle name="Normal 24 6" xfId="7585" xr:uid="{00000000-0005-0000-0000-000084830000}"/>
    <cellStyle name="Normal 24 6 2" xfId="9924" xr:uid="{00000000-0005-0000-0000-000085830000}"/>
    <cellStyle name="Normal 24 6 2 2" xfId="13545" xr:uid="{00000000-0005-0000-0000-000086830000}"/>
    <cellStyle name="Normal 24 6 3" xfId="23375" xr:uid="{00000000-0005-0000-0000-000087830000}"/>
    <cellStyle name="Normal 24 6 4" xfId="23376" xr:uid="{00000000-0005-0000-0000-000088830000}"/>
    <cellStyle name="Normal 24 6 5" xfId="23377" xr:uid="{00000000-0005-0000-0000-000089830000}"/>
    <cellStyle name="Normal 24 6 6" xfId="23378" xr:uid="{00000000-0005-0000-0000-00008A830000}"/>
    <cellStyle name="Normal 24 7" xfId="7586" xr:uid="{00000000-0005-0000-0000-00008B830000}"/>
    <cellStyle name="Normal 24 7 2" xfId="9925" xr:uid="{00000000-0005-0000-0000-00008C830000}"/>
    <cellStyle name="Normal 24 7 2 2" xfId="13546" xr:uid="{00000000-0005-0000-0000-00008D830000}"/>
    <cellStyle name="Normal 24 7 3" xfId="23379" xr:uid="{00000000-0005-0000-0000-00008E830000}"/>
    <cellStyle name="Normal 24 7 4" xfId="23380" xr:uid="{00000000-0005-0000-0000-00008F830000}"/>
    <cellStyle name="Normal 24 7 5" xfId="23381" xr:uid="{00000000-0005-0000-0000-000090830000}"/>
    <cellStyle name="Normal 24 7 6" xfId="23382" xr:uid="{00000000-0005-0000-0000-000091830000}"/>
    <cellStyle name="Normal 24 8" xfId="7587" xr:uid="{00000000-0005-0000-0000-000092830000}"/>
    <cellStyle name="Normal 24 8 2" xfId="9926" xr:uid="{00000000-0005-0000-0000-000093830000}"/>
    <cellStyle name="Normal 24 8 2 2" xfId="13547" xr:uid="{00000000-0005-0000-0000-000094830000}"/>
    <cellStyle name="Normal 24 8 3" xfId="23383" xr:uid="{00000000-0005-0000-0000-000095830000}"/>
    <cellStyle name="Normal 24 8 4" xfId="23384" xr:uid="{00000000-0005-0000-0000-000096830000}"/>
    <cellStyle name="Normal 24 8 5" xfId="23385" xr:uid="{00000000-0005-0000-0000-000097830000}"/>
    <cellStyle name="Normal 24 8 6" xfId="23386" xr:uid="{00000000-0005-0000-0000-000098830000}"/>
    <cellStyle name="Normal 24 9" xfId="7588" xr:uid="{00000000-0005-0000-0000-000099830000}"/>
    <cellStyle name="Normal 24 9 2" xfId="9927" xr:uid="{00000000-0005-0000-0000-00009A830000}"/>
    <cellStyle name="Normal 24 9 2 2" xfId="13548" xr:uid="{00000000-0005-0000-0000-00009B830000}"/>
    <cellStyle name="Normal 24 9 3" xfId="23387" xr:uid="{00000000-0005-0000-0000-00009C830000}"/>
    <cellStyle name="Normal 24 9 4" xfId="23388" xr:uid="{00000000-0005-0000-0000-00009D830000}"/>
    <cellStyle name="Normal 24 9 5" xfId="23389" xr:uid="{00000000-0005-0000-0000-00009E830000}"/>
    <cellStyle name="Normal 24 9 6" xfId="23390" xr:uid="{00000000-0005-0000-0000-00009F830000}"/>
    <cellStyle name="Normal 24_ELC" xfId="3686" xr:uid="{00000000-0005-0000-0000-0000A0830000}"/>
    <cellStyle name="Normal 25" xfId="1586" xr:uid="{00000000-0005-0000-0000-0000A1830000}"/>
    <cellStyle name="Normal 25 10" xfId="9928" xr:uid="{00000000-0005-0000-0000-0000A2830000}"/>
    <cellStyle name="Normal 25 10 2" xfId="13549" xr:uid="{00000000-0005-0000-0000-0000A3830000}"/>
    <cellStyle name="Normal 25 11" xfId="23391" xr:uid="{00000000-0005-0000-0000-0000A4830000}"/>
    <cellStyle name="Normal 25 12" xfId="23392" xr:uid="{00000000-0005-0000-0000-0000A5830000}"/>
    <cellStyle name="Normal 25 13" xfId="23393" xr:uid="{00000000-0005-0000-0000-0000A6830000}"/>
    <cellStyle name="Normal 25 14" xfId="23394" xr:uid="{00000000-0005-0000-0000-0000A7830000}"/>
    <cellStyle name="Normal 25 15" xfId="23395" xr:uid="{00000000-0005-0000-0000-0000A8830000}"/>
    <cellStyle name="Normal 25 2" xfId="1587" xr:uid="{00000000-0005-0000-0000-0000A9830000}"/>
    <cellStyle name="Normal 25 2 2" xfId="3688" xr:uid="{00000000-0005-0000-0000-0000AA830000}"/>
    <cellStyle name="Normal 25 2 2 2" xfId="8646" xr:uid="{00000000-0005-0000-0000-0000AB830000}"/>
    <cellStyle name="Normal 25 2 2 2 2" xfId="9931" xr:uid="{00000000-0005-0000-0000-0000AC830000}"/>
    <cellStyle name="Normal 25 2 2 2 2 2" xfId="13552" xr:uid="{00000000-0005-0000-0000-0000AD830000}"/>
    <cellStyle name="Normal 25 2 2 2 3" xfId="12650" xr:uid="{00000000-0005-0000-0000-0000AE830000}"/>
    <cellStyle name="Normal 25 2 2 3" xfId="9930" xr:uid="{00000000-0005-0000-0000-0000AF830000}"/>
    <cellStyle name="Normal 25 2 2 3 2" xfId="13551" xr:uid="{00000000-0005-0000-0000-0000B0830000}"/>
    <cellStyle name="Normal 25 2 2 4" xfId="12364" xr:uid="{00000000-0005-0000-0000-0000B1830000}"/>
    <cellStyle name="Normal 25 2 2 5" xfId="35434" xr:uid="{00000000-0005-0000-0000-0000B2830000}"/>
    <cellStyle name="Normal 25 2 2 6" xfId="7589" xr:uid="{00000000-0005-0000-0000-0000B3830000}"/>
    <cellStyle name="Normal 25 2 3" xfId="4805" xr:uid="{00000000-0005-0000-0000-0000B4830000}"/>
    <cellStyle name="Normal 25 2 3 2" xfId="13550" xr:uid="{00000000-0005-0000-0000-0000B5830000}"/>
    <cellStyle name="Normal 25 2 3 3" xfId="35783" xr:uid="{00000000-0005-0000-0000-0000B6830000}"/>
    <cellStyle name="Normal 25 2 3 4" xfId="9929" xr:uid="{00000000-0005-0000-0000-0000B7830000}"/>
    <cellStyle name="Normal 25 2 4" xfId="23396" xr:uid="{00000000-0005-0000-0000-0000B8830000}"/>
    <cellStyle name="Normal 25 2 4 2" xfId="37845" xr:uid="{00000000-0005-0000-0000-0000B9830000}"/>
    <cellStyle name="Normal 25 2 5" xfId="23397" xr:uid="{00000000-0005-0000-0000-0000BA830000}"/>
    <cellStyle name="Normal 25 2 6" xfId="23398" xr:uid="{00000000-0005-0000-0000-0000BB830000}"/>
    <cellStyle name="Normal 25 2 7" xfId="23399" xr:uid="{00000000-0005-0000-0000-0000BC830000}"/>
    <cellStyle name="Normal 25 2 8" xfId="23400" xr:uid="{00000000-0005-0000-0000-0000BD830000}"/>
    <cellStyle name="Normal 25 3" xfId="3687" xr:uid="{00000000-0005-0000-0000-0000BE830000}"/>
    <cellStyle name="Normal 25 3 2" xfId="8647" xr:uid="{00000000-0005-0000-0000-0000BF830000}"/>
    <cellStyle name="Normal 25 3 2 2" xfId="9933" xr:uid="{00000000-0005-0000-0000-0000C0830000}"/>
    <cellStyle name="Normal 25 3 2 2 2" xfId="13554" xr:uid="{00000000-0005-0000-0000-0000C1830000}"/>
    <cellStyle name="Normal 25 3 2 3" xfId="12651" xr:uid="{00000000-0005-0000-0000-0000C2830000}"/>
    <cellStyle name="Normal 25 3 3" xfId="9932" xr:uid="{00000000-0005-0000-0000-0000C3830000}"/>
    <cellStyle name="Normal 25 3 3 2" xfId="13553" xr:uid="{00000000-0005-0000-0000-0000C4830000}"/>
    <cellStyle name="Normal 25 3 4" xfId="12365" xr:uid="{00000000-0005-0000-0000-0000C5830000}"/>
    <cellStyle name="Normal 25 3 5" xfId="35433" xr:uid="{00000000-0005-0000-0000-0000C6830000}"/>
    <cellStyle name="Normal 25 3 6" xfId="7590" xr:uid="{00000000-0005-0000-0000-0000C7830000}"/>
    <cellStyle name="Normal 25 4" xfId="4804" xr:uid="{00000000-0005-0000-0000-0000C8830000}"/>
    <cellStyle name="Normal 25 4 2" xfId="8648" xr:uid="{00000000-0005-0000-0000-0000C9830000}"/>
    <cellStyle name="Normal 25 4 2 2" xfId="9935" xr:uid="{00000000-0005-0000-0000-0000CA830000}"/>
    <cellStyle name="Normal 25 4 2 2 2" xfId="13556" xr:uid="{00000000-0005-0000-0000-0000CB830000}"/>
    <cellStyle name="Normal 25 4 2 3" xfId="12652" xr:uid="{00000000-0005-0000-0000-0000CC830000}"/>
    <cellStyle name="Normal 25 4 3" xfId="9934" xr:uid="{00000000-0005-0000-0000-0000CD830000}"/>
    <cellStyle name="Normal 25 4 3 2" xfId="13555" xr:uid="{00000000-0005-0000-0000-0000CE830000}"/>
    <cellStyle name="Normal 25 4 4" xfId="12366" xr:uid="{00000000-0005-0000-0000-0000CF830000}"/>
    <cellStyle name="Normal 25 4 5" xfId="35782" xr:uid="{00000000-0005-0000-0000-0000D0830000}"/>
    <cellStyle name="Normal 25 4 6" xfId="7591" xr:uid="{00000000-0005-0000-0000-0000D1830000}"/>
    <cellStyle name="Normal 25 5" xfId="7592" xr:uid="{00000000-0005-0000-0000-0000D2830000}"/>
    <cellStyle name="Normal 25 5 2" xfId="8649" xr:uid="{00000000-0005-0000-0000-0000D3830000}"/>
    <cellStyle name="Normal 25 5 2 2" xfId="9937" xr:uid="{00000000-0005-0000-0000-0000D4830000}"/>
    <cellStyle name="Normal 25 5 2 2 2" xfId="13558" xr:uid="{00000000-0005-0000-0000-0000D5830000}"/>
    <cellStyle name="Normal 25 5 2 3" xfId="12653" xr:uid="{00000000-0005-0000-0000-0000D6830000}"/>
    <cellStyle name="Normal 25 5 3" xfId="9936" xr:uid="{00000000-0005-0000-0000-0000D7830000}"/>
    <cellStyle name="Normal 25 5 3 2" xfId="13557" xr:uid="{00000000-0005-0000-0000-0000D8830000}"/>
    <cellStyle name="Normal 25 5 4" xfId="12367" xr:uid="{00000000-0005-0000-0000-0000D9830000}"/>
    <cellStyle name="Normal 25 5 5" xfId="37844" xr:uid="{00000000-0005-0000-0000-0000DA830000}"/>
    <cellStyle name="Normal 25 6" xfId="7593" xr:uid="{00000000-0005-0000-0000-0000DB830000}"/>
    <cellStyle name="Normal 25 6 2" xfId="8650" xr:uid="{00000000-0005-0000-0000-0000DC830000}"/>
    <cellStyle name="Normal 25 6 2 2" xfId="9939" xr:uid="{00000000-0005-0000-0000-0000DD830000}"/>
    <cellStyle name="Normal 25 6 2 2 2" xfId="13560" xr:uid="{00000000-0005-0000-0000-0000DE830000}"/>
    <cellStyle name="Normal 25 6 2 3" xfId="12654" xr:uid="{00000000-0005-0000-0000-0000DF830000}"/>
    <cellStyle name="Normal 25 6 3" xfId="9938" xr:uid="{00000000-0005-0000-0000-0000E0830000}"/>
    <cellStyle name="Normal 25 6 3 2" xfId="13559" xr:uid="{00000000-0005-0000-0000-0000E1830000}"/>
    <cellStyle name="Normal 25 6 4" xfId="12368" xr:uid="{00000000-0005-0000-0000-0000E2830000}"/>
    <cellStyle name="Normal 25 7" xfId="7594" xr:uid="{00000000-0005-0000-0000-0000E3830000}"/>
    <cellStyle name="Normal 25 7 2" xfId="8651" xr:uid="{00000000-0005-0000-0000-0000E4830000}"/>
    <cellStyle name="Normal 25 7 2 2" xfId="9941" xr:uid="{00000000-0005-0000-0000-0000E5830000}"/>
    <cellStyle name="Normal 25 7 2 2 2" xfId="13562" xr:uid="{00000000-0005-0000-0000-0000E6830000}"/>
    <cellStyle name="Normal 25 7 2 3" xfId="12655" xr:uid="{00000000-0005-0000-0000-0000E7830000}"/>
    <cellStyle name="Normal 25 7 3" xfId="9940" xr:uid="{00000000-0005-0000-0000-0000E8830000}"/>
    <cellStyle name="Normal 25 7 3 2" xfId="13561" xr:uid="{00000000-0005-0000-0000-0000E9830000}"/>
    <cellStyle name="Normal 25 7 4" xfId="12369" xr:uid="{00000000-0005-0000-0000-0000EA830000}"/>
    <cellStyle name="Normal 25 8" xfId="7595" xr:uid="{00000000-0005-0000-0000-0000EB830000}"/>
    <cellStyle name="Normal 25 8 2" xfId="8652" xr:uid="{00000000-0005-0000-0000-0000EC830000}"/>
    <cellStyle name="Normal 25 8 2 2" xfId="9943" xr:uid="{00000000-0005-0000-0000-0000ED830000}"/>
    <cellStyle name="Normal 25 8 2 2 2" xfId="13564" xr:uid="{00000000-0005-0000-0000-0000EE830000}"/>
    <cellStyle name="Normal 25 8 2 3" xfId="12656" xr:uid="{00000000-0005-0000-0000-0000EF830000}"/>
    <cellStyle name="Normal 25 8 3" xfId="9942" xr:uid="{00000000-0005-0000-0000-0000F0830000}"/>
    <cellStyle name="Normal 25 8 3 2" xfId="13563" xr:uid="{00000000-0005-0000-0000-0000F1830000}"/>
    <cellStyle name="Normal 25 8 4" xfId="12370" xr:uid="{00000000-0005-0000-0000-0000F2830000}"/>
    <cellStyle name="Normal 25 9" xfId="7596" xr:uid="{00000000-0005-0000-0000-0000F3830000}"/>
    <cellStyle name="Normal 25 9 2" xfId="8653" xr:uid="{00000000-0005-0000-0000-0000F4830000}"/>
    <cellStyle name="Normal 25 9 2 2" xfId="9945" xr:uid="{00000000-0005-0000-0000-0000F5830000}"/>
    <cellStyle name="Normal 25 9 2 2 2" xfId="13566" xr:uid="{00000000-0005-0000-0000-0000F6830000}"/>
    <cellStyle name="Normal 25 9 2 3" xfId="12657" xr:uid="{00000000-0005-0000-0000-0000F7830000}"/>
    <cellStyle name="Normal 25 9 3" xfId="9944" xr:uid="{00000000-0005-0000-0000-0000F8830000}"/>
    <cellStyle name="Normal 25 9 3 2" xfId="13565" xr:uid="{00000000-0005-0000-0000-0000F9830000}"/>
    <cellStyle name="Normal 25 9 4" xfId="12371" xr:uid="{00000000-0005-0000-0000-0000FA830000}"/>
    <cellStyle name="Normal 26" xfId="1588" xr:uid="{00000000-0005-0000-0000-0000FB830000}"/>
    <cellStyle name="Normal 26 10" xfId="4806" xr:uid="{00000000-0005-0000-0000-0000FC830000}"/>
    <cellStyle name="Normal 26 10 2" xfId="8654" xr:uid="{00000000-0005-0000-0000-0000FD830000}"/>
    <cellStyle name="Normal 26 10 2 2" xfId="9948" xr:uid="{00000000-0005-0000-0000-0000FE830000}"/>
    <cellStyle name="Normal 26 10 2 2 2" xfId="13569" xr:uid="{00000000-0005-0000-0000-0000FF830000}"/>
    <cellStyle name="Normal 26 10 2 3" xfId="12658" xr:uid="{00000000-0005-0000-0000-000000840000}"/>
    <cellStyle name="Normal 26 10 3" xfId="9947" xr:uid="{00000000-0005-0000-0000-000001840000}"/>
    <cellStyle name="Normal 26 10 3 2" xfId="13568" xr:uid="{00000000-0005-0000-0000-000002840000}"/>
    <cellStyle name="Normal 26 10 4" xfId="12372" xr:uid="{00000000-0005-0000-0000-000003840000}"/>
    <cellStyle name="Normal 26 10 5" xfId="35784" xr:uid="{00000000-0005-0000-0000-000004840000}"/>
    <cellStyle name="Normal 26 10 6" xfId="7597" xr:uid="{00000000-0005-0000-0000-000005840000}"/>
    <cellStyle name="Normal 26 11" xfId="7598" xr:uid="{00000000-0005-0000-0000-000006840000}"/>
    <cellStyle name="Normal 26 11 2" xfId="9949" xr:uid="{00000000-0005-0000-0000-000007840000}"/>
    <cellStyle name="Normal 26 11 2 2" xfId="13570" xr:uid="{00000000-0005-0000-0000-000008840000}"/>
    <cellStyle name="Normal 26 11 3" xfId="23401" xr:uid="{00000000-0005-0000-0000-000009840000}"/>
    <cellStyle name="Normal 26 11 4" xfId="23402" xr:uid="{00000000-0005-0000-0000-00000A840000}"/>
    <cellStyle name="Normal 26 11 5" xfId="23403" xr:uid="{00000000-0005-0000-0000-00000B840000}"/>
    <cellStyle name="Normal 26 11 6" xfId="23404" xr:uid="{00000000-0005-0000-0000-00000C840000}"/>
    <cellStyle name="Normal 26 12" xfId="7599" xr:uid="{00000000-0005-0000-0000-00000D840000}"/>
    <cellStyle name="Normal 26 12 2" xfId="9950" xr:uid="{00000000-0005-0000-0000-00000E840000}"/>
    <cellStyle name="Normal 26 12 2 2" xfId="13571" xr:uid="{00000000-0005-0000-0000-00000F840000}"/>
    <cellStyle name="Normal 26 12 3" xfId="23405" xr:uid="{00000000-0005-0000-0000-000010840000}"/>
    <cellStyle name="Normal 26 12 4" xfId="23406" xr:uid="{00000000-0005-0000-0000-000011840000}"/>
    <cellStyle name="Normal 26 12 5" xfId="23407" xr:uid="{00000000-0005-0000-0000-000012840000}"/>
    <cellStyle name="Normal 26 12 6" xfId="23408" xr:uid="{00000000-0005-0000-0000-000013840000}"/>
    <cellStyle name="Normal 26 13" xfId="9946" xr:uid="{00000000-0005-0000-0000-000014840000}"/>
    <cellStyle name="Normal 26 13 2" xfId="13567" xr:uid="{00000000-0005-0000-0000-000015840000}"/>
    <cellStyle name="Normal 26 14" xfId="23409" xr:uid="{00000000-0005-0000-0000-000016840000}"/>
    <cellStyle name="Normal 26 15" xfId="23410" xr:uid="{00000000-0005-0000-0000-000017840000}"/>
    <cellStyle name="Normal 26 16" xfId="23411" xr:uid="{00000000-0005-0000-0000-000018840000}"/>
    <cellStyle name="Normal 26 17" xfId="23412" xr:uid="{00000000-0005-0000-0000-000019840000}"/>
    <cellStyle name="Normal 26 18" xfId="23413" xr:uid="{00000000-0005-0000-0000-00001A840000}"/>
    <cellStyle name="Normal 26 2" xfId="3690" xr:uid="{00000000-0005-0000-0000-00001B840000}"/>
    <cellStyle name="Normal 26 2 10" xfId="23414" xr:uid="{00000000-0005-0000-0000-00001C840000}"/>
    <cellStyle name="Normal 26 2 2" xfId="5435" xr:uid="{00000000-0005-0000-0000-00001D840000}"/>
    <cellStyle name="Normal 26 2 2 2" xfId="9952" xr:uid="{00000000-0005-0000-0000-00001E840000}"/>
    <cellStyle name="Normal 26 2 2 2 2" xfId="13573" xr:uid="{00000000-0005-0000-0000-00001F840000}"/>
    <cellStyle name="Normal 26 2 2 3" xfId="23415" xr:uid="{00000000-0005-0000-0000-000020840000}"/>
    <cellStyle name="Normal 26 2 2 4" xfId="23416" xr:uid="{00000000-0005-0000-0000-000021840000}"/>
    <cellStyle name="Normal 26 2 2 5" xfId="23417" xr:uid="{00000000-0005-0000-0000-000022840000}"/>
    <cellStyle name="Normal 26 2 2 6" xfId="23418" xr:uid="{00000000-0005-0000-0000-000023840000}"/>
    <cellStyle name="Normal 26 2 3" xfId="7601" xr:uid="{00000000-0005-0000-0000-000024840000}"/>
    <cellStyle name="Normal 26 2 3 2" xfId="9953" xr:uid="{00000000-0005-0000-0000-000025840000}"/>
    <cellStyle name="Normal 26 2 3 2 2" xfId="13574" xr:uid="{00000000-0005-0000-0000-000026840000}"/>
    <cellStyle name="Normal 26 2 3 3" xfId="23419" xr:uid="{00000000-0005-0000-0000-000027840000}"/>
    <cellStyle name="Normal 26 2 3 4" xfId="23420" xr:uid="{00000000-0005-0000-0000-000028840000}"/>
    <cellStyle name="Normal 26 2 3 5" xfId="23421" xr:uid="{00000000-0005-0000-0000-000029840000}"/>
    <cellStyle name="Normal 26 2 3 6" xfId="23422" xr:uid="{00000000-0005-0000-0000-00002A840000}"/>
    <cellStyle name="Normal 26 2 4" xfId="7602" xr:uid="{00000000-0005-0000-0000-00002B840000}"/>
    <cellStyle name="Normal 26 2 4 2" xfId="9954" xr:uid="{00000000-0005-0000-0000-00002C840000}"/>
    <cellStyle name="Normal 26 2 4 2 2" xfId="13575" xr:uid="{00000000-0005-0000-0000-00002D840000}"/>
    <cellStyle name="Normal 26 2 4 3" xfId="23423" xr:uid="{00000000-0005-0000-0000-00002E840000}"/>
    <cellStyle name="Normal 26 2 4 4" xfId="23424" xr:uid="{00000000-0005-0000-0000-00002F840000}"/>
    <cellStyle name="Normal 26 2 4 5" xfId="23425" xr:uid="{00000000-0005-0000-0000-000030840000}"/>
    <cellStyle name="Normal 26 2 4 6" xfId="23426" xr:uid="{00000000-0005-0000-0000-000031840000}"/>
    <cellStyle name="Normal 26 2 5" xfId="7600" xr:uid="{00000000-0005-0000-0000-000032840000}"/>
    <cellStyle name="Normal 26 2 5 2" xfId="8655" xr:uid="{00000000-0005-0000-0000-000033840000}"/>
    <cellStyle name="Normal 26 2 5 2 2" xfId="9956" xr:uid="{00000000-0005-0000-0000-000034840000}"/>
    <cellStyle name="Normal 26 2 5 2 2 2" xfId="13577" xr:uid="{00000000-0005-0000-0000-000035840000}"/>
    <cellStyle name="Normal 26 2 5 2 3" xfId="12659" xr:uid="{00000000-0005-0000-0000-000036840000}"/>
    <cellStyle name="Normal 26 2 5 3" xfId="9955" xr:uid="{00000000-0005-0000-0000-000037840000}"/>
    <cellStyle name="Normal 26 2 5 3 2" xfId="13576" xr:uid="{00000000-0005-0000-0000-000038840000}"/>
    <cellStyle name="Normal 26 2 5 4" xfId="12373" xr:uid="{00000000-0005-0000-0000-000039840000}"/>
    <cellStyle name="Normal 26 2 6" xfId="9951" xr:uid="{00000000-0005-0000-0000-00003A840000}"/>
    <cellStyle name="Normal 26 2 6 2" xfId="13572" xr:uid="{00000000-0005-0000-0000-00003B840000}"/>
    <cellStyle name="Normal 26 2 7" xfId="23427" xr:uid="{00000000-0005-0000-0000-00003C840000}"/>
    <cellStyle name="Normal 26 2 8" xfId="23428" xr:uid="{00000000-0005-0000-0000-00003D840000}"/>
    <cellStyle name="Normal 26 2 9" xfId="23429" xr:uid="{00000000-0005-0000-0000-00003E840000}"/>
    <cellStyle name="Normal 26 3" xfId="3691" xr:uid="{00000000-0005-0000-0000-00003F840000}"/>
    <cellStyle name="Normal 26 3 10" xfId="23430" xr:uid="{00000000-0005-0000-0000-000040840000}"/>
    <cellStyle name="Normal 26 3 2" xfId="5436" xr:uid="{00000000-0005-0000-0000-000041840000}"/>
    <cellStyle name="Normal 26 3 2 2" xfId="9958" xr:uid="{00000000-0005-0000-0000-000042840000}"/>
    <cellStyle name="Normal 26 3 2 2 2" xfId="13579" xr:uid="{00000000-0005-0000-0000-000043840000}"/>
    <cellStyle name="Normal 26 3 2 3" xfId="23431" xr:uid="{00000000-0005-0000-0000-000044840000}"/>
    <cellStyle name="Normal 26 3 2 4" xfId="23432" xr:uid="{00000000-0005-0000-0000-000045840000}"/>
    <cellStyle name="Normal 26 3 2 5" xfId="23433" xr:uid="{00000000-0005-0000-0000-000046840000}"/>
    <cellStyle name="Normal 26 3 2 6" xfId="23434" xr:uid="{00000000-0005-0000-0000-000047840000}"/>
    <cellStyle name="Normal 26 3 3" xfId="7604" xr:uid="{00000000-0005-0000-0000-000048840000}"/>
    <cellStyle name="Normal 26 3 3 2" xfId="9959" xr:uid="{00000000-0005-0000-0000-000049840000}"/>
    <cellStyle name="Normal 26 3 3 2 2" xfId="13580" xr:uid="{00000000-0005-0000-0000-00004A840000}"/>
    <cellStyle name="Normal 26 3 3 3" xfId="23435" xr:uid="{00000000-0005-0000-0000-00004B840000}"/>
    <cellStyle name="Normal 26 3 3 4" xfId="23436" xr:uid="{00000000-0005-0000-0000-00004C840000}"/>
    <cellStyle name="Normal 26 3 3 5" xfId="23437" xr:uid="{00000000-0005-0000-0000-00004D840000}"/>
    <cellStyle name="Normal 26 3 3 6" xfId="23438" xr:uid="{00000000-0005-0000-0000-00004E840000}"/>
    <cellStyle name="Normal 26 3 4" xfId="7605" xr:uid="{00000000-0005-0000-0000-00004F840000}"/>
    <cellStyle name="Normal 26 3 4 2" xfId="9960" xr:uid="{00000000-0005-0000-0000-000050840000}"/>
    <cellStyle name="Normal 26 3 4 2 2" xfId="13581" xr:uid="{00000000-0005-0000-0000-000051840000}"/>
    <cellStyle name="Normal 26 3 4 3" xfId="23439" xr:uid="{00000000-0005-0000-0000-000052840000}"/>
    <cellStyle name="Normal 26 3 4 4" xfId="23440" xr:uid="{00000000-0005-0000-0000-000053840000}"/>
    <cellStyle name="Normal 26 3 4 5" xfId="23441" xr:uid="{00000000-0005-0000-0000-000054840000}"/>
    <cellStyle name="Normal 26 3 4 6" xfId="23442" xr:uid="{00000000-0005-0000-0000-000055840000}"/>
    <cellStyle name="Normal 26 3 5" xfId="7603" xr:uid="{00000000-0005-0000-0000-000056840000}"/>
    <cellStyle name="Normal 26 3 5 2" xfId="8656" xr:uid="{00000000-0005-0000-0000-000057840000}"/>
    <cellStyle name="Normal 26 3 5 2 2" xfId="9962" xr:uid="{00000000-0005-0000-0000-000058840000}"/>
    <cellStyle name="Normal 26 3 5 2 2 2" xfId="13583" xr:uid="{00000000-0005-0000-0000-000059840000}"/>
    <cellStyle name="Normal 26 3 5 2 3" xfId="12660" xr:uid="{00000000-0005-0000-0000-00005A840000}"/>
    <cellStyle name="Normal 26 3 5 3" xfId="9961" xr:uid="{00000000-0005-0000-0000-00005B840000}"/>
    <cellStyle name="Normal 26 3 5 3 2" xfId="13582" xr:uid="{00000000-0005-0000-0000-00005C840000}"/>
    <cellStyle name="Normal 26 3 5 4" xfId="12374" xr:uid="{00000000-0005-0000-0000-00005D840000}"/>
    <cellStyle name="Normal 26 3 6" xfId="9957" xr:uid="{00000000-0005-0000-0000-00005E840000}"/>
    <cellStyle name="Normal 26 3 6 2" xfId="13578" xr:uid="{00000000-0005-0000-0000-00005F840000}"/>
    <cellStyle name="Normal 26 3 7" xfId="23443" xr:uid="{00000000-0005-0000-0000-000060840000}"/>
    <cellStyle name="Normal 26 3 8" xfId="23444" xr:uid="{00000000-0005-0000-0000-000061840000}"/>
    <cellStyle name="Normal 26 3 9" xfId="23445" xr:uid="{00000000-0005-0000-0000-000062840000}"/>
    <cellStyle name="Normal 26 4" xfId="3692" xr:uid="{00000000-0005-0000-0000-000063840000}"/>
    <cellStyle name="Normal 26 4 10" xfId="23446" xr:uid="{00000000-0005-0000-0000-000064840000}"/>
    <cellStyle name="Normal 26 4 2" xfId="5437" xr:uid="{00000000-0005-0000-0000-000065840000}"/>
    <cellStyle name="Normal 26 4 2 2" xfId="9964" xr:uid="{00000000-0005-0000-0000-000066840000}"/>
    <cellStyle name="Normal 26 4 2 2 2" xfId="13585" xr:uid="{00000000-0005-0000-0000-000067840000}"/>
    <cellStyle name="Normal 26 4 2 3" xfId="23447" xr:uid="{00000000-0005-0000-0000-000068840000}"/>
    <cellStyle name="Normal 26 4 2 4" xfId="23448" xr:uid="{00000000-0005-0000-0000-000069840000}"/>
    <cellStyle name="Normal 26 4 2 5" xfId="23449" xr:uid="{00000000-0005-0000-0000-00006A840000}"/>
    <cellStyle name="Normal 26 4 2 6" xfId="23450" xr:uid="{00000000-0005-0000-0000-00006B840000}"/>
    <cellStyle name="Normal 26 4 3" xfId="7607" xr:uid="{00000000-0005-0000-0000-00006C840000}"/>
    <cellStyle name="Normal 26 4 3 2" xfId="9965" xr:uid="{00000000-0005-0000-0000-00006D840000}"/>
    <cellStyle name="Normal 26 4 3 2 2" xfId="13586" xr:uid="{00000000-0005-0000-0000-00006E840000}"/>
    <cellStyle name="Normal 26 4 3 3" xfId="23451" xr:uid="{00000000-0005-0000-0000-00006F840000}"/>
    <cellStyle name="Normal 26 4 3 4" xfId="23452" xr:uid="{00000000-0005-0000-0000-000070840000}"/>
    <cellStyle name="Normal 26 4 3 5" xfId="23453" xr:uid="{00000000-0005-0000-0000-000071840000}"/>
    <cellStyle name="Normal 26 4 3 6" xfId="23454" xr:uid="{00000000-0005-0000-0000-000072840000}"/>
    <cellStyle name="Normal 26 4 4" xfId="7608" xr:uid="{00000000-0005-0000-0000-000073840000}"/>
    <cellStyle name="Normal 26 4 4 2" xfId="9966" xr:uid="{00000000-0005-0000-0000-000074840000}"/>
    <cellStyle name="Normal 26 4 4 2 2" xfId="13587" xr:uid="{00000000-0005-0000-0000-000075840000}"/>
    <cellStyle name="Normal 26 4 4 3" xfId="23455" xr:uid="{00000000-0005-0000-0000-000076840000}"/>
    <cellStyle name="Normal 26 4 4 4" xfId="23456" xr:uid="{00000000-0005-0000-0000-000077840000}"/>
    <cellStyle name="Normal 26 4 4 5" xfId="23457" xr:uid="{00000000-0005-0000-0000-000078840000}"/>
    <cellStyle name="Normal 26 4 4 6" xfId="23458" xr:uid="{00000000-0005-0000-0000-000079840000}"/>
    <cellStyle name="Normal 26 4 5" xfId="7606" xr:uid="{00000000-0005-0000-0000-00007A840000}"/>
    <cellStyle name="Normal 26 4 5 2" xfId="8657" xr:uid="{00000000-0005-0000-0000-00007B840000}"/>
    <cellStyle name="Normal 26 4 5 2 2" xfId="9968" xr:uid="{00000000-0005-0000-0000-00007C840000}"/>
    <cellStyle name="Normal 26 4 5 2 2 2" xfId="13589" xr:uid="{00000000-0005-0000-0000-00007D840000}"/>
    <cellStyle name="Normal 26 4 5 2 3" xfId="12661" xr:uid="{00000000-0005-0000-0000-00007E840000}"/>
    <cellStyle name="Normal 26 4 5 3" xfId="9967" xr:uid="{00000000-0005-0000-0000-00007F840000}"/>
    <cellStyle name="Normal 26 4 5 3 2" xfId="13588" xr:uid="{00000000-0005-0000-0000-000080840000}"/>
    <cellStyle name="Normal 26 4 5 4" xfId="12375" xr:uid="{00000000-0005-0000-0000-000081840000}"/>
    <cellStyle name="Normal 26 4 6" xfId="9963" xr:uid="{00000000-0005-0000-0000-000082840000}"/>
    <cellStyle name="Normal 26 4 6 2" xfId="13584" xr:uid="{00000000-0005-0000-0000-000083840000}"/>
    <cellStyle name="Normal 26 4 7" xfId="23459" xr:uid="{00000000-0005-0000-0000-000084840000}"/>
    <cellStyle name="Normal 26 4 8" xfId="23460" xr:uid="{00000000-0005-0000-0000-000085840000}"/>
    <cellStyle name="Normal 26 4 9" xfId="23461" xr:uid="{00000000-0005-0000-0000-000086840000}"/>
    <cellStyle name="Normal 26 5" xfId="3693" xr:uid="{00000000-0005-0000-0000-000087840000}"/>
    <cellStyle name="Normal 26 5 10" xfId="23462" xr:uid="{00000000-0005-0000-0000-000088840000}"/>
    <cellStyle name="Normal 26 5 2" xfId="5438" xr:uid="{00000000-0005-0000-0000-000089840000}"/>
    <cellStyle name="Normal 26 5 2 2" xfId="9970" xr:uid="{00000000-0005-0000-0000-00008A840000}"/>
    <cellStyle name="Normal 26 5 2 2 2" xfId="13591" xr:uid="{00000000-0005-0000-0000-00008B840000}"/>
    <cellStyle name="Normal 26 5 2 3" xfId="23463" xr:uid="{00000000-0005-0000-0000-00008C840000}"/>
    <cellStyle name="Normal 26 5 2 4" xfId="23464" xr:uid="{00000000-0005-0000-0000-00008D840000}"/>
    <cellStyle name="Normal 26 5 2 5" xfId="23465" xr:uid="{00000000-0005-0000-0000-00008E840000}"/>
    <cellStyle name="Normal 26 5 2 6" xfId="23466" xr:uid="{00000000-0005-0000-0000-00008F840000}"/>
    <cellStyle name="Normal 26 5 3" xfId="7610" xr:uid="{00000000-0005-0000-0000-000090840000}"/>
    <cellStyle name="Normal 26 5 3 2" xfId="9971" xr:uid="{00000000-0005-0000-0000-000091840000}"/>
    <cellStyle name="Normal 26 5 3 2 2" xfId="13592" xr:uid="{00000000-0005-0000-0000-000092840000}"/>
    <cellStyle name="Normal 26 5 3 3" xfId="23467" xr:uid="{00000000-0005-0000-0000-000093840000}"/>
    <cellStyle name="Normal 26 5 3 4" xfId="23468" xr:uid="{00000000-0005-0000-0000-000094840000}"/>
    <cellStyle name="Normal 26 5 3 5" xfId="23469" xr:uid="{00000000-0005-0000-0000-000095840000}"/>
    <cellStyle name="Normal 26 5 3 6" xfId="23470" xr:uid="{00000000-0005-0000-0000-000096840000}"/>
    <cellStyle name="Normal 26 5 4" xfId="7611" xr:uid="{00000000-0005-0000-0000-000097840000}"/>
    <cellStyle name="Normal 26 5 4 2" xfId="9972" xr:uid="{00000000-0005-0000-0000-000098840000}"/>
    <cellStyle name="Normal 26 5 4 2 2" xfId="13593" xr:uid="{00000000-0005-0000-0000-000099840000}"/>
    <cellStyle name="Normal 26 5 4 3" xfId="23471" xr:uid="{00000000-0005-0000-0000-00009A840000}"/>
    <cellStyle name="Normal 26 5 4 4" xfId="23472" xr:uid="{00000000-0005-0000-0000-00009B840000}"/>
    <cellStyle name="Normal 26 5 4 5" xfId="23473" xr:uid="{00000000-0005-0000-0000-00009C840000}"/>
    <cellStyle name="Normal 26 5 4 6" xfId="23474" xr:uid="{00000000-0005-0000-0000-00009D840000}"/>
    <cellStyle name="Normal 26 5 5" xfId="7609" xr:uid="{00000000-0005-0000-0000-00009E840000}"/>
    <cellStyle name="Normal 26 5 5 2" xfId="8658" xr:uid="{00000000-0005-0000-0000-00009F840000}"/>
    <cellStyle name="Normal 26 5 5 2 2" xfId="9974" xr:uid="{00000000-0005-0000-0000-0000A0840000}"/>
    <cellStyle name="Normal 26 5 5 2 2 2" xfId="13595" xr:uid="{00000000-0005-0000-0000-0000A1840000}"/>
    <cellStyle name="Normal 26 5 5 2 3" xfId="12662" xr:uid="{00000000-0005-0000-0000-0000A2840000}"/>
    <cellStyle name="Normal 26 5 5 3" xfId="9973" xr:uid="{00000000-0005-0000-0000-0000A3840000}"/>
    <cellStyle name="Normal 26 5 5 3 2" xfId="13594" xr:uid="{00000000-0005-0000-0000-0000A4840000}"/>
    <cellStyle name="Normal 26 5 5 4" xfId="12376" xr:uid="{00000000-0005-0000-0000-0000A5840000}"/>
    <cellStyle name="Normal 26 5 6" xfId="9969" xr:uid="{00000000-0005-0000-0000-0000A6840000}"/>
    <cellStyle name="Normal 26 5 6 2" xfId="13590" xr:uid="{00000000-0005-0000-0000-0000A7840000}"/>
    <cellStyle name="Normal 26 5 7" xfId="23475" xr:uid="{00000000-0005-0000-0000-0000A8840000}"/>
    <cellStyle name="Normal 26 5 8" xfId="23476" xr:uid="{00000000-0005-0000-0000-0000A9840000}"/>
    <cellStyle name="Normal 26 5 9" xfId="23477" xr:uid="{00000000-0005-0000-0000-0000AA840000}"/>
    <cellStyle name="Normal 26 6" xfId="3694" xr:uid="{00000000-0005-0000-0000-0000AB840000}"/>
    <cellStyle name="Normal 26 6 10" xfId="23478" xr:uid="{00000000-0005-0000-0000-0000AC840000}"/>
    <cellStyle name="Normal 26 6 2" xfId="5439" xr:uid="{00000000-0005-0000-0000-0000AD840000}"/>
    <cellStyle name="Normal 26 6 2 2" xfId="9976" xr:uid="{00000000-0005-0000-0000-0000AE840000}"/>
    <cellStyle name="Normal 26 6 2 2 2" xfId="13597" xr:uid="{00000000-0005-0000-0000-0000AF840000}"/>
    <cellStyle name="Normal 26 6 2 3" xfId="23479" xr:uid="{00000000-0005-0000-0000-0000B0840000}"/>
    <cellStyle name="Normal 26 6 2 4" xfId="23480" xr:uid="{00000000-0005-0000-0000-0000B1840000}"/>
    <cellStyle name="Normal 26 6 2 5" xfId="23481" xr:uid="{00000000-0005-0000-0000-0000B2840000}"/>
    <cellStyle name="Normal 26 6 2 6" xfId="23482" xr:uid="{00000000-0005-0000-0000-0000B3840000}"/>
    <cellStyle name="Normal 26 6 3" xfId="7613" xr:uid="{00000000-0005-0000-0000-0000B4840000}"/>
    <cellStyle name="Normal 26 6 3 2" xfId="9977" xr:uid="{00000000-0005-0000-0000-0000B5840000}"/>
    <cellStyle name="Normal 26 6 3 2 2" xfId="13598" xr:uid="{00000000-0005-0000-0000-0000B6840000}"/>
    <cellStyle name="Normal 26 6 3 3" xfId="23483" xr:uid="{00000000-0005-0000-0000-0000B7840000}"/>
    <cellStyle name="Normal 26 6 3 4" xfId="23484" xr:uid="{00000000-0005-0000-0000-0000B8840000}"/>
    <cellStyle name="Normal 26 6 3 5" xfId="23485" xr:uid="{00000000-0005-0000-0000-0000B9840000}"/>
    <cellStyle name="Normal 26 6 3 6" xfId="23486" xr:uid="{00000000-0005-0000-0000-0000BA840000}"/>
    <cellStyle name="Normal 26 6 4" xfId="7614" xr:uid="{00000000-0005-0000-0000-0000BB840000}"/>
    <cellStyle name="Normal 26 6 4 2" xfId="9978" xr:uid="{00000000-0005-0000-0000-0000BC840000}"/>
    <cellStyle name="Normal 26 6 4 2 2" xfId="13599" xr:uid="{00000000-0005-0000-0000-0000BD840000}"/>
    <cellStyle name="Normal 26 6 4 3" xfId="23487" xr:uid="{00000000-0005-0000-0000-0000BE840000}"/>
    <cellStyle name="Normal 26 6 4 4" xfId="23488" xr:uid="{00000000-0005-0000-0000-0000BF840000}"/>
    <cellStyle name="Normal 26 6 4 5" xfId="23489" xr:uid="{00000000-0005-0000-0000-0000C0840000}"/>
    <cellStyle name="Normal 26 6 4 6" xfId="23490" xr:uid="{00000000-0005-0000-0000-0000C1840000}"/>
    <cellStyle name="Normal 26 6 5" xfId="7612" xr:uid="{00000000-0005-0000-0000-0000C2840000}"/>
    <cellStyle name="Normal 26 6 5 2" xfId="8659" xr:uid="{00000000-0005-0000-0000-0000C3840000}"/>
    <cellStyle name="Normal 26 6 5 2 2" xfId="9980" xr:uid="{00000000-0005-0000-0000-0000C4840000}"/>
    <cellStyle name="Normal 26 6 5 2 2 2" xfId="13601" xr:uid="{00000000-0005-0000-0000-0000C5840000}"/>
    <cellStyle name="Normal 26 6 5 2 3" xfId="12663" xr:uid="{00000000-0005-0000-0000-0000C6840000}"/>
    <cellStyle name="Normal 26 6 5 3" xfId="9979" xr:uid="{00000000-0005-0000-0000-0000C7840000}"/>
    <cellStyle name="Normal 26 6 5 3 2" xfId="13600" xr:uid="{00000000-0005-0000-0000-0000C8840000}"/>
    <cellStyle name="Normal 26 6 5 4" xfId="12377" xr:uid="{00000000-0005-0000-0000-0000C9840000}"/>
    <cellStyle name="Normal 26 6 6" xfId="9975" xr:uid="{00000000-0005-0000-0000-0000CA840000}"/>
    <cellStyle name="Normal 26 6 6 2" xfId="13596" xr:uid="{00000000-0005-0000-0000-0000CB840000}"/>
    <cellStyle name="Normal 26 6 7" xfId="23491" xr:uid="{00000000-0005-0000-0000-0000CC840000}"/>
    <cellStyle name="Normal 26 6 8" xfId="23492" xr:uid="{00000000-0005-0000-0000-0000CD840000}"/>
    <cellStyle name="Normal 26 6 9" xfId="23493" xr:uid="{00000000-0005-0000-0000-0000CE840000}"/>
    <cellStyle name="Normal 26 7" xfId="3695" xr:uid="{00000000-0005-0000-0000-0000CF840000}"/>
    <cellStyle name="Normal 26 7 2" xfId="5440" xr:uid="{00000000-0005-0000-0000-0000D0840000}"/>
    <cellStyle name="Normal 26 7 2 2" xfId="9982" xr:uid="{00000000-0005-0000-0000-0000D1840000}"/>
    <cellStyle name="Normal 26 7 2 2 2" xfId="13603" xr:uid="{00000000-0005-0000-0000-0000D2840000}"/>
    <cellStyle name="Normal 26 7 2 3" xfId="23494" xr:uid="{00000000-0005-0000-0000-0000D3840000}"/>
    <cellStyle name="Normal 26 7 2 4" xfId="23495" xr:uid="{00000000-0005-0000-0000-0000D4840000}"/>
    <cellStyle name="Normal 26 7 2 5" xfId="23496" xr:uid="{00000000-0005-0000-0000-0000D5840000}"/>
    <cellStyle name="Normal 26 7 2 6" xfId="23497" xr:uid="{00000000-0005-0000-0000-0000D6840000}"/>
    <cellStyle name="Normal 26 7 3" xfId="7615" xr:uid="{00000000-0005-0000-0000-0000D7840000}"/>
    <cellStyle name="Normal 26 7 3 2" xfId="8660" xr:uid="{00000000-0005-0000-0000-0000D8840000}"/>
    <cellStyle name="Normal 26 7 3 2 2" xfId="9984" xr:uid="{00000000-0005-0000-0000-0000D9840000}"/>
    <cellStyle name="Normal 26 7 3 2 2 2" xfId="13605" xr:uid="{00000000-0005-0000-0000-0000DA840000}"/>
    <cellStyle name="Normal 26 7 3 2 3" xfId="12664" xr:uid="{00000000-0005-0000-0000-0000DB840000}"/>
    <cellStyle name="Normal 26 7 3 3" xfId="9983" xr:uid="{00000000-0005-0000-0000-0000DC840000}"/>
    <cellStyle name="Normal 26 7 3 3 2" xfId="13604" xr:uid="{00000000-0005-0000-0000-0000DD840000}"/>
    <cellStyle name="Normal 26 7 3 4" xfId="12378" xr:uid="{00000000-0005-0000-0000-0000DE840000}"/>
    <cellStyle name="Normal 26 7 3 5" xfId="38444" xr:uid="{00000000-0005-0000-0000-0000DF840000}"/>
    <cellStyle name="Normal 26 7 4" xfId="9981" xr:uid="{00000000-0005-0000-0000-0000E0840000}"/>
    <cellStyle name="Normal 26 7 4 2" xfId="13602" xr:uid="{00000000-0005-0000-0000-0000E1840000}"/>
    <cellStyle name="Normal 26 7 5" xfId="23498" xr:uid="{00000000-0005-0000-0000-0000E2840000}"/>
    <cellStyle name="Normal 26 7 6" xfId="23499" xr:uid="{00000000-0005-0000-0000-0000E3840000}"/>
    <cellStyle name="Normal 26 7 7" xfId="23500" xr:uid="{00000000-0005-0000-0000-0000E4840000}"/>
    <cellStyle name="Normal 26 7 8" xfId="23501" xr:uid="{00000000-0005-0000-0000-0000E5840000}"/>
    <cellStyle name="Normal 26 8" xfId="3696" xr:uid="{00000000-0005-0000-0000-0000E6840000}"/>
    <cellStyle name="Normal 26 8 2" xfId="5441" xr:uid="{00000000-0005-0000-0000-0000E7840000}"/>
    <cellStyle name="Normal 26 8 2 2" xfId="9986" xr:uid="{00000000-0005-0000-0000-0000E8840000}"/>
    <cellStyle name="Normal 26 8 2 2 2" xfId="13607" xr:uid="{00000000-0005-0000-0000-0000E9840000}"/>
    <cellStyle name="Normal 26 8 2 3" xfId="23502" xr:uid="{00000000-0005-0000-0000-0000EA840000}"/>
    <cellStyle name="Normal 26 8 2 4" xfId="23503" xr:uid="{00000000-0005-0000-0000-0000EB840000}"/>
    <cellStyle name="Normal 26 8 2 5" xfId="23504" xr:uid="{00000000-0005-0000-0000-0000EC840000}"/>
    <cellStyle name="Normal 26 8 2 6" xfId="23505" xr:uid="{00000000-0005-0000-0000-0000ED840000}"/>
    <cellStyle name="Normal 26 8 3" xfId="7616" xr:uid="{00000000-0005-0000-0000-0000EE840000}"/>
    <cellStyle name="Normal 26 8 3 2" xfId="8661" xr:uid="{00000000-0005-0000-0000-0000EF840000}"/>
    <cellStyle name="Normal 26 8 3 2 2" xfId="9988" xr:uid="{00000000-0005-0000-0000-0000F0840000}"/>
    <cellStyle name="Normal 26 8 3 2 2 2" xfId="13609" xr:uid="{00000000-0005-0000-0000-0000F1840000}"/>
    <cellStyle name="Normal 26 8 3 2 3" xfId="12665" xr:uid="{00000000-0005-0000-0000-0000F2840000}"/>
    <cellStyle name="Normal 26 8 3 3" xfId="9987" xr:uid="{00000000-0005-0000-0000-0000F3840000}"/>
    <cellStyle name="Normal 26 8 3 3 2" xfId="13608" xr:uid="{00000000-0005-0000-0000-0000F4840000}"/>
    <cellStyle name="Normal 26 8 3 4" xfId="12379" xr:uid="{00000000-0005-0000-0000-0000F5840000}"/>
    <cellStyle name="Normal 26 8 3 5" xfId="38445" xr:uid="{00000000-0005-0000-0000-0000F6840000}"/>
    <cellStyle name="Normal 26 8 4" xfId="9985" xr:uid="{00000000-0005-0000-0000-0000F7840000}"/>
    <cellStyle name="Normal 26 8 4 2" xfId="13606" xr:uid="{00000000-0005-0000-0000-0000F8840000}"/>
    <cellStyle name="Normal 26 8 5" xfId="23506" xr:uid="{00000000-0005-0000-0000-0000F9840000}"/>
    <cellStyle name="Normal 26 8 6" xfId="23507" xr:uid="{00000000-0005-0000-0000-0000FA840000}"/>
    <cellStyle name="Normal 26 8 7" xfId="23508" xr:uid="{00000000-0005-0000-0000-0000FB840000}"/>
    <cellStyle name="Normal 26 8 8" xfId="23509" xr:uid="{00000000-0005-0000-0000-0000FC840000}"/>
    <cellStyle name="Normal 26 9" xfId="3689" xr:uid="{00000000-0005-0000-0000-0000FD840000}"/>
    <cellStyle name="Normal 26 9 2" xfId="9989" xr:uid="{00000000-0005-0000-0000-0000FE840000}"/>
    <cellStyle name="Normal 26 9 2 2" xfId="13610" xr:uid="{00000000-0005-0000-0000-0000FF840000}"/>
    <cellStyle name="Normal 26 9 3" xfId="23510" xr:uid="{00000000-0005-0000-0000-000000850000}"/>
    <cellStyle name="Normal 26 9 4" xfId="23511" xr:uid="{00000000-0005-0000-0000-000001850000}"/>
    <cellStyle name="Normal 26 9 5" xfId="23512" xr:uid="{00000000-0005-0000-0000-000002850000}"/>
    <cellStyle name="Normal 26 9 6" xfId="23513" xr:uid="{00000000-0005-0000-0000-000003850000}"/>
    <cellStyle name="Normal 27" xfId="1589" xr:uid="{00000000-0005-0000-0000-000004850000}"/>
    <cellStyle name="Normal 27 10" xfId="9990" xr:uid="{00000000-0005-0000-0000-000005850000}"/>
    <cellStyle name="Normal 27 10 2" xfId="13611" xr:uid="{00000000-0005-0000-0000-000006850000}"/>
    <cellStyle name="Normal 27 11" xfId="11571" xr:uid="{00000000-0005-0000-0000-000007850000}"/>
    <cellStyle name="Normal 27 11 2" xfId="15195" xr:uid="{00000000-0005-0000-0000-000008850000}"/>
    <cellStyle name="Normal 27 12" xfId="23514" xr:uid="{00000000-0005-0000-0000-000009850000}"/>
    <cellStyle name="Normal 27 13" xfId="23515" xr:uid="{00000000-0005-0000-0000-00000A850000}"/>
    <cellStyle name="Normal 27 14" xfId="23516" xr:uid="{00000000-0005-0000-0000-00000B850000}"/>
    <cellStyle name="Normal 27 15" xfId="23517" xr:uid="{00000000-0005-0000-0000-00000C850000}"/>
    <cellStyle name="Normal 27 2" xfId="3698" xr:uid="{00000000-0005-0000-0000-00000D850000}"/>
    <cellStyle name="Normal 27 2 2" xfId="5443" xr:uid="{00000000-0005-0000-0000-00000E850000}"/>
    <cellStyle name="Normal 27 2 2 2" xfId="8662" xr:uid="{00000000-0005-0000-0000-00000F850000}"/>
    <cellStyle name="Normal 27 2 2 2 2" xfId="9993" xr:uid="{00000000-0005-0000-0000-000010850000}"/>
    <cellStyle name="Normal 27 2 2 2 2 2" xfId="13614" xr:uid="{00000000-0005-0000-0000-000011850000}"/>
    <cellStyle name="Normal 27 2 2 2 3" xfId="12666" xr:uid="{00000000-0005-0000-0000-000012850000}"/>
    <cellStyle name="Normal 27 2 2 3" xfId="9992" xr:uid="{00000000-0005-0000-0000-000013850000}"/>
    <cellStyle name="Normal 27 2 2 3 2" xfId="13613" xr:uid="{00000000-0005-0000-0000-000014850000}"/>
    <cellStyle name="Normal 27 2 2 4" xfId="12380" xr:uid="{00000000-0005-0000-0000-000015850000}"/>
    <cellStyle name="Normal 27 2 2 5" xfId="36138" xr:uid="{00000000-0005-0000-0000-000016850000}"/>
    <cellStyle name="Normal 27 2 2 6" xfId="7617" xr:uid="{00000000-0005-0000-0000-000017850000}"/>
    <cellStyle name="Normal 27 2 3" xfId="9991" xr:uid="{00000000-0005-0000-0000-000018850000}"/>
    <cellStyle name="Normal 27 2 3 2" xfId="13612" xr:uid="{00000000-0005-0000-0000-000019850000}"/>
    <cellStyle name="Normal 27 2 3 3" xfId="38446" xr:uid="{00000000-0005-0000-0000-00001A850000}"/>
    <cellStyle name="Normal 27 2 4" xfId="23518" xr:uid="{00000000-0005-0000-0000-00001B850000}"/>
    <cellStyle name="Normal 27 2 5" xfId="23519" xr:uid="{00000000-0005-0000-0000-00001C850000}"/>
    <cellStyle name="Normal 27 2 6" xfId="23520" xr:uid="{00000000-0005-0000-0000-00001D850000}"/>
    <cellStyle name="Normal 27 2 7" xfId="23521" xr:uid="{00000000-0005-0000-0000-00001E850000}"/>
    <cellStyle name="Normal 27 3" xfId="3699" xr:uid="{00000000-0005-0000-0000-00001F850000}"/>
    <cellStyle name="Normal 27 3 2" xfId="5444" xr:uid="{00000000-0005-0000-0000-000020850000}"/>
    <cellStyle name="Normal 27 3 2 2" xfId="6147" xr:uid="{00000000-0005-0000-0000-000021850000}"/>
    <cellStyle name="Normal 27 3 2 2 2" xfId="13616" xr:uid="{00000000-0005-0000-0000-000022850000}"/>
    <cellStyle name="Normal 27 3 2 2 3" xfId="9995" xr:uid="{00000000-0005-0000-0000-000023850000}"/>
    <cellStyle name="Normal 27 3 2 3" xfId="6467" xr:uid="{00000000-0005-0000-0000-000024850000}"/>
    <cellStyle name="Normal 27 3 2 3 2" xfId="40840" xr:uid="{00000000-0005-0000-0000-000025850000}"/>
    <cellStyle name="Normal 27 3 2 3 3" xfId="12667" xr:uid="{00000000-0005-0000-0000-000026850000}"/>
    <cellStyle name="Normal 27 3 2 4" xfId="39733" xr:uid="{00000000-0005-0000-0000-000027850000}"/>
    <cellStyle name="Normal 27 3 2 4 2" xfId="41316" xr:uid="{00000000-0005-0000-0000-000028850000}"/>
    <cellStyle name="Normal 27 3 2 5" xfId="39988" xr:uid="{00000000-0005-0000-0000-000029850000}"/>
    <cellStyle name="Normal 27 3 2 6" xfId="8663" xr:uid="{00000000-0005-0000-0000-00002A850000}"/>
    <cellStyle name="Normal 27 3 3" xfId="4519" xr:uid="{00000000-0005-0000-0000-00002B850000}"/>
    <cellStyle name="Normal 27 3 3 2" xfId="5970" xr:uid="{00000000-0005-0000-0000-00002C850000}"/>
    <cellStyle name="Normal 27 3 3 2 2" xfId="41144" xr:uid="{00000000-0005-0000-0000-00002D850000}"/>
    <cellStyle name="Normal 27 3 3 2 3" xfId="13615" xr:uid="{00000000-0005-0000-0000-00002E850000}"/>
    <cellStyle name="Normal 27 3 3 3" xfId="40289" xr:uid="{00000000-0005-0000-0000-00002F850000}"/>
    <cellStyle name="Normal 27 3 3 4" xfId="9994" xr:uid="{00000000-0005-0000-0000-000030850000}"/>
    <cellStyle name="Normal 27 3 4" xfId="5832" xr:uid="{00000000-0005-0000-0000-000031850000}"/>
    <cellStyle name="Normal 27 3 4 2" xfId="40154" xr:uid="{00000000-0005-0000-0000-000032850000}"/>
    <cellStyle name="Normal 27 3 4 3" xfId="12381" xr:uid="{00000000-0005-0000-0000-000033850000}"/>
    <cellStyle name="Normal 27 3 5" xfId="6291" xr:uid="{00000000-0005-0000-0000-000034850000}"/>
    <cellStyle name="Normal 27 3 5 2" xfId="40700" xr:uid="{00000000-0005-0000-0000-000035850000}"/>
    <cellStyle name="Normal 27 3 5 3" xfId="39132" xr:uid="{00000000-0005-0000-0000-000036850000}"/>
    <cellStyle name="Normal 27 3 6" xfId="39436" xr:uid="{00000000-0005-0000-0000-000037850000}"/>
    <cellStyle name="Normal 27 3 6 2" xfId="41007" xr:uid="{00000000-0005-0000-0000-000038850000}"/>
    <cellStyle name="Normal 27 3 7" xfId="39853" xr:uid="{00000000-0005-0000-0000-000039850000}"/>
    <cellStyle name="Normal 27 3 8" xfId="7618" xr:uid="{00000000-0005-0000-0000-00003A850000}"/>
    <cellStyle name="Normal 27 4" xfId="3697" xr:uid="{00000000-0005-0000-0000-00003B850000}"/>
    <cellStyle name="Normal 27 4 2" xfId="5442" xr:uid="{00000000-0005-0000-0000-00003C850000}"/>
    <cellStyle name="Normal 27 4 2 2" xfId="6146" xr:uid="{00000000-0005-0000-0000-00003D850000}"/>
    <cellStyle name="Normal 27 4 2 2 2" xfId="13618" xr:uid="{00000000-0005-0000-0000-00003E850000}"/>
    <cellStyle name="Normal 27 4 2 2 3" xfId="9997" xr:uid="{00000000-0005-0000-0000-00003F850000}"/>
    <cellStyle name="Normal 27 4 2 3" xfId="12668" xr:uid="{00000000-0005-0000-0000-000040850000}"/>
    <cellStyle name="Normal 27 4 2 4" xfId="8664" xr:uid="{00000000-0005-0000-0000-000041850000}"/>
    <cellStyle name="Normal 27 4 3" xfId="5831" xr:uid="{00000000-0005-0000-0000-000042850000}"/>
    <cellStyle name="Normal 27 4 3 2" xfId="13617" xr:uid="{00000000-0005-0000-0000-000043850000}"/>
    <cellStyle name="Normal 27 4 3 3" xfId="9996" xr:uid="{00000000-0005-0000-0000-000044850000}"/>
    <cellStyle name="Normal 27 4 4" xfId="6466" xr:uid="{00000000-0005-0000-0000-000045850000}"/>
    <cellStyle name="Normal 27 4 4 2" xfId="40699" xr:uid="{00000000-0005-0000-0000-000046850000}"/>
    <cellStyle name="Normal 27 4 4 3" xfId="12382" xr:uid="{00000000-0005-0000-0000-000047850000}"/>
    <cellStyle name="Normal 27 4 5" xfId="39435" xr:uid="{00000000-0005-0000-0000-000048850000}"/>
    <cellStyle name="Normal 27 4 5 2" xfId="41006" xr:uid="{00000000-0005-0000-0000-000049850000}"/>
    <cellStyle name="Normal 27 4 6" xfId="39937" xr:uid="{00000000-0005-0000-0000-00004A850000}"/>
    <cellStyle name="Normal 27 4 7" xfId="7619" xr:uid="{00000000-0005-0000-0000-00004B850000}"/>
    <cellStyle name="Normal 27 5" xfId="4807" xr:uid="{00000000-0005-0000-0000-00004C850000}"/>
    <cellStyle name="Normal 27 5 2" xfId="6016" xr:uid="{00000000-0005-0000-0000-00004D850000}"/>
    <cellStyle name="Normal 27 5 2 2" xfId="9999" xr:uid="{00000000-0005-0000-0000-00004E850000}"/>
    <cellStyle name="Normal 27 5 2 2 2" xfId="13620" xr:uid="{00000000-0005-0000-0000-00004F850000}"/>
    <cellStyle name="Normal 27 5 2 3" xfId="12669" xr:uid="{00000000-0005-0000-0000-000050850000}"/>
    <cellStyle name="Normal 27 5 2 4" xfId="8665" xr:uid="{00000000-0005-0000-0000-000051850000}"/>
    <cellStyle name="Normal 27 5 3" xfId="6337" xr:uid="{00000000-0005-0000-0000-000052850000}"/>
    <cellStyle name="Normal 27 5 3 2" xfId="13619" xr:uid="{00000000-0005-0000-0000-000053850000}"/>
    <cellStyle name="Normal 27 5 3 3" xfId="9998" xr:uid="{00000000-0005-0000-0000-000054850000}"/>
    <cellStyle name="Normal 27 5 4" xfId="12383" xr:uid="{00000000-0005-0000-0000-000055850000}"/>
    <cellStyle name="Normal 27 5 5" xfId="7620" xr:uid="{00000000-0005-0000-0000-000056850000}"/>
    <cellStyle name="Normal 27 6" xfId="4518" xr:uid="{00000000-0005-0000-0000-000057850000}"/>
    <cellStyle name="Normal 27 6 2" xfId="5969" xr:uid="{00000000-0005-0000-0000-000058850000}"/>
    <cellStyle name="Normal 27 6 2 2" xfId="10001" xr:uid="{00000000-0005-0000-0000-000059850000}"/>
    <cellStyle name="Normal 27 6 2 2 2" xfId="13622" xr:uid="{00000000-0005-0000-0000-00005A850000}"/>
    <cellStyle name="Normal 27 6 2 3" xfId="12670" xr:uid="{00000000-0005-0000-0000-00005B850000}"/>
    <cellStyle name="Normal 27 6 2 4" xfId="39216" xr:uid="{00000000-0005-0000-0000-00005C850000}"/>
    <cellStyle name="Normal 27 6 2 5" xfId="8666" xr:uid="{00000000-0005-0000-0000-00005D850000}"/>
    <cellStyle name="Normal 27 6 3" xfId="10000" xr:uid="{00000000-0005-0000-0000-00005E850000}"/>
    <cellStyle name="Normal 27 6 3 2" xfId="13621" xr:uid="{00000000-0005-0000-0000-00005F850000}"/>
    <cellStyle name="Normal 27 6 4" xfId="12384" xr:uid="{00000000-0005-0000-0000-000060850000}"/>
    <cellStyle name="Normal 27 6 5" xfId="7621" xr:uid="{00000000-0005-0000-0000-000061850000}"/>
    <cellStyle name="Normal 27 7" xfId="5700" xr:uid="{00000000-0005-0000-0000-000062850000}"/>
    <cellStyle name="Normal 27 7 2" xfId="8667" xr:uid="{00000000-0005-0000-0000-000063850000}"/>
    <cellStyle name="Normal 27 7 2 2" xfId="10003" xr:uid="{00000000-0005-0000-0000-000064850000}"/>
    <cellStyle name="Normal 27 7 2 2 2" xfId="13624" xr:uid="{00000000-0005-0000-0000-000065850000}"/>
    <cellStyle name="Normal 27 7 2 3" xfId="12671" xr:uid="{00000000-0005-0000-0000-000066850000}"/>
    <cellStyle name="Normal 27 7 3" xfId="10002" xr:uid="{00000000-0005-0000-0000-000067850000}"/>
    <cellStyle name="Normal 27 7 3 2" xfId="13623" xr:uid="{00000000-0005-0000-0000-000068850000}"/>
    <cellStyle name="Normal 27 7 4" xfId="12385" xr:uid="{00000000-0005-0000-0000-000069850000}"/>
    <cellStyle name="Normal 27 7 5" xfId="7622" xr:uid="{00000000-0005-0000-0000-00006A850000}"/>
    <cellStyle name="Normal 27 8" xfId="6290" xr:uid="{00000000-0005-0000-0000-00006B850000}"/>
    <cellStyle name="Normal 27 8 2" xfId="8668" xr:uid="{00000000-0005-0000-0000-00006C850000}"/>
    <cellStyle name="Normal 27 8 2 2" xfId="10005" xr:uid="{00000000-0005-0000-0000-00006D850000}"/>
    <cellStyle name="Normal 27 8 2 2 2" xfId="13626" xr:uid="{00000000-0005-0000-0000-00006E850000}"/>
    <cellStyle name="Normal 27 8 2 3" xfId="12672" xr:uid="{00000000-0005-0000-0000-00006F850000}"/>
    <cellStyle name="Normal 27 8 3" xfId="10004" xr:uid="{00000000-0005-0000-0000-000070850000}"/>
    <cellStyle name="Normal 27 8 3 2" xfId="13625" xr:uid="{00000000-0005-0000-0000-000071850000}"/>
    <cellStyle name="Normal 27 8 4" xfId="12386" xr:uid="{00000000-0005-0000-0000-000072850000}"/>
    <cellStyle name="Normal 27 8 5" xfId="7623" xr:uid="{00000000-0005-0000-0000-000073850000}"/>
    <cellStyle name="Normal 27 9" xfId="7624" xr:uid="{00000000-0005-0000-0000-000074850000}"/>
    <cellStyle name="Normal 27 9 2" xfId="8669" xr:uid="{00000000-0005-0000-0000-000075850000}"/>
    <cellStyle name="Normal 27 9 2 2" xfId="10007" xr:uid="{00000000-0005-0000-0000-000076850000}"/>
    <cellStyle name="Normal 27 9 2 2 2" xfId="13628" xr:uid="{00000000-0005-0000-0000-000077850000}"/>
    <cellStyle name="Normal 27 9 2 3" xfId="12673" xr:uid="{00000000-0005-0000-0000-000078850000}"/>
    <cellStyle name="Normal 27 9 3" xfId="10006" xr:uid="{00000000-0005-0000-0000-000079850000}"/>
    <cellStyle name="Normal 27 9 3 2" xfId="13627" xr:uid="{00000000-0005-0000-0000-00007A850000}"/>
    <cellStyle name="Normal 27 9 4" xfId="12387" xr:uid="{00000000-0005-0000-0000-00007B850000}"/>
    <cellStyle name="Normal 28" xfId="3700" xr:uid="{00000000-0005-0000-0000-00007C850000}"/>
    <cellStyle name="Normal 28 2" xfId="5445" xr:uid="{00000000-0005-0000-0000-00007D850000}"/>
    <cellStyle name="Normal 28 2 2" xfId="10009" xr:uid="{00000000-0005-0000-0000-00007E850000}"/>
    <cellStyle name="Normal 28 2 2 2" xfId="13630" xr:uid="{00000000-0005-0000-0000-00007F850000}"/>
    <cellStyle name="Normal 28 2 3" xfId="23522" xr:uid="{00000000-0005-0000-0000-000080850000}"/>
    <cellStyle name="Normal 28 2 4" xfId="23523" xr:uid="{00000000-0005-0000-0000-000081850000}"/>
    <cellStyle name="Normal 28 2 5" xfId="23524" xr:uid="{00000000-0005-0000-0000-000082850000}"/>
    <cellStyle name="Normal 28 2 6" xfId="23525" xr:uid="{00000000-0005-0000-0000-000083850000}"/>
    <cellStyle name="Normal 28 3" xfId="10008" xr:uid="{00000000-0005-0000-0000-000084850000}"/>
    <cellStyle name="Normal 28 3 2" xfId="13629" xr:uid="{00000000-0005-0000-0000-000085850000}"/>
    <cellStyle name="Normal 28 3 3" xfId="38447" xr:uid="{00000000-0005-0000-0000-000086850000}"/>
    <cellStyle name="Normal 28 4" xfId="23526" xr:uid="{00000000-0005-0000-0000-000087850000}"/>
    <cellStyle name="Normal 28 5" xfId="23527" xr:uid="{00000000-0005-0000-0000-000088850000}"/>
    <cellStyle name="Normal 28 6" xfId="23528" xr:uid="{00000000-0005-0000-0000-000089850000}"/>
    <cellStyle name="Normal 28 7" xfId="23529" xr:uid="{00000000-0005-0000-0000-00008A850000}"/>
    <cellStyle name="Normal 29" xfId="3701" xr:uid="{00000000-0005-0000-0000-00008B850000}"/>
    <cellStyle name="Normal 29 2" xfId="1590" xr:uid="{00000000-0005-0000-0000-00008C850000}"/>
    <cellStyle name="Normal 29 2 2" xfId="3702" xr:uid="{00000000-0005-0000-0000-00008D850000}"/>
    <cellStyle name="Normal 29 2 2 2" xfId="13632" xr:uid="{00000000-0005-0000-0000-00008E850000}"/>
    <cellStyle name="Normal 29 2 2 3" xfId="35435" xr:uid="{00000000-0005-0000-0000-00008F850000}"/>
    <cellStyle name="Normal 29 2 2 4" xfId="10011" xr:uid="{00000000-0005-0000-0000-000090850000}"/>
    <cellStyle name="Normal 29 2 3" xfId="4808" xr:uid="{00000000-0005-0000-0000-000091850000}"/>
    <cellStyle name="Normal 29 2 3 2" xfId="35785" xr:uid="{00000000-0005-0000-0000-000092850000}"/>
    <cellStyle name="Normal 29 2 3 3" xfId="23530" xr:uid="{00000000-0005-0000-0000-000093850000}"/>
    <cellStyle name="Normal 29 2 4" xfId="23531" xr:uid="{00000000-0005-0000-0000-000094850000}"/>
    <cellStyle name="Normal 29 2 4 2" xfId="37846" xr:uid="{00000000-0005-0000-0000-000095850000}"/>
    <cellStyle name="Normal 29 2 5" xfId="23532" xr:uid="{00000000-0005-0000-0000-000096850000}"/>
    <cellStyle name="Normal 29 2 6" xfId="23533" xr:uid="{00000000-0005-0000-0000-000097850000}"/>
    <cellStyle name="Normal 29 2 7" xfId="23534" xr:uid="{00000000-0005-0000-0000-000098850000}"/>
    <cellStyle name="Normal 29 3" xfId="5446" xr:uid="{00000000-0005-0000-0000-000099850000}"/>
    <cellStyle name="Normal 29 3 2" xfId="13631" xr:uid="{00000000-0005-0000-0000-00009A850000}"/>
    <cellStyle name="Normal 29 3 3" xfId="36139" xr:uid="{00000000-0005-0000-0000-00009B850000}"/>
    <cellStyle name="Normal 29 3 4" xfId="10010" xr:uid="{00000000-0005-0000-0000-00009C850000}"/>
    <cellStyle name="Normal 29 4" xfId="23535" xr:uid="{00000000-0005-0000-0000-00009D850000}"/>
    <cellStyle name="Normal 29 4 2" xfId="38448" xr:uid="{00000000-0005-0000-0000-00009E850000}"/>
    <cellStyle name="Normal 29 5" xfId="23536" xr:uid="{00000000-0005-0000-0000-00009F850000}"/>
    <cellStyle name="Normal 29 6" xfId="23537" xr:uid="{00000000-0005-0000-0000-0000A0850000}"/>
    <cellStyle name="Normal 29 7" xfId="23538" xr:uid="{00000000-0005-0000-0000-0000A1850000}"/>
    <cellStyle name="Normal 3" xfId="2" xr:uid="{00000000-0005-0000-0000-0000A2850000}"/>
    <cellStyle name="Normal 3 10" xfId="3704" xr:uid="{00000000-0005-0000-0000-0000A3850000}"/>
    <cellStyle name="Normal 3 10 2" xfId="5447" xr:uid="{00000000-0005-0000-0000-0000A4850000}"/>
    <cellStyle name="Normal 3 10 2 2" xfId="10014" xr:uid="{00000000-0005-0000-0000-0000A5850000}"/>
    <cellStyle name="Normal 3 10 2 2 2" xfId="13635" xr:uid="{00000000-0005-0000-0000-0000A6850000}"/>
    <cellStyle name="Normal 3 10 2 3" xfId="23539" xr:uid="{00000000-0005-0000-0000-0000A7850000}"/>
    <cellStyle name="Normal 3 10 2 4" xfId="23540" xr:uid="{00000000-0005-0000-0000-0000A8850000}"/>
    <cellStyle name="Normal 3 10 2 5" xfId="23541" xr:uid="{00000000-0005-0000-0000-0000A9850000}"/>
    <cellStyle name="Normal 3 10 2 6" xfId="23542" xr:uid="{00000000-0005-0000-0000-0000AA850000}"/>
    <cellStyle name="Normal 3 10 3" xfId="10013" xr:uid="{00000000-0005-0000-0000-0000AB850000}"/>
    <cellStyle name="Normal 3 10 3 2" xfId="13634" xr:uid="{00000000-0005-0000-0000-0000AC850000}"/>
    <cellStyle name="Normal 3 10 3 3" xfId="38450" xr:uid="{00000000-0005-0000-0000-0000AD850000}"/>
    <cellStyle name="Normal 3 10 4" xfId="23543" xr:uid="{00000000-0005-0000-0000-0000AE850000}"/>
    <cellStyle name="Normal 3 10 5" xfId="23544" xr:uid="{00000000-0005-0000-0000-0000AF850000}"/>
    <cellStyle name="Normal 3 10 6" xfId="23545" xr:uid="{00000000-0005-0000-0000-0000B0850000}"/>
    <cellStyle name="Normal 3 10 7" xfId="23546" xr:uid="{00000000-0005-0000-0000-0000B1850000}"/>
    <cellStyle name="Normal 3 11" xfId="3705" xr:uid="{00000000-0005-0000-0000-0000B2850000}"/>
    <cellStyle name="Normal 3 11 2" xfId="5448" xr:uid="{00000000-0005-0000-0000-0000B3850000}"/>
    <cellStyle name="Normal 3 11 2 2" xfId="10016" xr:uid="{00000000-0005-0000-0000-0000B4850000}"/>
    <cellStyle name="Normal 3 11 2 2 2" xfId="13637" xr:uid="{00000000-0005-0000-0000-0000B5850000}"/>
    <cellStyle name="Normal 3 11 2 3" xfId="23547" xr:uid="{00000000-0005-0000-0000-0000B6850000}"/>
    <cellStyle name="Normal 3 11 2 4" xfId="23548" xr:uid="{00000000-0005-0000-0000-0000B7850000}"/>
    <cellStyle name="Normal 3 11 2 5" xfId="23549" xr:uid="{00000000-0005-0000-0000-0000B8850000}"/>
    <cellStyle name="Normal 3 11 2 6" xfId="23550" xr:uid="{00000000-0005-0000-0000-0000B9850000}"/>
    <cellStyle name="Normal 3 11 3" xfId="10015" xr:uid="{00000000-0005-0000-0000-0000BA850000}"/>
    <cellStyle name="Normal 3 11 3 2" xfId="13636" xr:uid="{00000000-0005-0000-0000-0000BB850000}"/>
    <cellStyle name="Normal 3 11 3 3" xfId="38451" xr:uid="{00000000-0005-0000-0000-0000BC850000}"/>
    <cellStyle name="Normal 3 11 4" xfId="23551" xr:uid="{00000000-0005-0000-0000-0000BD850000}"/>
    <cellStyle name="Normal 3 11 5" xfId="23552" xr:uid="{00000000-0005-0000-0000-0000BE850000}"/>
    <cellStyle name="Normal 3 11 6" xfId="23553" xr:uid="{00000000-0005-0000-0000-0000BF850000}"/>
    <cellStyle name="Normal 3 11 7" xfId="23554" xr:uid="{00000000-0005-0000-0000-0000C0850000}"/>
    <cellStyle name="Normal 3 12" xfId="3706" xr:uid="{00000000-0005-0000-0000-0000C1850000}"/>
    <cellStyle name="Normal 3 12 2" xfId="6718" xr:uid="{00000000-0005-0000-0000-0000C2850000}"/>
    <cellStyle name="Normal 3 12 2 2" xfId="10018" xr:uid="{00000000-0005-0000-0000-0000C3850000}"/>
    <cellStyle name="Normal 3 12 2 2 2" xfId="13639" xr:uid="{00000000-0005-0000-0000-0000C4850000}"/>
    <cellStyle name="Normal 3 12 2 3" xfId="23555" xr:uid="{00000000-0005-0000-0000-0000C5850000}"/>
    <cellStyle name="Normal 3 12 2 4" xfId="23556" xr:uid="{00000000-0005-0000-0000-0000C6850000}"/>
    <cellStyle name="Normal 3 12 2 5" xfId="23557" xr:uid="{00000000-0005-0000-0000-0000C7850000}"/>
    <cellStyle name="Normal 3 12 2 6" xfId="23558" xr:uid="{00000000-0005-0000-0000-0000C8850000}"/>
    <cellStyle name="Normal 3 12 3" xfId="8493" xr:uid="{00000000-0005-0000-0000-0000C9850000}"/>
    <cellStyle name="Normal 3 12 3 2" xfId="10019" xr:uid="{00000000-0005-0000-0000-0000CA850000}"/>
    <cellStyle name="Normal 3 12 3 2 2" xfId="13640" xr:uid="{00000000-0005-0000-0000-0000CB850000}"/>
    <cellStyle name="Normal 3 12 3 3" xfId="23559" xr:uid="{00000000-0005-0000-0000-0000CC850000}"/>
    <cellStyle name="Normal 3 12 3 4" xfId="23560" xr:uid="{00000000-0005-0000-0000-0000CD850000}"/>
    <cellStyle name="Normal 3 12 3 5" xfId="23561" xr:uid="{00000000-0005-0000-0000-0000CE850000}"/>
    <cellStyle name="Normal 3 12 3 6" xfId="23562" xr:uid="{00000000-0005-0000-0000-0000CF850000}"/>
    <cellStyle name="Normal 3 12 4" xfId="8283" xr:uid="{00000000-0005-0000-0000-0000D0850000}"/>
    <cellStyle name="Normal 3 12 4 2" xfId="10020" xr:uid="{00000000-0005-0000-0000-0000D1850000}"/>
    <cellStyle name="Normal 3 12 4 2 2" xfId="13641" xr:uid="{00000000-0005-0000-0000-0000D2850000}"/>
    <cellStyle name="Normal 3 12 4 3" xfId="12473" xr:uid="{00000000-0005-0000-0000-0000D3850000}"/>
    <cellStyle name="Normal 3 12 5" xfId="10017" xr:uid="{00000000-0005-0000-0000-0000D4850000}"/>
    <cellStyle name="Normal 3 12 5 2" xfId="13638" xr:uid="{00000000-0005-0000-0000-0000D5850000}"/>
    <cellStyle name="Normal 3 12 6" xfId="23563" xr:uid="{00000000-0005-0000-0000-0000D6850000}"/>
    <cellStyle name="Normal 3 12 7" xfId="23564" xr:uid="{00000000-0005-0000-0000-0000D7850000}"/>
    <cellStyle name="Normal 3 12 8" xfId="23565" xr:uid="{00000000-0005-0000-0000-0000D8850000}"/>
    <cellStyle name="Normal 3 12 9" xfId="23566" xr:uid="{00000000-0005-0000-0000-0000D9850000}"/>
    <cellStyle name="Normal 3 13" xfId="3707" xr:uid="{00000000-0005-0000-0000-0000DA850000}"/>
    <cellStyle name="Normal 3 13 2" xfId="6719" xr:uid="{00000000-0005-0000-0000-0000DB850000}"/>
    <cellStyle name="Normal 3 13 2 2" xfId="10022" xr:uid="{00000000-0005-0000-0000-0000DC850000}"/>
    <cellStyle name="Normal 3 13 2 2 2" xfId="13643" xr:uid="{00000000-0005-0000-0000-0000DD850000}"/>
    <cellStyle name="Normal 3 13 2 3" xfId="23567" xr:uid="{00000000-0005-0000-0000-0000DE850000}"/>
    <cellStyle name="Normal 3 13 2 4" xfId="23568" xr:uid="{00000000-0005-0000-0000-0000DF850000}"/>
    <cellStyle name="Normal 3 13 2 5" xfId="23569" xr:uid="{00000000-0005-0000-0000-0000E0850000}"/>
    <cellStyle name="Normal 3 13 2 6" xfId="23570" xr:uid="{00000000-0005-0000-0000-0000E1850000}"/>
    <cellStyle name="Normal 3 13 3" xfId="8494" xr:uid="{00000000-0005-0000-0000-0000E2850000}"/>
    <cellStyle name="Normal 3 13 3 2" xfId="10023" xr:uid="{00000000-0005-0000-0000-0000E3850000}"/>
    <cellStyle name="Normal 3 13 3 2 2" xfId="13644" xr:uid="{00000000-0005-0000-0000-0000E4850000}"/>
    <cellStyle name="Normal 3 13 3 3" xfId="23571" xr:uid="{00000000-0005-0000-0000-0000E5850000}"/>
    <cellStyle name="Normal 3 13 3 4" xfId="23572" xr:uid="{00000000-0005-0000-0000-0000E6850000}"/>
    <cellStyle name="Normal 3 13 3 5" xfId="23573" xr:uid="{00000000-0005-0000-0000-0000E7850000}"/>
    <cellStyle name="Normal 3 13 3 6" xfId="23574" xr:uid="{00000000-0005-0000-0000-0000E8850000}"/>
    <cellStyle name="Normal 3 13 4" xfId="8284" xr:uid="{00000000-0005-0000-0000-0000E9850000}"/>
    <cellStyle name="Normal 3 13 4 2" xfId="10024" xr:uid="{00000000-0005-0000-0000-0000EA850000}"/>
    <cellStyle name="Normal 3 13 4 2 2" xfId="13645" xr:uid="{00000000-0005-0000-0000-0000EB850000}"/>
    <cellStyle name="Normal 3 13 4 3" xfId="12474" xr:uid="{00000000-0005-0000-0000-0000EC850000}"/>
    <cellStyle name="Normal 3 13 5" xfId="10021" xr:uid="{00000000-0005-0000-0000-0000ED850000}"/>
    <cellStyle name="Normal 3 13 5 2" xfId="13642" xr:uid="{00000000-0005-0000-0000-0000EE850000}"/>
    <cellStyle name="Normal 3 13 6" xfId="23575" xr:uid="{00000000-0005-0000-0000-0000EF850000}"/>
    <cellStyle name="Normal 3 13 7" xfId="23576" xr:uid="{00000000-0005-0000-0000-0000F0850000}"/>
    <cellStyle name="Normal 3 13 8" xfId="23577" xr:uid="{00000000-0005-0000-0000-0000F1850000}"/>
    <cellStyle name="Normal 3 13 9" xfId="23578" xr:uid="{00000000-0005-0000-0000-0000F2850000}"/>
    <cellStyle name="Normal 3 14" xfId="3708" xr:uid="{00000000-0005-0000-0000-0000F3850000}"/>
    <cellStyle name="Normal 3 14 2" xfId="6720" xr:uid="{00000000-0005-0000-0000-0000F4850000}"/>
    <cellStyle name="Normal 3 14 2 2" xfId="10026" xr:uid="{00000000-0005-0000-0000-0000F5850000}"/>
    <cellStyle name="Normal 3 14 2 2 2" xfId="13647" xr:uid="{00000000-0005-0000-0000-0000F6850000}"/>
    <cellStyle name="Normal 3 14 2 3" xfId="23579" xr:uid="{00000000-0005-0000-0000-0000F7850000}"/>
    <cellStyle name="Normal 3 14 2 4" xfId="23580" xr:uid="{00000000-0005-0000-0000-0000F8850000}"/>
    <cellStyle name="Normal 3 14 2 5" xfId="23581" xr:uid="{00000000-0005-0000-0000-0000F9850000}"/>
    <cellStyle name="Normal 3 14 2 6" xfId="23582" xr:uid="{00000000-0005-0000-0000-0000FA850000}"/>
    <cellStyle name="Normal 3 14 3" xfId="8495" xr:uid="{00000000-0005-0000-0000-0000FB850000}"/>
    <cellStyle name="Normal 3 14 3 2" xfId="10027" xr:uid="{00000000-0005-0000-0000-0000FC850000}"/>
    <cellStyle name="Normal 3 14 3 2 2" xfId="13648" xr:uid="{00000000-0005-0000-0000-0000FD850000}"/>
    <cellStyle name="Normal 3 14 3 3" xfId="23583" xr:uid="{00000000-0005-0000-0000-0000FE850000}"/>
    <cellStyle name="Normal 3 14 3 4" xfId="23584" xr:uid="{00000000-0005-0000-0000-0000FF850000}"/>
    <cellStyle name="Normal 3 14 3 5" xfId="23585" xr:uid="{00000000-0005-0000-0000-000000860000}"/>
    <cellStyle name="Normal 3 14 3 6" xfId="23586" xr:uid="{00000000-0005-0000-0000-000001860000}"/>
    <cellStyle name="Normal 3 14 4" xfId="8285" xr:uid="{00000000-0005-0000-0000-000002860000}"/>
    <cellStyle name="Normal 3 14 4 2" xfId="10028" xr:uid="{00000000-0005-0000-0000-000003860000}"/>
    <cellStyle name="Normal 3 14 4 2 2" xfId="13649" xr:uid="{00000000-0005-0000-0000-000004860000}"/>
    <cellStyle name="Normal 3 14 4 3" xfId="12475" xr:uid="{00000000-0005-0000-0000-000005860000}"/>
    <cellStyle name="Normal 3 14 5" xfId="10025" xr:uid="{00000000-0005-0000-0000-000006860000}"/>
    <cellStyle name="Normal 3 14 5 2" xfId="13646" xr:uid="{00000000-0005-0000-0000-000007860000}"/>
    <cellStyle name="Normal 3 14 6" xfId="23587" xr:uid="{00000000-0005-0000-0000-000008860000}"/>
    <cellStyle name="Normal 3 14 7" xfId="23588" xr:uid="{00000000-0005-0000-0000-000009860000}"/>
    <cellStyle name="Normal 3 14 8" xfId="23589" xr:uid="{00000000-0005-0000-0000-00000A860000}"/>
    <cellStyle name="Normal 3 14 9" xfId="23590" xr:uid="{00000000-0005-0000-0000-00000B860000}"/>
    <cellStyle name="Normal 3 15" xfId="3709" xr:uid="{00000000-0005-0000-0000-00000C860000}"/>
    <cellStyle name="Normal 3 15 2" xfId="5449" xr:uid="{00000000-0005-0000-0000-00000D860000}"/>
    <cellStyle name="Normal 3 15 2 2" xfId="10030" xr:uid="{00000000-0005-0000-0000-00000E860000}"/>
    <cellStyle name="Normal 3 15 2 2 2" xfId="13651" xr:uid="{00000000-0005-0000-0000-00000F860000}"/>
    <cellStyle name="Normal 3 15 2 3" xfId="23591" xr:uid="{00000000-0005-0000-0000-000010860000}"/>
    <cellStyle name="Normal 3 15 2 4" xfId="23592" xr:uid="{00000000-0005-0000-0000-000011860000}"/>
    <cellStyle name="Normal 3 15 2 5" xfId="23593" xr:uid="{00000000-0005-0000-0000-000012860000}"/>
    <cellStyle name="Normal 3 15 2 6" xfId="23594" xr:uid="{00000000-0005-0000-0000-000013860000}"/>
    <cellStyle name="Normal 3 15 3" xfId="10029" xr:uid="{00000000-0005-0000-0000-000014860000}"/>
    <cellStyle name="Normal 3 15 3 2" xfId="13650" xr:uid="{00000000-0005-0000-0000-000015860000}"/>
    <cellStyle name="Normal 3 15 3 3" xfId="38452" xr:uid="{00000000-0005-0000-0000-000016860000}"/>
    <cellStyle name="Normal 3 15 4" xfId="23595" xr:uid="{00000000-0005-0000-0000-000017860000}"/>
    <cellStyle name="Normal 3 15 5" xfId="23596" xr:uid="{00000000-0005-0000-0000-000018860000}"/>
    <cellStyle name="Normal 3 15 6" xfId="23597" xr:uid="{00000000-0005-0000-0000-000019860000}"/>
    <cellStyle name="Normal 3 15 7" xfId="23598" xr:uid="{00000000-0005-0000-0000-00001A860000}"/>
    <cellStyle name="Normal 3 16" xfId="3710" xr:uid="{00000000-0005-0000-0000-00001B860000}"/>
    <cellStyle name="Normal 3 16 2" xfId="5450" xr:uid="{00000000-0005-0000-0000-00001C860000}"/>
    <cellStyle name="Normal 3 16 2 2" xfId="10032" xr:uid="{00000000-0005-0000-0000-00001D860000}"/>
    <cellStyle name="Normal 3 16 2 2 2" xfId="13653" xr:uid="{00000000-0005-0000-0000-00001E860000}"/>
    <cellStyle name="Normal 3 16 2 3" xfId="23599" xr:uid="{00000000-0005-0000-0000-00001F860000}"/>
    <cellStyle name="Normal 3 16 2 4" xfId="23600" xr:uid="{00000000-0005-0000-0000-000020860000}"/>
    <cellStyle name="Normal 3 16 2 5" xfId="23601" xr:uid="{00000000-0005-0000-0000-000021860000}"/>
    <cellStyle name="Normal 3 16 2 6" xfId="23602" xr:uid="{00000000-0005-0000-0000-000022860000}"/>
    <cellStyle name="Normal 3 16 3" xfId="10031" xr:uid="{00000000-0005-0000-0000-000023860000}"/>
    <cellStyle name="Normal 3 16 3 2" xfId="13652" xr:uid="{00000000-0005-0000-0000-000024860000}"/>
    <cellStyle name="Normal 3 16 3 3" xfId="38453" xr:uid="{00000000-0005-0000-0000-000025860000}"/>
    <cellStyle name="Normal 3 16 4" xfId="23603" xr:uid="{00000000-0005-0000-0000-000026860000}"/>
    <cellStyle name="Normal 3 16 5" xfId="23604" xr:uid="{00000000-0005-0000-0000-000027860000}"/>
    <cellStyle name="Normal 3 16 6" xfId="23605" xr:uid="{00000000-0005-0000-0000-000028860000}"/>
    <cellStyle name="Normal 3 16 7" xfId="23606" xr:uid="{00000000-0005-0000-0000-000029860000}"/>
    <cellStyle name="Normal 3 17" xfId="3711" xr:uid="{00000000-0005-0000-0000-00002A860000}"/>
    <cellStyle name="Normal 3 17 2" xfId="5451" xr:uid="{00000000-0005-0000-0000-00002B860000}"/>
    <cellStyle name="Normal 3 17 2 2" xfId="10034" xr:uid="{00000000-0005-0000-0000-00002C860000}"/>
    <cellStyle name="Normal 3 17 2 2 2" xfId="13655" xr:uid="{00000000-0005-0000-0000-00002D860000}"/>
    <cellStyle name="Normal 3 17 2 3" xfId="23607" xr:uid="{00000000-0005-0000-0000-00002E860000}"/>
    <cellStyle name="Normal 3 17 2 4" xfId="23608" xr:uid="{00000000-0005-0000-0000-00002F860000}"/>
    <cellStyle name="Normal 3 17 2 5" xfId="23609" xr:uid="{00000000-0005-0000-0000-000030860000}"/>
    <cellStyle name="Normal 3 17 2 6" xfId="23610" xr:uid="{00000000-0005-0000-0000-000031860000}"/>
    <cellStyle name="Normal 3 17 3" xfId="10033" xr:uid="{00000000-0005-0000-0000-000032860000}"/>
    <cellStyle name="Normal 3 17 3 2" xfId="13654" xr:uid="{00000000-0005-0000-0000-000033860000}"/>
    <cellStyle name="Normal 3 17 3 3" xfId="38454" xr:uid="{00000000-0005-0000-0000-000034860000}"/>
    <cellStyle name="Normal 3 17 4" xfId="23611" xr:uid="{00000000-0005-0000-0000-000035860000}"/>
    <cellStyle name="Normal 3 17 5" xfId="23612" xr:uid="{00000000-0005-0000-0000-000036860000}"/>
    <cellStyle name="Normal 3 17 6" xfId="23613" xr:uid="{00000000-0005-0000-0000-000037860000}"/>
    <cellStyle name="Normal 3 17 7" xfId="23614" xr:uid="{00000000-0005-0000-0000-000038860000}"/>
    <cellStyle name="Normal 3 18" xfId="3712" xr:uid="{00000000-0005-0000-0000-000039860000}"/>
    <cellStyle name="Normal 3 18 2" xfId="5452" xr:uid="{00000000-0005-0000-0000-00003A860000}"/>
    <cellStyle name="Normal 3 18 2 2" xfId="10036" xr:uid="{00000000-0005-0000-0000-00003B860000}"/>
    <cellStyle name="Normal 3 18 2 2 2" xfId="13657" xr:uid="{00000000-0005-0000-0000-00003C860000}"/>
    <cellStyle name="Normal 3 18 2 3" xfId="23615" xr:uid="{00000000-0005-0000-0000-00003D860000}"/>
    <cellStyle name="Normal 3 18 2 4" xfId="23616" xr:uid="{00000000-0005-0000-0000-00003E860000}"/>
    <cellStyle name="Normal 3 18 2 5" xfId="23617" xr:uid="{00000000-0005-0000-0000-00003F860000}"/>
    <cellStyle name="Normal 3 18 2 6" xfId="23618" xr:uid="{00000000-0005-0000-0000-000040860000}"/>
    <cellStyle name="Normal 3 18 3" xfId="10035" xr:uid="{00000000-0005-0000-0000-000041860000}"/>
    <cellStyle name="Normal 3 18 3 2" xfId="13656" xr:uid="{00000000-0005-0000-0000-000042860000}"/>
    <cellStyle name="Normal 3 18 3 3" xfId="38455" xr:uid="{00000000-0005-0000-0000-000043860000}"/>
    <cellStyle name="Normal 3 18 4" xfId="23619" xr:uid="{00000000-0005-0000-0000-000044860000}"/>
    <cellStyle name="Normal 3 18 5" xfId="23620" xr:uid="{00000000-0005-0000-0000-000045860000}"/>
    <cellStyle name="Normal 3 18 6" xfId="23621" xr:uid="{00000000-0005-0000-0000-000046860000}"/>
    <cellStyle name="Normal 3 18 7" xfId="23622" xr:uid="{00000000-0005-0000-0000-000047860000}"/>
    <cellStyle name="Normal 3 19" xfId="3713" xr:uid="{00000000-0005-0000-0000-000048860000}"/>
    <cellStyle name="Normal 3 19 2" xfId="5453" xr:uid="{00000000-0005-0000-0000-000049860000}"/>
    <cellStyle name="Normal 3 19 2 2" xfId="10038" xr:uid="{00000000-0005-0000-0000-00004A860000}"/>
    <cellStyle name="Normal 3 19 2 2 2" xfId="13659" xr:uid="{00000000-0005-0000-0000-00004B860000}"/>
    <cellStyle name="Normal 3 19 2 3" xfId="23623" xr:uid="{00000000-0005-0000-0000-00004C860000}"/>
    <cellStyle name="Normal 3 19 2 4" xfId="23624" xr:uid="{00000000-0005-0000-0000-00004D860000}"/>
    <cellStyle name="Normal 3 19 2 5" xfId="23625" xr:uid="{00000000-0005-0000-0000-00004E860000}"/>
    <cellStyle name="Normal 3 19 2 6" xfId="23626" xr:uid="{00000000-0005-0000-0000-00004F860000}"/>
    <cellStyle name="Normal 3 19 3" xfId="10037" xr:uid="{00000000-0005-0000-0000-000050860000}"/>
    <cellStyle name="Normal 3 19 3 2" xfId="13658" xr:uid="{00000000-0005-0000-0000-000051860000}"/>
    <cellStyle name="Normal 3 19 3 3" xfId="38456" xr:uid="{00000000-0005-0000-0000-000052860000}"/>
    <cellStyle name="Normal 3 19 4" xfId="23627" xr:uid="{00000000-0005-0000-0000-000053860000}"/>
    <cellStyle name="Normal 3 19 5" xfId="23628" xr:uid="{00000000-0005-0000-0000-000054860000}"/>
    <cellStyle name="Normal 3 19 6" xfId="23629" xr:uid="{00000000-0005-0000-0000-000055860000}"/>
    <cellStyle name="Normal 3 19 7" xfId="23630" xr:uid="{00000000-0005-0000-0000-000056860000}"/>
    <cellStyle name="Normal 3 2" xfId="1592" xr:uid="{00000000-0005-0000-0000-000057860000}"/>
    <cellStyle name="Normal 3 2 10" xfId="3714" xr:uid="{00000000-0005-0000-0000-000058860000}"/>
    <cellStyle name="Normal 3 2 10 2" xfId="10040" xr:uid="{00000000-0005-0000-0000-000059860000}"/>
    <cellStyle name="Normal 3 2 10 2 2" xfId="13661" xr:uid="{00000000-0005-0000-0000-00005A860000}"/>
    <cellStyle name="Normal 3 2 10 3" xfId="23631" xr:uid="{00000000-0005-0000-0000-00005B860000}"/>
    <cellStyle name="Normal 3 2 10 4" xfId="23632" xr:uid="{00000000-0005-0000-0000-00005C860000}"/>
    <cellStyle name="Normal 3 2 10 5" xfId="23633" xr:uid="{00000000-0005-0000-0000-00005D860000}"/>
    <cellStyle name="Normal 3 2 10 6" xfId="23634" xr:uid="{00000000-0005-0000-0000-00005E860000}"/>
    <cellStyle name="Normal 3 2 11" xfId="3715" xr:uid="{00000000-0005-0000-0000-00005F860000}"/>
    <cellStyle name="Normal 3 2 11 2" xfId="5454" xr:uid="{00000000-0005-0000-0000-000060860000}"/>
    <cellStyle name="Normal 3 2 11 2 2" xfId="10042" xr:uid="{00000000-0005-0000-0000-000061860000}"/>
    <cellStyle name="Normal 3 2 11 2 2 2" xfId="13663" xr:uid="{00000000-0005-0000-0000-000062860000}"/>
    <cellStyle name="Normal 3 2 11 2 3" xfId="23635" xr:uid="{00000000-0005-0000-0000-000063860000}"/>
    <cellStyle name="Normal 3 2 11 2 4" xfId="23636" xr:uid="{00000000-0005-0000-0000-000064860000}"/>
    <cellStyle name="Normal 3 2 11 2 5" xfId="23637" xr:uid="{00000000-0005-0000-0000-000065860000}"/>
    <cellStyle name="Normal 3 2 11 2 6" xfId="23638" xr:uid="{00000000-0005-0000-0000-000066860000}"/>
    <cellStyle name="Normal 3 2 11 3" xfId="10041" xr:uid="{00000000-0005-0000-0000-000067860000}"/>
    <cellStyle name="Normal 3 2 11 3 2" xfId="13662" xr:uid="{00000000-0005-0000-0000-000068860000}"/>
    <cellStyle name="Normal 3 2 11 3 3" xfId="38457" xr:uid="{00000000-0005-0000-0000-000069860000}"/>
    <cellStyle name="Normal 3 2 11 4" xfId="23639" xr:uid="{00000000-0005-0000-0000-00006A860000}"/>
    <cellStyle name="Normal 3 2 11 5" xfId="23640" xr:uid="{00000000-0005-0000-0000-00006B860000}"/>
    <cellStyle name="Normal 3 2 11 6" xfId="23641" xr:uid="{00000000-0005-0000-0000-00006C860000}"/>
    <cellStyle name="Normal 3 2 11 7" xfId="23642" xr:uid="{00000000-0005-0000-0000-00006D860000}"/>
    <cellStyle name="Normal 3 2 12" xfId="3716" xr:uid="{00000000-0005-0000-0000-00006E860000}"/>
    <cellStyle name="Normal 3 2 12 2" xfId="5455" xr:uid="{00000000-0005-0000-0000-00006F860000}"/>
    <cellStyle name="Normal 3 2 12 2 2" xfId="10044" xr:uid="{00000000-0005-0000-0000-000070860000}"/>
    <cellStyle name="Normal 3 2 12 2 2 2" xfId="13665" xr:uid="{00000000-0005-0000-0000-000071860000}"/>
    <cellStyle name="Normal 3 2 12 2 3" xfId="23643" xr:uid="{00000000-0005-0000-0000-000072860000}"/>
    <cellStyle name="Normal 3 2 12 2 4" xfId="23644" xr:uid="{00000000-0005-0000-0000-000073860000}"/>
    <cellStyle name="Normal 3 2 12 2 5" xfId="23645" xr:uid="{00000000-0005-0000-0000-000074860000}"/>
    <cellStyle name="Normal 3 2 12 2 6" xfId="23646" xr:uid="{00000000-0005-0000-0000-000075860000}"/>
    <cellStyle name="Normal 3 2 12 3" xfId="10043" xr:uid="{00000000-0005-0000-0000-000076860000}"/>
    <cellStyle name="Normal 3 2 12 3 2" xfId="13664" xr:uid="{00000000-0005-0000-0000-000077860000}"/>
    <cellStyle name="Normal 3 2 12 3 3" xfId="38458" xr:uid="{00000000-0005-0000-0000-000078860000}"/>
    <cellStyle name="Normal 3 2 12 4" xfId="23647" xr:uid="{00000000-0005-0000-0000-000079860000}"/>
    <cellStyle name="Normal 3 2 12 5" xfId="23648" xr:uid="{00000000-0005-0000-0000-00007A860000}"/>
    <cellStyle name="Normal 3 2 12 6" xfId="23649" xr:uid="{00000000-0005-0000-0000-00007B860000}"/>
    <cellStyle name="Normal 3 2 12 7" xfId="23650" xr:uid="{00000000-0005-0000-0000-00007C860000}"/>
    <cellStyle name="Normal 3 2 13" xfId="3717" xr:uid="{00000000-0005-0000-0000-00007D860000}"/>
    <cellStyle name="Normal 3 2 13 2" xfId="5456" xr:uid="{00000000-0005-0000-0000-00007E860000}"/>
    <cellStyle name="Normal 3 2 13 2 2" xfId="10046" xr:uid="{00000000-0005-0000-0000-00007F860000}"/>
    <cellStyle name="Normal 3 2 13 2 2 2" xfId="13667" xr:uid="{00000000-0005-0000-0000-000080860000}"/>
    <cellStyle name="Normal 3 2 13 2 3" xfId="23651" xr:uid="{00000000-0005-0000-0000-000081860000}"/>
    <cellStyle name="Normal 3 2 13 2 4" xfId="23652" xr:uid="{00000000-0005-0000-0000-000082860000}"/>
    <cellStyle name="Normal 3 2 13 2 5" xfId="23653" xr:uid="{00000000-0005-0000-0000-000083860000}"/>
    <cellStyle name="Normal 3 2 13 2 6" xfId="23654" xr:uid="{00000000-0005-0000-0000-000084860000}"/>
    <cellStyle name="Normal 3 2 13 3" xfId="10045" xr:uid="{00000000-0005-0000-0000-000085860000}"/>
    <cellStyle name="Normal 3 2 13 3 2" xfId="13666" xr:uid="{00000000-0005-0000-0000-000086860000}"/>
    <cellStyle name="Normal 3 2 13 3 3" xfId="38459" xr:uid="{00000000-0005-0000-0000-000087860000}"/>
    <cellStyle name="Normal 3 2 13 4" xfId="23655" xr:uid="{00000000-0005-0000-0000-000088860000}"/>
    <cellStyle name="Normal 3 2 13 5" xfId="23656" xr:uid="{00000000-0005-0000-0000-000089860000}"/>
    <cellStyle name="Normal 3 2 13 6" xfId="23657" xr:uid="{00000000-0005-0000-0000-00008A860000}"/>
    <cellStyle name="Normal 3 2 13 7" xfId="23658" xr:uid="{00000000-0005-0000-0000-00008B860000}"/>
    <cellStyle name="Normal 3 2 14" xfId="3718" xr:uid="{00000000-0005-0000-0000-00008C860000}"/>
    <cellStyle name="Normal 3 2 14 2" xfId="10047" xr:uid="{00000000-0005-0000-0000-00008D860000}"/>
    <cellStyle name="Normal 3 2 14 2 2" xfId="13668" xr:uid="{00000000-0005-0000-0000-00008E860000}"/>
    <cellStyle name="Normal 3 2 14 3" xfId="23659" xr:uid="{00000000-0005-0000-0000-00008F860000}"/>
    <cellStyle name="Normal 3 2 14 4" xfId="23660" xr:uid="{00000000-0005-0000-0000-000090860000}"/>
    <cellStyle name="Normal 3 2 14 5" xfId="23661" xr:uid="{00000000-0005-0000-0000-000091860000}"/>
    <cellStyle name="Normal 3 2 14 6" xfId="23662" xr:uid="{00000000-0005-0000-0000-000092860000}"/>
    <cellStyle name="Normal 3 2 15" xfId="3719" xr:uid="{00000000-0005-0000-0000-000093860000}"/>
    <cellStyle name="Normal 3 2 15 2" xfId="10048" xr:uid="{00000000-0005-0000-0000-000094860000}"/>
    <cellStyle name="Normal 3 2 15 2 2" xfId="13669" xr:uid="{00000000-0005-0000-0000-000095860000}"/>
    <cellStyle name="Normal 3 2 15 3" xfId="23663" xr:uid="{00000000-0005-0000-0000-000096860000}"/>
    <cellStyle name="Normal 3 2 15 4" xfId="23664" xr:uid="{00000000-0005-0000-0000-000097860000}"/>
    <cellStyle name="Normal 3 2 15 5" xfId="23665" xr:uid="{00000000-0005-0000-0000-000098860000}"/>
    <cellStyle name="Normal 3 2 15 6" xfId="23666" xr:uid="{00000000-0005-0000-0000-000099860000}"/>
    <cellStyle name="Normal 3 2 16" xfId="3720" xr:uid="{00000000-0005-0000-0000-00009A860000}"/>
    <cellStyle name="Normal 3 2 16 2" xfId="10049" xr:uid="{00000000-0005-0000-0000-00009B860000}"/>
    <cellStyle name="Normal 3 2 16 2 2" xfId="13670" xr:uid="{00000000-0005-0000-0000-00009C860000}"/>
    <cellStyle name="Normal 3 2 16 3" xfId="23667" xr:uid="{00000000-0005-0000-0000-00009D860000}"/>
    <cellStyle name="Normal 3 2 16 4" xfId="23668" xr:uid="{00000000-0005-0000-0000-00009E860000}"/>
    <cellStyle name="Normal 3 2 16 5" xfId="23669" xr:uid="{00000000-0005-0000-0000-00009F860000}"/>
    <cellStyle name="Normal 3 2 16 6" xfId="23670" xr:uid="{00000000-0005-0000-0000-0000A0860000}"/>
    <cellStyle name="Normal 3 2 17" xfId="3721" xr:uid="{00000000-0005-0000-0000-0000A1860000}"/>
    <cellStyle name="Normal 3 2 17 2" xfId="10050" xr:uid="{00000000-0005-0000-0000-0000A2860000}"/>
    <cellStyle name="Normal 3 2 17 2 2" xfId="13671" xr:uid="{00000000-0005-0000-0000-0000A3860000}"/>
    <cellStyle name="Normal 3 2 17 3" xfId="23671" xr:uid="{00000000-0005-0000-0000-0000A4860000}"/>
    <cellStyle name="Normal 3 2 17 4" xfId="23672" xr:uid="{00000000-0005-0000-0000-0000A5860000}"/>
    <cellStyle name="Normal 3 2 17 5" xfId="23673" xr:uid="{00000000-0005-0000-0000-0000A6860000}"/>
    <cellStyle name="Normal 3 2 17 6" xfId="23674" xr:uid="{00000000-0005-0000-0000-0000A7860000}"/>
    <cellStyle name="Normal 3 2 18" xfId="3722" xr:uid="{00000000-0005-0000-0000-0000A8860000}"/>
    <cellStyle name="Normal 3 2 18 2" xfId="10051" xr:uid="{00000000-0005-0000-0000-0000A9860000}"/>
    <cellStyle name="Normal 3 2 18 2 2" xfId="13672" xr:uid="{00000000-0005-0000-0000-0000AA860000}"/>
    <cellStyle name="Normal 3 2 18 3" xfId="23675" xr:uid="{00000000-0005-0000-0000-0000AB860000}"/>
    <cellStyle name="Normal 3 2 18 4" xfId="23676" xr:uid="{00000000-0005-0000-0000-0000AC860000}"/>
    <cellStyle name="Normal 3 2 18 5" xfId="23677" xr:uid="{00000000-0005-0000-0000-0000AD860000}"/>
    <cellStyle name="Normal 3 2 18 6" xfId="23678" xr:uid="{00000000-0005-0000-0000-0000AE860000}"/>
    <cellStyle name="Normal 3 2 19" xfId="3723" xr:uid="{00000000-0005-0000-0000-0000AF860000}"/>
    <cellStyle name="Normal 3 2 19 2" xfId="10052" xr:uid="{00000000-0005-0000-0000-0000B0860000}"/>
    <cellStyle name="Normal 3 2 19 2 2" xfId="13673" xr:uid="{00000000-0005-0000-0000-0000B1860000}"/>
    <cellStyle name="Normal 3 2 19 3" xfId="23679" xr:uid="{00000000-0005-0000-0000-0000B2860000}"/>
    <cellStyle name="Normal 3 2 19 4" xfId="23680" xr:uid="{00000000-0005-0000-0000-0000B3860000}"/>
    <cellStyle name="Normal 3 2 19 5" xfId="23681" xr:uid="{00000000-0005-0000-0000-0000B4860000}"/>
    <cellStyle name="Normal 3 2 19 6" xfId="23682" xr:uid="{00000000-0005-0000-0000-0000B5860000}"/>
    <cellStyle name="Normal 3 2 2" xfId="1593" xr:uid="{00000000-0005-0000-0000-0000B6860000}"/>
    <cellStyle name="Normal 3 2 2 10" xfId="23683" xr:uid="{00000000-0005-0000-0000-0000B7860000}"/>
    <cellStyle name="Normal 3 2 2 2" xfId="3724" xr:uid="{00000000-0005-0000-0000-0000B8860000}"/>
    <cellStyle name="Normal 3 2 2 2 2" xfId="3725" xr:uid="{00000000-0005-0000-0000-0000B9860000}"/>
    <cellStyle name="Normal 3 2 2 2 2 2" xfId="3726" xr:uid="{00000000-0005-0000-0000-0000BA860000}"/>
    <cellStyle name="Normal 3 2 2 2 2 2 2" xfId="10056" xr:uid="{00000000-0005-0000-0000-0000BB860000}"/>
    <cellStyle name="Normal 3 2 2 2 2 2 2 2" xfId="13677" xr:uid="{00000000-0005-0000-0000-0000BC860000}"/>
    <cellStyle name="Normal 3 2 2 2 2 2 3" xfId="23684" xr:uid="{00000000-0005-0000-0000-0000BD860000}"/>
    <cellStyle name="Normal 3 2 2 2 2 2 4" xfId="23685" xr:uid="{00000000-0005-0000-0000-0000BE860000}"/>
    <cellStyle name="Normal 3 2 2 2 2 2 5" xfId="23686" xr:uid="{00000000-0005-0000-0000-0000BF860000}"/>
    <cellStyle name="Normal 3 2 2 2 2 2 6" xfId="23687" xr:uid="{00000000-0005-0000-0000-0000C0860000}"/>
    <cellStyle name="Normal 3 2 2 2 2 3" xfId="8388" xr:uid="{00000000-0005-0000-0000-0000C1860000}"/>
    <cellStyle name="Normal 3 2 2 2 2 3 2" xfId="10057" xr:uid="{00000000-0005-0000-0000-0000C2860000}"/>
    <cellStyle name="Normal 3 2 2 2 2 3 2 2" xfId="13678" xr:uid="{00000000-0005-0000-0000-0000C3860000}"/>
    <cellStyle name="Normal 3 2 2 2 2 3 3" xfId="23688" xr:uid="{00000000-0005-0000-0000-0000C4860000}"/>
    <cellStyle name="Normal 3 2 2 2 2 3 4" xfId="23689" xr:uid="{00000000-0005-0000-0000-0000C5860000}"/>
    <cellStyle name="Normal 3 2 2 2 2 3 5" xfId="23690" xr:uid="{00000000-0005-0000-0000-0000C6860000}"/>
    <cellStyle name="Normal 3 2 2 2 2 3 6" xfId="23691" xr:uid="{00000000-0005-0000-0000-0000C7860000}"/>
    <cellStyle name="Normal 3 2 2 2 2 4" xfId="10055" xr:uid="{00000000-0005-0000-0000-0000C8860000}"/>
    <cellStyle name="Normal 3 2 2 2 2 4 2" xfId="13676" xr:uid="{00000000-0005-0000-0000-0000C9860000}"/>
    <cellStyle name="Normal 3 2 2 2 2 5" xfId="23692" xr:uid="{00000000-0005-0000-0000-0000CA860000}"/>
    <cellStyle name="Normal 3 2 2 2 2 6" xfId="23693" xr:uid="{00000000-0005-0000-0000-0000CB860000}"/>
    <cellStyle name="Normal 3 2 2 2 2 7" xfId="23694" xr:uid="{00000000-0005-0000-0000-0000CC860000}"/>
    <cellStyle name="Normal 3 2 2 2 2 8" xfId="23695" xr:uid="{00000000-0005-0000-0000-0000CD860000}"/>
    <cellStyle name="Normal 3 2 2 2 3" xfId="10054" xr:uid="{00000000-0005-0000-0000-0000CE860000}"/>
    <cellStyle name="Normal 3 2 2 2 3 2" xfId="13675" xr:uid="{00000000-0005-0000-0000-0000CF860000}"/>
    <cellStyle name="Normal 3 2 2 2 4" xfId="23696" xr:uid="{00000000-0005-0000-0000-0000D0860000}"/>
    <cellStyle name="Normal 3 2 2 2 5" xfId="23697" xr:uid="{00000000-0005-0000-0000-0000D1860000}"/>
    <cellStyle name="Normal 3 2 2 2 6" xfId="23698" xr:uid="{00000000-0005-0000-0000-0000D2860000}"/>
    <cellStyle name="Normal 3 2 2 2 7" xfId="23699" xr:uid="{00000000-0005-0000-0000-0000D3860000}"/>
    <cellStyle name="Normal 3 2 2 3" xfId="3727" xr:uid="{00000000-0005-0000-0000-0000D4860000}"/>
    <cellStyle name="Normal 3 2 2 3 2" xfId="10058" xr:uid="{00000000-0005-0000-0000-0000D5860000}"/>
    <cellStyle name="Normal 3 2 2 3 2 2" xfId="13679" xr:uid="{00000000-0005-0000-0000-0000D6860000}"/>
    <cellStyle name="Normal 3 2 2 3 3" xfId="23700" xr:uid="{00000000-0005-0000-0000-0000D7860000}"/>
    <cellStyle name="Normal 3 2 2 3 4" xfId="23701" xr:uid="{00000000-0005-0000-0000-0000D8860000}"/>
    <cellStyle name="Normal 3 2 2 3 5" xfId="23702" xr:uid="{00000000-0005-0000-0000-0000D9860000}"/>
    <cellStyle name="Normal 3 2 2 3 6" xfId="23703" xr:uid="{00000000-0005-0000-0000-0000DA860000}"/>
    <cellStyle name="Normal 3 2 2 4" xfId="3728" xr:uid="{00000000-0005-0000-0000-0000DB860000}"/>
    <cellStyle name="Normal 3 2 2 4 2" xfId="10059" xr:uid="{00000000-0005-0000-0000-0000DC860000}"/>
    <cellStyle name="Normal 3 2 2 4 2 2" xfId="13680" xr:uid="{00000000-0005-0000-0000-0000DD860000}"/>
    <cellStyle name="Normal 3 2 2 4 3" xfId="23704" xr:uid="{00000000-0005-0000-0000-0000DE860000}"/>
    <cellStyle name="Normal 3 2 2 4 4" xfId="23705" xr:uid="{00000000-0005-0000-0000-0000DF860000}"/>
    <cellStyle name="Normal 3 2 2 4 5" xfId="23706" xr:uid="{00000000-0005-0000-0000-0000E0860000}"/>
    <cellStyle name="Normal 3 2 2 4 6" xfId="23707" xr:uid="{00000000-0005-0000-0000-0000E1860000}"/>
    <cellStyle name="Normal 3 2 2 5" xfId="10053" xr:uid="{00000000-0005-0000-0000-0000E2860000}"/>
    <cellStyle name="Normal 3 2 2 5 2" xfId="13674" xr:uid="{00000000-0005-0000-0000-0000E3860000}"/>
    <cellStyle name="Normal 3 2 2 6" xfId="23708" xr:uid="{00000000-0005-0000-0000-0000E4860000}"/>
    <cellStyle name="Normal 3 2 2 7" xfId="23709" xr:uid="{00000000-0005-0000-0000-0000E5860000}"/>
    <cellStyle name="Normal 3 2 2 8" xfId="23710" xr:uid="{00000000-0005-0000-0000-0000E6860000}"/>
    <cellStyle name="Normal 3 2 2 9" xfId="23711" xr:uid="{00000000-0005-0000-0000-0000E7860000}"/>
    <cellStyle name="Normal 3 2 20" xfId="3729" xr:uid="{00000000-0005-0000-0000-0000E8860000}"/>
    <cellStyle name="Normal 3 2 20 2" xfId="10060" xr:uid="{00000000-0005-0000-0000-0000E9860000}"/>
    <cellStyle name="Normal 3 2 20 2 2" xfId="13681" xr:uid="{00000000-0005-0000-0000-0000EA860000}"/>
    <cellStyle name="Normal 3 2 20 3" xfId="23712" xr:uid="{00000000-0005-0000-0000-0000EB860000}"/>
    <cellStyle name="Normal 3 2 20 4" xfId="23713" xr:uid="{00000000-0005-0000-0000-0000EC860000}"/>
    <cellStyle name="Normal 3 2 20 5" xfId="23714" xr:uid="{00000000-0005-0000-0000-0000ED860000}"/>
    <cellStyle name="Normal 3 2 20 6" xfId="23715" xr:uid="{00000000-0005-0000-0000-0000EE860000}"/>
    <cellStyle name="Normal 3 2 21" xfId="3730" xr:uid="{00000000-0005-0000-0000-0000EF860000}"/>
    <cellStyle name="Normal 3 2 21 2" xfId="10061" xr:uid="{00000000-0005-0000-0000-0000F0860000}"/>
    <cellStyle name="Normal 3 2 21 2 2" xfId="13682" xr:uid="{00000000-0005-0000-0000-0000F1860000}"/>
    <cellStyle name="Normal 3 2 21 3" xfId="23716" xr:uid="{00000000-0005-0000-0000-0000F2860000}"/>
    <cellStyle name="Normal 3 2 21 4" xfId="23717" xr:uid="{00000000-0005-0000-0000-0000F3860000}"/>
    <cellStyle name="Normal 3 2 21 5" xfId="23718" xr:uid="{00000000-0005-0000-0000-0000F4860000}"/>
    <cellStyle name="Normal 3 2 21 6" xfId="23719" xr:uid="{00000000-0005-0000-0000-0000F5860000}"/>
    <cellStyle name="Normal 3 2 22" xfId="3731" xr:uid="{00000000-0005-0000-0000-0000F6860000}"/>
    <cellStyle name="Normal 3 2 22 2" xfId="6721" xr:uid="{00000000-0005-0000-0000-0000F7860000}"/>
    <cellStyle name="Normal 3 2 22 2 2" xfId="10063" xr:uid="{00000000-0005-0000-0000-0000F8860000}"/>
    <cellStyle name="Normal 3 2 22 2 2 2" xfId="13684" xr:uid="{00000000-0005-0000-0000-0000F9860000}"/>
    <cellStyle name="Normal 3 2 22 2 3" xfId="23720" xr:uid="{00000000-0005-0000-0000-0000FA860000}"/>
    <cellStyle name="Normal 3 2 22 2 4" xfId="23721" xr:uid="{00000000-0005-0000-0000-0000FB860000}"/>
    <cellStyle name="Normal 3 2 22 2 5" xfId="23722" xr:uid="{00000000-0005-0000-0000-0000FC860000}"/>
    <cellStyle name="Normal 3 2 22 2 6" xfId="23723" xr:uid="{00000000-0005-0000-0000-0000FD860000}"/>
    <cellStyle name="Normal 3 2 22 3" xfId="8496" xr:uid="{00000000-0005-0000-0000-0000FE860000}"/>
    <cellStyle name="Normal 3 2 22 3 2" xfId="10064" xr:uid="{00000000-0005-0000-0000-0000FF860000}"/>
    <cellStyle name="Normal 3 2 22 3 2 2" xfId="13685" xr:uid="{00000000-0005-0000-0000-000000870000}"/>
    <cellStyle name="Normal 3 2 22 3 3" xfId="23724" xr:uid="{00000000-0005-0000-0000-000001870000}"/>
    <cellStyle name="Normal 3 2 22 3 4" xfId="23725" xr:uid="{00000000-0005-0000-0000-000002870000}"/>
    <cellStyle name="Normal 3 2 22 3 5" xfId="23726" xr:uid="{00000000-0005-0000-0000-000003870000}"/>
    <cellStyle name="Normal 3 2 22 3 6" xfId="23727" xr:uid="{00000000-0005-0000-0000-000004870000}"/>
    <cellStyle name="Normal 3 2 22 4" xfId="8286" xr:uid="{00000000-0005-0000-0000-000005870000}"/>
    <cellStyle name="Normal 3 2 22 4 2" xfId="10065" xr:uid="{00000000-0005-0000-0000-000006870000}"/>
    <cellStyle name="Normal 3 2 22 4 2 2" xfId="13686" xr:uid="{00000000-0005-0000-0000-000007870000}"/>
    <cellStyle name="Normal 3 2 22 4 3" xfId="12476" xr:uid="{00000000-0005-0000-0000-000008870000}"/>
    <cellStyle name="Normal 3 2 22 5" xfId="10062" xr:uid="{00000000-0005-0000-0000-000009870000}"/>
    <cellStyle name="Normal 3 2 22 5 2" xfId="13683" xr:uid="{00000000-0005-0000-0000-00000A870000}"/>
    <cellStyle name="Normal 3 2 22 6" xfId="23728" xr:uid="{00000000-0005-0000-0000-00000B870000}"/>
    <cellStyle name="Normal 3 2 22 7" xfId="23729" xr:uid="{00000000-0005-0000-0000-00000C870000}"/>
    <cellStyle name="Normal 3 2 22 8" xfId="23730" xr:uid="{00000000-0005-0000-0000-00000D870000}"/>
    <cellStyle name="Normal 3 2 22 9" xfId="23731" xr:uid="{00000000-0005-0000-0000-00000E870000}"/>
    <cellStyle name="Normal 3 2 23" xfId="3732" xr:uid="{00000000-0005-0000-0000-00000F870000}"/>
    <cellStyle name="Normal 3 2 23 2" xfId="6722" xr:uid="{00000000-0005-0000-0000-000010870000}"/>
    <cellStyle name="Normal 3 2 23 2 2" xfId="10067" xr:uid="{00000000-0005-0000-0000-000011870000}"/>
    <cellStyle name="Normal 3 2 23 2 2 2" xfId="13688" xr:uid="{00000000-0005-0000-0000-000012870000}"/>
    <cellStyle name="Normal 3 2 23 2 3" xfId="23732" xr:uid="{00000000-0005-0000-0000-000013870000}"/>
    <cellStyle name="Normal 3 2 23 2 4" xfId="23733" xr:uid="{00000000-0005-0000-0000-000014870000}"/>
    <cellStyle name="Normal 3 2 23 2 5" xfId="23734" xr:uid="{00000000-0005-0000-0000-000015870000}"/>
    <cellStyle name="Normal 3 2 23 2 6" xfId="23735" xr:uid="{00000000-0005-0000-0000-000016870000}"/>
    <cellStyle name="Normal 3 2 23 3" xfId="8497" xr:uid="{00000000-0005-0000-0000-000017870000}"/>
    <cellStyle name="Normal 3 2 23 3 2" xfId="10068" xr:uid="{00000000-0005-0000-0000-000018870000}"/>
    <cellStyle name="Normal 3 2 23 3 2 2" xfId="13689" xr:uid="{00000000-0005-0000-0000-000019870000}"/>
    <cellStyle name="Normal 3 2 23 3 3" xfId="23736" xr:uid="{00000000-0005-0000-0000-00001A870000}"/>
    <cellStyle name="Normal 3 2 23 3 4" xfId="23737" xr:uid="{00000000-0005-0000-0000-00001B870000}"/>
    <cellStyle name="Normal 3 2 23 3 5" xfId="23738" xr:uid="{00000000-0005-0000-0000-00001C870000}"/>
    <cellStyle name="Normal 3 2 23 3 6" xfId="23739" xr:uid="{00000000-0005-0000-0000-00001D870000}"/>
    <cellStyle name="Normal 3 2 23 4" xfId="8287" xr:uid="{00000000-0005-0000-0000-00001E870000}"/>
    <cellStyle name="Normal 3 2 23 4 2" xfId="10069" xr:uid="{00000000-0005-0000-0000-00001F870000}"/>
    <cellStyle name="Normal 3 2 23 4 2 2" xfId="13690" xr:uid="{00000000-0005-0000-0000-000020870000}"/>
    <cellStyle name="Normal 3 2 23 4 3" xfId="12477" xr:uid="{00000000-0005-0000-0000-000021870000}"/>
    <cellStyle name="Normal 3 2 23 5" xfId="10066" xr:uid="{00000000-0005-0000-0000-000022870000}"/>
    <cellStyle name="Normal 3 2 23 5 2" xfId="13687" xr:uid="{00000000-0005-0000-0000-000023870000}"/>
    <cellStyle name="Normal 3 2 23 6" xfId="23740" xr:uid="{00000000-0005-0000-0000-000024870000}"/>
    <cellStyle name="Normal 3 2 23 7" xfId="23741" xr:uid="{00000000-0005-0000-0000-000025870000}"/>
    <cellStyle name="Normal 3 2 23 8" xfId="23742" xr:uid="{00000000-0005-0000-0000-000026870000}"/>
    <cellStyle name="Normal 3 2 23 9" xfId="23743" xr:uid="{00000000-0005-0000-0000-000027870000}"/>
    <cellStyle name="Normal 3 2 24" xfId="3733" xr:uid="{00000000-0005-0000-0000-000028870000}"/>
    <cellStyle name="Normal 3 2 24 2" xfId="8289" xr:uid="{00000000-0005-0000-0000-000029870000}"/>
    <cellStyle name="Normal 3 2 24 2 2" xfId="10071" xr:uid="{00000000-0005-0000-0000-00002A870000}"/>
    <cellStyle name="Normal 3 2 24 2 2 2" xfId="13692" xr:uid="{00000000-0005-0000-0000-00002B870000}"/>
    <cellStyle name="Normal 3 2 24 2 3" xfId="23744" xr:uid="{00000000-0005-0000-0000-00002C870000}"/>
    <cellStyle name="Normal 3 2 24 2 4" xfId="23745" xr:uid="{00000000-0005-0000-0000-00002D870000}"/>
    <cellStyle name="Normal 3 2 24 2 5" xfId="23746" xr:uid="{00000000-0005-0000-0000-00002E870000}"/>
    <cellStyle name="Normal 3 2 24 2 6" xfId="23747" xr:uid="{00000000-0005-0000-0000-00002F870000}"/>
    <cellStyle name="Normal 3 2 24 3" xfId="8288" xr:uid="{00000000-0005-0000-0000-000030870000}"/>
    <cellStyle name="Normal 3 2 24 3 2" xfId="10072" xr:uid="{00000000-0005-0000-0000-000031870000}"/>
    <cellStyle name="Normal 3 2 24 3 2 2" xfId="13693" xr:uid="{00000000-0005-0000-0000-000032870000}"/>
    <cellStyle name="Normal 3 2 24 3 3" xfId="23748" xr:uid="{00000000-0005-0000-0000-000033870000}"/>
    <cellStyle name="Normal 3 2 24 3 4" xfId="23749" xr:uid="{00000000-0005-0000-0000-000034870000}"/>
    <cellStyle name="Normal 3 2 24 3 5" xfId="23750" xr:uid="{00000000-0005-0000-0000-000035870000}"/>
    <cellStyle name="Normal 3 2 24 3 6" xfId="23751" xr:uid="{00000000-0005-0000-0000-000036870000}"/>
    <cellStyle name="Normal 3 2 24 4" xfId="10070" xr:uid="{00000000-0005-0000-0000-000037870000}"/>
    <cellStyle name="Normal 3 2 24 4 2" xfId="13691" xr:uid="{00000000-0005-0000-0000-000038870000}"/>
    <cellStyle name="Normal 3 2 24 5" xfId="23752" xr:uid="{00000000-0005-0000-0000-000039870000}"/>
    <cellStyle name="Normal 3 2 24 6" xfId="23753" xr:uid="{00000000-0005-0000-0000-00003A870000}"/>
    <cellStyle name="Normal 3 2 24 7" xfId="23754" xr:uid="{00000000-0005-0000-0000-00003B870000}"/>
    <cellStyle name="Normal 3 2 24 8" xfId="23755" xr:uid="{00000000-0005-0000-0000-00003C870000}"/>
    <cellStyle name="Normal 3 2 25" xfId="4810" xr:uid="{00000000-0005-0000-0000-00003D870000}"/>
    <cellStyle name="Normal 3 2 25 2" xfId="13660" xr:uid="{00000000-0005-0000-0000-00003E870000}"/>
    <cellStyle name="Normal 3 2 25 3" xfId="35787" xr:uid="{00000000-0005-0000-0000-00003F870000}"/>
    <cellStyle name="Normal 3 2 25 4" xfId="10039" xr:uid="{00000000-0005-0000-0000-000040870000}"/>
    <cellStyle name="Normal 3 2 26" xfId="23756" xr:uid="{00000000-0005-0000-0000-000041870000}"/>
    <cellStyle name="Normal 3 2 26 2" xfId="37848" xr:uid="{00000000-0005-0000-0000-000042870000}"/>
    <cellStyle name="Normal 3 2 27" xfId="23757" xr:uid="{00000000-0005-0000-0000-000043870000}"/>
    <cellStyle name="Normal 3 2 28" xfId="23758" xr:uid="{00000000-0005-0000-0000-000044870000}"/>
    <cellStyle name="Normal 3 2 29" xfId="23759" xr:uid="{00000000-0005-0000-0000-000045870000}"/>
    <cellStyle name="Normal 3 2 3" xfId="1594" xr:uid="{00000000-0005-0000-0000-000046870000}"/>
    <cellStyle name="Normal 3 2 3 10" xfId="23760" xr:uid="{00000000-0005-0000-0000-000047870000}"/>
    <cellStyle name="Normal 3 2 3 11" xfId="23761" xr:uid="{00000000-0005-0000-0000-000048870000}"/>
    <cellStyle name="Normal 3 2 3 2" xfId="3734" xr:uid="{00000000-0005-0000-0000-000049870000}"/>
    <cellStyle name="Normal 3 2 3 2 2" xfId="10074" xr:uid="{00000000-0005-0000-0000-00004A870000}"/>
    <cellStyle name="Normal 3 2 3 2 2 2" xfId="13695" xr:uid="{00000000-0005-0000-0000-00004B870000}"/>
    <cellStyle name="Normal 3 2 3 2 3" xfId="23762" xr:uid="{00000000-0005-0000-0000-00004C870000}"/>
    <cellStyle name="Normal 3 2 3 2 4" xfId="23763" xr:uid="{00000000-0005-0000-0000-00004D870000}"/>
    <cellStyle name="Normal 3 2 3 2 5" xfId="23764" xr:uid="{00000000-0005-0000-0000-00004E870000}"/>
    <cellStyle name="Normal 3 2 3 2 6" xfId="23765" xr:uid="{00000000-0005-0000-0000-00004F870000}"/>
    <cellStyle name="Normal 3 2 3 3" xfId="8390" xr:uid="{00000000-0005-0000-0000-000050870000}"/>
    <cellStyle name="Normal 3 2 3 3 2" xfId="10075" xr:uid="{00000000-0005-0000-0000-000051870000}"/>
    <cellStyle name="Normal 3 2 3 3 2 2" xfId="13696" xr:uid="{00000000-0005-0000-0000-000052870000}"/>
    <cellStyle name="Normal 3 2 3 3 3" xfId="12510" xr:uid="{00000000-0005-0000-0000-000053870000}"/>
    <cellStyle name="Normal 3 2 3 4" xfId="8389" xr:uid="{00000000-0005-0000-0000-000054870000}"/>
    <cellStyle name="Normal 3 2 3 4 2" xfId="10076" xr:uid="{00000000-0005-0000-0000-000055870000}"/>
    <cellStyle name="Normal 3 2 3 4 2 2" xfId="13697" xr:uid="{00000000-0005-0000-0000-000056870000}"/>
    <cellStyle name="Normal 3 2 3 4 3" xfId="23766" xr:uid="{00000000-0005-0000-0000-000057870000}"/>
    <cellStyle name="Normal 3 2 3 4 4" xfId="23767" xr:uid="{00000000-0005-0000-0000-000058870000}"/>
    <cellStyle name="Normal 3 2 3 4 5" xfId="23768" xr:uid="{00000000-0005-0000-0000-000059870000}"/>
    <cellStyle name="Normal 3 2 3 4 6" xfId="23769" xr:uid="{00000000-0005-0000-0000-00005A870000}"/>
    <cellStyle name="Normal 3 2 3 5" xfId="10077" xr:uid="{00000000-0005-0000-0000-00005B870000}"/>
    <cellStyle name="Normal 3 2 3 5 2" xfId="13698" xr:uid="{00000000-0005-0000-0000-00005C870000}"/>
    <cellStyle name="Normal 3 2 3 6" xfId="10073" xr:uid="{00000000-0005-0000-0000-00005D870000}"/>
    <cellStyle name="Normal 3 2 3 6 2" xfId="13694" xr:uid="{00000000-0005-0000-0000-00005E870000}"/>
    <cellStyle name="Normal 3 2 3 7" xfId="23770" xr:uid="{00000000-0005-0000-0000-00005F870000}"/>
    <cellStyle name="Normal 3 2 3 8" xfId="23771" xr:uid="{00000000-0005-0000-0000-000060870000}"/>
    <cellStyle name="Normal 3 2 3 9" xfId="23772" xr:uid="{00000000-0005-0000-0000-000061870000}"/>
    <cellStyle name="Normal 3 2 3_TRA" xfId="3735" xr:uid="{00000000-0005-0000-0000-000062870000}"/>
    <cellStyle name="Normal 3 2 30" xfId="23773" xr:uid="{00000000-0005-0000-0000-000063870000}"/>
    <cellStyle name="Normal 3 2 31" xfId="23774" xr:uid="{00000000-0005-0000-0000-000064870000}"/>
    <cellStyle name="Normal 3 2 4" xfId="1595" xr:uid="{00000000-0005-0000-0000-000065870000}"/>
    <cellStyle name="Normal 3 2 4 2" xfId="3736" xr:uid="{00000000-0005-0000-0000-000066870000}"/>
    <cellStyle name="Normal 3 2 4 2 2" xfId="10079" xr:uid="{00000000-0005-0000-0000-000067870000}"/>
    <cellStyle name="Normal 3 2 4 2 2 2" xfId="13700" xr:uid="{00000000-0005-0000-0000-000068870000}"/>
    <cellStyle name="Normal 3 2 4 2 3" xfId="23775" xr:uid="{00000000-0005-0000-0000-000069870000}"/>
    <cellStyle name="Normal 3 2 4 2 4" xfId="23776" xr:uid="{00000000-0005-0000-0000-00006A870000}"/>
    <cellStyle name="Normal 3 2 4 2 5" xfId="23777" xr:uid="{00000000-0005-0000-0000-00006B870000}"/>
    <cellStyle name="Normal 3 2 4 2 6" xfId="23778" xr:uid="{00000000-0005-0000-0000-00006C870000}"/>
    <cellStyle name="Normal 3 2 4 3" xfId="4811" xr:uid="{00000000-0005-0000-0000-00006D870000}"/>
    <cellStyle name="Normal 3 2 4 3 2" xfId="13699" xr:uid="{00000000-0005-0000-0000-00006E870000}"/>
    <cellStyle name="Normal 3 2 4 3 3" xfId="35788" xr:uid="{00000000-0005-0000-0000-00006F870000}"/>
    <cellStyle name="Normal 3 2 4 3 4" xfId="10078" xr:uid="{00000000-0005-0000-0000-000070870000}"/>
    <cellStyle name="Normal 3 2 4 4" xfId="23779" xr:uid="{00000000-0005-0000-0000-000071870000}"/>
    <cellStyle name="Normal 3 2 4 4 2" xfId="37849" xr:uid="{00000000-0005-0000-0000-000072870000}"/>
    <cellStyle name="Normal 3 2 4 5" xfId="23780" xr:uid="{00000000-0005-0000-0000-000073870000}"/>
    <cellStyle name="Normal 3 2 4 6" xfId="23781" xr:uid="{00000000-0005-0000-0000-000074870000}"/>
    <cellStyle name="Normal 3 2 4 7" xfId="23782" xr:uid="{00000000-0005-0000-0000-000075870000}"/>
    <cellStyle name="Normal 3 2 4 8" xfId="23783" xr:uid="{00000000-0005-0000-0000-000076870000}"/>
    <cellStyle name="Normal 3 2 5" xfId="3737" xr:uid="{00000000-0005-0000-0000-000077870000}"/>
    <cellStyle name="Normal 3 2 5 2" xfId="5457" xr:uid="{00000000-0005-0000-0000-000078870000}"/>
    <cellStyle name="Normal 3 2 5 2 2" xfId="10081" xr:uid="{00000000-0005-0000-0000-000079870000}"/>
    <cellStyle name="Normal 3 2 5 2 2 2" xfId="13702" xr:uid="{00000000-0005-0000-0000-00007A870000}"/>
    <cellStyle name="Normal 3 2 5 2 3" xfId="23784" xr:uid="{00000000-0005-0000-0000-00007B870000}"/>
    <cellStyle name="Normal 3 2 5 2 4" xfId="23785" xr:uid="{00000000-0005-0000-0000-00007C870000}"/>
    <cellStyle name="Normal 3 2 5 2 5" xfId="23786" xr:uid="{00000000-0005-0000-0000-00007D870000}"/>
    <cellStyle name="Normal 3 2 5 2 6" xfId="23787" xr:uid="{00000000-0005-0000-0000-00007E870000}"/>
    <cellStyle name="Normal 3 2 5 3" xfId="10080" xr:uid="{00000000-0005-0000-0000-00007F870000}"/>
    <cellStyle name="Normal 3 2 5 3 2" xfId="13701" xr:uid="{00000000-0005-0000-0000-000080870000}"/>
    <cellStyle name="Normal 3 2 5 3 3" xfId="38460" xr:uid="{00000000-0005-0000-0000-000081870000}"/>
    <cellStyle name="Normal 3 2 5 4" xfId="23788" xr:uid="{00000000-0005-0000-0000-000082870000}"/>
    <cellStyle name="Normal 3 2 5 5" xfId="23789" xr:uid="{00000000-0005-0000-0000-000083870000}"/>
    <cellStyle name="Normal 3 2 5 6" xfId="23790" xr:uid="{00000000-0005-0000-0000-000084870000}"/>
    <cellStyle name="Normal 3 2 5 7" xfId="23791" xr:uid="{00000000-0005-0000-0000-000085870000}"/>
    <cellStyle name="Normal 3 2 6" xfId="3738" xr:uid="{00000000-0005-0000-0000-000086870000}"/>
    <cellStyle name="Normal 3 2 6 2" xfId="5458" xr:uid="{00000000-0005-0000-0000-000087870000}"/>
    <cellStyle name="Normal 3 2 6 2 2" xfId="10083" xr:uid="{00000000-0005-0000-0000-000088870000}"/>
    <cellStyle name="Normal 3 2 6 2 2 2" xfId="13704" xr:uid="{00000000-0005-0000-0000-000089870000}"/>
    <cellStyle name="Normal 3 2 6 2 3" xfId="23792" xr:uid="{00000000-0005-0000-0000-00008A870000}"/>
    <cellStyle name="Normal 3 2 6 2 4" xfId="23793" xr:uid="{00000000-0005-0000-0000-00008B870000}"/>
    <cellStyle name="Normal 3 2 6 2 5" xfId="23794" xr:uid="{00000000-0005-0000-0000-00008C870000}"/>
    <cellStyle name="Normal 3 2 6 2 6" xfId="23795" xr:uid="{00000000-0005-0000-0000-00008D870000}"/>
    <cellStyle name="Normal 3 2 6 3" xfId="10082" xr:uid="{00000000-0005-0000-0000-00008E870000}"/>
    <cellStyle name="Normal 3 2 6 3 2" xfId="13703" xr:uid="{00000000-0005-0000-0000-00008F870000}"/>
    <cellStyle name="Normal 3 2 6 3 3" xfId="38461" xr:uid="{00000000-0005-0000-0000-000090870000}"/>
    <cellStyle name="Normal 3 2 6 4" xfId="23796" xr:uid="{00000000-0005-0000-0000-000091870000}"/>
    <cellStyle name="Normal 3 2 6 5" xfId="23797" xr:uid="{00000000-0005-0000-0000-000092870000}"/>
    <cellStyle name="Normal 3 2 6 6" xfId="23798" xr:uid="{00000000-0005-0000-0000-000093870000}"/>
    <cellStyle name="Normal 3 2 6 7" xfId="23799" xr:uid="{00000000-0005-0000-0000-000094870000}"/>
    <cellStyle name="Normal 3 2 7" xfId="3739" xr:uid="{00000000-0005-0000-0000-000095870000}"/>
    <cellStyle name="Normal 3 2 7 2" xfId="10084" xr:uid="{00000000-0005-0000-0000-000096870000}"/>
    <cellStyle name="Normal 3 2 7 2 2" xfId="13705" xr:uid="{00000000-0005-0000-0000-000097870000}"/>
    <cellStyle name="Normal 3 2 7 3" xfId="23800" xr:uid="{00000000-0005-0000-0000-000098870000}"/>
    <cellStyle name="Normal 3 2 7 4" xfId="23801" xr:uid="{00000000-0005-0000-0000-000099870000}"/>
    <cellStyle name="Normal 3 2 7 5" xfId="23802" xr:uid="{00000000-0005-0000-0000-00009A870000}"/>
    <cellStyle name="Normal 3 2 7 6" xfId="23803" xr:uid="{00000000-0005-0000-0000-00009B870000}"/>
    <cellStyle name="Normal 3 2 8" xfId="3740" xr:uid="{00000000-0005-0000-0000-00009C870000}"/>
    <cellStyle name="Normal 3 2 8 2" xfId="10085" xr:uid="{00000000-0005-0000-0000-00009D870000}"/>
    <cellStyle name="Normal 3 2 8 2 2" xfId="13706" xr:uid="{00000000-0005-0000-0000-00009E870000}"/>
    <cellStyle name="Normal 3 2 8 3" xfId="23804" xr:uid="{00000000-0005-0000-0000-00009F870000}"/>
    <cellStyle name="Normal 3 2 8 4" xfId="23805" xr:uid="{00000000-0005-0000-0000-0000A0870000}"/>
    <cellStyle name="Normal 3 2 8 5" xfId="23806" xr:uid="{00000000-0005-0000-0000-0000A1870000}"/>
    <cellStyle name="Normal 3 2 8 6" xfId="23807" xr:uid="{00000000-0005-0000-0000-0000A2870000}"/>
    <cellStyle name="Normal 3 2 9" xfId="3741" xr:uid="{00000000-0005-0000-0000-0000A3870000}"/>
    <cellStyle name="Normal 3 2 9 2" xfId="10086" xr:uid="{00000000-0005-0000-0000-0000A4870000}"/>
    <cellStyle name="Normal 3 2 9 2 2" xfId="13707" xr:uid="{00000000-0005-0000-0000-0000A5870000}"/>
    <cellStyle name="Normal 3 2 9 3" xfId="23808" xr:uid="{00000000-0005-0000-0000-0000A6870000}"/>
    <cellStyle name="Normal 3 2 9 4" xfId="23809" xr:uid="{00000000-0005-0000-0000-0000A7870000}"/>
    <cellStyle name="Normal 3 2 9 5" xfId="23810" xr:uid="{00000000-0005-0000-0000-0000A8870000}"/>
    <cellStyle name="Normal 3 2 9 6" xfId="23811" xr:uid="{00000000-0005-0000-0000-0000A9870000}"/>
    <cellStyle name="Normal 3 2_TRA" xfId="3742" xr:uid="{00000000-0005-0000-0000-0000AA870000}"/>
    <cellStyle name="Normal 3 20" xfId="3743" xr:uid="{00000000-0005-0000-0000-0000AB870000}"/>
    <cellStyle name="Normal 3 20 2" xfId="5459" xr:uid="{00000000-0005-0000-0000-0000AC870000}"/>
    <cellStyle name="Normal 3 20 2 2" xfId="10088" xr:uid="{00000000-0005-0000-0000-0000AD870000}"/>
    <cellStyle name="Normal 3 20 2 2 2" xfId="13709" xr:uid="{00000000-0005-0000-0000-0000AE870000}"/>
    <cellStyle name="Normal 3 20 2 3" xfId="23812" xr:uid="{00000000-0005-0000-0000-0000AF870000}"/>
    <cellStyle name="Normal 3 20 2 4" xfId="23813" xr:uid="{00000000-0005-0000-0000-0000B0870000}"/>
    <cellStyle name="Normal 3 20 2 5" xfId="23814" xr:uid="{00000000-0005-0000-0000-0000B1870000}"/>
    <cellStyle name="Normal 3 20 2 6" xfId="23815" xr:uid="{00000000-0005-0000-0000-0000B2870000}"/>
    <cellStyle name="Normal 3 20 3" xfId="10087" xr:uid="{00000000-0005-0000-0000-0000B3870000}"/>
    <cellStyle name="Normal 3 20 3 2" xfId="13708" xr:uid="{00000000-0005-0000-0000-0000B4870000}"/>
    <cellStyle name="Normal 3 20 3 3" xfId="38462" xr:uid="{00000000-0005-0000-0000-0000B5870000}"/>
    <cellStyle name="Normal 3 20 4" xfId="23816" xr:uid="{00000000-0005-0000-0000-0000B6870000}"/>
    <cellStyle name="Normal 3 20 5" xfId="23817" xr:uid="{00000000-0005-0000-0000-0000B7870000}"/>
    <cellStyle name="Normal 3 20 6" xfId="23818" xr:uid="{00000000-0005-0000-0000-0000B8870000}"/>
    <cellStyle name="Normal 3 20 7" xfId="23819" xr:uid="{00000000-0005-0000-0000-0000B9870000}"/>
    <cellStyle name="Normal 3 21" xfId="3744" xr:uid="{00000000-0005-0000-0000-0000BA870000}"/>
    <cellStyle name="Normal 3 21 2" xfId="5460" xr:uid="{00000000-0005-0000-0000-0000BB870000}"/>
    <cellStyle name="Normal 3 21 2 2" xfId="10090" xr:uid="{00000000-0005-0000-0000-0000BC870000}"/>
    <cellStyle name="Normal 3 21 2 2 2" xfId="13711" xr:uid="{00000000-0005-0000-0000-0000BD870000}"/>
    <cellStyle name="Normal 3 21 2 3" xfId="23820" xr:uid="{00000000-0005-0000-0000-0000BE870000}"/>
    <cellStyle name="Normal 3 21 2 4" xfId="23821" xr:uid="{00000000-0005-0000-0000-0000BF870000}"/>
    <cellStyle name="Normal 3 21 2 5" xfId="23822" xr:uid="{00000000-0005-0000-0000-0000C0870000}"/>
    <cellStyle name="Normal 3 21 2 6" xfId="23823" xr:uid="{00000000-0005-0000-0000-0000C1870000}"/>
    <cellStyle name="Normal 3 21 3" xfId="10089" xr:uid="{00000000-0005-0000-0000-0000C2870000}"/>
    <cellStyle name="Normal 3 21 3 2" xfId="13710" xr:uid="{00000000-0005-0000-0000-0000C3870000}"/>
    <cellStyle name="Normal 3 21 3 3" xfId="38463" xr:uid="{00000000-0005-0000-0000-0000C4870000}"/>
    <cellStyle name="Normal 3 21 4" xfId="23824" xr:uid="{00000000-0005-0000-0000-0000C5870000}"/>
    <cellStyle name="Normal 3 21 5" xfId="23825" xr:uid="{00000000-0005-0000-0000-0000C6870000}"/>
    <cellStyle name="Normal 3 21 6" xfId="23826" xr:uid="{00000000-0005-0000-0000-0000C7870000}"/>
    <cellStyle name="Normal 3 21 7" xfId="23827" xr:uid="{00000000-0005-0000-0000-0000C8870000}"/>
    <cellStyle name="Normal 3 22" xfId="3745" xr:uid="{00000000-0005-0000-0000-0000C9870000}"/>
    <cellStyle name="Normal 3 22 2" xfId="5461" xr:uid="{00000000-0005-0000-0000-0000CA870000}"/>
    <cellStyle name="Normal 3 22 2 2" xfId="10092" xr:uid="{00000000-0005-0000-0000-0000CB870000}"/>
    <cellStyle name="Normal 3 22 2 2 2" xfId="13713" xr:uid="{00000000-0005-0000-0000-0000CC870000}"/>
    <cellStyle name="Normal 3 22 2 3" xfId="23828" xr:uid="{00000000-0005-0000-0000-0000CD870000}"/>
    <cellStyle name="Normal 3 22 2 4" xfId="23829" xr:uid="{00000000-0005-0000-0000-0000CE870000}"/>
    <cellStyle name="Normal 3 22 2 5" xfId="23830" xr:uid="{00000000-0005-0000-0000-0000CF870000}"/>
    <cellStyle name="Normal 3 22 2 6" xfId="23831" xr:uid="{00000000-0005-0000-0000-0000D0870000}"/>
    <cellStyle name="Normal 3 22 3" xfId="10091" xr:uid="{00000000-0005-0000-0000-0000D1870000}"/>
    <cellStyle name="Normal 3 22 3 2" xfId="13712" xr:uid="{00000000-0005-0000-0000-0000D2870000}"/>
    <cellStyle name="Normal 3 22 3 3" xfId="38464" xr:uid="{00000000-0005-0000-0000-0000D3870000}"/>
    <cellStyle name="Normal 3 22 4" xfId="23832" xr:uid="{00000000-0005-0000-0000-0000D4870000}"/>
    <cellStyle name="Normal 3 22 5" xfId="23833" xr:uid="{00000000-0005-0000-0000-0000D5870000}"/>
    <cellStyle name="Normal 3 22 6" xfId="23834" xr:uid="{00000000-0005-0000-0000-0000D6870000}"/>
    <cellStyle name="Normal 3 22 7" xfId="23835" xr:uid="{00000000-0005-0000-0000-0000D7870000}"/>
    <cellStyle name="Normal 3 23" xfId="3746" xr:uid="{00000000-0005-0000-0000-0000D8870000}"/>
    <cellStyle name="Normal 3 23 2" xfId="6723" xr:uid="{00000000-0005-0000-0000-0000D9870000}"/>
    <cellStyle name="Normal 3 23 2 2" xfId="10094" xr:uid="{00000000-0005-0000-0000-0000DA870000}"/>
    <cellStyle name="Normal 3 23 2 2 2" xfId="13715" xr:uid="{00000000-0005-0000-0000-0000DB870000}"/>
    <cellStyle name="Normal 3 23 2 3" xfId="23836" xr:uid="{00000000-0005-0000-0000-0000DC870000}"/>
    <cellStyle name="Normal 3 23 2 4" xfId="23837" xr:uid="{00000000-0005-0000-0000-0000DD870000}"/>
    <cellStyle name="Normal 3 23 2 5" xfId="23838" xr:uid="{00000000-0005-0000-0000-0000DE870000}"/>
    <cellStyle name="Normal 3 23 2 6" xfId="23839" xr:uid="{00000000-0005-0000-0000-0000DF870000}"/>
    <cellStyle name="Normal 3 23 3" xfId="8498" xr:uid="{00000000-0005-0000-0000-0000E0870000}"/>
    <cellStyle name="Normal 3 23 3 2" xfId="10095" xr:uid="{00000000-0005-0000-0000-0000E1870000}"/>
    <cellStyle name="Normal 3 23 3 2 2" xfId="13716" xr:uid="{00000000-0005-0000-0000-0000E2870000}"/>
    <cellStyle name="Normal 3 23 3 3" xfId="23840" xr:uid="{00000000-0005-0000-0000-0000E3870000}"/>
    <cellStyle name="Normal 3 23 3 4" xfId="23841" xr:uid="{00000000-0005-0000-0000-0000E4870000}"/>
    <cellStyle name="Normal 3 23 3 5" xfId="23842" xr:uid="{00000000-0005-0000-0000-0000E5870000}"/>
    <cellStyle name="Normal 3 23 3 6" xfId="23843" xr:uid="{00000000-0005-0000-0000-0000E6870000}"/>
    <cellStyle name="Normal 3 23 4" xfId="8290" xr:uid="{00000000-0005-0000-0000-0000E7870000}"/>
    <cellStyle name="Normal 3 23 4 2" xfId="10096" xr:uid="{00000000-0005-0000-0000-0000E8870000}"/>
    <cellStyle name="Normal 3 23 4 2 2" xfId="13717" xr:uid="{00000000-0005-0000-0000-0000E9870000}"/>
    <cellStyle name="Normal 3 23 4 3" xfId="12478" xr:uid="{00000000-0005-0000-0000-0000EA870000}"/>
    <cellStyle name="Normal 3 23 5" xfId="10093" xr:uid="{00000000-0005-0000-0000-0000EB870000}"/>
    <cellStyle name="Normal 3 23 5 2" xfId="13714" xr:uid="{00000000-0005-0000-0000-0000EC870000}"/>
    <cellStyle name="Normal 3 23 6" xfId="23844" xr:uid="{00000000-0005-0000-0000-0000ED870000}"/>
    <cellStyle name="Normal 3 23 7" xfId="23845" xr:uid="{00000000-0005-0000-0000-0000EE870000}"/>
    <cellStyle name="Normal 3 23 8" xfId="23846" xr:uid="{00000000-0005-0000-0000-0000EF870000}"/>
    <cellStyle name="Normal 3 23 9" xfId="23847" xr:uid="{00000000-0005-0000-0000-0000F0870000}"/>
    <cellStyle name="Normal 3 24" xfId="3747" xr:uid="{00000000-0005-0000-0000-0000F1870000}"/>
    <cellStyle name="Normal 3 24 2" xfId="8292" xr:uid="{00000000-0005-0000-0000-0000F2870000}"/>
    <cellStyle name="Normal 3 24 2 2" xfId="10098" xr:uid="{00000000-0005-0000-0000-0000F3870000}"/>
    <cellStyle name="Normal 3 24 2 2 2" xfId="13719" xr:uid="{00000000-0005-0000-0000-0000F4870000}"/>
    <cellStyle name="Normal 3 24 2 3" xfId="23848" xr:uid="{00000000-0005-0000-0000-0000F5870000}"/>
    <cellStyle name="Normal 3 24 2 4" xfId="23849" xr:uid="{00000000-0005-0000-0000-0000F6870000}"/>
    <cellStyle name="Normal 3 24 2 5" xfId="23850" xr:uid="{00000000-0005-0000-0000-0000F7870000}"/>
    <cellStyle name="Normal 3 24 2 6" xfId="23851" xr:uid="{00000000-0005-0000-0000-0000F8870000}"/>
    <cellStyle name="Normal 3 24 3" xfId="8291" xr:uid="{00000000-0005-0000-0000-0000F9870000}"/>
    <cellStyle name="Normal 3 24 3 2" xfId="10099" xr:uid="{00000000-0005-0000-0000-0000FA870000}"/>
    <cellStyle name="Normal 3 24 3 2 2" xfId="13720" xr:uid="{00000000-0005-0000-0000-0000FB870000}"/>
    <cellStyle name="Normal 3 24 3 3" xfId="23852" xr:uid="{00000000-0005-0000-0000-0000FC870000}"/>
    <cellStyle name="Normal 3 24 3 4" xfId="23853" xr:uid="{00000000-0005-0000-0000-0000FD870000}"/>
    <cellStyle name="Normal 3 24 3 5" xfId="23854" xr:uid="{00000000-0005-0000-0000-0000FE870000}"/>
    <cellStyle name="Normal 3 24 3 6" xfId="23855" xr:uid="{00000000-0005-0000-0000-0000FF870000}"/>
    <cellStyle name="Normal 3 24 4" xfId="10097" xr:uid="{00000000-0005-0000-0000-000000880000}"/>
    <cellStyle name="Normal 3 24 4 2" xfId="13718" xr:uid="{00000000-0005-0000-0000-000001880000}"/>
    <cellStyle name="Normal 3 24 5" xfId="23856" xr:uid="{00000000-0005-0000-0000-000002880000}"/>
    <cellStyle name="Normal 3 24 6" xfId="23857" xr:uid="{00000000-0005-0000-0000-000003880000}"/>
    <cellStyle name="Normal 3 24 7" xfId="23858" xr:uid="{00000000-0005-0000-0000-000004880000}"/>
    <cellStyle name="Normal 3 24 8" xfId="23859" xr:uid="{00000000-0005-0000-0000-000005880000}"/>
    <cellStyle name="Normal 3 25" xfId="3703" xr:uid="{00000000-0005-0000-0000-000006880000}"/>
    <cellStyle name="Normal 3 25 2" xfId="10100" xr:uid="{00000000-0005-0000-0000-000007880000}"/>
    <cellStyle name="Normal 3 25 2 2" xfId="13721" xr:uid="{00000000-0005-0000-0000-000008880000}"/>
    <cellStyle name="Normal 3 25 2 3" xfId="38449" xr:uid="{00000000-0005-0000-0000-000009880000}"/>
    <cellStyle name="Normal 3 25 3" xfId="23860" xr:uid="{00000000-0005-0000-0000-00000A880000}"/>
    <cellStyle name="Normal 3 25 4" xfId="23861" xr:uid="{00000000-0005-0000-0000-00000B880000}"/>
    <cellStyle name="Normal 3 25 5" xfId="23862" xr:uid="{00000000-0005-0000-0000-00000C880000}"/>
    <cellStyle name="Normal 3 25 6" xfId="23863" xr:uid="{00000000-0005-0000-0000-00000D880000}"/>
    <cellStyle name="Normal 3 25 7" xfId="37600" xr:uid="{00000000-0005-0000-0000-00000E880000}"/>
    <cellStyle name="Normal 3 26" xfId="4809" xr:uid="{00000000-0005-0000-0000-00000F880000}"/>
    <cellStyle name="Normal 3 26 2" xfId="13633" xr:uid="{00000000-0005-0000-0000-000010880000}"/>
    <cellStyle name="Normal 3 26 3" xfId="35786" xr:uid="{00000000-0005-0000-0000-000011880000}"/>
    <cellStyle name="Normal 3 26 4" xfId="10012" xr:uid="{00000000-0005-0000-0000-000012880000}"/>
    <cellStyle name="Normal 3 27" xfId="4534" xr:uid="{00000000-0005-0000-0000-000013880000}"/>
    <cellStyle name="Normal 3 27 2" xfId="35696" xr:uid="{00000000-0005-0000-0000-000014880000}"/>
    <cellStyle name="Normal 3 27 2 2" xfId="39217" xr:uid="{00000000-0005-0000-0000-000015880000}"/>
    <cellStyle name="Normal 3 27 3" xfId="23864" xr:uid="{00000000-0005-0000-0000-000016880000}"/>
    <cellStyle name="Normal 3 28" xfId="5701" xr:uid="{00000000-0005-0000-0000-000017880000}"/>
    <cellStyle name="Normal 3 28 2" xfId="37847" xr:uid="{00000000-0005-0000-0000-000018880000}"/>
    <cellStyle name="Normal 3 28 3" xfId="23865" xr:uid="{00000000-0005-0000-0000-000019880000}"/>
    <cellStyle name="Normal 3 29" xfId="6161" xr:uid="{00000000-0005-0000-0000-00001A880000}"/>
    <cellStyle name="Normal 3 29 2" xfId="38907" xr:uid="{00000000-0005-0000-0000-00001B880000}"/>
    <cellStyle name="Normal 3 29 3" xfId="23866" xr:uid="{00000000-0005-0000-0000-00001C880000}"/>
    <cellStyle name="Normal 3 3" xfId="1596" xr:uid="{00000000-0005-0000-0000-00001D880000}"/>
    <cellStyle name="Normal 3 3 10" xfId="23867" xr:uid="{00000000-0005-0000-0000-00001E880000}"/>
    <cellStyle name="Normal 3 3 11" xfId="23868" xr:uid="{00000000-0005-0000-0000-00001F880000}"/>
    <cellStyle name="Normal 3 3 2" xfId="3749" xr:uid="{00000000-0005-0000-0000-000020880000}"/>
    <cellStyle name="Normal 3 3 2 2" xfId="5462" xr:uid="{00000000-0005-0000-0000-000021880000}"/>
    <cellStyle name="Normal 3 3 2 2 2" xfId="10103" xr:uid="{00000000-0005-0000-0000-000022880000}"/>
    <cellStyle name="Normal 3 3 2 2 2 2" xfId="13724" xr:uid="{00000000-0005-0000-0000-000023880000}"/>
    <cellStyle name="Normal 3 3 2 2 3" xfId="23869" xr:uid="{00000000-0005-0000-0000-000024880000}"/>
    <cellStyle name="Normal 3 3 2 2 4" xfId="23870" xr:uid="{00000000-0005-0000-0000-000025880000}"/>
    <cellStyle name="Normal 3 3 2 2 5" xfId="23871" xr:uid="{00000000-0005-0000-0000-000026880000}"/>
    <cellStyle name="Normal 3 3 2 2 6" xfId="23872" xr:uid="{00000000-0005-0000-0000-000027880000}"/>
    <cellStyle name="Normal 3 3 2 3" xfId="8293" xr:uid="{00000000-0005-0000-0000-000028880000}"/>
    <cellStyle name="Normal 3 3 2 3 2" xfId="10104" xr:uid="{00000000-0005-0000-0000-000029880000}"/>
    <cellStyle name="Normal 3 3 2 3 2 2" xfId="13725" xr:uid="{00000000-0005-0000-0000-00002A880000}"/>
    <cellStyle name="Normal 3 3 2 3 3" xfId="23873" xr:uid="{00000000-0005-0000-0000-00002B880000}"/>
    <cellStyle name="Normal 3 3 2 3 4" xfId="23874" xr:uid="{00000000-0005-0000-0000-00002C880000}"/>
    <cellStyle name="Normal 3 3 2 3 5" xfId="23875" xr:uid="{00000000-0005-0000-0000-00002D880000}"/>
    <cellStyle name="Normal 3 3 2 3 6" xfId="23876" xr:uid="{00000000-0005-0000-0000-00002E880000}"/>
    <cellStyle name="Normal 3 3 2 3 7" xfId="38465" xr:uid="{00000000-0005-0000-0000-00002F880000}"/>
    <cellStyle name="Normal 3 3 2 4" xfId="10102" xr:uid="{00000000-0005-0000-0000-000030880000}"/>
    <cellStyle name="Normal 3 3 2 4 2" xfId="13723" xr:uid="{00000000-0005-0000-0000-000031880000}"/>
    <cellStyle name="Normal 3 3 2 5" xfId="23877" xr:uid="{00000000-0005-0000-0000-000032880000}"/>
    <cellStyle name="Normal 3 3 2 6" xfId="23878" xr:uid="{00000000-0005-0000-0000-000033880000}"/>
    <cellStyle name="Normal 3 3 2 7" xfId="23879" xr:uid="{00000000-0005-0000-0000-000034880000}"/>
    <cellStyle name="Normal 3 3 2 8" xfId="23880" xr:uid="{00000000-0005-0000-0000-000035880000}"/>
    <cellStyle name="Normal 3 3 3" xfId="3750" xr:uid="{00000000-0005-0000-0000-000036880000}"/>
    <cellStyle name="Normal 3 3 3 2" xfId="5463" xr:uid="{00000000-0005-0000-0000-000037880000}"/>
    <cellStyle name="Normal 3 3 3 2 2" xfId="10106" xr:uid="{00000000-0005-0000-0000-000038880000}"/>
    <cellStyle name="Normal 3 3 3 2 2 2" xfId="13727" xr:uid="{00000000-0005-0000-0000-000039880000}"/>
    <cellStyle name="Normal 3 3 3 2 3" xfId="23881" xr:uid="{00000000-0005-0000-0000-00003A880000}"/>
    <cellStyle name="Normal 3 3 3 2 4" xfId="23882" xr:uid="{00000000-0005-0000-0000-00003B880000}"/>
    <cellStyle name="Normal 3 3 3 2 5" xfId="23883" xr:uid="{00000000-0005-0000-0000-00003C880000}"/>
    <cellStyle name="Normal 3 3 3 2 6" xfId="23884" xr:uid="{00000000-0005-0000-0000-00003D880000}"/>
    <cellStyle name="Normal 3 3 3 3" xfId="10105" xr:uid="{00000000-0005-0000-0000-00003E880000}"/>
    <cellStyle name="Normal 3 3 3 3 2" xfId="13726" xr:uid="{00000000-0005-0000-0000-00003F880000}"/>
    <cellStyle name="Normal 3 3 3 3 3" xfId="38466" xr:uid="{00000000-0005-0000-0000-000040880000}"/>
    <cellStyle name="Normal 3 3 3 4" xfId="23885" xr:uid="{00000000-0005-0000-0000-000041880000}"/>
    <cellStyle name="Normal 3 3 3 5" xfId="23886" xr:uid="{00000000-0005-0000-0000-000042880000}"/>
    <cellStyle name="Normal 3 3 3 6" xfId="23887" xr:uid="{00000000-0005-0000-0000-000043880000}"/>
    <cellStyle name="Normal 3 3 3 7" xfId="23888" xr:uid="{00000000-0005-0000-0000-000044880000}"/>
    <cellStyle name="Normal 3 3 4" xfId="3751" xr:uid="{00000000-0005-0000-0000-000045880000}"/>
    <cellStyle name="Normal 3 3 4 2" xfId="8052" xr:uid="{00000000-0005-0000-0000-000046880000}"/>
    <cellStyle name="Normal 3 3 4 2 2" xfId="10108" xr:uid="{00000000-0005-0000-0000-000047880000}"/>
    <cellStyle name="Normal 3 3 4 2 2 2" xfId="13729" xr:uid="{00000000-0005-0000-0000-000048880000}"/>
    <cellStyle name="Normal 3 3 4 2 3" xfId="23889" xr:uid="{00000000-0005-0000-0000-000049880000}"/>
    <cellStyle name="Normal 3 3 4 2 4" xfId="23890" xr:uid="{00000000-0005-0000-0000-00004A880000}"/>
    <cellStyle name="Normal 3 3 4 2 5" xfId="23891" xr:uid="{00000000-0005-0000-0000-00004B880000}"/>
    <cellStyle name="Normal 3 3 4 2 6" xfId="23892" xr:uid="{00000000-0005-0000-0000-00004C880000}"/>
    <cellStyle name="Normal 3 3 4 3" xfId="10107" xr:uid="{00000000-0005-0000-0000-00004D880000}"/>
    <cellStyle name="Normal 3 3 4 3 2" xfId="13728" xr:uid="{00000000-0005-0000-0000-00004E880000}"/>
    <cellStyle name="Normal 3 3 4 4" xfId="23893" xr:uid="{00000000-0005-0000-0000-00004F880000}"/>
    <cellStyle name="Normal 3 3 4 5" xfId="23894" xr:uid="{00000000-0005-0000-0000-000050880000}"/>
    <cellStyle name="Normal 3 3 4 6" xfId="23895" xr:uid="{00000000-0005-0000-0000-000051880000}"/>
    <cellStyle name="Normal 3 3 4 7" xfId="23896" xr:uid="{00000000-0005-0000-0000-000052880000}"/>
    <cellStyle name="Normal 3 3 4 8" xfId="7625" xr:uid="{00000000-0005-0000-0000-000053880000}"/>
    <cellStyle name="Normal 3 3 5" xfId="3748" xr:uid="{00000000-0005-0000-0000-000054880000}"/>
    <cellStyle name="Normal 3 3 5 2" xfId="13730" xr:uid="{00000000-0005-0000-0000-000055880000}"/>
    <cellStyle name="Normal 3 3 5 3" xfId="35436" xr:uid="{00000000-0005-0000-0000-000056880000}"/>
    <cellStyle name="Normal 3 3 5 4" xfId="10109" xr:uid="{00000000-0005-0000-0000-000057880000}"/>
    <cellStyle name="Normal 3 3 6" xfId="4812" xr:uid="{00000000-0005-0000-0000-000058880000}"/>
    <cellStyle name="Normal 3 3 6 2" xfId="13722" xr:uid="{00000000-0005-0000-0000-000059880000}"/>
    <cellStyle name="Normal 3 3 6 3" xfId="35789" xr:uid="{00000000-0005-0000-0000-00005A880000}"/>
    <cellStyle name="Normal 3 3 6 4" xfId="10101" xr:uid="{00000000-0005-0000-0000-00005B880000}"/>
    <cellStyle name="Normal 3 3 7" xfId="23897" xr:uid="{00000000-0005-0000-0000-00005C880000}"/>
    <cellStyle name="Normal 3 3 7 2" xfId="37850" xr:uid="{00000000-0005-0000-0000-00005D880000}"/>
    <cellStyle name="Normal 3 3 8" xfId="23898" xr:uid="{00000000-0005-0000-0000-00005E880000}"/>
    <cellStyle name="Normal 3 3 9" xfId="23899" xr:uid="{00000000-0005-0000-0000-00005F880000}"/>
    <cellStyle name="Normal 3 3_TRA" xfId="3752" xr:uid="{00000000-0005-0000-0000-000060880000}"/>
    <cellStyle name="Normal 3 30" xfId="6162" xr:uid="{00000000-0005-0000-0000-000061880000}"/>
    <cellStyle name="Normal 3 30 2" xfId="38908" xr:uid="{00000000-0005-0000-0000-000062880000}"/>
    <cellStyle name="Normal 3 30 3" xfId="23900" xr:uid="{00000000-0005-0000-0000-000063880000}"/>
    <cellStyle name="Normal 3 31" xfId="6165" xr:uid="{00000000-0005-0000-0000-000064880000}"/>
    <cellStyle name="Normal 3 31 2" xfId="38910" xr:uid="{00000000-0005-0000-0000-000065880000}"/>
    <cellStyle name="Normal 3 31 3" xfId="23901" xr:uid="{00000000-0005-0000-0000-000066880000}"/>
    <cellStyle name="Normal 3 32" xfId="5660" xr:uid="{00000000-0005-0000-0000-000067880000}"/>
    <cellStyle name="Normal 3 32 2" xfId="37605" xr:uid="{00000000-0005-0000-0000-000068880000}"/>
    <cellStyle name="Normal 3 32 3" xfId="23902" xr:uid="{00000000-0005-0000-0000-000069880000}"/>
    <cellStyle name="Normal 3 33" xfId="35303" xr:uid="{00000000-0005-0000-0000-00006A880000}"/>
    <cellStyle name="Normal 3 33 2" xfId="39282" xr:uid="{00000000-0005-0000-0000-00006B880000}"/>
    <cellStyle name="Normal 3 34" xfId="1591" xr:uid="{00000000-0005-0000-0000-00006C880000}"/>
    <cellStyle name="Normal 3 4" xfId="1597" xr:uid="{00000000-0005-0000-0000-00006D880000}"/>
    <cellStyle name="Normal 3 4 2" xfId="3753" xr:uid="{00000000-0005-0000-0000-00006E880000}"/>
    <cellStyle name="Normal 3 4 2 2" xfId="10111" xr:uid="{00000000-0005-0000-0000-00006F880000}"/>
    <cellStyle name="Normal 3 4 2 2 2" xfId="13732" xr:uid="{00000000-0005-0000-0000-000070880000}"/>
    <cellStyle name="Normal 3 4 2 3" xfId="23903" xr:uid="{00000000-0005-0000-0000-000071880000}"/>
    <cellStyle name="Normal 3 4 2 4" xfId="23904" xr:uid="{00000000-0005-0000-0000-000072880000}"/>
    <cellStyle name="Normal 3 4 2 5" xfId="23905" xr:uid="{00000000-0005-0000-0000-000073880000}"/>
    <cellStyle name="Normal 3 4 2 6" xfId="23906" xr:uid="{00000000-0005-0000-0000-000074880000}"/>
    <cellStyle name="Normal 3 4 3" xfId="4813" xr:uid="{00000000-0005-0000-0000-000075880000}"/>
    <cellStyle name="Normal 3 4 3 2" xfId="10112" xr:uid="{00000000-0005-0000-0000-000076880000}"/>
    <cellStyle name="Normal 3 4 3 2 2" xfId="13733" xr:uid="{00000000-0005-0000-0000-000077880000}"/>
    <cellStyle name="Normal 3 4 3 3" xfId="23907" xr:uid="{00000000-0005-0000-0000-000078880000}"/>
    <cellStyle name="Normal 3 4 3 4" xfId="23908" xr:uid="{00000000-0005-0000-0000-000079880000}"/>
    <cellStyle name="Normal 3 4 3 5" xfId="23909" xr:uid="{00000000-0005-0000-0000-00007A880000}"/>
    <cellStyle name="Normal 3 4 3 6" xfId="23910" xr:uid="{00000000-0005-0000-0000-00007B880000}"/>
    <cellStyle name="Normal 3 4 3 7" xfId="35790" xr:uid="{00000000-0005-0000-0000-00007C880000}"/>
    <cellStyle name="Normal 3 4 3 8" xfId="7626" xr:uid="{00000000-0005-0000-0000-00007D880000}"/>
    <cellStyle name="Normal 3 4 4" xfId="10110" xr:uid="{00000000-0005-0000-0000-00007E880000}"/>
    <cellStyle name="Normal 3 4 4 2" xfId="13731" xr:uid="{00000000-0005-0000-0000-00007F880000}"/>
    <cellStyle name="Normal 3 4 4 3" xfId="37851" xr:uid="{00000000-0005-0000-0000-000080880000}"/>
    <cellStyle name="Normal 3 4 5" xfId="23911" xr:uid="{00000000-0005-0000-0000-000081880000}"/>
    <cellStyle name="Normal 3 4 6" xfId="23912" xr:uid="{00000000-0005-0000-0000-000082880000}"/>
    <cellStyle name="Normal 3 4 7" xfId="23913" xr:uid="{00000000-0005-0000-0000-000083880000}"/>
    <cellStyle name="Normal 3 4 8" xfId="23914" xr:uid="{00000000-0005-0000-0000-000084880000}"/>
    <cellStyle name="Normal 3 4 9" xfId="23915" xr:uid="{00000000-0005-0000-0000-000085880000}"/>
    <cellStyle name="Normal 3 5" xfId="1598" xr:uid="{00000000-0005-0000-0000-000086880000}"/>
    <cellStyle name="Normal 3 5 10" xfId="23916" xr:uid="{00000000-0005-0000-0000-000087880000}"/>
    <cellStyle name="Normal 3 5 2" xfId="3755" xr:uid="{00000000-0005-0000-0000-000088880000}"/>
    <cellStyle name="Normal 3 5 2 2" xfId="8580" xr:uid="{00000000-0005-0000-0000-000089880000}"/>
    <cellStyle name="Normal 3 5 2 2 2" xfId="10115" xr:uid="{00000000-0005-0000-0000-00008A880000}"/>
    <cellStyle name="Normal 3 5 2 2 2 2" xfId="13736" xr:uid="{00000000-0005-0000-0000-00008B880000}"/>
    <cellStyle name="Normal 3 5 2 2 3" xfId="23917" xr:uid="{00000000-0005-0000-0000-00008C880000}"/>
    <cellStyle name="Normal 3 5 2 2 4" xfId="23918" xr:uid="{00000000-0005-0000-0000-00008D880000}"/>
    <cellStyle name="Normal 3 5 2 2 5" xfId="23919" xr:uid="{00000000-0005-0000-0000-00008E880000}"/>
    <cellStyle name="Normal 3 5 2 2 6" xfId="23920" xr:uid="{00000000-0005-0000-0000-00008F880000}"/>
    <cellStyle name="Normal 3 5 2 3" xfId="8295" xr:uid="{00000000-0005-0000-0000-000090880000}"/>
    <cellStyle name="Normal 3 5 2 3 2" xfId="10116" xr:uid="{00000000-0005-0000-0000-000091880000}"/>
    <cellStyle name="Normal 3 5 2 3 2 2" xfId="13737" xr:uid="{00000000-0005-0000-0000-000092880000}"/>
    <cellStyle name="Normal 3 5 2 3 3" xfId="23921" xr:uid="{00000000-0005-0000-0000-000093880000}"/>
    <cellStyle name="Normal 3 5 2 3 4" xfId="23922" xr:uid="{00000000-0005-0000-0000-000094880000}"/>
    <cellStyle name="Normal 3 5 2 3 5" xfId="23923" xr:uid="{00000000-0005-0000-0000-000095880000}"/>
    <cellStyle name="Normal 3 5 2 3 6" xfId="23924" xr:uid="{00000000-0005-0000-0000-000096880000}"/>
    <cellStyle name="Normal 3 5 2 4" xfId="10114" xr:uid="{00000000-0005-0000-0000-000097880000}"/>
    <cellStyle name="Normal 3 5 2 4 2" xfId="13735" xr:uid="{00000000-0005-0000-0000-000098880000}"/>
    <cellStyle name="Normal 3 5 2 5" xfId="23925" xr:uid="{00000000-0005-0000-0000-000099880000}"/>
    <cellStyle name="Normal 3 5 2 6" xfId="23926" xr:uid="{00000000-0005-0000-0000-00009A880000}"/>
    <cellStyle name="Normal 3 5 2 7" xfId="23927" xr:uid="{00000000-0005-0000-0000-00009B880000}"/>
    <cellStyle name="Normal 3 5 2 8" xfId="23928" xr:uid="{00000000-0005-0000-0000-00009C880000}"/>
    <cellStyle name="Normal 3 5 3" xfId="3754" xr:uid="{00000000-0005-0000-0000-00009D880000}"/>
    <cellStyle name="Normal 3 5 3 10" xfId="7627" xr:uid="{00000000-0005-0000-0000-00009E880000}"/>
    <cellStyle name="Normal 3 5 3 2" xfId="8670" xr:uid="{00000000-0005-0000-0000-00009F880000}"/>
    <cellStyle name="Normal 3 5 3 2 2" xfId="10118" xr:uid="{00000000-0005-0000-0000-0000A0880000}"/>
    <cellStyle name="Normal 3 5 3 2 2 2" xfId="13739" xr:uid="{00000000-0005-0000-0000-0000A1880000}"/>
    <cellStyle name="Normal 3 5 3 2 3" xfId="23929" xr:uid="{00000000-0005-0000-0000-0000A2880000}"/>
    <cellStyle name="Normal 3 5 3 2 4" xfId="23930" xr:uid="{00000000-0005-0000-0000-0000A3880000}"/>
    <cellStyle name="Normal 3 5 3 2 5" xfId="23931" xr:uid="{00000000-0005-0000-0000-0000A4880000}"/>
    <cellStyle name="Normal 3 5 3 2 6" xfId="23932" xr:uid="{00000000-0005-0000-0000-0000A5880000}"/>
    <cellStyle name="Normal 3 5 3 3" xfId="8391" xr:uid="{00000000-0005-0000-0000-0000A6880000}"/>
    <cellStyle name="Normal 3 5 3 3 2" xfId="10119" xr:uid="{00000000-0005-0000-0000-0000A7880000}"/>
    <cellStyle name="Normal 3 5 3 3 2 2" xfId="13740" xr:uid="{00000000-0005-0000-0000-0000A8880000}"/>
    <cellStyle name="Normal 3 5 3 3 3" xfId="23933" xr:uid="{00000000-0005-0000-0000-0000A9880000}"/>
    <cellStyle name="Normal 3 5 3 3 4" xfId="23934" xr:uid="{00000000-0005-0000-0000-0000AA880000}"/>
    <cellStyle name="Normal 3 5 3 3 5" xfId="23935" xr:uid="{00000000-0005-0000-0000-0000AB880000}"/>
    <cellStyle name="Normal 3 5 3 3 6" xfId="23936" xr:uid="{00000000-0005-0000-0000-0000AC880000}"/>
    <cellStyle name="Normal 3 5 3 4" xfId="10117" xr:uid="{00000000-0005-0000-0000-0000AD880000}"/>
    <cellStyle name="Normal 3 5 3 4 2" xfId="13738" xr:uid="{00000000-0005-0000-0000-0000AE880000}"/>
    <cellStyle name="Normal 3 5 3 5" xfId="23937" xr:uid="{00000000-0005-0000-0000-0000AF880000}"/>
    <cellStyle name="Normal 3 5 3 6" xfId="23938" xr:uid="{00000000-0005-0000-0000-0000B0880000}"/>
    <cellStyle name="Normal 3 5 3 7" xfId="23939" xr:uid="{00000000-0005-0000-0000-0000B1880000}"/>
    <cellStyle name="Normal 3 5 3 8" xfId="23940" xr:uid="{00000000-0005-0000-0000-0000B2880000}"/>
    <cellStyle name="Normal 3 5 3 9" xfId="35437" xr:uid="{00000000-0005-0000-0000-0000B3880000}"/>
    <cellStyle name="Normal 3 5 4" xfId="4814" xr:uid="{00000000-0005-0000-0000-0000B4880000}"/>
    <cellStyle name="Normal 3 5 4 2" xfId="10120" xr:uid="{00000000-0005-0000-0000-0000B5880000}"/>
    <cellStyle name="Normal 3 5 4 2 2" xfId="13741" xr:uid="{00000000-0005-0000-0000-0000B6880000}"/>
    <cellStyle name="Normal 3 5 4 3" xfId="12479" xr:uid="{00000000-0005-0000-0000-0000B7880000}"/>
    <cellStyle name="Normal 3 5 4 4" xfId="35791" xr:uid="{00000000-0005-0000-0000-0000B8880000}"/>
    <cellStyle name="Normal 3 5 4 5" xfId="8294" xr:uid="{00000000-0005-0000-0000-0000B9880000}"/>
    <cellStyle name="Normal 3 5 5" xfId="10113" xr:uid="{00000000-0005-0000-0000-0000BA880000}"/>
    <cellStyle name="Normal 3 5 5 2" xfId="13734" xr:uid="{00000000-0005-0000-0000-0000BB880000}"/>
    <cellStyle name="Normal 3 5 5 3" xfId="37852" xr:uid="{00000000-0005-0000-0000-0000BC880000}"/>
    <cellStyle name="Normal 3 5 6" xfId="23941" xr:uid="{00000000-0005-0000-0000-0000BD880000}"/>
    <cellStyle name="Normal 3 5 7" xfId="23942" xr:uid="{00000000-0005-0000-0000-0000BE880000}"/>
    <cellStyle name="Normal 3 5 8" xfId="23943" xr:uid="{00000000-0005-0000-0000-0000BF880000}"/>
    <cellStyle name="Normal 3 5 9" xfId="23944" xr:uid="{00000000-0005-0000-0000-0000C0880000}"/>
    <cellStyle name="Normal 3 6" xfId="1599" xr:uid="{00000000-0005-0000-0000-0000C1880000}"/>
    <cellStyle name="Normal 3 6 10" xfId="23945" xr:uid="{00000000-0005-0000-0000-0000C2880000}"/>
    <cellStyle name="Normal 3 6 11" xfId="23946" xr:uid="{00000000-0005-0000-0000-0000C3880000}"/>
    <cellStyle name="Normal 3 6 2" xfId="3757" xr:uid="{00000000-0005-0000-0000-0000C4880000}"/>
    <cellStyle name="Normal 3 6 2 2" xfId="10122" xr:uid="{00000000-0005-0000-0000-0000C5880000}"/>
    <cellStyle name="Normal 3 6 2 2 2" xfId="13743" xr:uid="{00000000-0005-0000-0000-0000C6880000}"/>
    <cellStyle name="Normal 3 6 2 3" xfId="23947" xr:uid="{00000000-0005-0000-0000-0000C7880000}"/>
    <cellStyle name="Normal 3 6 2 4" xfId="23948" xr:uid="{00000000-0005-0000-0000-0000C8880000}"/>
    <cellStyle name="Normal 3 6 2 5" xfId="23949" xr:uid="{00000000-0005-0000-0000-0000C9880000}"/>
    <cellStyle name="Normal 3 6 2 6" xfId="23950" xr:uid="{00000000-0005-0000-0000-0000CA880000}"/>
    <cellStyle name="Normal 3 6 3" xfId="3758" xr:uid="{00000000-0005-0000-0000-0000CB880000}"/>
    <cellStyle name="Normal 3 6 3 2" xfId="5465" xr:uid="{00000000-0005-0000-0000-0000CC880000}"/>
    <cellStyle name="Normal 3 6 3 2 2" xfId="6149" xr:uid="{00000000-0005-0000-0000-0000CD880000}"/>
    <cellStyle name="Normal 3 6 3 2 2 2" xfId="40459" xr:uid="{00000000-0005-0000-0000-0000CE880000}"/>
    <cellStyle name="Normal 3 6 3 2 2 3" xfId="13744" xr:uid="{00000000-0005-0000-0000-0000CF880000}"/>
    <cellStyle name="Normal 3 6 3 2 3" xfId="6469" xr:uid="{00000000-0005-0000-0000-0000D0880000}"/>
    <cellStyle name="Normal 3 6 3 2 3 2" xfId="40841" xr:uid="{00000000-0005-0000-0000-0000D1880000}"/>
    <cellStyle name="Normal 3 6 3 2 3 3" xfId="39275" xr:uid="{00000000-0005-0000-0000-0000D2880000}"/>
    <cellStyle name="Normal 3 6 3 2 4" xfId="39734" xr:uid="{00000000-0005-0000-0000-0000D3880000}"/>
    <cellStyle name="Normal 3 6 3 2 4 2" xfId="41318" xr:uid="{00000000-0005-0000-0000-0000D4880000}"/>
    <cellStyle name="Normal 3 6 3 2 5" xfId="39989" xr:uid="{00000000-0005-0000-0000-0000D5880000}"/>
    <cellStyle name="Normal 3 6 3 2 6" xfId="10123" xr:uid="{00000000-0005-0000-0000-0000D6880000}"/>
    <cellStyle name="Normal 3 6 3 3" xfId="4521" xr:uid="{00000000-0005-0000-0000-0000D7880000}"/>
    <cellStyle name="Normal 3 6 3 3 2" xfId="5972" xr:uid="{00000000-0005-0000-0000-0000D8880000}"/>
    <cellStyle name="Normal 3 6 3 3 2 2" xfId="41146" xr:uid="{00000000-0005-0000-0000-0000D9880000}"/>
    <cellStyle name="Normal 3 6 3 3 2 3" xfId="39567" xr:uid="{00000000-0005-0000-0000-0000DA880000}"/>
    <cellStyle name="Normal 3 6 3 3 3" xfId="40291" xr:uid="{00000000-0005-0000-0000-0000DB880000}"/>
    <cellStyle name="Normal 3 6 3 3 4" xfId="23951" xr:uid="{00000000-0005-0000-0000-0000DC880000}"/>
    <cellStyle name="Normal 3 6 3 4" xfId="5834" xr:uid="{00000000-0005-0000-0000-0000DD880000}"/>
    <cellStyle name="Normal 3 6 3 4 2" xfId="40156" xr:uid="{00000000-0005-0000-0000-0000DE880000}"/>
    <cellStyle name="Normal 3 6 3 4 3" xfId="23952" xr:uid="{00000000-0005-0000-0000-0000DF880000}"/>
    <cellStyle name="Normal 3 6 3 5" xfId="6293" xr:uid="{00000000-0005-0000-0000-0000E0880000}"/>
    <cellStyle name="Normal 3 6 3 5 2" xfId="40702" xr:uid="{00000000-0005-0000-0000-0000E1880000}"/>
    <cellStyle name="Normal 3 6 3 5 3" xfId="23953" xr:uid="{00000000-0005-0000-0000-0000E2880000}"/>
    <cellStyle name="Normal 3 6 3 6" xfId="23954" xr:uid="{00000000-0005-0000-0000-0000E3880000}"/>
    <cellStyle name="Normal 3 6 3 6 2" xfId="41009" xr:uid="{00000000-0005-0000-0000-0000E4880000}"/>
    <cellStyle name="Normal 3 6 3 7" xfId="39854" xr:uid="{00000000-0005-0000-0000-0000E5880000}"/>
    <cellStyle name="Normal 3 6 3 8" xfId="7628" xr:uid="{00000000-0005-0000-0000-0000E6880000}"/>
    <cellStyle name="Normal 3 6 4" xfId="3756" xr:uid="{00000000-0005-0000-0000-0000E7880000}"/>
    <cellStyle name="Normal 3 6 4 2" xfId="5464" xr:uid="{00000000-0005-0000-0000-0000E8880000}"/>
    <cellStyle name="Normal 3 6 4 2 2" xfId="6148" xr:uid="{00000000-0005-0000-0000-0000E9880000}"/>
    <cellStyle name="Normal 3 6 4 2 2 2" xfId="41317" xr:uid="{00000000-0005-0000-0000-0000EA880000}"/>
    <cellStyle name="Normal 3 6 4 2 2 3" xfId="13745" xr:uid="{00000000-0005-0000-0000-0000EB880000}"/>
    <cellStyle name="Normal 3 6 4 2 3" xfId="40458" xr:uid="{00000000-0005-0000-0000-0000EC880000}"/>
    <cellStyle name="Normal 3 6 4 2 4" xfId="10124" xr:uid="{00000000-0005-0000-0000-0000ED880000}"/>
    <cellStyle name="Normal 3 6 4 3" xfId="5833" xr:uid="{00000000-0005-0000-0000-0000EE880000}"/>
    <cellStyle name="Normal 3 6 4 3 2" xfId="40155" xr:uid="{00000000-0005-0000-0000-0000EF880000}"/>
    <cellStyle name="Normal 3 6 4 3 3" xfId="23955" xr:uid="{00000000-0005-0000-0000-0000F0880000}"/>
    <cellStyle name="Normal 3 6 4 4" xfId="6468" xr:uid="{00000000-0005-0000-0000-0000F1880000}"/>
    <cellStyle name="Normal 3 6 4 4 2" xfId="40701" xr:uid="{00000000-0005-0000-0000-0000F2880000}"/>
    <cellStyle name="Normal 3 6 4 4 3" xfId="23956" xr:uid="{00000000-0005-0000-0000-0000F3880000}"/>
    <cellStyle name="Normal 3 6 4 5" xfId="23957" xr:uid="{00000000-0005-0000-0000-0000F4880000}"/>
    <cellStyle name="Normal 3 6 4 5 2" xfId="41008" xr:uid="{00000000-0005-0000-0000-0000F5880000}"/>
    <cellStyle name="Normal 3 6 4 6" xfId="23958" xr:uid="{00000000-0005-0000-0000-0000F6880000}"/>
    <cellStyle name="Normal 3 6 4 7" xfId="8499" xr:uid="{00000000-0005-0000-0000-0000F7880000}"/>
    <cellStyle name="Normal 3 6 5" xfId="4815" xr:uid="{00000000-0005-0000-0000-0000F8880000}"/>
    <cellStyle name="Normal 3 6 5 2" xfId="6017" xr:uid="{00000000-0005-0000-0000-0000F9880000}"/>
    <cellStyle name="Normal 3 6 5 2 2" xfId="13746" xr:uid="{00000000-0005-0000-0000-0000FA880000}"/>
    <cellStyle name="Normal 3 6 5 2 3" xfId="10125" xr:uid="{00000000-0005-0000-0000-0000FB880000}"/>
    <cellStyle name="Normal 3 6 5 3" xfId="6338" xr:uid="{00000000-0005-0000-0000-0000FC880000}"/>
    <cellStyle name="Normal 3 6 5 3 2" xfId="41188" xr:uid="{00000000-0005-0000-0000-0000FD880000}"/>
    <cellStyle name="Normal 3 6 5 3 3" xfId="12480" xr:uid="{00000000-0005-0000-0000-0000FE880000}"/>
    <cellStyle name="Normal 3 6 5 4" xfId="40332" xr:uid="{00000000-0005-0000-0000-0000FF880000}"/>
    <cellStyle name="Normal 3 6 5 5" xfId="8296" xr:uid="{00000000-0005-0000-0000-000000890000}"/>
    <cellStyle name="Normal 3 6 6" xfId="4520" xr:uid="{00000000-0005-0000-0000-000001890000}"/>
    <cellStyle name="Normal 3 6 6 2" xfId="5971" xr:uid="{00000000-0005-0000-0000-000002890000}"/>
    <cellStyle name="Normal 3 6 6 2 2" xfId="40783" xr:uid="{00000000-0005-0000-0000-000003890000}"/>
    <cellStyle name="Normal 3 6 6 2 3" xfId="13742" xr:uid="{00000000-0005-0000-0000-000004890000}"/>
    <cellStyle name="Normal 3 6 6 3" xfId="39566" xr:uid="{00000000-0005-0000-0000-000005890000}"/>
    <cellStyle name="Normal 3 6 6 3 2" xfId="41145" xr:uid="{00000000-0005-0000-0000-000006890000}"/>
    <cellStyle name="Normal 3 6 6 4" xfId="40290" xr:uid="{00000000-0005-0000-0000-000007890000}"/>
    <cellStyle name="Normal 3 6 6 5" xfId="10121" xr:uid="{00000000-0005-0000-0000-000008890000}"/>
    <cellStyle name="Normal 3 6 7" xfId="5702" xr:uid="{00000000-0005-0000-0000-000009890000}"/>
    <cellStyle name="Normal 3 6 7 2" xfId="15196" xr:uid="{00000000-0005-0000-0000-00000A890000}"/>
    <cellStyle name="Normal 3 6 7 3" xfId="11572" xr:uid="{00000000-0005-0000-0000-00000B890000}"/>
    <cellStyle name="Normal 3 6 8" xfId="6292" xr:uid="{00000000-0005-0000-0000-00000C890000}"/>
    <cellStyle name="Normal 3 6 8 2" xfId="40539" xr:uid="{00000000-0005-0000-0000-00000D890000}"/>
    <cellStyle name="Normal 3 6 8 3" xfId="23959" xr:uid="{00000000-0005-0000-0000-00000E890000}"/>
    <cellStyle name="Normal 3 6 9" xfId="23960" xr:uid="{00000000-0005-0000-0000-00000F890000}"/>
    <cellStyle name="Normal 3 6 9 2" xfId="40878" xr:uid="{00000000-0005-0000-0000-000010890000}"/>
    <cellStyle name="Normal 3 7" xfId="1600" xr:uid="{00000000-0005-0000-0000-000011890000}"/>
    <cellStyle name="Normal 3 7 10" xfId="23961" xr:uid="{00000000-0005-0000-0000-000012890000}"/>
    <cellStyle name="Normal 3 7 2" xfId="3760" xr:uid="{00000000-0005-0000-0000-000013890000}"/>
    <cellStyle name="Normal 3 7 2 2" xfId="8581" xr:uid="{00000000-0005-0000-0000-000014890000}"/>
    <cellStyle name="Normal 3 7 2 2 2" xfId="10128" xr:uid="{00000000-0005-0000-0000-000015890000}"/>
    <cellStyle name="Normal 3 7 2 2 2 2" xfId="13749" xr:uid="{00000000-0005-0000-0000-000016890000}"/>
    <cellStyle name="Normal 3 7 2 2 3" xfId="23962" xr:uid="{00000000-0005-0000-0000-000017890000}"/>
    <cellStyle name="Normal 3 7 2 2 4" xfId="23963" xr:uid="{00000000-0005-0000-0000-000018890000}"/>
    <cellStyle name="Normal 3 7 2 2 5" xfId="23964" xr:uid="{00000000-0005-0000-0000-000019890000}"/>
    <cellStyle name="Normal 3 7 2 2 6" xfId="23965" xr:uid="{00000000-0005-0000-0000-00001A890000}"/>
    <cellStyle name="Normal 3 7 2 3" xfId="8298" xr:uid="{00000000-0005-0000-0000-00001B890000}"/>
    <cellStyle name="Normal 3 7 2 3 2" xfId="10129" xr:uid="{00000000-0005-0000-0000-00001C890000}"/>
    <cellStyle name="Normal 3 7 2 3 2 2" xfId="13750" xr:uid="{00000000-0005-0000-0000-00001D890000}"/>
    <cellStyle name="Normal 3 7 2 3 3" xfId="23966" xr:uid="{00000000-0005-0000-0000-00001E890000}"/>
    <cellStyle name="Normal 3 7 2 3 4" xfId="23967" xr:uid="{00000000-0005-0000-0000-00001F890000}"/>
    <cellStyle name="Normal 3 7 2 3 5" xfId="23968" xr:uid="{00000000-0005-0000-0000-000020890000}"/>
    <cellStyle name="Normal 3 7 2 3 6" xfId="23969" xr:uid="{00000000-0005-0000-0000-000021890000}"/>
    <cellStyle name="Normal 3 7 2 4" xfId="10127" xr:uid="{00000000-0005-0000-0000-000022890000}"/>
    <cellStyle name="Normal 3 7 2 4 2" xfId="13748" xr:uid="{00000000-0005-0000-0000-000023890000}"/>
    <cellStyle name="Normal 3 7 2 5" xfId="23970" xr:uid="{00000000-0005-0000-0000-000024890000}"/>
    <cellStyle name="Normal 3 7 2 6" xfId="23971" xr:uid="{00000000-0005-0000-0000-000025890000}"/>
    <cellStyle name="Normal 3 7 2 7" xfId="23972" xr:uid="{00000000-0005-0000-0000-000026890000}"/>
    <cellStyle name="Normal 3 7 2 8" xfId="23973" xr:uid="{00000000-0005-0000-0000-000027890000}"/>
    <cellStyle name="Normal 3 7 3" xfId="3759" xr:uid="{00000000-0005-0000-0000-000028890000}"/>
    <cellStyle name="Normal 3 7 3 2" xfId="10130" xr:uid="{00000000-0005-0000-0000-000029890000}"/>
    <cellStyle name="Normal 3 7 3 2 2" xfId="13751" xr:uid="{00000000-0005-0000-0000-00002A890000}"/>
    <cellStyle name="Normal 3 7 3 3" xfId="23974" xr:uid="{00000000-0005-0000-0000-00002B890000}"/>
    <cellStyle name="Normal 3 7 3 4" xfId="23975" xr:uid="{00000000-0005-0000-0000-00002C890000}"/>
    <cellStyle name="Normal 3 7 3 5" xfId="23976" xr:uid="{00000000-0005-0000-0000-00002D890000}"/>
    <cellStyle name="Normal 3 7 3 6" xfId="23977" xr:uid="{00000000-0005-0000-0000-00002E890000}"/>
    <cellStyle name="Normal 3 7 3 7" xfId="35438" xr:uid="{00000000-0005-0000-0000-00002F890000}"/>
    <cellStyle name="Normal 3 7 3 8" xfId="8500" xr:uid="{00000000-0005-0000-0000-000030890000}"/>
    <cellStyle name="Normal 3 7 4" xfId="4816" xr:uid="{00000000-0005-0000-0000-000031890000}"/>
    <cellStyle name="Normal 3 7 4 2" xfId="10131" xr:uid="{00000000-0005-0000-0000-000032890000}"/>
    <cellStyle name="Normal 3 7 4 2 2" xfId="13752" xr:uid="{00000000-0005-0000-0000-000033890000}"/>
    <cellStyle name="Normal 3 7 4 3" xfId="12481" xr:uid="{00000000-0005-0000-0000-000034890000}"/>
    <cellStyle name="Normal 3 7 4 4" xfId="35792" xr:uid="{00000000-0005-0000-0000-000035890000}"/>
    <cellStyle name="Normal 3 7 4 5" xfId="8297" xr:uid="{00000000-0005-0000-0000-000036890000}"/>
    <cellStyle name="Normal 3 7 5" xfId="10126" xr:uid="{00000000-0005-0000-0000-000037890000}"/>
    <cellStyle name="Normal 3 7 5 2" xfId="13747" xr:uid="{00000000-0005-0000-0000-000038890000}"/>
    <cellStyle name="Normal 3 7 5 3" xfId="37853" xr:uid="{00000000-0005-0000-0000-000039890000}"/>
    <cellStyle name="Normal 3 7 6" xfId="23978" xr:uid="{00000000-0005-0000-0000-00003A890000}"/>
    <cellStyle name="Normal 3 7 7" xfId="23979" xr:uid="{00000000-0005-0000-0000-00003B890000}"/>
    <cellStyle name="Normal 3 7 8" xfId="23980" xr:uid="{00000000-0005-0000-0000-00003C890000}"/>
    <cellStyle name="Normal 3 7 9" xfId="23981" xr:uid="{00000000-0005-0000-0000-00003D890000}"/>
    <cellStyle name="Normal 3 8" xfId="1601" xr:uid="{00000000-0005-0000-0000-00003E890000}"/>
    <cellStyle name="Normal 3 8 2" xfId="3762" xr:uid="{00000000-0005-0000-0000-00003F890000}"/>
    <cellStyle name="Normal 3 8 2 2" xfId="5466" xr:uid="{00000000-0005-0000-0000-000040890000}"/>
    <cellStyle name="Normal 3 8 2 2 2" xfId="13754" xr:uid="{00000000-0005-0000-0000-000041890000}"/>
    <cellStyle name="Normal 3 8 2 2 3" xfId="36140" xr:uid="{00000000-0005-0000-0000-000042890000}"/>
    <cellStyle name="Normal 3 8 2 2 4" xfId="10133" xr:uid="{00000000-0005-0000-0000-000043890000}"/>
    <cellStyle name="Normal 3 8 2 3" xfId="23982" xr:uid="{00000000-0005-0000-0000-000044890000}"/>
    <cellStyle name="Normal 3 8 2 3 2" xfId="38467" xr:uid="{00000000-0005-0000-0000-000045890000}"/>
    <cellStyle name="Normal 3 8 2 4" xfId="23983" xr:uid="{00000000-0005-0000-0000-000046890000}"/>
    <cellStyle name="Normal 3 8 2 5" xfId="23984" xr:uid="{00000000-0005-0000-0000-000047890000}"/>
    <cellStyle name="Normal 3 8 2 6" xfId="23985" xr:uid="{00000000-0005-0000-0000-000048890000}"/>
    <cellStyle name="Normal 3 8 3" xfId="3761" xr:uid="{00000000-0005-0000-0000-000049890000}"/>
    <cellStyle name="Normal 3 8 3 2" xfId="13753" xr:uid="{00000000-0005-0000-0000-00004A890000}"/>
    <cellStyle name="Normal 3 8 3 3" xfId="35439" xr:uid="{00000000-0005-0000-0000-00004B890000}"/>
    <cellStyle name="Normal 3 8 3 4" xfId="10132" xr:uid="{00000000-0005-0000-0000-00004C890000}"/>
    <cellStyle name="Normal 3 8 4" xfId="4817" xr:uid="{00000000-0005-0000-0000-00004D890000}"/>
    <cellStyle name="Normal 3 8 4 2" xfId="23987" xr:uid="{00000000-0005-0000-0000-00004E890000}"/>
    <cellStyle name="Normal 3 8 4 3" xfId="23988" xr:uid="{00000000-0005-0000-0000-00004F890000}"/>
    <cellStyle name="Normal 3 8 4 4" xfId="23989" xr:uid="{00000000-0005-0000-0000-000050890000}"/>
    <cellStyle name="Normal 3 8 4 5" xfId="23990" xr:uid="{00000000-0005-0000-0000-000051890000}"/>
    <cellStyle name="Normal 3 8 4 6" xfId="23986" xr:uid="{00000000-0005-0000-0000-000052890000}"/>
    <cellStyle name="Normal 3 8 5" xfId="23991" xr:uid="{00000000-0005-0000-0000-000053890000}"/>
    <cellStyle name="Normal 3 8 5 2" xfId="39218" xr:uid="{00000000-0005-0000-0000-000054890000}"/>
    <cellStyle name="Normal 3 8 5 3" xfId="37854" xr:uid="{00000000-0005-0000-0000-000055890000}"/>
    <cellStyle name="Normal 3 8 6" xfId="23992" xr:uid="{00000000-0005-0000-0000-000056890000}"/>
    <cellStyle name="Normal 3 8 7" xfId="23993" xr:uid="{00000000-0005-0000-0000-000057890000}"/>
    <cellStyle name="Normal 3 8 8" xfId="23994" xr:uid="{00000000-0005-0000-0000-000058890000}"/>
    <cellStyle name="Normal 3 8 9" xfId="23995" xr:uid="{00000000-0005-0000-0000-000059890000}"/>
    <cellStyle name="Normal 3 9" xfId="1602" xr:uid="{00000000-0005-0000-0000-00005A890000}"/>
    <cellStyle name="Normal 3 9 2" xfId="3763" xr:uid="{00000000-0005-0000-0000-00005B890000}"/>
    <cellStyle name="Normal 3 9 2 2" xfId="10135" xr:uid="{00000000-0005-0000-0000-00005C890000}"/>
    <cellStyle name="Normal 3 9 2 2 2" xfId="13756" xr:uid="{00000000-0005-0000-0000-00005D890000}"/>
    <cellStyle name="Normal 3 9 2 3" xfId="23996" xr:uid="{00000000-0005-0000-0000-00005E890000}"/>
    <cellStyle name="Normal 3 9 2 4" xfId="23997" xr:uid="{00000000-0005-0000-0000-00005F890000}"/>
    <cellStyle name="Normal 3 9 2 5" xfId="23998" xr:uid="{00000000-0005-0000-0000-000060890000}"/>
    <cellStyle name="Normal 3 9 2 6" xfId="23999" xr:uid="{00000000-0005-0000-0000-000061890000}"/>
    <cellStyle name="Normal 3 9 3" xfId="4818" xr:uid="{00000000-0005-0000-0000-000062890000}"/>
    <cellStyle name="Normal 3 9 3 2" xfId="13755" xr:uid="{00000000-0005-0000-0000-000063890000}"/>
    <cellStyle name="Normal 3 9 3 3" xfId="35793" xr:uid="{00000000-0005-0000-0000-000064890000}"/>
    <cellStyle name="Normal 3 9 3 4" xfId="10134" xr:uid="{00000000-0005-0000-0000-000065890000}"/>
    <cellStyle name="Normal 3 9 4" xfId="24000" xr:uid="{00000000-0005-0000-0000-000066890000}"/>
    <cellStyle name="Normal 3 9 4 2" xfId="37855" xr:uid="{00000000-0005-0000-0000-000067890000}"/>
    <cellStyle name="Normal 3 9 5" xfId="24001" xr:uid="{00000000-0005-0000-0000-000068890000}"/>
    <cellStyle name="Normal 3 9 6" xfId="24002" xr:uid="{00000000-0005-0000-0000-000069890000}"/>
    <cellStyle name="Normal 3 9 7" xfId="24003" xr:uid="{00000000-0005-0000-0000-00006A890000}"/>
    <cellStyle name="Normal 3 9 8" xfId="24004" xr:uid="{00000000-0005-0000-0000-00006B890000}"/>
    <cellStyle name="Normal 3_RCA" xfId="1603" xr:uid="{00000000-0005-0000-0000-00006C890000}"/>
    <cellStyle name="Normal 30" xfId="1604" xr:uid="{00000000-0005-0000-0000-00006D890000}"/>
    <cellStyle name="Normal 30 10" xfId="24005" xr:uid="{00000000-0005-0000-0000-00006E890000}"/>
    <cellStyle name="Normal 30 2" xfId="3765" xr:uid="{00000000-0005-0000-0000-00006F890000}"/>
    <cellStyle name="Normal 30 2 2" xfId="8589" xr:uid="{00000000-0005-0000-0000-000070890000}"/>
    <cellStyle name="Normal 30 2 2 2" xfId="10138" xr:uid="{00000000-0005-0000-0000-000071890000}"/>
    <cellStyle name="Normal 30 2 2 2 2" xfId="13759" xr:uid="{00000000-0005-0000-0000-000072890000}"/>
    <cellStyle name="Normal 30 2 2 3" xfId="24006" xr:uid="{00000000-0005-0000-0000-000073890000}"/>
    <cellStyle name="Normal 30 2 2 4" xfId="24007" xr:uid="{00000000-0005-0000-0000-000074890000}"/>
    <cellStyle name="Normal 30 2 2 5" xfId="24008" xr:uid="{00000000-0005-0000-0000-000075890000}"/>
    <cellStyle name="Normal 30 2 2 6" xfId="24009" xr:uid="{00000000-0005-0000-0000-000076890000}"/>
    <cellStyle name="Normal 30 2 3" xfId="8299" xr:uid="{00000000-0005-0000-0000-000077890000}"/>
    <cellStyle name="Normal 30 2 3 2" xfId="10139" xr:uid="{00000000-0005-0000-0000-000078890000}"/>
    <cellStyle name="Normal 30 2 3 2 2" xfId="13760" xr:uid="{00000000-0005-0000-0000-000079890000}"/>
    <cellStyle name="Normal 30 2 3 3" xfId="24010" xr:uid="{00000000-0005-0000-0000-00007A890000}"/>
    <cellStyle name="Normal 30 2 3 4" xfId="24011" xr:uid="{00000000-0005-0000-0000-00007B890000}"/>
    <cellStyle name="Normal 30 2 3 5" xfId="24012" xr:uid="{00000000-0005-0000-0000-00007C890000}"/>
    <cellStyle name="Normal 30 2 3 6" xfId="24013" xr:uid="{00000000-0005-0000-0000-00007D890000}"/>
    <cellStyle name="Normal 30 2 4" xfId="10137" xr:uid="{00000000-0005-0000-0000-00007E890000}"/>
    <cellStyle name="Normal 30 2 4 2" xfId="13758" xr:uid="{00000000-0005-0000-0000-00007F890000}"/>
    <cellStyle name="Normal 30 2 5" xfId="24014" xr:uid="{00000000-0005-0000-0000-000080890000}"/>
    <cellStyle name="Normal 30 2 6" xfId="24015" xr:uid="{00000000-0005-0000-0000-000081890000}"/>
    <cellStyle name="Normal 30 2 7" xfId="24016" xr:uid="{00000000-0005-0000-0000-000082890000}"/>
    <cellStyle name="Normal 30 2 8" xfId="24017" xr:uid="{00000000-0005-0000-0000-000083890000}"/>
    <cellStyle name="Normal 30 3" xfId="3764" xr:uid="{00000000-0005-0000-0000-000084890000}"/>
    <cellStyle name="Normal 30 3 2" xfId="10140" xr:uid="{00000000-0005-0000-0000-000085890000}"/>
    <cellStyle name="Normal 30 3 2 2" xfId="13761" xr:uid="{00000000-0005-0000-0000-000086890000}"/>
    <cellStyle name="Normal 30 3 3" xfId="24018" xr:uid="{00000000-0005-0000-0000-000087890000}"/>
    <cellStyle name="Normal 30 3 4" xfId="24019" xr:uid="{00000000-0005-0000-0000-000088890000}"/>
    <cellStyle name="Normal 30 3 5" xfId="24020" xr:uid="{00000000-0005-0000-0000-000089890000}"/>
    <cellStyle name="Normal 30 3 6" xfId="24021" xr:uid="{00000000-0005-0000-0000-00008A890000}"/>
    <cellStyle name="Normal 30 4" xfId="4819" xr:uid="{00000000-0005-0000-0000-00008B890000}"/>
    <cellStyle name="Normal 30 4 2" xfId="10141" xr:uid="{00000000-0005-0000-0000-00008C890000}"/>
    <cellStyle name="Normal 30 4 2 2" xfId="13762" xr:uid="{00000000-0005-0000-0000-00008D890000}"/>
    <cellStyle name="Normal 30 4 3" xfId="24022" xr:uid="{00000000-0005-0000-0000-00008E890000}"/>
    <cellStyle name="Normal 30 4 4" xfId="24023" xr:uid="{00000000-0005-0000-0000-00008F890000}"/>
    <cellStyle name="Normal 30 4 5" xfId="24024" xr:uid="{00000000-0005-0000-0000-000090890000}"/>
    <cellStyle name="Normal 30 4 6" xfId="24025" xr:uid="{00000000-0005-0000-0000-000091890000}"/>
    <cellStyle name="Normal 30 4 7" xfId="35794" xr:uid="{00000000-0005-0000-0000-000092890000}"/>
    <cellStyle name="Normal 30 4 8" xfId="8514" xr:uid="{00000000-0005-0000-0000-000093890000}"/>
    <cellStyle name="Normal 30 5" xfId="10136" xr:uid="{00000000-0005-0000-0000-000094890000}"/>
    <cellStyle name="Normal 30 5 2" xfId="13757" xr:uid="{00000000-0005-0000-0000-000095890000}"/>
    <cellStyle name="Normal 30 5 3" xfId="37856" xr:uid="{00000000-0005-0000-0000-000096890000}"/>
    <cellStyle name="Normal 30 6" xfId="24026" xr:uid="{00000000-0005-0000-0000-000097890000}"/>
    <cellStyle name="Normal 30 7" xfId="24027" xr:uid="{00000000-0005-0000-0000-000098890000}"/>
    <cellStyle name="Normal 30 8" xfId="24028" xr:uid="{00000000-0005-0000-0000-000099890000}"/>
    <cellStyle name="Normal 30 9" xfId="24029" xr:uid="{00000000-0005-0000-0000-00009A890000}"/>
    <cellStyle name="Normal 31" xfId="1605" xr:uid="{00000000-0005-0000-0000-00009B890000}"/>
    <cellStyle name="Normal 31 2" xfId="3766" xr:uid="{00000000-0005-0000-0000-00009C890000}"/>
    <cellStyle name="Normal 31 2 2" xfId="10143" xr:uid="{00000000-0005-0000-0000-00009D890000}"/>
    <cellStyle name="Normal 31 2 2 2" xfId="13764" xr:uid="{00000000-0005-0000-0000-00009E890000}"/>
    <cellStyle name="Normal 31 2 3" xfId="24030" xr:uid="{00000000-0005-0000-0000-00009F890000}"/>
    <cellStyle name="Normal 31 2 4" xfId="24031" xr:uid="{00000000-0005-0000-0000-0000A0890000}"/>
    <cellStyle name="Normal 31 2 5" xfId="24032" xr:uid="{00000000-0005-0000-0000-0000A1890000}"/>
    <cellStyle name="Normal 31 2 6" xfId="24033" xr:uid="{00000000-0005-0000-0000-0000A2890000}"/>
    <cellStyle name="Normal 31 3" xfId="4820" xr:uid="{00000000-0005-0000-0000-0000A3890000}"/>
    <cellStyle name="Normal 31 3 2" xfId="13763" xr:uid="{00000000-0005-0000-0000-0000A4890000}"/>
    <cellStyle name="Normal 31 3 3" xfId="35795" xr:uid="{00000000-0005-0000-0000-0000A5890000}"/>
    <cellStyle name="Normal 31 3 4" xfId="10142" xr:uid="{00000000-0005-0000-0000-0000A6890000}"/>
    <cellStyle name="Normal 31 4" xfId="24034" xr:uid="{00000000-0005-0000-0000-0000A7890000}"/>
    <cellStyle name="Normal 31 4 2" xfId="37857" xr:uid="{00000000-0005-0000-0000-0000A8890000}"/>
    <cellStyle name="Normal 31 5" xfId="24035" xr:uid="{00000000-0005-0000-0000-0000A9890000}"/>
    <cellStyle name="Normal 31 6" xfId="24036" xr:uid="{00000000-0005-0000-0000-0000AA890000}"/>
    <cellStyle name="Normal 31 7" xfId="24037" xr:uid="{00000000-0005-0000-0000-0000AB890000}"/>
    <cellStyle name="Normal 31 8" xfId="24038" xr:uid="{00000000-0005-0000-0000-0000AC890000}"/>
    <cellStyle name="Normal 32" xfId="1606" xr:uid="{00000000-0005-0000-0000-0000AD890000}"/>
    <cellStyle name="Normal 32 10" xfId="24039" xr:uid="{00000000-0005-0000-0000-0000AE890000}"/>
    <cellStyle name="Normal 32 2" xfId="3768" xr:uid="{00000000-0005-0000-0000-0000AF890000}"/>
    <cellStyle name="Normal 32 2 2" xfId="8590" xr:uid="{00000000-0005-0000-0000-0000B0890000}"/>
    <cellStyle name="Normal 32 2 2 2" xfId="10146" xr:uid="{00000000-0005-0000-0000-0000B1890000}"/>
    <cellStyle name="Normal 32 2 2 2 2" xfId="13767" xr:uid="{00000000-0005-0000-0000-0000B2890000}"/>
    <cellStyle name="Normal 32 2 2 3" xfId="24040" xr:uid="{00000000-0005-0000-0000-0000B3890000}"/>
    <cellStyle name="Normal 32 2 2 4" xfId="24041" xr:uid="{00000000-0005-0000-0000-0000B4890000}"/>
    <cellStyle name="Normal 32 2 2 5" xfId="24042" xr:uid="{00000000-0005-0000-0000-0000B5890000}"/>
    <cellStyle name="Normal 32 2 2 6" xfId="24043" xr:uid="{00000000-0005-0000-0000-0000B6890000}"/>
    <cellStyle name="Normal 32 2 3" xfId="8300" xr:uid="{00000000-0005-0000-0000-0000B7890000}"/>
    <cellStyle name="Normal 32 2 3 2" xfId="10147" xr:uid="{00000000-0005-0000-0000-0000B8890000}"/>
    <cellStyle name="Normal 32 2 3 2 2" xfId="13768" xr:uid="{00000000-0005-0000-0000-0000B9890000}"/>
    <cellStyle name="Normal 32 2 3 3" xfId="24044" xr:uid="{00000000-0005-0000-0000-0000BA890000}"/>
    <cellStyle name="Normal 32 2 3 4" xfId="24045" xr:uid="{00000000-0005-0000-0000-0000BB890000}"/>
    <cellStyle name="Normal 32 2 3 5" xfId="24046" xr:uid="{00000000-0005-0000-0000-0000BC890000}"/>
    <cellStyle name="Normal 32 2 3 6" xfId="24047" xr:uid="{00000000-0005-0000-0000-0000BD890000}"/>
    <cellStyle name="Normal 32 2 4" xfId="10145" xr:uid="{00000000-0005-0000-0000-0000BE890000}"/>
    <cellStyle name="Normal 32 2 4 2" xfId="13766" xr:uid="{00000000-0005-0000-0000-0000BF890000}"/>
    <cellStyle name="Normal 32 2 5" xfId="24048" xr:uid="{00000000-0005-0000-0000-0000C0890000}"/>
    <cellStyle name="Normal 32 2 6" xfId="24049" xr:uid="{00000000-0005-0000-0000-0000C1890000}"/>
    <cellStyle name="Normal 32 2 7" xfId="24050" xr:uid="{00000000-0005-0000-0000-0000C2890000}"/>
    <cellStyle name="Normal 32 2 8" xfId="24051" xr:uid="{00000000-0005-0000-0000-0000C3890000}"/>
    <cellStyle name="Normal 32 3" xfId="3767" xr:uid="{00000000-0005-0000-0000-0000C4890000}"/>
    <cellStyle name="Normal 32 3 2" xfId="10148" xr:uid="{00000000-0005-0000-0000-0000C5890000}"/>
    <cellStyle name="Normal 32 3 2 2" xfId="13769" xr:uid="{00000000-0005-0000-0000-0000C6890000}"/>
    <cellStyle name="Normal 32 3 3" xfId="24052" xr:uid="{00000000-0005-0000-0000-0000C7890000}"/>
    <cellStyle name="Normal 32 3 4" xfId="24053" xr:uid="{00000000-0005-0000-0000-0000C8890000}"/>
    <cellStyle name="Normal 32 3 5" xfId="24054" xr:uid="{00000000-0005-0000-0000-0000C9890000}"/>
    <cellStyle name="Normal 32 3 6" xfId="24055" xr:uid="{00000000-0005-0000-0000-0000CA890000}"/>
    <cellStyle name="Normal 32 4" xfId="4821" xr:uid="{00000000-0005-0000-0000-0000CB890000}"/>
    <cellStyle name="Normal 32 4 2" xfId="10149" xr:uid="{00000000-0005-0000-0000-0000CC890000}"/>
    <cellStyle name="Normal 32 4 2 2" xfId="13770" xr:uid="{00000000-0005-0000-0000-0000CD890000}"/>
    <cellStyle name="Normal 32 4 3" xfId="24056" xr:uid="{00000000-0005-0000-0000-0000CE890000}"/>
    <cellStyle name="Normal 32 4 4" xfId="24057" xr:uid="{00000000-0005-0000-0000-0000CF890000}"/>
    <cellStyle name="Normal 32 4 5" xfId="24058" xr:uid="{00000000-0005-0000-0000-0000D0890000}"/>
    <cellStyle name="Normal 32 4 6" xfId="24059" xr:uid="{00000000-0005-0000-0000-0000D1890000}"/>
    <cellStyle name="Normal 32 4 7" xfId="35796" xr:uid="{00000000-0005-0000-0000-0000D2890000}"/>
    <cellStyle name="Normal 32 4 8" xfId="8515" xr:uid="{00000000-0005-0000-0000-0000D3890000}"/>
    <cellStyle name="Normal 32 5" xfId="10144" xr:uid="{00000000-0005-0000-0000-0000D4890000}"/>
    <cellStyle name="Normal 32 5 2" xfId="13765" xr:uid="{00000000-0005-0000-0000-0000D5890000}"/>
    <cellStyle name="Normal 32 5 3" xfId="37858" xr:uid="{00000000-0005-0000-0000-0000D6890000}"/>
    <cellStyle name="Normal 32 6" xfId="24060" xr:uid="{00000000-0005-0000-0000-0000D7890000}"/>
    <cellStyle name="Normal 32 7" xfId="24061" xr:uid="{00000000-0005-0000-0000-0000D8890000}"/>
    <cellStyle name="Normal 32 8" xfId="24062" xr:uid="{00000000-0005-0000-0000-0000D9890000}"/>
    <cellStyle name="Normal 32 9" xfId="24063" xr:uid="{00000000-0005-0000-0000-0000DA890000}"/>
    <cellStyle name="Normal 33" xfId="1607" xr:uid="{00000000-0005-0000-0000-0000DB890000}"/>
    <cellStyle name="Normal 33 10" xfId="24064" xr:uid="{00000000-0005-0000-0000-0000DC890000}"/>
    <cellStyle name="Normal 33 2" xfId="3770" xr:uid="{00000000-0005-0000-0000-0000DD890000}"/>
    <cellStyle name="Normal 33 2 2" xfId="10151" xr:uid="{00000000-0005-0000-0000-0000DE890000}"/>
    <cellStyle name="Normal 33 2 2 2" xfId="13772" xr:uid="{00000000-0005-0000-0000-0000DF890000}"/>
    <cellStyle name="Normal 33 2 3" xfId="24065" xr:uid="{00000000-0005-0000-0000-0000E0890000}"/>
    <cellStyle name="Normal 33 2 4" xfId="24066" xr:uid="{00000000-0005-0000-0000-0000E1890000}"/>
    <cellStyle name="Normal 33 2 5" xfId="24067" xr:uid="{00000000-0005-0000-0000-0000E2890000}"/>
    <cellStyle name="Normal 33 2 6" xfId="24068" xr:uid="{00000000-0005-0000-0000-0000E3890000}"/>
    <cellStyle name="Normal 33 3" xfId="3769" xr:uid="{00000000-0005-0000-0000-0000E4890000}"/>
    <cellStyle name="Normal 33 3 2" xfId="10152" xr:uid="{00000000-0005-0000-0000-0000E5890000}"/>
    <cellStyle name="Normal 33 3 2 2" xfId="13773" xr:uid="{00000000-0005-0000-0000-0000E6890000}"/>
    <cellStyle name="Normal 33 3 3" xfId="24069" xr:uid="{00000000-0005-0000-0000-0000E7890000}"/>
    <cellStyle name="Normal 33 3 4" xfId="24070" xr:uid="{00000000-0005-0000-0000-0000E8890000}"/>
    <cellStyle name="Normal 33 3 5" xfId="24071" xr:uid="{00000000-0005-0000-0000-0000E9890000}"/>
    <cellStyle name="Normal 33 3 6" xfId="24072" xr:uid="{00000000-0005-0000-0000-0000EA890000}"/>
    <cellStyle name="Normal 33 3 7" xfId="35440" xr:uid="{00000000-0005-0000-0000-0000EB890000}"/>
    <cellStyle name="Normal 33 3 8" xfId="8516" xr:uid="{00000000-0005-0000-0000-0000EC890000}"/>
    <cellStyle name="Normal 33 4" xfId="4822" xr:uid="{00000000-0005-0000-0000-0000ED890000}"/>
    <cellStyle name="Normal 33 4 2" xfId="10153" xr:uid="{00000000-0005-0000-0000-0000EE890000}"/>
    <cellStyle name="Normal 33 4 2 2" xfId="13774" xr:uid="{00000000-0005-0000-0000-0000EF890000}"/>
    <cellStyle name="Normal 33 4 3" xfId="24073" xr:uid="{00000000-0005-0000-0000-0000F0890000}"/>
    <cellStyle name="Normal 33 4 4" xfId="24074" xr:uid="{00000000-0005-0000-0000-0000F1890000}"/>
    <cellStyle name="Normal 33 4 5" xfId="24075" xr:uid="{00000000-0005-0000-0000-0000F2890000}"/>
    <cellStyle name="Normal 33 4 6" xfId="24076" xr:uid="{00000000-0005-0000-0000-0000F3890000}"/>
    <cellStyle name="Normal 33 5" xfId="10150" xr:uid="{00000000-0005-0000-0000-0000F4890000}"/>
    <cellStyle name="Normal 33 5 2" xfId="13771" xr:uid="{00000000-0005-0000-0000-0000F5890000}"/>
    <cellStyle name="Normal 33 5 3" xfId="37859" xr:uid="{00000000-0005-0000-0000-0000F6890000}"/>
    <cellStyle name="Normal 33 6" xfId="24077" xr:uid="{00000000-0005-0000-0000-0000F7890000}"/>
    <cellStyle name="Normal 33 7" xfId="24078" xr:uid="{00000000-0005-0000-0000-0000F8890000}"/>
    <cellStyle name="Normal 33 8" xfId="24079" xr:uid="{00000000-0005-0000-0000-0000F9890000}"/>
    <cellStyle name="Normal 33 9" xfId="24080" xr:uid="{00000000-0005-0000-0000-0000FA890000}"/>
    <cellStyle name="Normal 34" xfId="1608" xr:uid="{00000000-0005-0000-0000-0000FB890000}"/>
    <cellStyle name="Normal 34 10" xfId="24081" xr:uid="{00000000-0005-0000-0000-0000FC890000}"/>
    <cellStyle name="Normal 34 2" xfId="3772" xr:uid="{00000000-0005-0000-0000-0000FD890000}"/>
    <cellStyle name="Normal 34 2 2" xfId="10155" xr:uid="{00000000-0005-0000-0000-0000FE890000}"/>
    <cellStyle name="Normal 34 2 2 2" xfId="13776" xr:uid="{00000000-0005-0000-0000-0000FF890000}"/>
    <cellStyle name="Normal 34 2 3" xfId="24082" xr:uid="{00000000-0005-0000-0000-0000008A0000}"/>
    <cellStyle name="Normal 34 2 4" xfId="24083" xr:uid="{00000000-0005-0000-0000-0000018A0000}"/>
    <cellStyle name="Normal 34 2 5" xfId="24084" xr:uid="{00000000-0005-0000-0000-0000028A0000}"/>
    <cellStyle name="Normal 34 2 6" xfId="24085" xr:uid="{00000000-0005-0000-0000-0000038A0000}"/>
    <cellStyle name="Normal 34 3" xfId="3771" xr:uid="{00000000-0005-0000-0000-0000048A0000}"/>
    <cellStyle name="Normal 34 3 2" xfId="10156" xr:uid="{00000000-0005-0000-0000-0000058A0000}"/>
    <cellStyle name="Normal 34 3 2 2" xfId="13777" xr:uid="{00000000-0005-0000-0000-0000068A0000}"/>
    <cellStyle name="Normal 34 3 3" xfId="24086" xr:uid="{00000000-0005-0000-0000-0000078A0000}"/>
    <cellStyle name="Normal 34 3 4" xfId="24087" xr:uid="{00000000-0005-0000-0000-0000088A0000}"/>
    <cellStyle name="Normal 34 3 5" xfId="24088" xr:uid="{00000000-0005-0000-0000-0000098A0000}"/>
    <cellStyle name="Normal 34 3 6" xfId="24089" xr:uid="{00000000-0005-0000-0000-00000A8A0000}"/>
    <cellStyle name="Normal 34 3 7" xfId="35441" xr:uid="{00000000-0005-0000-0000-00000B8A0000}"/>
    <cellStyle name="Normal 34 3 8" xfId="8517" xr:uid="{00000000-0005-0000-0000-00000C8A0000}"/>
    <cellStyle name="Normal 34 4" xfId="4823" xr:uid="{00000000-0005-0000-0000-00000D8A0000}"/>
    <cellStyle name="Normal 34 4 2" xfId="10157" xr:uid="{00000000-0005-0000-0000-00000E8A0000}"/>
    <cellStyle name="Normal 34 4 2 2" xfId="13778" xr:uid="{00000000-0005-0000-0000-00000F8A0000}"/>
    <cellStyle name="Normal 34 4 3" xfId="24090" xr:uid="{00000000-0005-0000-0000-0000108A0000}"/>
    <cellStyle name="Normal 34 4 4" xfId="24091" xr:uid="{00000000-0005-0000-0000-0000118A0000}"/>
    <cellStyle name="Normal 34 4 5" xfId="24092" xr:uid="{00000000-0005-0000-0000-0000128A0000}"/>
    <cellStyle name="Normal 34 4 6" xfId="24093" xr:uid="{00000000-0005-0000-0000-0000138A0000}"/>
    <cellStyle name="Normal 34 5" xfId="10154" xr:uid="{00000000-0005-0000-0000-0000148A0000}"/>
    <cellStyle name="Normal 34 5 2" xfId="13775" xr:uid="{00000000-0005-0000-0000-0000158A0000}"/>
    <cellStyle name="Normal 34 5 3" xfId="37860" xr:uid="{00000000-0005-0000-0000-0000168A0000}"/>
    <cellStyle name="Normal 34 6" xfId="24094" xr:uid="{00000000-0005-0000-0000-0000178A0000}"/>
    <cellStyle name="Normal 34 7" xfId="24095" xr:uid="{00000000-0005-0000-0000-0000188A0000}"/>
    <cellStyle name="Normal 34 8" xfId="24096" xr:uid="{00000000-0005-0000-0000-0000198A0000}"/>
    <cellStyle name="Normal 34 9" xfId="24097" xr:uid="{00000000-0005-0000-0000-00001A8A0000}"/>
    <cellStyle name="Normal 35" xfId="1609" xr:uid="{00000000-0005-0000-0000-00001B8A0000}"/>
    <cellStyle name="Normal 35 10" xfId="24098" xr:uid="{00000000-0005-0000-0000-00001C8A0000}"/>
    <cellStyle name="Normal 35 2" xfId="3774" xr:uid="{00000000-0005-0000-0000-00001D8A0000}"/>
    <cellStyle name="Normal 35 2 2" xfId="10159" xr:uid="{00000000-0005-0000-0000-00001E8A0000}"/>
    <cellStyle name="Normal 35 2 2 2" xfId="13780" xr:uid="{00000000-0005-0000-0000-00001F8A0000}"/>
    <cellStyle name="Normal 35 2 3" xfId="24099" xr:uid="{00000000-0005-0000-0000-0000208A0000}"/>
    <cellStyle name="Normal 35 2 4" xfId="24100" xr:uid="{00000000-0005-0000-0000-0000218A0000}"/>
    <cellStyle name="Normal 35 2 5" xfId="24101" xr:uid="{00000000-0005-0000-0000-0000228A0000}"/>
    <cellStyle name="Normal 35 2 6" xfId="24102" xr:uid="{00000000-0005-0000-0000-0000238A0000}"/>
    <cellStyle name="Normal 35 3" xfId="3773" xr:uid="{00000000-0005-0000-0000-0000248A0000}"/>
    <cellStyle name="Normal 35 3 2" xfId="10160" xr:uid="{00000000-0005-0000-0000-0000258A0000}"/>
    <cellStyle name="Normal 35 3 2 2" xfId="13781" xr:uid="{00000000-0005-0000-0000-0000268A0000}"/>
    <cellStyle name="Normal 35 3 3" xfId="24103" xr:uid="{00000000-0005-0000-0000-0000278A0000}"/>
    <cellStyle name="Normal 35 3 4" xfId="24104" xr:uid="{00000000-0005-0000-0000-0000288A0000}"/>
    <cellStyle name="Normal 35 3 5" xfId="24105" xr:uid="{00000000-0005-0000-0000-0000298A0000}"/>
    <cellStyle name="Normal 35 3 6" xfId="24106" xr:uid="{00000000-0005-0000-0000-00002A8A0000}"/>
    <cellStyle name="Normal 35 3 7" xfId="35442" xr:uid="{00000000-0005-0000-0000-00002B8A0000}"/>
    <cellStyle name="Normal 35 3 8" xfId="8518" xr:uid="{00000000-0005-0000-0000-00002C8A0000}"/>
    <cellStyle name="Normal 35 4" xfId="4824" xr:uid="{00000000-0005-0000-0000-00002D8A0000}"/>
    <cellStyle name="Normal 35 4 2" xfId="10161" xr:uid="{00000000-0005-0000-0000-00002E8A0000}"/>
    <cellStyle name="Normal 35 4 2 2" xfId="13782" xr:uid="{00000000-0005-0000-0000-00002F8A0000}"/>
    <cellStyle name="Normal 35 4 3" xfId="24107" xr:uid="{00000000-0005-0000-0000-0000308A0000}"/>
    <cellStyle name="Normal 35 4 4" xfId="24108" xr:uid="{00000000-0005-0000-0000-0000318A0000}"/>
    <cellStyle name="Normal 35 4 5" xfId="24109" xr:uid="{00000000-0005-0000-0000-0000328A0000}"/>
    <cellStyle name="Normal 35 4 6" xfId="24110" xr:uid="{00000000-0005-0000-0000-0000338A0000}"/>
    <cellStyle name="Normal 35 5" xfId="10158" xr:uid="{00000000-0005-0000-0000-0000348A0000}"/>
    <cellStyle name="Normal 35 5 2" xfId="13779" xr:uid="{00000000-0005-0000-0000-0000358A0000}"/>
    <cellStyle name="Normal 35 5 3" xfId="37861" xr:uid="{00000000-0005-0000-0000-0000368A0000}"/>
    <cellStyle name="Normal 35 6" xfId="24111" xr:uid="{00000000-0005-0000-0000-0000378A0000}"/>
    <cellStyle name="Normal 35 7" xfId="24112" xr:uid="{00000000-0005-0000-0000-0000388A0000}"/>
    <cellStyle name="Normal 35 8" xfId="24113" xr:uid="{00000000-0005-0000-0000-0000398A0000}"/>
    <cellStyle name="Normal 35 9" xfId="24114" xr:uid="{00000000-0005-0000-0000-00003A8A0000}"/>
    <cellStyle name="Normal 36" xfId="1610" xr:uid="{00000000-0005-0000-0000-00003B8A0000}"/>
    <cellStyle name="Normal 36 10" xfId="24115" xr:uid="{00000000-0005-0000-0000-00003C8A0000}"/>
    <cellStyle name="Normal 36 2" xfId="3776" xr:uid="{00000000-0005-0000-0000-00003D8A0000}"/>
    <cellStyle name="Normal 36 2 2" xfId="10163" xr:uid="{00000000-0005-0000-0000-00003E8A0000}"/>
    <cellStyle name="Normal 36 2 2 2" xfId="13784" xr:uid="{00000000-0005-0000-0000-00003F8A0000}"/>
    <cellStyle name="Normal 36 2 3" xfId="24116" xr:uid="{00000000-0005-0000-0000-0000408A0000}"/>
    <cellStyle name="Normal 36 2 4" xfId="24117" xr:uid="{00000000-0005-0000-0000-0000418A0000}"/>
    <cellStyle name="Normal 36 2 5" xfId="24118" xr:uid="{00000000-0005-0000-0000-0000428A0000}"/>
    <cellStyle name="Normal 36 2 6" xfId="24119" xr:uid="{00000000-0005-0000-0000-0000438A0000}"/>
    <cellStyle name="Normal 36 3" xfId="3775" xr:uid="{00000000-0005-0000-0000-0000448A0000}"/>
    <cellStyle name="Normal 36 3 2" xfId="10164" xr:uid="{00000000-0005-0000-0000-0000458A0000}"/>
    <cellStyle name="Normal 36 3 2 2" xfId="13785" xr:uid="{00000000-0005-0000-0000-0000468A0000}"/>
    <cellStyle name="Normal 36 3 3" xfId="24120" xr:uid="{00000000-0005-0000-0000-0000478A0000}"/>
    <cellStyle name="Normal 36 3 4" xfId="24121" xr:uid="{00000000-0005-0000-0000-0000488A0000}"/>
    <cellStyle name="Normal 36 3 5" xfId="24122" xr:uid="{00000000-0005-0000-0000-0000498A0000}"/>
    <cellStyle name="Normal 36 3 6" xfId="24123" xr:uid="{00000000-0005-0000-0000-00004A8A0000}"/>
    <cellStyle name="Normal 36 4" xfId="4825" xr:uid="{00000000-0005-0000-0000-00004B8A0000}"/>
    <cellStyle name="Normal 36 4 2" xfId="10165" xr:uid="{00000000-0005-0000-0000-00004C8A0000}"/>
    <cellStyle name="Normal 36 4 2 2" xfId="13786" xr:uid="{00000000-0005-0000-0000-00004D8A0000}"/>
    <cellStyle name="Normal 36 4 3" xfId="24124" xr:uid="{00000000-0005-0000-0000-00004E8A0000}"/>
    <cellStyle name="Normal 36 4 4" xfId="24125" xr:uid="{00000000-0005-0000-0000-00004F8A0000}"/>
    <cellStyle name="Normal 36 4 5" xfId="24126" xr:uid="{00000000-0005-0000-0000-0000508A0000}"/>
    <cellStyle name="Normal 36 4 6" xfId="24127" xr:uid="{00000000-0005-0000-0000-0000518A0000}"/>
    <cellStyle name="Normal 36 4 7" xfId="35797" xr:uid="{00000000-0005-0000-0000-0000528A0000}"/>
    <cellStyle name="Normal 36 4 8" xfId="8519" xr:uid="{00000000-0005-0000-0000-0000538A0000}"/>
    <cellStyle name="Normal 36 5" xfId="10162" xr:uid="{00000000-0005-0000-0000-0000548A0000}"/>
    <cellStyle name="Normal 36 5 2" xfId="13783" xr:uid="{00000000-0005-0000-0000-0000558A0000}"/>
    <cellStyle name="Normal 36 5 3" xfId="37862" xr:uid="{00000000-0005-0000-0000-0000568A0000}"/>
    <cellStyle name="Normal 36 6" xfId="24128" xr:uid="{00000000-0005-0000-0000-0000578A0000}"/>
    <cellStyle name="Normal 36 7" xfId="24129" xr:uid="{00000000-0005-0000-0000-0000588A0000}"/>
    <cellStyle name="Normal 36 8" xfId="24130" xr:uid="{00000000-0005-0000-0000-0000598A0000}"/>
    <cellStyle name="Normal 36 9" xfId="24131" xr:uid="{00000000-0005-0000-0000-00005A8A0000}"/>
    <cellStyle name="Normal 37" xfId="3777" xr:uid="{00000000-0005-0000-0000-00005B8A0000}"/>
    <cellStyle name="Normal 37 2" xfId="6739" xr:uid="{00000000-0005-0000-0000-00005C8A0000}"/>
    <cellStyle name="Normal 37 2 2" xfId="10167" xr:uid="{00000000-0005-0000-0000-00005D8A0000}"/>
    <cellStyle name="Normal 37 2 2 2" xfId="13788" xr:uid="{00000000-0005-0000-0000-00005E8A0000}"/>
    <cellStyle name="Normal 37 2 3" xfId="24132" xr:uid="{00000000-0005-0000-0000-00005F8A0000}"/>
    <cellStyle name="Normal 37 2 4" xfId="24133" xr:uid="{00000000-0005-0000-0000-0000608A0000}"/>
    <cellStyle name="Normal 37 2 5" xfId="24134" xr:uid="{00000000-0005-0000-0000-0000618A0000}"/>
    <cellStyle name="Normal 37 2 6" xfId="24135" xr:uid="{00000000-0005-0000-0000-0000628A0000}"/>
    <cellStyle name="Normal 37 3" xfId="8520" xr:uid="{00000000-0005-0000-0000-0000638A0000}"/>
    <cellStyle name="Normal 37 3 2" xfId="10168" xr:uid="{00000000-0005-0000-0000-0000648A0000}"/>
    <cellStyle name="Normal 37 3 2 2" xfId="13789" xr:uid="{00000000-0005-0000-0000-0000658A0000}"/>
    <cellStyle name="Normal 37 3 3" xfId="24136" xr:uid="{00000000-0005-0000-0000-0000668A0000}"/>
    <cellStyle name="Normal 37 3 4" xfId="24137" xr:uid="{00000000-0005-0000-0000-0000678A0000}"/>
    <cellStyle name="Normal 37 3 5" xfId="24138" xr:uid="{00000000-0005-0000-0000-0000688A0000}"/>
    <cellStyle name="Normal 37 3 6" xfId="24139" xr:uid="{00000000-0005-0000-0000-0000698A0000}"/>
    <cellStyle name="Normal 37 4" xfId="8301" xr:uid="{00000000-0005-0000-0000-00006A8A0000}"/>
    <cellStyle name="Normal 37 4 2" xfId="10169" xr:uid="{00000000-0005-0000-0000-00006B8A0000}"/>
    <cellStyle name="Normal 37 4 2 2" xfId="13790" xr:uid="{00000000-0005-0000-0000-00006C8A0000}"/>
    <cellStyle name="Normal 37 4 3" xfId="12482" xr:uid="{00000000-0005-0000-0000-00006D8A0000}"/>
    <cellStyle name="Normal 37 4 3 2" xfId="24140" xr:uid="{00000000-0005-0000-0000-00006E8A0000}"/>
    <cellStyle name="Normal 37 4 4" xfId="24141" xr:uid="{00000000-0005-0000-0000-00006F8A0000}"/>
    <cellStyle name="Normal 37 4 5" xfId="24142" xr:uid="{00000000-0005-0000-0000-0000708A0000}"/>
    <cellStyle name="Normal 37 4 6" xfId="24143" xr:uid="{00000000-0005-0000-0000-0000718A0000}"/>
    <cellStyle name="Normal 37 4 7" xfId="24144" xr:uid="{00000000-0005-0000-0000-0000728A0000}"/>
    <cellStyle name="Normal 37 5" xfId="10166" xr:uid="{00000000-0005-0000-0000-0000738A0000}"/>
    <cellStyle name="Normal 37 5 2" xfId="13787" xr:uid="{00000000-0005-0000-0000-0000748A0000}"/>
    <cellStyle name="Normal 37 6" xfId="24145" xr:uid="{00000000-0005-0000-0000-0000758A0000}"/>
    <cellStyle name="Normal 37 7" xfId="24146" xr:uid="{00000000-0005-0000-0000-0000768A0000}"/>
    <cellStyle name="Normal 37 8" xfId="24147" xr:uid="{00000000-0005-0000-0000-0000778A0000}"/>
    <cellStyle name="Normal 37 9" xfId="24148" xr:uid="{00000000-0005-0000-0000-0000788A0000}"/>
    <cellStyle name="Normal 38" xfId="3778" xr:uid="{00000000-0005-0000-0000-0000798A0000}"/>
    <cellStyle name="Normal 38 2" xfId="6740" xr:uid="{00000000-0005-0000-0000-00007A8A0000}"/>
    <cellStyle name="Normal 38 2 2" xfId="10171" xr:uid="{00000000-0005-0000-0000-00007B8A0000}"/>
    <cellStyle name="Normal 38 2 2 2" xfId="13792" xr:uid="{00000000-0005-0000-0000-00007C8A0000}"/>
    <cellStyle name="Normal 38 2 3" xfId="24149" xr:uid="{00000000-0005-0000-0000-00007D8A0000}"/>
    <cellStyle name="Normal 38 2 4" xfId="24150" xr:uid="{00000000-0005-0000-0000-00007E8A0000}"/>
    <cellStyle name="Normal 38 2 5" xfId="24151" xr:uid="{00000000-0005-0000-0000-00007F8A0000}"/>
    <cellStyle name="Normal 38 2 6" xfId="24152" xr:uid="{00000000-0005-0000-0000-0000808A0000}"/>
    <cellStyle name="Normal 38 3" xfId="7629" xr:uid="{00000000-0005-0000-0000-0000818A0000}"/>
    <cellStyle name="Normal 38 3 2" xfId="10172" xr:uid="{00000000-0005-0000-0000-0000828A0000}"/>
    <cellStyle name="Normal 38 3 2 2" xfId="13793" xr:uid="{00000000-0005-0000-0000-0000838A0000}"/>
    <cellStyle name="Normal 38 3 3" xfId="24153" xr:uid="{00000000-0005-0000-0000-0000848A0000}"/>
    <cellStyle name="Normal 38 3 4" xfId="24154" xr:uid="{00000000-0005-0000-0000-0000858A0000}"/>
    <cellStyle name="Normal 38 3 5" xfId="24155" xr:uid="{00000000-0005-0000-0000-0000868A0000}"/>
    <cellStyle name="Normal 38 3 6" xfId="24156" xr:uid="{00000000-0005-0000-0000-0000878A0000}"/>
    <cellStyle name="Normal 38 4" xfId="10170" xr:uid="{00000000-0005-0000-0000-0000888A0000}"/>
    <cellStyle name="Normal 38 4 2" xfId="13791" xr:uid="{00000000-0005-0000-0000-0000898A0000}"/>
    <cellStyle name="Normal 38 5" xfId="24157" xr:uid="{00000000-0005-0000-0000-00008A8A0000}"/>
    <cellStyle name="Normal 38 6" xfId="24158" xr:uid="{00000000-0005-0000-0000-00008B8A0000}"/>
    <cellStyle name="Normal 38 7" xfId="24159" xr:uid="{00000000-0005-0000-0000-00008C8A0000}"/>
    <cellStyle name="Normal 38 8" xfId="24160" xr:uid="{00000000-0005-0000-0000-00008D8A0000}"/>
    <cellStyle name="Normal 39" xfId="3779" xr:uid="{00000000-0005-0000-0000-00008E8A0000}"/>
    <cellStyle name="Normal 39 2" xfId="6741" xr:uid="{00000000-0005-0000-0000-00008F8A0000}"/>
    <cellStyle name="Normal 39 2 2" xfId="10174" xr:uid="{00000000-0005-0000-0000-0000908A0000}"/>
    <cellStyle name="Normal 39 2 2 2" xfId="13795" xr:uid="{00000000-0005-0000-0000-0000918A0000}"/>
    <cellStyle name="Normal 39 2 3" xfId="24161" xr:uid="{00000000-0005-0000-0000-0000928A0000}"/>
    <cellStyle name="Normal 39 2 4" xfId="24162" xr:uid="{00000000-0005-0000-0000-0000938A0000}"/>
    <cellStyle name="Normal 39 2 5" xfId="24163" xr:uid="{00000000-0005-0000-0000-0000948A0000}"/>
    <cellStyle name="Normal 39 2 6" xfId="24164" xr:uid="{00000000-0005-0000-0000-0000958A0000}"/>
    <cellStyle name="Normal 39 3" xfId="7630" xr:uid="{00000000-0005-0000-0000-0000968A0000}"/>
    <cellStyle name="Normal 39 3 2" xfId="10175" xr:uid="{00000000-0005-0000-0000-0000978A0000}"/>
    <cellStyle name="Normal 39 3 2 2" xfId="13796" xr:uid="{00000000-0005-0000-0000-0000988A0000}"/>
    <cellStyle name="Normal 39 3 3" xfId="24165" xr:uid="{00000000-0005-0000-0000-0000998A0000}"/>
    <cellStyle name="Normal 39 3 4" xfId="24166" xr:uid="{00000000-0005-0000-0000-00009A8A0000}"/>
    <cellStyle name="Normal 39 3 5" xfId="24167" xr:uid="{00000000-0005-0000-0000-00009B8A0000}"/>
    <cellStyle name="Normal 39 3 6" xfId="24168" xr:uid="{00000000-0005-0000-0000-00009C8A0000}"/>
    <cellStyle name="Normal 39 4" xfId="10173" xr:uid="{00000000-0005-0000-0000-00009D8A0000}"/>
    <cellStyle name="Normal 39 4 2" xfId="13794" xr:uid="{00000000-0005-0000-0000-00009E8A0000}"/>
    <cellStyle name="Normal 39 5" xfId="24169" xr:uid="{00000000-0005-0000-0000-00009F8A0000}"/>
    <cellStyle name="Normal 39 6" xfId="24170" xr:uid="{00000000-0005-0000-0000-0000A08A0000}"/>
    <cellStyle name="Normal 39 7" xfId="24171" xr:uid="{00000000-0005-0000-0000-0000A18A0000}"/>
    <cellStyle name="Normal 39 8" xfId="24172" xr:uid="{00000000-0005-0000-0000-0000A28A0000}"/>
    <cellStyle name="Normal 4" xfId="5" xr:uid="{00000000-0005-0000-0000-0000A38A0000}"/>
    <cellStyle name="Normal 4 10" xfId="5703" xr:uid="{00000000-0005-0000-0000-0000A48A0000}"/>
    <cellStyle name="Normal 4 10 2" xfId="10177" xr:uid="{00000000-0005-0000-0000-0000A58A0000}"/>
    <cellStyle name="Normal 4 10 2 2" xfId="13798" xr:uid="{00000000-0005-0000-0000-0000A68A0000}"/>
    <cellStyle name="Normal 4 10 2 3" xfId="37863" xr:uid="{00000000-0005-0000-0000-0000A78A0000}"/>
    <cellStyle name="Normal 4 10 3" xfId="24173" xr:uid="{00000000-0005-0000-0000-0000A88A0000}"/>
    <cellStyle name="Normal 4 10 4" xfId="24174" xr:uid="{00000000-0005-0000-0000-0000A98A0000}"/>
    <cellStyle name="Normal 4 10 5" xfId="24175" xr:uid="{00000000-0005-0000-0000-0000AA8A0000}"/>
    <cellStyle name="Normal 4 10 6" xfId="24176" xr:uid="{00000000-0005-0000-0000-0000AB8A0000}"/>
    <cellStyle name="Normal 4 11" xfId="5662" xr:uid="{00000000-0005-0000-0000-0000AC8A0000}"/>
    <cellStyle name="Normal 4 11 2" xfId="10178" xr:uid="{00000000-0005-0000-0000-0000AD8A0000}"/>
    <cellStyle name="Normal 4 11 2 2" xfId="13799" xr:uid="{00000000-0005-0000-0000-0000AE8A0000}"/>
    <cellStyle name="Normal 4 11 3" xfId="24177" xr:uid="{00000000-0005-0000-0000-0000AF8A0000}"/>
    <cellStyle name="Normal 4 11 4" xfId="24178" xr:uid="{00000000-0005-0000-0000-0000B08A0000}"/>
    <cellStyle name="Normal 4 11 5" xfId="24179" xr:uid="{00000000-0005-0000-0000-0000B18A0000}"/>
    <cellStyle name="Normal 4 11 6" xfId="24180" xr:uid="{00000000-0005-0000-0000-0000B28A0000}"/>
    <cellStyle name="Normal 4 11 7" xfId="7631" xr:uid="{00000000-0005-0000-0000-0000B38A0000}"/>
    <cellStyle name="Normal 4 12" xfId="7632" xr:uid="{00000000-0005-0000-0000-0000B48A0000}"/>
    <cellStyle name="Normal 4 12 2" xfId="10179" xr:uid="{00000000-0005-0000-0000-0000B58A0000}"/>
    <cellStyle name="Normal 4 12 2 2" xfId="13800" xr:uid="{00000000-0005-0000-0000-0000B68A0000}"/>
    <cellStyle name="Normal 4 12 3" xfId="24181" xr:uid="{00000000-0005-0000-0000-0000B78A0000}"/>
    <cellStyle name="Normal 4 12 4" xfId="24182" xr:uid="{00000000-0005-0000-0000-0000B88A0000}"/>
    <cellStyle name="Normal 4 12 5" xfId="24183" xr:uid="{00000000-0005-0000-0000-0000B98A0000}"/>
    <cellStyle name="Normal 4 12 6" xfId="24184" xr:uid="{00000000-0005-0000-0000-0000BA8A0000}"/>
    <cellStyle name="Normal 4 13" xfId="7633" xr:uid="{00000000-0005-0000-0000-0000BB8A0000}"/>
    <cellStyle name="Normal 4 13 2" xfId="10180" xr:uid="{00000000-0005-0000-0000-0000BC8A0000}"/>
    <cellStyle name="Normal 4 13 2 2" xfId="13801" xr:uid="{00000000-0005-0000-0000-0000BD8A0000}"/>
    <cellStyle name="Normal 4 13 3" xfId="24185" xr:uid="{00000000-0005-0000-0000-0000BE8A0000}"/>
    <cellStyle name="Normal 4 13 4" xfId="24186" xr:uid="{00000000-0005-0000-0000-0000BF8A0000}"/>
    <cellStyle name="Normal 4 13 5" xfId="24187" xr:uid="{00000000-0005-0000-0000-0000C08A0000}"/>
    <cellStyle name="Normal 4 13 6" xfId="24188" xr:uid="{00000000-0005-0000-0000-0000C18A0000}"/>
    <cellStyle name="Normal 4 14" xfId="7634" xr:uid="{00000000-0005-0000-0000-0000C28A0000}"/>
    <cellStyle name="Normal 4 14 2" xfId="10181" xr:uid="{00000000-0005-0000-0000-0000C38A0000}"/>
    <cellStyle name="Normal 4 14 2 2" xfId="13802" xr:uid="{00000000-0005-0000-0000-0000C48A0000}"/>
    <cellStyle name="Normal 4 14 3" xfId="24189" xr:uid="{00000000-0005-0000-0000-0000C58A0000}"/>
    <cellStyle name="Normal 4 14 4" xfId="24190" xr:uid="{00000000-0005-0000-0000-0000C68A0000}"/>
    <cellStyle name="Normal 4 14 5" xfId="24191" xr:uid="{00000000-0005-0000-0000-0000C78A0000}"/>
    <cellStyle name="Normal 4 14 6" xfId="24192" xr:uid="{00000000-0005-0000-0000-0000C88A0000}"/>
    <cellStyle name="Normal 4 15" xfId="7635" xr:uid="{00000000-0005-0000-0000-0000C98A0000}"/>
    <cellStyle name="Normal 4 15 2" xfId="10182" xr:uid="{00000000-0005-0000-0000-0000CA8A0000}"/>
    <cellStyle name="Normal 4 15 2 2" xfId="13803" xr:uid="{00000000-0005-0000-0000-0000CB8A0000}"/>
    <cellStyle name="Normal 4 15 3" xfId="24193" xr:uid="{00000000-0005-0000-0000-0000CC8A0000}"/>
    <cellStyle name="Normal 4 15 4" xfId="24194" xr:uid="{00000000-0005-0000-0000-0000CD8A0000}"/>
    <cellStyle name="Normal 4 15 5" xfId="24195" xr:uid="{00000000-0005-0000-0000-0000CE8A0000}"/>
    <cellStyle name="Normal 4 15 6" xfId="24196" xr:uid="{00000000-0005-0000-0000-0000CF8A0000}"/>
    <cellStyle name="Normal 4 16" xfId="7636" xr:uid="{00000000-0005-0000-0000-0000D08A0000}"/>
    <cellStyle name="Normal 4 16 2" xfId="10183" xr:uid="{00000000-0005-0000-0000-0000D18A0000}"/>
    <cellStyle name="Normal 4 16 2 2" xfId="13804" xr:uid="{00000000-0005-0000-0000-0000D28A0000}"/>
    <cellStyle name="Normal 4 16 3" xfId="24197" xr:uid="{00000000-0005-0000-0000-0000D38A0000}"/>
    <cellStyle name="Normal 4 16 4" xfId="24198" xr:uid="{00000000-0005-0000-0000-0000D48A0000}"/>
    <cellStyle name="Normal 4 16 5" xfId="24199" xr:uid="{00000000-0005-0000-0000-0000D58A0000}"/>
    <cellStyle name="Normal 4 16 6" xfId="24200" xr:uid="{00000000-0005-0000-0000-0000D68A0000}"/>
    <cellStyle name="Normal 4 17" xfId="7637" xr:uid="{00000000-0005-0000-0000-0000D78A0000}"/>
    <cellStyle name="Normal 4 17 2" xfId="10184" xr:uid="{00000000-0005-0000-0000-0000D88A0000}"/>
    <cellStyle name="Normal 4 17 2 2" xfId="13805" xr:uid="{00000000-0005-0000-0000-0000D98A0000}"/>
    <cellStyle name="Normal 4 17 3" xfId="24201" xr:uid="{00000000-0005-0000-0000-0000DA8A0000}"/>
    <cellStyle name="Normal 4 17 4" xfId="24202" xr:uid="{00000000-0005-0000-0000-0000DB8A0000}"/>
    <cellStyle name="Normal 4 17 5" xfId="24203" xr:uid="{00000000-0005-0000-0000-0000DC8A0000}"/>
    <cellStyle name="Normal 4 17 6" xfId="24204" xr:uid="{00000000-0005-0000-0000-0000DD8A0000}"/>
    <cellStyle name="Normal 4 18" xfId="10176" xr:uid="{00000000-0005-0000-0000-0000DE8A0000}"/>
    <cellStyle name="Normal 4 18 2" xfId="13797" xr:uid="{00000000-0005-0000-0000-0000DF8A0000}"/>
    <cellStyle name="Normal 4 19" xfId="24205" xr:uid="{00000000-0005-0000-0000-0000E08A0000}"/>
    <cellStyle name="Normal 4 2" xfId="1612" xr:uid="{00000000-0005-0000-0000-0000E18A0000}"/>
    <cellStyle name="Normal 4 2 2" xfId="3780" xr:uid="{00000000-0005-0000-0000-0000E28A0000}"/>
    <cellStyle name="Normal 4 2 2 10" xfId="24206" xr:uid="{00000000-0005-0000-0000-0000E38A0000}"/>
    <cellStyle name="Normal 4 2 2 2" xfId="6724" xr:uid="{00000000-0005-0000-0000-0000E48A0000}"/>
    <cellStyle name="Normal 4 2 2 2 2" xfId="10187" xr:uid="{00000000-0005-0000-0000-0000E58A0000}"/>
    <cellStyle name="Normal 4 2 2 2 2 2" xfId="13808" xr:uid="{00000000-0005-0000-0000-0000E68A0000}"/>
    <cellStyle name="Normal 4 2 2 2 3" xfId="24207" xr:uid="{00000000-0005-0000-0000-0000E78A0000}"/>
    <cellStyle name="Normal 4 2 2 2 4" xfId="24208" xr:uid="{00000000-0005-0000-0000-0000E88A0000}"/>
    <cellStyle name="Normal 4 2 2 2 5" xfId="24209" xr:uid="{00000000-0005-0000-0000-0000E98A0000}"/>
    <cellStyle name="Normal 4 2 2 2 6" xfId="24210" xr:uid="{00000000-0005-0000-0000-0000EA8A0000}"/>
    <cellStyle name="Normal 4 2 2 3" xfId="8501" xr:uid="{00000000-0005-0000-0000-0000EB8A0000}"/>
    <cellStyle name="Normal 4 2 2 3 2" xfId="10188" xr:uid="{00000000-0005-0000-0000-0000EC8A0000}"/>
    <cellStyle name="Normal 4 2 2 3 2 2" xfId="13809" xr:uid="{00000000-0005-0000-0000-0000ED8A0000}"/>
    <cellStyle name="Normal 4 2 2 3 3" xfId="24211" xr:uid="{00000000-0005-0000-0000-0000EE8A0000}"/>
    <cellStyle name="Normal 4 2 2 3 4" xfId="24212" xr:uid="{00000000-0005-0000-0000-0000EF8A0000}"/>
    <cellStyle name="Normal 4 2 2 3 5" xfId="24213" xr:uid="{00000000-0005-0000-0000-0000F08A0000}"/>
    <cellStyle name="Normal 4 2 2 3 6" xfId="24214" xr:uid="{00000000-0005-0000-0000-0000F18A0000}"/>
    <cellStyle name="Normal 4 2 2 4" xfId="8302" xr:uid="{00000000-0005-0000-0000-0000F28A0000}"/>
    <cellStyle name="Normal 4 2 2 4 2" xfId="10189" xr:uid="{00000000-0005-0000-0000-0000F38A0000}"/>
    <cellStyle name="Normal 4 2 2 4 2 2" xfId="13810" xr:uid="{00000000-0005-0000-0000-0000F48A0000}"/>
    <cellStyle name="Normal 4 2 2 4 3" xfId="12483" xr:uid="{00000000-0005-0000-0000-0000F58A0000}"/>
    <cellStyle name="Normal 4 2 2 5" xfId="10190" xr:uid="{00000000-0005-0000-0000-0000F68A0000}"/>
    <cellStyle name="Normal 4 2 2 5 2" xfId="13811" xr:uid="{00000000-0005-0000-0000-0000F78A0000}"/>
    <cellStyle name="Normal 4 2 2 6" xfId="10186" xr:uid="{00000000-0005-0000-0000-0000F88A0000}"/>
    <cellStyle name="Normal 4 2 2 6 2" xfId="13807" xr:uid="{00000000-0005-0000-0000-0000F98A0000}"/>
    <cellStyle name="Normal 4 2 2 7" xfId="24215" xr:uid="{00000000-0005-0000-0000-0000FA8A0000}"/>
    <cellStyle name="Normal 4 2 2 8" xfId="24216" xr:uid="{00000000-0005-0000-0000-0000FB8A0000}"/>
    <cellStyle name="Normal 4 2 2 9" xfId="24217" xr:uid="{00000000-0005-0000-0000-0000FC8A0000}"/>
    <cellStyle name="Normal 4 2 3" xfId="3781" xr:uid="{00000000-0005-0000-0000-0000FD8A0000}"/>
    <cellStyle name="Normal 4 2 3 2" xfId="6725" xr:uid="{00000000-0005-0000-0000-0000FE8A0000}"/>
    <cellStyle name="Normal 4 2 3 2 2" xfId="10192" xr:uid="{00000000-0005-0000-0000-0000FF8A0000}"/>
    <cellStyle name="Normal 4 2 3 2 2 2" xfId="13813" xr:uid="{00000000-0005-0000-0000-0000008B0000}"/>
    <cellStyle name="Normal 4 2 3 2 3" xfId="24218" xr:uid="{00000000-0005-0000-0000-0000018B0000}"/>
    <cellStyle name="Normal 4 2 3 2 4" xfId="24219" xr:uid="{00000000-0005-0000-0000-0000028B0000}"/>
    <cellStyle name="Normal 4 2 3 2 5" xfId="24220" xr:uid="{00000000-0005-0000-0000-0000038B0000}"/>
    <cellStyle name="Normal 4 2 3 2 6" xfId="24221" xr:uid="{00000000-0005-0000-0000-0000048B0000}"/>
    <cellStyle name="Normal 4 2 3 3" xfId="8502" xr:uid="{00000000-0005-0000-0000-0000058B0000}"/>
    <cellStyle name="Normal 4 2 3 3 2" xfId="10193" xr:uid="{00000000-0005-0000-0000-0000068B0000}"/>
    <cellStyle name="Normal 4 2 3 3 2 2" xfId="13814" xr:uid="{00000000-0005-0000-0000-0000078B0000}"/>
    <cellStyle name="Normal 4 2 3 3 3" xfId="24222" xr:uid="{00000000-0005-0000-0000-0000088B0000}"/>
    <cellStyle name="Normal 4 2 3 3 4" xfId="24223" xr:uid="{00000000-0005-0000-0000-0000098B0000}"/>
    <cellStyle name="Normal 4 2 3 3 5" xfId="24224" xr:uid="{00000000-0005-0000-0000-00000A8B0000}"/>
    <cellStyle name="Normal 4 2 3 3 6" xfId="24225" xr:uid="{00000000-0005-0000-0000-00000B8B0000}"/>
    <cellStyle name="Normal 4 2 3 4" xfId="8303" xr:uid="{00000000-0005-0000-0000-00000C8B0000}"/>
    <cellStyle name="Normal 4 2 3 4 2" xfId="10194" xr:uid="{00000000-0005-0000-0000-00000D8B0000}"/>
    <cellStyle name="Normal 4 2 3 4 2 2" xfId="13815" xr:uid="{00000000-0005-0000-0000-00000E8B0000}"/>
    <cellStyle name="Normal 4 2 3 4 3" xfId="12484" xr:uid="{00000000-0005-0000-0000-00000F8B0000}"/>
    <cellStyle name="Normal 4 2 3 5" xfId="10191" xr:uid="{00000000-0005-0000-0000-0000108B0000}"/>
    <cellStyle name="Normal 4 2 3 5 2" xfId="13812" xr:uid="{00000000-0005-0000-0000-0000118B0000}"/>
    <cellStyle name="Normal 4 2 3 6" xfId="24226" xr:uid="{00000000-0005-0000-0000-0000128B0000}"/>
    <cellStyle name="Normal 4 2 3 7" xfId="24227" xr:uid="{00000000-0005-0000-0000-0000138B0000}"/>
    <cellStyle name="Normal 4 2 3 8" xfId="24228" xr:uid="{00000000-0005-0000-0000-0000148B0000}"/>
    <cellStyle name="Normal 4 2 3 9" xfId="24229" xr:uid="{00000000-0005-0000-0000-0000158B0000}"/>
    <cellStyle name="Normal 4 2 4" xfId="10185" xr:uid="{00000000-0005-0000-0000-0000168B0000}"/>
    <cellStyle name="Normal 4 2 4 2" xfId="13806" xr:uid="{00000000-0005-0000-0000-0000178B0000}"/>
    <cellStyle name="Normal 4 2 5" xfId="24230" xr:uid="{00000000-0005-0000-0000-0000188B0000}"/>
    <cellStyle name="Normal 4 2 6" xfId="24231" xr:uid="{00000000-0005-0000-0000-0000198B0000}"/>
    <cellStyle name="Normal 4 2 7" xfId="24232" xr:uid="{00000000-0005-0000-0000-00001A8B0000}"/>
    <cellStyle name="Normal 4 2 8" xfId="24233" xr:uid="{00000000-0005-0000-0000-00001B8B0000}"/>
    <cellStyle name="Normal 4 2 9" xfId="24234" xr:uid="{00000000-0005-0000-0000-00001C8B0000}"/>
    <cellStyle name="Normal 4 20" xfId="24235" xr:uid="{00000000-0005-0000-0000-00001D8B0000}"/>
    <cellStyle name="Normal 4 21" xfId="24236" xr:uid="{00000000-0005-0000-0000-00001E8B0000}"/>
    <cellStyle name="Normal 4 22" xfId="24237" xr:uid="{00000000-0005-0000-0000-00001F8B0000}"/>
    <cellStyle name="Normal 4 23" xfId="24238" xr:uid="{00000000-0005-0000-0000-0000208B0000}"/>
    <cellStyle name="Normal 4 24" xfId="24239" xr:uid="{00000000-0005-0000-0000-0000218B0000}"/>
    <cellStyle name="Normal 4 25" xfId="1611" xr:uid="{00000000-0005-0000-0000-0000228B0000}"/>
    <cellStyle name="Normal 4 26" xfId="46653" xr:uid="{00000000-0005-0000-0000-0000238B0000}"/>
    <cellStyle name="Normal 4 3" xfId="1613" xr:uid="{00000000-0005-0000-0000-0000248B0000}"/>
    <cellStyle name="Normal 4 3 2" xfId="6726" xr:uid="{00000000-0005-0000-0000-0000258B0000}"/>
    <cellStyle name="Normal 4 3 2 2" xfId="10196" xr:uid="{00000000-0005-0000-0000-0000268B0000}"/>
    <cellStyle name="Normal 4 3 2 2 2" xfId="13817" xr:uid="{00000000-0005-0000-0000-0000278B0000}"/>
    <cellStyle name="Normal 4 3 2 3" xfId="24240" xr:uid="{00000000-0005-0000-0000-0000288B0000}"/>
    <cellStyle name="Normal 4 3 2 4" xfId="24241" xr:uid="{00000000-0005-0000-0000-0000298B0000}"/>
    <cellStyle name="Normal 4 3 2 5" xfId="24242" xr:uid="{00000000-0005-0000-0000-00002A8B0000}"/>
    <cellStyle name="Normal 4 3 2 6" xfId="24243" xr:uid="{00000000-0005-0000-0000-00002B8B0000}"/>
    <cellStyle name="Normal 4 3 3" xfId="8304" xr:uid="{00000000-0005-0000-0000-00002C8B0000}"/>
    <cellStyle name="Normal 4 3 3 2" xfId="10197" xr:uid="{00000000-0005-0000-0000-00002D8B0000}"/>
    <cellStyle name="Normal 4 3 3 2 2" xfId="13818" xr:uid="{00000000-0005-0000-0000-00002E8B0000}"/>
    <cellStyle name="Normal 4 3 3 3" xfId="12485" xr:uid="{00000000-0005-0000-0000-00002F8B0000}"/>
    <cellStyle name="Normal 4 3 4" xfId="10195" xr:uid="{00000000-0005-0000-0000-0000308B0000}"/>
    <cellStyle name="Normal 4 3 4 2" xfId="13816" xr:uid="{00000000-0005-0000-0000-0000318B0000}"/>
    <cellStyle name="Normal 4 3 5" xfId="24244" xr:uid="{00000000-0005-0000-0000-0000328B0000}"/>
    <cellStyle name="Normal 4 3 6" xfId="24245" xr:uid="{00000000-0005-0000-0000-0000338B0000}"/>
    <cellStyle name="Normal 4 3 7" xfId="24246" xr:uid="{00000000-0005-0000-0000-0000348B0000}"/>
    <cellStyle name="Normal 4 3 8" xfId="24247" xr:uid="{00000000-0005-0000-0000-0000358B0000}"/>
    <cellStyle name="Normal 4 3 9" xfId="24248" xr:uid="{00000000-0005-0000-0000-0000368B0000}"/>
    <cellStyle name="Normal 4 4" xfId="1614" xr:uid="{00000000-0005-0000-0000-0000378B0000}"/>
    <cellStyle name="Normal 4 4 2" xfId="6727" xr:uid="{00000000-0005-0000-0000-0000388B0000}"/>
    <cellStyle name="Normal 4 4 2 2" xfId="10199" xr:uid="{00000000-0005-0000-0000-0000398B0000}"/>
    <cellStyle name="Normal 4 4 2 2 2" xfId="13820" xr:uid="{00000000-0005-0000-0000-00003A8B0000}"/>
    <cellStyle name="Normal 4 4 2 3" xfId="24249" xr:uid="{00000000-0005-0000-0000-00003B8B0000}"/>
    <cellStyle name="Normal 4 4 2 4" xfId="24250" xr:uid="{00000000-0005-0000-0000-00003C8B0000}"/>
    <cellStyle name="Normal 4 4 2 5" xfId="24251" xr:uid="{00000000-0005-0000-0000-00003D8B0000}"/>
    <cellStyle name="Normal 4 4 2 6" xfId="24252" xr:uid="{00000000-0005-0000-0000-00003E8B0000}"/>
    <cellStyle name="Normal 4 4 3" xfId="8305" xr:uid="{00000000-0005-0000-0000-00003F8B0000}"/>
    <cellStyle name="Normal 4 4 3 2" xfId="10200" xr:uid="{00000000-0005-0000-0000-0000408B0000}"/>
    <cellStyle name="Normal 4 4 3 2 2" xfId="13821" xr:uid="{00000000-0005-0000-0000-0000418B0000}"/>
    <cellStyle name="Normal 4 4 3 3" xfId="12486" xr:uid="{00000000-0005-0000-0000-0000428B0000}"/>
    <cellStyle name="Normal 4 4 4" xfId="10198" xr:uid="{00000000-0005-0000-0000-0000438B0000}"/>
    <cellStyle name="Normal 4 4 4 2" xfId="13819" xr:uid="{00000000-0005-0000-0000-0000448B0000}"/>
    <cellStyle name="Normal 4 4 5" xfId="24253" xr:uid="{00000000-0005-0000-0000-0000458B0000}"/>
    <cellStyle name="Normal 4 4 6" xfId="24254" xr:uid="{00000000-0005-0000-0000-0000468B0000}"/>
    <cellStyle name="Normal 4 4 7" xfId="24255" xr:uid="{00000000-0005-0000-0000-0000478B0000}"/>
    <cellStyle name="Normal 4 4 8" xfId="24256" xr:uid="{00000000-0005-0000-0000-0000488B0000}"/>
    <cellStyle name="Normal 4 4 9" xfId="24257" xr:uid="{00000000-0005-0000-0000-0000498B0000}"/>
    <cellStyle name="Normal 4 5" xfId="1615" xr:uid="{00000000-0005-0000-0000-00004A8B0000}"/>
    <cellStyle name="Normal 4 5 2" xfId="6728" xr:uid="{00000000-0005-0000-0000-00004B8B0000}"/>
    <cellStyle name="Normal 4 5 2 2" xfId="10202" xr:uid="{00000000-0005-0000-0000-00004C8B0000}"/>
    <cellStyle name="Normal 4 5 2 2 2" xfId="13823" xr:uid="{00000000-0005-0000-0000-00004D8B0000}"/>
    <cellStyle name="Normal 4 5 2 3" xfId="24258" xr:uid="{00000000-0005-0000-0000-00004E8B0000}"/>
    <cellStyle name="Normal 4 5 2 4" xfId="24259" xr:uid="{00000000-0005-0000-0000-00004F8B0000}"/>
    <cellStyle name="Normal 4 5 2 5" xfId="24260" xr:uid="{00000000-0005-0000-0000-0000508B0000}"/>
    <cellStyle name="Normal 4 5 2 6" xfId="24261" xr:uid="{00000000-0005-0000-0000-0000518B0000}"/>
    <cellStyle name="Normal 4 5 3" xfId="8306" xr:uid="{00000000-0005-0000-0000-0000528B0000}"/>
    <cellStyle name="Normal 4 5 3 2" xfId="10203" xr:uid="{00000000-0005-0000-0000-0000538B0000}"/>
    <cellStyle name="Normal 4 5 3 2 2" xfId="13824" xr:uid="{00000000-0005-0000-0000-0000548B0000}"/>
    <cellStyle name="Normal 4 5 3 3" xfId="12487" xr:uid="{00000000-0005-0000-0000-0000558B0000}"/>
    <cellStyle name="Normal 4 5 4" xfId="10201" xr:uid="{00000000-0005-0000-0000-0000568B0000}"/>
    <cellStyle name="Normal 4 5 4 2" xfId="13822" xr:uid="{00000000-0005-0000-0000-0000578B0000}"/>
    <cellStyle name="Normal 4 5 5" xfId="24262" xr:uid="{00000000-0005-0000-0000-0000588B0000}"/>
    <cellStyle name="Normal 4 5 6" xfId="24263" xr:uid="{00000000-0005-0000-0000-0000598B0000}"/>
    <cellStyle name="Normal 4 5 7" xfId="24264" xr:uid="{00000000-0005-0000-0000-00005A8B0000}"/>
    <cellStyle name="Normal 4 5 8" xfId="24265" xr:uid="{00000000-0005-0000-0000-00005B8B0000}"/>
    <cellStyle name="Normal 4 5 9" xfId="24266" xr:uid="{00000000-0005-0000-0000-00005C8B0000}"/>
    <cellStyle name="Normal 4 6" xfId="1616" xr:uid="{00000000-0005-0000-0000-00005D8B0000}"/>
    <cellStyle name="Normal 4 6 2" xfId="6729" xr:uid="{00000000-0005-0000-0000-00005E8B0000}"/>
    <cellStyle name="Normal 4 6 2 2" xfId="10205" xr:uid="{00000000-0005-0000-0000-00005F8B0000}"/>
    <cellStyle name="Normal 4 6 2 2 2" xfId="13826" xr:uid="{00000000-0005-0000-0000-0000608B0000}"/>
    <cellStyle name="Normal 4 6 2 3" xfId="24267" xr:uid="{00000000-0005-0000-0000-0000618B0000}"/>
    <cellStyle name="Normal 4 6 2 4" xfId="24268" xr:uid="{00000000-0005-0000-0000-0000628B0000}"/>
    <cellStyle name="Normal 4 6 2 5" xfId="24269" xr:uid="{00000000-0005-0000-0000-0000638B0000}"/>
    <cellStyle name="Normal 4 6 2 6" xfId="24270" xr:uid="{00000000-0005-0000-0000-0000648B0000}"/>
    <cellStyle name="Normal 4 6 3" xfId="8307" xr:uid="{00000000-0005-0000-0000-0000658B0000}"/>
    <cellStyle name="Normal 4 6 3 2" xfId="10206" xr:uid="{00000000-0005-0000-0000-0000668B0000}"/>
    <cellStyle name="Normal 4 6 3 2 2" xfId="13827" xr:uid="{00000000-0005-0000-0000-0000678B0000}"/>
    <cellStyle name="Normal 4 6 3 3" xfId="12488" xr:uid="{00000000-0005-0000-0000-0000688B0000}"/>
    <cellStyle name="Normal 4 6 4" xfId="10204" xr:uid="{00000000-0005-0000-0000-0000698B0000}"/>
    <cellStyle name="Normal 4 6 4 2" xfId="13825" xr:uid="{00000000-0005-0000-0000-00006A8B0000}"/>
    <cellStyle name="Normal 4 6 5" xfId="24271" xr:uid="{00000000-0005-0000-0000-00006B8B0000}"/>
    <cellStyle name="Normal 4 6 6" xfId="24272" xr:uid="{00000000-0005-0000-0000-00006C8B0000}"/>
    <cellStyle name="Normal 4 6 7" xfId="24273" xr:uid="{00000000-0005-0000-0000-00006D8B0000}"/>
    <cellStyle name="Normal 4 6 8" xfId="24274" xr:uid="{00000000-0005-0000-0000-00006E8B0000}"/>
    <cellStyle name="Normal 4 6 9" xfId="24275" xr:uid="{00000000-0005-0000-0000-00006F8B0000}"/>
    <cellStyle name="Normal 4 7" xfId="1617" xr:uid="{00000000-0005-0000-0000-0000708B0000}"/>
    <cellStyle name="Normal 4 7 2" xfId="6730" xr:uid="{00000000-0005-0000-0000-0000718B0000}"/>
    <cellStyle name="Normal 4 7 2 2" xfId="10208" xr:uid="{00000000-0005-0000-0000-0000728B0000}"/>
    <cellStyle name="Normal 4 7 2 2 2" xfId="13829" xr:uid="{00000000-0005-0000-0000-0000738B0000}"/>
    <cellStyle name="Normal 4 7 2 3" xfId="24276" xr:uid="{00000000-0005-0000-0000-0000748B0000}"/>
    <cellStyle name="Normal 4 7 2 4" xfId="24277" xr:uid="{00000000-0005-0000-0000-0000758B0000}"/>
    <cellStyle name="Normal 4 7 2 5" xfId="24278" xr:uid="{00000000-0005-0000-0000-0000768B0000}"/>
    <cellStyle name="Normal 4 7 2 6" xfId="24279" xr:uid="{00000000-0005-0000-0000-0000778B0000}"/>
    <cellStyle name="Normal 4 7 3" xfId="8308" xr:uid="{00000000-0005-0000-0000-0000788B0000}"/>
    <cellStyle name="Normal 4 7 3 2" xfId="10209" xr:uid="{00000000-0005-0000-0000-0000798B0000}"/>
    <cellStyle name="Normal 4 7 3 2 2" xfId="13830" xr:uid="{00000000-0005-0000-0000-00007A8B0000}"/>
    <cellStyle name="Normal 4 7 3 3" xfId="12489" xr:uid="{00000000-0005-0000-0000-00007B8B0000}"/>
    <cellStyle name="Normal 4 7 4" xfId="10207" xr:uid="{00000000-0005-0000-0000-00007C8B0000}"/>
    <cellStyle name="Normal 4 7 4 2" xfId="13828" xr:uid="{00000000-0005-0000-0000-00007D8B0000}"/>
    <cellStyle name="Normal 4 7 5" xfId="24280" xr:uid="{00000000-0005-0000-0000-00007E8B0000}"/>
    <cellStyle name="Normal 4 7 6" xfId="24281" xr:uid="{00000000-0005-0000-0000-00007F8B0000}"/>
    <cellStyle name="Normal 4 7 7" xfId="24282" xr:uid="{00000000-0005-0000-0000-0000808B0000}"/>
    <cellStyle name="Normal 4 7 8" xfId="24283" xr:uid="{00000000-0005-0000-0000-0000818B0000}"/>
    <cellStyle name="Normal 4 7 9" xfId="24284" xr:uid="{00000000-0005-0000-0000-0000828B0000}"/>
    <cellStyle name="Normal 4 8" xfId="1618" xr:uid="{00000000-0005-0000-0000-0000838B0000}"/>
    <cellStyle name="Normal 4 8 10" xfId="24285" xr:uid="{00000000-0005-0000-0000-0000848B0000}"/>
    <cellStyle name="Normal 4 8 2" xfId="3783" xr:uid="{00000000-0005-0000-0000-0000858B0000}"/>
    <cellStyle name="Normal 4 8 2 2" xfId="10211" xr:uid="{00000000-0005-0000-0000-0000868B0000}"/>
    <cellStyle name="Normal 4 8 2 2 2" xfId="13832" xr:uid="{00000000-0005-0000-0000-0000878B0000}"/>
    <cellStyle name="Normal 4 8 2 3" xfId="24286" xr:uid="{00000000-0005-0000-0000-0000888B0000}"/>
    <cellStyle name="Normal 4 8 2 4" xfId="24287" xr:uid="{00000000-0005-0000-0000-0000898B0000}"/>
    <cellStyle name="Normal 4 8 2 5" xfId="24288" xr:uid="{00000000-0005-0000-0000-00008A8B0000}"/>
    <cellStyle name="Normal 4 8 2 6" xfId="24289" xr:uid="{00000000-0005-0000-0000-00008B8B0000}"/>
    <cellStyle name="Normal 4 8 3" xfId="3784" xr:uid="{00000000-0005-0000-0000-00008C8B0000}"/>
    <cellStyle name="Normal 4 8 3 2" xfId="5468" xr:uid="{00000000-0005-0000-0000-00008D8B0000}"/>
    <cellStyle name="Normal 4 8 3 2 2" xfId="6151" xr:uid="{00000000-0005-0000-0000-00008E8B0000}"/>
    <cellStyle name="Normal 4 8 3 2 2 2" xfId="40461" xr:uid="{00000000-0005-0000-0000-00008F8B0000}"/>
    <cellStyle name="Normal 4 8 3 2 2 3" xfId="13833" xr:uid="{00000000-0005-0000-0000-0000908B0000}"/>
    <cellStyle name="Normal 4 8 3 2 3" xfId="6471" xr:uid="{00000000-0005-0000-0000-0000918B0000}"/>
    <cellStyle name="Normal 4 8 3 2 3 2" xfId="40842" xr:uid="{00000000-0005-0000-0000-0000928B0000}"/>
    <cellStyle name="Normal 4 8 3 2 3 3" xfId="39276" xr:uid="{00000000-0005-0000-0000-0000938B0000}"/>
    <cellStyle name="Normal 4 8 3 2 4" xfId="39735" xr:uid="{00000000-0005-0000-0000-0000948B0000}"/>
    <cellStyle name="Normal 4 8 3 2 4 2" xfId="41320" xr:uid="{00000000-0005-0000-0000-0000958B0000}"/>
    <cellStyle name="Normal 4 8 3 2 5" xfId="39990" xr:uid="{00000000-0005-0000-0000-0000968B0000}"/>
    <cellStyle name="Normal 4 8 3 2 6" xfId="10212" xr:uid="{00000000-0005-0000-0000-0000978B0000}"/>
    <cellStyle name="Normal 4 8 3 3" xfId="4523" xr:uid="{00000000-0005-0000-0000-0000988B0000}"/>
    <cellStyle name="Normal 4 8 3 3 2" xfId="5974" xr:uid="{00000000-0005-0000-0000-0000998B0000}"/>
    <cellStyle name="Normal 4 8 3 3 2 2" xfId="41148" xr:uid="{00000000-0005-0000-0000-00009A8B0000}"/>
    <cellStyle name="Normal 4 8 3 3 2 3" xfId="39569" xr:uid="{00000000-0005-0000-0000-00009B8B0000}"/>
    <cellStyle name="Normal 4 8 3 3 3" xfId="40293" xr:uid="{00000000-0005-0000-0000-00009C8B0000}"/>
    <cellStyle name="Normal 4 8 3 3 4" xfId="24290" xr:uid="{00000000-0005-0000-0000-00009D8B0000}"/>
    <cellStyle name="Normal 4 8 3 4" xfId="5836" xr:uid="{00000000-0005-0000-0000-00009E8B0000}"/>
    <cellStyle name="Normal 4 8 3 4 2" xfId="40158" xr:uid="{00000000-0005-0000-0000-00009F8B0000}"/>
    <cellStyle name="Normal 4 8 3 4 3" xfId="24291" xr:uid="{00000000-0005-0000-0000-0000A08B0000}"/>
    <cellStyle name="Normal 4 8 3 5" xfId="6295" xr:uid="{00000000-0005-0000-0000-0000A18B0000}"/>
    <cellStyle name="Normal 4 8 3 5 2" xfId="40704" xr:uid="{00000000-0005-0000-0000-0000A28B0000}"/>
    <cellStyle name="Normal 4 8 3 5 3" xfId="24292" xr:uid="{00000000-0005-0000-0000-0000A38B0000}"/>
    <cellStyle name="Normal 4 8 3 6" xfId="24293" xr:uid="{00000000-0005-0000-0000-0000A48B0000}"/>
    <cellStyle name="Normal 4 8 3 6 2" xfId="41011" xr:uid="{00000000-0005-0000-0000-0000A58B0000}"/>
    <cellStyle name="Normal 4 8 3 7" xfId="39855" xr:uid="{00000000-0005-0000-0000-0000A68B0000}"/>
    <cellStyle name="Normal 4 8 3 8" xfId="8503" xr:uid="{00000000-0005-0000-0000-0000A78B0000}"/>
    <cellStyle name="Normal 4 8 4" xfId="3782" xr:uid="{00000000-0005-0000-0000-0000A88B0000}"/>
    <cellStyle name="Normal 4 8 4 2" xfId="5467" xr:uid="{00000000-0005-0000-0000-0000A98B0000}"/>
    <cellStyle name="Normal 4 8 4 2 2" xfId="6150" xr:uid="{00000000-0005-0000-0000-0000AA8B0000}"/>
    <cellStyle name="Normal 4 8 4 2 2 2" xfId="41319" xr:uid="{00000000-0005-0000-0000-0000AB8B0000}"/>
    <cellStyle name="Normal 4 8 4 2 2 3" xfId="13834" xr:uid="{00000000-0005-0000-0000-0000AC8B0000}"/>
    <cellStyle name="Normal 4 8 4 2 3" xfId="40460" xr:uid="{00000000-0005-0000-0000-0000AD8B0000}"/>
    <cellStyle name="Normal 4 8 4 2 4" xfId="10213" xr:uid="{00000000-0005-0000-0000-0000AE8B0000}"/>
    <cellStyle name="Normal 4 8 4 3" xfId="5835" xr:uid="{00000000-0005-0000-0000-0000AF8B0000}"/>
    <cellStyle name="Normal 4 8 4 3 2" xfId="40157" xr:uid="{00000000-0005-0000-0000-0000B08B0000}"/>
    <cellStyle name="Normal 4 8 4 3 3" xfId="12490" xr:uid="{00000000-0005-0000-0000-0000B18B0000}"/>
    <cellStyle name="Normal 4 8 4 4" xfId="6470" xr:uid="{00000000-0005-0000-0000-0000B28B0000}"/>
    <cellStyle name="Normal 4 8 4 4 2" xfId="40703" xr:uid="{00000000-0005-0000-0000-0000B38B0000}"/>
    <cellStyle name="Normal 4 8 4 4 3" xfId="39133" xr:uid="{00000000-0005-0000-0000-0000B48B0000}"/>
    <cellStyle name="Normal 4 8 4 5" xfId="39437" xr:uid="{00000000-0005-0000-0000-0000B58B0000}"/>
    <cellStyle name="Normal 4 8 4 5 2" xfId="41010" xr:uid="{00000000-0005-0000-0000-0000B68B0000}"/>
    <cellStyle name="Normal 4 8 4 6" xfId="39938" xr:uid="{00000000-0005-0000-0000-0000B78B0000}"/>
    <cellStyle name="Normal 4 8 4 7" xfId="8309" xr:uid="{00000000-0005-0000-0000-0000B88B0000}"/>
    <cellStyle name="Normal 4 8 5" xfId="4826" xr:uid="{00000000-0005-0000-0000-0000B98B0000}"/>
    <cellStyle name="Normal 4 8 5 2" xfId="6018" xr:uid="{00000000-0005-0000-0000-0000BA8B0000}"/>
    <cellStyle name="Normal 4 8 5 2 2" xfId="40572" xr:uid="{00000000-0005-0000-0000-0000BB8B0000}"/>
    <cellStyle name="Normal 4 8 5 2 3" xfId="13831" xr:uid="{00000000-0005-0000-0000-0000BC8B0000}"/>
    <cellStyle name="Normal 4 8 5 3" xfId="6339" xr:uid="{00000000-0005-0000-0000-0000BD8B0000}"/>
    <cellStyle name="Normal 4 8 5 3 2" xfId="41189" xr:uid="{00000000-0005-0000-0000-0000BE8B0000}"/>
    <cellStyle name="Normal 4 8 5 3 3" xfId="39606" xr:uid="{00000000-0005-0000-0000-0000BF8B0000}"/>
    <cellStyle name="Normal 4 8 5 4" xfId="40333" xr:uid="{00000000-0005-0000-0000-0000C08B0000}"/>
    <cellStyle name="Normal 4 8 5 5" xfId="10210" xr:uid="{00000000-0005-0000-0000-0000C18B0000}"/>
    <cellStyle name="Normal 4 8 6" xfId="4522" xr:uid="{00000000-0005-0000-0000-0000C28B0000}"/>
    <cellStyle name="Normal 4 8 6 2" xfId="5973" xr:uid="{00000000-0005-0000-0000-0000C38B0000}"/>
    <cellStyle name="Normal 4 8 6 2 2" xfId="40784" xr:uid="{00000000-0005-0000-0000-0000C48B0000}"/>
    <cellStyle name="Normal 4 8 6 2 3" xfId="15197" xr:uid="{00000000-0005-0000-0000-0000C58B0000}"/>
    <cellStyle name="Normal 4 8 6 3" xfId="39568" xr:uid="{00000000-0005-0000-0000-0000C68B0000}"/>
    <cellStyle name="Normal 4 8 6 3 2" xfId="41147" xr:uid="{00000000-0005-0000-0000-0000C78B0000}"/>
    <cellStyle name="Normal 4 8 6 4" xfId="40292" xr:uid="{00000000-0005-0000-0000-0000C88B0000}"/>
    <cellStyle name="Normal 4 8 6 5" xfId="11573" xr:uid="{00000000-0005-0000-0000-0000C98B0000}"/>
    <cellStyle name="Normal 4 8 7" xfId="5704" xr:uid="{00000000-0005-0000-0000-0000CA8B0000}"/>
    <cellStyle name="Normal 4 8 7 2" xfId="40027" xr:uid="{00000000-0005-0000-0000-0000CB8B0000}"/>
    <cellStyle name="Normal 4 8 7 3" xfId="24294" xr:uid="{00000000-0005-0000-0000-0000CC8B0000}"/>
    <cellStyle name="Normal 4 8 8" xfId="6294" xr:uid="{00000000-0005-0000-0000-0000CD8B0000}"/>
    <cellStyle name="Normal 4 8 8 2" xfId="40540" xr:uid="{00000000-0005-0000-0000-0000CE8B0000}"/>
    <cellStyle name="Normal 4 8 8 3" xfId="24295" xr:uid="{00000000-0005-0000-0000-0000CF8B0000}"/>
    <cellStyle name="Normal 4 8 9" xfId="24296" xr:uid="{00000000-0005-0000-0000-0000D08B0000}"/>
    <cellStyle name="Normal 4 8 9 2" xfId="40879" xr:uid="{00000000-0005-0000-0000-0000D18B0000}"/>
    <cellStyle name="Normal 4 9" xfId="3785" xr:uid="{00000000-0005-0000-0000-0000D28B0000}"/>
    <cellStyle name="Normal 4 9 2" xfId="6731" xr:uid="{00000000-0005-0000-0000-0000D38B0000}"/>
    <cellStyle name="Normal 4 9 2 2" xfId="10215" xr:uid="{00000000-0005-0000-0000-0000D48B0000}"/>
    <cellStyle name="Normal 4 9 2 2 2" xfId="13836" xr:uid="{00000000-0005-0000-0000-0000D58B0000}"/>
    <cellStyle name="Normal 4 9 2 3" xfId="24297" xr:uid="{00000000-0005-0000-0000-0000D68B0000}"/>
    <cellStyle name="Normal 4 9 2 4" xfId="24298" xr:uid="{00000000-0005-0000-0000-0000D78B0000}"/>
    <cellStyle name="Normal 4 9 2 5" xfId="24299" xr:uid="{00000000-0005-0000-0000-0000D88B0000}"/>
    <cellStyle name="Normal 4 9 2 6" xfId="24300" xr:uid="{00000000-0005-0000-0000-0000D98B0000}"/>
    <cellStyle name="Normal 4 9 3" xfId="8504" xr:uid="{00000000-0005-0000-0000-0000DA8B0000}"/>
    <cellStyle name="Normal 4 9 3 2" xfId="10216" xr:uid="{00000000-0005-0000-0000-0000DB8B0000}"/>
    <cellStyle name="Normal 4 9 3 2 2" xfId="13837" xr:uid="{00000000-0005-0000-0000-0000DC8B0000}"/>
    <cellStyle name="Normal 4 9 3 3" xfId="24301" xr:uid="{00000000-0005-0000-0000-0000DD8B0000}"/>
    <cellStyle name="Normal 4 9 3 4" xfId="24302" xr:uid="{00000000-0005-0000-0000-0000DE8B0000}"/>
    <cellStyle name="Normal 4 9 3 5" xfId="24303" xr:uid="{00000000-0005-0000-0000-0000DF8B0000}"/>
    <cellStyle name="Normal 4 9 3 6" xfId="24304" xr:uid="{00000000-0005-0000-0000-0000E08B0000}"/>
    <cellStyle name="Normal 4 9 4" xfId="8310" xr:uid="{00000000-0005-0000-0000-0000E18B0000}"/>
    <cellStyle name="Normal 4 9 4 2" xfId="10217" xr:uid="{00000000-0005-0000-0000-0000E28B0000}"/>
    <cellStyle name="Normal 4 9 4 2 2" xfId="13838" xr:uid="{00000000-0005-0000-0000-0000E38B0000}"/>
    <cellStyle name="Normal 4 9 4 3" xfId="12491" xr:uid="{00000000-0005-0000-0000-0000E48B0000}"/>
    <cellStyle name="Normal 4 9 5" xfId="10214" xr:uid="{00000000-0005-0000-0000-0000E58B0000}"/>
    <cellStyle name="Normal 4 9 5 2" xfId="13835" xr:uid="{00000000-0005-0000-0000-0000E68B0000}"/>
    <cellStyle name="Normal 4 9 6" xfId="24305" xr:uid="{00000000-0005-0000-0000-0000E78B0000}"/>
    <cellStyle name="Normal 4 9 7" xfId="24306" xr:uid="{00000000-0005-0000-0000-0000E88B0000}"/>
    <cellStyle name="Normal 4 9 8" xfId="24307" xr:uid="{00000000-0005-0000-0000-0000E98B0000}"/>
    <cellStyle name="Normal 4 9 9" xfId="24308" xr:uid="{00000000-0005-0000-0000-0000EA8B0000}"/>
    <cellStyle name="Normal 40" xfId="3786" xr:uid="{00000000-0005-0000-0000-0000EB8B0000}"/>
    <cellStyle name="Normal 40 2" xfId="6742" xr:uid="{00000000-0005-0000-0000-0000EC8B0000}"/>
    <cellStyle name="Normal 40 2 2" xfId="10219" xr:uid="{00000000-0005-0000-0000-0000ED8B0000}"/>
    <cellStyle name="Normal 40 2 2 2" xfId="13840" xr:uid="{00000000-0005-0000-0000-0000EE8B0000}"/>
    <cellStyle name="Normal 40 2 3" xfId="24309" xr:uid="{00000000-0005-0000-0000-0000EF8B0000}"/>
    <cellStyle name="Normal 40 2 4" xfId="24310" xr:uid="{00000000-0005-0000-0000-0000F08B0000}"/>
    <cellStyle name="Normal 40 2 5" xfId="24311" xr:uid="{00000000-0005-0000-0000-0000F18B0000}"/>
    <cellStyle name="Normal 40 2 6" xfId="24312" xr:uid="{00000000-0005-0000-0000-0000F28B0000}"/>
    <cellStyle name="Normal 40 3" xfId="10218" xr:uid="{00000000-0005-0000-0000-0000F38B0000}"/>
    <cellStyle name="Normal 40 3 2" xfId="13839" xr:uid="{00000000-0005-0000-0000-0000F48B0000}"/>
    <cellStyle name="Normal 40 4" xfId="24313" xr:uid="{00000000-0005-0000-0000-0000F58B0000}"/>
    <cellStyle name="Normal 40 5" xfId="24314" xr:uid="{00000000-0005-0000-0000-0000F68B0000}"/>
    <cellStyle name="Normal 40 6" xfId="24315" xr:uid="{00000000-0005-0000-0000-0000F78B0000}"/>
    <cellStyle name="Normal 40 7" xfId="24316" xr:uid="{00000000-0005-0000-0000-0000F88B0000}"/>
    <cellStyle name="Normal 41" xfId="3787" xr:uid="{00000000-0005-0000-0000-0000F98B0000}"/>
    <cellStyle name="Normal 41 2" xfId="6743" xr:uid="{00000000-0005-0000-0000-0000FA8B0000}"/>
    <cellStyle name="Normal 41 2 2" xfId="10221" xr:uid="{00000000-0005-0000-0000-0000FB8B0000}"/>
    <cellStyle name="Normal 41 2 2 2" xfId="13842" xr:uid="{00000000-0005-0000-0000-0000FC8B0000}"/>
    <cellStyle name="Normal 41 2 3" xfId="24317" xr:uid="{00000000-0005-0000-0000-0000FD8B0000}"/>
    <cellStyle name="Normal 41 2 4" xfId="24318" xr:uid="{00000000-0005-0000-0000-0000FE8B0000}"/>
    <cellStyle name="Normal 41 2 5" xfId="24319" xr:uid="{00000000-0005-0000-0000-0000FF8B0000}"/>
    <cellStyle name="Normal 41 2 6" xfId="24320" xr:uid="{00000000-0005-0000-0000-0000008C0000}"/>
    <cellStyle name="Normal 41 3" xfId="7638" xr:uid="{00000000-0005-0000-0000-0000018C0000}"/>
    <cellStyle name="Normal 41 3 2" xfId="10222" xr:uid="{00000000-0005-0000-0000-0000028C0000}"/>
    <cellStyle name="Normal 41 3 2 2" xfId="13843" xr:uid="{00000000-0005-0000-0000-0000038C0000}"/>
    <cellStyle name="Normal 41 3 3" xfId="24321" xr:uid="{00000000-0005-0000-0000-0000048C0000}"/>
    <cellStyle name="Normal 41 3 4" xfId="24322" xr:uid="{00000000-0005-0000-0000-0000058C0000}"/>
    <cellStyle name="Normal 41 3 5" xfId="24323" xr:uid="{00000000-0005-0000-0000-0000068C0000}"/>
    <cellStyle name="Normal 41 3 6" xfId="24324" xr:uid="{00000000-0005-0000-0000-0000078C0000}"/>
    <cellStyle name="Normal 41 4" xfId="10220" xr:uid="{00000000-0005-0000-0000-0000088C0000}"/>
    <cellStyle name="Normal 41 4 2" xfId="13841" xr:uid="{00000000-0005-0000-0000-0000098C0000}"/>
    <cellStyle name="Normal 41 5" xfId="24325" xr:uid="{00000000-0005-0000-0000-00000A8C0000}"/>
    <cellStyle name="Normal 41 6" xfId="24326" xr:uid="{00000000-0005-0000-0000-00000B8C0000}"/>
    <cellStyle name="Normal 41 7" xfId="24327" xr:uid="{00000000-0005-0000-0000-00000C8C0000}"/>
    <cellStyle name="Normal 41 8" xfId="24328" xr:uid="{00000000-0005-0000-0000-00000D8C0000}"/>
    <cellStyle name="Normal 42" xfId="4533" xr:uid="{00000000-0005-0000-0000-00000E8C0000}"/>
    <cellStyle name="Normal 42 2" xfId="8048" xr:uid="{00000000-0005-0000-0000-00000F8C0000}"/>
    <cellStyle name="Normal 42 2 2" xfId="10224" xr:uid="{00000000-0005-0000-0000-0000108C0000}"/>
    <cellStyle name="Normal 42 2 2 2" xfId="13845" xr:uid="{00000000-0005-0000-0000-0000118C0000}"/>
    <cellStyle name="Normal 42 2 3" xfId="12393" xr:uid="{00000000-0005-0000-0000-0000128C0000}"/>
    <cellStyle name="Normal 42 2 3 2" xfId="24329" xr:uid="{00000000-0005-0000-0000-0000138C0000}"/>
    <cellStyle name="Normal 42 2 4" xfId="24330" xr:uid="{00000000-0005-0000-0000-0000148C0000}"/>
    <cellStyle name="Normal 42 2 5" xfId="24331" xr:uid="{00000000-0005-0000-0000-0000158C0000}"/>
    <cellStyle name="Normal 42 2 6" xfId="24332" xr:uid="{00000000-0005-0000-0000-0000168C0000}"/>
    <cellStyle name="Normal 42 2 7" xfId="24333" xr:uid="{00000000-0005-0000-0000-0000178C0000}"/>
    <cellStyle name="Normal 42 3" xfId="10223" xr:uid="{00000000-0005-0000-0000-0000188C0000}"/>
    <cellStyle name="Normal 42 3 2" xfId="13844" xr:uid="{00000000-0005-0000-0000-0000198C0000}"/>
    <cellStyle name="Normal 42 3 3" xfId="38979" xr:uid="{00000000-0005-0000-0000-00001A8C0000}"/>
    <cellStyle name="Normal 42 4" xfId="24334" xr:uid="{00000000-0005-0000-0000-00001B8C0000}"/>
    <cellStyle name="Normal 42 4 2" xfId="39744" xr:uid="{00000000-0005-0000-0000-00001C8C0000}"/>
    <cellStyle name="Normal 42 5" xfId="24335" xr:uid="{00000000-0005-0000-0000-00001D8C0000}"/>
    <cellStyle name="Normal 42 6" xfId="24336" xr:uid="{00000000-0005-0000-0000-00001E8C0000}"/>
    <cellStyle name="Normal 42 7" xfId="24337" xr:uid="{00000000-0005-0000-0000-00001F8C0000}"/>
    <cellStyle name="Normal 43" xfId="5053" xr:uid="{00000000-0005-0000-0000-0000208C0000}"/>
    <cellStyle name="Normal 43 2" xfId="10225" xr:uid="{00000000-0005-0000-0000-0000218C0000}"/>
    <cellStyle name="Normal 43 2 2" xfId="13846" xr:uid="{00000000-0005-0000-0000-0000228C0000}"/>
    <cellStyle name="Normal 43 2 3" xfId="39745" xr:uid="{00000000-0005-0000-0000-0000238C0000}"/>
    <cellStyle name="Normal 43 3" xfId="24338" xr:uid="{00000000-0005-0000-0000-0000248C0000}"/>
    <cellStyle name="Normal 43 4" xfId="24339" xr:uid="{00000000-0005-0000-0000-0000258C0000}"/>
    <cellStyle name="Normal 43 5" xfId="24340" xr:uid="{00000000-0005-0000-0000-0000268C0000}"/>
    <cellStyle name="Normal 43 6" xfId="24341" xr:uid="{00000000-0005-0000-0000-0000278C0000}"/>
    <cellStyle name="Normal 44" xfId="6163" xr:uid="{00000000-0005-0000-0000-0000288C0000}"/>
    <cellStyle name="Normal 44 2" xfId="10226" xr:uid="{00000000-0005-0000-0000-0000298C0000}"/>
    <cellStyle name="Normal 44 2 2" xfId="13847" xr:uid="{00000000-0005-0000-0000-00002A8C0000}"/>
    <cellStyle name="Normal 44 2 3" xfId="39746" xr:uid="{00000000-0005-0000-0000-00002B8C0000}"/>
    <cellStyle name="Normal 44 3" xfId="24342" xr:uid="{00000000-0005-0000-0000-00002C8C0000}"/>
    <cellStyle name="Normal 44 4" xfId="24343" xr:uid="{00000000-0005-0000-0000-00002D8C0000}"/>
    <cellStyle name="Normal 44 5" xfId="24344" xr:uid="{00000000-0005-0000-0000-00002E8C0000}"/>
    <cellStyle name="Normal 44 6" xfId="24345" xr:uid="{00000000-0005-0000-0000-00002F8C0000}"/>
    <cellStyle name="Normal 45" xfId="7639" xr:uid="{00000000-0005-0000-0000-0000308C0000}"/>
    <cellStyle name="Normal 45 2" xfId="10227" xr:uid="{00000000-0005-0000-0000-0000318C0000}"/>
    <cellStyle name="Normal 45 2 2" xfId="13848" xr:uid="{00000000-0005-0000-0000-0000328C0000}"/>
    <cellStyle name="Normal 45 3" xfId="24346" xr:uid="{00000000-0005-0000-0000-0000338C0000}"/>
    <cellStyle name="Normal 45 4" xfId="24347" xr:uid="{00000000-0005-0000-0000-0000348C0000}"/>
    <cellStyle name="Normal 45 5" xfId="24348" xr:uid="{00000000-0005-0000-0000-0000358C0000}"/>
    <cellStyle name="Normal 45 6" xfId="24349" xr:uid="{00000000-0005-0000-0000-0000368C0000}"/>
    <cellStyle name="Normal 46" xfId="7640" xr:uid="{00000000-0005-0000-0000-0000378C0000}"/>
    <cellStyle name="Normal 46 2" xfId="10228" xr:uid="{00000000-0005-0000-0000-0000388C0000}"/>
    <cellStyle name="Normal 46 2 2" xfId="13849" xr:uid="{00000000-0005-0000-0000-0000398C0000}"/>
    <cellStyle name="Normal 46 3" xfId="24350" xr:uid="{00000000-0005-0000-0000-00003A8C0000}"/>
    <cellStyle name="Normal 46 4" xfId="24351" xr:uid="{00000000-0005-0000-0000-00003B8C0000}"/>
    <cellStyle name="Normal 46 5" xfId="24352" xr:uid="{00000000-0005-0000-0000-00003C8C0000}"/>
    <cellStyle name="Normal 46 6" xfId="24353" xr:uid="{00000000-0005-0000-0000-00003D8C0000}"/>
    <cellStyle name="Normal 47" xfId="7641" xr:uid="{00000000-0005-0000-0000-00003E8C0000}"/>
    <cellStyle name="Normal 47 2" xfId="10229" xr:uid="{00000000-0005-0000-0000-00003F8C0000}"/>
    <cellStyle name="Normal 47 2 2" xfId="13850" xr:uid="{00000000-0005-0000-0000-0000408C0000}"/>
    <cellStyle name="Normal 47 3" xfId="24354" xr:uid="{00000000-0005-0000-0000-0000418C0000}"/>
    <cellStyle name="Normal 47 4" xfId="24355" xr:uid="{00000000-0005-0000-0000-0000428C0000}"/>
    <cellStyle name="Normal 47 5" xfId="24356" xr:uid="{00000000-0005-0000-0000-0000438C0000}"/>
    <cellStyle name="Normal 47 6" xfId="24357" xr:uid="{00000000-0005-0000-0000-0000448C0000}"/>
    <cellStyle name="Normal 48" xfId="7642" xr:uid="{00000000-0005-0000-0000-0000458C0000}"/>
    <cellStyle name="Normal 48 2" xfId="10230" xr:uid="{00000000-0005-0000-0000-0000468C0000}"/>
    <cellStyle name="Normal 48 2 2" xfId="13851" xr:uid="{00000000-0005-0000-0000-0000478C0000}"/>
    <cellStyle name="Normal 48 3" xfId="24358" xr:uid="{00000000-0005-0000-0000-0000488C0000}"/>
    <cellStyle name="Normal 48 4" xfId="24359" xr:uid="{00000000-0005-0000-0000-0000498C0000}"/>
    <cellStyle name="Normal 48 5" xfId="24360" xr:uid="{00000000-0005-0000-0000-00004A8C0000}"/>
    <cellStyle name="Normal 48 6" xfId="24361" xr:uid="{00000000-0005-0000-0000-00004B8C0000}"/>
    <cellStyle name="Normal 49" xfId="7643" xr:uid="{00000000-0005-0000-0000-00004C8C0000}"/>
    <cellStyle name="Normal 49 2" xfId="10231" xr:uid="{00000000-0005-0000-0000-00004D8C0000}"/>
    <cellStyle name="Normal 49 2 2" xfId="13852" xr:uid="{00000000-0005-0000-0000-00004E8C0000}"/>
    <cellStyle name="Normal 49 3" xfId="24362" xr:uid="{00000000-0005-0000-0000-00004F8C0000}"/>
    <cellStyle name="Normal 49 4" xfId="24363" xr:uid="{00000000-0005-0000-0000-0000508C0000}"/>
    <cellStyle name="Normal 49 5" xfId="24364" xr:uid="{00000000-0005-0000-0000-0000518C0000}"/>
    <cellStyle name="Normal 49 6" xfId="24365" xr:uid="{00000000-0005-0000-0000-0000528C0000}"/>
    <cellStyle name="Normal 5" xfId="1619" xr:uid="{00000000-0005-0000-0000-0000538C0000}"/>
    <cellStyle name="Normal 5 10" xfId="3788" xr:uid="{00000000-0005-0000-0000-0000548C0000}"/>
    <cellStyle name="Normal 5 10 2" xfId="10233" xr:uid="{00000000-0005-0000-0000-0000558C0000}"/>
    <cellStyle name="Normal 5 10 2 2" xfId="13854" xr:uid="{00000000-0005-0000-0000-0000568C0000}"/>
    <cellStyle name="Normal 5 10 3" xfId="24366" xr:uid="{00000000-0005-0000-0000-0000578C0000}"/>
    <cellStyle name="Normal 5 10 4" xfId="24367" xr:uid="{00000000-0005-0000-0000-0000588C0000}"/>
    <cellStyle name="Normal 5 10 5" xfId="24368" xr:uid="{00000000-0005-0000-0000-0000598C0000}"/>
    <cellStyle name="Normal 5 10 6" xfId="24369" xr:uid="{00000000-0005-0000-0000-00005A8C0000}"/>
    <cellStyle name="Normal 5 11" xfId="3789" xr:uid="{00000000-0005-0000-0000-00005B8C0000}"/>
    <cellStyle name="Normal 5 11 2" xfId="10234" xr:uid="{00000000-0005-0000-0000-00005C8C0000}"/>
    <cellStyle name="Normal 5 11 2 2" xfId="13855" xr:uid="{00000000-0005-0000-0000-00005D8C0000}"/>
    <cellStyle name="Normal 5 11 3" xfId="24370" xr:uid="{00000000-0005-0000-0000-00005E8C0000}"/>
    <cellStyle name="Normal 5 11 4" xfId="24371" xr:uid="{00000000-0005-0000-0000-00005F8C0000}"/>
    <cellStyle name="Normal 5 11 5" xfId="24372" xr:uid="{00000000-0005-0000-0000-0000608C0000}"/>
    <cellStyle name="Normal 5 11 6" xfId="24373" xr:uid="{00000000-0005-0000-0000-0000618C0000}"/>
    <cellStyle name="Normal 5 12" xfId="3790" xr:uid="{00000000-0005-0000-0000-0000628C0000}"/>
    <cellStyle name="Normal 5 12 2" xfId="10235" xr:uid="{00000000-0005-0000-0000-0000638C0000}"/>
    <cellStyle name="Normal 5 12 2 2" xfId="13856" xr:uid="{00000000-0005-0000-0000-0000648C0000}"/>
    <cellStyle name="Normal 5 12 3" xfId="24374" xr:uid="{00000000-0005-0000-0000-0000658C0000}"/>
    <cellStyle name="Normal 5 12 4" xfId="24375" xr:uid="{00000000-0005-0000-0000-0000668C0000}"/>
    <cellStyle name="Normal 5 12 5" xfId="24376" xr:uid="{00000000-0005-0000-0000-0000678C0000}"/>
    <cellStyle name="Normal 5 12 6" xfId="24377" xr:uid="{00000000-0005-0000-0000-0000688C0000}"/>
    <cellStyle name="Normal 5 13" xfId="3791" xr:uid="{00000000-0005-0000-0000-0000698C0000}"/>
    <cellStyle name="Normal 5 13 2" xfId="10236" xr:uid="{00000000-0005-0000-0000-00006A8C0000}"/>
    <cellStyle name="Normal 5 13 2 2" xfId="13857" xr:uid="{00000000-0005-0000-0000-00006B8C0000}"/>
    <cellStyle name="Normal 5 13 3" xfId="24378" xr:uid="{00000000-0005-0000-0000-00006C8C0000}"/>
    <cellStyle name="Normal 5 13 4" xfId="24379" xr:uid="{00000000-0005-0000-0000-00006D8C0000}"/>
    <cellStyle name="Normal 5 13 5" xfId="24380" xr:uid="{00000000-0005-0000-0000-00006E8C0000}"/>
    <cellStyle name="Normal 5 13 6" xfId="24381" xr:uid="{00000000-0005-0000-0000-00006F8C0000}"/>
    <cellStyle name="Normal 5 14" xfId="3792" xr:uid="{00000000-0005-0000-0000-0000708C0000}"/>
    <cellStyle name="Normal 5 14 2" xfId="10237" xr:uid="{00000000-0005-0000-0000-0000718C0000}"/>
    <cellStyle name="Normal 5 14 2 2" xfId="13858" xr:uid="{00000000-0005-0000-0000-0000728C0000}"/>
    <cellStyle name="Normal 5 14 3" xfId="24382" xr:uid="{00000000-0005-0000-0000-0000738C0000}"/>
    <cellStyle name="Normal 5 14 4" xfId="24383" xr:uid="{00000000-0005-0000-0000-0000748C0000}"/>
    <cellStyle name="Normal 5 14 5" xfId="24384" xr:uid="{00000000-0005-0000-0000-0000758C0000}"/>
    <cellStyle name="Normal 5 14 6" xfId="24385" xr:uid="{00000000-0005-0000-0000-0000768C0000}"/>
    <cellStyle name="Normal 5 15" xfId="3793" xr:uid="{00000000-0005-0000-0000-0000778C0000}"/>
    <cellStyle name="Normal 5 15 2" xfId="10238" xr:uid="{00000000-0005-0000-0000-0000788C0000}"/>
    <cellStyle name="Normal 5 15 2 2" xfId="13859" xr:uid="{00000000-0005-0000-0000-0000798C0000}"/>
    <cellStyle name="Normal 5 15 3" xfId="24386" xr:uid="{00000000-0005-0000-0000-00007A8C0000}"/>
    <cellStyle name="Normal 5 15 4" xfId="24387" xr:uid="{00000000-0005-0000-0000-00007B8C0000}"/>
    <cellStyle name="Normal 5 15 5" xfId="24388" xr:uid="{00000000-0005-0000-0000-00007C8C0000}"/>
    <cellStyle name="Normal 5 15 6" xfId="24389" xr:uid="{00000000-0005-0000-0000-00007D8C0000}"/>
    <cellStyle name="Normal 5 16" xfId="3794" xr:uid="{00000000-0005-0000-0000-00007E8C0000}"/>
    <cellStyle name="Normal 5 16 2" xfId="5469" xr:uid="{00000000-0005-0000-0000-00007F8C0000}"/>
    <cellStyle name="Normal 5 16 2 2" xfId="10240" xr:uid="{00000000-0005-0000-0000-0000808C0000}"/>
    <cellStyle name="Normal 5 16 2 2 2" xfId="13861" xr:uid="{00000000-0005-0000-0000-0000818C0000}"/>
    <cellStyle name="Normal 5 16 2 3" xfId="24390" xr:uid="{00000000-0005-0000-0000-0000828C0000}"/>
    <cellStyle name="Normal 5 16 2 4" xfId="24391" xr:uid="{00000000-0005-0000-0000-0000838C0000}"/>
    <cellStyle name="Normal 5 16 2 5" xfId="24392" xr:uid="{00000000-0005-0000-0000-0000848C0000}"/>
    <cellStyle name="Normal 5 16 2 6" xfId="24393" xr:uid="{00000000-0005-0000-0000-0000858C0000}"/>
    <cellStyle name="Normal 5 16 3" xfId="7644" xr:uid="{00000000-0005-0000-0000-0000868C0000}"/>
    <cellStyle name="Normal 5 16 3 2" xfId="10241" xr:uid="{00000000-0005-0000-0000-0000878C0000}"/>
    <cellStyle name="Normal 5 16 3 2 2" xfId="13862" xr:uid="{00000000-0005-0000-0000-0000888C0000}"/>
    <cellStyle name="Normal 5 16 3 3" xfId="24394" xr:uid="{00000000-0005-0000-0000-0000898C0000}"/>
    <cellStyle name="Normal 5 16 3 4" xfId="24395" xr:uid="{00000000-0005-0000-0000-00008A8C0000}"/>
    <cellStyle name="Normal 5 16 3 5" xfId="24396" xr:uid="{00000000-0005-0000-0000-00008B8C0000}"/>
    <cellStyle name="Normal 5 16 3 6" xfId="24397" xr:uid="{00000000-0005-0000-0000-00008C8C0000}"/>
    <cellStyle name="Normal 5 16 3 7" xfId="38468" xr:uid="{00000000-0005-0000-0000-00008D8C0000}"/>
    <cellStyle name="Normal 5 16 4" xfId="10239" xr:uid="{00000000-0005-0000-0000-00008E8C0000}"/>
    <cellStyle name="Normal 5 16 4 2" xfId="13860" xr:uid="{00000000-0005-0000-0000-00008F8C0000}"/>
    <cellStyle name="Normal 5 16 5" xfId="24398" xr:uid="{00000000-0005-0000-0000-0000908C0000}"/>
    <cellStyle name="Normal 5 16 6" xfId="24399" xr:uid="{00000000-0005-0000-0000-0000918C0000}"/>
    <cellStyle name="Normal 5 16 7" xfId="24400" xr:uid="{00000000-0005-0000-0000-0000928C0000}"/>
    <cellStyle name="Normal 5 16 8" xfId="24401" xr:uid="{00000000-0005-0000-0000-0000938C0000}"/>
    <cellStyle name="Normal 5 17" xfId="7645" xr:uid="{00000000-0005-0000-0000-0000948C0000}"/>
    <cellStyle name="Normal 5 17 2" xfId="10242" xr:uid="{00000000-0005-0000-0000-0000958C0000}"/>
    <cellStyle name="Normal 5 17 2 2" xfId="13863" xr:uid="{00000000-0005-0000-0000-0000968C0000}"/>
    <cellStyle name="Normal 5 17 3" xfId="24402" xr:uid="{00000000-0005-0000-0000-0000978C0000}"/>
    <cellStyle name="Normal 5 17 4" xfId="24403" xr:uid="{00000000-0005-0000-0000-0000988C0000}"/>
    <cellStyle name="Normal 5 17 5" xfId="24404" xr:uid="{00000000-0005-0000-0000-0000998C0000}"/>
    <cellStyle name="Normal 5 17 6" xfId="24405" xr:uid="{00000000-0005-0000-0000-00009A8C0000}"/>
    <cellStyle name="Normal 5 18" xfId="10232" xr:uid="{00000000-0005-0000-0000-00009B8C0000}"/>
    <cellStyle name="Normal 5 18 2" xfId="13853" xr:uid="{00000000-0005-0000-0000-00009C8C0000}"/>
    <cellStyle name="Normal 5 19" xfId="24406" xr:uid="{00000000-0005-0000-0000-00009D8C0000}"/>
    <cellStyle name="Normal 5 2" xfId="1620" xr:uid="{00000000-0005-0000-0000-00009E8C0000}"/>
    <cellStyle name="Normal 5 2 2" xfId="10243" xr:uid="{00000000-0005-0000-0000-00009F8C0000}"/>
    <cellStyle name="Normal 5 2 2 2" xfId="13864" xr:uid="{00000000-0005-0000-0000-0000A08C0000}"/>
    <cellStyle name="Normal 5 2 3" xfId="24407" xr:uid="{00000000-0005-0000-0000-0000A18C0000}"/>
    <cellStyle name="Normal 5 2 4" xfId="24408" xr:uid="{00000000-0005-0000-0000-0000A28C0000}"/>
    <cellStyle name="Normal 5 2 5" xfId="24409" xr:uid="{00000000-0005-0000-0000-0000A38C0000}"/>
    <cellStyle name="Normal 5 2 6" xfId="24410" xr:uid="{00000000-0005-0000-0000-0000A48C0000}"/>
    <cellStyle name="Normal 5 2 7" xfId="24411" xr:uid="{00000000-0005-0000-0000-0000A58C0000}"/>
    <cellStyle name="Normal 5 20" xfId="24412" xr:uid="{00000000-0005-0000-0000-0000A68C0000}"/>
    <cellStyle name="Normal 5 21" xfId="24413" xr:uid="{00000000-0005-0000-0000-0000A78C0000}"/>
    <cellStyle name="Normal 5 22" xfId="24414" xr:uid="{00000000-0005-0000-0000-0000A88C0000}"/>
    <cellStyle name="Normal 5 23" xfId="24415" xr:uid="{00000000-0005-0000-0000-0000A98C0000}"/>
    <cellStyle name="Normal 5 24" xfId="24416" xr:uid="{00000000-0005-0000-0000-0000AA8C0000}"/>
    <cellStyle name="Normal 5 3" xfId="1621" xr:uid="{00000000-0005-0000-0000-0000AB8C0000}"/>
    <cellStyle name="Normal 5 3 2" xfId="10244" xr:uid="{00000000-0005-0000-0000-0000AC8C0000}"/>
    <cellStyle name="Normal 5 3 2 2" xfId="13865" xr:uid="{00000000-0005-0000-0000-0000AD8C0000}"/>
    <cellStyle name="Normal 5 3 3" xfId="24417" xr:uid="{00000000-0005-0000-0000-0000AE8C0000}"/>
    <cellStyle name="Normal 5 3 4" xfId="24418" xr:uid="{00000000-0005-0000-0000-0000AF8C0000}"/>
    <cellStyle name="Normal 5 3 5" xfId="24419" xr:uid="{00000000-0005-0000-0000-0000B08C0000}"/>
    <cellStyle name="Normal 5 3 6" xfId="24420" xr:uid="{00000000-0005-0000-0000-0000B18C0000}"/>
    <cellStyle name="Normal 5 3 7" xfId="24421" xr:uid="{00000000-0005-0000-0000-0000B28C0000}"/>
    <cellStyle name="Normal 5 4" xfId="1622" xr:uid="{00000000-0005-0000-0000-0000B38C0000}"/>
    <cellStyle name="Normal 5 4 2" xfId="10245" xr:uid="{00000000-0005-0000-0000-0000B48C0000}"/>
    <cellStyle name="Normal 5 4 2 2" xfId="13866" xr:uid="{00000000-0005-0000-0000-0000B58C0000}"/>
    <cellStyle name="Normal 5 4 3" xfId="24422" xr:uid="{00000000-0005-0000-0000-0000B68C0000}"/>
    <cellStyle name="Normal 5 4 4" xfId="24423" xr:uid="{00000000-0005-0000-0000-0000B78C0000}"/>
    <cellStyle name="Normal 5 4 5" xfId="24424" xr:uid="{00000000-0005-0000-0000-0000B88C0000}"/>
    <cellStyle name="Normal 5 4 6" xfId="24425" xr:uid="{00000000-0005-0000-0000-0000B98C0000}"/>
    <cellStyle name="Normal 5 4 7" xfId="24426" xr:uid="{00000000-0005-0000-0000-0000BA8C0000}"/>
    <cellStyle name="Normal 5 5" xfId="1623" xr:uid="{00000000-0005-0000-0000-0000BB8C0000}"/>
    <cellStyle name="Normal 5 5 2" xfId="10246" xr:uid="{00000000-0005-0000-0000-0000BC8C0000}"/>
    <cellStyle name="Normal 5 5 2 2" xfId="13867" xr:uid="{00000000-0005-0000-0000-0000BD8C0000}"/>
    <cellStyle name="Normal 5 5 3" xfId="24427" xr:uid="{00000000-0005-0000-0000-0000BE8C0000}"/>
    <cellStyle name="Normal 5 5 4" xfId="24428" xr:uid="{00000000-0005-0000-0000-0000BF8C0000}"/>
    <cellStyle name="Normal 5 5 5" xfId="24429" xr:uid="{00000000-0005-0000-0000-0000C08C0000}"/>
    <cellStyle name="Normal 5 5 6" xfId="24430" xr:uid="{00000000-0005-0000-0000-0000C18C0000}"/>
    <cellStyle name="Normal 5 5 7" xfId="24431" xr:uid="{00000000-0005-0000-0000-0000C28C0000}"/>
    <cellStyle name="Normal 5 6" xfId="1624" xr:uid="{00000000-0005-0000-0000-0000C38C0000}"/>
    <cellStyle name="Normal 5 6 2" xfId="10247" xr:uid="{00000000-0005-0000-0000-0000C48C0000}"/>
    <cellStyle name="Normal 5 6 2 2" xfId="13868" xr:uid="{00000000-0005-0000-0000-0000C58C0000}"/>
    <cellStyle name="Normal 5 6 3" xfId="24432" xr:uid="{00000000-0005-0000-0000-0000C68C0000}"/>
    <cellStyle name="Normal 5 6 4" xfId="24433" xr:uid="{00000000-0005-0000-0000-0000C78C0000}"/>
    <cellStyle name="Normal 5 6 5" xfId="24434" xr:uid="{00000000-0005-0000-0000-0000C88C0000}"/>
    <cellStyle name="Normal 5 6 6" xfId="24435" xr:uid="{00000000-0005-0000-0000-0000C98C0000}"/>
    <cellStyle name="Normal 5 6 7" xfId="24436" xr:uid="{00000000-0005-0000-0000-0000CA8C0000}"/>
    <cellStyle name="Normal 5 7" xfId="1625" xr:uid="{00000000-0005-0000-0000-0000CB8C0000}"/>
    <cellStyle name="Normal 5 7 2" xfId="10248" xr:uid="{00000000-0005-0000-0000-0000CC8C0000}"/>
    <cellStyle name="Normal 5 7 2 2" xfId="13869" xr:uid="{00000000-0005-0000-0000-0000CD8C0000}"/>
    <cellStyle name="Normal 5 7 3" xfId="24437" xr:uid="{00000000-0005-0000-0000-0000CE8C0000}"/>
    <cellStyle name="Normal 5 7 4" xfId="24438" xr:uid="{00000000-0005-0000-0000-0000CF8C0000}"/>
    <cellStyle name="Normal 5 7 5" xfId="24439" xr:uid="{00000000-0005-0000-0000-0000D08C0000}"/>
    <cellStyle name="Normal 5 7 6" xfId="24440" xr:uid="{00000000-0005-0000-0000-0000D18C0000}"/>
    <cellStyle name="Normal 5 7 7" xfId="24441" xr:uid="{00000000-0005-0000-0000-0000D28C0000}"/>
    <cellStyle name="Normal 5 8" xfId="3795" xr:uid="{00000000-0005-0000-0000-0000D38C0000}"/>
    <cellStyle name="Normal 5 8 2" xfId="10249" xr:uid="{00000000-0005-0000-0000-0000D48C0000}"/>
    <cellStyle name="Normal 5 8 2 2" xfId="13870" xr:uid="{00000000-0005-0000-0000-0000D58C0000}"/>
    <cellStyle name="Normal 5 8 3" xfId="24442" xr:uid="{00000000-0005-0000-0000-0000D68C0000}"/>
    <cellStyle name="Normal 5 8 4" xfId="24443" xr:uid="{00000000-0005-0000-0000-0000D78C0000}"/>
    <cellStyle name="Normal 5 8 5" xfId="24444" xr:uid="{00000000-0005-0000-0000-0000D88C0000}"/>
    <cellStyle name="Normal 5 8 6" xfId="24445" xr:uid="{00000000-0005-0000-0000-0000D98C0000}"/>
    <cellStyle name="Normal 5 9" xfId="3796" xr:uid="{00000000-0005-0000-0000-0000DA8C0000}"/>
    <cellStyle name="Normal 5 9 2" xfId="10250" xr:uid="{00000000-0005-0000-0000-0000DB8C0000}"/>
    <cellStyle name="Normal 5 9 2 2" xfId="13871" xr:uid="{00000000-0005-0000-0000-0000DC8C0000}"/>
    <cellStyle name="Normal 5 9 3" xfId="24446" xr:uid="{00000000-0005-0000-0000-0000DD8C0000}"/>
    <cellStyle name="Normal 5 9 4" xfId="24447" xr:uid="{00000000-0005-0000-0000-0000DE8C0000}"/>
    <cellStyle name="Normal 5 9 5" xfId="24448" xr:uid="{00000000-0005-0000-0000-0000DF8C0000}"/>
    <cellStyle name="Normal 5 9 6" xfId="24449" xr:uid="{00000000-0005-0000-0000-0000E08C0000}"/>
    <cellStyle name="Normal 50" xfId="7646" xr:uid="{00000000-0005-0000-0000-0000E18C0000}"/>
    <cellStyle name="Normal 50 2" xfId="10251" xr:uid="{00000000-0005-0000-0000-0000E28C0000}"/>
    <cellStyle name="Normal 50 2 2" xfId="13872" xr:uid="{00000000-0005-0000-0000-0000E38C0000}"/>
    <cellStyle name="Normal 50 3" xfId="24450" xr:uid="{00000000-0005-0000-0000-0000E48C0000}"/>
    <cellStyle name="Normal 50 4" xfId="24451" xr:uid="{00000000-0005-0000-0000-0000E58C0000}"/>
    <cellStyle name="Normal 50 5" xfId="24452" xr:uid="{00000000-0005-0000-0000-0000E68C0000}"/>
    <cellStyle name="Normal 50 6" xfId="24453" xr:uid="{00000000-0005-0000-0000-0000E78C0000}"/>
    <cellStyle name="Normal 51" xfId="7647" xr:uid="{00000000-0005-0000-0000-0000E88C0000}"/>
    <cellStyle name="Normal 51 2" xfId="10252" xr:uid="{00000000-0005-0000-0000-0000E98C0000}"/>
    <cellStyle name="Normal 51 2 2" xfId="13873" xr:uid="{00000000-0005-0000-0000-0000EA8C0000}"/>
    <cellStyle name="Normal 51 3" xfId="24454" xr:uid="{00000000-0005-0000-0000-0000EB8C0000}"/>
    <cellStyle name="Normal 51 4" xfId="24455" xr:uid="{00000000-0005-0000-0000-0000EC8C0000}"/>
    <cellStyle name="Normal 51 5" xfId="24456" xr:uid="{00000000-0005-0000-0000-0000ED8C0000}"/>
    <cellStyle name="Normal 51 6" xfId="24457" xr:uid="{00000000-0005-0000-0000-0000EE8C0000}"/>
    <cellStyle name="Normal 52" xfId="7648" xr:uid="{00000000-0005-0000-0000-0000EF8C0000}"/>
    <cellStyle name="Normal 52 2" xfId="10253" xr:uid="{00000000-0005-0000-0000-0000F08C0000}"/>
    <cellStyle name="Normal 52 2 2" xfId="13874" xr:uid="{00000000-0005-0000-0000-0000F18C0000}"/>
    <cellStyle name="Normal 52 3" xfId="24458" xr:uid="{00000000-0005-0000-0000-0000F28C0000}"/>
    <cellStyle name="Normal 52 4" xfId="24459" xr:uid="{00000000-0005-0000-0000-0000F38C0000}"/>
    <cellStyle name="Normal 52 5" xfId="24460" xr:uid="{00000000-0005-0000-0000-0000F48C0000}"/>
    <cellStyle name="Normal 52 6" xfId="24461" xr:uid="{00000000-0005-0000-0000-0000F58C0000}"/>
    <cellStyle name="Normal 53" xfId="7649" xr:uid="{00000000-0005-0000-0000-0000F68C0000}"/>
    <cellStyle name="Normal 53 2" xfId="10254" xr:uid="{00000000-0005-0000-0000-0000F78C0000}"/>
    <cellStyle name="Normal 53 2 2" xfId="13875" xr:uid="{00000000-0005-0000-0000-0000F88C0000}"/>
    <cellStyle name="Normal 53 3" xfId="24462" xr:uid="{00000000-0005-0000-0000-0000F98C0000}"/>
    <cellStyle name="Normal 53 4" xfId="24463" xr:uid="{00000000-0005-0000-0000-0000FA8C0000}"/>
    <cellStyle name="Normal 53 5" xfId="24464" xr:uid="{00000000-0005-0000-0000-0000FB8C0000}"/>
    <cellStyle name="Normal 53 6" xfId="24465" xr:uid="{00000000-0005-0000-0000-0000FC8C0000}"/>
    <cellStyle name="Normal 54" xfId="7650" xr:uid="{00000000-0005-0000-0000-0000FD8C0000}"/>
    <cellStyle name="Normal 54 2" xfId="10255" xr:uid="{00000000-0005-0000-0000-0000FE8C0000}"/>
    <cellStyle name="Normal 54 2 2" xfId="13876" xr:uid="{00000000-0005-0000-0000-0000FF8C0000}"/>
    <cellStyle name="Normal 54 3" xfId="24466" xr:uid="{00000000-0005-0000-0000-0000008D0000}"/>
    <cellStyle name="Normal 54 4" xfId="24467" xr:uid="{00000000-0005-0000-0000-0000018D0000}"/>
    <cellStyle name="Normal 54 5" xfId="24468" xr:uid="{00000000-0005-0000-0000-0000028D0000}"/>
    <cellStyle name="Normal 54 6" xfId="24469" xr:uid="{00000000-0005-0000-0000-0000038D0000}"/>
    <cellStyle name="Normal 55" xfId="7651" xr:uid="{00000000-0005-0000-0000-0000048D0000}"/>
    <cellStyle name="Normal 55 2" xfId="10256" xr:uid="{00000000-0005-0000-0000-0000058D0000}"/>
    <cellStyle name="Normal 55 2 2" xfId="13877" xr:uid="{00000000-0005-0000-0000-0000068D0000}"/>
    <cellStyle name="Normal 55 3" xfId="24470" xr:uid="{00000000-0005-0000-0000-0000078D0000}"/>
    <cellStyle name="Normal 55 4" xfId="24471" xr:uid="{00000000-0005-0000-0000-0000088D0000}"/>
    <cellStyle name="Normal 55 5" xfId="24472" xr:uid="{00000000-0005-0000-0000-0000098D0000}"/>
    <cellStyle name="Normal 55 6" xfId="24473" xr:uid="{00000000-0005-0000-0000-00000A8D0000}"/>
    <cellStyle name="Normal 56" xfId="7652" xr:uid="{00000000-0005-0000-0000-00000B8D0000}"/>
    <cellStyle name="Normal 56 2" xfId="10257" xr:uid="{00000000-0005-0000-0000-00000C8D0000}"/>
    <cellStyle name="Normal 56 2 2" xfId="13878" xr:uid="{00000000-0005-0000-0000-00000D8D0000}"/>
    <cellStyle name="Normal 56 3" xfId="24474" xr:uid="{00000000-0005-0000-0000-00000E8D0000}"/>
    <cellStyle name="Normal 56 4" xfId="24475" xr:uid="{00000000-0005-0000-0000-00000F8D0000}"/>
    <cellStyle name="Normal 56 5" xfId="24476" xr:uid="{00000000-0005-0000-0000-0000108D0000}"/>
    <cellStyle name="Normal 56 6" xfId="24477" xr:uid="{00000000-0005-0000-0000-0000118D0000}"/>
    <cellStyle name="Normal 57" xfId="6744" xr:uid="{00000000-0005-0000-0000-0000128D0000}"/>
    <cellStyle name="Normal 57 2" xfId="8591" xr:uid="{00000000-0005-0000-0000-0000138D0000}"/>
    <cellStyle name="Normal 57 2 2" xfId="10259" xr:uid="{00000000-0005-0000-0000-0000148D0000}"/>
    <cellStyle name="Normal 57 2 2 2" xfId="13880" xr:uid="{00000000-0005-0000-0000-0000158D0000}"/>
    <cellStyle name="Normal 57 2 3" xfId="12596" xr:uid="{00000000-0005-0000-0000-0000168D0000}"/>
    <cellStyle name="Normal 57 3" xfId="10258" xr:uid="{00000000-0005-0000-0000-0000178D0000}"/>
    <cellStyle name="Normal 57 3 2" xfId="13879" xr:uid="{00000000-0005-0000-0000-0000188D0000}"/>
    <cellStyle name="Normal 57 4" xfId="12311" xr:uid="{00000000-0005-0000-0000-0000198D0000}"/>
    <cellStyle name="Normal 58" xfId="8401" xr:uid="{00000000-0005-0000-0000-00001A8D0000}"/>
    <cellStyle name="Normal 58 2" xfId="10260" xr:uid="{00000000-0005-0000-0000-00001B8D0000}"/>
    <cellStyle name="Normal 58 2 2" xfId="13881" xr:uid="{00000000-0005-0000-0000-00001C8D0000}"/>
    <cellStyle name="Normal 58 3" xfId="12515" xr:uid="{00000000-0005-0000-0000-00001D8D0000}"/>
    <cellStyle name="Normal 58 3 2" xfId="24478" xr:uid="{00000000-0005-0000-0000-00001E8D0000}"/>
    <cellStyle name="Normal 58 4" xfId="24479" xr:uid="{00000000-0005-0000-0000-00001F8D0000}"/>
    <cellStyle name="Normal 58 5" xfId="24480" xr:uid="{00000000-0005-0000-0000-0000208D0000}"/>
    <cellStyle name="Normal 58 6" xfId="24481" xr:uid="{00000000-0005-0000-0000-0000218D0000}"/>
    <cellStyle name="Normal 58 7" xfId="24482" xr:uid="{00000000-0005-0000-0000-0000228D0000}"/>
    <cellStyle name="Normal 59" xfId="8513" xr:uid="{00000000-0005-0000-0000-0000238D0000}"/>
    <cellStyle name="Normal 59 2" xfId="10261" xr:uid="{00000000-0005-0000-0000-0000248D0000}"/>
    <cellStyle name="Normal 59 2 2" xfId="13882" xr:uid="{00000000-0005-0000-0000-0000258D0000}"/>
    <cellStyle name="Normal 59 3" xfId="12555" xr:uid="{00000000-0005-0000-0000-0000268D0000}"/>
    <cellStyle name="Normal 59 3 2" xfId="24483" xr:uid="{00000000-0005-0000-0000-0000278D0000}"/>
    <cellStyle name="Normal 59 4" xfId="24484" xr:uid="{00000000-0005-0000-0000-0000288D0000}"/>
    <cellStyle name="Normal 59 5" xfId="24485" xr:uid="{00000000-0005-0000-0000-0000298D0000}"/>
    <cellStyle name="Normal 59 6" xfId="24486" xr:uid="{00000000-0005-0000-0000-00002A8D0000}"/>
    <cellStyle name="Normal 59 7" xfId="24487" xr:uid="{00000000-0005-0000-0000-00002B8D0000}"/>
    <cellStyle name="Normal 6" xfId="1626" xr:uid="{00000000-0005-0000-0000-00002C8D0000}"/>
    <cellStyle name="Normal 6 10" xfId="24488" xr:uid="{00000000-0005-0000-0000-00002D8D0000}"/>
    <cellStyle name="Normal 6 11" xfId="24489" xr:uid="{00000000-0005-0000-0000-00002E8D0000}"/>
    <cellStyle name="Normal 6 12" xfId="24490" xr:uid="{00000000-0005-0000-0000-00002F8D0000}"/>
    <cellStyle name="Normal 6 2" xfId="1627" xr:uid="{00000000-0005-0000-0000-0000308D0000}"/>
    <cellStyle name="Normal 6 2 10" xfId="24491" xr:uid="{00000000-0005-0000-0000-0000318D0000}"/>
    <cellStyle name="Normal 6 2 2" xfId="3799" xr:uid="{00000000-0005-0000-0000-0000328D0000}"/>
    <cellStyle name="Normal 6 2 2 2" xfId="3800" xr:uid="{00000000-0005-0000-0000-0000338D0000}"/>
    <cellStyle name="Normal 6 2 2 2 2" xfId="5470" xr:uid="{00000000-0005-0000-0000-0000348D0000}"/>
    <cellStyle name="Normal 6 2 2 2 2 2" xfId="10266" xr:uid="{00000000-0005-0000-0000-0000358D0000}"/>
    <cellStyle name="Normal 6 2 2 2 2 2 2" xfId="13887" xr:uid="{00000000-0005-0000-0000-0000368D0000}"/>
    <cellStyle name="Normal 6 2 2 2 2 3" xfId="24492" xr:uid="{00000000-0005-0000-0000-0000378D0000}"/>
    <cellStyle name="Normal 6 2 2 2 2 4" xfId="24493" xr:uid="{00000000-0005-0000-0000-0000388D0000}"/>
    <cellStyle name="Normal 6 2 2 2 2 5" xfId="24494" xr:uid="{00000000-0005-0000-0000-0000398D0000}"/>
    <cellStyle name="Normal 6 2 2 2 2 6" xfId="24495" xr:uid="{00000000-0005-0000-0000-00003A8D0000}"/>
    <cellStyle name="Normal 6 2 2 2 3" xfId="10265" xr:uid="{00000000-0005-0000-0000-00003B8D0000}"/>
    <cellStyle name="Normal 6 2 2 2 3 2" xfId="13886" xr:uid="{00000000-0005-0000-0000-00003C8D0000}"/>
    <cellStyle name="Normal 6 2 2 2 3 3" xfId="38469" xr:uid="{00000000-0005-0000-0000-00003D8D0000}"/>
    <cellStyle name="Normal 6 2 2 2 4" xfId="24496" xr:uid="{00000000-0005-0000-0000-00003E8D0000}"/>
    <cellStyle name="Normal 6 2 2 2 5" xfId="24497" xr:uid="{00000000-0005-0000-0000-00003F8D0000}"/>
    <cellStyle name="Normal 6 2 2 2 6" xfId="24498" xr:uid="{00000000-0005-0000-0000-0000408D0000}"/>
    <cellStyle name="Normal 6 2 2 2 7" xfId="24499" xr:uid="{00000000-0005-0000-0000-0000418D0000}"/>
    <cellStyle name="Normal 6 2 2 3" xfId="8393" xr:uid="{00000000-0005-0000-0000-0000428D0000}"/>
    <cellStyle name="Normal 6 2 2 3 2" xfId="10267" xr:uid="{00000000-0005-0000-0000-0000438D0000}"/>
    <cellStyle name="Normal 6 2 2 3 2 2" xfId="13888" xr:uid="{00000000-0005-0000-0000-0000448D0000}"/>
    <cellStyle name="Normal 6 2 2 3 3" xfId="24500" xr:uid="{00000000-0005-0000-0000-0000458D0000}"/>
    <cellStyle name="Normal 6 2 2 3 4" xfId="24501" xr:uid="{00000000-0005-0000-0000-0000468D0000}"/>
    <cellStyle name="Normal 6 2 2 3 5" xfId="24502" xr:uid="{00000000-0005-0000-0000-0000478D0000}"/>
    <cellStyle name="Normal 6 2 2 3 6" xfId="24503" xr:uid="{00000000-0005-0000-0000-0000488D0000}"/>
    <cellStyle name="Normal 6 2 2 4" xfId="10264" xr:uid="{00000000-0005-0000-0000-0000498D0000}"/>
    <cellStyle name="Normal 6 2 2 4 2" xfId="13885" xr:uid="{00000000-0005-0000-0000-00004A8D0000}"/>
    <cellStyle name="Normal 6 2 2 5" xfId="24504" xr:uid="{00000000-0005-0000-0000-00004B8D0000}"/>
    <cellStyle name="Normal 6 2 2 6" xfId="24505" xr:uid="{00000000-0005-0000-0000-00004C8D0000}"/>
    <cellStyle name="Normal 6 2 2 7" xfId="24506" xr:uid="{00000000-0005-0000-0000-00004D8D0000}"/>
    <cellStyle name="Normal 6 2 2 8" xfId="24507" xr:uid="{00000000-0005-0000-0000-00004E8D0000}"/>
    <cellStyle name="Normal 6 2 3" xfId="3801" xr:uid="{00000000-0005-0000-0000-00004F8D0000}"/>
    <cellStyle name="Normal 6 2 3 2" xfId="8405" xr:uid="{00000000-0005-0000-0000-0000508D0000}"/>
    <cellStyle name="Normal 6 2 3 2 2" xfId="10269" xr:uid="{00000000-0005-0000-0000-0000518D0000}"/>
    <cellStyle name="Normal 6 2 3 2 2 2" xfId="13890" xr:uid="{00000000-0005-0000-0000-0000528D0000}"/>
    <cellStyle name="Normal 6 2 3 2 3" xfId="24508" xr:uid="{00000000-0005-0000-0000-0000538D0000}"/>
    <cellStyle name="Normal 6 2 3 2 4" xfId="24509" xr:uid="{00000000-0005-0000-0000-0000548D0000}"/>
    <cellStyle name="Normal 6 2 3 2 5" xfId="24510" xr:uid="{00000000-0005-0000-0000-0000558D0000}"/>
    <cellStyle name="Normal 6 2 3 2 6" xfId="24511" xr:uid="{00000000-0005-0000-0000-0000568D0000}"/>
    <cellStyle name="Normal 6 2 3 3" xfId="10268" xr:uid="{00000000-0005-0000-0000-0000578D0000}"/>
    <cellStyle name="Normal 6 2 3 3 2" xfId="13889" xr:uid="{00000000-0005-0000-0000-0000588D0000}"/>
    <cellStyle name="Normal 6 2 3 4" xfId="12511" xr:uid="{00000000-0005-0000-0000-0000598D0000}"/>
    <cellStyle name="Normal 6 2 3 5" xfId="8394" xr:uid="{00000000-0005-0000-0000-00005A8D0000}"/>
    <cellStyle name="Normal 6 2 4" xfId="3798" xr:uid="{00000000-0005-0000-0000-00005B8D0000}"/>
    <cellStyle name="Normal 6 2 4 2" xfId="10270" xr:uid="{00000000-0005-0000-0000-00005C8D0000}"/>
    <cellStyle name="Normal 6 2 4 2 2" xfId="13891" xr:uid="{00000000-0005-0000-0000-00005D8D0000}"/>
    <cellStyle name="Normal 6 2 4 3" xfId="12492" xr:uid="{00000000-0005-0000-0000-00005E8D0000}"/>
    <cellStyle name="Normal 6 2 4 4" xfId="35444" xr:uid="{00000000-0005-0000-0000-00005F8D0000}"/>
    <cellStyle name="Normal 6 2 4 5" xfId="8311" xr:uid="{00000000-0005-0000-0000-0000608D0000}"/>
    <cellStyle name="Normal 6 2 5" xfId="4828" xr:uid="{00000000-0005-0000-0000-0000618D0000}"/>
    <cellStyle name="Normal 6 2 5 2" xfId="13884" xr:uid="{00000000-0005-0000-0000-0000628D0000}"/>
    <cellStyle name="Normal 6 2 5 3" xfId="35799" xr:uid="{00000000-0005-0000-0000-0000638D0000}"/>
    <cellStyle name="Normal 6 2 5 4" xfId="10263" xr:uid="{00000000-0005-0000-0000-0000648D0000}"/>
    <cellStyle name="Normal 6 2 6" xfId="24512" xr:uid="{00000000-0005-0000-0000-0000658D0000}"/>
    <cellStyle name="Normal 6 2 6 2" xfId="37865" xr:uid="{00000000-0005-0000-0000-0000668D0000}"/>
    <cellStyle name="Normal 6 2 7" xfId="24513" xr:uid="{00000000-0005-0000-0000-0000678D0000}"/>
    <cellStyle name="Normal 6 2 8" xfId="24514" xr:uid="{00000000-0005-0000-0000-0000688D0000}"/>
    <cellStyle name="Normal 6 2 9" xfId="24515" xr:uid="{00000000-0005-0000-0000-0000698D0000}"/>
    <cellStyle name="Normal 6 2_INPUTtoVEDA_importpriceNT" xfId="8395" xr:uid="{00000000-0005-0000-0000-00006A8D0000}"/>
    <cellStyle name="Normal 6 3" xfId="1628" xr:uid="{00000000-0005-0000-0000-00006B8D0000}"/>
    <cellStyle name="Normal 6 3 10" xfId="24516" xr:uid="{00000000-0005-0000-0000-00006C8D0000}"/>
    <cellStyle name="Normal 6 3 11" xfId="24517" xr:uid="{00000000-0005-0000-0000-00006D8D0000}"/>
    <cellStyle name="Normal 6 3 2" xfId="3803" xr:uid="{00000000-0005-0000-0000-00006E8D0000}"/>
    <cellStyle name="Normal 6 3 2 2" xfId="8582" xr:uid="{00000000-0005-0000-0000-00006F8D0000}"/>
    <cellStyle name="Normal 6 3 2 2 2" xfId="10273" xr:uid="{00000000-0005-0000-0000-0000708D0000}"/>
    <cellStyle name="Normal 6 3 2 2 2 2" xfId="13894" xr:uid="{00000000-0005-0000-0000-0000718D0000}"/>
    <cellStyle name="Normal 6 3 2 2 3" xfId="24518" xr:uid="{00000000-0005-0000-0000-0000728D0000}"/>
    <cellStyle name="Normal 6 3 2 2 4" xfId="24519" xr:uid="{00000000-0005-0000-0000-0000738D0000}"/>
    <cellStyle name="Normal 6 3 2 2 5" xfId="24520" xr:uid="{00000000-0005-0000-0000-0000748D0000}"/>
    <cellStyle name="Normal 6 3 2 2 6" xfId="24521" xr:uid="{00000000-0005-0000-0000-0000758D0000}"/>
    <cellStyle name="Normal 6 3 2 3" xfId="8313" xr:uid="{00000000-0005-0000-0000-0000768D0000}"/>
    <cellStyle name="Normal 6 3 2 3 2" xfId="10274" xr:uid="{00000000-0005-0000-0000-0000778D0000}"/>
    <cellStyle name="Normal 6 3 2 3 2 2" xfId="13895" xr:uid="{00000000-0005-0000-0000-0000788D0000}"/>
    <cellStyle name="Normal 6 3 2 3 3" xfId="24522" xr:uid="{00000000-0005-0000-0000-0000798D0000}"/>
    <cellStyle name="Normal 6 3 2 3 4" xfId="24523" xr:uid="{00000000-0005-0000-0000-00007A8D0000}"/>
    <cellStyle name="Normal 6 3 2 3 5" xfId="24524" xr:uid="{00000000-0005-0000-0000-00007B8D0000}"/>
    <cellStyle name="Normal 6 3 2 3 6" xfId="24525" xr:uid="{00000000-0005-0000-0000-00007C8D0000}"/>
    <cellStyle name="Normal 6 3 2 4" xfId="10272" xr:uid="{00000000-0005-0000-0000-00007D8D0000}"/>
    <cellStyle name="Normal 6 3 2 4 2" xfId="13893" xr:uid="{00000000-0005-0000-0000-00007E8D0000}"/>
    <cellStyle name="Normal 6 3 2 5" xfId="24526" xr:uid="{00000000-0005-0000-0000-00007F8D0000}"/>
    <cellStyle name="Normal 6 3 2 6" xfId="24527" xr:uid="{00000000-0005-0000-0000-0000808D0000}"/>
    <cellStyle name="Normal 6 3 2 7" xfId="24528" xr:uid="{00000000-0005-0000-0000-0000818D0000}"/>
    <cellStyle name="Normal 6 3 2 8" xfId="24529" xr:uid="{00000000-0005-0000-0000-0000828D0000}"/>
    <cellStyle name="Normal 6 3 3" xfId="3802" xr:uid="{00000000-0005-0000-0000-0000838D0000}"/>
    <cellStyle name="Normal 6 3 3 2" xfId="10275" xr:uid="{00000000-0005-0000-0000-0000848D0000}"/>
    <cellStyle name="Normal 6 3 3 2 2" xfId="13896" xr:uid="{00000000-0005-0000-0000-0000858D0000}"/>
    <cellStyle name="Normal 6 3 3 3" xfId="24530" xr:uid="{00000000-0005-0000-0000-0000868D0000}"/>
    <cellStyle name="Normal 6 3 3 4" xfId="24531" xr:uid="{00000000-0005-0000-0000-0000878D0000}"/>
    <cellStyle name="Normal 6 3 3 5" xfId="24532" xr:uid="{00000000-0005-0000-0000-0000888D0000}"/>
    <cellStyle name="Normal 6 3 3 6" xfId="24533" xr:uid="{00000000-0005-0000-0000-0000898D0000}"/>
    <cellStyle name="Normal 6 3 3 7" xfId="35445" xr:uid="{00000000-0005-0000-0000-00008A8D0000}"/>
    <cellStyle name="Normal 6 3 3 8" xfId="8505" xr:uid="{00000000-0005-0000-0000-00008B8D0000}"/>
    <cellStyle name="Normal 6 3 4" xfId="4829" xr:uid="{00000000-0005-0000-0000-00008C8D0000}"/>
    <cellStyle name="Normal 6 3 4 2" xfId="10276" xr:uid="{00000000-0005-0000-0000-00008D8D0000}"/>
    <cellStyle name="Normal 6 3 4 2 2" xfId="13897" xr:uid="{00000000-0005-0000-0000-00008E8D0000}"/>
    <cellStyle name="Normal 6 3 4 3" xfId="12493" xr:uid="{00000000-0005-0000-0000-00008F8D0000}"/>
    <cellStyle name="Normal 6 3 4 4" xfId="35800" xr:uid="{00000000-0005-0000-0000-0000908D0000}"/>
    <cellStyle name="Normal 6 3 4 5" xfId="8312" xr:uid="{00000000-0005-0000-0000-0000918D0000}"/>
    <cellStyle name="Normal 6 3 5" xfId="10277" xr:uid="{00000000-0005-0000-0000-0000928D0000}"/>
    <cellStyle name="Normal 6 3 5 2" xfId="13898" xr:uid="{00000000-0005-0000-0000-0000938D0000}"/>
    <cellStyle name="Normal 6 3 5 3" xfId="37866" xr:uid="{00000000-0005-0000-0000-0000948D0000}"/>
    <cellStyle name="Normal 6 3 6" xfId="10271" xr:uid="{00000000-0005-0000-0000-0000958D0000}"/>
    <cellStyle name="Normal 6 3 6 2" xfId="13892" xr:uid="{00000000-0005-0000-0000-0000968D0000}"/>
    <cellStyle name="Normal 6 3 7" xfId="24534" xr:uid="{00000000-0005-0000-0000-0000978D0000}"/>
    <cellStyle name="Normal 6 3 8" xfId="24535" xr:uid="{00000000-0005-0000-0000-0000988D0000}"/>
    <cellStyle name="Normal 6 3 9" xfId="24536" xr:uid="{00000000-0005-0000-0000-0000998D0000}"/>
    <cellStyle name="Normal 6 4" xfId="1629" xr:uid="{00000000-0005-0000-0000-00009A8D0000}"/>
    <cellStyle name="Normal 6 4 2" xfId="3804" xr:uid="{00000000-0005-0000-0000-00009B8D0000}"/>
    <cellStyle name="Normal 6 4 2 2" xfId="13899" xr:uid="{00000000-0005-0000-0000-00009C8D0000}"/>
    <cellStyle name="Normal 6 4 2 3" xfId="35446" xr:uid="{00000000-0005-0000-0000-00009D8D0000}"/>
    <cellStyle name="Normal 6 4 2 4" xfId="10278" xr:uid="{00000000-0005-0000-0000-00009E8D0000}"/>
    <cellStyle name="Normal 6 4 3" xfId="4830" xr:uid="{00000000-0005-0000-0000-00009F8D0000}"/>
    <cellStyle name="Normal 6 4 3 2" xfId="35801" xr:uid="{00000000-0005-0000-0000-0000A08D0000}"/>
    <cellStyle name="Normal 6 4 3 3" xfId="24537" xr:uid="{00000000-0005-0000-0000-0000A18D0000}"/>
    <cellStyle name="Normal 6 4 4" xfId="24538" xr:uid="{00000000-0005-0000-0000-0000A28D0000}"/>
    <cellStyle name="Normal 6 4 4 2" xfId="37867" xr:uid="{00000000-0005-0000-0000-0000A38D0000}"/>
    <cellStyle name="Normal 6 4 5" xfId="24539" xr:uid="{00000000-0005-0000-0000-0000A48D0000}"/>
    <cellStyle name="Normal 6 4 6" xfId="24540" xr:uid="{00000000-0005-0000-0000-0000A58D0000}"/>
    <cellStyle name="Normal 6 4 7" xfId="24541" xr:uid="{00000000-0005-0000-0000-0000A68D0000}"/>
    <cellStyle name="Normal 6 5" xfId="3797" xr:uid="{00000000-0005-0000-0000-0000A78D0000}"/>
    <cellStyle name="Normal 6 5 2" xfId="10279" xr:uid="{00000000-0005-0000-0000-0000A88D0000}"/>
    <cellStyle name="Normal 6 5 2 2" xfId="13900" xr:uid="{00000000-0005-0000-0000-0000A98D0000}"/>
    <cellStyle name="Normal 6 5 3" xfId="24542" xr:uid="{00000000-0005-0000-0000-0000AA8D0000}"/>
    <cellStyle name="Normal 6 5 4" xfId="24543" xr:uid="{00000000-0005-0000-0000-0000AB8D0000}"/>
    <cellStyle name="Normal 6 5 5" xfId="24544" xr:uid="{00000000-0005-0000-0000-0000AC8D0000}"/>
    <cellStyle name="Normal 6 5 6" xfId="24545" xr:uid="{00000000-0005-0000-0000-0000AD8D0000}"/>
    <cellStyle name="Normal 6 5 7" xfId="35443" xr:uid="{00000000-0005-0000-0000-0000AE8D0000}"/>
    <cellStyle name="Normal 6 5 8" xfId="8392" xr:uid="{00000000-0005-0000-0000-0000AF8D0000}"/>
    <cellStyle name="Normal 6 6" xfId="4827" xr:uid="{00000000-0005-0000-0000-0000B08D0000}"/>
    <cellStyle name="Normal 6 6 2" xfId="13883" xr:uid="{00000000-0005-0000-0000-0000B18D0000}"/>
    <cellStyle name="Normal 6 6 3" xfId="35798" xr:uid="{00000000-0005-0000-0000-0000B28D0000}"/>
    <cellStyle name="Normal 6 6 4" xfId="10262" xr:uid="{00000000-0005-0000-0000-0000B38D0000}"/>
    <cellStyle name="Normal 6 7" xfId="24546" xr:uid="{00000000-0005-0000-0000-0000B48D0000}"/>
    <cellStyle name="Normal 6 7 2" xfId="37864" xr:uid="{00000000-0005-0000-0000-0000B58D0000}"/>
    <cellStyle name="Normal 6 8" xfId="24547" xr:uid="{00000000-0005-0000-0000-0000B68D0000}"/>
    <cellStyle name="Normal 6 9" xfId="24548" xr:uid="{00000000-0005-0000-0000-0000B78D0000}"/>
    <cellStyle name="Normal 6_TRA" xfId="3805" xr:uid="{00000000-0005-0000-0000-0000B88D0000}"/>
    <cellStyle name="Normal 60" xfId="7765" xr:uid="{00000000-0005-0000-0000-0000B98D0000}"/>
    <cellStyle name="Normal 60 2" xfId="10280" xr:uid="{00000000-0005-0000-0000-0000BA8D0000}"/>
    <cellStyle name="Normal 60 2 2" xfId="13901" xr:uid="{00000000-0005-0000-0000-0000BB8D0000}"/>
    <cellStyle name="Normal 60 3" xfId="12388" xr:uid="{00000000-0005-0000-0000-0000BC8D0000}"/>
    <cellStyle name="Normal 61" xfId="8374" xr:uid="{00000000-0005-0000-0000-0000BD8D0000}"/>
    <cellStyle name="Normal 61 2" xfId="10281" xr:uid="{00000000-0005-0000-0000-0000BE8D0000}"/>
    <cellStyle name="Normal 61 2 2" xfId="13902" xr:uid="{00000000-0005-0000-0000-0000BF8D0000}"/>
    <cellStyle name="Normal 61 3" xfId="12499" xr:uid="{00000000-0005-0000-0000-0000C08D0000}"/>
    <cellStyle name="Normal 62" xfId="7885" xr:uid="{00000000-0005-0000-0000-0000C18D0000}"/>
    <cellStyle name="Normal 62 2" xfId="10282" xr:uid="{00000000-0005-0000-0000-0000C28D0000}"/>
    <cellStyle name="Normal 62 2 2" xfId="13903" xr:uid="{00000000-0005-0000-0000-0000C38D0000}"/>
    <cellStyle name="Normal 62 3" xfId="12389" xr:uid="{00000000-0005-0000-0000-0000C48D0000}"/>
    <cellStyle name="Normal 63" xfId="10283" xr:uid="{00000000-0005-0000-0000-0000C58D0000}"/>
    <cellStyle name="Normal 63 2" xfId="13904" xr:uid="{00000000-0005-0000-0000-0000C68D0000}"/>
    <cellStyle name="Normal 64" xfId="8672" xr:uid="{00000000-0005-0000-0000-0000C78D0000}"/>
    <cellStyle name="Normal 64 2" xfId="12674" xr:uid="{00000000-0005-0000-0000-0000C88D0000}"/>
    <cellStyle name="Normal 65" xfId="11582" xr:uid="{00000000-0005-0000-0000-0000C98D0000}"/>
    <cellStyle name="Normal 65 2" xfId="15204" xr:uid="{00000000-0005-0000-0000-0000CA8D0000}"/>
    <cellStyle name="Normal 66" xfId="11585" xr:uid="{00000000-0005-0000-0000-0000CB8D0000}"/>
    <cellStyle name="Normal 66 2" xfId="15206" xr:uid="{00000000-0005-0000-0000-0000CC8D0000}"/>
    <cellStyle name="Normal 67" xfId="11587" xr:uid="{00000000-0005-0000-0000-0000CD8D0000}"/>
    <cellStyle name="Normal 67 2" xfId="15207" xr:uid="{00000000-0005-0000-0000-0000CE8D0000}"/>
    <cellStyle name="Normal 68" xfId="11589" xr:uid="{00000000-0005-0000-0000-0000CF8D0000}"/>
    <cellStyle name="Normal 68 2" xfId="15208" xr:uid="{00000000-0005-0000-0000-0000D08D0000}"/>
    <cellStyle name="Normal 69" xfId="11612" xr:uid="{00000000-0005-0000-0000-0000D18D0000}"/>
    <cellStyle name="Normal 69 2" xfId="15225" xr:uid="{00000000-0005-0000-0000-0000D28D0000}"/>
    <cellStyle name="Normal 7" xfId="7" xr:uid="{00000000-0005-0000-0000-0000D38D0000}"/>
    <cellStyle name="Normal 7 10" xfId="24549" xr:uid="{00000000-0005-0000-0000-0000D48D0000}"/>
    <cellStyle name="Normal 7 11" xfId="24550" xr:uid="{00000000-0005-0000-0000-0000D58D0000}"/>
    <cellStyle name="Normal 7 2" xfId="1630" xr:uid="{00000000-0005-0000-0000-0000D68D0000}"/>
    <cellStyle name="Normal 7 2 2" xfId="3807" xr:uid="{00000000-0005-0000-0000-0000D78D0000}"/>
    <cellStyle name="Normal 7 2 2 2" xfId="13906" xr:uid="{00000000-0005-0000-0000-0000D88D0000}"/>
    <cellStyle name="Normal 7 2 2 3" xfId="35448" xr:uid="{00000000-0005-0000-0000-0000D98D0000}"/>
    <cellStyle name="Normal 7 2 2 4" xfId="10285" xr:uid="{00000000-0005-0000-0000-0000DA8D0000}"/>
    <cellStyle name="Normal 7 2 3" xfId="4832" xr:uid="{00000000-0005-0000-0000-0000DB8D0000}"/>
    <cellStyle name="Normal 7 2 3 2" xfId="35803" xr:uid="{00000000-0005-0000-0000-0000DC8D0000}"/>
    <cellStyle name="Normal 7 2 3 3" xfId="24551" xr:uid="{00000000-0005-0000-0000-0000DD8D0000}"/>
    <cellStyle name="Normal 7 2 4" xfId="24552" xr:uid="{00000000-0005-0000-0000-0000DE8D0000}"/>
    <cellStyle name="Normal 7 2 4 2" xfId="37869" xr:uid="{00000000-0005-0000-0000-0000DF8D0000}"/>
    <cellStyle name="Normal 7 2 5" xfId="24553" xr:uid="{00000000-0005-0000-0000-0000E08D0000}"/>
    <cellStyle name="Normal 7 2 6" xfId="24554" xr:uid="{00000000-0005-0000-0000-0000E18D0000}"/>
    <cellStyle name="Normal 7 2 7" xfId="24555" xr:uid="{00000000-0005-0000-0000-0000E28D0000}"/>
    <cellStyle name="Normal 7 3" xfId="1631" xr:uid="{00000000-0005-0000-0000-0000E38D0000}"/>
    <cellStyle name="Normal 7 3 2" xfId="3808" xr:uid="{00000000-0005-0000-0000-0000E48D0000}"/>
    <cellStyle name="Normal 7 3 2 2" xfId="13907" xr:uid="{00000000-0005-0000-0000-0000E58D0000}"/>
    <cellStyle name="Normal 7 3 2 3" xfId="35449" xr:uid="{00000000-0005-0000-0000-0000E68D0000}"/>
    <cellStyle name="Normal 7 3 2 4" xfId="10286" xr:uid="{00000000-0005-0000-0000-0000E78D0000}"/>
    <cellStyle name="Normal 7 3 3" xfId="4833" xr:uid="{00000000-0005-0000-0000-0000E88D0000}"/>
    <cellStyle name="Normal 7 3 3 2" xfId="35804" xr:uid="{00000000-0005-0000-0000-0000E98D0000}"/>
    <cellStyle name="Normal 7 3 3 3" xfId="24556" xr:uid="{00000000-0005-0000-0000-0000EA8D0000}"/>
    <cellStyle name="Normal 7 3 4" xfId="24557" xr:uid="{00000000-0005-0000-0000-0000EB8D0000}"/>
    <cellStyle name="Normal 7 3 4 2" xfId="37870" xr:uid="{00000000-0005-0000-0000-0000EC8D0000}"/>
    <cellStyle name="Normal 7 3 5" xfId="24558" xr:uid="{00000000-0005-0000-0000-0000ED8D0000}"/>
    <cellStyle name="Normal 7 3 6" xfId="24559" xr:uid="{00000000-0005-0000-0000-0000EE8D0000}"/>
    <cellStyle name="Normal 7 3 7" xfId="24560" xr:uid="{00000000-0005-0000-0000-0000EF8D0000}"/>
    <cellStyle name="Normal 7 4" xfId="1632" xr:uid="{00000000-0005-0000-0000-0000F08D0000}"/>
    <cellStyle name="Normal 7 4 2" xfId="3809" xr:uid="{00000000-0005-0000-0000-0000F18D0000}"/>
    <cellStyle name="Normal 7 4 2 2" xfId="13908" xr:uid="{00000000-0005-0000-0000-0000F28D0000}"/>
    <cellStyle name="Normal 7 4 2 3" xfId="35450" xr:uid="{00000000-0005-0000-0000-0000F38D0000}"/>
    <cellStyle name="Normal 7 4 2 4" xfId="10287" xr:uid="{00000000-0005-0000-0000-0000F48D0000}"/>
    <cellStyle name="Normal 7 4 3" xfId="4834" xr:uid="{00000000-0005-0000-0000-0000F58D0000}"/>
    <cellStyle name="Normal 7 4 3 2" xfId="35805" xr:uid="{00000000-0005-0000-0000-0000F68D0000}"/>
    <cellStyle name="Normal 7 4 3 3" xfId="24561" xr:uid="{00000000-0005-0000-0000-0000F78D0000}"/>
    <cellStyle name="Normal 7 4 4" xfId="24562" xr:uid="{00000000-0005-0000-0000-0000F88D0000}"/>
    <cellStyle name="Normal 7 4 4 2" xfId="37871" xr:uid="{00000000-0005-0000-0000-0000F98D0000}"/>
    <cellStyle name="Normal 7 4 5" xfId="24563" xr:uid="{00000000-0005-0000-0000-0000FA8D0000}"/>
    <cellStyle name="Normal 7 4 6" xfId="24564" xr:uid="{00000000-0005-0000-0000-0000FB8D0000}"/>
    <cellStyle name="Normal 7 4 7" xfId="24565" xr:uid="{00000000-0005-0000-0000-0000FC8D0000}"/>
    <cellStyle name="Normal 7 5" xfId="3806" xr:uid="{00000000-0005-0000-0000-0000FD8D0000}"/>
    <cellStyle name="Normal 7 5 2" xfId="13905" xr:uid="{00000000-0005-0000-0000-0000FE8D0000}"/>
    <cellStyle name="Normal 7 5 3" xfId="35447" xr:uid="{00000000-0005-0000-0000-0000FF8D0000}"/>
    <cellStyle name="Normal 7 5 4" xfId="10284" xr:uid="{00000000-0005-0000-0000-0000008E0000}"/>
    <cellStyle name="Normal 7 6" xfId="4831" xr:uid="{00000000-0005-0000-0000-0000018E0000}"/>
    <cellStyle name="Normal 7 6 2" xfId="35802" xr:uid="{00000000-0005-0000-0000-0000028E0000}"/>
    <cellStyle name="Normal 7 6 3" xfId="24566" xr:uid="{00000000-0005-0000-0000-0000038E0000}"/>
    <cellStyle name="Normal 7 7" xfId="24567" xr:uid="{00000000-0005-0000-0000-0000048E0000}"/>
    <cellStyle name="Normal 7 7 2" xfId="37868" xr:uid="{00000000-0005-0000-0000-0000058E0000}"/>
    <cellStyle name="Normal 7 8" xfId="24568" xr:uid="{00000000-0005-0000-0000-0000068E0000}"/>
    <cellStyle name="Normal 7 9" xfId="24569" xr:uid="{00000000-0005-0000-0000-0000078E0000}"/>
    <cellStyle name="Normal 70" xfId="11615" xr:uid="{00000000-0005-0000-0000-0000088E0000}"/>
    <cellStyle name="Normal 70 2" xfId="15227" xr:uid="{00000000-0005-0000-0000-0000098E0000}"/>
    <cellStyle name="Normal 71" xfId="11590" xr:uid="{00000000-0005-0000-0000-00000A8E0000}"/>
    <cellStyle name="Normal 71 2" xfId="15209" xr:uid="{00000000-0005-0000-0000-00000B8E0000}"/>
    <cellStyle name="Normal 72" xfId="11592" xr:uid="{00000000-0005-0000-0000-00000C8E0000}"/>
    <cellStyle name="Normal 72 2" xfId="15210" xr:uid="{00000000-0005-0000-0000-00000D8E0000}"/>
    <cellStyle name="Normal 73" xfId="11594" xr:uid="{00000000-0005-0000-0000-00000E8E0000}"/>
    <cellStyle name="Normal 73 2" xfId="15211" xr:uid="{00000000-0005-0000-0000-00000F8E0000}"/>
    <cellStyle name="Normal 74" xfId="11596" xr:uid="{00000000-0005-0000-0000-0000108E0000}"/>
    <cellStyle name="Normal 74 2" xfId="15212" xr:uid="{00000000-0005-0000-0000-0000118E0000}"/>
    <cellStyle name="Normal 75" xfId="11598" xr:uid="{00000000-0005-0000-0000-0000128E0000}"/>
    <cellStyle name="Normal 75 2" xfId="15213" xr:uid="{00000000-0005-0000-0000-0000138E0000}"/>
    <cellStyle name="Normal 76" xfId="11606" xr:uid="{00000000-0005-0000-0000-0000148E0000}"/>
    <cellStyle name="Normal 76 2" xfId="15220" xr:uid="{00000000-0005-0000-0000-0000158E0000}"/>
    <cellStyle name="Normal 77" xfId="11628" xr:uid="{00000000-0005-0000-0000-0000168E0000}"/>
    <cellStyle name="Normal 77 2" xfId="15234" xr:uid="{00000000-0005-0000-0000-0000178E0000}"/>
    <cellStyle name="Normal 78" xfId="11609" xr:uid="{00000000-0005-0000-0000-0000188E0000}"/>
    <cellStyle name="Normal 78 2" xfId="15223" xr:uid="{00000000-0005-0000-0000-0000198E0000}"/>
    <cellStyle name="Normal 79" xfId="11611" xr:uid="{00000000-0005-0000-0000-00001A8E0000}"/>
    <cellStyle name="Normal 79 2" xfId="15224" xr:uid="{00000000-0005-0000-0000-00001B8E0000}"/>
    <cellStyle name="Normal 8" xfId="1633" xr:uid="{00000000-0005-0000-0000-00001C8E0000}"/>
    <cellStyle name="Normal 8 10" xfId="3811" xr:uid="{00000000-0005-0000-0000-00001D8E0000}"/>
    <cellStyle name="Normal 8 10 2" xfId="8038" xr:uid="{00000000-0005-0000-0000-00001E8E0000}"/>
    <cellStyle name="Normal 8 10 2 2" xfId="10290" xr:uid="{00000000-0005-0000-0000-00001F8E0000}"/>
    <cellStyle name="Normal 8 10 2 2 2" xfId="13911" xr:uid="{00000000-0005-0000-0000-0000208E0000}"/>
    <cellStyle name="Normal 8 10 2 3" xfId="12392" xr:uid="{00000000-0005-0000-0000-0000218E0000}"/>
    <cellStyle name="Normal 8 10 3" xfId="10289" xr:uid="{00000000-0005-0000-0000-0000228E0000}"/>
    <cellStyle name="Normal 8 10 3 2" xfId="13910" xr:uid="{00000000-0005-0000-0000-0000238E0000}"/>
    <cellStyle name="Normal 8 10 4" xfId="24570" xr:uid="{00000000-0005-0000-0000-0000248E0000}"/>
    <cellStyle name="Normal 8 10 5" xfId="24571" xr:uid="{00000000-0005-0000-0000-0000258E0000}"/>
    <cellStyle name="Normal 8 10 6" xfId="24572" xr:uid="{00000000-0005-0000-0000-0000268E0000}"/>
    <cellStyle name="Normal 8 10 7" xfId="24573" xr:uid="{00000000-0005-0000-0000-0000278E0000}"/>
    <cellStyle name="Normal 8 11" xfId="3812" xr:uid="{00000000-0005-0000-0000-0000288E0000}"/>
    <cellStyle name="Normal 8 11 2" xfId="5472" xr:uid="{00000000-0005-0000-0000-0000298E0000}"/>
    <cellStyle name="Normal 8 11 2 2" xfId="6153" xr:uid="{00000000-0005-0000-0000-00002A8E0000}"/>
    <cellStyle name="Normal 8 11 2 2 2" xfId="40463" xr:uid="{00000000-0005-0000-0000-00002B8E0000}"/>
    <cellStyle name="Normal 8 11 2 2 3" xfId="13912" xr:uid="{00000000-0005-0000-0000-00002C8E0000}"/>
    <cellStyle name="Normal 8 11 2 3" xfId="6473" xr:uid="{00000000-0005-0000-0000-00002D8E0000}"/>
    <cellStyle name="Normal 8 11 2 3 2" xfId="40843" xr:uid="{00000000-0005-0000-0000-00002E8E0000}"/>
    <cellStyle name="Normal 8 11 2 3 3" xfId="39277" xr:uid="{00000000-0005-0000-0000-00002F8E0000}"/>
    <cellStyle name="Normal 8 11 2 4" xfId="39737" xr:uid="{00000000-0005-0000-0000-0000308E0000}"/>
    <cellStyle name="Normal 8 11 2 4 2" xfId="41322" xr:uid="{00000000-0005-0000-0000-0000318E0000}"/>
    <cellStyle name="Normal 8 11 2 5" xfId="39991" xr:uid="{00000000-0005-0000-0000-0000328E0000}"/>
    <cellStyle name="Normal 8 11 2 6" xfId="10291" xr:uid="{00000000-0005-0000-0000-0000338E0000}"/>
    <cellStyle name="Normal 8 11 3" xfId="4525" xr:uid="{00000000-0005-0000-0000-0000348E0000}"/>
    <cellStyle name="Normal 8 11 3 2" xfId="5976" xr:uid="{00000000-0005-0000-0000-0000358E0000}"/>
    <cellStyle name="Normal 8 11 3 2 2" xfId="41150" xr:uid="{00000000-0005-0000-0000-0000368E0000}"/>
    <cellStyle name="Normal 8 11 3 2 3" xfId="39570" xr:uid="{00000000-0005-0000-0000-0000378E0000}"/>
    <cellStyle name="Normal 8 11 3 3" xfId="40295" xr:uid="{00000000-0005-0000-0000-0000388E0000}"/>
    <cellStyle name="Normal 8 11 3 4" xfId="12594" xr:uid="{00000000-0005-0000-0000-0000398E0000}"/>
    <cellStyle name="Normal 8 11 4" xfId="5838" xr:uid="{00000000-0005-0000-0000-00003A8E0000}"/>
    <cellStyle name="Normal 8 11 4 2" xfId="40160" xr:uid="{00000000-0005-0000-0000-00003B8E0000}"/>
    <cellStyle name="Normal 8 11 4 3" xfId="38471" xr:uid="{00000000-0005-0000-0000-00003C8E0000}"/>
    <cellStyle name="Normal 8 11 5" xfId="6297" xr:uid="{00000000-0005-0000-0000-00003D8E0000}"/>
    <cellStyle name="Normal 8 11 5 2" xfId="40706" xr:uid="{00000000-0005-0000-0000-00003E8E0000}"/>
    <cellStyle name="Normal 8 11 5 3" xfId="39135" xr:uid="{00000000-0005-0000-0000-00003F8E0000}"/>
    <cellStyle name="Normal 8 11 6" xfId="39439" xr:uid="{00000000-0005-0000-0000-0000408E0000}"/>
    <cellStyle name="Normal 8 11 6 2" xfId="41013" xr:uid="{00000000-0005-0000-0000-0000418E0000}"/>
    <cellStyle name="Normal 8 11 7" xfId="39856" xr:uid="{00000000-0005-0000-0000-0000428E0000}"/>
    <cellStyle name="Normal 8 11 8" xfId="8585" xr:uid="{00000000-0005-0000-0000-0000438E0000}"/>
    <cellStyle name="Normal 8 12" xfId="3810" xr:uid="{00000000-0005-0000-0000-0000448E0000}"/>
    <cellStyle name="Normal 8 12 2" xfId="5471" xr:uid="{00000000-0005-0000-0000-0000458E0000}"/>
    <cellStyle name="Normal 8 12 2 2" xfId="6152" xr:uid="{00000000-0005-0000-0000-0000468E0000}"/>
    <cellStyle name="Normal 8 12 2 2 2" xfId="41321" xr:uid="{00000000-0005-0000-0000-0000478E0000}"/>
    <cellStyle name="Normal 8 12 2 2 3" xfId="39736" xr:uid="{00000000-0005-0000-0000-0000488E0000}"/>
    <cellStyle name="Normal 8 12 2 3" xfId="40462" xr:uid="{00000000-0005-0000-0000-0000498E0000}"/>
    <cellStyle name="Normal 8 12 2 4" xfId="13913" xr:uid="{00000000-0005-0000-0000-00004A8E0000}"/>
    <cellStyle name="Normal 8 12 3" xfId="5837" xr:uid="{00000000-0005-0000-0000-00004B8E0000}"/>
    <cellStyle name="Normal 8 12 3 2" xfId="40159" xr:uid="{00000000-0005-0000-0000-00004C8E0000}"/>
    <cellStyle name="Normal 8 12 3 3" xfId="38470" xr:uid="{00000000-0005-0000-0000-00004D8E0000}"/>
    <cellStyle name="Normal 8 12 4" xfId="6472" xr:uid="{00000000-0005-0000-0000-00004E8E0000}"/>
    <cellStyle name="Normal 8 12 4 2" xfId="40705" xr:uid="{00000000-0005-0000-0000-00004F8E0000}"/>
    <cellStyle name="Normal 8 12 4 3" xfId="39134" xr:uid="{00000000-0005-0000-0000-0000508E0000}"/>
    <cellStyle name="Normal 8 12 5" xfId="39438" xr:uid="{00000000-0005-0000-0000-0000518E0000}"/>
    <cellStyle name="Normal 8 12 5 2" xfId="41012" xr:uid="{00000000-0005-0000-0000-0000528E0000}"/>
    <cellStyle name="Normal 8 12 6" xfId="39939" xr:uid="{00000000-0005-0000-0000-0000538E0000}"/>
    <cellStyle name="Normal 8 12 7" xfId="10292" xr:uid="{00000000-0005-0000-0000-0000548E0000}"/>
    <cellStyle name="Normal 8 13" xfId="4835" xr:uid="{00000000-0005-0000-0000-0000558E0000}"/>
    <cellStyle name="Normal 8 13 2" xfId="6019" xr:uid="{00000000-0005-0000-0000-0000568E0000}"/>
    <cellStyle name="Normal 8 13 2 2" xfId="40787" xr:uid="{00000000-0005-0000-0000-0000578E0000}"/>
    <cellStyle name="Normal 8 13 2 3" xfId="13909" xr:uid="{00000000-0005-0000-0000-0000588E0000}"/>
    <cellStyle name="Normal 8 13 3" xfId="6340" xr:uid="{00000000-0005-0000-0000-0000598E0000}"/>
    <cellStyle name="Normal 8 13 3 2" xfId="41190" xr:uid="{00000000-0005-0000-0000-00005A8E0000}"/>
    <cellStyle name="Normal 8 13 3 3" xfId="39607" xr:uid="{00000000-0005-0000-0000-00005B8E0000}"/>
    <cellStyle name="Normal 8 13 4" xfId="40334" xr:uid="{00000000-0005-0000-0000-00005C8E0000}"/>
    <cellStyle name="Normal 8 13 5" xfId="10288" xr:uid="{00000000-0005-0000-0000-00005D8E0000}"/>
    <cellStyle name="Normal 8 14" xfId="4524" xr:uid="{00000000-0005-0000-0000-00005E8E0000}"/>
    <cellStyle name="Normal 8 14 2" xfId="5975" xr:uid="{00000000-0005-0000-0000-00005F8E0000}"/>
    <cellStyle name="Normal 8 14 2 2" xfId="41149" xr:uid="{00000000-0005-0000-0000-0000608E0000}"/>
    <cellStyle name="Normal 8 14 2 3" xfId="15198" xr:uid="{00000000-0005-0000-0000-0000618E0000}"/>
    <cellStyle name="Normal 8 14 3" xfId="40294" xr:uid="{00000000-0005-0000-0000-0000628E0000}"/>
    <cellStyle name="Normal 8 14 4" xfId="11574" xr:uid="{00000000-0005-0000-0000-0000638E0000}"/>
    <cellStyle name="Normal 8 15" xfId="5705" xr:uid="{00000000-0005-0000-0000-0000648E0000}"/>
    <cellStyle name="Normal 8 15 2" xfId="40028" xr:uid="{00000000-0005-0000-0000-0000658E0000}"/>
    <cellStyle name="Normal 8 15 3" xfId="24574" xr:uid="{00000000-0005-0000-0000-0000668E0000}"/>
    <cellStyle name="Normal 8 16" xfId="6296" xr:uid="{00000000-0005-0000-0000-0000678E0000}"/>
    <cellStyle name="Normal 8 16 2" xfId="40573" xr:uid="{00000000-0005-0000-0000-0000688E0000}"/>
    <cellStyle name="Normal 8 16 3" xfId="24575" xr:uid="{00000000-0005-0000-0000-0000698E0000}"/>
    <cellStyle name="Normal 8 17" xfId="24576" xr:uid="{00000000-0005-0000-0000-00006A8E0000}"/>
    <cellStyle name="Normal 8 17 2" xfId="40880" xr:uid="{00000000-0005-0000-0000-00006B8E0000}"/>
    <cellStyle name="Normal 8 18" xfId="24577" xr:uid="{00000000-0005-0000-0000-00006C8E0000}"/>
    <cellStyle name="Normal 8 2" xfId="1634" xr:uid="{00000000-0005-0000-0000-00006D8E0000}"/>
    <cellStyle name="Normal 8 2 2" xfId="3814" xr:uid="{00000000-0005-0000-0000-00006E8E0000}"/>
    <cellStyle name="Normal 8 2 2 2" xfId="5473" xr:uid="{00000000-0005-0000-0000-00006F8E0000}"/>
    <cellStyle name="Normal 8 2 2 2 2" xfId="10295" xr:uid="{00000000-0005-0000-0000-0000708E0000}"/>
    <cellStyle name="Normal 8 2 2 2 2 2" xfId="13916" xr:uid="{00000000-0005-0000-0000-0000718E0000}"/>
    <cellStyle name="Normal 8 2 2 2 3" xfId="24578" xr:uid="{00000000-0005-0000-0000-0000728E0000}"/>
    <cellStyle name="Normal 8 2 2 2 4" xfId="24579" xr:uid="{00000000-0005-0000-0000-0000738E0000}"/>
    <cellStyle name="Normal 8 2 2 2 5" xfId="24580" xr:uid="{00000000-0005-0000-0000-0000748E0000}"/>
    <cellStyle name="Normal 8 2 2 2 6" xfId="24581" xr:uid="{00000000-0005-0000-0000-0000758E0000}"/>
    <cellStyle name="Normal 8 2 2 3" xfId="10294" xr:uid="{00000000-0005-0000-0000-0000768E0000}"/>
    <cellStyle name="Normal 8 2 2 3 2" xfId="13915" xr:uid="{00000000-0005-0000-0000-0000778E0000}"/>
    <cellStyle name="Normal 8 2 2 3 3" xfId="38472" xr:uid="{00000000-0005-0000-0000-0000788E0000}"/>
    <cellStyle name="Normal 8 2 2 4" xfId="24582" xr:uid="{00000000-0005-0000-0000-0000798E0000}"/>
    <cellStyle name="Normal 8 2 2 5" xfId="24583" xr:uid="{00000000-0005-0000-0000-00007A8E0000}"/>
    <cellStyle name="Normal 8 2 2 6" xfId="24584" xr:uid="{00000000-0005-0000-0000-00007B8E0000}"/>
    <cellStyle name="Normal 8 2 2 7" xfId="24585" xr:uid="{00000000-0005-0000-0000-00007C8E0000}"/>
    <cellStyle name="Normal 8 2 3" xfId="3813" xr:uid="{00000000-0005-0000-0000-00007D8E0000}"/>
    <cellStyle name="Normal 8 2 3 2" xfId="10296" xr:uid="{00000000-0005-0000-0000-00007E8E0000}"/>
    <cellStyle name="Normal 8 2 3 2 2" xfId="13917" xr:uid="{00000000-0005-0000-0000-00007F8E0000}"/>
    <cellStyle name="Normal 8 2 3 3" xfId="24586" xr:uid="{00000000-0005-0000-0000-0000808E0000}"/>
    <cellStyle name="Normal 8 2 3 4" xfId="24587" xr:uid="{00000000-0005-0000-0000-0000818E0000}"/>
    <cellStyle name="Normal 8 2 3 5" xfId="24588" xr:uid="{00000000-0005-0000-0000-0000828E0000}"/>
    <cellStyle name="Normal 8 2 3 6" xfId="24589" xr:uid="{00000000-0005-0000-0000-0000838E0000}"/>
    <cellStyle name="Normal 8 2 4" xfId="4836" xr:uid="{00000000-0005-0000-0000-0000848E0000}"/>
    <cellStyle name="Normal 8 2 4 2" xfId="13914" xr:uid="{00000000-0005-0000-0000-0000858E0000}"/>
    <cellStyle name="Normal 8 2 4 3" xfId="35806" xr:uid="{00000000-0005-0000-0000-0000868E0000}"/>
    <cellStyle name="Normal 8 2 4 4" xfId="10293" xr:uid="{00000000-0005-0000-0000-0000878E0000}"/>
    <cellStyle name="Normal 8 2 5" xfId="24590" xr:uid="{00000000-0005-0000-0000-0000888E0000}"/>
    <cellStyle name="Normal 8 2 5 2" xfId="37872" xr:uid="{00000000-0005-0000-0000-0000898E0000}"/>
    <cellStyle name="Normal 8 2 6" xfId="24591" xr:uid="{00000000-0005-0000-0000-00008A8E0000}"/>
    <cellStyle name="Normal 8 2 7" xfId="24592" xr:uid="{00000000-0005-0000-0000-00008B8E0000}"/>
    <cellStyle name="Normal 8 2 8" xfId="24593" xr:uid="{00000000-0005-0000-0000-00008C8E0000}"/>
    <cellStyle name="Normal 8 2 9" xfId="24594" xr:uid="{00000000-0005-0000-0000-00008D8E0000}"/>
    <cellStyle name="Normal 8 2_ELC" xfId="3815" xr:uid="{00000000-0005-0000-0000-00008E8E0000}"/>
    <cellStyle name="Normal 8 3" xfId="1635" xr:uid="{00000000-0005-0000-0000-00008F8E0000}"/>
    <cellStyle name="Normal 8 3 10" xfId="39775" xr:uid="{00000000-0005-0000-0000-0000908E0000}"/>
    <cellStyle name="Normal 8 3 2" xfId="3817" xr:uid="{00000000-0005-0000-0000-0000918E0000}"/>
    <cellStyle name="Normal 8 3 2 2" xfId="5475" xr:uid="{00000000-0005-0000-0000-0000928E0000}"/>
    <cellStyle name="Normal 8 3 2 2 2" xfId="10299" xr:uid="{00000000-0005-0000-0000-0000938E0000}"/>
    <cellStyle name="Normal 8 3 2 2 2 2" xfId="13920" xr:uid="{00000000-0005-0000-0000-0000948E0000}"/>
    <cellStyle name="Normal 8 3 2 2 3" xfId="24595" xr:uid="{00000000-0005-0000-0000-0000958E0000}"/>
    <cellStyle name="Normal 8 3 2 2 4" xfId="24596" xr:uid="{00000000-0005-0000-0000-0000968E0000}"/>
    <cellStyle name="Normal 8 3 2 2 5" xfId="24597" xr:uid="{00000000-0005-0000-0000-0000978E0000}"/>
    <cellStyle name="Normal 8 3 2 2 6" xfId="24598" xr:uid="{00000000-0005-0000-0000-0000988E0000}"/>
    <cellStyle name="Normal 8 3 2 3" xfId="8314" xr:uid="{00000000-0005-0000-0000-0000998E0000}"/>
    <cellStyle name="Normal 8 3 2 3 2" xfId="10300" xr:uid="{00000000-0005-0000-0000-00009A8E0000}"/>
    <cellStyle name="Normal 8 3 2 3 2 2" xfId="13921" xr:uid="{00000000-0005-0000-0000-00009B8E0000}"/>
    <cellStyle name="Normal 8 3 2 3 3" xfId="12494" xr:uid="{00000000-0005-0000-0000-00009C8E0000}"/>
    <cellStyle name="Normal 8 3 2 3 4" xfId="38474" xr:uid="{00000000-0005-0000-0000-00009D8E0000}"/>
    <cellStyle name="Normal 8 3 2 4" xfId="10298" xr:uid="{00000000-0005-0000-0000-00009E8E0000}"/>
    <cellStyle name="Normal 8 3 2 4 2" xfId="13919" xr:uid="{00000000-0005-0000-0000-00009F8E0000}"/>
    <cellStyle name="Normal 8 3 2 5" xfId="24599" xr:uid="{00000000-0005-0000-0000-0000A08E0000}"/>
    <cellStyle name="Normal 8 3 2 6" xfId="24600" xr:uid="{00000000-0005-0000-0000-0000A18E0000}"/>
    <cellStyle name="Normal 8 3 2 7" xfId="24601" xr:uid="{00000000-0005-0000-0000-0000A28E0000}"/>
    <cellStyle name="Normal 8 3 2 8" xfId="24602" xr:uid="{00000000-0005-0000-0000-0000A38E0000}"/>
    <cellStyle name="Normal 8 3 3" xfId="3818" xr:uid="{00000000-0005-0000-0000-0000A48E0000}"/>
    <cellStyle name="Normal 8 3 3 2" xfId="5476" xr:uid="{00000000-0005-0000-0000-0000A58E0000}"/>
    <cellStyle name="Normal 8 3 3 2 2" xfId="6155" xr:uid="{00000000-0005-0000-0000-0000A68E0000}"/>
    <cellStyle name="Normal 8 3 3 2 2 2" xfId="40465" xr:uid="{00000000-0005-0000-0000-0000A78E0000}"/>
    <cellStyle name="Normal 8 3 3 2 2 3" xfId="38905" xr:uid="{00000000-0005-0000-0000-0000A88E0000}"/>
    <cellStyle name="Normal 8 3 3 2 3" xfId="6475" xr:uid="{00000000-0005-0000-0000-0000A98E0000}"/>
    <cellStyle name="Normal 8 3 3 2 3 2" xfId="40844" xr:uid="{00000000-0005-0000-0000-0000AA8E0000}"/>
    <cellStyle name="Normal 8 3 3 2 3 3" xfId="39278" xr:uid="{00000000-0005-0000-0000-0000AB8E0000}"/>
    <cellStyle name="Normal 8 3 3 2 4" xfId="39739" xr:uid="{00000000-0005-0000-0000-0000AC8E0000}"/>
    <cellStyle name="Normal 8 3 3 2 4 2" xfId="41324" xr:uid="{00000000-0005-0000-0000-0000AD8E0000}"/>
    <cellStyle name="Normal 8 3 3 2 5" xfId="39992" xr:uid="{00000000-0005-0000-0000-0000AE8E0000}"/>
    <cellStyle name="Normal 8 3 3 2 6" xfId="13918" xr:uid="{00000000-0005-0000-0000-0000AF8E0000}"/>
    <cellStyle name="Normal 8 3 3 3" xfId="4527" xr:uid="{00000000-0005-0000-0000-0000B08E0000}"/>
    <cellStyle name="Normal 8 3 3 3 2" xfId="5978" xr:uid="{00000000-0005-0000-0000-0000B18E0000}"/>
    <cellStyle name="Normal 8 3 3 3 2 2" xfId="41152" xr:uid="{00000000-0005-0000-0000-0000B28E0000}"/>
    <cellStyle name="Normal 8 3 3 3 2 3" xfId="39572" xr:uid="{00000000-0005-0000-0000-0000B38E0000}"/>
    <cellStyle name="Normal 8 3 3 3 3" xfId="40297" xr:uid="{00000000-0005-0000-0000-0000B48E0000}"/>
    <cellStyle name="Normal 8 3 3 3 4" xfId="35694" xr:uid="{00000000-0005-0000-0000-0000B58E0000}"/>
    <cellStyle name="Normal 8 3 3 4" xfId="5840" xr:uid="{00000000-0005-0000-0000-0000B68E0000}"/>
    <cellStyle name="Normal 8 3 3 4 2" xfId="40162" xr:uid="{00000000-0005-0000-0000-0000B78E0000}"/>
    <cellStyle name="Normal 8 3 3 4 3" xfId="38475" xr:uid="{00000000-0005-0000-0000-0000B88E0000}"/>
    <cellStyle name="Normal 8 3 3 5" xfId="6299" xr:uid="{00000000-0005-0000-0000-0000B98E0000}"/>
    <cellStyle name="Normal 8 3 3 5 2" xfId="40708" xr:uid="{00000000-0005-0000-0000-0000BA8E0000}"/>
    <cellStyle name="Normal 8 3 3 5 3" xfId="39137" xr:uid="{00000000-0005-0000-0000-0000BB8E0000}"/>
    <cellStyle name="Normal 8 3 3 6" xfId="39441" xr:uid="{00000000-0005-0000-0000-0000BC8E0000}"/>
    <cellStyle name="Normal 8 3 3 6 2" xfId="41015" xr:uid="{00000000-0005-0000-0000-0000BD8E0000}"/>
    <cellStyle name="Normal 8 3 3 7" xfId="39857" xr:uid="{00000000-0005-0000-0000-0000BE8E0000}"/>
    <cellStyle name="Normal 8 3 3 8" xfId="10297" xr:uid="{00000000-0005-0000-0000-0000BF8E0000}"/>
    <cellStyle name="Normal 8 3 4" xfId="3816" xr:uid="{00000000-0005-0000-0000-0000C08E0000}"/>
    <cellStyle name="Normal 8 3 4 2" xfId="5474" xr:uid="{00000000-0005-0000-0000-0000C18E0000}"/>
    <cellStyle name="Normal 8 3 4 2 2" xfId="6154" xr:uid="{00000000-0005-0000-0000-0000C28E0000}"/>
    <cellStyle name="Normal 8 3 4 2 2 2" xfId="41323" xr:uid="{00000000-0005-0000-0000-0000C38E0000}"/>
    <cellStyle name="Normal 8 3 4 2 2 3" xfId="39738" xr:uid="{00000000-0005-0000-0000-0000C48E0000}"/>
    <cellStyle name="Normal 8 3 4 2 3" xfId="40464" xr:uid="{00000000-0005-0000-0000-0000C58E0000}"/>
    <cellStyle name="Normal 8 3 4 2 4" xfId="15199" xr:uid="{00000000-0005-0000-0000-0000C68E0000}"/>
    <cellStyle name="Normal 8 3 4 3" xfId="5839" xr:uid="{00000000-0005-0000-0000-0000C78E0000}"/>
    <cellStyle name="Normal 8 3 4 3 2" xfId="40161" xr:uid="{00000000-0005-0000-0000-0000C88E0000}"/>
    <cellStyle name="Normal 8 3 4 3 3" xfId="38473" xr:uid="{00000000-0005-0000-0000-0000C98E0000}"/>
    <cellStyle name="Normal 8 3 4 4" xfId="6474" xr:uid="{00000000-0005-0000-0000-0000CA8E0000}"/>
    <cellStyle name="Normal 8 3 4 4 2" xfId="40707" xr:uid="{00000000-0005-0000-0000-0000CB8E0000}"/>
    <cellStyle name="Normal 8 3 4 4 3" xfId="39136" xr:uid="{00000000-0005-0000-0000-0000CC8E0000}"/>
    <cellStyle name="Normal 8 3 4 5" xfId="39440" xr:uid="{00000000-0005-0000-0000-0000CD8E0000}"/>
    <cellStyle name="Normal 8 3 4 5 2" xfId="41014" xr:uid="{00000000-0005-0000-0000-0000CE8E0000}"/>
    <cellStyle name="Normal 8 3 4 6" xfId="39940" xr:uid="{00000000-0005-0000-0000-0000CF8E0000}"/>
    <cellStyle name="Normal 8 3 4 7" xfId="11575" xr:uid="{00000000-0005-0000-0000-0000D08E0000}"/>
    <cellStyle name="Normal 8 3 5" xfId="4837" xr:uid="{00000000-0005-0000-0000-0000D18E0000}"/>
    <cellStyle name="Normal 8 3 5 2" xfId="6020" xr:uid="{00000000-0005-0000-0000-0000D28E0000}"/>
    <cellStyle name="Normal 8 3 5 2 2" xfId="40574" xr:uid="{00000000-0005-0000-0000-0000D38E0000}"/>
    <cellStyle name="Normal 8 3 5 2 3" xfId="39006" xr:uid="{00000000-0005-0000-0000-0000D48E0000}"/>
    <cellStyle name="Normal 8 3 5 3" xfId="6341" xr:uid="{00000000-0005-0000-0000-0000D58E0000}"/>
    <cellStyle name="Normal 8 3 5 3 2" xfId="41191" xr:uid="{00000000-0005-0000-0000-0000D68E0000}"/>
    <cellStyle name="Normal 8 3 5 3 3" xfId="39608" xr:uid="{00000000-0005-0000-0000-0000D78E0000}"/>
    <cellStyle name="Normal 8 3 5 4" xfId="40335" xr:uid="{00000000-0005-0000-0000-0000D88E0000}"/>
    <cellStyle name="Normal 8 3 5 5" xfId="24603" xr:uid="{00000000-0005-0000-0000-0000D98E0000}"/>
    <cellStyle name="Normal 8 3 6" xfId="4526" xr:uid="{00000000-0005-0000-0000-0000DA8E0000}"/>
    <cellStyle name="Normal 8 3 6 2" xfId="5977" xr:uid="{00000000-0005-0000-0000-0000DB8E0000}"/>
    <cellStyle name="Normal 8 3 6 2 2" xfId="40785" xr:uid="{00000000-0005-0000-0000-0000DC8E0000}"/>
    <cellStyle name="Normal 8 3 6 2 3" xfId="39219" xr:uid="{00000000-0005-0000-0000-0000DD8E0000}"/>
    <cellStyle name="Normal 8 3 6 3" xfId="39571" xr:uid="{00000000-0005-0000-0000-0000DE8E0000}"/>
    <cellStyle name="Normal 8 3 6 3 2" xfId="41151" xr:uid="{00000000-0005-0000-0000-0000DF8E0000}"/>
    <cellStyle name="Normal 8 3 6 4" xfId="40296" xr:uid="{00000000-0005-0000-0000-0000E08E0000}"/>
    <cellStyle name="Normal 8 3 6 5" xfId="24604" xr:uid="{00000000-0005-0000-0000-0000E18E0000}"/>
    <cellStyle name="Normal 8 3 7" xfId="5706" xr:uid="{00000000-0005-0000-0000-0000E28E0000}"/>
    <cellStyle name="Normal 8 3 7 2" xfId="40029" xr:uid="{00000000-0005-0000-0000-0000E38E0000}"/>
    <cellStyle name="Normal 8 3 7 3" xfId="24605" xr:uid="{00000000-0005-0000-0000-0000E48E0000}"/>
    <cellStyle name="Normal 8 3 8" xfId="6298" xr:uid="{00000000-0005-0000-0000-0000E58E0000}"/>
    <cellStyle name="Normal 8 3 8 2" xfId="40541" xr:uid="{00000000-0005-0000-0000-0000E68E0000}"/>
    <cellStyle name="Normal 8 3 8 3" xfId="24606" xr:uid="{00000000-0005-0000-0000-0000E78E0000}"/>
    <cellStyle name="Normal 8 3 9" xfId="39310" xr:uid="{00000000-0005-0000-0000-0000E88E0000}"/>
    <cellStyle name="Normal 8 3 9 2" xfId="40881" xr:uid="{00000000-0005-0000-0000-0000E98E0000}"/>
    <cellStyle name="Normal 8 4" xfId="3819" xr:uid="{00000000-0005-0000-0000-0000EA8E0000}"/>
    <cellStyle name="Normal 8 4 2" xfId="5477" xr:uid="{00000000-0005-0000-0000-0000EB8E0000}"/>
    <cellStyle name="Normal 8 4 2 2" xfId="10302" xr:uid="{00000000-0005-0000-0000-0000EC8E0000}"/>
    <cellStyle name="Normal 8 4 2 2 2" xfId="13923" xr:uid="{00000000-0005-0000-0000-0000ED8E0000}"/>
    <cellStyle name="Normal 8 4 2 3" xfId="24607" xr:uid="{00000000-0005-0000-0000-0000EE8E0000}"/>
    <cellStyle name="Normal 8 4 2 4" xfId="24608" xr:uid="{00000000-0005-0000-0000-0000EF8E0000}"/>
    <cellStyle name="Normal 8 4 2 5" xfId="24609" xr:uid="{00000000-0005-0000-0000-0000F08E0000}"/>
    <cellStyle name="Normal 8 4 2 6" xfId="24610" xr:uid="{00000000-0005-0000-0000-0000F18E0000}"/>
    <cellStyle name="Normal 8 4 3" xfId="10301" xr:uid="{00000000-0005-0000-0000-0000F28E0000}"/>
    <cellStyle name="Normal 8 4 3 2" xfId="13922" xr:uid="{00000000-0005-0000-0000-0000F38E0000}"/>
    <cellStyle name="Normal 8 4 3 3" xfId="38476" xr:uid="{00000000-0005-0000-0000-0000F48E0000}"/>
    <cellStyle name="Normal 8 4 4" xfId="24611" xr:uid="{00000000-0005-0000-0000-0000F58E0000}"/>
    <cellStyle name="Normal 8 4 5" xfId="24612" xr:uid="{00000000-0005-0000-0000-0000F68E0000}"/>
    <cellStyle name="Normal 8 4 6" xfId="24613" xr:uid="{00000000-0005-0000-0000-0000F78E0000}"/>
    <cellStyle name="Normal 8 4 7" xfId="24614" xr:uid="{00000000-0005-0000-0000-0000F88E0000}"/>
    <cellStyle name="Normal 8 5" xfId="3820" xr:uid="{00000000-0005-0000-0000-0000F98E0000}"/>
    <cellStyle name="Normal 8 5 2" xfId="5478" xr:uid="{00000000-0005-0000-0000-0000FA8E0000}"/>
    <cellStyle name="Normal 8 5 2 2" xfId="10304" xr:uid="{00000000-0005-0000-0000-0000FB8E0000}"/>
    <cellStyle name="Normal 8 5 2 2 2" xfId="13925" xr:uid="{00000000-0005-0000-0000-0000FC8E0000}"/>
    <cellStyle name="Normal 8 5 2 3" xfId="24615" xr:uid="{00000000-0005-0000-0000-0000FD8E0000}"/>
    <cellStyle name="Normal 8 5 2 4" xfId="24616" xr:uid="{00000000-0005-0000-0000-0000FE8E0000}"/>
    <cellStyle name="Normal 8 5 2 5" xfId="24617" xr:uid="{00000000-0005-0000-0000-0000FF8E0000}"/>
    <cellStyle name="Normal 8 5 2 6" xfId="24618" xr:uid="{00000000-0005-0000-0000-0000008F0000}"/>
    <cellStyle name="Normal 8 5 3" xfId="10303" xr:uid="{00000000-0005-0000-0000-0000018F0000}"/>
    <cellStyle name="Normal 8 5 3 2" xfId="13924" xr:uid="{00000000-0005-0000-0000-0000028F0000}"/>
    <cellStyle name="Normal 8 5 3 3" xfId="38477" xr:uid="{00000000-0005-0000-0000-0000038F0000}"/>
    <cellStyle name="Normal 8 5 4" xfId="24619" xr:uid="{00000000-0005-0000-0000-0000048F0000}"/>
    <cellStyle name="Normal 8 5 5" xfId="24620" xr:uid="{00000000-0005-0000-0000-0000058F0000}"/>
    <cellStyle name="Normal 8 5 6" xfId="24621" xr:uid="{00000000-0005-0000-0000-0000068F0000}"/>
    <cellStyle name="Normal 8 5 7" xfId="24622" xr:uid="{00000000-0005-0000-0000-0000078F0000}"/>
    <cellStyle name="Normal 8 6" xfId="3821" xr:uid="{00000000-0005-0000-0000-0000088F0000}"/>
    <cellStyle name="Normal 8 6 2" xfId="5479" xr:uid="{00000000-0005-0000-0000-0000098F0000}"/>
    <cellStyle name="Normal 8 6 2 2" xfId="10306" xr:uid="{00000000-0005-0000-0000-00000A8F0000}"/>
    <cellStyle name="Normal 8 6 2 2 2" xfId="13927" xr:uid="{00000000-0005-0000-0000-00000B8F0000}"/>
    <cellStyle name="Normal 8 6 2 3" xfId="24623" xr:uid="{00000000-0005-0000-0000-00000C8F0000}"/>
    <cellStyle name="Normal 8 6 2 4" xfId="24624" xr:uid="{00000000-0005-0000-0000-00000D8F0000}"/>
    <cellStyle name="Normal 8 6 2 5" xfId="24625" xr:uid="{00000000-0005-0000-0000-00000E8F0000}"/>
    <cellStyle name="Normal 8 6 2 6" xfId="24626" xr:uid="{00000000-0005-0000-0000-00000F8F0000}"/>
    <cellStyle name="Normal 8 6 3" xfId="10305" xr:uid="{00000000-0005-0000-0000-0000108F0000}"/>
    <cellStyle name="Normal 8 6 3 2" xfId="13926" xr:uid="{00000000-0005-0000-0000-0000118F0000}"/>
    <cellStyle name="Normal 8 6 3 3" xfId="38478" xr:uid="{00000000-0005-0000-0000-0000128F0000}"/>
    <cellStyle name="Normal 8 6 4" xfId="24627" xr:uid="{00000000-0005-0000-0000-0000138F0000}"/>
    <cellStyle name="Normal 8 6 5" xfId="24628" xr:uid="{00000000-0005-0000-0000-0000148F0000}"/>
    <cellStyle name="Normal 8 6 6" xfId="24629" xr:uid="{00000000-0005-0000-0000-0000158F0000}"/>
    <cellStyle name="Normal 8 6 7" xfId="24630" xr:uid="{00000000-0005-0000-0000-0000168F0000}"/>
    <cellStyle name="Normal 8 7" xfId="3822" xr:uid="{00000000-0005-0000-0000-0000178F0000}"/>
    <cellStyle name="Normal 8 7 2" xfId="5480" xr:uid="{00000000-0005-0000-0000-0000188F0000}"/>
    <cellStyle name="Normal 8 7 2 2" xfId="10308" xr:uid="{00000000-0005-0000-0000-0000198F0000}"/>
    <cellStyle name="Normal 8 7 2 2 2" xfId="13929" xr:uid="{00000000-0005-0000-0000-00001A8F0000}"/>
    <cellStyle name="Normal 8 7 2 3" xfId="24631" xr:uid="{00000000-0005-0000-0000-00001B8F0000}"/>
    <cellStyle name="Normal 8 7 2 4" xfId="24632" xr:uid="{00000000-0005-0000-0000-00001C8F0000}"/>
    <cellStyle name="Normal 8 7 2 5" xfId="24633" xr:uid="{00000000-0005-0000-0000-00001D8F0000}"/>
    <cellStyle name="Normal 8 7 2 6" xfId="24634" xr:uid="{00000000-0005-0000-0000-00001E8F0000}"/>
    <cellStyle name="Normal 8 7 3" xfId="10307" xr:uid="{00000000-0005-0000-0000-00001F8F0000}"/>
    <cellStyle name="Normal 8 7 3 2" xfId="13928" xr:uid="{00000000-0005-0000-0000-0000208F0000}"/>
    <cellStyle name="Normal 8 7 3 3" xfId="38479" xr:uid="{00000000-0005-0000-0000-0000218F0000}"/>
    <cellStyle name="Normal 8 7 4" xfId="24635" xr:uid="{00000000-0005-0000-0000-0000228F0000}"/>
    <cellStyle name="Normal 8 7 5" xfId="24636" xr:uid="{00000000-0005-0000-0000-0000238F0000}"/>
    <cellStyle name="Normal 8 7 6" xfId="24637" xr:uid="{00000000-0005-0000-0000-0000248F0000}"/>
    <cellStyle name="Normal 8 7 7" xfId="24638" xr:uid="{00000000-0005-0000-0000-0000258F0000}"/>
    <cellStyle name="Normal 8 8" xfId="3823" xr:uid="{00000000-0005-0000-0000-0000268F0000}"/>
    <cellStyle name="Normal 8 8 2" xfId="5481" xr:uid="{00000000-0005-0000-0000-0000278F0000}"/>
    <cellStyle name="Normal 8 8 2 2" xfId="10310" xr:uid="{00000000-0005-0000-0000-0000288F0000}"/>
    <cellStyle name="Normal 8 8 2 2 2" xfId="13931" xr:uid="{00000000-0005-0000-0000-0000298F0000}"/>
    <cellStyle name="Normal 8 8 2 3" xfId="24639" xr:uid="{00000000-0005-0000-0000-00002A8F0000}"/>
    <cellStyle name="Normal 8 8 2 4" xfId="24640" xr:uid="{00000000-0005-0000-0000-00002B8F0000}"/>
    <cellStyle name="Normal 8 8 2 5" xfId="24641" xr:uid="{00000000-0005-0000-0000-00002C8F0000}"/>
    <cellStyle name="Normal 8 8 2 6" xfId="24642" xr:uid="{00000000-0005-0000-0000-00002D8F0000}"/>
    <cellStyle name="Normal 8 8 3" xfId="10309" xr:uid="{00000000-0005-0000-0000-00002E8F0000}"/>
    <cellStyle name="Normal 8 8 3 2" xfId="13930" xr:uid="{00000000-0005-0000-0000-00002F8F0000}"/>
    <cellStyle name="Normal 8 8 3 3" xfId="38480" xr:uid="{00000000-0005-0000-0000-0000308F0000}"/>
    <cellStyle name="Normal 8 8 4" xfId="24643" xr:uid="{00000000-0005-0000-0000-0000318F0000}"/>
    <cellStyle name="Normal 8 8 5" xfId="24644" xr:uid="{00000000-0005-0000-0000-0000328F0000}"/>
    <cellStyle name="Normal 8 8 6" xfId="24645" xr:uid="{00000000-0005-0000-0000-0000338F0000}"/>
    <cellStyle name="Normal 8 8 7" xfId="24646" xr:uid="{00000000-0005-0000-0000-0000348F0000}"/>
    <cellStyle name="Normal 8 9" xfId="3824" xr:uid="{00000000-0005-0000-0000-0000358F0000}"/>
    <cellStyle name="Normal 8 9 10" xfId="6732" xr:uid="{00000000-0005-0000-0000-0000368F0000}"/>
    <cellStyle name="Normal 8 9 2" xfId="5482" xr:uid="{00000000-0005-0000-0000-0000378F0000}"/>
    <cellStyle name="Normal 8 9 2 2" xfId="6156" xr:uid="{00000000-0005-0000-0000-0000388F0000}"/>
    <cellStyle name="Normal 8 9 2 2 2" xfId="13933" xr:uid="{00000000-0005-0000-0000-0000398F0000}"/>
    <cellStyle name="Normal 8 9 2 2 3" xfId="10312" xr:uid="{00000000-0005-0000-0000-00003A8F0000}"/>
    <cellStyle name="Normal 8 9 2 3" xfId="6476" xr:uid="{00000000-0005-0000-0000-00003B8F0000}"/>
    <cellStyle name="Normal 8 9 2 3 2" xfId="40709" xr:uid="{00000000-0005-0000-0000-00003C8F0000}"/>
    <cellStyle name="Normal 8 9 2 3 3" xfId="24647" xr:uid="{00000000-0005-0000-0000-00003D8F0000}"/>
    <cellStyle name="Normal 8 9 2 4" xfId="24648" xr:uid="{00000000-0005-0000-0000-00003E8F0000}"/>
    <cellStyle name="Normal 8 9 2 4 2" xfId="41325" xr:uid="{00000000-0005-0000-0000-00003F8F0000}"/>
    <cellStyle name="Normal 8 9 2 5" xfId="24649" xr:uid="{00000000-0005-0000-0000-0000408F0000}"/>
    <cellStyle name="Normal 8 9 2 6" xfId="24650" xr:uid="{00000000-0005-0000-0000-0000418F0000}"/>
    <cellStyle name="Normal 8 9 2 7" xfId="8583" xr:uid="{00000000-0005-0000-0000-0000428F0000}"/>
    <cellStyle name="Normal 8 9 3" xfId="4528" xr:uid="{00000000-0005-0000-0000-0000438F0000}"/>
    <cellStyle name="Normal 8 9 3 2" xfId="5979" xr:uid="{00000000-0005-0000-0000-0000448F0000}"/>
    <cellStyle name="Normal 8 9 3 2 2" xfId="13934" xr:uid="{00000000-0005-0000-0000-0000458F0000}"/>
    <cellStyle name="Normal 8 9 3 2 3" xfId="10313" xr:uid="{00000000-0005-0000-0000-0000468F0000}"/>
    <cellStyle name="Normal 8 9 3 3" xfId="12495" xr:uid="{00000000-0005-0000-0000-0000478F0000}"/>
    <cellStyle name="Normal 8 9 3 3 2" xfId="41153" xr:uid="{00000000-0005-0000-0000-0000488F0000}"/>
    <cellStyle name="Normal 8 9 3 4" xfId="40298" xr:uid="{00000000-0005-0000-0000-0000498F0000}"/>
    <cellStyle name="Normal 8 9 3 5" xfId="8315" xr:uid="{00000000-0005-0000-0000-00004A8F0000}"/>
    <cellStyle name="Normal 8 9 4" xfId="5841" xr:uid="{00000000-0005-0000-0000-00004B8F0000}"/>
    <cellStyle name="Normal 8 9 4 2" xfId="13932" xr:uid="{00000000-0005-0000-0000-00004C8F0000}"/>
    <cellStyle name="Normal 8 9 4 3" xfId="10311" xr:uid="{00000000-0005-0000-0000-00004D8F0000}"/>
    <cellStyle name="Normal 8 9 5" xfId="6300" xr:uid="{00000000-0005-0000-0000-00004E8F0000}"/>
    <cellStyle name="Normal 8 9 5 2" xfId="15200" xr:uid="{00000000-0005-0000-0000-00004F8F0000}"/>
    <cellStyle name="Normal 8 9 5 3" xfId="11576" xr:uid="{00000000-0005-0000-0000-0000508F0000}"/>
    <cellStyle name="Normal 8 9 6" xfId="24651" xr:uid="{00000000-0005-0000-0000-0000518F0000}"/>
    <cellStyle name="Normal 8 9 6 2" xfId="41016" xr:uid="{00000000-0005-0000-0000-0000528F0000}"/>
    <cellStyle name="Normal 8 9 7" xfId="24652" xr:uid="{00000000-0005-0000-0000-0000538F0000}"/>
    <cellStyle name="Normal 8 9 8" xfId="24653" xr:uid="{00000000-0005-0000-0000-0000548F0000}"/>
    <cellStyle name="Normal 8 9 9" xfId="24654" xr:uid="{00000000-0005-0000-0000-0000558F0000}"/>
    <cellStyle name="Normal 8_ELC" xfId="6602" xr:uid="{00000000-0005-0000-0000-0000568F0000}"/>
    <cellStyle name="Normal 80" xfId="11617" xr:uid="{00000000-0005-0000-0000-0000578F0000}"/>
    <cellStyle name="Normal 80 2" xfId="15228" xr:uid="{00000000-0005-0000-0000-0000588F0000}"/>
    <cellStyle name="Normal 81" xfId="11619" xr:uid="{00000000-0005-0000-0000-0000598F0000}"/>
    <cellStyle name="Normal 81 2" xfId="15229" xr:uid="{00000000-0005-0000-0000-00005A8F0000}"/>
    <cellStyle name="Normal 82" xfId="11621" xr:uid="{00000000-0005-0000-0000-00005B8F0000}"/>
    <cellStyle name="Normal 82 2" xfId="15230" xr:uid="{00000000-0005-0000-0000-00005C8F0000}"/>
    <cellStyle name="Normal 83" xfId="11623" xr:uid="{00000000-0005-0000-0000-00005D8F0000}"/>
    <cellStyle name="Normal 83 2" xfId="15231" xr:uid="{00000000-0005-0000-0000-00005E8F0000}"/>
    <cellStyle name="Normal 84" xfId="11625" xr:uid="{00000000-0005-0000-0000-00005F8F0000}"/>
    <cellStyle name="Normal 84 2" xfId="15232" xr:uid="{00000000-0005-0000-0000-0000608F0000}"/>
    <cellStyle name="Normal 85" xfId="11627" xr:uid="{00000000-0005-0000-0000-0000618F0000}"/>
    <cellStyle name="Normal 85 2" xfId="15233" xr:uid="{00000000-0005-0000-0000-0000628F0000}"/>
    <cellStyle name="Normal 86" xfId="11630" xr:uid="{00000000-0005-0000-0000-0000638F0000}"/>
    <cellStyle name="Normal 86 2" xfId="15235" xr:uid="{00000000-0005-0000-0000-0000648F0000}"/>
    <cellStyle name="Normal 87" xfId="11632" xr:uid="{00000000-0005-0000-0000-0000658F0000}"/>
    <cellStyle name="Normal 87 2" xfId="15236" xr:uid="{00000000-0005-0000-0000-0000668F0000}"/>
    <cellStyle name="Normal 87 2 2" xfId="37350" xr:uid="{00000000-0005-0000-0000-0000678F0000}"/>
    <cellStyle name="Normal 88" xfId="11635" xr:uid="{00000000-0005-0000-0000-0000688F0000}"/>
    <cellStyle name="Normal 88 2" xfId="15237" xr:uid="{00000000-0005-0000-0000-0000698F0000}"/>
    <cellStyle name="Normal 88 2 2" xfId="37351" xr:uid="{00000000-0005-0000-0000-00006A8F0000}"/>
    <cellStyle name="Normal 89" xfId="11638" xr:uid="{00000000-0005-0000-0000-00006B8F0000}"/>
    <cellStyle name="Normal 89 2" xfId="15238" xr:uid="{00000000-0005-0000-0000-00006C8F0000}"/>
    <cellStyle name="Normal 89 2 2" xfId="37352" xr:uid="{00000000-0005-0000-0000-00006D8F0000}"/>
    <cellStyle name="Normal 9" xfId="1636" xr:uid="{00000000-0005-0000-0000-00006E8F0000}"/>
    <cellStyle name="Normal 9 10" xfId="3826" xr:uid="{00000000-0005-0000-0000-00006F8F0000}"/>
    <cellStyle name="Normal 9 10 2" xfId="5484" xr:uid="{00000000-0005-0000-0000-0000708F0000}"/>
    <cellStyle name="Normal 9 10 2 2" xfId="10316" xr:uid="{00000000-0005-0000-0000-0000718F0000}"/>
    <cellStyle name="Normal 9 10 2 2 2" xfId="13937" xr:uid="{00000000-0005-0000-0000-0000728F0000}"/>
    <cellStyle name="Normal 9 10 2 3" xfId="24655" xr:uid="{00000000-0005-0000-0000-0000738F0000}"/>
    <cellStyle name="Normal 9 10 2 4" xfId="24656" xr:uid="{00000000-0005-0000-0000-0000748F0000}"/>
    <cellStyle name="Normal 9 10 2 5" xfId="24657" xr:uid="{00000000-0005-0000-0000-0000758F0000}"/>
    <cellStyle name="Normal 9 10 2 6" xfId="24658" xr:uid="{00000000-0005-0000-0000-0000768F0000}"/>
    <cellStyle name="Normal 9 10 3" xfId="10315" xr:uid="{00000000-0005-0000-0000-0000778F0000}"/>
    <cellStyle name="Normal 9 10 3 2" xfId="13936" xr:uid="{00000000-0005-0000-0000-0000788F0000}"/>
    <cellStyle name="Normal 9 10 3 3" xfId="38482" xr:uid="{00000000-0005-0000-0000-0000798F0000}"/>
    <cellStyle name="Normal 9 10 4" xfId="24659" xr:uid="{00000000-0005-0000-0000-00007A8F0000}"/>
    <cellStyle name="Normal 9 10 5" xfId="24660" xr:uid="{00000000-0005-0000-0000-00007B8F0000}"/>
    <cellStyle name="Normal 9 10 6" xfId="24661" xr:uid="{00000000-0005-0000-0000-00007C8F0000}"/>
    <cellStyle name="Normal 9 10 7" xfId="24662" xr:uid="{00000000-0005-0000-0000-00007D8F0000}"/>
    <cellStyle name="Normal 9 11" xfId="3827" xr:uid="{00000000-0005-0000-0000-00007E8F0000}"/>
    <cellStyle name="Normal 9 11 2" xfId="5485" xr:uid="{00000000-0005-0000-0000-00007F8F0000}"/>
    <cellStyle name="Normal 9 11 2 2" xfId="10318" xr:uid="{00000000-0005-0000-0000-0000808F0000}"/>
    <cellStyle name="Normal 9 11 2 2 2" xfId="13939" xr:uid="{00000000-0005-0000-0000-0000818F0000}"/>
    <cellStyle name="Normal 9 11 2 3" xfId="24663" xr:uid="{00000000-0005-0000-0000-0000828F0000}"/>
    <cellStyle name="Normal 9 11 2 4" xfId="24664" xr:uid="{00000000-0005-0000-0000-0000838F0000}"/>
    <cellStyle name="Normal 9 11 2 5" xfId="24665" xr:uid="{00000000-0005-0000-0000-0000848F0000}"/>
    <cellStyle name="Normal 9 11 2 6" xfId="24666" xr:uid="{00000000-0005-0000-0000-0000858F0000}"/>
    <cellStyle name="Normal 9 11 3" xfId="10317" xr:uid="{00000000-0005-0000-0000-0000868F0000}"/>
    <cellStyle name="Normal 9 11 3 2" xfId="13938" xr:uid="{00000000-0005-0000-0000-0000878F0000}"/>
    <cellStyle name="Normal 9 11 3 3" xfId="38483" xr:uid="{00000000-0005-0000-0000-0000888F0000}"/>
    <cellStyle name="Normal 9 11 4" xfId="24667" xr:uid="{00000000-0005-0000-0000-0000898F0000}"/>
    <cellStyle name="Normal 9 11 5" xfId="24668" xr:uid="{00000000-0005-0000-0000-00008A8F0000}"/>
    <cellStyle name="Normal 9 11 6" xfId="24669" xr:uid="{00000000-0005-0000-0000-00008B8F0000}"/>
    <cellStyle name="Normal 9 11 7" xfId="24670" xr:uid="{00000000-0005-0000-0000-00008C8F0000}"/>
    <cellStyle name="Normal 9 12" xfId="3828" xr:uid="{00000000-0005-0000-0000-00008D8F0000}"/>
    <cellStyle name="Normal 9 12 2" xfId="5486" xr:uid="{00000000-0005-0000-0000-00008E8F0000}"/>
    <cellStyle name="Normal 9 12 2 2" xfId="6158" xr:uid="{00000000-0005-0000-0000-00008F8F0000}"/>
    <cellStyle name="Normal 9 12 2 2 2" xfId="13941" xr:uid="{00000000-0005-0000-0000-0000908F0000}"/>
    <cellStyle name="Normal 9 12 2 2 3" xfId="10320" xr:uid="{00000000-0005-0000-0000-0000918F0000}"/>
    <cellStyle name="Normal 9 12 2 3" xfId="6478" xr:uid="{00000000-0005-0000-0000-0000928F0000}"/>
    <cellStyle name="Normal 9 12 2 3 2" xfId="40845" xr:uid="{00000000-0005-0000-0000-0000938F0000}"/>
    <cellStyle name="Normal 9 12 2 3 3" xfId="24671" xr:uid="{00000000-0005-0000-0000-0000948F0000}"/>
    <cellStyle name="Normal 9 12 2 4" xfId="24672" xr:uid="{00000000-0005-0000-0000-0000958F0000}"/>
    <cellStyle name="Normal 9 12 2 4 2" xfId="41327" xr:uid="{00000000-0005-0000-0000-0000968F0000}"/>
    <cellStyle name="Normal 9 12 2 5" xfId="24673" xr:uid="{00000000-0005-0000-0000-0000978F0000}"/>
    <cellStyle name="Normal 9 12 2 6" xfId="24674" xr:uid="{00000000-0005-0000-0000-0000988F0000}"/>
    <cellStyle name="Normal 9 12 2 7" xfId="8584" xr:uid="{00000000-0005-0000-0000-0000998F0000}"/>
    <cellStyle name="Normal 9 12 3" xfId="4530" xr:uid="{00000000-0005-0000-0000-00009A8F0000}"/>
    <cellStyle name="Normal 9 12 3 2" xfId="5981" xr:uid="{00000000-0005-0000-0000-00009B8F0000}"/>
    <cellStyle name="Normal 9 12 3 2 2" xfId="13942" xr:uid="{00000000-0005-0000-0000-00009C8F0000}"/>
    <cellStyle name="Normal 9 12 3 2 3" xfId="10321" xr:uid="{00000000-0005-0000-0000-00009D8F0000}"/>
    <cellStyle name="Normal 9 12 3 3" xfId="12496" xr:uid="{00000000-0005-0000-0000-00009E8F0000}"/>
    <cellStyle name="Normal 9 12 3 4" xfId="8316" xr:uid="{00000000-0005-0000-0000-00009F8F0000}"/>
    <cellStyle name="Normal 9 12 4" xfId="5843" xr:uid="{00000000-0005-0000-0000-0000A08F0000}"/>
    <cellStyle name="Normal 9 12 4 2" xfId="13940" xr:uid="{00000000-0005-0000-0000-0000A18F0000}"/>
    <cellStyle name="Normal 9 12 4 3" xfId="10319" xr:uid="{00000000-0005-0000-0000-0000A28F0000}"/>
    <cellStyle name="Normal 9 12 5" xfId="6302" xr:uid="{00000000-0005-0000-0000-0000A38F0000}"/>
    <cellStyle name="Normal 9 12 5 2" xfId="40711" xr:uid="{00000000-0005-0000-0000-0000A48F0000}"/>
    <cellStyle name="Normal 9 12 5 3" xfId="24675" xr:uid="{00000000-0005-0000-0000-0000A58F0000}"/>
    <cellStyle name="Normal 9 12 6" xfId="24676" xr:uid="{00000000-0005-0000-0000-0000A68F0000}"/>
    <cellStyle name="Normal 9 12 6 2" xfId="41018" xr:uid="{00000000-0005-0000-0000-0000A78F0000}"/>
    <cellStyle name="Normal 9 12 7" xfId="24677" xr:uid="{00000000-0005-0000-0000-0000A88F0000}"/>
    <cellStyle name="Normal 9 12 8" xfId="24678" xr:uid="{00000000-0005-0000-0000-0000A98F0000}"/>
    <cellStyle name="Normal 9 12 9" xfId="6733" xr:uid="{00000000-0005-0000-0000-0000AA8F0000}"/>
    <cellStyle name="Normal 9 13" xfId="3825" xr:uid="{00000000-0005-0000-0000-0000AB8F0000}"/>
    <cellStyle name="Normal 9 13 2" xfId="5483" xr:uid="{00000000-0005-0000-0000-0000AC8F0000}"/>
    <cellStyle name="Normal 9 13 2 2" xfId="6157" xr:uid="{00000000-0005-0000-0000-0000AD8F0000}"/>
    <cellStyle name="Normal 9 13 2 2 2" xfId="41326" xr:uid="{00000000-0005-0000-0000-0000AE8F0000}"/>
    <cellStyle name="Normal 9 13 2 2 3" xfId="39740" xr:uid="{00000000-0005-0000-0000-0000AF8F0000}"/>
    <cellStyle name="Normal 9 13 2 3" xfId="40466" xr:uid="{00000000-0005-0000-0000-0000B08F0000}"/>
    <cellStyle name="Normal 9 13 2 4" xfId="13935" xr:uid="{00000000-0005-0000-0000-0000B18F0000}"/>
    <cellStyle name="Normal 9 13 3" xfId="5842" xr:uid="{00000000-0005-0000-0000-0000B28F0000}"/>
    <cellStyle name="Normal 9 13 3 2" xfId="40163" xr:uid="{00000000-0005-0000-0000-0000B38F0000}"/>
    <cellStyle name="Normal 9 13 3 3" xfId="38481" xr:uid="{00000000-0005-0000-0000-0000B48F0000}"/>
    <cellStyle name="Normal 9 13 4" xfId="6477" xr:uid="{00000000-0005-0000-0000-0000B58F0000}"/>
    <cellStyle name="Normal 9 13 4 2" xfId="40710" xr:uid="{00000000-0005-0000-0000-0000B68F0000}"/>
    <cellStyle name="Normal 9 13 4 3" xfId="39138" xr:uid="{00000000-0005-0000-0000-0000B78F0000}"/>
    <cellStyle name="Normal 9 13 5" xfId="39442" xr:uid="{00000000-0005-0000-0000-0000B88F0000}"/>
    <cellStyle name="Normal 9 13 5 2" xfId="41017" xr:uid="{00000000-0005-0000-0000-0000B98F0000}"/>
    <cellStyle name="Normal 9 13 6" xfId="39941" xr:uid="{00000000-0005-0000-0000-0000BA8F0000}"/>
    <cellStyle name="Normal 9 13 7" xfId="10314" xr:uid="{00000000-0005-0000-0000-0000BB8F0000}"/>
    <cellStyle name="Normal 9 14" xfId="4838" xr:uid="{00000000-0005-0000-0000-0000BC8F0000}"/>
    <cellStyle name="Normal 9 14 2" xfId="15201" xr:uid="{00000000-0005-0000-0000-0000BD8F0000}"/>
    <cellStyle name="Normal 9 14 3" xfId="35807" xr:uid="{00000000-0005-0000-0000-0000BE8F0000}"/>
    <cellStyle name="Normal 9 14 4" xfId="11577" xr:uid="{00000000-0005-0000-0000-0000BF8F0000}"/>
    <cellStyle name="Normal 9 15" xfId="4529" xr:uid="{00000000-0005-0000-0000-0000C08F0000}"/>
    <cellStyle name="Normal 9 15 2" xfId="5980" xr:uid="{00000000-0005-0000-0000-0000C18F0000}"/>
    <cellStyle name="Normal 9 15 2 2" xfId="41154" xr:uid="{00000000-0005-0000-0000-0000C28F0000}"/>
    <cellStyle name="Normal 9 15 2 3" xfId="39573" xr:uid="{00000000-0005-0000-0000-0000C38F0000}"/>
    <cellStyle name="Normal 9 15 3" xfId="40299" xr:uid="{00000000-0005-0000-0000-0000C48F0000}"/>
    <cellStyle name="Normal 9 15 4" xfId="24679" xr:uid="{00000000-0005-0000-0000-0000C58F0000}"/>
    <cellStyle name="Normal 9 16" xfId="6301" xr:uid="{00000000-0005-0000-0000-0000C68F0000}"/>
    <cellStyle name="Normal 9 16 2" xfId="37873" xr:uid="{00000000-0005-0000-0000-0000C78F0000}"/>
    <cellStyle name="Normal 9 16 3" xfId="24680" xr:uid="{00000000-0005-0000-0000-0000C88F0000}"/>
    <cellStyle name="Normal 9 17" xfId="24681" xr:uid="{00000000-0005-0000-0000-0000C98F0000}"/>
    <cellStyle name="Normal 9 18" xfId="24682" xr:uid="{00000000-0005-0000-0000-0000CA8F0000}"/>
    <cellStyle name="Normal 9 19" xfId="24683" xr:uid="{00000000-0005-0000-0000-0000CB8F0000}"/>
    <cellStyle name="Normal 9 2" xfId="1637" xr:uid="{00000000-0005-0000-0000-0000CC8F0000}"/>
    <cellStyle name="Normal 9 2 2" xfId="3829" xr:uid="{00000000-0005-0000-0000-0000CD8F0000}"/>
    <cellStyle name="Normal 9 2 2 2" xfId="10323" xr:uid="{00000000-0005-0000-0000-0000CE8F0000}"/>
    <cellStyle name="Normal 9 2 2 2 2" xfId="13944" xr:uid="{00000000-0005-0000-0000-0000CF8F0000}"/>
    <cellStyle name="Normal 9 2 2 3" xfId="24684" xr:uid="{00000000-0005-0000-0000-0000D08F0000}"/>
    <cellStyle name="Normal 9 2 2 4" xfId="24685" xr:uid="{00000000-0005-0000-0000-0000D18F0000}"/>
    <cellStyle name="Normal 9 2 2 5" xfId="24686" xr:uid="{00000000-0005-0000-0000-0000D28F0000}"/>
    <cellStyle name="Normal 9 2 2 6" xfId="24687" xr:uid="{00000000-0005-0000-0000-0000D38F0000}"/>
    <cellStyle name="Normal 9 2 3" xfId="4839" xr:uid="{00000000-0005-0000-0000-0000D48F0000}"/>
    <cellStyle name="Normal 9 2 3 2" xfId="13943" xr:uid="{00000000-0005-0000-0000-0000D58F0000}"/>
    <cellStyle name="Normal 9 2 3 3" xfId="35808" xr:uid="{00000000-0005-0000-0000-0000D68F0000}"/>
    <cellStyle name="Normal 9 2 3 4" xfId="10322" xr:uid="{00000000-0005-0000-0000-0000D78F0000}"/>
    <cellStyle name="Normal 9 2 4" xfId="24688" xr:uid="{00000000-0005-0000-0000-0000D88F0000}"/>
    <cellStyle name="Normal 9 2 4 2" xfId="37874" xr:uid="{00000000-0005-0000-0000-0000D98F0000}"/>
    <cellStyle name="Normal 9 2 5" xfId="24689" xr:uid="{00000000-0005-0000-0000-0000DA8F0000}"/>
    <cellStyle name="Normal 9 2 6" xfId="24690" xr:uid="{00000000-0005-0000-0000-0000DB8F0000}"/>
    <cellStyle name="Normal 9 2 7" xfId="24691" xr:uid="{00000000-0005-0000-0000-0000DC8F0000}"/>
    <cellStyle name="Normal 9 2 8" xfId="24692" xr:uid="{00000000-0005-0000-0000-0000DD8F0000}"/>
    <cellStyle name="Normal 9 3" xfId="1638" xr:uid="{00000000-0005-0000-0000-0000DE8F0000}"/>
    <cellStyle name="Normal 9 3 10" xfId="24693" xr:uid="{00000000-0005-0000-0000-0000DF8F0000}"/>
    <cellStyle name="Normal 9 3 2" xfId="3830" xr:uid="{00000000-0005-0000-0000-0000E08F0000}"/>
    <cellStyle name="Normal 9 3 2 2" xfId="10325" xr:uid="{00000000-0005-0000-0000-0000E18F0000}"/>
    <cellStyle name="Normal 9 3 2 2 2" xfId="13946" xr:uid="{00000000-0005-0000-0000-0000E28F0000}"/>
    <cellStyle name="Normal 9 3 2 3" xfId="24694" xr:uid="{00000000-0005-0000-0000-0000E38F0000}"/>
    <cellStyle name="Normal 9 3 2 4" xfId="24695" xr:uid="{00000000-0005-0000-0000-0000E48F0000}"/>
    <cellStyle name="Normal 9 3 2 5" xfId="24696" xr:uid="{00000000-0005-0000-0000-0000E58F0000}"/>
    <cellStyle name="Normal 9 3 2 6" xfId="24697" xr:uid="{00000000-0005-0000-0000-0000E68F0000}"/>
    <cellStyle name="Normal 9 3 3" xfId="4840" xr:uid="{00000000-0005-0000-0000-0000E78F0000}"/>
    <cellStyle name="Normal 9 3 3 2" xfId="10326" xr:uid="{00000000-0005-0000-0000-0000E88F0000}"/>
    <cellStyle name="Normal 9 3 3 2 2" xfId="13947" xr:uid="{00000000-0005-0000-0000-0000E98F0000}"/>
    <cellStyle name="Normal 9 3 3 3" xfId="12512" xr:uid="{00000000-0005-0000-0000-0000EA8F0000}"/>
    <cellStyle name="Normal 9 3 3 4" xfId="35809" xr:uid="{00000000-0005-0000-0000-0000EB8F0000}"/>
    <cellStyle name="Normal 9 3 3 5" xfId="8396" xr:uid="{00000000-0005-0000-0000-0000EC8F0000}"/>
    <cellStyle name="Normal 9 3 4" xfId="10327" xr:uid="{00000000-0005-0000-0000-0000ED8F0000}"/>
    <cellStyle name="Normal 9 3 4 2" xfId="13948" xr:uid="{00000000-0005-0000-0000-0000EE8F0000}"/>
    <cellStyle name="Normal 9 3 4 3" xfId="37875" xr:uid="{00000000-0005-0000-0000-0000EF8F0000}"/>
    <cellStyle name="Normal 9 3 5" xfId="10324" xr:uid="{00000000-0005-0000-0000-0000F08F0000}"/>
    <cellStyle name="Normal 9 3 5 2" xfId="13945" xr:uid="{00000000-0005-0000-0000-0000F18F0000}"/>
    <cellStyle name="Normal 9 3 6" xfId="24698" xr:uid="{00000000-0005-0000-0000-0000F28F0000}"/>
    <cellStyle name="Normal 9 3 7" xfId="24699" xr:uid="{00000000-0005-0000-0000-0000F38F0000}"/>
    <cellStyle name="Normal 9 3 8" xfId="24700" xr:uid="{00000000-0005-0000-0000-0000F48F0000}"/>
    <cellStyle name="Normal 9 3 9" xfId="24701" xr:uid="{00000000-0005-0000-0000-0000F58F0000}"/>
    <cellStyle name="Normal 9 4" xfId="1639" xr:uid="{00000000-0005-0000-0000-0000F68F0000}"/>
    <cellStyle name="Normal 9 4 2" xfId="3831" xr:uid="{00000000-0005-0000-0000-0000F78F0000}"/>
    <cellStyle name="Normal 9 4 2 2" xfId="10329" xr:uid="{00000000-0005-0000-0000-0000F88F0000}"/>
    <cellStyle name="Normal 9 4 2 2 2" xfId="13950" xr:uid="{00000000-0005-0000-0000-0000F98F0000}"/>
    <cellStyle name="Normal 9 4 2 3" xfId="24702" xr:uid="{00000000-0005-0000-0000-0000FA8F0000}"/>
    <cellStyle name="Normal 9 4 2 4" xfId="24703" xr:uid="{00000000-0005-0000-0000-0000FB8F0000}"/>
    <cellStyle name="Normal 9 4 2 5" xfId="24704" xr:uid="{00000000-0005-0000-0000-0000FC8F0000}"/>
    <cellStyle name="Normal 9 4 2 6" xfId="24705" xr:uid="{00000000-0005-0000-0000-0000FD8F0000}"/>
    <cellStyle name="Normal 9 4 3" xfId="4841" xr:uid="{00000000-0005-0000-0000-0000FE8F0000}"/>
    <cellStyle name="Normal 9 4 3 2" xfId="13949" xr:uid="{00000000-0005-0000-0000-0000FF8F0000}"/>
    <cellStyle name="Normal 9 4 3 3" xfId="35810" xr:uid="{00000000-0005-0000-0000-000000900000}"/>
    <cellStyle name="Normal 9 4 3 4" xfId="10328" xr:uid="{00000000-0005-0000-0000-000001900000}"/>
    <cellStyle name="Normal 9 4 4" xfId="24706" xr:uid="{00000000-0005-0000-0000-000002900000}"/>
    <cellStyle name="Normal 9 4 4 2" xfId="37876" xr:uid="{00000000-0005-0000-0000-000003900000}"/>
    <cellStyle name="Normal 9 4 5" xfId="24707" xr:uid="{00000000-0005-0000-0000-000004900000}"/>
    <cellStyle name="Normal 9 4 6" xfId="24708" xr:uid="{00000000-0005-0000-0000-000005900000}"/>
    <cellStyle name="Normal 9 4 7" xfId="24709" xr:uid="{00000000-0005-0000-0000-000006900000}"/>
    <cellStyle name="Normal 9 4 8" xfId="24710" xr:uid="{00000000-0005-0000-0000-000007900000}"/>
    <cellStyle name="Normal 9 5" xfId="1640" xr:uid="{00000000-0005-0000-0000-000008900000}"/>
    <cellStyle name="Normal 9 5 10" xfId="39776" xr:uid="{00000000-0005-0000-0000-000009900000}"/>
    <cellStyle name="Normal 9 5 2" xfId="3833" xr:uid="{00000000-0005-0000-0000-00000A900000}"/>
    <cellStyle name="Normal 9 5 2 2" xfId="5488" xr:uid="{00000000-0005-0000-0000-00000B900000}"/>
    <cellStyle name="Normal 9 5 2 2 2" xfId="10332" xr:uid="{00000000-0005-0000-0000-00000C900000}"/>
    <cellStyle name="Normal 9 5 2 2 2 2" xfId="13953" xr:uid="{00000000-0005-0000-0000-00000D900000}"/>
    <cellStyle name="Normal 9 5 2 2 3" xfId="24711" xr:uid="{00000000-0005-0000-0000-00000E900000}"/>
    <cellStyle name="Normal 9 5 2 2 4" xfId="24712" xr:uid="{00000000-0005-0000-0000-00000F900000}"/>
    <cellStyle name="Normal 9 5 2 2 5" xfId="24713" xr:uid="{00000000-0005-0000-0000-000010900000}"/>
    <cellStyle name="Normal 9 5 2 2 6" xfId="24714" xr:uid="{00000000-0005-0000-0000-000011900000}"/>
    <cellStyle name="Normal 9 5 2 3" xfId="8317" xr:uid="{00000000-0005-0000-0000-000012900000}"/>
    <cellStyle name="Normal 9 5 2 3 2" xfId="10333" xr:uid="{00000000-0005-0000-0000-000013900000}"/>
    <cellStyle name="Normal 9 5 2 3 2 2" xfId="13954" xr:uid="{00000000-0005-0000-0000-000014900000}"/>
    <cellStyle name="Normal 9 5 2 3 3" xfId="12497" xr:uid="{00000000-0005-0000-0000-000015900000}"/>
    <cellStyle name="Normal 9 5 2 3 4" xfId="38485" xr:uid="{00000000-0005-0000-0000-000016900000}"/>
    <cellStyle name="Normal 9 5 2 4" xfId="10331" xr:uid="{00000000-0005-0000-0000-000017900000}"/>
    <cellStyle name="Normal 9 5 2 4 2" xfId="13952" xr:uid="{00000000-0005-0000-0000-000018900000}"/>
    <cellStyle name="Normal 9 5 2 5" xfId="24715" xr:uid="{00000000-0005-0000-0000-000019900000}"/>
    <cellStyle name="Normal 9 5 2 6" xfId="24716" xr:uid="{00000000-0005-0000-0000-00001A900000}"/>
    <cellStyle name="Normal 9 5 2 7" xfId="24717" xr:uid="{00000000-0005-0000-0000-00001B900000}"/>
    <cellStyle name="Normal 9 5 2 8" xfId="24718" xr:uid="{00000000-0005-0000-0000-00001C900000}"/>
    <cellStyle name="Normal 9 5 3" xfId="3834" xr:uid="{00000000-0005-0000-0000-00001D900000}"/>
    <cellStyle name="Normal 9 5 3 2" xfId="5489" xr:uid="{00000000-0005-0000-0000-00001E900000}"/>
    <cellStyle name="Normal 9 5 3 2 2" xfId="6160" xr:uid="{00000000-0005-0000-0000-00001F900000}"/>
    <cellStyle name="Normal 9 5 3 2 2 2" xfId="40468" xr:uid="{00000000-0005-0000-0000-000020900000}"/>
    <cellStyle name="Normal 9 5 3 2 2 3" xfId="38906" xr:uid="{00000000-0005-0000-0000-000021900000}"/>
    <cellStyle name="Normal 9 5 3 2 3" xfId="6480" xr:uid="{00000000-0005-0000-0000-000022900000}"/>
    <cellStyle name="Normal 9 5 3 2 3 2" xfId="40846" xr:uid="{00000000-0005-0000-0000-000023900000}"/>
    <cellStyle name="Normal 9 5 3 2 3 3" xfId="39279" xr:uid="{00000000-0005-0000-0000-000024900000}"/>
    <cellStyle name="Normal 9 5 3 2 4" xfId="39742" xr:uid="{00000000-0005-0000-0000-000025900000}"/>
    <cellStyle name="Normal 9 5 3 2 4 2" xfId="41329" xr:uid="{00000000-0005-0000-0000-000026900000}"/>
    <cellStyle name="Normal 9 5 3 2 5" xfId="39993" xr:uid="{00000000-0005-0000-0000-000027900000}"/>
    <cellStyle name="Normal 9 5 3 2 6" xfId="13951" xr:uid="{00000000-0005-0000-0000-000028900000}"/>
    <cellStyle name="Normal 9 5 3 3" xfId="4532" xr:uid="{00000000-0005-0000-0000-000029900000}"/>
    <cellStyle name="Normal 9 5 3 3 2" xfId="5983" xr:uid="{00000000-0005-0000-0000-00002A900000}"/>
    <cellStyle name="Normal 9 5 3 3 2 2" xfId="41156" xr:uid="{00000000-0005-0000-0000-00002B900000}"/>
    <cellStyle name="Normal 9 5 3 3 2 3" xfId="39575" xr:uid="{00000000-0005-0000-0000-00002C900000}"/>
    <cellStyle name="Normal 9 5 3 3 3" xfId="40301" xr:uid="{00000000-0005-0000-0000-00002D900000}"/>
    <cellStyle name="Normal 9 5 3 3 4" xfId="35695" xr:uid="{00000000-0005-0000-0000-00002E900000}"/>
    <cellStyle name="Normal 9 5 3 4" xfId="5845" xr:uid="{00000000-0005-0000-0000-00002F900000}"/>
    <cellStyle name="Normal 9 5 3 4 2" xfId="40165" xr:uid="{00000000-0005-0000-0000-000030900000}"/>
    <cellStyle name="Normal 9 5 3 4 3" xfId="38486" xr:uid="{00000000-0005-0000-0000-000031900000}"/>
    <cellStyle name="Normal 9 5 3 5" xfId="6304" xr:uid="{00000000-0005-0000-0000-000032900000}"/>
    <cellStyle name="Normal 9 5 3 5 2" xfId="40713" xr:uid="{00000000-0005-0000-0000-000033900000}"/>
    <cellStyle name="Normal 9 5 3 5 3" xfId="39140" xr:uid="{00000000-0005-0000-0000-000034900000}"/>
    <cellStyle name="Normal 9 5 3 6" xfId="39444" xr:uid="{00000000-0005-0000-0000-000035900000}"/>
    <cellStyle name="Normal 9 5 3 6 2" xfId="41020" xr:uid="{00000000-0005-0000-0000-000036900000}"/>
    <cellStyle name="Normal 9 5 3 7" xfId="39858" xr:uid="{00000000-0005-0000-0000-000037900000}"/>
    <cellStyle name="Normal 9 5 3 8" xfId="10330" xr:uid="{00000000-0005-0000-0000-000038900000}"/>
    <cellStyle name="Normal 9 5 4" xfId="3832" xr:uid="{00000000-0005-0000-0000-000039900000}"/>
    <cellStyle name="Normal 9 5 4 2" xfId="5487" xr:uid="{00000000-0005-0000-0000-00003A900000}"/>
    <cellStyle name="Normal 9 5 4 2 2" xfId="6159" xr:uid="{00000000-0005-0000-0000-00003B900000}"/>
    <cellStyle name="Normal 9 5 4 2 2 2" xfId="41328" xr:uid="{00000000-0005-0000-0000-00003C900000}"/>
    <cellStyle name="Normal 9 5 4 2 2 3" xfId="39741" xr:uid="{00000000-0005-0000-0000-00003D900000}"/>
    <cellStyle name="Normal 9 5 4 2 3" xfId="40467" xr:uid="{00000000-0005-0000-0000-00003E900000}"/>
    <cellStyle name="Normal 9 5 4 2 4" xfId="15202" xr:uid="{00000000-0005-0000-0000-00003F900000}"/>
    <cellStyle name="Normal 9 5 4 3" xfId="5844" xr:uid="{00000000-0005-0000-0000-000040900000}"/>
    <cellStyle name="Normal 9 5 4 3 2" xfId="40164" xr:uid="{00000000-0005-0000-0000-000041900000}"/>
    <cellStyle name="Normal 9 5 4 3 3" xfId="38484" xr:uid="{00000000-0005-0000-0000-000042900000}"/>
    <cellStyle name="Normal 9 5 4 4" xfId="6479" xr:uid="{00000000-0005-0000-0000-000043900000}"/>
    <cellStyle name="Normal 9 5 4 4 2" xfId="40712" xr:uid="{00000000-0005-0000-0000-000044900000}"/>
    <cellStyle name="Normal 9 5 4 4 3" xfId="39139" xr:uid="{00000000-0005-0000-0000-000045900000}"/>
    <cellStyle name="Normal 9 5 4 5" xfId="39443" xr:uid="{00000000-0005-0000-0000-000046900000}"/>
    <cellStyle name="Normal 9 5 4 5 2" xfId="41019" xr:uid="{00000000-0005-0000-0000-000047900000}"/>
    <cellStyle name="Normal 9 5 4 6" xfId="39942" xr:uid="{00000000-0005-0000-0000-000048900000}"/>
    <cellStyle name="Normal 9 5 4 7" xfId="11578" xr:uid="{00000000-0005-0000-0000-000049900000}"/>
    <cellStyle name="Normal 9 5 5" xfId="4842" xr:uid="{00000000-0005-0000-0000-00004A900000}"/>
    <cellStyle name="Normal 9 5 5 2" xfId="6021" xr:uid="{00000000-0005-0000-0000-00004B900000}"/>
    <cellStyle name="Normal 9 5 5 2 2" xfId="40575" xr:uid="{00000000-0005-0000-0000-00004C900000}"/>
    <cellStyle name="Normal 9 5 5 2 3" xfId="39007" xr:uid="{00000000-0005-0000-0000-00004D900000}"/>
    <cellStyle name="Normal 9 5 5 3" xfId="6342" xr:uid="{00000000-0005-0000-0000-00004E900000}"/>
    <cellStyle name="Normal 9 5 5 3 2" xfId="41192" xr:uid="{00000000-0005-0000-0000-00004F900000}"/>
    <cellStyle name="Normal 9 5 5 3 3" xfId="39609" xr:uid="{00000000-0005-0000-0000-000050900000}"/>
    <cellStyle name="Normal 9 5 5 4" xfId="40336" xr:uid="{00000000-0005-0000-0000-000051900000}"/>
    <cellStyle name="Normal 9 5 5 5" xfId="24719" xr:uid="{00000000-0005-0000-0000-000052900000}"/>
    <cellStyle name="Normal 9 5 6" xfId="4531" xr:uid="{00000000-0005-0000-0000-000053900000}"/>
    <cellStyle name="Normal 9 5 6 2" xfId="5982" xr:uid="{00000000-0005-0000-0000-000054900000}"/>
    <cellStyle name="Normal 9 5 6 2 2" xfId="40786" xr:uid="{00000000-0005-0000-0000-000055900000}"/>
    <cellStyle name="Normal 9 5 6 2 3" xfId="39220" xr:uid="{00000000-0005-0000-0000-000056900000}"/>
    <cellStyle name="Normal 9 5 6 3" xfId="39574" xr:uid="{00000000-0005-0000-0000-000057900000}"/>
    <cellStyle name="Normal 9 5 6 3 2" xfId="41155" xr:uid="{00000000-0005-0000-0000-000058900000}"/>
    <cellStyle name="Normal 9 5 6 4" xfId="40300" xr:uid="{00000000-0005-0000-0000-000059900000}"/>
    <cellStyle name="Normal 9 5 6 5" xfId="24720" xr:uid="{00000000-0005-0000-0000-00005A900000}"/>
    <cellStyle name="Normal 9 5 7" xfId="5707" xr:uid="{00000000-0005-0000-0000-00005B900000}"/>
    <cellStyle name="Normal 9 5 7 2" xfId="40030" xr:uid="{00000000-0005-0000-0000-00005C900000}"/>
    <cellStyle name="Normal 9 5 7 3" xfId="24721" xr:uid="{00000000-0005-0000-0000-00005D900000}"/>
    <cellStyle name="Normal 9 5 8" xfId="6303" xr:uid="{00000000-0005-0000-0000-00005E900000}"/>
    <cellStyle name="Normal 9 5 8 2" xfId="40542" xr:uid="{00000000-0005-0000-0000-00005F900000}"/>
    <cellStyle name="Normal 9 5 8 3" xfId="24722" xr:uid="{00000000-0005-0000-0000-000060900000}"/>
    <cellStyle name="Normal 9 5 9" xfId="39311" xr:uid="{00000000-0005-0000-0000-000061900000}"/>
    <cellStyle name="Normal 9 5 9 2" xfId="40882" xr:uid="{00000000-0005-0000-0000-000062900000}"/>
    <cellStyle name="Normal 9 6" xfId="3835" xr:uid="{00000000-0005-0000-0000-000063900000}"/>
    <cellStyle name="Normal 9 6 2" xfId="5490" xr:uid="{00000000-0005-0000-0000-000064900000}"/>
    <cellStyle name="Normal 9 6 2 2" xfId="10335" xr:uid="{00000000-0005-0000-0000-000065900000}"/>
    <cellStyle name="Normal 9 6 2 2 2" xfId="13956" xr:uid="{00000000-0005-0000-0000-000066900000}"/>
    <cellStyle name="Normal 9 6 2 3" xfId="24723" xr:uid="{00000000-0005-0000-0000-000067900000}"/>
    <cellStyle name="Normal 9 6 2 4" xfId="24724" xr:uid="{00000000-0005-0000-0000-000068900000}"/>
    <cellStyle name="Normal 9 6 2 5" xfId="24725" xr:uid="{00000000-0005-0000-0000-000069900000}"/>
    <cellStyle name="Normal 9 6 2 6" xfId="24726" xr:uid="{00000000-0005-0000-0000-00006A900000}"/>
    <cellStyle name="Normal 9 6 3" xfId="10334" xr:uid="{00000000-0005-0000-0000-00006B900000}"/>
    <cellStyle name="Normal 9 6 3 2" xfId="13955" xr:uid="{00000000-0005-0000-0000-00006C900000}"/>
    <cellStyle name="Normal 9 6 3 3" xfId="38487" xr:uid="{00000000-0005-0000-0000-00006D900000}"/>
    <cellStyle name="Normal 9 6 4" xfId="24727" xr:uid="{00000000-0005-0000-0000-00006E900000}"/>
    <cellStyle name="Normal 9 6 5" xfId="24728" xr:uid="{00000000-0005-0000-0000-00006F900000}"/>
    <cellStyle name="Normal 9 6 6" xfId="24729" xr:uid="{00000000-0005-0000-0000-000070900000}"/>
    <cellStyle name="Normal 9 6 7" xfId="24730" xr:uid="{00000000-0005-0000-0000-000071900000}"/>
    <cellStyle name="Normal 9 7" xfId="3836" xr:uid="{00000000-0005-0000-0000-000072900000}"/>
    <cellStyle name="Normal 9 7 2" xfId="5491" xr:uid="{00000000-0005-0000-0000-000073900000}"/>
    <cellStyle name="Normal 9 7 2 2" xfId="10337" xr:uid="{00000000-0005-0000-0000-000074900000}"/>
    <cellStyle name="Normal 9 7 2 2 2" xfId="13958" xr:uid="{00000000-0005-0000-0000-000075900000}"/>
    <cellStyle name="Normal 9 7 2 3" xfId="24731" xr:uid="{00000000-0005-0000-0000-000076900000}"/>
    <cellStyle name="Normal 9 7 2 4" xfId="24732" xr:uid="{00000000-0005-0000-0000-000077900000}"/>
    <cellStyle name="Normal 9 7 2 5" xfId="24733" xr:uid="{00000000-0005-0000-0000-000078900000}"/>
    <cellStyle name="Normal 9 7 2 6" xfId="24734" xr:uid="{00000000-0005-0000-0000-000079900000}"/>
    <cellStyle name="Normal 9 7 3" xfId="10336" xr:uid="{00000000-0005-0000-0000-00007A900000}"/>
    <cellStyle name="Normal 9 7 3 2" xfId="13957" xr:uid="{00000000-0005-0000-0000-00007B900000}"/>
    <cellStyle name="Normal 9 7 3 3" xfId="38488" xr:uid="{00000000-0005-0000-0000-00007C900000}"/>
    <cellStyle name="Normal 9 7 4" xfId="24735" xr:uid="{00000000-0005-0000-0000-00007D900000}"/>
    <cellStyle name="Normal 9 7 5" xfId="24736" xr:uid="{00000000-0005-0000-0000-00007E900000}"/>
    <cellStyle name="Normal 9 7 6" xfId="24737" xr:uid="{00000000-0005-0000-0000-00007F900000}"/>
    <cellStyle name="Normal 9 7 7" xfId="24738" xr:uid="{00000000-0005-0000-0000-000080900000}"/>
    <cellStyle name="Normal 9 8" xfId="3837" xr:uid="{00000000-0005-0000-0000-000081900000}"/>
    <cellStyle name="Normal 9 8 2" xfId="5492" xr:uid="{00000000-0005-0000-0000-000082900000}"/>
    <cellStyle name="Normal 9 8 2 2" xfId="10339" xr:uid="{00000000-0005-0000-0000-000083900000}"/>
    <cellStyle name="Normal 9 8 2 2 2" xfId="13960" xr:uid="{00000000-0005-0000-0000-000084900000}"/>
    <cellStyle name="Normal 9 8 2 3" xfId="24739" xr:uid="{00000000-0005-0000-0000-000085900000}"/>
    <cellStyle name="Normal 9 8 2 4" xfId="24740" xr:uid="{00000000-0005-0000-0000-000086900000}"/>
    <cellStyle name="Normal 9 8 2 5" xfId="24741" xr:uid="{00000000-0005-0000-0000-000087900000}"/>
    <cellStyle name="Normal 9 8 2 6" xfId="24742" xr:uid="{00000000-0005-0000-0000-000088900000}"/>
    <cellStyle name="Normal 9 8 3" xfId="10338" xr:uid="{00000000-0005-0000-0000-000089900000}"/>
    <cellStyle name="Normal 9 8 3 2" xfId="13959" xr:uid="{00000000-0005-0000-0000-00008A900000}"/>
    <cellStyle name="Normal 9 8 3 3" xfId="38489" xr:uid="{00000000-0005-0000-0000-00008B900000}"/>
    <cellStyle name="Normal 9 8 4" xfId="24743" xr:uid="{00000000-0005-0000-0000-00008C900000}"/>
    <cellStyle name="Normal 9 8 5" xfId="24744" xr:uid="{00000000-0005-0000-0000-00008D900000}"/>
    <cellStyle name="Normal 9 8 6" xfId="24745" xr:uid="{00000000-0005-0000-0000-00008E900000}"/>
    <cellStyle name="Normal 9 8 7" xfId="24746" xr:uid="{00000000-0005-0000-0000-00008F900000}"/>
    <cellStyle name="Normal 9 9" xfId="3838" xr:uid="{00000000-0005-0000-0000-000090900000}"/>
    <cellStyle name="Normal 9 9 2" xfId="5493" xr:uid="{00000000-0005-0000-0000-000091900000}"/>
    <cellStyle name="Normal 9 9 2 2" xfId="10341" xr:uid="{00000000-0005-0000-0000-000092900000}"/>
    <cellStyle name="Normal 9 9 2 2 2" xfId="13962" xr:uid="{00000000-0005-0000-0000-000093900000}"/>
    <cellStyle name="Normal 9 9 2 3" xfId="24747" xr:uid="{00000000-0005-0000-0000-000094900000}"/>
    <cellStyle name="Normal 9 9 2 4" xfId="24748" xr:uid="{00000000-0005-0000-0000-000095900000}"/>
    <cellStyle name="Normal 9 9 2 5" xfId="24749" xr:uid="{00000000-0005-0000-0000-000096900000}"/>
    <cellStyle name="Normal 9 9 2 6" xfId="24750" xr:uid="{00000000-0005-0000-0000-000097900000}"/>
    <cellStyle name="Normal 9 9 3" xfId="10340" xr:uid="{00000000-0005-0000-0000-000098900000}"/>
    <cellStyle name="Normal 9 9 3 2" xfId="13961" xr:uid="{00000000-0005-0000-0000-000099900000}"/>
    <cellStyle name="Normal 9 9 3 3" xfId="38490" xr:uid="{00000000-0005-0000-0000-00009A900000}"/>
    <cellStyle name="Normal 9 9 4" xfId="24751" xr:uid="{00000000-0005-0000-0000-00009B900000}"/>
    <cellStyle name="Normal 9 9 5" xfId="24752" xr:uid="{00000000-0005-0000-0000-00009C900000}"/>
    <cellStyle name="Normal 9 9 6" xfId="24753" xr:uid="{00000000-0005-0000-0000-00009D900000}"/>
    <cellStyle name="Normal 9 9 7" xfId="24754" xr:uid="{00000000-0005-0000-0000-00009E900000}"/>
    <cellStyle name="Normal 9_Sheet1" xfId="6603" xr:uid="{00000000-0005-0000-0000-00009F900000}"/>
    <cellStyle name="Normal 90" xfId="6482" xr:uid="{00000000-0005-0000-0000-0000A0900000}"/>
    <cellStyle name="Normal 90 2" xfId="37353" xr:uid="{00000000-0005-0000-0000-0000A1900000}"/>
    <cellStyle name="Normal 91" xfId="11639" xr:uid="{00000000-0005-0000-0000-0000A2900000}"/>
    <cellStyle name="Normal 91 2" xfId="37355" xr:uid="{00000000-0005-0000-0000-0000A3900000}"/>
    <cellStyle name="Normal 92" xfId="11679" xr:uid="{00000000-0005-0000-0000-0000A4900000}"/>
    <cellStyle name="Normal 92 2" xfId="37358" xr:uid="{00000000-0005-0000-0000-0000A5900000}"/>
    <cellStyle name="Normal 93" xfId="11718" xr:uid="{00000000-0005-0000-0000-0000A6900000}"/>
    <cellStyle name="Normal 93 2" xfId="37360" xr:uid="{00000000-0005-0000-0000-0000A7900000}"/>
    <cellStyle name="Normal 94" xfId="12228" xr:uid="{00000000-0005-0000-0000-0000A8900000}"/>
    <cellStyle name="Normal 94 2" xfId="37362" xr:uid="{00000000-0005-0000-0000-0000A9900000}"/>
    <cellStyle name="Normal 95" xfId="11640" xr:uid="{00000000-0005-0000-0000-0000AA900000}"/>
    <cellStyle name="Normal 95 2" xfId="37364" xr:uid="{00000000-0005-0000-0000-0000AB900000}"/>
    <cellStyle name="Normal 96" xfId="30416" xr:uid="{00000000-0005-0000-0000-0000AC900000}"/>
    <cellStyle name="Normal 96 2" xfId="37366" xr:uid="{00000000-0005-0000-0000-0000AD900000}"/>
    <cellStyle name="Normal 97" xfId="33452" xr:uid="{00000000-0005-0000-0000-0000AE900000}"/>
    <cellStyle name="Normal 97 2" xfId="37368" xr:uid="{00000000-0005-0000-0000-0000AF900000}"/>
    <cellStyle name="Normal 98" xfId="32240" xr:uid="{00000000-0005-0000-0000-0000B0900000}"/>
    <cellStyle name="Normal 98 2" xfId="37370" xr:uid="{00000000-0005-0000-0000-0000B1900000}"/>
    <cellStyle name="Normal 99" xfId="34093" xr:uid="{00000000-0005-0000-0000-0000B2900000}"/>
    <cellStyle name="Normal 99 2" xfId="37372" xr:uid="{00000000-0005-0000-0000-0000B3900000}"/>
    <cellStyle name="Normal GHG Numbers (0.00)" xfId="1641" xr:uid="{00000000-0005-0000-0000-0000B4900000}"/>
    <cellStyle name="Normal GHG Numbers (0.00) 2" xfId="10342" xr:uid="{00000000-0005-0000-0000-0000B5900000}"/>
    <cellStyle name="Normal GHG Numbers (0.00) 2 2" xfId="13963" xr:uid="{00000000-0005-0000-0000-0000B6900000}"/>
    <cellStyle name="Normal GHG Numbers (0.00) 3" xfId="24755" xr:uid="{00000000-0005-0000-0000-0000B7900000}"/>
    <cellStyle name="Normal GHG Numbers (0.00) 4" xfId="24756" xr:uid="{00000000-0005-0000-0000-0000B8900000}"/>
    <cellStyle name="Normal GHG Numbers (0.00) 5" xfId="24757" xr:uid="{00000000-0005-0000-0000-0000B9900000}"/>
    <cellStyle name="Normal GHG Numbers (0.00) 6" xfId="24758" xr:uid="{00000000-0005-0000-0000-0000BA900000}"/>
    <cellStyle name="Normal GHG Numbers (0.00) 7" xfId="24759" xr:uid="{00000000-0005-0000-0000-0000BB900000}"/>
    <cellStyle name="Normal GHG Numbers (0.00) 8" xfId="24760" xr:uid="{00000000-0005-0000-0000-0000BC900000}"/>
    <cellStyle name="Normal GHG Textfiels Bold" xfId="1642" xr:uid="{00000000-0005-0000-0000-0000BD900000}"/>
    <cellStyle name="Normal GHG Textfiels Bold 2" xfId="10343" xr:uid="{00000000-0005-0000-0000-0000BE900000}"/>
    <cellStyle name="Normal GHG Textfiels Bold 2 2" xfId="13964" xr:uid="{00000000-0005-0000-0000-0000BF900000}"/>
    <cellStyle name="Normal GHG Textfiels Bold 3" xfId="24761" xr:uid="{00000000-0005-0000-0000-0000C0900000}"/>
    <cellStyle name="Normal GHG Textfiels Bold 4" xfId="24762" xr:uid="{00000000-0005-0000-0000-0000C1900000}"/>
    <cellStyle name="Normal GHG Textfiels Bold 5" xfId="24763" xr:uid="{00000000-0005-0000-0000-0000C2900000}"/>
    <cellStyle name="Normal GHG Textfiels Bold 6" xfId="24764" xr:uid="{00000000-0005-0000-0000-0000C3900000}"/>
    <cellStyle name="Normal GHG Textfiels Bold 7" xfId="24765" xr:uid="{00000000-0005-0000-0000-0000C4900000}"/>
    <cellStyle name="Normal GHG Textfiels Bold 8" xfId="24766" xr:uid="{00000000-0005-0000-0000-0000C5900000}"/>
    <cellStyle name="Normal GHG whole table" xfId="1643" xr:uid="{00000000-0005-0000-0000-0000C6900000}"/>
    <cellStyle name="Normal GHG whole table 2" xfId="10344" xr:uid="{00000000-0005-0000-0000-0000C7900000}"/>
    <cellStyle name="Normal GHG whole table 2 2" xfId="13965" xr:uid="{00000000-0005-0000-0000-0000C8900000}"/>
    <cellStyle name="Normal GHG whole table 3" xfId="24767" xr:uid="{00000000-0005-0000-0000-0000C9900000}"/>
    <cellStyle name="Normal GHG whole table 4" xfId="24768" xr:uid="{00000000-0005-0000-0000-0000CA900000}"/>
    <cellStyle name="Normal GHG whole table 5" xfId="24769" xr:uid="{00000000-0005-0000-0000-0000CB900000}"/>
    <cellStyle name="Normal GHG whole table 6" xfId="24770" xr:uid="{00000000-0005-0000-0000-0000CC900000}"/>
    <cellStyle name="Normal GHG whole table 7" xfId="24771" xr:uid="{00000000-0005-0000-0000-0000CD900000}"/>
    <cellStyle name="Normal GHG whole table 8" xfId="24772" xr:uid="{00000000-0005-0000-0000-0000CE900000}"/>
    <cellStyle name="Normal GHG-Shade" xfId="1644" xr:uid="{00000000-0005-0000-0000-0000CF900000}"/>
    <cellStyle name="Normal GHG-Shade 2" xfId="10345" xr:uid="{00000000-0005-0000-0000-0000D0900000}"/>
    <cellStyle name="Normal GHG-Shade 2 2" xfId="13966" xr:uid="{00000000-0005-0000-0000-0000D1900000}"/>
    <cellStyle name="Normal GHG-Shade 3" xfId="24773" xr:uid="{00000000-0005-0000-0000-0000D2900000}"/>
    <cellStyle name="Normal GHG-Shade 4" xfId="24774" xr:uid="{00000000-0005-0000-0000-0000D3900000}"/>
    <cellStyle name="Normal GHG-Shade 5" xfId="24775" xr:uid="{00000000-0005-0000-0000-0000D4900000}"/>
    <cellStyle name="Normal GHG-Shade 6" xfId="24776" xr:uid="{00000000-0005-0000-0000-0000D5900000}"/>
    <cellStyle name="Normal GHG-Shade 7" xfId="24777" xr:uid="{00000000-0005-0000-0000-0000D6900000}"/>
    <cellStyle name="Normal GHG-Shade 8" xfId="24778" xr:uid="{00000000-0005-0000-0000-0000D7900000}"/>
    <cellStyle name="Normale_B2020" xfId="3" xr:uid="{00000000-0005-0000-0000-0000D8900000}"/>
    <cellStyle name="Nota" xfId="1645" xr:uid="{00000000-0005-0000-0000-0000D9900000}"/>
    <cellStyle name="Nota 10" xfId="24779" xr:uid="{00000000-0005-0000-0000-0000DA900000}"/>
    <cellStyle name="Nota 11" xfId="24780" xr:uid="{00000000-0005-0000-0000-0000DB900000}"/>
    <cellStyle name="Nota 2" xfId="1646" xr:uid="{00000000-0005-0000-0000-0000DC900000}"/>
    <cellStyle name="Nota 2 2" xfId="3840" xr:uid="{00000000-0005-0000-0000-0000DD900000}"/>
    <cellStyle name="Nota 2 2 2" xfId="13968" xr:uid="{00000000-0005-0000-0000-0000DE900000}"/>
    <cellStyle name="Nota 2 2 3" xfId="35452" xr:uid="{00000000-0005-0000-0000-0000DF900000}"/>
    <cellStyle name="Nota 2 2 4" xfId="10347" xr:uid="{00000000-0005-0000-0000-0000E0900000}"/>
    <cellStyle name="Nota 2 3" xfId="4844" xr:uid="{00000000-0005-0000-0000-0000E1900000}"/>
    <cellStyle name="Nota 2 3 2" xfId="35812" xr:uid="{00000000-0005-0000-0000-0000E2900000}"/>
    <cellStyle name="Nota 2 3 3" xfId="24781" xr:uid="{00000000-0005-0000-0000-0000E3900000}"/>
    <cellStyle name="Nota 2 4" xfId="24782" xr:uid="{00000000-0005-0000-0000-0000E4900000}"/>
    <cellStyle name="Nota 2 4 2" xfId="37878" xr:uid="{00000000-0005-0000-0000-0000E5900000}"/>
    <cellStyle name="Nota 2 5" xfId="24783" xr:uid="{00000000-0005-0000-0000-0000E6900000}"/>
    <cellStyle name="Nota 2 6" xfId="24784" xr:uid="{00000000-0005-0000-0000-0000E7900000}"/>
    <cellStyle name="Nota 2 7" xfId="24785" xr:uid="{00000000-0005-0000-0000-0000E8900000}"/>
    <cellStyle name="Nota 3" xfId="1647" xr:uid="{00000000-0005-0000-0000-0000E9900000}"/>
    <cellStyle name="Nota 3 2" xfId="3841" xr:uid="{00000000-0005-0000-0000-0000EA900000}"/>
    <cellStyle name="Nota 3 2 2" xfId="13969" xr:uid="{00000000-0005-0000-0000-0000EB900000}"/>
    <cellStyle name="Nota 3 2 3" xfId="35453" xr:uid="{00000000-0005-0000-0000-0000EC900000}"/>
    <cellStyle name="Nota 3 2 4" xfId="10348" xr:uid="{00000000-0005-0000-0000-0000ED900000}"/>
    <cellStyle name="Nota 3 3" xfId="4845" xr:uid="{00000000-0005-0000-0000-0000EE900000}"/>
    <cellStyle name="Nota 3 3 2" xfId="35813" xr:uid="{00000000-0005-0000-0000-0000EF900000}"/>
    <cellStyle name="Nota 3 3 3" xfId="24786" xr:uid="{00000000-0005-0000-0000-0000F0900000}"/>
    <cellStyle name="Nota 3 4" xfId="24787" xr:uid="{00000000-0005-0000-0000-0000F1900000}"/>
    <cellStyle name="Nota 3 4 2" xfId="37879" xr:uid="{00000000-0005-0000-0000-0000F2900000}"/>
    <cellStyle name="Nota 3 5" xfId="24788" xr:uid="{00000000-0005-0000-0000-0000F3900000}"/>
    <cellStyle name="Nota 3 6" xfId="24789" xr:uid="{00000000-0005-0000-0000-0000F4900000}"/>
    <cellStyle name="Nota 3 7" xfId="24790" xr:uid="{00000000-0005-0000-0000-0000F5900000}"/>
    <cellStyle name="Nota 4" xfId="1648" xr:uid="{00000000-0005-0000-0000-0000F6900000}"/>
    <cellStyle name="Nota 4 2" xfId="3842" xr:uid="{00000000-0005-0000-0000-0000F7900000}"/>
    <cellStyle name="Nota 4 2 2" xfId="13970" xr:uid="{00000000-0005-0000-0000-0000F8900000}"/>
    <cellStyle name="Nota 4 2 3" xfId="35454" xr:uid="{00000000-0005-0000-0000-0000F9900000}"/>
    <cellStyle name="Nota 4 2 4" xfId="10349" xr:uid="{00000000-0005-0000-0000-0000FA900000}"/>
    <cellStyle name="Nota 4 3" xfId="4846" xr:uid="{00000000-0005-0000-0000-0000FB900000}"/>
    <cellStyle name="Nota 4 3 2" xfId="35814" xr:uid="{00000000-0005-0000-0000-0000FC900000}"/>
    <cellStyle name="Nota 4 3 3" xfId="24791" xr:uid="{00000000-0005-0000-0000-0000FD900000}"/>
    <cellStyle name="Nota 4 4" xfId="24792" xr:uid="{00000000-0005-0000-0000-0000FE900000}"/>
    <cellStyle name="Nota 4 4 2" xfId="37880" xr:uid="{00000000-0005-0000-0000-0000FF900000}"/>
    <cellStyle name="Nota 4 5" xfId="24793" xr:uid="{00000000-0005-0000-0000-000000910000}"/>
    <cellStyle name="Nota 4 6" xfId="24794" xr:uid="{00000000-0005-0000-0000-000001910000}"/>
    <cellStyle name="Nota 4 7" xfId="24795" xr:uid="{00000000-0005-0000-0000-000002910000}"/>
    <cellStyle name="Nota 5" xfId="3839" xr:uid="{00000000-0005-0000-0000-000003910000}"/>
    <cellStyle name="Nota 5 2" xfId="13967" xr:uid="{00000000-0005-0000-0000-000004910000}"/>
    <cellStyle name="Nota 5 3" xfId="35451" xr:uid="{00000000-0005-0000-0000-000005910000}"/>
    <cellStyle name="Nota 5 4" xfId="10346" xr:uid="{00000000-0005-0000-0000-000006910000}"/>
    <cellStyle name="Nota 6" xfId="4843" xr:uid="{00000000-0005-0000-0000-000007910000}"/>
    <cellStyle name="Nota 6 2" xfId="35811" xr:uid="{00000000-0005-0000-0000-000008910000}"/>
    <cellStyle name="Nota 6 3" xfId="24796" xr:uid="{00000000-0005-0000-0000-000009910000}"/>
    <cellStyle name="Nota 7" xfId="24797" xr:uid="{00000000-0005-0000-0000-00000A910000}"/>
    <cellStyle name="Nota 7 2" xfId="37877" xr:uid="{00000000-0005-0000-0000-00000B910000}"/>
    <cellStyle name="Nota 8" xfId="24798" xr:uid="{00000000-0005-0000-0000-00000C910000}"/>
    <cellStyle name="Nota 9" xfId="24799" xr:uid="{00000000-0005-0000-0000-00000D910000}"/>
    <cellStyle name="Note 10" xfId="1649" xr:uid="{00000000-0005-0000-0000-00000E910000}"/>
    <cellStyle name="Note 10 10" xfId="7653" xr:uid="{00000000-0005-0000-0000-00000F910000}"/>
    <cellStyle name="Note 10 10 2" xfId="10351" xr:uid="{00000000-0005-0000-0000-000010910000}"/>
    <cellStyle name="Note 10 10 2 2" xfId="13972" xr:uid="{00000000-0005-0000-0000-000011910000}"/>
    <cellStyle name="Note 10 10 3" xfId="24800" xr:uid="{00000000-0005-0000-0000-000012910000}"/>
    <cellStyle name="Note 10 10 4" xfId="24801" xr:uid="{00000000-0005-0000-0000-000013910000}"/>
    <cellStyle name="Note 10 10 5" xfId="24802" xr:uid="{00000000-0005-0000-0000-000014910000}"/>
    <cellStyle name="Note 10 10 6" xfId="24803" xr:uid="{00000000-0005-0000-0000-000015910000}"/>
    <cellStyle name="Note 10 11" xfId="7654" xr:uid="{00000000-0005-0000-0000-000016910000}"/>
    <cellStyle name="Note 10 11 2" xfId="10352" xr:uid="{00000000-0005-0000-0000-000017910000}"/>
    <cellStyle name="Note 10 11 2 2" xfId="13973" xr:uid="{00000000-0005-0000-0000-000018910000}"/>
    <cellStyle name="Note 10 11 3" xfId="24804" xr:uid="{00000000-0005-0000-0000-000019910000}"/>
    <cellStyle name="Note 10 11 4" xfId="24805" xr:uid="{00000000-0005-0000-0000-00001A910000}"/>
    <cellStyle name="Note 10 11 5" xfId="24806" xr:uid="{00000000-0005-0000-0000-00001B910000}"/>
    <cellStyle name="Note 10 11 6" xfId="24807" xr:uid="{00000000-0005-0000-0000-00001C910000}"/>
    <cellStyle name="Note 10 12" xfId="7655" xr:uid="{00000000-0005-0000-0000-00001D910000}"/>
    <cellStyle name="Note 10 12 2" xfId="10353" xr:uid="{00000000-0005-0000-0000-00001E910000}"/>
    <cellStyle name="Note 10 12 2 2" xfId="13974" xr:uid="{00000000-0005-0000-0000-00001F910000}"/>
    <cellStyle name="Note 10 12 3" xfId="24808" xr:uid="{00000000-0005-0000-0000-000020910000}"/>
    <cellStyle name="Note 10 12 4" xfId="24809" xr:uid="{00000000-0005-0000-0000-000021910000}"/>
    <cellStyle name="Note 10 12 5" xfId="24810" xr:uid="{00000000-0005-0000-0000-000022910000}"/>
    <cellStyle name="Note 10 12 6" xfId="24811" xr:uid="{00000000-0005-0000-0000-000023910000}"/>
    <cellStyle name="Note 10 13" xfId="7656" xr:uid="{00000000-0005-0000-0000-000024910000}"/>
    <cellStyle name="Note 10 13 2" xfId="10354" xr:uid="{00000000-0005-0000-0000-000025910000}"/>
    <cellStyle name="Note 10 13 2 2" xfId="13975" xr:uid="{00000000-0005-0000-0000-000026910000}"/>
    <cellStyle name="Note 10 13 3" xfId="24812" xr:uid="{00000000-0005-0000-0000-000027910000}"/>
    <cellStyle name="Note 10 13 4" xfId="24813" xr:uid="{00000000-0005-0000-0000-000028910000}"/>
    <cellStyle name="Note 10 13 5" xfId="24814" xr:uid="{00000000-0005-0000-0000-000029910000}"/>
    <cellStyle name="Note 10 13 6" xfId="24815" xr:uid="{00000000-0005-0000-0000-00002A910000}"/>
    <cellStyle name="Note 10 14" xfId="7657" xr:uid="{00000000-0005-0000-0000-00002B910000}"/>
    <cellStyle name="Note 10 14 2" xfId="10355" xr:uid="{00000000-0005-0000-0000-00002C910000}"/>
    <cellStyle name="Note 10 14 2 2" xfId="13976" xr:uid="{00000000-0005-0000-0000-00002D910000}"/>
    <cellStyle name="Note 10 14 3" xfId="24816" xr:uid="{00000000-0005-0000-0000-00002E910000}"/>
    <cellStyle name="Note 10 14 4" xfId="24817" xr:uid="{00000000-0005-0000-0000-00002F910000}"/>
    <cellStyle name="Note 10 14 5" xfId="24818" xr:uid="{00000000-0005-0000-0000-000030910000}"/>
    <cellStyle name="Note 10 14 6" xfId="24819" xr:uid="{00000000-0005-0000-0000-000031910000}"/>
    <cellStyle name="Note 10 15" xfId="10350" xr:uid="{00000000-0005-0000-0000-000032910000}"/>
    <cellStyle name="Note 10 15 2" xfId="13971" xr:uid="{00000000-0005-0000-0000-000033910000}"/>
    <cellStyle name="Note 10 16" xfId="24820" xr:uid="{00000000-0005-0000-0000-000034910000}"/>
    <cellStyle name="Note 10 17" xfId="24821" xr:uid="{00000000-0005-0000-0000-000035910000}"/>
    <cellStyle name="Note 10 18" xfId="24822" xr:uid="{00000000-0005-0000-0000-000036910000}"/>
    <cellStyle name="Note 10 19" xfId="24823" xr:uid="{00000000-0005-0000-0000-000037910000}"/>
    <cellStyle name="Note 10 2" xfId="1650" xr:uid="{00000000-0005-0000-0000-000038910000}"/>
    <cellStyle name="Note 10 2 2" xfId="10356" xr:uid="{00000000-0005-0000-0000-000039910000}"/>
    <cellStyle name="Note 10 2 2 2" xfId="13977" xr:uid="{00000000-0005-0000-0000-00003A910000}"/>
    <cellStyle name="Note 10 2 3" xfId="24824" xr:uid="{00000000-0005-0000-0000-00003B910000}"/>
    <cellStyle name="Note 10 2 4" xfId="24825" xr:uid="{00000000-0005-0000-0000-00003C910000}"/>
    <cellStyle name="Note 10 2 5" xfId="24826" xr:uid="{00000000-0005-0000-0000-00003D910000}"/>
    <cellStyle name="Note 10 2 6" xfId="24827" xr:uid="{00000000-0005-0000-0000-00003E910000}"/>
    <cellStyle name="Note 10 2 7" xfId="24828" xr:uid="{00000000-0005-0000-0000-00003F910000}"/>
    <cellStyle name="Note 10 20" xfId="24829" xr:uid="{00000000-0005-0000-0000-000040910000}"/>
    <cellStyle name="Note 10 3" xfId="1651" xr:uid="{00000000-0005-0000-0000-000041910000}"/>
    <cellStyle name="Note 10 3 2" xfId="10357" xr:uid="{00000000-0005-0000-0000-000042910000}"/>
    <cellStyle name="Note 10 3 2 2" xfId="13978" xr:uid="{00000000-0005-0000-0000-000043910000}"/>
    <cellStyle name="Note 10 3 3" xfId="24830" xr:uid="{00000000-0005-0000-0000-000044910000}"/>
    <cellStyle name="Note 10 3 4" xfId="24831" xr:uid="{00000000-0005-0000-0000-000045910000}"/>
    <cellStyle name="Note 10 3 5" xfId="24832" xr:uid="{00000000-0005-0000-0000-000046910000}"/>
    <cellStyle name="Note 10 3 6" xfId="24833" xr:uid="{00000000-0005-0000-0000-000047910000}"/>
    <cellStyle name="Note 10 3 7" xfId="24834" xr:uid="{00000000-0005-0000-0000-000048910000}"/>
    <cellStyle name="Note 10 4" xfId="3843" xr:uid="{00000000-0005-0000-0000-000049910000}"/>
    <cellStyle name="Note 10 4 2" xfId="10358" xr:uid="{00000000-0005-0000-0000-00004A910000}"/>
    <cellStyle name="Note 10 4 2 2" xfId="13979" xr:uid="{00000000-0005-0000-0000-00004B910000}"/>
    <cellStyle name="Note 10 4 3" xfId="24835" xr:uid="{00000000-0005-0000-0000-00004C910000}"/>
    <cellStyle name="Note 10 4 4" xfId="24836" xr:uid="{00000000-0005-0000-0000-00004D910000}"/>
    <cellStyle name="Note 10 4 5" xfId="24837" xr:uid="{00000000-0005-0000-0000-00004E910000}"/>
    <cellStyle name="Note 10 4 6" xfId="24838" xr:uid="{00000000-0005-0000-0000-00004F910000}"/>
    <cellStyle name="Note 10 5" xfId="3844" xr:uid="{00000000-0005-0000-0000-000050910000}"/>
    <cellStyle name="Note 10 5 2" xfId="10359" xr:uid="{00000000-0005-0000-0000-000051910000}"/>
    <cellStyle name="Note 10 5 2 2" xfId="13980" xr:uid="{00000000-0005-0000-0000-000052910000}"/>
    <cellStyle name="Note 10 5 3" xfId="24839" xr:uid="{00000000-0005-0000-0000-000053910000}"/>
    <cellStyle name="Note 10 5 4" xfId="24840" xr:uid="{00000000-0005-0000-0000-000054910000}"/>
    <cellStyle name="Note 10 5 5" xfId="24841" xr:uid="{00000000-0005-0000-0000-000055910000}"/>
    <cellStyle name="Note 10 5 6" xfId="24842" xr:uid="{00000000-0005-0000-0000-000056910000}"/>
    <cellStyle name="Note 10 6" xfId="3845" xr:uid="{00000000-0005-0000-0000-000057910000}"/>
    <cellStyle name="Note 10 6 2" xfId="10360" xr:uid="{00000000-0005-0000-0000-000058910000}"/>
    <cellStyle name="Note 10 6 2 2" xfId="13981" xr:uid="{00000000-0005-0000-0000-000059910000}"/>
    <cellStyle name="Note 10 6 3" xfId="24843" xr:uid="{00000000-0005-0000-0000-00005A910000}"/>
    <cellStyle name="Note 10 6 4" xfId="24844" xr:uid="{00000000-0005-0000-0000-00005B910000}"/>
    <cellStyle name="Note 10 6 5" xfId="24845" xr:uid="{00000000-0005-0000-0000-00005C910000}"/>
    <cellStyle name="Note 10 6 6" xfId="24846" xr:uid="{00000000-0005-0000-0000-00005D910000}"/>
    <cellStyle name="Note 10 7" xfId="3846" xr:uid="{00000000-0005-0000-0000-00005E910000}"/>
    <cellStyle name="Note 10 7 2" xfId="5494" xr:uid="{00000000-0005-0000-0000-00005F910000}"/>
    <cellStyle name="Note 10 7 2 2" xfId="10362" xr:uid="{00000000-0005-0000-0000-000060910000}"/>
    <cellStyle name="Note 10 7 2 2 2" xfId="13983" xr:uid="{00000000-0005-0000-0000-000061910000}"/>
    <cellStyle name="Note 10 7 2 3" xfId="24847" xr:uid="{00000000-0005-0000-0000-000062910000}"/>
    <cellStyle name="Note 10 7 2 4" xfId="24848" xr:uid="{00000000-0005-0000-0000-000063910000}"/>
    <cellStyle name="Note 10 7 2 5" xfId="24849" xr:uid="{00000000-0005-0000-0000-000064910000}"/>
    <cellStyle name="Note 10 7 2 6" xfId="24850" xr:uid="{00000000-0005-0000-0000-000065910000}"/>
    <cellStyle name="Note 10 7 3" xfId="7658" xr:uid="{00000000-0005-0000-0000-000066910000}"/>
    <cellStyle name="Note 10 7 3 2" xfId="10363" xr:uid="{00000000-0005-0000-0000-000067910000}"/>
    <cellStyle name="Note 10 7 3 2 2" xfId="13984" xr:uid="{00000000-0005-0000-0000-000068910000}"/>
    <cellStyle name="Note 10 7 3 3" xfId="24851" xr:uid="{00000000-0005-0000-0000-000069910000}"/>
    <cellStyle name="Note 10 7 3 4" xfId="24852" xr:uid="{00000000-0005-0000-0000-00006A910000}"/>
    <cellStyle name="Note 10 7 3 5" xfId="24853" xr:uid="{00000000-0005-0000-0000-00006B910000}"/>
    <cellStyle name="Note 10 7 3 6" xfId="24854" xr:uid="{00000000-0005-0000-0000-00006C910000}"/>
    <cellStyle name="Note 10 7 3 7" xfId="38491" xr:uid="{00000000-0005-0000-0000-00006D910000}"/>
    <cellStyle name="Note 10 7 4" xfId="10361" xr:uid="{00000000-0005-0000-0000-00006E910000}"/>
    <cellStyle name="Note 10 7 4 2" xfId="13982" xr:uid="{00000000-0005-0000-0000-00006F910000}"/>
    <cellStyle name="Note 10 7 5" xfId="24855" xr:uid="{00000000-0005-0000-0000-000070910000}"/>
    <cellStyle name="Note 10 7 6" xfId="24856" xr:uid="{00000000-0005-0000-0000-000071910000}"/>
    <cellStyle name="Note 10 7 7" xfId="24857" xr:uid="{00000000-0005-0000-0000-000072910000}"/>
    <cellStyle name="Note 10 7 8" xfId="24858" xr:uid="{00000000-0005-0000-0000-000073910000}"/>
    <cellStyle name="Note 10 8" xfId="3847" xr:uid="{00000000-0005-0000-0000-000074910000}"/>
    <cellStyle name="Note 10 8 2" xfId="5495" xr:uid="{00000000-0005-0000-0000-000075910000}"/>
    <cellStyle name="Note 10 8 2 2" xfId="10365" xr:uid="{00000000-0005-0000-0000-000076910000}"/>
    <cellStyle name="Note 10 8 2 2 2" xfId="13986" xr:uid="{00000000-0005-0000-0000-000077910000}"/>
    <cellStyle name="Note 10 8 2 3" xfId="24859" xr:uid="{00000000-0005-0000-0000-000078910000}"/>
    <cellStyle name="Note 10 8 2 4" xfId="24860" xr:uid="{00000000-0005-0000-0000-000079910000}"/>
    <cellStyle name="Note 10 8 2 5" xfId="24861" xr:uid="{00000000-0005-0000-0000-00007A910000}"/>
    <cellStyle name="Note 10 8 2 6" xfId="24862" xr:uid="{00000000-0005-0000-0000-00007B910000}"/>
    <cellStyle name="Note 10 8 3" xfId="7659" xr:uid="{00000000-0005-0000-0000-00007C910000}"/>
    <cellStyle name="Note 10 8 3 2" xfId="10366" xr:uid="{00000000-0005-0000-0000-00007D910000}"/>
    <cellStyle name="Note 10 8 3 2 2" xfId="13987" xr:uid="{00000000-0005-0000-0000-00007E910000}"/>
    <cellStyle name="Note 10 8 3 3" xfId="24863" xr:uid="{00000000-0005-0000-0000-00007F910000}"/>
    <cellStyle name="Note 10 8 3 4" xfId="24864" xr:uid="{00000000-0005-0000-0000-000080910000}"/>
    <cellStyle name="Note 10 8 3 5" xfId="24865" xr:uid="{00000000-0005-0000-0000-000081910000}"/>
    <cellStyle name="Note 10 8 3 6" xfId="24866" xr:uid="{00000000-0005-0000-0000-000082910000}"/>
    <cellStyle name="Note 10 8 3 7" xfId="38492" xr:uid="{00000000-0005-0000-0000-000083910000}"/>
    <cellStyle name="Note 10 8 4" xfId="10364" xr:uid="{00000000-0005-0000-0000-000084910000}"/>
    <cellStyle name="Note 10 8 4 2" xfId="13985" xr:uid="{00000000-0005-0000-0000-000085910000}"/>
    <cellStyle name="Note 10 8 5" xfId="24867" xr:uid="{00000000-0005-0000-0000-000086910000}"/>
    <cellStyle name="Note 10 8 6" xfId="24868" xr:uid="{00000000-0005-0000-0000-000087910000}"/>
    <cellStyle name="Note 10 8 7" xfId="24869" xr:uid="{00000000-0005-0000-0000-000088910000}"/>
    <cellStyle name="Note 10 8 8" xfId="24870" xr:uid="{00000000-0005-0000-0000-000089910000}"/>
    <cellStyle name="Note 10 9" xfId="7660" xr:uid="{00000000-0005-0000-0000-00008A910000}"/>
    <cellStyle name="Note 10 9 2" xfId="10367" xr:uid="{00000000-0005-0000-0000-00008B910000}"/>
    <cellStyle name="Note 10 9 2 2" xfId="13988" xr:uid="{00000000-0005-0000-0000-00008C910000}"/>
    <cellStyle name="Note 10 9 3" xfId="24871" xr:uid="{00000000-0005-0000-0000-00008D910000}"/>
    <cellStyle name="Note 10 9 4" xfId="24872" xr:uid="{00000000-0005-0000-0000-00008E910000}"/>
    <cellStyle name="Note 10 9 5" xfId="24873" xr:uid="{00000000-0005-0000-0000-00008F910000}"/>
    <cellStyle name="Note 10 9 6" xfId="24874" xr:uid="{00000000-0005-0000-0000-000090910000}"/>
    <cellStyle name="Note 10_IND_UC" xfId="3848" xr:uid="{00000000-0005-0000-0000-000091910000}"/>
    <cellStyle name="Note 11" xfId="1652" xr:uid="{00000000-0005-0000-0000-000092910000}"/>
    <cellStyle name="Note 11 10" xfId="7661" xr:uid="{00000000-0005-0000-0000-000093910000}"/>
    <cellStyle name="Note 11 10 2" xfId="10369" xr:uid="{00000000-0005-0000-0000-000094910000}"/>
    <cellStyle name="Note 11 10 2 2" xfId="13990" xr:uid="{00000000-0005-0000-0000-000095910000}"/>
    <cellStyle name="Note 11 10 3" xfId="24875" xr:uid="{00000000-0005-0000-0000-000096910000}"/>
    <cellStyle name="Note 11 10 4" xfId="24876" xr:uid="{00000000-0005-0000-0000-000097910000}"/>
    <cellStyle name="Note 11 10 5" xfId="24877" xr:uid="{00000000-0005-0000-0000-000098910000}"/>
    <cellStyle name="Note 11 10 6" xfId="24878" xr:uid="{00000000-0005-0000-0000-000099910000}"/>
    <cellStyle name="Note 11 11" xfId="7662" xr:uid="{00000000-0005-0000-0000-00009A910000}"/>
    <cellStyle name="Note 11 11 2" xfId="10370" xr:uid="{00000000-0005-0000-0000-00009B910000}"/>
    <cellStyle name="Note 11 11 2 2" xfId="13991" xr:uid="{00000000-0005-0000-0000-00009C910000}"/>
    <cellStyle name="Note 11 11 3" xfId="24879" xr:uid="{00000000-0005-0000-0000-00009D910000}"/>
    <cellStyle name="Note 11 11 4" xfId="24880" xr:uid="{00000000-0005-0000-0000-00009E910000}"/>
    <cellStyle name="Note 11 11 5" xfId="24881" xr:uid="{00000000-0005-0000-0000-00009F910000}"/>
    <cellStyle name="Note 11 11 6" xfId="24882" xr:uid="{00000000-0005-0000-0000-0000A0910000}"/>
    <cellStyle name="Note 11 12" xfId="7663" xr:uid="{00000000-0005-0000-0000-0000A1910000}"/>
    <cellStyle name="Note 11 12 2" xfId="10371" xr:uid="{00000000-0005-0000-0000-0000A2910000}"/>
    <cellStyle name="Note 11 12 2 2" xfId="13992" xr:uid="{00000000-0005-0000-0000-0000A3910000}"/>
    <cellStyle name="Note 11 12 3" xfId="24883" xr:uid="{00000000-0005-0000-0000-0000A4910000}"/>
    <cellStyle name="Note 11 12 4" xfId="24884" xr:uid="{00000000-0005-0000-0000-0000A5910000}"/>
    <cellStyle name="Note 11 12 5" xfId="24885" xr:uid="{00000000-0005-0000-0000-0000A6910000}"/>
    <cellStyle name="Note 11 12 6" xfId="24886" xr:uid="{00000000-0005-0000-0000-0000A7910000}"/>
    <cellStyle name="Note 11 13" xfId="7664" xr:uid="{00000000-0005-0000-0000-0000A8910000}"/>
    <cellStyle name="Note 11 13 2" xfId="10372" xr:uid="{00000000-0005-0000-0000-0000A9910000}"/>
    <cellStyle name="Note 11 13 2 2" xfId="13993" xr:uid="{00000000-0005-0000-0000-0000AA910000}"/>
    <cellStyle name="Note 11 13 3" xfId="24887" xr:uid="{00000000-0005-0000-0000-0000AB910000}"/>
    <cellStyle name="Note 11 13 4" xfId="24888" xr:uid="{00000000-0005-0000-0000-0000AC910000}"/>
    <cellStyle name="Note 11 13 5" xfId="24889" xr:uid="{00000000-0005-0000-0000-0000AD910000}"/>
    <cellStyle name="Note 11 13 6" xfId="24890" xr:uid="{00000000-0005-0000-0000-0000AE910000}"/>
    <cellStyle name="Note 11 14" xfId="7665" xr:uid="{00000000-0005-0000-0000-0000AF910000}"/>
    <cellStyle name="Note 11 14 2" xfId="10373" xr:uid="{00000000-0005-0000-0000-0000B0910000}"/>
    <cellStyle name="Note 11 14 2 2" xfId="13994" xr:uid="{00000000-0005-0000-0000-0000B1910000}"/>
    <cellStyle name="Note 11 14 3" xfId="24891" xr:uid="{00000000-0005-0000-0000-0000B2910000}"/>
    <cellStyle name="Note 11 14 4" xfId="24892" xr:uid="{00000000-0005-0000-0000-0000B3910000}"/>
    <cellStyle name="Note 11 14 5" xfId="24893" xr:uid="{00000000-0005-0000-0000-0000B4910000}"/>
    <cellStyle name="Note 11 14 6" xfId="24894" xr:uid="{00000000-0005-0000-0000-0000B5910000}"/>
    <cellStyle name="Note 11 15" xfId="10368" xr:uid="{00000000-0005-0000-0000-0000B6910000}"/>
    <cellStyle name="Note 11 15 2" xfId="13989" xr:uid="{00000000-0005-0000-0000-0000B7910000}"/>
    <cellStyle name="Note 11 16" xfId="24895" xr:uid="{00000000-0005-0000-0000-0000B8910000}"/>
    <cellStyle name="Note 11 17" xfId="24896" xr:uid="{00000000-0005-0000-0000-0000B9910000}"/>
    <cellStyle name="Note 11 18" xfId="24897" xr:uid="{00000000-0005-0000-0000-0000BA910000}"/>
    <cellStyle name="Note 11 19" xfId="24898" xr:uid="{00000000-0005-0000-0000-0000BB910000}"/>
    <cellStyle name="Note 11 2" xfId="1653" xr:uid="{00000000-0005-0000-0000-0000BC910000}"/>
    <cellStyle name="Note 11 2 2" xfId="10374" xr:uid="{00000000-0005-0000-0000-0000BD910000}"/>
    <cellStyle name="Note 11 2 2 2" xfId="13995" xr:uid="{00000000-0005-0000-0000-0000BE910000}"/>
    <cellStyle name="Note 11 2 3" xfId="24899" xr:uid="{00000000-0005-0000-0000-0000BF910000}"/>
    <cellStyle name="Note 11 2 4" xfId="24900" xr:uid="{00000000-0005-0000-0000-0000C0910000}"/>
    <cellStyle name="Note 11 2 5" xfId="24901" xr:uid="{00000000-0005-0000-0000-0000C1910000}"/>
    <cellStyle name="Note 11 2 6" xfId="24902" xr:uid="{00000000-0005-0000-0000-0000C2910000}"/>
    <cellStyle name="Note 11 2 7" xfId="24903" xr:uid="{00000000-0005-0000-0000-0000C3910000}"/>
    <cellStyle name="Note 11 20" xfId="24904" xr:uid="{00000000-0005-0000-0000-0000C4910000}"/>
    <cellStyle name="Note 11 3" xfId="1654" xr:uid="{00000000-0005-0000-0000-0000C5910000}"/>
    <cellStyle name="Note 11 3 2" xfId="10375" xr:uid="{00000000-0005-0000-0000-0000C6910000}"/>
    <cellStyle name="Note 11 3 2 2" xfId="13996" xr:uid="{00000000-0005-0000-0000-0000C7910000}"/>
    <cellStyle name="Note 11 3 3" xfId="24905" xr:uid="{00000000-0005-0000-0000-0000C8910000}"/>
    <cellStyle name="Note 11 3 4" xfId="24906" xr:uid="{00000000-0005-0000-0000-0000C9910000}"/>
    <cellStyle name="Note 11 3 5" xfId="24907" xr:uid="{00000000-0005-0000-0000-0000CA910000}"/>
    <cellStyle name="Note 11 3 6" xfId="24908" xr:uid="{00000000-0005-0000-0000-0000CB910000}"/>
    <cellStyle name="Note 11 3 7" xfId="24909" xr:uid="{00000000-0005-0000-0000-0000CC910000}"/>
    <cellStyle name="Note 11 4" xfId="3849" xr:uid="{00000000-0005-0000-0000-0000CD910000}"/>
    <cellStyle name="Note 11 4 2" xfId="10376" xr:uid="{00000000-0005-0000-0000-0000CE910000}"/>
    <cellStyle name="Note 11 4 2 2" xfId="13997" xr:uid="{00000000-0005-0000-0000-0000CF910000}"/>
    <cellStyle name="Note 11 4 3" xfId="24910" xr:uid="{00000000-0005-0000-0000-0000D0910000}"/>
    <cellStyle name="Note 11 4 4" xfId="24911" xr:uid="{00000000-0005-0000-0000-0000D1910000}"/>
    <cellStyle name="Note 11 4 5" xfId="24912" xr:uid="{00000000-0005-0000-0000-0000D2910000}"/>
    <cellStyle name="Note 11 4 6" xfId="24913" xr:uid="{00000000-0005-0000-0000-0000D3910000}"/>
    <cellStyle name="Note 11 5" xfId="3850" xr:uid="{00000000-0005-0000-0000-0000D4910000}"/>
    <cellStyle name="Note 11 5 2" xfId="10377" xr:uid="{00000000-0005-0000-0000-0000D5910000}"/>
    <cellStyle name="Note 11 5 2 2" xfId="13998" xr:uid="{00000000-0005-0000-0000-0000D6910000}"/>
    <cellStyle name="Note 11 5 3" xfId="24914" xr:uid="{00000000-0005-0000-0000-0000D7910000}"/>
    <cellStyle name="Note 11 5 4" xfId="24915" xr:uid="{00000000-0005-0000-0000-0000D8910000}"/>
    <cellStyle name="Note 11 5 5" xfId="24916" xr:uid="{00000000-0005-0000-0000-0000D9910000}"/>
    <cellStyle name="Note 11 5 6" xfId="24917" xr:uid="{00000000-0005-0000-0000-0000DA910000}"/>
    <cellStyle name="Note 11 6" xfId="3851" xr:uid="{00000000-0005-0000-0000-0000DB910000}"/>
    <cellStyle name="Note 11 6 2" xfId="10378" xr:uid="{00000000-0005-0000-0000-0000DC910000}"/>
    <cellStyle name="Note 11 6 2 2" xfId="13999" xr:uid="{00000000-0005-0000-0000-0000DD910000}"/>
    <cellStyle name="Note 11 6 3" xfId="24918" xr:uid="{00000000-0005-0000-0000-0000DE910000}"/>
    <cellStyle name="Note 11 6 4" xfId="24919" xr:uid="{00000000-0005-0000-0000-0000DF910000}"/>
    <cellStyle name="Note 11 6 5" xfId="24920" xr:uid="{00000000-0005-0000-0000-0000E0910000}"/>
    <cellStyle name="Note 11 6 6" xfId="24921" xr:uid="{00000000-0005-0000-0000-0000E1910000}"/>
    <cellStyle name="Note 11 7" xfId="3852" xr:uid="{00000000-0005-0000-0000-0000E2910000}"/>
    <cellStyle name="Note 11 7 2" xfId="5496" xr:uid="{00000000-0005-0000-0000-0000E3910000}"/>
    <cellStyle name="Note 11 7 2 2" xfId="10380" xr:uid="{00000000-0005-0000-0000-0000E4910000}"/>
    <cellStyle name="Note 11 7 2 2 2" xfId="14001" xr:uid="{00000000-0005-0000-0000-0000E5910000}"/>
    <cellStyle name="Note 11 7 2 3" xfId="24922" xr:uid="{00000000-0005-0000-0000-0000E6910000}"/>
    <cellStyle name="Note 11 7 2 4" xfId="24923" xr:uid="{00000000-0005-0000-0000-0000E7910000}"/>
    <cellStyle name="Note 11 7 2 5" xfId="24924" xr:uid="{00000000-0005-0000-0000-0000E8910000}"/>
    <cellStyle name="Note 11 7 2 6" xfId="24925" xr:uid="{00000000-0005-0000-0000-0000E9910000}"/>
    <cellStyle name="Note 11 7 3" xfId="7666" xr:uid="{00000000-0005-0000-0000-0000EA910000}"/>
    <cellStyle name="Note 11 7 3 2" xfId="10381" xr:uid="{00000000-0005-0000-0000-0000EB910000}"/>
    <cellStyle name="Note 11 7 3 2 2" xfId="14002" xr:uid="{00000000-0005-0000-0000-0000EC910000}"/>
    <cellStyle name="Note 11 7 3 3" xfId="24926" xr:uid="{00000000-0005-0000-0000-0000ED910000}"/>
    <cellStyle name="Note 11 7 3 4" xfId="24927" xr:uid="{00000000-0005-0000-0000-0000EE910000}"/>
    <cellStyle name="Note 11 7 3 5" xfId="24928" xr:uid="{00000000-0005-0000-0000-0000EF910000}"/>
    <cellStyle name="Note 11 7 3 6" xfId="24929" xr:uid="{00000000-0005-0000-0000-0000F0910000}"/>
    <cellStyle name="Note 11 7 3 7" xfId="38493" xr:uid="{00000000-0005-0000-0000-0000F1910000}"/>
    <cellStyle name="Note 11 7 4" xfId="10379" xr:uid="{00000000-0005-0000-0000-0000F2910000}"/>
    <cellStyle name="Note 11 7 4 2" xfId="14000" xr:uid="{00000000-0005-0000-0000-0000F3910000}"/>
    <cellStyle name="Note 11 7 5" xfId="24930" xr:uid="{00000000-0005-0000-0000-0000F4910000}"/>
    <cellStyle name="Note 11 7 6" xfId="24931" xr:uid="{00000000-0005-0000-0000-0000F5910000}"/>
    <cellStyle name="Note 11 7 7" xfId="24932" xr:uid="{00000000-0005-0000-0000-0000F6910000}"/>
    <cellStyle name="Note 11 7 8" xfId="24933" xr:uid="{00000000-0005-0000-0000-0000F7910000}"/>
    <cellStyle name="Note 11 8" xfId="3853" xr:uid="{00000000-0005-0000-0000-0000F8910000}"/>
    <cellStyle name="Note 11 8 2" xfId="5497" xr:uid="{00000000-0005-0000-0000-0000F9910000}"/>
    <cellStyle name="Note 11 8 2 2" xfId="10383" xr:uid="{00000000-0005-0000-0000-0000FA910000}"/>
    <cellStyle name="Note 11 8 2 2 2" xfId="14004" xr:uid="{00000000-0005-0000-0000-0000FB910000}"/>
    <cellStyle name="Note 11 8 2 3" xfId="24934" xr:uid="{00000000-0005-0000-0000-0000FC910000}"/>
    <cellStyle name="Note 11 8 2 4" xfId="24935" xr:uid="{00000000-0005-0000-0000-0000FD910000}"/>
    <cellStyle name="Note 11 8 2 5" xfId="24936" xr:uid="{00000000-0005-0000-0000-0000FE910000}"/>
    <cellStyle name="Note 11 8 2 6" xfId="24937" xr:uid="{00000000-0005-0000-0000-0000FF910000}"/>
    <cellStyle name="Note 11 8 3" xfId="7667" xr:uid="{00000000-0005-0000-0000-000000920000}"/>
    <cellStyle name="Note 11 8 3 2" xfId="10384" xr:uid="{00000000-0005-0000-0000-000001920000}"/>
    <cellStyle name="Note 11 8 3 2 2" xfId="14005" xr:uid="{00000000-0005-0000-0000-000002920000}"/>
    <cellStyle name="Note 11 8 3 3" xfId="24938" xr:uid="{00000000-0005-0000-0000-000003920000}"/>
    <cellStyle name="Note 11 8 3 4" xfId="24939" xr:uid="{00000000-0005-0000-0000-000004920000}"/>
    <cellStyle name="Note 11 8 3 5" xfId="24940" xr:uid="{00000000-0005-0000-0000-000005920000}"/>
    <cellStyle name="Note 11 8 3 6" xfId="24941" xr:uid="{00000000-0005-0000-0000-000006920000}"/>
    <cellStyle name="Note 11 8 3 7" xfId="38494" xr:uid="{00000000-0005-0000-0000-000007920000}"/>
    <cellStyle name="Note 11 8 4" xfId="10382" xr:uid="{00000000-0005-0000-0000-000008920000}"/>
    <cellStyle name="Note 11 8 4 2" xfId="14003" xr:uid="{00000000-0005-0000-0000-000009920000}"/>
    <cellStyle name="Note 11 8 5" xfId="24942" xr:uid="{00000000-0005-0000-0000-00000A920000}"/>
    <cellStyle name="Note 11 8 6" xfId="24943" xr:uid="{00000000-0005-0000-0000-00000B920000}"/>
    <cellStyle name="Note 11 8 7" xfId="24944" xr:uid="{00000000-0005-0000-0000-00000C920000}"/>
    <cellStyle name="Note 11 8 8" xfId="24945" xr:uid="{00000000-0005-0000-0000-00000D920000}"/>
    <cellStyle name="Note 11 9" xfId="7668" xr:uid="{00000000-0005-0000-0000-00000E920000}"/>
    <cellStyle name="Note 11 9 2" xfId="10385" xr:uid="{00000000-0005-0000-0000-00000F920000}"/>
    <cellStyle name="Note 11 9 2 2" xfId="14006" xr:uid="{00000000-0005-0000-0000-000010920000}"/>
    <cellStyle name="Note 11 9 3" xfId="24946" xr:uid="{00000000-0005-0000-0000-000011920000}"/>
    <cellStyle name="Note 11 9 4" xfId="24947" xr:uid="{00000000-0005-0000-0000-000012920000}"/>
    <cellStyle name="Note 11 9 5" xfId="24948" xr:uid="{00000000-0005-0000-0000-000013920000}"/>
    <cellStyle name="Note 11 9 6" xfId="24949" xr:uid="{00000000-0005-0000-0000-000014920000}"/>
    <cellStyle name="Note 11_IND_UC" xfId="3854" xr:uid="{00000000-0005-0000-0000-000015920000}"/>
    <cellStyle name="Note 12" xfId="1655" xr:uid="{00000000-0005-0000-0000-000016920000}"/>
    <cellStyle name="Note 12 10" xfId="4847" xr:uid="{00000000-0005-0000-0000-000017920000}"/>
    <cellStyle name="Note 12 10 2" xfId="14007" xr:uid="{00000000-0005-0000-0000-000018920000}"/>
    <cellStyle name="Note 12 10 3" xfId="35815" xr:uid="{00000000-0005-0000-0000-000019920000}"/>
    <cellStyle name="Note 12 10 4" xfId="10386" xr:uid="{00000000-0005-0000-0000-00001A920000}"/>
    <cellStyle name="Note 12 11" xfId="24950" xr:uid="{00000000-0005-0000-0000-00001B920000}"/>
    <cellStyle name="Note 12 11 2" xfId="37881" xr:uid="{00000000-0005-0000-0000-00001C920000}"/>
    <cellStyle name="Note 12 12" xfId="24951" xr:uid="{00000000-0005-0000-0000-00001D920000}"/>
    <cellStyle name="Note 12 13" xfId="24952" xr:uid="{00000000-0005-0000-0000-00001E920000}"/>
    <cellStyle name="Note 12 14" xfId="24953" xr:uid="{00000000-0005-0000-0000-00001F920000}"/>
    <cellStyle name="Note 12 15" xfId="24954" xr:uid="{00000000-0005-0000-0000-000020920000}"/>
    <cellStyle name="Note 12 2" xfId="1656" xr:uid="{00000000-0005-0000-0000-000021920000}"/>
    <cellStyle name="Note 12 2 2" xfId="3857" xr:uid="{00000000-0005-0000-0000-000022920000}"/>
    <cellStyle name="Note 12 2 2 2" xfId="5498" xr:uid="{00000000-0005-0000-0000-000023920000}"/>
    <cellStyle name="Note 12 2 2 2 2" xfId="10389" xr:uid="{00000000-0005-0000-0000-000024920000}"/>
    <cellStyle name="Note 12 2 2 2 2 2" xfId="14010" xr:uid="{00000000-0005-0000-0000-000025920000}"/>
    <cellStyle name="Note 12 2 2 2 3" xfId="24955" xr:uid="{00000000-0005-0000-0000-000026920000}"/>
    <cellStyle name="Note 12 2 2 2 4" xfId="24956" xr:uid="{00000000-0005-0000-0000-000027920000}"/>
    <cellStyle name="Note 12 2 2 2 5" xfId="24957" xr:uid="{00000000-0005-0000-0000-000028920000}"/>
    <cellStyle name="Note 12 2 2 2 6" xfId="24958" xr:uid="{00000000-0005-0000-0000-000029920000}"/>
    <cellStyle name="Note 12 2 2 3" xfId="10388" xr:uid="{00000000-0005-0000-0000-00002A920000}"/>
    <cellStyle name="Note 12 2 2 3 2" xfId="14009" xr:uid="{00000000-0005-0000-0000-00002B920000}"/>
    <cellStyle name="Note 12 2 2 3 3" xfId="38495" xr:uid="{00000000-0005-0000-0000-00002C920000}"/>
    <cellStyle name="Note 12 2 2 4" xfId="24959" xr:uid="{00000000-0005-0000-0000-00002D920000}"/>
    <cellStyle name="Note 12 2 2 5" xfId="24960" xr:uid="{00000000-0005-0000-0000-00002E920000}"/>
    <cellStyle name="Note 12 2 2 6" xfId="24961" xr:uid="{00000000-0005-0000-0000-00002F920000}"/>
    <cellStyle name="Note 12 2 2 7" xfId="24962" xr:uid="{00000000-0005-0000-0000-000030920000}"/>
    <cellStyle name="Note 12 2 3" xfId="3856" xr:uid="{00000000-0005-0000-0000-000031920000}"/>
    <cellStyle name="Note 12 2 3 2" xfId="10390" xr:uid="{00000000-0005-0000-0000-000032920000}"/>
    <cellStyle name="Note 12 2 3 2 2" xfId="14011" xr:uid="{00000000-0005-0000-0000-000033920000}"/>
    <cellStyle name="Note 12 2 3 3" xfId="24963" xr:uid="{00000000-0005-0000-0000-000034920000}"/>
    <cellStyle name="Note 12 2 3 4" xfId="24964" xr:uid="{00000000-0005-0000-0000-000035920000}"/>
    <cellStyle name="Note 12 2 3 5" xfId="24965" xr:uid="{00000000-0005-0000-0000-000036920000}"/>
    <cellStyle name="Note 12 2 3 6" xfId="24966" xr:uid="{00000000-0005-0000-0000-000037920000}"/>
    <cellStyle name="Note 12 2 4" xfId="4848" xr:uid="{00000000-0005-0000-0000-000038920000}"/>
    <cellStyle name="Note 12 2 4 2" xfId="14008" xr:uid="{00000000-0005-0000-0000-000039920000}"/>
    <cellStyle name="Note 12 2 4 3" xfId="35816" xr:uid="{00000000-0005-0000-0000-00003A920000}"/>
    <cellStyle name="Note 12 2 4 4" xfId="10387" xr:uid="{00000000-0005-0000-0000-00003B920000}"/>
    <cellStyle name="Note 12 2 5" xfId="24967" xr:uid="{00000000-0005-0000-0000-00003C920000}"/>
    <cellStyle name="Note 12 2 5 2" xfId="37882" xr:uid="{00000000-0005-0000-0000-00003D920000}"/>
    <cellStyle name="Note 12 2 6" xfId="24968" xr:uid="{00000000-0005-0000-0000-00003E920000}"/>
    <cellStyle name="Note 12 2 7" xfId="24969" xr:uid="{00000000-0005-0000-0000-00003F920000}"/>
    <cellStyle name="Note 12 2 8" xfId="24970" xr:uid="{00000000-0005-0000-0000-000040920000}"/>
    <cellStyle name="Note 12 2 9" xfId="24971" xr:uid="{00000000-0005-0000-0000-000041920000}"/>
    <cellStyle name="Note 12 3" xfId="1657" xr:uid="{00000000-0005-0000-0000-000042920000}"/>
    <cellStyle name="Note 12 3 2" xfId="3858" xr:uid="{00000000-0005-0000-0000-000043920000}"/>
    <cellStyle name="Note 12 3 2 2" xfId="10392" xr:uid="{00000000-0005-0000-0000-000044920000}"/>
    <cellStyle name="Note 12 3 2 2 2" xfId="14013" xr:uid="{00000000-0005-0000-0000-000045920000}"/>
    <cellStyle name="Note 12 3 2 3" xfId="24972" xr:uid="{00000000-0005-0000-0000-000046920000}"/>
    <cellStyle name="Note 12 3 2 4" xfId="24973" xr:uid="{00000000-0005-0000-0000-000047920000}"/>
    <cellStyle name="Note 12 3 2 5" xfId="24974" xr:uid="{00000000-0005-0000-0000-000048920000}"/>
    <cellStyle name="Note 12 3 2 6" xfId="24975" xr:uid="{00000000-0005-0000-0000-000049920000}"/>
    <cellStyle name="Note 12 3 3" xfId="4849" xr:uid="{00000000-0005-0000-0000-00004A920000}"/>
    <cellStyle name="Note 12 3 3 2" xfId="14012" xr:uid="{00000000-0005-0000-0000-00004B920000}"/>
    <cellStyle name="Note 12 3 3 3" xfId="35817" xr:uid="{00000000-0005-0000-0000-00004C920000}"/>
    <cellStyle name="Note 12 3 3 4" xfId="10391" xr:uid="{00000000-0005-0000-0000-00004D920000}"/>
    <cellStyle name="Note 12 3 4" xfId="24976" xr:uid="{00000000-0005-0000-0000-00004E920000}"/>
    <cellStyle name="Note 12 3 4 2" xfId="37883" xr:uid="{00000000-0005-0000-0000-00004F920000}"/>
    <cellStyle name="Note 12 3 5" xfId="24977" xr:uid="{00000000-0005-0000-0000-000050920000}"/>
    <cellStyle name="Note 12 3 6" xfId="24978" xr:uid="{00000000-0005-0000-0000-000051920000}"/>
    <cellStyle name="Note 12 3 7" xfId="24979" xr:uid="{00000000-0005-0000-0000-000052920000}"/>
    <cellStyle name="Note 12 3 8" xfId="24980" xr:uid="{00000000-0005-0000-0000-000053920000}"/>
    <cellStyle name="Note 12 4" xfId="1658" xr:uid="{00000000-0005-0000-0000-000054920000}"/>
    <cellStyle name="Note 12 4 2" xfId="3859" xr:uid="{00000000-0005-0000-0000-000055920000}"/>
    <cellStyle name="Note 12 4 2 2" xfId="10394" xr:uid="{00000000-0005-0000-0000-000056920000}"/>
    <cellStyle name="Note 12 4 2 2 2" xfId="14015" xr:uid="{00000000-0005-0000-0000-000057920000}"/>
    <cellStyle name="Note 12 4 2 3" xfId="24981" xr:uid="{00000000-0005-0000-0000-000058920000}"/>
    <cellStyle name="Note 12 4 2 4" xfId="24982" xr:uid="{00000000-0005-0000-0000-000059920000}"/>
    <cellStyle name="Note 12 4 2 5" xfId="24983" xr:uid="{00000000-0005-0000-0000-00005A920000}"/>
    <cellStyle name="Note 12 4 2 6" xfId="24984" xr:uid="{00000000-0005-0000-0000-00005B920000}"/>
    <cellStyle name="Note 12 4 3" xfId="4850" xr:uid="{00000000-0005-0000-0000-00005C920000}"/>
    <cellStyle name="Note 12 4 3 2" xfId="14014" xr:uid="{00000000-0005-0000-0000-00005D920000}"/>
    <cellStyle name="Note 12 4 3 3" xfId="35818" xr:uid="{00000000-0005-0000-0000-00005E920000}"/>
    <cellStyle name="Note 12 4 3 4" xfId="10393" xr:uid="{00000000-0005-0000-0000-00005F920000}"/>
    <cellStyle name="Note 12 4 4" xfId="24985" xr:uid="{00000000-0005-0000-0000-000060920000}"/>
    <cellStyle name="Note 12 4 4 2" xfId="37884" xr:uid="{00000000-0005-0000-0000-000061920000}"/>
    <cellStyle name="Note 12 4 5" xfId="24986" xr:uid="{00000000-0005-0000-0000-000062920000}"/>
    <cellStyle name="Note 12 4 6" xfId="24987" xr:uid="{00000000-0005-0000-0000-000063920000}"/>
    <cellStyle name="Note 12 4 7" xfId="24988" xr:uid="{00000000-0005-0000-0000-000064920000}"/>
    <cellStyle name="Note 12 4 8" xfId="24989" xr:uid="{00000000-0005-0000-0000-000065920000}"/>
    <cellStyle name="Note 12 5" xfId="3860" xr:uid="{00000000-0005-0000-0000-000066920000}"/>
    <cellStyle name="Note 12 5 2" xfId="5499" xr:uid="{00000000-0005-0000-0000-000067920000}"/>
    <cellStyle name="Note 12 5 2 2" xfId="10396" xr:uid="{00000000-0005-0000-0000-000068920000}"/>
    <cellStyle name="Note 12 5 2 2 2" xfId="14017" xr:uid="{00000000-0005-0000-0000-000069920000}"/>
    <cellStyle name="Note 12 5 2 3" xfId="24990" xr:uid="{00000000-0005-0000-0000-00006A920000}"/>
    <cellStyle name="Note 12 5 2 4" xfId="24991" xr:uid="{00000000-0005-0000-0000-00006B920000}"/>
    <cellStyle name="Note 12 5 2 5" xfId="24992" xr:uid="{00000000-0005-0000-0000-00006C920000}"/>
    <cellStyle name="Note 12 5 2 6" xfId="24993" xr:uid="{00000000-0005-0000-0000-00006D920000}"/>
    <cellStyle name="Note 12 5 3" xfId="10395" xr:uid="{00000000-0005-0000-0000-00006E920000}"/>
    <cellStyle name="Note 12 5 3 2" xfId="14016" xr:uid="{00000000-0005-0000-0000-00006F920000}"/>
    <cellStyle name="Note 12 5 3 3" xfId="38496" xr:uid="{00000000-0005-0000-0000-000070920000}"/>
    <cellStyle name="Note 12 5 4" xfId="24994" xr:uid="{00000000-0005-0000-0000-000071920000}"/>
    <cellStyle name="Note 12 5 5" xfId="24995" xr:uid="{00000000-0005-0000-0000-000072920000}"/>
    <cellStyle name="Note 12 5 6" xfId="24996" xr:uid="{00000000-0005-0000-0000-000073920000}"/>
    <cellStyle name="Note 12 5 7" xfId="24997" xr:uid="{00000000-0005-0000-0000-000074920000}"/>
    <cellStyle name="Note 12 6" xfId="3861" xr:uid="{00000000-0005-0000-0000-000075920000}"/>
    <cellStyle name="Note 12 6 2" xfId="5500" xr:uid="{00000000-0005-0000-0000-000076920000}"/>
    <cellStyle name="Note 12 6 2 2" xfId="10398" xr:uid="{00000000-0005-0000-0000-000077920000}"/>
    <cellStyle name="Note 12 6 2 2 2" xfId="14019" xr:uid="{00000000-0005-0000-0000-000078920000}"/>
    <cellStyle name="Note 12 6 2 3" xfId="24998" xr:uid="{00000000-0005-0000-0000-000079920000}"/>
    <cellStyle name="Note 12 6 2 4" xfId="24999" xr:uid="{00000000-0005-0000-0000-00007A920000}"/>
    <cellStyle name="Note 12 6 2 5" xfId="25000" xr:uid="{00000000-0005-0000-0000-00007B920000}"/>
    <cellStyle name="Note 12 6 2 6" xfId="25001" xr:uid="{00000000-0005-0000-0000-00007C920000}"/>
    <cellStyle name="Note 12 6 3" xfId="10397" xr:uid="{00000000-0005-0000-0000-00007D920000}"/>
    <cellStyle name="Note 12 6 3 2" xfId="14018" xr:uid="{00000000-0005-0000-0000-00007E920000}"/>
    <cellStyle name="Note 12 6 3 3" xfId="38497" xr:uid="{00000000-0005-0000-0000-00007F920000}"/>
    <cellStyle name="Note 12 6 4" xfId="25002" xr:uid="{00000000-0005-0000-0000-000080920000}"/>
    <cellStyle name="Note 12 6 5" xfId="25003" xr:uid="{00000000-0005-0000-0000-000081920000}"/>
    <cellStyle name="Note 12 6 6" xfId="25004" xr:uid="{00000000-0005-0000-0000-000082920000}"/>
    <cellStyle name="Note 12 6 7" xfId="25005" xr:uid="{00000000-0005-0000-0000-000083920000}"/>
    <cellStyle name="Note 12 7" xfId="3862" xr:uid="{00000000-0005-0000-0000-000084920000}"/>
    <cellStyle name="Note 12 7 2" xfId="5501" xr:uid="{00000000-0005-0000-0000-000085920000}"/>
    <cellStyle name="Note 12 7 2 2" xfId="10400" xr:uid="{00000000-0005-0000-0000-000086920000}"/>
    <cellStyle name="Note 12 7 2 2 2" xfId="14021" xr:uid="{00000000-0005-0000-0000-000087920000}"/>
    <cellStyle name="Note 12 7 2 3" xfId="25006" xr:uid="{00000000-0005-0000-0000-000088920000}"/>
    <cellStyle name="Note 12 7 2 4" xfId="25007" xr:uid="{00000000-0005-0000-0000-000089920000}"/>
    <cellStyle name="Note 12 7 2 5" xfId="25008" xr:uid="{00000000-0005-0000-0000-00008A920000}"/>
    <cellStyle name="Note 12 7 2 6" xfId="25009" xr:uid="{00000000-0005-0000-0000-00008B920000}"/>
    <cellStyle name="Note 12 7 3" xfId="10399" xr:uid="{00000000-0005-0000-0000-00008C920000}"/>
    <cellStyle name="Note 12 7 3 2" xfId="14020" xr:uid="{00000000-0005-0000-0000-00008D920000}"/>
    <cellStyle name="Note 12 7 3 3" xfId="38498" xr:uid="{00000000-0005-0000-0000-00008E920000}"/>
    <cellStyle name="Note 12 7 4" xfId="25010" xr:uid="{00000000-0005-0000-0000-00008F920000}"/>
    <cellStyle name="Note 12 7 5" xfId="25011" xr:uid="{00000000-0005-0000-0000-000090920000}"/>
    <cellStyle name="Note 12 7 6" xfId="25012" xr:uid="{00000000-0005-0000-0000-000091920000}"/>
    <cellStyle name="Note 12 7 7" xfId="25013" xr:uid="{00000000-0005-0000-0000-000092920000}"/>
    <cellStyle name="Note 12 8" xfId="3863" xr:uid="{00000000-0005-0000-0000-000093920000}"/>
    <cellStyle name="Note 12 8 2" xfId="5502" xr:uid="{00000000-0005-0000-0000-000094920000}"/>
    <cellStyle name="Note 12 8 2 2" xfId="10402" xr:uid="{00000000-0005-0000-0000-000095920000}"/>
    <cellStyle name="Note 12 8 2 2 2" xfId="14023" xr:uid="{00000000-0005-0000-0000-000096920000}"/>
    <cellStyle name="Note 12 8 2 3" xfId="25014" xr:uid="{00000000-0005-0000-0000-000097920000}"/>
    <cellStyle name="Note 12 8 2 4" xfId="25015" xr:uid="{00000000-0005-0000-0000-000098920000}"/>
    <cellStyle name="Note 12 8 2 5" xfId="25016" xr:uid="{00000000-0005-0000-0000-000099920000}"/>
    <cellStyle name="Note 12 8 2 6" xfId="25017" xr:uid="{00000000-0005-0000-0000-00009A920000}"/>
    <cellStyle name="Note 12 8 3" xfId="10401" xr:uid="{00000000-0005-0000-0000-00009B920000}"/>
    <cellStyle name="Note 12 8 3 2" xfId="14022" xr:uid="{00000000-0005-0000-0000-00009C920000}"/>
    <cellStyle name="Note 12 8 3 3" xfId="38499" xr:uid="{00000000-0005-0000-0000-00009D920000}"/>
    <cellStyle name="Note 12 8 4" xfId="25018" xr:uid="{00000000-0005-0000-0000-00009E920000}"/>
    <cellStyle name="Note 12 8 5" xfId="25019" xr:uid="{00000000-0005-0000-0000-00009F920000}"/>
    <cellStyle name="Note 12 8 6" xfId="25020" xr:uid="{00000000-0005-0000-0000-0000A0920000}"/>
    <cellStyle name="Note 12 8 7" xfId="25021" xr:uid="{00000000-0005-0000-0000-0000A1920000}"/>
    <cellStyle name="Note 12 9" xfId="3855" xr:uid="{00000000-0005-0000-0000-0000A2920000}"/>
    <cellStyle name="Note 12 9 2" xfId="10403" xr:uid="{00000000-0005-0000-0000-0000A3920000}"/>
    <cellStyle name="Note 12 9 2 2" xfId="14024" xr:uid="{00000000-0005-0000-0000-0000A4920000}"/>
    <cellStyle name="Note 12 9 3" xfId="25022" xr:uid="{00000000-0005-0000-0000-0000A5920000}"/>
    <cellStyle name="Note 12 9 4" xfId="25023" xr:uid="{00000000-0005-0000-0000-0000A6920000}"/>
    <cellStyle name="Note 12 9 5" xfId="25024" xr:uid="{00000000-0005-0000-0000-0000A7920000}"/>
    <cellStyle name="Note 12 9 6" xfId="25025" xr:uid="{00000000-0005-0000-0000-0000A8920000}"/>
    <cellStyle name="Note 12_IND_UC" xfId="3864" xr:uid="{00000000-0005-0000-0000-0000A9920000}"/>
    <cellStyle name="Note 13" xfId="1659" xr:uid="{00000000-0005-0000-0000-0000AA920000}"/>
    <cellStyle name="Note 13 10" xfId="4851" xr:uid="{00000000-0005-0000-0000-0000AB920000}"/>
    <cellStyle name="Note 13 10 2" xfId="14025" xr:uid="{00000000-0005-0000-0000-0000AC920000}"/>
    <cellStyle name="Note 13 10 3" xfId="35819" xr:uid="{00000000-0005-0000-0000-0000AD920000}"/>
    <cellStyle name="Note 13 10 4" xfId="10404" xr:uid="{00000000-0005-0000-0000-0000AE920000}"/>
    <cellStyle name="Note 13 11" xfId="25026" xr:uid="{00000000-0005-0000-0000-0000AF920000}"/>
    <cellStyle name="Note 13 11 2" xfId="37885" xr:uid="{00000000-0005-0000-0000-0000B0920000}"/>
    <cellStyle name="Note 13 12" xfId="25027" xr:uid="{00000000-0005-0000-0000-0000B1920000}"/>
    <cellStyle name="Note 13 13" xfId="25028" xr:uid="{00000000-0005-0000-0000-0000B2920000}"/>
    <cellStyle name="Note 13 14" xfId="25029" xr:uid="{00000000-0005-0000-0000-0000B3920000}"/>
    <cellStyle name="Note 13 15" xfId="25030" xr:uid="{00000000-0005-0000-0000-0000B4920000}"/>
    <cellStyle name="Note 13 2" xfId="1660" xr:uid="{00000000-0005-0000-0000-0000B5920000}"/>
    <cellStyle name="Note 13 2 2" xfId="3867" xr:uid="{00000000-0005-0000-0000-0000B6920000}"/>
    <cellStyle name="Note 13 2 2 2" xfId="5503" xr:uid="{00000000-0005-0000-0000-0000B7920000}"/>
    <cellStyle name="Note 13 2 2 2 2" xfId="10407" xr:uid="{00000000-0005-0000-0000-0000B8920000}"/>
    <cellStyle name="Note 13 2 2 2 2 2" xfId="14028" xr:uid="{00000000-0005-0000-0000-0000B9920000}"/>
    <cellStyle name="Note 13 2 2 2 3" xfId="25031" xr:uid="{00000000-0005-0000-0000-0000BA920000}"/>
    <cellStyle name="Note 13 2 2 2 4" xfId="25032" xr:uid="{00000000-0005-0000-0000-0000BB920000}"/>
    <cellStyle name="Note 13 2 2 2 5" xfId="25033" xr:uid="{00000000-0005-0000-0000-0000BC920000}"/>
    <cellStyle name="Note 13 2 2 2 6" xfId="25034" xr:uid="{00000000-0005-0000-0000-0000BD920000}"/>
    <cellStyle name="Note 13 2 2 3" xfId="10406" xr:uid="{00000000-0005-0000-0000-0000BE920000}"/>
    <cellStyle name="Note 13 2 2 3 2" xfId="14027" xr:uid="{00000000-0005-0000-0000-0000BF920000}"/>
    <cellStyle name="Note 13 2 2 3 3" xfId="38500" xr:uid="{00000000-0005-0000-0000-0000C0920000}"/>
    <cellStyle name="Note 13 2 2 4" xfId="25035" xr:uid="{00000000-0005-0000-0000-0000C1920000}"/>
    <cellStyle name="Note 13 2 2 5" xfId="25036" xr:uid="{00000000-0005-0000-0000-0000C2920000}"/>
    <cellStyle name="Note 13 2 2 6" xfId="25037" xr:uid="{00000000-0005-0000-0000-0000C3920000}"/>
    <cellStyle name="Note 13 2 2 7" xfId="25038" xr:uid="{00000000-0005-0000-0000-0000C4920000}"/>
    <cellStyle name="Note 13 2 3" xfId="3866" xr:uid="{00000000-0005-0000-0000-0000C5920000}"/>
    <cellStyle name="Note 13 2 3 2" xfId="10408" xr:uid="{00000000-0005-0000-0000-0000C6920000}"/>
    <cellStyle name="Note 13 2 3 2 2" xfId="14029" xr:uid="{00000000-0005-0000-0000-0000C7920000}"/>
    <cellStyle name="Note 13 2 3 3" xfId="25039" xr:uid="{00000000-0005-0000-0000-0000C8920000}"/>
    <cellStyle name="Note 13 2 3 4" xfId="25040" xr:uid="{00000000-0005-0000-0000-0000C9920000}"/>
    <cellStyle name="Note 13 2 3 5" xfId="25041" xr:uid="{00000000-0005-0000-0000-0000CA920000}"/>
    <cellStyle name="Note 13 2 3 6" xfId="25042" xr:uid="{00000000-0005-0000-0000-0000CB920000}"/>
    <cellStyle name="Note 13 2 4" xfId="4852" xr:uid="{00000000-0005-0000-0000-0000CC920000}"/>
    <cellStyle name="Note 13 2 4 2" xfId="14026" xr:uid="{00000000-0005-0000-0000-0000CD920000}"/>
    <cellStyle name="Note 13 2 4 3" xfId="35820" xr:uid="{00000000-0005-0000-0000-0000CE920000}"/>
    <cellStyle name="Note 13 2 4 4" xfId="10405" xr:uid="{00000000-0005-0000-0000-0000CF920000}"/>
    <cellStyle name="Note 13 2 5" xfId="25043" xr:uid="{00000000-0005-0000-0000-0000D0920000}"/>
    <cellStyle name="Note 13 2 5 2" xfId="37886" xr:uid="{00000000-0005-0000-0000-0000D1920000}"/>
    <cellStyle name="Note 13 2 6" xfId="25044" xr:uid="{00000000-0005-0000-0000-0000D2920000}"/>
    <cellStyle name="Note 13 2 7" xfId="25045" xr:uid="{00000000-0005-0000-0000-0000D3920000}"/>
    <cellStyle name="Note 13 2 8" xfId="25046" xr:uid="{00000000-0005-0000-0000-0000D4920000}"/>
    <cellStyle name="Note 13 2 9" xfId="25047" xr:uid="{00000000-0005-0000-0000-0000D5920000}"/>
    <cellStyle name="Note 13 3" xfId="1661" xr:uid="{00000000-0005-0000-0000-0000D6920000}"/>
    <cellStyle name="Note 13 3 2" xfId="3868" xr:uid="{00000000-0005-0000-0000-0000D7920000}"/>
    <cellStyle name="Note 13 3 2 2" xfId="10410" xr:uid="{00000000-0005-0000-0000-0000D8920000}"/>
    <cellStyle name="Note 13 3 2 2 2" xfId="14031" xr:uid="{00000000-0005-0000-0000-0000D9920000}"/>
    <cellStyle name="Note 13 3 2 3" xfId="25048" xr:uid="{00000000-0005-0000-0000-0000DA920000}"/>
    <cellStyle name="Note 13 3 2 4" xfId="25049" xr:uid="{00000000-0005-0000-0000-0000DB920000}"/>
    <cellStyle name="Note 13 3 2 5" xfId="25050" xr:uid="{00000000-0005-0000-0000-0000DC920000}"/>
    <cellStyle name="Note 13 3 2 6" xfId="25051" xr:uid="{00000000-0005-0000-0000-0000DD920000}"/>
    <cellStyle name="Note 13 3 3" xfId="4853" xr:uid="{00000000-0005-0000-0000-0000DE920000}"/>
    <cellStyle name="Note 13 3 3 2" xfId="14030" xr:uid="{00000000-0005-0000-0000-0000DF920000}"/>
    <cellStyle name="Note 13 3 3 3" xfId="35821" xr:uid="{00000000-0005-0000-0000-0000E0920000}"/>
    <cellStyle name="Note 13 3 3 4" xfId="10409" xr:uid="{00000000-0005-0000-0000-0000E1920000}"/>
    <cellStyle name="Note 13 3 4" xfId="25052" xr:uid="{00000000-0005-0000-0000-0000E2920000}"/>
    <cellStyle name="Note 13 3 4 2" xfId="37887" xr:uid="{00000000-0005-0000-0000-0000E3920000}"/>
    <cellStyle name="Note 13 3 5" xfId="25053" xr:uid="{00000000-0005-0000-0000-0000E4920000}"/>
    <cellStyle name="Note 13 3 6" xfId="25054" xr:uid="{00000000-0005-0000-0000-0000E5920000}"/>
    <cellStyle name="Note 13 3 7" xfId="25055" xr:uid="{00000000-0005-0000-0000-0000E6920000}"/>
    <cellStyle name="Note 13 3 8" xfId="25056" xr:uid="{00000000-0005-0000-0000-0000E7920000}"/>
    <cellStyle name="Note 13 4" xfId="1662" xr:uid="{00000000-0005-0000-0000-0000E8920000}"/>
    <cellStyle name="Note 13 4 2" xfId="3869" xr:uid="{00000000-0005-0000-0000-0000E9920000}"/>
    <cellStyle name="Note 13 4 2 2" xfId="10412" xr:uid="{00000000-0005-0000-0000-0000EA920000}"/>
    <cellStyle name="Note 13 4 2 2 2" xfId="14033" xr:uid="{00000000-0005-0000-0000-0000EB920000}"/>
    <cellStyle name="Note 13 4 2 3" xfId="25057" xr:uid="{00000000-0005-0000-0000-0000EC920000}"/>
    <cellStyle name="Note 13 4 2 4" xfId="25058" xr:uid="{00000000-0005-0000-0000-0000ED920000}"/>
    <cellStyle name="Note 13 4 2 5" xfId="25059" xr:uid="{00000000-0005-0000-0000-0000EE920000}"/>
    <cellStyle name="Note 13 4 2 6" xfId="25060" xr:uid="{00000000-0005-0000-0000-0000EF920000}"/>
    <cellStyle name="Note 13 4 3" xfId="4854" xr:uid="{00000000-0005-0000-0000-0000F0920000}"/>
    <cellStyle name="Note 13 4 3 2" xfId="14032" xr:uid="{00000000-0005-0000-0000-0000F1920000}"/>
    <cellStyle name="Note 13 4 3 3" xfId="35822" xr:uid="{00000000-0005-0000-0000-0000F2920000}"/>
    <cellStyle name="Note 13 4 3 4" xfId="10411" xr:uid="{00000000-0005-0000-0000-0000F3920000}"/>
    <cellStyle name="Note 13 4 4" xfId="25061" xr:uid="{00000000-0005-0000-0000-0000F4920000}"/>
    <cellStyle name="Note 13 4 4 2" xfId="37888" xr:uid="{00000000-0005-0000-0000-0000F5920000}"/>
    <cellStyle name="Note 13 4 5" xfId="25062" xr:uid="{00000000-0005-0000-0000-0000F6920000}"/>
    <cellStyle name="Note 13 4 6" xfId="25063" xr:uid="{00000000-0005-0000-0000-0000F7920000}"/>
    <cellStyle name="Note 13 4 7" xfId="25064" xr:uid="{00000000-0005-0000-0000-0000F8920000}"/>
    <cellStyle name="Note 13 4 8" xfId="25065" xr:uid="{00000000-0005-0000-0000-0000F9920000}"/>
    <cellStyle name="Note 13 5" xfId="3870" xr:uid="{00000000-0005-0000-0000-0000FA920000}"/>
    <cellStyle name="Note 13 5 2" xfId="5504" xr:uid="{00000000-0005-0000-0000-0000FB920000}"/>
    <cellStyle name="Note 13 5 2 2" xfId="10414" xr:uid="{00000000-0005-0000-0000-0000FC920000}"/>
    <cellStyle name="Note 13 5 2 2 2" xfId="14035" xr:uid="{00000000-0005-0000-0000-0000FD920000}"/>
    <cellStyle name="Note 13 5 2 3" xfId="25066" xr:uid="{00000000-0005-0000-0000-0000FE920000}"/>
    <cellStyle name="Note 13 5 2 4" xfId="25067" xr:uid="{00000000-0005-0000-0000-0000FF920000}"/>
    <cellStyle name="Note 13 5 2 5" xfId="25068" xr:uid="{00000000-0005-0000-0000-000000930000}"/>
    <cellStyle name="Note 13 5 2 6" xfId="25069" xr:uid="{00000000-0005-0000-0000-000001930000}"/>
    <cellStyle name="Note 13 5 3" xfId="10413" xr:uid="{00000000-0005-0000-0000-000002930000}"/>
    <cellStyle name="Note 13 5 3 2" xfId="14034" xr:uid="{00000000-0005-0000-0000-000003930000}"/>
    <cellStyle name="Note 13 5 3 3" xfId="38501" xr:uid="{00000000-0005-0000-0000-000004930000}"/>
    <cellStyle name="Note 13 5 4" xfId="25070" xr:uid="{00000000-0005-0000-0000-000005930000}"/>
    <cellStyle name="Note 13 5 5" xfId="25071" xr:uid="{00000000-0005-0000-0000-000006930000}"/>
    <cellStyle name="Note 13 5 6" xfId="25072" xr:uid="{00000000-0005-0000-0000-000007930000}"/>
    <cellStyle name="Note 13 5 7" xfId="25073" xr:uid="{00000000-0005-0000-0000-000008930000}"/>
    <cellStyle name="Note 13 6" xfId="3871" xr:uid="{00000000-0005-0000-0000-000009930000}"/>
    <cellStyle name="Note 13 6 2" xfId="5505" xr:uid="{00000000-0005-0000-0000-00000A930000}"/>
    <cellStyle name="Note 13 6 2 2" xfId="10416" xr:uid="{00000000-0005-0000-0000-00000B930000}"/>
    <cellStyle name="Note 13 6 2 2 2" xfId="14037" xr:uid="{00000000-0005-0000-0000-00000C930000}"/>
    <cellStyle name="Note 13 6 2 3" xfId="25074" xr:uid="{00000000-0005-0000-0000-00000D930000}"/>
    <cellStyle name="Note 13 6 2 4" xfId="25075" xr:uid="{00000000-0005-0000-0000-00000E930000}"/>
    <cellStyle name="Note 13 6 2 5" xfId="25076" xr:uid="{00000000-0005-0000-0000-00000F930000}"/>
    <cellStyle name="Note 13 6 2 6" xfId="25077" xr:uid="{00000000-0005-0000-0000-000010930000}"/>
    <cellStyle name="Note 13 6 3" xfId="10415" xr:uid="{00000000-0005-0000-0000-000011930000}"/>
    <cellStyle name="Note 13 6 3 2" xfId="14036" xr:uid="{00000000-0005-0000-0000-000012930000}"/>
    <cellStyle name="Note 13 6 3 3" xfId="38502" xr:uid="{00000000-0005-0000-0000-000013930000}"/>
    <cellStyle name="Note 13 6 4" xfId="25078" xr:uid="{00000000-0005-0000-0000-000014930000}"/>
    <cellStyle name="Note 13 6 5" xfId="25079" xr:uid="{00000000-0005-0000-0000-000015930000}"/>
    <cellStyle name="Note 13 6 6" xfId="25080" xr:uid="{00000000-0005-0000-0000-000016930000}"/>
    <cellStyle name="Note 13 6 7" xfId="25081" xr:uid="{00000000-0005-0000-0000-000017930000}"/>
    <cellStyle name="Note 13 7" xfId="3872" xr:uid="{00000000-0005-0000-0000-000018930000}"/>
    <cellStyle name="Note 13 7 2" xfId="10417" xr:uid="{00000000-0005-0000-0000-000019930000}"/>
    <cellStyle name="Note 13 7 2 2" xfId="14038" xr:uid="{00000000-0005-0000-0000-00001A930000}"/>
    <cellStyle name="Note 13 7 3" xfId="25082" xr:uid="{00000000-0005-0000-0000-00001B930000}"/>
    <cellStyle name="Note 13 7 4" xfId="25083" xr:uid="{00000000-0005-0000-0000-00001C930000}"/>
    <cellStyle name="Note 13 7 5" xfId="25084" xr:uid="{00000000-0005-0000-0000-00001D930000}"/>
    <cellStyle name="Note 13 7 6" xfId="25085" xr:uid="{00000000-0005-0000-0000-00001E930000}"/>
    <cellStyle name="Note 13 8" xfId="3873" xr:uid="{00000000-0005-0000-0000-00001F930000}"/>
    <cellStyle name="Note 13 8 2" xfId="10418" xr:uid="{00000000-0005-0000-0000-000020930000}"/>
    <cellStyle name="Note 13 8 2 2" xfId="14039" xr:uid="{00000000-0005-0000-0000-000021930000}"/>
    <cellStyle name="Note 13 8 3" xfId="25086" xr:uid="{00000000-0005-0000-0000-000022930000}"/>
    <cellStyle name="Note 13 8 4" xfId="25087" xr:uid="{00000000-0005-0000-0000-000023930000}"/>
    <cellStyle name="Note 13 8 5" xfId="25088" xr:uid="{00000000-0005-0000-0000-000024930000}"/>
    <cellStyle name="Note 13 8 6" xfId="25089" xr:uid="{00000000-0005-0000-0000-000025930000}"/>
    <cellStyle name="Note 13 9" xfId="3865" xr:uid="{00000000-0005-0000-0000-000026930000}"/>
    <cellStyle name="Note 13 9 2" xfId="10419" xr:uid="{00000000-0005-0000-0000-000027930000}"/>
    <cellStyle name="Note 13 9 2 2" xfId="14040" xr:uid="{00000000-0005-0000-0000-000028930000}"/>
    <cellStyle name="Note 13 9 3" xfId="25090" xr:uid="{00000000-0005-0000-0000-000029930000}"/>
    <cellStyle name="Note 13 9 4" xfId="25091" xr:uid="{00000000-0005-0000-0000-00002A930000}"/>
    <cellStyle name="Note 13 9 5" xfId="25092" xr:uid="{00000000-0005-0000-0000-00002B930000}"/>
    <cellStyle name="Note 13 9 6" xfId="25093" xr:uid="{00000000-0005-0000-0000-00002C930000}"/>
    <cellStyle name="Note 13_IND_UC" xfId="3874" xr:uid="{00000000-0005-0000-0000-00002D930000}"/>
    <cellStyle name="Note 14" xfId="1663" xr:uid="{00000000-0005-0000-0000-00002E930000}"/>
    <cellStyle name="Note 14 10" xfId="4855" xr:uid="{00000000-0005-0000-0000-00002F930000}"/>
    <cellStyle name="Note 14 10 2" xfId="14041" xr:uid="{00000000-0005-0000-0000-000030930000}"/>
    <cellStyle name="Note 14 10 3" xfId="35823" xr:uid="{00000000-0005-0000-0000-000031930000}"/>
    <cellStyle name="Note 14 10 4" xfId="10420" xr:uid="{00000000-0005-0000-0000-000032930000}"/>
    <cellStyle name="Note 14 11" xfId="25094" xr:uid="{00000000-0005-0000-0000-000033930000}"/>
    <cellStyle name="Note 14 11 2" xfId="37889" xr:uid="{00000000-0005-0000-0000-000034930000}"/>
    <cellStyle name="Note 14 12" xfId="25095" xr:uid="{00000000-0005-0000-0000-000035930000}"/>
    <cellStyle name="Note 14 13" xfId="25096" xr:uid="{00000000-0005-0000-0000-000036930000}"/>
    <cellStyle name="Note 14 14" xfId="25097" xr:uid="{00000000-0005-0000-0000-000037930000}"/>
    <cellStyle name="Note 14 15" xfId="25098" xr:uid="{00000000-0005-0000-0000-000038930000}"/>
    <cellStyle name="Note 14 2" xfId="1664" xr:uid="{00000000-0005-0000-0000-000039930000}"/>
    <cellStyle name="Note 14 2 2" xfId="3877" xr:uid="{00000000-0005-0000-0000-00003A930000}"/>
    <cellStyle name="Note 14 2 2 2" xfId="5506" xr:uid="{00000000-0005-0000-0000-00003B930000}"/>
    <cellStyle name="Note 14 2 2 2 2" xfId="10423" xr:uid="{00000000-0005-0000-0000-00003C930000}"/>
    <cellStyle name="Note 14 2 2 2 2 2" xfId="14044" xr:uid="{00000000-0005-0000-0000-00003D930000}"/>
    <cellStyle name="Note 14 2 2 2 3" xfId="25099" xr:uid="{00000000-0005-0000-0000-00003E930000}"/>
    <cellStyle name="Note 14 2 2 2 4" xfId="25100" xr:uid="{00000000-0005-0000-0000-00003F930000}"/>
    <cellStyle name="Note 14 2 2 2 5" xfId="25101" xr:uid="{00000000-0005-0000-0000-000040930000}"/>
    <cellStyle name="Note 14 2 2 2 6" xfId="25102" xr:uid="{00000000-0005-0000-0000-000041930000}"/>
    <cellStyle name="Note 14 2 2 3" xfId="10422" xr:uid="{00000000-0005-0000-0000-000042930000}"/>
    <cellStyle name="Note 14 2 2 3 2" xfId="14043" xr:uid="{00000000-0005-0000-0000-000043930000}"/>
    <cellStyle name="Note 14 2 2 3 3" xfId="38503" xr:uid="{00000000-0005-0000-0000-000044930000}"/>
    <cellStyle name="Note 14 2 2 4" xfId="25103" xr:uid="{00000000-0005-0000-0000-000045930000}"/>
    <cellStyle name="Note 14 2 2 5" xfId="25104" xr:uid="{00000000-0005-0000-0000-000046930000}"/>
    <cellStyle name="Note 14 2 2 6" xfId="25105" xr:uid="{00000000-0005-0000-0000-000047930000}"/>
    <cellStyle name="Note 14 2 2 7" xfId="25106" xr:uid="{00000000-0005-0000-0000-000048930000}"/>
    <cellStyle name="Note 14 2 3" xfId="3876" xr:uid="{00000000-0005-0000-0000-000049930000}"/>
    <cellStyle name="Note 14 2 3 2" xfId="10424" xr:uid="{00000000-0005-0000-0000-00004A930000}"/>
    <cellStyle name="Note 14 2 3 2 2" xfId="14045" xr:uid="{00000000-0005-0000-0000-00004B930000}"/>
    <cellStyle name="Note 14 2 3 3" xfId="25107" xr:uid="{00000000-0005-0000-0000-00004C930000}"/>
    <cellStyle name="Note 14 2 3 4" xfId="25108" xr:uid="{00000000-0005-0000-0000-00004D930000}"/>
    <cellStyle name="Note 14 2 3 5" xfId="25109" xr:uid="{00000000-0005-0000-0000-00004E930000}"/>
    <cellStyle name="Note 14 2 3 6" xfId="25110" xr:uid="{00000000-0005-0000-0000-00004F930000}"/>
    <cellStyle name="Note 14 2 4" xfId="4856" xr:uid="{00000000-0005-0000-0000-000050930000}"/>
    <cellStyle name="Note 14 2 4 2" xfId="14042" xr:uid="{00000000-0005-0000-0000-000051930000}"/>
    <cellStyle name="Note 14 2 4 3" xfId="35824" xr:uid="{00000000-0005-0000-0000-000052930000}"/>
    <cellStyle name="Note 14 2 4 4" xfId="10421" xr:uid="{00000000-0005-0000-0000-000053930000}"/>
    <cellStyle name="Note 14 2 5" xfId="25111" xr:uid="{00000000-0005-0000-0000-000054930000}"/>
    <cellStyle name="Note 14 2 5 2" xfId="37890" xr:uid="{00000000-0005-0000-0000-000055930000}"/>
    <cellStyle name="Note 14 2 6" xfId="25112" xr:uid="{00000000-0005-0000-0000-000056930000}"/>
    <cellStyle name="Note 14 2 7" xfId="25113" xr:uid="{00000000-0005-0000-0000-000057930000}"/>
    <cellStyle name="Note 14 2 8" xfId="25114" xr:uid="{00000000-0005-0000-0000-000058930000}"/>
    <cellStyle name="Note 14 2 9" xfId="25115" xr:uid="{00000000-0005-0000-0000-000059930000}"/>
    <cellStyle name="Note 14 3" xfId="1665" xr:uid="{00000000-0005-0000-0000-00005A930000}"/>
    <cellStyle name="Note 14 3 2" xfId="3878" xr:uid="{00000000-0005-0000-0000-00005B930000}"/>
    <cellStyle name="Note 14 3 2 2" xfId="10426" xr:uid="{00000000-0005-0000-0000-00005C930000}"/>
    <cellStyle name="Note 14 3 2 2 2" xfId="14047" xr:uid="{00000000-0005-0000-0000-00005D930000}"/>
    <cellStyle name="Note 14 3 2 3" xfId="25116" xr:uid="{00000000-0005-0000-0000-00005E930000}"/>
    <cellStyle name="Note 14 3 2 4" xfId="25117" xr:uid="{00000000-0005-0000-0000-00005F930000}"/>
    <cellStyle name="Note 14 3 2 5" xfId="25118" xr:uid="{00000000-0005-0000-0000-000060930000}"/>
    <cellStyle name="Note 14 3 2 6" xfId="25119" xr:uid="{00000000-0005-0000-0000-000061930000}"/>
    <cellStyle name="Note 14 3 3" xfId="4857" xr:uid="{00000000-0005-0000-0000-000062930000}"/>
    <cellStyle name="Note 14 3 3 2" xfId="14046" xr:uid="{00000000-0005-0000-0000-000063930000}"/>
    <cellStyle name="Note 14 3 3 3" xfId="35825" xr:uid="{00000000-0005-0000-0000-000064930000}"/>
    <cellStyle name="Note 14 3 3 4" xfId="10425" xr:uid="{00000000-0005-0000-0000-000065930000}"/>
    <cellStyle name="Note 14 3 4" xfId="25120" xr:uid="{00000000-0005-0000-0000-000066930000}"/>
    <cellStyle name="Note 14 3 4 2" xfId="37891" xr:uid="{00000000-0005-0000-0000-000067930000}"/>
    <cellStyle name="Note 14 3 5" xfId="25121" xr:uid="{00000000-0005-0000-0000-000068930000}"/>
    <cellStyle name="Note 14 3 6" xfId="25122" xr:uid="{00000000-0005-0000-0000-000069930000}"/>
    <cellStyle name="Note 14 3 7" xfId="25123" xr:uid="{00000000-0005-0000-0000-00006A930000}"/>
    <cellStyle name="Note 14 3 8" xfId="25124" xr:uid="{00000000-0005-0000-0000-00006B930000}"/>
    <cellStyle name="Note 14 4" xfId="1666" xr:uid="{00000000-0005-0000-0000-00006C930000}"/>
    <cellStyle name="Note 14 4 2" xfId="3879" xr:uid="{00000000-0005-0000-0000-00006D930000}"/>
    <cellStyle name="Note 14 4 2 2" xfId="10428" xr:uid="{00000000-0005-0000-0000-00006E930000}"/>
    <cellStyle name="Note 14 4 2 2 2" xfId="14049" xr:uid="{00000000-0005-0000-0000-00006F930000}"/>
    <cellStyle name="Note 14 4 2 3" xfId="25125" xr:uid="{00000000-0005-0000-0000-000070930000}"/>
    <cellStyle name="Note 14 4 2 4" xfId="25126" xr:uid="{00000000-0005-0000-0000-000071930000}"/>
    <cellStyle name="Note 14 4 2 5" xfId="25127" xr:uid="{00000000-0005-0000-0000-000072930000}"/>
    <cellStyle name="Note 14 4 2 6" xfId="25128" xr:uid="{00000000-0005-0000-0000-000073930000}"/>
    <cellStyle name="Note 14 4 3" xfId="4858" xr:uid="{00000000-0005-0000-0000-000074930000}"/>
    <cellStyle name="Note 14 4 3 2" xfId="14048" xr:uid="{00000000-0005-0000-0000-000075930000}"/>
    <cellStyle name="Note 14 4 3 3" xfId="35826" xr:uid="{00000000-0005-0000-0000-000076930000}"/>
    <cellStyle name="Note 14 4 3 4" xfId="10427" xr:uid="{00000000-0005-0000-0000-000077930000}"/>
    <cellStyle name="Note 14 4 4" xfId="25129" xr:uid="{00000000-0005-0000-0000-000078930000}"/>
    <cellStyle name="Note 14 4 4 2" xfId="37892" xr:uid="{00000000-0005-0000-0000-000079930000}"/>
    <cellStyle name="Note 14 4 5" xfId="25130" xr:uid="{00000000-0005-0000-0000-00007A930000}"/>
    <cellStyle name="Note 14 4 6" xfId="25131" xr:uid="{00000000-0005-0000-0000-00007B930000}"/>
    <cellStyle name="Note 14 4 7" xfId="25132" xr:uid="{00000000-0005-0000-0000-00007C930000}"/>
    <cellStyle name="Note 14 4 8" xfId="25133" xr:uid="{00000000-0005-0000-0000-00007D930000}"/>
    <cellStyle name="Note 14 5" xfId="3880" xr:uid="{00000000-0005-0000-0000-00007E930000}"/>
    <cellStyle name="Note 14 5 2" xfId="5507" xr:uid="{00000000-0005-0000-0000-00007F930000}"/>
    <cellStyle name="Note 14 5 2 2" xfId="10430" xr:uid="{00000000-0005-0000-0000-000080930000}"/>
    <cellStyle name="Note 14 5 2 2 2" xfId="14051" xr:uid="{00000000-0005-0000-0000-000081930000}"/>
    <cellStyle name="Note 14 5 2 3" xfId="25134" xr:uid="{00000000-0005-0000-0000-000082930000}"/>
    <cellStyle name="Note 14 5 2 4" xfId="25135" xr:uid="{00000000-0005-0000-0000-000083930000}"/>
    <cellStyle name="Note 14 5 2 5" xfId="25136" xr:uid="{00000000-0005-0000-0000-000084930000}"/>
    <cellStyle name="Note 14 5 2 6" xfId="25137" xr:uid="{00000000-0005-0000-0000-000085930000}"/>
    <cellStyle name="Note 14 5 3" xfId="10429" xr:uid="{00000000-0005-0000-0000-000086930000}"/>
    <cellStyle name="Note 14 5 3 2" xfId="14050" xr:uid="{00000000-0005-0000-0000-000087930000}"/>
    <cellStyle name="Note 14 5 3 3" xfId="38504" xr:uid="{00000000-0005-0000-0000-000088930000}"/>
    <cellStyle name="Note 14 5 4" xfId="25138" xr:uid="{00000000-0005-0000-0000-000089930000}"/>
    <cellStyle name="Note 14 5 5" xfId="25139" xr:uid="{00000000-0005-0000-0000-00008A930000}"/>
    <cellStyle name="Note 14 5 6" xfId="25140" xr:uid="{00000000-0005-0000-0000-00008B930000}"/>
    <cellStyle name="Note 14 5 7" xfId="25141" xr:uid="{00000000-0005-0000-0000-00008C930000}"/>
    <cellStyle name="Note 14 6" xfId="3881" xr:uid="{00000000-0005-0000-0000-00008D930000}"/>
    <cellStyle name="Note 14 6 2" xfId="5508" xr:uid="{00000000-0005-0000-0000-00008E930000}"/>
    <cellStyle name="Note 14 6 2 2" xfId="10432" xr:uid="{00000000-0005-0000-0000-00008F930000}"/>
    <cellStyle name="Note 14 6 2 2 2" xfId="14053" xr:uid="{00000000-0005-0000-0000-000090930000}"/>
    <cellStyle name="Note 14 6 2 3" xfId="25142" xr:uid="{00000000-0005-0000-0000-000091930000}"/>
    <cellStyle name="Note 14 6 2 4" xfId="25143" xr:uid="{00000000-0005-0000-0000-000092930000}"/>
    <cellStyle name="Note 14 6 2 5" xfId="25144" xr:uid="{00000000-0005-0000-0000-000093930000}"/>
    <cellStyle name="Note 14 6 2 6" xfId="25145" xr:uid="{00000000-0005-0000-0000-000094930000}"/>
    <cellStyle name="Note 14 6 3" xfId="10431" xr:uid="{00000000-0005-0000-0000-000095930000}"/>
    <cellStyle name="Note 14 6 3 2" xfId="14052" xr:uid="{00000000-0005-0000-0000-000096930000}"/>
    <cellStyle name="Note 14 6 3 3" xfId="38505" xr:uid="{00000000-0005-0000-0000-000097930000}"/>
    <cellStyle name="Note 14 6 4" xfId="25146" xr:uid="{00000000-0005-0000-0000-000098930000}"/>
    <cellStyle name="Note 14 6 5" xfId="25147" xr:uid="{00000000-0005-0000-0000-000099930000}"/>
    <cellStyle name="Note 14 6 6" xfId="25148" xr:uid="{00000000-0005-0000-0000-00009A930000}"/>
    <cellStyle name="Note 14 6 7" xfId="25149" xr:uid="{00000000-0005-0000-0000-00009B930000}"/>
    <cellStyle name="Note 14 7" xfId="3882" xr:uid="{00000000-0005-0000-0000-00009C930000}"/>
    <cellStyle name="Note 14 7 2" xfId="10433" xr:uid="{00000000-0005-0000-0000-00009D930000}"/>
    <cellStyle name="Note 14 7 2 2" xfId="14054" xr:uid="{00000000-0005-0000-0000-00009E930000}"/>
    <cellStyle name="Note 14 7 3" xfId="25150" xr:uid="{00000000-0005-0000-0000-00009F930000}"/>
    <cellStyle name="Note 14 7 4" xfId="25151" xr:uid="{00000000-0005-0000-0000-0000A0930000}"/>
    <cellStyle name="Note 14 7 5" xfId="25152" xr:uid="{00000000-0005-0000-0000-0000A1930000}"/>
    <cellStyle name="Note 14 7 6" xfId="25153" xr:uid="{00000000-0005-0000-0000-0000A2930000}"/>
    <cellStyle name="Note 14 8" xfId="3883" xr:uid="{00000000-0005-0000-0000-0000A3930000}"/>
    <cellStyle name="Note 14 8 2" xfId="10434" xr:uid="{00000000-0005-0000-0000-0000A4930000}"/>
    <cellStyle name="Note 14 8 2 2" xfId="14055" xr:uid="{00000000-0005-0000-0000-0000A5930000}"/>
    <cellStyle name="Note 14 8 3" xfId="25154" xr:uid="{00000000-0005-0000-0000-0000A6930000}"/>
    <cellStyle name="Note 14 8 4" xfId="25155" xr:uid="{00000000-0005-0000-0000-0000A7930000}"/>
    <cellStyle name="Note 14 8 5" xfId="25156" xr:uid="{00000000-0005-0000-0000-0000A8930000}"/>
    <cellStyle name="Note 14 8 6" xfId="25157" xr:uid="{00000000-0005-0000-0000-0000A9930000}"/>
    <cellStyle name="Note 14 9" xfId="3875" xr:uid="{00000000-0005-0000-0000-0000AA930000}"/>
    <cellStyle name="Note 14 9 2" xfId="10435" xr:uid="{00000000-0005-0000-0000-0000AB930000}"/>
    <cellStyle name="Note 14 9 2 2" xfId="14056" xr:uid="{00000000-0005-0000-0000-0000AC930000}"/>
    <cellStyle name="Note 14 9 3" xfId="25158" xr:uid="{00000000-0005-0000-0000-0000AD930000}"/>
    <cellStyle name="Note 14 9 4" xfId="25159" xr:uid="{00000000-0005-0000-0000-0000AE930000}"/>
    <cellStyle name="Note 14 9 5" xfId="25160" xr:uid="{00000000-0005-0000-0000-0000AF930000}"/>
    <cellStyle name="Note 14 9 6" xfId="25161" xr:uid="{00000000-0005-0000-0000-0000B0930000}"/>
    <cellStyle name="Note 14_IND_UC" xfId="3884" xr:uid="{00000000-0005-0000-0000-0000B1930000}"/>
    <cellStyle name="Note 15" xfId="1667" xr:uid="{00000000-0005-0000-0000-0000B2930000}"/>
    <cellStyle name="Note 15 10" xfId="4859" xr:uid="{00000000-0005-0000-0000-0000B3930000}"/>
    <cellStyle name="Note 15 10 2" xfId="14057" xr:uid="{00000000-0005-0000-0000-0000B4930000}"/>
    <cellStyle name="Note 15 10 3" xfId="35827" xr:uid="{00000000-0005-0000-0000-0000B5930000}"/>
    <cellStyle name="Note 15 10 4" xfId="10436" xr:uid="{00000000-0005-0000-0000-0000B6930000}"/>
    <cellStyle name="Note 15 11" xfId="25162" xr:uid="{00000000-0005-0000-0000-0000B7930000}"/>
    <cellStyle name="Note 15 11 2" xfId="37893" xr:uid="{00000000-0005-0000-0000-0000B8930000}"/>
    <cellStyle name="Note 15 12" xfId="25163" xr:uid="{00000000-0005-0000-0000-0000B9930000}"/>
    <cellStyle name="Note 15 13" xfId="25164" xr:uid="{00000000-0005-0000-0000-0000BA930000}"/>
    <cellStyle name="Note 15 14" xfId="25165" xr:uid="{00000000-0005-0000-0000-0000BB930000}"/>
    <cellStyle name="Note 15 15" xfId="25166" xr:uid="{00000000-0005-0000-0000-0000BC930000}"/>
    <cellStyle name="Note 15 2" xfId="1668" xr:uid="{00000000-0005-0000-0000-0000BD930000}"/>
    <cellStyle name="Note 15 2 2" xfId="3886" xr:uid="{00000000-0005-0000-0000-0000BE930000}"/>
    <cellStyle name="Note 15 2 2 2" xfId="10438" xr:uid="{00000000-0005-0000-0000-0000BF930000}"/>
    <cellStyle name="Note 15 2 2 2 2" xfId="14059" xr:uid="{00000000-0005-0000-0000-0000C0930000}"/>
    <cellStyle name="Note 15 2 2 3" xfId="25167" xr:uid="{00000000-0005-0000-0000-0000C1930000}"/>
    <cellStyle name="Note 15 2 2 4" xfId="25168" xr:uid="{00000000-0005-0000-0000-0000C2930000}"/>
    <cellStyle name="Note 15 2 2 5" xfId="25169" xr:uid="{00000000-0005-0000-0000-0000C3930000}"/>
    <cellStyle name="Note 15 2 2 6" xfId="25170" xr:uid="{00000000-0005-0000-0000-0000C4930000}"/>
    <cellStyle name="Note 15 2 3" xfId="4860" xr:uid="{00000000-0005-0000-0000-0000C5930000}"/>
    <cellStyle name="Note 15 2 3 2" xfId="14058" xr:uid="{00000000-0005-0000-0000-0000C6930000}"/>
    <cellStyle name="Note 15 2 3 3" xfId="35828" xr:uid="{00000000-0005-0000-0000-0000C7930000}"/>
    <cellStyle name="Note 15 2 3 4" xfId="10437" xr:uid="{00000000-0005-0000-0000-0000C8930000}"/>
    <cellStyle name="Note 15 2 4" xfId="25171" xr:uid="{00000000-0005-0000-0000-0000C9930000}"/>
    <cellStyle name="Note 15 2 4 2" xfId="37894" xr:uid="{00000000-0005-0000-0000-0000CA930000}"/>
    <cellStyle name="Note 15 2 5" xfId="25172" xr:uid="{00000000-0005-0000-0000-0000CB930000}"/>
    <cellStyle name="Note 15 2 6" xfId="25173" xr:uid="{00000000-0005-0000-0000-0000CC930000}"/>
    <cellStyle name="Note 15 2 7" xfId="25174" xr:uid="{00000000-0005-0000-0000-0000CD930000}"/>
    <cellStyle name="Note 15 2 8" xfId="25175" xr:uid="{00000000-0005-0000-0000-0000CE930000}"/>
    <cellStyle name="Note 15 3" xfId="1669" xr:uid="{00000000-0005-0000-0000-0000CF930000}"/>
    <cellStyle name="Note 15 3 2" xfId="3887" xr:uid="{00000000-0005-0000-0000-0000D0930000}"/>
    <cellStyle name="Note 15 3 2 2" xfId="10440" xr:uid="{00000000-0005-0000-0000-0000D1930000}"/>
    <cellStyle name="Note 15 3 2 2 2" xfId="14061" xr:uid="{00000000-0005-0000-0000-0000D2930000}"/>
    <cellStyle name="Note 15 3 2 3" xfId="25176" xr:uid="{00000000-0005-0000-0000-0000D3930000}"/>
    <cellStyle name="Note 15 3 2 4" xfId="25177" xr:uid="{00000000-0005-0000-0000-0000D4930000}"/>
    <cellStyle name="Note 15 3 2 5" xfId="25178" xr:uid="{00000000-0005-0000-0000-0000D5930000}"/>
    <cellStyle name="Note 15 3 2 6" xfId="25179" xr:uid="{00000000-0005-0000-0000-0000D6930000}"/>
    <cellStyle name="Note 15 3 3" xfId="4861" xr:uid="{00000000-0005-0000-0000-0000D7930000}"/>
    <cellStyle name="Note 15 3 3 2" xfId="14060" xr:uid="{00000000-0005-0000-0000-0000D8930000}"/>
    <cellStyle name="Note 15 3 3 3" xfId="35829" xr:uid="{00000000-0005-0000-0000-0000D9930000}"/>
    <cellStyle name="Note 15 3 3 4" xfId="10439" xr:uid="{00000000-0005-0000-0000-0000DA930000}"/>
    <cellStyle name="Note 15 3 4" xfId="25180" xr:uid="{00000000-0005-0000-0000-0000DB930000}"/>
    <cellStyle name="Note 15 3 4 2" xfId="37895" xr:uid="{00000000-0005-0000-0000-0000DC930000}"/>
    <cellStyle name="Note 15 3 5" xfId="25181" xr:uid="{00000000-0005-0000-0000-0000DD930000}"/>
    <cellStyle name="Note 15 3 6" xfId="25182" xr:uid="{00000000-0005-0000-0000-0000DE930000}"/>
    <cellStyle name="Note 15 3 7" xfId="25183" xr:uid="{00000000-0005-0000-0000-0000DF930000}"/>
    <cellStyle name="Note 15 3 8" xfId="25184" xr:uid="{00000000-0005-0000-0000-0000E0930000}"/>
    <cellStyle name="Note 15 4" xfId="3888" xr:uid="{00000000-0005-0000-0000-0000E1930000}"/>
    <cellStyle name="Note 15 4 2" xfId="5509" xr:uid="{00000000-0005-0000-0000-0000E2930000}"/>
    <cellStyle name="Note 15 4 2 2" xfId="10442" xr:uid="{00000000-0005-0000-0000-0000E3930000}"/>
    <cellStyle name="Note 15 4 2 2 2" xfId="14063" xr:uid="{00000000-0005-0000-0000-0000E4930000}"/>
    <cellStyle name="Note 15 4 2 3" xfId="25185" xr:uid="{00000000-0005-0000-0000-0000E5930000}"/>
    <cellStyle name="Note 15 4 2 4" xfId="25186" xr:uid="{00000000-0005-0000-0000-0000E6930000}"/>
    <cellStyle name="Note 15 4 2 5" xfId="25187" xr:uid="{00000000-0005-0000-0000-0000E7930000}"/>
    <cellStyle name="Note 15 4 2 6" xfId="25188" xr:uid="{00000000-0005-0000-0000-0000E8930000}"/>
    <cellStyle name="Note 15 4 3" xfId="10441" xr:uid="{00000000-0005-0000-0000-0000E9930000}"/>
    <cellStyle name="Note 15 4 3 2" xfId="14062" xr:uid="{00000000-0005-0000-0000-0000EA930000}"/>
    <cellStyle name="Note 15 4 3 3" xfId="38506" xr:uid="{00000000-0005-0000-0000-0000EB930000}"/>
    <cellStyle name="Note 15 4 4" xfId="25189" xr:uid="{00000000-0005-0000-0000-0000EC930000}"/>
    <cellStyle name="Note 15 4 5" xfId="25190" xr:uid="{00000000-0005-0000-0000-0000ED930000}"/>
    <cellStyle name="Note 15 4 6" xfId="25191" xr:uid="{00000000-0005-0000-0000-0000EE930000}"/>
    <cellStyle name="Note 15 4 7" xfId="25192" xr:uid="{00000000-0005-0000-0000-0000EF930000}"/>
    <cellStyle name="Note 15 5" xfId="3889" xr:uid="{00000000-0005-0000-0000-0000F0930000}"/>
    <cellStyle name="Note 15 5 2" xfId="5510" xr:uid="{00000000-0005-0000-0000-0000F1930000}"/>
    <cellStyle name="Note 15 5 2 2" xfId="10444" xr:uid="{00000000-0005-0000-0000-0000F2930000}"/>
    <cellStyle name="Note 15 5 2 2 2" xfId="14065" xr:uid="{00000000-0005-0000-0000-0000F3930000}"/>
    <cellStyle name="Note 15 5 2 3" xfId="25193" xr:uid="{00000000-0005-0000-0000-0000F4930000}"/>
    <cellStyle name="Note 15 5 2 4" xfId="25194" xr:uid="{00000000-0005-0000-0000-0000F5930000}"/>
    <cellStyle name="Note 15 5 2 5" xfId="25195" xr:uid="{00000000-0005-0000-0000-0000F6930000}"/>
    <cellStyle name="Note 15 5 2 6" xfId="25196" xr:uid="{00000000-0005-0000-0000-0000F7930000}"/>
    <cellStyle name="Note 15 5 3" xfId="10443" xr:uid="{00000000-0005-0000-0000-0000F8930000}"/>
    <cellStyle name="Note 15 5 3 2" xfId="14064" xr:uid="{00000000-0005-0000-0000-0000F9930000}"/>
    <cellStyle name="Note 15 5 3 3" xfId="38507" xr:uid="{00000000-0005-0000-0000-0000FA930000}"/>
    <cellStyle name="Note 15 5 4" xfId="25197" xr:uid="{00000000-0005-0000-0000-0000FB930000}"/>
    <cellStyle name="Note 15 5 5" xfId="25198" xr:uid="{00000000-0005-0000-0000-0000FC930000}"/>
    <cellStyle name="Note 15 5 6" xfId="25199" xr:uid="{00000000-0005-0000-0000-0000FD930000}"/>
    <cellStyle name="Note 15 5 7" xfId="25200" xr:uid="{00000000-0005-0000-0000-0000FE930000}"/>
    <cellStyle name="Note 15 6" xfId="3890" xr:uid="{00000000-0005-0000-0000-0000FF930000}"/>
    <cellStyle name="Note 15 6 2" xfId="5511" xr:uid="{00000000-0005-0000-0000-000000940000}"/>
    <cellStyle name="Note 15 6 2 2" xfId="10446" xr:uid="{00000000-0005-0000-0000-000001940000}"/>
    <cellStyle name="Note 15 6 2 2 2" xfId="14067" xr:uid="{00000000-0005-0000-0000-000002940000}"/>
    <cellStyle name="Note 15 6 2 3" xfId="25201" xr:uid="{00000000-0005-0000-0000-000003940000}"/>
    <cellStyle name="Note 15 6 2 4" xfId="25202" xr:uid="{00000000-0005-0000-0000-000004940000}"/>
    <cellStyle name="Note 15 6 2 5" xfId="25203" xr:uid="{00000000-0005-0000-0000-000005940000}"/>
    <cellStyle name="Note 15 6 2 6" xfId="25204" xr:uid="{00000000-0005-0000-0000-000006940000}"/>
    <cellStyle name="Note 15 6 3" xfId="10445" xr:uid="{00000000-0005-0000-0000-000007940000}"/>
    <cellStyle name="Note 15 6 3 2" xfId="14066" xr:uid="{00000000-0005-0000-0000-000008940000}"/>
    <cellStyle name="Note 15 6 3 3" xfId="38508" xr:uid="{00000000-0005-0000-0000-000009940000}"/>
    <cellStyle name="Note 15 6 4" xfId="25205" xr:uid="{00000000-0005-0000-0000-00000A940000}"/>
    <cellStyle name="Note 15 6 5" xfId="25206" xr:uid="{00000000-0005-0000-0000-00000B940000}"/>
    <cellStyle name="Note 15 6 6" xfId="25207" xr:uid="{00000000-0005-0000-0000-00000C940000}"/>
    <cellStyle name="Note 15 6 7" xfId="25208" xr:uid="{00000000-0005-0000-0000-00000D940000}"/>
    <cellStyle name="Note 15 7" xfId="3891" xr:uid="{00000000-0005-0000-0000-00000E940000}"/>
    <cellStyle name="Note 15 7 2" xfId="10447" xr:uid="{00000000-0005-0000-0000-00000F940000}"/>
    <cellStyle name="Note 15 7 2 2" xfId="14068" xr:uid="{00000000-0005-0000-0000-000010940000}"/>
    <cellStyle name="Note 15 7 3" xfId="25209" xr:uid="{00000000-0005-0000-0000-000011940000}"/>
    <cellStyle name="Note 15 7 4" xfId="25210" xr:uid="{00000000-0005-0000-0000-000012940000}"/>
    <cellStyle name="Note 15 7 5" xfId="25211" xr:uid="{00000000-0005-0000-0000-000013940000}"/>
    <cellStyle name="Note 15 7 6" xfId="25212" xr:uid="{00000000-0005-0000-0000-000014940000}"/>
    <cellStyle name="Note 15 8" xfId="3892" xr:uid="{00000000-0005-0000-0000-000015940000}"/>
    <cellStyle name="Note 15 8 2" xfId="10448" xr:uid="{00000000-0005-0000-0000-000016940000}"/>
    <cellStyle name="Note 15 8 2 2" xfId="14069" xr:uid="{00000000-0005-0000-0000-000017940000}"/>
    <cellStyle name="Note 15 8 3" xfId="25213" xr:uid="{00000000-0005-0000-0000-000018940000}"/>
    <cellStyle name="Note 15 8 4" xfId="25214" xr:uid="{00000000-0005-0000-0000-000019940000}"/>
    <cellStyle name="Note 15 8 5" xfId="25215" xr:uid="{00000000-0005-0000-0000-00001A940000}"/>
    <cellStyle name="Note 15 8 6" xfId="25216" xr:uid="{00000000-0005-0000-0000-00001B940000}"/>
    <cellStyle name="Note 15 9" xfId="3885" xr:uid="{00000000-0005-0000-0000-00001C940000}"/>
    <cellStyle name="Note 15 9 2" xfId="10449" xr:uid="{00000000-0005-0000-0000-00001D940000}"/>
    <cellStyle name="Note 15 9 2 2" xfId="14070" xr:uid="{00000000-0005-0000-0000-00001E940000}"/>
    <cellStyle name="Note 15 9 3" xfId="25217" xr:uid="{00000000-0005-0000-0000-00001F940000}"/>
    <cellStyle name="Note 15 9 4" xfId="25218" xr:uid="{00000000-0005-0000-0000-000020940000}"/>
    <cellStyle name="Note 15 9 5" xfId="25219" xr:uid="{00000000-0005-0000-0000-000021940000}"/>
    <cellStyle name="Note 15 9 6" xfId="25220" xr:uid="{00000000-0005-0000-0000-000022940000}"/>
    <cellStyle name="Note 15_IND_UC" xfId="3893" xr:uid="{00000000-0005-0000-0000-000023940000}"/>
    <cellStyle name="Note 16" xfId="1670" xr:uid="{00000000-0005-0000-0000-000024940000}"/>
    <cellStyle name="Note 16 10" xfId="4862" xr:uid="{00000000-0005-0000-0000-000025940000}"/>
    <cellStyle name="Note 16 10 2" xfId="14071" xr:uid="{00000000-0005-0000-0000-000026940000}"/>
    <cellStyle name="Note 16 10 3" xfId="35830" xr:uid="{00000000-0005-0000-0000-000027940000}"/>
    <cellStyle name="Note 16 10 4" xfId="10450" xr:uid="{00000000-0005-0000-0000-000028940000}"/>
    <cellStyle name="Note 16 11" xfId="25221" xr:uid="{00000000-0005-0000-0000-000029940000}"/>
    <cellStyle name="Note 16 11 2" xfId="37896" xr:uid="{00000000-0005-0000-0000-00002A940000}"/>
    <cellStyle name="Note 16 12" xfId="25222" xr:uid="{00000000-0005-0000-0000-00002B940000}"/>
    <cellStyle name="Note 16 13" xfId="25223" xr:uid="{00000000-0005-0000-0000-00002C940000}"/>
    <cellStyle name="Note 16 14" xfId="25224" xr:uid="{00000000-0005-0000-0000-00002D940000}"/>
    <cellStyle name="Note 16 15" xfId="25225" xr:uid="{00000000-0005-0000-0000-00002E940000}"/>
    <cellStyle name="Note 16 2" xfId="1671" xr:uid="{00000000-0005-0000-0000-00002F940000}"/>
    <cellStyle name="Note 16 2 2" xfId="3895" xr:uid="{00000000-0005-0000-0000-000030940000}"/>
    <cellStyle name="Note 16 2 2 2" xfId="10452" xr:uid="{00000000-0005-0000-0000-000031940000}"/>
    <cellStyle name="Note 16 2 2 2 2" xfId="14073" xr:uid="{00000000-0005-0000-0000-000032940000}"/>
    <cellStyle name="Note 16 2 2 3" xfId="25226" xr:uid="{00000000-0005-0000-0000-000033940000}"/>
    <cellStyle name="Note 16 2 2 4" xfId="25227" xr:uid="{00000000-0005-0000-0000-000034940000}"/>
    <cellStyle name="Note 16 2 2 5" xfId="25228" xr:uid="{00000000-0005-0000-0000-000035940000}"/>
    <cellStyle name="Note 16 2 2 6" xfId="25229" xr:uid="{00000000-0005-0000-0000-000036940000}"/>
    <cellStyle name="Note 16 2 3" xfId="4863" xr:uid="{00000000-0005-0000-0000-000037940000}"/>
    <cellStyle name="Note 16 2 3 2" xfId="14072" xr:uid="{00000000-0005-0000-0000-000038940000}"/>
    <cellStyle name="Note 16 2 3 3" xfId="35831" xr:uid="{00000000-0005-0000-0000-000039940000}"/>
    <cellStyle name="Note 16 2 3 4" xfId="10451" xr:uid="{00000000-0005-0000-0000-00003A940000}"/>
    <cellStyle name="Note 16 2 4" xfId="25230" xr:uid="{00000000-0005-0000-0000-00003B940000}"/>
    <cellStyle name="Note 16 2 4 2" xfId="37897" xr:uid="{00000000-0005-0000-0000-00003C940000}"/>
    <cellStyle name="Note 16 2 5" xfId="25231" xr:uid="{00000000-0005-0000-0000-00003D940000}"/>
    <cellStyle name="Note 16 2 6" xfId="25232" xr:uid="{00000000-0005-0000-0000-00003E940000}"/>
    <cellStyle name="Note 16 2 7" xfId="25233" xr:uid="{00000000-0005-0000-0000-00003F940000}"/>
    <cellStyle name="Note 16 2 8" xfId="25234" xr:uid="{00000000-0005-0000-0000-000040940000}"/>
    <cellStyle name="Note 16 3" xfId="1672" xr:uid="{00000000-0005-0000-0000-000041940000}"/>
    <cellStyle name="Note 16 3 2" xfId="3896" xr:uid="{00000000-0005-0000-0000-000042940000}"/>
    <cellStyle name="Note 16 3 2 2" xfId="10454" xr:uid="{00000000-0005-0000-0000-000043940000}"/>
    <cellStyle name="Note 16 3 2 2 2" xfId="14075" xr:uid="{00000000-0005-0000-0000-000044940000}"/>
    <cellStyle name="Note 16 3 2 3" xfId="25235" xr:uid="{00000000-0005-0000-0000-000045940000}"/>
    <cellStyle name="Note 16 3 2 4" xfId="25236" xr:uid="{00000000-0005-0000-0000-000046940000}"/>
    <cellStyle name="Note 16 3 2 5" xfId="25237" xr:uid="{00000000-0005-0000-0000-000047940000}"/>
    <cellStyle name="Note 16 3 2 6" xfId="25238" xr:uid="{00000000-0005-0000-0000-000048940000}"/>
    <cellStyle name="Note 16 3 3" xfId="4864" xr:uid="{00000000-0005-0000-0000-000049940000}"/>
    <cellStyle name="Note 16 3 3 2" xfId="14074" xr:uid="{00000000-0005-0000-0000-00004A940000}"/>
    <cellStyle name="Note 16 3 3 3" xfId="35832" xr:uid="{00000000-0005-0000-0000-00004B940000}"/>
    <cellStyle name="Note 16 3 3 4" xfId="10453" xr:uid="{00000000-0005-0000-0000-00004C940000}"/>
    <cellStyle name="Note 16 3 4" xfId="25239" xr:uid="{00000000-0005-0000-0000-00004D940000}"/>
    <cellStyle name="Note 16 3 4 2" xfId="37898" xr:uid="{00000000-0005-0000-0000-00004E940000}"/>
    <cellStyle name="Note 16 3 5" xfId="25240" xr:uid="{00000000-0005-0000-0000-00004F940000}"/>
    <cellStyle name="Note 16 3 6" xfId="25241" xr:uid="{00000000-0005-0000-0000-000050940000}"/>
    <cellStyle name="Note 16 3 7" xfId="25242" xr:uid="{00000000-0005-0000-0000-000051940000}"/>
    <cellStyle name="Note 16 3 8" xfId="25243" xr:uid="{00000000-0005-0000-0000-000052940000}"/>
    <cellStyle name="Note 16 4" xfId="3897" xr:uid="{00000000-0005-0000-0000-000053940000}"/>
    <cellStyle name="Note 16 4 2" xfId="5512" xr:uid="{00000000-0005-0000-0000-000054940000}"/>
    <cellStyle name="Note 16 4 2 2" xfId="10456" xr:uid="{00000000-0005-0000-0000-000055940000}"/>
    <cellStyle name="Note 16 4 2 2 2" xfId="14077" xr:uid="{00000000-0005-0000-0000-000056940000}"/>
    <cellStyle name="Note 16 4 2 3" xfId="25244" xr:uid="{00000000-0005-0000-0000-000057940000}"/>
    <cellStyle name="Note 16 4 2 4" xfId="25245" xr:uid="{00000000-0005-0000-0000-000058940000}"/>
    <cellStyle name="Note 16 4 2 5" xfId="25246" xr:uid="{00000000-0005-0000-0000-000059940000}"/>
    <cellStyle name="Note 16 4 2 6" xfId="25247" xr:uid="{00000000-0005-0000-0000-00005A940000}"/>
    <cellStyle name="Note 16 4 3" xfId="10455" xr:uid="{00000000-0005-0000-0000-00005B940000}"/>
    <cellStyle name="Note 16 4 3 2" xfId="14076" xr:uid="{00000000-0005-0000-0000-00005C940000}"/>
    <cellStyle name="Note 16 4 3 3" xfId="38509" xr:uid="{00000000-0005-0000-0000-00005D940000}"/>
    <cellStyle name="Note 16 4 4" xfId="25248" xr:uid="{00000000-0005-0000-0000-00005E940000}"/>
    <cellStyle name="Note 16 4 5" xfId="25249" xr:uid="{00000000-0005-0000-0000-00005F940000}"/>
    <cellStyle name="Note 16 4 6" xfId="25250" xr:uid="{00000000-0005-0000-0000-000060940000}"/>
    <cellStyle name="Note 16 4 7" xfId="25251" xr:uid="{00000000-0005-0000-0000-000061940000}"/>
    <cellStyle name="Note 16 5" xfId="3898" xr:uid="{00000000-0005-0000-0000-000062940000}"/>
    <cellStyle name="Note 16 5 2" xfId="5513" xr:uid="{00000000-0005-0000-0000-000063940000}"/>
    <cellStyle name="Note 16 5 2 2" xfId="10458" xr:uid="{00000000-0005-0000-0000-000064940000}"/>
    <cellStyle name="Note 16 5 2 2 2" xfId="14079" xr:uid="{00000000-0005-0000-0000-000065940000}"/>
    <cellStyle name="Note 16 5 2 3" xfId="25252" xr:uid="{00000000-0005-0000-0000-000066940000}"/>
    <cellStyle name="Note 16 5 2 4" xfId="25253" xr:uid="{00000000-0005-0000-0000-000067940000}"/>
    <cellStyle name="Note 16 5 2 5" xfId="25254" xr:uid="{00000000-0005-0000-0000-000068940000}"/>
    <cellStyle name="Note 16 5 2 6" xfId="25255" xr:uid="{00000000-0005-0000-0000-000069940000}"/>
    <cellStyle name="Note 16 5 3" xfId="10457" xr:uid="{00000000-0005-0000-0000-00006A940000}"/>
    <cellStyle name="Note 16 5 3 2" xfId="14078" xr:uid="{00000000-0005-0000-0000-00006B940000}"/>
    <cellStyle name="Note 16 5 3 3" xfId="38510" xr:uid="{00000000-0005-0000-0000-00006C940000}"/>
    <cellStyle name="Note 16 5 4" xfId="25256" xr:uid="{00000000-0005-0000-0000-00006D940000}"/>
    <cellStyle name="Note 16 5 5" xfId="25257" xr:uid="{00000000-0005-0000-0000-00006E940000}"/>
    <cellStyle name="Note 16 5 6" xfId="25258" xr:uid="{00000000-0005-0000-0000-00006F940000}"/>
    <cellStyle name="Note 16 5 7" xfId="25259" xr:uid="{00000000-0005-0000-0000-000070940000}"/>
    <cellStyle name="Note 16 6" xfId="3899" xr:uid="{00000000-0005-0000-0000-000071940000}"/>
    <cellStyle name="Note 16 6 2" xfId="5514" xr:uid="{00000000-0005-0000-0000-000072940000}"/>
    <cellStyle name="Note 16 6 2 2" xfId="10460" xr:uid="{00000000-0005-0000-0000-000073940000}"/>
    <cellStyle name="Note 16 6 2 2 2" xfId="14081" xr:uid="{00000000-0005-0000-0000-000074940000}"/>
    <cellStyle name="Note 16 6 2 3" xfId="25260" xr:uid="{00000000-0005-0000-0000-000075940000}"/>
    <cellStyle name="Note 16 6 2 4" xfId="25261" xr:uid="{00000000-0005-0000-0000-000076940000}"/>
    <cellStyle name="Note 16 6 2 5" xfId="25262" xr:uid="{00000000-0005-0000-0000-000077940000}"/>
    <cellStyle name="Note 16 6 2 6" xfId="25263" xr:uid="{00000000-0005-0000-0000-000078940000}"/>
    <cellStyle name="Note 16 6 3" xfId="10459" xr:uid="{00000000-0005-0000-0000-000079940000}"/>
    <cellStyle name="Note 16 6 3 2" xfId="14080" xr:uid="{00000000-0005-0000-0000-00007A940000}"/>
    <cellStyle name="Note 16 6 3 3" xfId="38511" xr:uid="{00000000-0005-0000-0000-00007B940000}"/>
    <cellStyle name="Note 16 6 4" xfId="25264" xr:uid="{00000000-0005-0000-0000-00007C940000}"/>
    <cellStyle name="Note 16 6 5" xfId="25265" xr:uid="{00000000-0005-0000-0000-00007D940000}"/>
    <cellStyle name="Note 16 6 6" xfId="25266" xr:uid="{00000000-0005-0000-0000-00007E940000}"/>
    <cellStyle name="Note 16 6 7" xfId="25267" xr:uid="{00000000-0005-0000-0000-00007F940000}"/>
    <cellStyle name="Note 16 7" xfId="3900" xr:uid="{00000000-0005-0000-0000-000080940000}"/>
    <cellStyle name="Note 16 7 2" xfId="5515" xr:uid="{00000000-0005-0000-0000-000081940000}"/>
    <cellStyle name="Note 16 7 2 2" xfId="10462" xr:uid="{00000000-0005-0000-0000-000082940000}"/>
    <cellStyle name="Note 16 7 2 2 2" xfId="14083" xr:uid="{00000000-0005-0000-0000-000083940000}"/>
    <cellStyle name="Note 16 7 2 3" xfId="25268" xr:uid="{00000000-0005-0000-0000-000084940000}"/>
    <cellStyle name="Note 16 7 2 4" xfId="25269" xr:uid="{00000000-0005-0000-0000-000085940000}"/>
    <cellStyle name="Note 16 7 2 5" xfId="25270" xr:uid="{00000000-0005-0000-0000-000086940000}"/>
    <cellStyle name="Note 16 7 2 6" xfId="25271" xr:uid="{00000000-0005-0000-0000-000087940000}"/>
    <cellStyle name="Note 16 7 3" xfId="10461" xr:uid="{00000000-0005-0000-0000-000088940000}"/>
    <cellStyle name="Note 16 7 3 2" xfId="14082" xr:uid="{00000000-0005-0000-0000-000089940000}"/>
    <cellStyle name="Note 16 7 3 3" xfId="38512" xr:uid="{00000000-0005-0000-0000-00008A940000}"/>
    <cellStyle name="Note 16 7 4" xfId="25272" xr:uid="{00000000-0005-0000-0000-00008B940000}"/>
    <cellStyle name="Note 16 7 5" xfId="25273" xr:uid="{00000000-0005-0000-0000-00008C940000}"/>
    <cellStyle name="Note 16 7 6" xfId="25274" xr:uid="{00000000-0005-0000-0000-00008D940000}"/>
    <cellStyle name="Note 16 7 7" xfId="25275" xr:uid="{00000000-0005-0000-0000-00008E940000}"/>
    <cellStyle name="Note 16 8" xfId="3901" xr:uid="{00000000-0005-0000-0000-00008F940000}"/>
    <cellStyle name="Note 16 8 2" xfId="5516" xr:uid="{00000000-0005-0000-0000-000090940000}"/>
    <cellStyle name="Note 16 8 2 2" xfId="10464" xr:uid="{00000000-0005-0000-0000-000091940000}"/>
    <cellStyle name="Note 16 8 2 2 2" xfId="14085" xr:uid="{00000000-0005-0000-0000-000092940000}"/>
    <cellStyle name="Note 16 8 2 3" xfId="25276" xr:uid="{00000000-0005-0000-0000-000093940000}"/>
    <cellStyle name="Note 16 8 2 4" xfId="25277" xr:uid="{00000000-0005-0000-0000-000094940000}"/>
    <cellStyle name="Note 16 8 2 5" xfId="25278" xr:uid="{00000000-0005-0000-0000-000095940000}"/>
    <cellStyle name="Note 16 8 2 6" xfId="25279" xr:uid="{00000000-0005-0000-0000-000096940000}"/>
    <cellStyle name="Note 16 8 3" xfId="10463" xr:uid="{00000000-0005-0000-0000-000097940000}"/>
    <cellStyle name="Note 16 8 3 2" xfId="14084" xr:uid="{00000000-0005-0000-0000-000098940000}"/>
    <cellStyle name="Note 16 8 3 3" xfId="38513" xr:uid="{00000000-0005-0000-0000-000099940000}"/>
    <cellStyle name="Note 16 8 4" xfId="25280" xr:uid="{00000000-0005-0000-0000-00009A940000}"/>
    <cellStyle name="Note 16 8 5" xfId="25281" xr:uid="{00000000-0005-0000-0000-00009B940000}"/>
    <cellStyle name="Note 16 8 6" xfId="25282" xr:uid="{00000000-0005-0000-0000-00009C940000}"/>
    <cellStyle name="Note 16 8 7" xfId="25283" xr:uid="{00000000-0005-0000-0000-00009D940000}"/>
    <cellStyle name="Note 16 9" xfId="3894" xr:uid="{00000000-0005-0000-0000-00009E940000}"/>
    <cellStyle name="Note 16 9 2" xfId="10465" xr:uid="{00000000-0005-0000-0000-00009F940000}"/>
    <cellStyle name="Note 16 9 2 2" xfId="14086" xr:uid="{00000000-0005-0000-0000-0000A0940000}"/>
    <cellStyle name="Note 16 9 3" xfId="25284" xr:uid="{00000000-0005-0000-0000-0000A1940000}"/>
    <cellStyle name="Note 16 9 4" xfId="25285" xr:uid="{00000000-0005-0000-0000-0000A2940000}"/>
    <cellStyle name="Note 16 9 5" xfId="25286" xr:uid="{00000000-0005-0000-0000-0000A3940000}"/>
    <cellStyle name="Note 16 9 6" xfId="25287" xr:uid="{00000000-0005-0000-0000-0000A4940000}"/>
    <cellStyle name="Note 16_IND_UC" xfId="3902" xr:uid="{00000000-0005-0000-0000-0000A5940000}"/>
    <cellStyle name="Note 17" xfId="1673" xr:uid="{00000000-0005-0000-0000-0000A6940000}"/>
    <cellStyle name="Note 17 10" xfId="4865" xr:uid="{00000000-0005-0000-0000-0000A7940000}"/>
    <cellStyle name="Note 17 10 2" xfId="14087" xr:uid="{00000000-0005-0000-0000-0000A8940000}"/>
    <cellStyle name="Note 17 10 3" xfId="35833" xr:uid="{00000000-0005-0000-0000-0000A9940000}"/>
    <cellStyle name="Note 17 10 4" xfId="10466" xr:uid="{00000000-0005-0000-0000-0000AA940000}"/>
    <cellStyle name="Note 17 11" xfId="25288" xr:uid="{00000000-0005-0000-0000-0000AB940000}"/>
    <cellStyle name="Note 17 11 2" xfId="37899" xr:uid="{00000000-0005-0000-0000-0000AC940000}"/>
    <cellStyle name="Note 17 12" xfId="25289" xr:uid="{00000000-0005-0000-0000-0000AD940000}"/>
    <cellStyle name="Note 17 13" xfId="25290" xr:uid="{00000000-0005-0000-0000-0000AE940000}"/>
    <cellStyle name="Note 17 14" xfId="25291" xr:uid="{00000000-0005-0000-0000-0000AF940000}"/>
    <cellStyle name="Note 17 15" xfId="25292" xr:uid="{00000000-0005-0000-0000-0000B0940000}"/>
    <cellStyle name="Note 17 2" xfId="1674" xr:uid="{00000000-0005-0000-0000-0000B1940000}"/>
    <cellStyle name="Note 17 2 2" xfId="3904" xr:uid="{00000000-0005-0000-0000-0000B2940000}"/>
    <cellStyle name="Note 17 2 2 2" xfId="10468" xr:uid="{00000000-0005-0000-0000-0000B3940000}"/>
    <cellStyle name="Note 17 2 2 2 2" xfId="14089" xr:uid="{00000000-0005-0000-0000-0000B4940000}"/>
    <cellStyle name="Note 17 2 2 3" xfId="25293" xr:uid="{00000000-0005-0000-0000-0000B5940000}"/>
    <cellStyle name="Note 17 2 2 4" xfId="25294" xr:uid="{00000000-0005-0000-0000-0000B6940000}"/>
    <cellStyle name="Note 17 2 2 5" xfId="25295" xr:uid="{00000000-0005-0000-0000-0000B7940000}"/>
    <cellStyle name="Note 17 2 2 6" xfId="25296" xr:uid="{00000000-0005-0000-0000-0000B8940000}"/>
    <cellStyle name="Note 17 2 3" xfId="4866" xr:uid="{00000000-0005-0000-0000-0000B9940000}"/>
    <cellStyle name="Note 17 2 3 2" xfId="14088" xr:uid="{00000000-0005-0000-0000-0000BA940000}"/>
    <cellStyle name="Note 17 2 3 3" xfId="35834" xr:uid="{00000000-0005-0000-0000-0000BB940000}"/>
    <cellStyle name="Note 17 2 3 4" xfId="10467" xr:uid="{00000000-0005-0000-0000-0000BC940000}"/>
    <cellStyle name="Note 17 2 4" xfId="25297" xr:uid="{00000000-0005-0000-0000-0000BD940000}"/>
    <cellStyle name="Note 17 2 4 2" xfId="37900" xr:uid="{00000000-0005-0000-0000-0000BE940000}"/>
    <cellStyle name="Note 17 2 5" xfId="25298" xr:uid="{00000000-0005-0000-0000-0000BF940000}"/>
    <cellStyle name="Note 17 2 6" xfId="25299" xr:uid="{00000000-0005-0000-0000-0000C0940000}"/>
    <cellStyle name="Note 17 2 7" xfId="25300" xr:uid="{00000000-0005-0000-0000-0000C1940000}"/>
    <cellStyle name="Note 17 2 8" xfId="25301" xr:uid="{00000000-0005-0000-0000-0000C2940000}"/>
    <cellStyle name="Note 17 3" xfId="1675" xr:uid="{00000000-0005-0000-0000-0000C3940000}"/>
    <cellStyle name="Note 17 3 2" xfId="3905" xr:uid="{00000000-0005-0000-0000-0000C4940000}"/>
    <cellStyle name="Note 17 3 2 2" xfId="10470" xr:uid="{00000000-0005-0000-0000-0000C5940000}"/>
    <cellStyle name="Note 17 3 2 2 2" xfId="14091" xr:uid="{00000000-0005-0000-0000-0000C6940000}"/>
    <cellStyle name="Note 17 3 2 3" xfId="25302" xr:uid="{00000000-0005-0000-0000-0000C7940000}"/>
    <cellStyle name="Note 17 3 2 4" xfId="25303" xr:uid="{00000000-0005-0000-0000-0000C8940000}"/>
    <cellStyle name="Note 17 3 2 5" xfId="25304" xr:uid="{00000000-0005-0000-0000-0000C9940000}"/>
    <cellStyle name="Note 17 3 2 6" xfId="25305" xr:uid="{00000000-0005-0000-0000-0000CA940000}"/>
    <cellStyle name="Note 17 3 3" xfId="4867" xr:uid="{00000000-0005-0000-0000-0000CB940000}"/>
    <cellStyle name="Note 17 3 3 2" xfId="14090" xr:uid="{00000000-0005-0000-0000-0000CC940000}"/>
    <cellStyle name="Note 17 3 3 3" xfId="35835" xr:uid="{00000000-0005-0000-0000-0000CD940000}"/>
    <cellStyle name="Note 17 3 3 4" xfId="10469" xr:uid="{00000000-0005-0000-0000-0000CE940000}"/>
    <cellStyle name="Note 17 3 4" xfId="25306" xr:uid="{00000000-0005-0000-0000-0000CF940000}"/>
    <cellStyle name="Note 17 3 4 2" xfId="37901" xr:uid="{00000000-0005-0000-0000-0000D0940000}"/>
    <cellStyle name="Note 17 3 5" xfId="25307" xr:uid="{00000000-0005-0000-0000-0000D1940000}"/>
    <cellStyle name="Note 17 3 6" xfId="25308" xr:uid="{00000000-0005-0000-0000-0000D2940000}"/>
    <cellStyle name="Note 17 3 7" xfId="25309" xr:uid="{00000000-0005-0000-0000-0000D3940000}"/>
    <cellStyle name="Note 17 3 8" xfId="25310" xr:uid="{00000000-0005-0000-0000-0000D4940000}"/>
    <cellStyle name="Note 17 4" xfId="3906" xr:uid="{00000000-0005-0000-0000-0000D5940000}"/>
    <cellStyle name="Note 17 4 2" xfId="5517" xr:uid="{00000000-0005-0000-0000-0000D6940000}"/>
    <cellStyle name="Note 17 4 2 2" xfId="10472" xr:uid="{00000000-0005-0000-0000-0000D7940000}"/>
    <cellStyle name="Note 17 4 2 2 2" xfId="14093" xr:uid="{00000000-0005-0000-0000-0000D8940000}"/>
    <cellStyle name="Note 17 4 2 3" xfId="25311" xr:uid="{00000000-0005-0000-0000-0000D9940000}"/>
    <cellStyle name="Note 17 4 2 4" xfId="25312" xr:uid="{00000000-0005-0000-0000-0000DA940000}"/>
    <cellStyle name="Note 17 4 2 5" xfId="25313" xr:uid="{00000000-0005-0000-0000-0000DB940000}"/>
    <cellStyle name="Note 17 4 2 6" xfId="25314" xr:uid="{00000000-0005-0000-0000-0000DC940000}"/>
    <cellStyle name="Note 17 4 3" xfId="10471" xr:uid="{00000000-0005-0000-0000-0000DD940000}"/>
    <cellStyle name="Note 17 4 3 2" xfId="14092" xr:uid="{00000000-0005-0000-0000-0000DE940000}"/>
    <cellStyle name="Note 17 4 3 3" xfId="38514" xr:uid="{00000000-0005-0000-0000-0000DF940000}"/>
    <cellStyle name="Note 17 4 4" xfId="25315" xr:uid="{00000000-0005-0000-0000-0000E0940000}"/>
    <cellStyle name="Note 17 4 5" xfId="25316" xr:uid="{00000000-0005-0000-0000-0000E1940000}"/>
    <cellStyle name="Note 17 4 6" xfId="25317" xr:uid="{00000000-0005-0000-0000-0000E2940000}"/>
    <cellStyle name="Note 17 4 7" xfId="25318" xr:uid="{00000000-0005-0000-0000-0000E3940000}"/>
    <cellStyle name="Note 17 5" xfId="3907" xr:uid="{00000000-0005-0000-0000-0000E4940000}"/>
    <cellStyle name="Note 17 5 2" xfId="5518" xr:uid="{00000000-0005-0000-0000-0000E5940000}"/>
    <cellStyle name="Note 17 5 2 2" xfId="10474" xr:uid="{00000000-0005-0000-0000-0000E6940000}"/>
    <cellStyle name="Note 17 5 2 2 2" xfId="14095" xr:uid="{00000000-0005-0000-0000-0000E7940000}"/>
    <cellStyle name="Note 17 5 2 3" xfId="25319" xr:uid="{00000000-0005-0000-0000-0000E8940000}"/>
    <cellStyle name="Note 17 5 2 4" xfId="25320" xr:uid="{00000000-0005-0000-0000-0000E9940000}"/>
    <cellStyle name="Note 17 5 2 5" xfId="25321" xr:uid="{00000000-0005-0000-0000-0000EA940000}"/>
    <cellStyle name="Note 17 5 2 6" xfId="25322" xr:uid="{00000000-0005-0000-0000-0000EB940000}"/>
    <cellStyle name="Note 17 5 3" xfId="10473" xr:uid="{00000000-0005-0000-0000-0000EC940000}"/>
    <cellStyle name="Note 17 5 3 2" xfId="14094" xr:uid="{00000000-0005-0000-0000-0000ED940000}"/>
    <cellStyle name="Note 17 5 3 3" xfId="38515" xr:uid="{00000000-0005-0000-0000-0000EE940000}"/>
    <cellStyle name="Note 17 5 4" xfId="25323" xr:uid="{00000000-0005-0000-0000-0000EF940000}"/>
    <cellStyle name="Note 17 5 5" xfId="25324" xr:uid="{00000000-0005-0000-0000-0000F0940000}"/>
    <cellStyle name="Note 17 5 6" xfId="25325" xr:uid="{00000000-0005-0000-0000-0000F1940000}"/>
    <cellStyle name="Note 17 5 7" xfId="25326" xr:uid="{00000000-0005-0000-0000-0000F2940000}"/>
    <cellStyle name="Note 17 6" xfId="3908" xr:uid="{00000000-0005-0000-0000-0000F3940000}"/>
    <cellStyle name="Note 17 6 2" xfId="5519" xr:uid="{00000000-0005-0000-0000-0000F4940000}"/>
    <cellStyle name="Note 17 6 2 2" xfId="10476" xr:uid="{00000000-0005-0000-0000-0000F5940000}"/>
    <cellStyle name="Note 17 6 2 2 2" xfId="14097" xr:uid="{00000000-0005-0000-0000-0000F6940000}"/>
    <cellStyle name="Note 17 6 2 3" xfId="25327" xr:uid="{00000000-0005-0000-0000-0000F7940000}"/>
    <cellStyle name="Note 17 6 2 4" xfId="25328" xr:uid="{00000000-0005-0000-0000-0000F8940000}"/>
    <cellStyle name="Note 17 6 2 5" xfId="25329" xr:uid="{00000000-0005-0000-0000-0000F9940000}"/>
    <cellStyle name="Note 17 6 2 6" xfId="25330" xr:uid="{00000000-0005-0000-0000-0000FA940000}"/>
    <cellStyle name="Note 17 6 3" xfId="10475" xr:uid="{00000000-0005-0000-0000-0000FB940000}"/>
    <cellStyle name="Note 17 6 3 2" xfId="14096" xr:uid="{00000000-0005-0000-0000-0000FC940000}"/>
    <cellStyle name="Note 17 6 3 3" xfId="38516" xr:uid="{00000000-0005-0000-0000-0000FD940000}"/>
    <cellStyle name="Note 17 6 4" xfId="25331" xr:uid="{00000000-0005-0000-0000-0000FE940000}"/>
    <cellStyle name="Note 17 6 5" xfId="25332" xr:uid="{00000000-0005-0000-0000-0000FF940000}"/>
    <cellStyle name="Note 17 6 6" xfId="25333" xr:uid="{00000000-0005-0000-0000-000000950000}"/>
    <cellStyle name="Note 17 6 7" xfId="25334" xr:uid="{00000000-0005-0000-0000-000001950000}"/>
    <cellStyle name="Note 17 7" xfId="3909" xr:uid="{00000000-0005-0000-0000-000002950000}"/>
    <cellStyle name="Note 17 7 2" xfId="5520" xr:uid="{00000000-0005-0000-0000-000003950000}"/>
    <cellStyle name="Note 17 7 2 2" xfId="10478" xr:uid="{00000000-0005-0000-0000-000004950000}"/>
    <cellStyle name="Note 17 7 2 2 2" xfId="14099" xr:uid="{00000000-0005-0000-0000-000005950000}"/>
    <cellStyle name="Note 17 7 2 3" xfId="25335" xr:uid="{00000000-0005-0000-0000-000006950000}"/>
    <cellStyle name="Note 17 7 2 4" xfId="25336" xr:uid="{00000000-0005-0000-0000-000007950000}"/>
    <cellStyle name="Note 17 7 2 5" xfId="25337" xr:uid="{00000000-0005-0000-0000-000008950000}"/>
    <cellStyle name="Note 17 7 2 6" xfId="25338" xr:uid="{00000000-0005-0000-0000-000009950000}"/>
    <cellStyle name="Note 17 7 3" xfId="10477" xr:uid="{00000000-0005-0000-0000-00000A950000}"/>
    <cellStyle name="Note 17 7 3 2" xfId="14098" xr:uid="{00000000-0005-0000-0000-00000B950000}"/>
    <cellStyle name="Note 17 7 3 3" xfId="38517" xr:uid="{00000000-0005-0000-0000-00000C950000}"/>
    <cellStyle name="Note 17 7 4" xfId="25339" xr:uid="{00000000-0005-0000-0000-00000D950000}"/>
    <cellStyle name="Note 17 7 5" xfId="25340" xr:uid="{00000000-0005-0000-0000-00000E950000}"/>
    <cellStyle name="Note 17 7 6" xfId="25341" xr:uid="{00000000-0005-0000-0000-00000F950000}"/>
    <cellStyle name="Note 17 7 7" xfId="25342" xr:uid="{00000000-0005-0000-0000-000010950000}"/>
    <cellStyle name="Note 17 8" xfId="3910" xr:uid="{00000000-0005-0000-0000-000011950000}"/>
    <cellStyle name="Note 17 8 2" xfId="5521" xr:uid="{00000000-0005-0000-0000-000012950000}"/>
    <cellStyle name="Note 17 8 2 2" xfId="10480" xr:uid="{00000000-0005-0000-0000-000013950000}"/>
    <cellStyle name="Note 17 8 2 2 2" xfId="14101" xr:uid="{00000000-0005-0000-0000-000014950000}"/>
    <cellStyle name="Note 17 8 2 3" xfId="25343" xr:uid="{00000000-0005-0000-0000-000015950000}"/>
    <cellStyle name="Note 17 8 2 4" xfId="25344" xr:uid="{00000000-0005-0000-0000-000016950000}"/>
    <cellStyle name="Note 17 8 2 5" xfId="25345" xr:uid="{00000000-0005-0000-0000-000017950000}"/>
    <cellStyle name="Note 17 8 2 6" xfId="25346" xr:uid="{00000000-0005-0000-0000-000018950000}"/>
    <cellStyle name="Note 17 8 3" xfId="10479" xr:uid="{00000000-0005-0000-0000-000019950000}"/>
    <cellStyle name="Note 17 8 3 2" xfId="14100" xr:uid="{00000000-0005-0000-0000-00001A950000}"/>
    <cellStyle name="Note 17 8 3 3" xfId="38518" xr:uid="{00000000-0005-0000-0000-00001B950000}"/>
    <cellStyle name="Note 17 8 4" xfId="25347" xr:uid="{00000000-0005-0000-0000-00001C950000}"/>
    <cellStyle name="Note 17 8 5" xfId="25348" xr:uid="{00000000-0005-0000-0000-00001D950000}"/>
    <cellStyle name="Note 17 8 6" xfId="25349" xr:uid="{00000000-0005-0000-0000-00001E950000}"/>
    <cellStyle name="Note 17 8 7" xfId="25350" xr:uid="{00000000-0005-0000-0000-00001F950000}"/>
    <cellStyle name="Note 17 9" xfId="3903" xr:uid="{00000000-0005-0000-0000-000020950000}"/>
    <cellStyle name="Note 17 9 2" xfId="10481" xr:uid="{00000000-0005-0000-0000-000021950000}"/>
    <cellStyle name="Note 17 9 2 2" xfId="14102" xr:uid="{00000000-0005-0000-0000-000022950000}"/>
    <cellStyle name="Note 17 9 3" xfId="25351" xr:uid="{00000000-0005-0000-0000-000023950000}"/>
    <cellStyle name="Note 17 9 4" xfId="25352" xr:uid="{00000000-0005-0000-0000-000024950000}"/>
    <cellStyle name="Note 17 9 5" xfId="25353" xr:uid="{00000000-0005-0000-0000-000025950000}"/>
    <cellStyle name="Note 17 9 6" xfId="25354" xr:uid="{00000000-0005-0000-0000-000026950000}"/>
    <cellStyle name="Note 17_IND_UC" xfId="3911" xr:uid="{00000000-0005-0000-0000-000027950000}"/>
    <cellStyle name="Note 18" xfId="1676" xr:uid="{00000000-0005-0000-0000-000028950000}"/>
    <cellStyle name="Note 18 10" xfId="4868" xr:uid="{00000000-0005-0000-0000-000029950000}"/>
    <cellStyle name="Note 18 10 2" xfId="14103" xr:uid="{00000000-0005-0000-0000-00002A950000}"/>
    <cellStyle name="Note 18 10 3" xfId="35836" xr:uid="{00000000-0005-0000-0000-00002B950000}"/>
    <cellStyle name="Note 18 10 4" xfId="10482" xr:uid="{00000000-0005-0000-0000-00002C950000}"/>
    <cellStyle name="Note 18 11" xfId="25355" xr:uid="{00000000-0005-0000-0000-00002D950000}"/>
    <cellStyle name="Note 18 11 2" xfId="37902" xr:uid="{00000000-0005-0000-0000-00002E950000}"/>
    <cellStyle name="Note 18 12" xfId="25356" xr:uid="{00000000-0005-0000-0000-00002F950000}"/>
    <cellStyle name="Note 18 13" xfId="25357" xr:uid="{00000000-0005-0000-0000-000030950000}"/>
    <cellStyle name="Note 18 14" xfId="25358" xr:uid="{00000000-0005-0000-0000-000031950000}"/>
    <cellStyle name="Note 18 15" xfId="25359" xr:uid="{00000000-0005-0000-0000-000032950000}"/>
    <cellStyle name="Note 18 2" xfId="3913" xr:uid="{00000000-0005-0000-0000-000033950000}"/>
    <cellStyle name="Note 18 2 2" xfId="5522" xr:uid="{00000000-0005-0000-0000-000034950000}"/>
    <cellStyle name="Note 18 2 2 2" xfId="10484" xr:uid="{00000000-0005-0000-0000-000035950000}"/>
    <cellStyle name="Note 18 2 2 2 2" xfId="14105" xr:uid="{00000000-0005-0000-0000-000036950000}"/>
    <cellStyle name="Note 18 2 2 3" xfId="25360" xr:uid="{00000000-0005-0000-0000-000037950000}"/>
    <cellStyle name="Note 18 2 2 4" xfId="25361" xr:uid="{00000000-0005-0000-0000-000038950000}"/>
    <cellStyle name="Note 18 2 2 5" xfId="25362" xr:uid="{00000000-0005-0000-0000-000039950000}"/>
    <cellStyle name="Note 18 2 2 6" xfId="25363" xr:uid="{00000000-0005-0000-0000-00003A950000}"/>
    <cellStyle name="Note 18 2 3" xfId="10483" xr:uid="{00000000-0005-0000-0000-00003B950000}"/>
    <cellStyle name="Note 18 2 3 2" xfId="14104" xr:uid="{00000000-0005-0000-0000-00003C950000}"/>
    <cellStyle name="Note 18 2 3 3" xfId="38519" xr:uid="{00000000-0005-0000-0000-00003D950000}"/>
    <cellStyle name="Note 18 2 4" xfId="25364" xr:uid="{00000000-0005-0000-0000-00003E950000}"/>
    <cellStyle name="Note 18 2 5" xfId="25365" xr:uid="{00000000-0005-0000-0000-00003F950000}"/>
    <cellStyle name="Note 18 2 6" xfId="25366" xr:uid="{00000000-0005-0000-0000-000040950000}"/>
    <cellStyle name="Note 18 2 7" xfId="25367" xr:uid="{00000000-0005-0000-0000-000041950000}"/>
    <cellStyle name="Note 18 3" xfId="3914" xr:uid="{00000000-0005-0000-0000-000042950000}"/>
    <cellStyle name="Note 18 3 2" xfId="5523" xr:uid="{00000000-0005-0000-0000-000043950000}"/>
    <cellStyle name="Note 18 3 2 2" xfId="10486" xr:uid="{00000000-0005-0000-0000-000044950000}"/>
    <cellStyle name="Note 18 3 2 2 2" xfId="14107" xr:uid="{00000000-0005-0000-0000-000045950000}"/>
    <cellStyle name="Note 18 3 2 3" xfId="25368" xr:uid="{00000000-0005-0000-0000-000046950000}"/>
    <cellStyle name="Note 18 3 2 4" xfId="25369" xr:uid="{00000000-0005-0000-0000-000047950000}"/>
    <cellStyle name="Note 18 3 2 5" xfId="25370" xr:uid="{00000000-0005-0000-0000-000048950000}"/>
    <cellStyle name="Note 18 3 2 6" xfId="25371" xr:uid="{00000000-0005-0000-0000-000049950000}"/>
    <cellStyle name="Note 18 3 3" xfId="10485" xr:uid="{00000000-0005-0000-0000-00004A950000}"/>
    <cellStyle name="Note 18 3 3 2" xfId="14106" xr:uid="{00000000-0005-0000-0000-00004B950000}"/>
    <cellStyle name="Note 18 3 3 3" xfId="38520" xr:uid="{00000000-0005-0000-0000-00004C950000}"/>
    <cellStyle name="Note 18 3 4" xfId="25372" xr:uid="{00000000-0005-0000-0000-00004D950000}"/>
    <cellStyle name="Note 18 3 5" xfId="25373" xr:uid="{00000000-0005-0000-0000-00004E950000}"/>
    <cellStyle name="Note 18 3 6" xfId="25374" xr:uid="{00000000-0005-0000-0000-00004F950000}"/>
    <cellStyle name="Note 18 3 7" xfId="25375" xr:uid="{00000000-0005-0000-0000-000050950000}"/>
    <cellStyle name="Note 18 4" xfId="3915" xr:uid="{00000000-0005-0000-0000-000051950000}"/>
    <cellStyle name="Note 18 4 2" xfId="5524" xr:uid="{00000000-0005-0000-0000-000052950000}"/>
    <cellStyle name="Note 18 4 2 2" xfId="10488" xr:uid="{00000000-0005-0000-0000-000053950000}"/>
    <cellStyle name="Note 18 4 2 2 2" xfId="14109" xr:uid="{00000000-0005-0000-0000-000054950000}"/>
    <cellStyle name="Note 18 4 2 3" xfId="25376" xr:uid="{00000000-0005-0000-0000-000055950000}"/>
    <cellStyle name="Note 18 4 2 4" xfId="25377" xr:uid="{00000000-0005-0000-0000-000056950000}"/>
    <cellStyle name="Note 18 4 2 5" xfId="25378" xr:uid="{00000000-0005-0000-0000-000057950000}"/>
    <cellStyle name="Note 18 4 2 6" xfId="25379" xr:uid="{00000000-0005-0000-0000-000058950000}"/>
    <cellStyle name="Note 18 4 3" xfId="10487" xr:uid="{00000000-0005-0000-0000-000059950000}"/>
    <cellStyle name="Note 18 4 3 2" xfId="14108" xr:uid="{00000000-0005-0000-0000-00005A950000}"/>
    <cellStyle name="Note 18 4 3 3" xfId="38521" xr:uid="{00000000-0005-0000-0000-00005B950000}"/>
    <cellStyle name="Note 18 4 4" xfId="25380" xr:uid="{00000000-0005-0000-0000-00005C950000}"/>
    <cellStyle name="Note 18 4 5" xfId="25381" xr:uid="{00000000-0005-0000-0000-00005D950000}"/>
    <cellStyle name="Note 18 4 6" xfId="25382" xr:uid="{00000000-0005-0000-0000-00005E950000}"/>
    <cellStyle name="Note 18 4 7" xfId="25383" xr:uid="{00000000-0005-0000-0000-00005F950000}"/>
    <cellStyle name="Note 18 5" xfId="3916" xr:uid="{00000000-0005-0000-0000-000060950000}"/>
    <cellStyle name="Note 18 5 2" xfId="5525" xr:uid="{00000000-0005-0000-0000-000061950000}"/>
    <cellStyle name="Note 18 5 2 2" xfId="10490" xr:uid="{00000000-0005-0000-0000-000062950000}"/>
    <cellStyle name="Note 18 5 2 2 2" xfId="14111" xr:uid="{00000000-0005-0000-0000-000063950000}"/>
    <cellStyle name="Note 18 5 2 3" xfId="25384" xr:uid="{00000000-0005-0000-0000-000064950000}"/>
    <cellStyle name="Note 18 5 2 4" xfId="25385" xr:uid="{00000000-0005-0000-0000-000065950000}"/>
    <cellStyle name="Note 18 5 2 5" xfId="25386" xr:uid="{00000000-0005-0000-0000-000066950000}"/>
    <cellStyle name="Note 18 5 2 6" xfId="25387" xr:uid="{00000000-0005-0000-0000-000067950000}"/>
    <cellStyle name="Note 18 5 3" xfId="10489" xr:uid="{00000000-0005-0000-0000-000068950000}"/>
    <cellStyle name="Note 18 5 3 2" xfId="14110" xr:uid="{00000000-0005-0000-0000-000069950000}"/>
    <cellStyle name="Note 18 5 3 3" xfId="38522" xr:uid="{00000000-0005-0000-0000-00006A950000}"/>
    <cellStyle name="Note 18 5 4" xfId="25388" xr:uid="{00000000-0005-0000-0000-00006B950000}"/>
    <cellStyle name="Note 18 5 5" xfId="25389" xr:uid="{00000000-0005-0000-0000-00006C950000}"/>
    <cellStyle name="Note 18 5 6" xfId="25390" xr:uid="{00000000-0005-0000-0000-00006D950000}"/>
    <cellStyle name="Note 18 5 7" xfId="25391" xr:uid="{00000000-0005-0000-0000-00006E950000}"/>
    <cellStyle name="Note 18 6" xfId="3917" xr:uid="{00000000-0005-0000-0000-00006F950000}"/>
    <cellStyle name="Note 18 6 2" xfId="5526" xr:uid="{00000000-0005-0000-0000-000070950000}"/>
    <cellStyle name="Note 18 6 2 2" xfId="10492" xr:uid="{00000000-0005-0000-0000-000071950000}"/>
    <cellStyle name="Note 18 6 2 2 2" xfId="14113" xr:uid="{00000000-0005-0000-0000-000072950000}"/>
    <cellStyle name="Note 18 6 2 3" xfId="25392" xr:uid="{00000000-0005-0000-0000-000073950000}"/>
    <cellStyle name="Note 18 6 2 4" xfId="25393" xr:uid="{00000000-0005-0000-0000-000074950000}"/>
    <cellStyle name="Note 18 6 2 5" xfId="25394" xr:uid="{00000000-0005-0000-0000-000075950000}"/>
    <cellStyle name="Note 18 6 2 6" xfId="25395" xr:uid="{00000000-0005-0000-0000-000076950000}"/>
    <cellStyle name="Note 18 6 3" xfId="10491" xr:uid="{00000000-0005-0000-0000-000077950000}"/>
    <cellStyle name="Note 18 6 3 2" xfId="14112" xr:uid="{00000000-0005-0000-0000-000078950000}"/>
    <cellStyle name="Note 18 6 3 3" xfId="38523" xr:uid="{00000000-0005-0000-0000-000079950000}"/>
    <cellStyle name="Note 18 6 4" xfId="25396" xr:uid="{00000000-0005-0000-0000-00007A950000}"/>
    <cellStyle name="Note 18 6 5" xfId="25397" xr:uid="{00000000-0005-0000-0000-00007B950000}"/>
    <cellStyle name="Note 18 6 6" xfId="25398" xr:uid="{00000000-0005-0000-0000-00007C950000}"/>
    <cellStyle name="Note 18 6 7" xfId="25399" xr:uid="{00000000-0005-0000-0000-00007D950000}"/>
    <cellStyle name="Note 18 7" xfId="3918" xr:uid="{00000000-0005-0000-0000-00007E950000}"/>
    <cellStyle name="Note 18 7 2" xfId="5527" xr:uid="{00000000-0005-0000-0000-00007F950000}"/>
    <cellStyle name="Note 18 7 2 2" xfId="10494" xr:uid="{00000000-0005-0000-0000-000080950000}"/>
    <cellStyle name="Note 18 7 2 2 2" xfId="14115" xr:uid="{00000000-0005-0000-0000-000081950000}"/>
    <cellStyle name="Note 18 7 2 3" xfId="25400" xr:uid="{00000000-0005-0000-0000-000082950000}"/>
    <cellStyle name="Note 18 7 2 4" xfId="25401" xr:uid="{00000000-0005-0000-0000-000083950000}"/>
    <cellStyle name="Note 18 7 2 5" xfId="25402" xr:uid="{00000000-0005-0000-0000-000084950000}"/>
    <cellStyle name="Note 18 7 2 6" xfId="25403" xr:uid="{00000000-0005-0000-0000-000085950000}"/>
    <cellStyle name="Note 18 7 3" xfId="10493" xr:uid="{00000000-0005-0000-0000-000086950000}"/>
    <cellStyle name="Note 18 7 3 2" xfId="14114" xr:uid="{00000000-0005-0000-0000-000087950000}"/>
    <cellStyle name="Note 18 7 3 3" xfId="38524" xr:uid="{00000000-0005-0000-0000-000088950000}"/>
    <cellStyle name="Note 18 7 4" xfId="25404" xr:uid="{00000000-0005-0000-0000-000089950000}"/>
    <cellStyle name="Note 18 7 5" xfId="25405" xr:uid="{00000000-0005-0000-0000-00008A950000}"/>
    <cellStyle name="Note 18 7 6" xfId="25406" xr:uid="{00000000-0005-0000-0000-00008B950000}"/>
    <cellStyle name="Note 18 7 7" xfId="25407" xr:uid="{00000000-0005-0000-0000-00008C950000}"/>
    <cellStyle name="Note 18 8" xfId="3919" xr:uid="{00000000-0005-0000-0000-00008D950000}"/>
    <cellStyle name="Note 18 8 2" xfId="5528" xr:uid="{00000000-0005-0000-0000-00008E950000}"/>
    <cellStyle name="Note 18 8 2 2" xfId="10496" xr:uid="{00000000-0005-0000-0000-00008F950000}"/>
    <cellStyle name="Note 18 8 2 2 2" xfId="14117" xr:uid="{00000000-0005-0000-0000-000090950000}"/>
    <cellStyle name="Note 18 8 2 3" xfId="25408" xr:uid="{00000000-0005-0000-0000-000091950000}"/>
    <cellStyle name="Note 18 8 2 4" xfId="25409" xr:uid="{00000000-0005-0000-0000-000092950000}"/>
    <cellStyle name="Note 18 8 2 5" xfId="25410" xr:uid="{00000000-0005-0000-0000-000093950000}"/>
    <cellStyle name="Note 18 8 2 6" xfId="25411" xr:uid="{00000000-0005-0000-0000-000094950000}"/>
    <cellStyle name="Note 18 8 3" xfId="10495" xr:uid="{00000000-0005-0000-0000-000095950000}"/>
    <cellStyle name="Note 18 8 3 2" xfId="14116" xr:uid="{00000000-0005-0000-0000-000096950000}"/>
    <cellStyle name="Note 18 8 3 3" xfId="38525" xr:uid="{00000000-0005-0000-0000-000097950000}"/>
    <cellStyle name="Note 18 8 4" xfId="25412" xr:uid="{00000000-0005-0000-0000-000098950000}"/>
    <cellStyle name="Note 18 8 5" xfId="25413" xr:uid="{00000000-0005-0000-0000-000099950000}"/>
    <cellStyle name="Note 18 8 6" xfId="25414" xr:uid="{00000000-0005-0000-0000-00009A950000}"/>
    <cellStyle name="Note 18 8 7" xfId="25415" xr:uid="{00000000-0005-0000-0000-00009B950000}"/>
    <cellStyle name="Note 18 9" xfId="3912" xr:uid="{00000000-0005-0000-0000-00009C950000}"/>
    <cellStyle name="Note 18 9 2" xfId="10497" xr:uid="{00000000-0005-0000-0000-00009D950000}"/>
    <cellStyle name="Note 18 9 2 2" xfId="14118" xr:uid="{00000000-0005-0000-0000-00009E950000}"/>
    <cellStyle name="Note 18 9 3" xfId="25416" xr:uid="{00000000-0005-0000-0000-00009F950000}"/>
    <cellStyle name="Note 18 9 4" xfId="25417" xr:uid="{00000000-0005-0000-0000-0000A0950000}"/>
    <cellStyle name="Note 18 9 5" xfId="25418" xr:uid="{00000000-0005-0000-0000-0000A1950000}"/>
    <cellStyle name="Note 18 9 6" xfId="25419" xr:uid="{00000000-0005-0000-0000-0000A2950000}"/>
    <cellStyle name="Note 18_IND_UC" xfId="3920" xr:uid="{00000000-0005-0000-0000-0000A3950000}"/>
    <cellStyle name="Note 19" xfId="1677" xr:uid="{00000000-0005-0000-0000-0000A4950000}"/>
    <cellStyle name="Note 19 2" xfId="3922" xr:uid="{00000000-0005-0000-0000-0000A5950000}"/>
    <cellStyle name="Note 19 2 2" xfId="5529" xr:uid="{00000000-0005-0000-0000-0000A6950000}"/>
    <cellStyle name="Note 19 2 2 2" xfId="14120" xr:uid="{00000000-0005-0000-0000-0000A7950000}"/>
    <cellStyle name="Note 19 2 2 3" xfId="36141" xr:uid="{00000000-0005-0000-0000-0000A8950000}"/>
    <cellStyle name="Note 19 2 2 4" xfId="10499" xr:uid="{00000000-0005-0000-0000-0000A9950000}"/>
    <cellStyle name="Note 19 2 3" xfId="25420" xr:uid="{00000000-0005-0000-0000-0000AA950000}"/>
    <cellStyle name="Note 19 2 3 2" xfId="38526" xr:uid="{00000000-0005-0000-0000-0000AB950000}"/>
    <cellStyle name="Note 19 2 4" xfId="25421" xr:uid="{00000000-0005-0000-0000-0000AC950000}"/>
    <cellStyle name="Note 19 2 5" xfId="25422" xr:uid="{00000000-0005-0000-0000-0000AD950000}"/>
    <cellStyle name="Note 19 2 6" xfId="25423" xr:uid="{00000000-0005-0000-0000-0000AE950000}"/>
    <cellStyle name="Note 19 3" xfId="3921" xr:uid="{00000000-0005-0000-0000-0000AF950000}"/>
    <cellStyle name="Note 19 3 2" xfId="14119" xr:uid="{00000000-0005-0000-0000-0000B0950000}"/>
    <cellStyle name="Note 19 3 3" xfId="35455" xr:uid="{00000000-0005-0000-0000-0000B1950000}"/>
    <cellStyle name="Note 19 3 4" xfId="10498" xr:uid="{00000000-0005-0000-0000-0000B2950000}"/>
    <cellStyle name="Note 19 4" xfId="4869" xr:uid="{00000000-0005-0000-0000-0000B3950000}"/>
    <cellStyle name="Note 19 4 2" xfId="35837" xr:uid="{00000000-0005-0000-0000-0000B4950000}"/>
    <cellStyle name="Note 19 4 3" xfId="25424" xr:uid="{00000000-0005-0000-0000-0000B5950000}"/>
    <cellStyle name="Note 19 5" xfId="25425" xr:uid="{00000000-0005-0000-0000-0000B6950000}"/>
    <cellStyle name="Note 19 5 2" xfId="37903" xr:uid="{00000000-0005-0000-0000-0000B7950000}"/>
    <cellStyle name="Note 19 6" xfId="25426" xr:uid="{00000000-0005-0000-0000-0000B8950000}"/>
    <cellStyle name="Note 19 7" xfId="25427" xr:uid="{00000000-0005-0000-0000-0000B9950000}"/>
    <cellStyle name="Note 19 8" xfId="25428" xr:uid="{00000000-0005-0000-0000-0000BA950000}"/>
    <cellStyle name="Note 2" xfId="1678" xr:uid="{00000000-0005-0000-0000-0000BB950000}"/>
    <cellStyle name="Note 2 10" xfId="1679" xr:uid="{00000000-0005-0000-0000-0000BC950000}"/>
    <cellStyle name="Note 2 10 10" xfId="25429" xr:uid="{00000000-0005-0000-0000-0000BD950000}"/>
    <cellStyle name="Note 2 10 2" xfId="1680" xr:uid="{00000000-0005-0000-0000-0000BE950000}"/>
    <cellStyle name="Note 2 10 2 2" xfId="3925" xr:uid="{00000000-0005-0000-0000-0000BF950000}"/>
    <cellStyle name="Note 2 10 2 2 2" xfId="14123" xr:uid="{00000000-0005-0000-0000-0000C0950000}"/>
    <cellStyle name="Note 2 10 2 2 3" xfId="35458" xr:uid="{00000000-0005-0000-0000-0000C1950000}"/>
    <cellStyle name="Note 2 10 2 2 4" xfId="10502" xr:uid="{00000000-0005-0000-0000-0000C2950000}"/>
    <cellStyle name="Note 2 10 2 3" xfId="4872" xr:uid="{00000000-0005-0000-0000-0000C3950000}"/>
    <cellStyle name="Note 2 10 2 3 2" xfId="35840" xr:uid="{00000000-0005-0000-0000-0000C4950000}"/>
    <cellStyle name="Note 2 10 2 3 3" xfId="25430" xr:uid="{00000000-0005-0000-0000-0000C5950000}"/>
    <cellStyle name="Note 2 10 2 4" xfId="25431" xr:uid="{00000000-0005-0000-0000-0000C6950000}"/>
    <cellStyle name="Note 2 10 2 4 2" xfId="37906" xr:uid="{00000000-0005-0000-0000-0000C7950000}"/>
    <cellStyle name="Note 2 10 2 5" xfId="25432" xr:uid="{00000000-0005-0000-0000-0000C8950000}"/>
    <cellStyle name="Note 2 10 2 6" xfId="25433" xr:uid="{00000000-0005-0000-0000-0000C9950000}"/>
    <cellStyle name="Note 2 10 2 7" xfId="25434" xr:uid="{00000000-0005-0000-0000-0000CA950000}"/>
    <cellStyle name="Note 2 10 3" xfId="1681" xr:uid="{00000000-0005-0000-0000-0000CB950000}"/>
    <cellStyle name="Note 2 10 3 2" xfId="3926" xr:uid="{00000000-0005-0000-0000-0000CC950000}"/>
    <cellStyle name="Note 2 10 3 2 2" xfId="14124" xr:uid="{00000000-0005-0000-0000-0000CD950000}"/>
    <cellStyle name="Note 2 10 3 2 3" xfId="35459" xr:uid="{00000000-0005-0000-0000-0000CE950000}"/>
    <cellStyle name="Note 2 10 3 2 4" xfId="10503" xr:uid="{00000000-0005-0000-0000-0000CF950000}"/>
    <cellStyle name="Note 2 10 3 3" xfId="4873" xr:uid="{00000000-0005-0000-0000-0000D0950000}"/>
    <cellStyle name="Note 2 10 3 3 2" xfId="35841" xr:uid="{00000000-0005-0000-0000-0000D1950000}"/>
    <cellStyle name="Note 2 10 3 3 3" xfId="25435" xr:uid="{00000000-0005-0000-0000-0000D2950000}"/>
    <cellStyle name="Note 2 10 3 4" xfId="25436" xr:uid="{00000000-0005-0000-0000-0000D3950000}"/>
    <cellStyle name="Note 2 10 3 4 2" xfId="37907" xr:uid="{00000000-0005-0000-0000-0000D4950000}"/>
    <cellStyle name="Note 2 10 3 5" xfId="25437" xr:uid="{00000000-0005-0000-0000-0000D5950000}"/>
    <cellStyle name="Note 2 10 3 6" xfId="25438" xr:uid="{00000000-0005-0000-0000-0000D6950000}"/>
    <cellStyle name="Note 2 10 3 7" xfId="25439" xr:uid="{00000000-0005-0000-0000-0000D7950000}"/>
    <cellStyle name="Note 2 10 4" xfId="1682" xr:uid="{00000000-0005-0000-0000-0000D8950000}"/>
    <cellStyle name="Note 2 10 4 2" xfId="3927" xr:uid="{00000000-0005-0000-0000-0000D9950000}"/>
    <cellStyle name="Note 2 10 4 2 2" xfId="14125" xr:uid="{00000000-0005-0000-0000-0000DA950000}"/>
    <cellStyle name="Note 2 10 4 2 3" xfId="35460" xr:uid="{00000000-0005-0000-0000-0000DB950000}"/>
    <cellStyle name="Note 2 10 4 2 4" xfId="10504" xr:uid="{00000000-0005-0000-0000-0000DC950000}"/>
    <cellStyle name="Note 2 10 4 3" xfId="4874" xr:uid="{00000000-0005-0000-0000-0000DD950000}"/>
    <cellStyle name="Note 2 10 4 3 2" xfId="35842" xr:uid="{00000000-0005-0000-0000-0000DE950000}"/>
    <cellStyle name="Note 2 10 4 3 3" xfId="25440" xr:uid="{00000000-0005-0000-0000-0000DF950000}"/>
    <cellStyle name="Note 2 10 4 4" xfId="25441" xr:uid="{00000000-0005-0000-0000-0000E0950000}"/>
    <cellStyle name="Note 2 10 4 4 2" xfId="37908" xr:uid="{00000000-0005-0000-0000-0000E1950000}"/>
    <cellStyle name="Note 2 10 4 5" xfId="25442" xr:uid="{00000000-0005-0000-0000-0000E2950000}"/>
    <cellStyle name="Note 2 10 4 6" xfId="25443" xr:uid="{00000000-0005-0000-0000-0000E3950000}"/>
    <cellStyle name="Note 2 10 4 7" xfId="25444" xr:uid="{00000000-0005-0000-0000-0000E4950000}"/>
    <cellStyle name="Note 2 10 5" xfId="3924" xr:uid="{00000000-0005-0000-0000-0000E5950000}"/>
    <cellStyle name="Note 2 10 5 2" xfId="14122" xr:uid="{00000000-0005-0000-0000-0000E6950000}"/>
    <cellStyle name="Note 2 10 5 3" xfId="35457" xr:uid="{00000000-0005-0000-0000-0000E7950000}"/>
    <cellStyle name="Note 2 10 5 4" xfId="10501" xr:uid="{00000000-0005-0000-0000-0000E8950000}"/>
    <cellStyle name="Note 2 10 6" xfId="4871" xr:uid="{00000000-0005-0000-0000-0000E9950000}"/>
    <cellStyle name="Note 2 10 6 2" xfId="35839" xr:uid="{00000000-0005-0000-0000-0000EA950000}"/>
    <cellStyle name="Note 2 10 6 3" xfId="25445" xr:uid="{00000000-0005-0000-0000-0000EB950000}"/>
    <cellStyle name="Note 2 10 7" xfId="25446" xr:uid="{00000000-0005-0000-0000-0000EC950000}"/>
    <cellStyle name="Note 2 10 7 2" xfId="37905" xr:uid="{00000000-0005-0000-0000-0000ED950000}"/>
    <cellStyle name="Note 2 10 8" xfId="25447" xr:uid="{00000000-0005-0000-0000-0000EE950000}"/>
    <cellStyle name="Note 2 10 9" xfId="25448" xr:uid="{00000000-0005-0000-0000-0000EF950000}"/>
    <cellStyle name="Note 2 11" xfId="1683" xr:uid="{00000000-0005-0000-0000-0000F0950000}"/>
    <cellStyle name="Note 2 11 10" xfId="25449" xr:uid="{00000000-0005-0000-0000-0000F1950000}"/>
    <cellStyle name="Note 2 11 2" xfId="1684" xr:uid="{00000000-0005-0000-0000-0000F2950000}"/>
    <cellStyle name="Note 2 11 2 2" xfId="3929" xr:uid="{00000000-0005-0000-0000-0000F3950000}"/>
    <cellStyle name="Note 2 11 2 2 2" xfId="14127" xr:uid="{00000000-0005-0000-0000-0000F4950000}"/>
    <cellStyle name="Note 2 11 2 2 3" xfId="35462" xr:uid="{00000000-0005-0000-0000-0000F5950000}"/>
    <cellStyle name="Note 2 11 2 2 4" xfId="10506" xr:uid="{00000000-0005-0000-0000-0000F6950000}"/>
    <cellStyle name="Note 2 11 2 3" xfId="4876" xr:uid="{00000000-0005-0000-0000-0000F7950000}"/>
    <cellStyle name="Note 2 11 2 3 2" xfId="35844" xr:uid="{00000000-0005-0000-0000-0000F8950000}"/>
    <cellStyle name="Note 2 11 2 3 3" xfId="25450" xr:uid="{00000000-0005-0000-0000-0000F9950000}"/>
    <cellStyle name="Note 2 11 2 4" xfId="25451" xr:uid="{00000000-0005-0000-0000-0000FA950000}"/>
    <cellStyle name="Note 2 11 2 4 2" xfId="37910" xr:uid="{00000000-0005-0000-0000-0000FB950000}"/>
    <cellStyle name="Note 2 11 2 5" xfId="25452" xr:uid="{00000000-0005-0000-0000-0000FC950000}"/>
    <cellStyle name="Note 2 11 2 6" xfId="25453" xr:uid="{00000000-0005-0000-0000-0000FD950000}"/>
    <cellStyle name="Note 2 11 2 7" xfId="25454" xr:uid="{00000000-0005-0000-0000-0000FE950000}"/>
    <cellStyle name="Note 2 11 3" xfId="1685" xr:uid="{00000000-0005-0000-0000-0000FF950000}"/>
    <cellStyle name="Note 2 11 3 2" xfId="3930" xr:uid="{00000000-0005-0000-0000-000000960000}"/>
    <cellStyle name="Note 2 11 3 2 2" xfId="14128" xr:uid="{00000000-0005-0000-0000-000001960000}"/>
    <cellStyle name="Note 2 11 3 2 3" xfId="35463" xr:uid="{00000000-0005-0000-0000-000002960000}"/>
    <cellStyle name="Note 2 11 3 2 4" xfId="10507" xr:uid="{00000000-0005-0000-0000-000003960000}"/>
    <cellStyle name="Note 2 11 3 3" xfId="4877" xr:uid="{00000000-0005-0000-0000-000004960000}"/>
    <cellStyle name="Note 2 11 3 3 2" xfId="35845" xr:uid="{00000000-0005-0000-0000-000005960000}"/>
    <cellStyle name="Note 2 11 3 3 3" xfId="25455" xr:uid="{00000000-0005-0000-0000-000006960000}"/>
    <cellStyle name="Note 2 11 3 4" xfId="25456" xr:uid="{00000000-0005-0000-0000-000007960000}"/>
    <cellStyle name="Note 2 11 3 4 2" xfId="37911" xr:uid="{00000000-0005-0000-0000-000008960000}"/>
    <cellStyle name="Note 2 11 3 5" xfId="25457" xr:uid="{00000000-0005-0000-0000-000009960000}"/>
    <cellStyle name="Note 2 11 3 6" xfId="25458" xr:uid="{00000000-0005-0000-0000-00000A960000}"/>
    <cellStyle name="Note 2 11 3 7" xfId="25459" xr:uid="{00000000-0005-0000-0000-00000B960000}"/>
    <cellStyle name="Note 2 11 4" xfId="1686" xr:uid="{00000000-0005-0000-0000-00000C960000}"/>
    <cellStyle name="Note 2 11 4 2" xfId="3931" xr:uid="{00000000-0005-0000-0000-00000D960000}"/>
    <cellStyle name="Note 2 11 4 2 2" xfId="14129" xr:uid="{00000000-0005-0000-0000-00000E960000}"/>
    <cellStyle name="Note 2 11 4 2 3" xfId="35464" xr:uid="{00000000-0005-0000-0000-00000F960000}"/>
    <cellStyle name="Note 2 11 4 2 4" xfId="10508" xr:uid="{00000000-0005-0000-0000-000010960000}"/>
    <cellStyle name="Note 2 11 4 3" xfId="4878" xr:uid="{00000000-0005-0000-0000-000011960000}"/>
    <cellStyle name="Note 2 11 4 3 2" xfId="35846" xr:uid="{00000000-0005-0000-0000-000012960000}"/>
    <cellStyle name="Note 2 11 4 3 3" xfId="25460" xr:uid="{00000000-0005-0000-0000-000013960000}"/>
    <cellStyle name="Note 2 11 4 4" xfId="25461" xr:uid="{00000000-0005-0000-0000-000014960000}"/>
    <cellStyle name="Note 2 11 4 4 2" xfId="37912" xr:uid="{00000000-0005-0000-0000-000015960000}"/>
    <cellStyle name="Note 2 11 4 5" xfId="25462" xr:uid="{00000000-0005-0000-0000-000016960000}"/>
    <cellStyle name="Note 2 11 4 6" xfId="25463" xr:uid="{00000000-0005-0000-0000-000017960000}"/>
    <cellStyle name="Note 2 11 4 7" xfId="25464" xr:uid="{00000000-0005-0000-0000-000018960000}"/>
    <cellStyle name="Note 2 11 5" xfId="3928" xr:uid="{00000000-0005-0000-0000-000019960000}"/>
    <cellStyle name="Note 2 11 5 2" xfId="14126" xr:uid="{00000000-0005-0000-0000-00001A960000}"/>
    <cellStyle name="Note 2 11 5 3" xfId="35461" xr:uid="{00000000-0005-0000-0000-00001B960000}"/>
    <cellStyle name="Note 2 11 5 4" xfId="10505" xr:uid="{00000000-0005-0000-0000-00001C960000}"/>
    <cellStyle name="Note 2 11 6" xfId="4875" xr:uid="{00000000-0005-0000-0000-00001D960000}"/>
    <cellStyle name="Note 2 11 6 2" xfId="35843" xr:uid="{00000000-0005-0000-0000-00001E960000}"/>
    <cellStyle name="Note 2 11 6 3" xfId="25465" xr:uid="{00000000-0005-0000-0000-00001F960000}"/>
    <cellStyle name="Note 2 11 7" xfId="25466" xr:uid="{00000000-0005-0000-0000-000020960000}"/>
    <cellStyle name="Note 2 11 7 2" xfId="37909" xr:uid="{00000000-0005-0000-0000-000021960000}"/>
    <cellStyle name="Note 2 11 8" xfId="25467" xr:uid="{00000000-0005-0000-0000-000022960000}"/>
    <cellStyle name="Note 2 11 9" xfId="25468" xr:uid="{00000000-0005-0000-0000-000023960000}"/>
    <cellStyle name="Note 2 12" xfId="1687" xr:uid="{00000000-0005-0000-0000-000024960000}"/>
    <cellStyle name="Note 2 12 10" xfId="25469" xr:uid="{00000000-0005-0000-0000-000025960000}"/>
    <cellStyle name="Note 2 12 2" xfId="1688" xr:uid="{00000000-0005-0000-0000-000026960000}"/>
    <cellStyle name="Note 2 12 2 2" xfId="3933" xr:uid="{00000000-0005-0000-0000-000027960000}"/>
    <cellStyle name="Note 2 12 2 2 2" xfId="14131" xr:uid="{00000000-0005-0000-0000-000028960000}"/>
    <cellStyle name="Note 2 12 2 2 3" xfId="35466" xr:uid="{00000000-0005-0000-0000-000029960000}"/>
    <cellStyle name="Note 2 12 2 2 4" xfId="10510" xr:uid="{00000000-0005-0000-0000-00002A960000}"/>
    <cellStyle name="Note 2 12 2 3" xfId="4880" xr:uid="{00000000-0005-0000-0000-00002B960000}"/>
    <cellStyle name="Note 2 12 2 3 2" xfId="35848" xr:uid="{00000000-0005-0000-0000-00002C960000}"/>
    <cellStyle name="Note 2 12 2 3 3" xfId="25470" xr:uid="{00000000-0005-0000-0000-00002D960000}"/>
    <cellStyle name="Note 2 12 2 4" xfId="25471" xr:uid="{00000000-0005-0000-0000-00002E960000}"/>
    <cellStyle name="Note 2 12 2 4 2" xfId="37914" xr:uid="{00000000-0005-0000-0000-00002F960000}"/>
    <cellStyle name="Note 2 12 2 5" xfId="25472" xr:uid="{00000000-0005-0000-0000-000030960000}"/>
    <cellStyle name="Note 2 12 2 6" xfId="25473" xr:uid="{00000000-0005-0000-0000-000031960000}"/>
    <cellStyle name="Note 2 12 2 7" xfId="25474" xr:uid="{00000000-0005-0000-0000-000032960000}"/>
    <cellStyle name="Note 2 12 3" xfId="1689" xr:uid="{00000000-0005-0000-0000-000033960000}"/>
    <cellStyle name="Note 2 12 3 2" xfId="3934" xr:uid="{00000000-0005-0000-0000-000034960000}"/>
    <cellStyle name="Note 2 12 3 2 2" xfId="14132" xr:uid="{00000000-0005-0000-0000-000035960000}"/>
    <cellStyle name="Note 2 12 3 2 3" xfId="35467" xr:uid="{00000000-0005-0000-0000-000036960000}"/>
    <cellStyle name="Note 2 12 3 2 4" xfId="10511" xr:uid="{00000000-0005-0000-0000-000037960000}"/>
    <cellStyle name="Note 2 12 3 3" xfId="4881" xr:uid="{00000000-0005-0000-0000-000038960000}"/>
    <cellStyle name="Note 2 12 3 3 2" xfId="35849" xr:uid="{00000000-0005-0000-0000-000039960000}"/>
    <cellStyle name="Note 2 12 3 3 3" xfId="25475" xr:uid="{00000000-0005-0000-0000-00003A960000}"/>
    <cellStyle name="Note 2 12 3 4" xfId="25476" xr:uid="{00000000-0005-0000-0000-00003B960000}"/>
    <cellStyle name="Note 2 12 3 4 2" xfId="37915" xr:uid="{00000000-0005-0000-0000-00003C960000}"/>
    <cellStyle name="Note 2 12 3 5" xfId="25477" xr:uid="{00000000-0005-0000-0000-00003D960000}"/>
    <cellStyle name="Note 2 12 3 6" xfId="25478" xr:uid="{00000000-0005-0000-0000-00003E960000}"/>
    <cellStyle name="Note 2 12 3 7" xfId="25479" xr:uid="{00000000-0005-0000-0000-00003F960000}"/>
    <cellStyle name="Note 2 12 4" xfId="1690" xr:uid="{00000000-0005-0000-0000-000040960000}"/>
    <cellStyle name="Note 2 12 4 2" xfId="3935" xr:uid="{00000000-0005-0000-0000-000041960000}"/>
    <cellStyle name="Note 2 12 4 2 2" xfId="14133" xr:uid="{00000000-0005-0000-0000-000042960000}"/>
    <cellStyle name="Note 2 12 4 2 3" xfId="35468" xr:uid="{00000000-0005-0000-0000-000043960000}"/>
    <cellStyle name="Note 2 12 4 2 4" xfId="10512" xr:uid="{00000000-0005-0000-0000-000044960000}"/>
    <cellStyle name="Note 2 12 4 3" xfId="4882" xr:uid="{00000000-0005-0000-0000-000045960000}"/>
    <cellStyle name="Note 2 12 4 3 2" xfId="35850" xr:uid="{00000000-0005-0000-0000-000046960000}"/>
    <cellStyle name="Note 2 12 4 3 3" xfId="25480" xr:uid="{00000000-0005-0000-0000-000047960000}"/>
    <cellStyle name="Note 2 12 4 4" xfId="25481" xr:uid="{00000000-0005-0000-0000-000048960000}"/>
    <cellStyle name="Note 2 12 4 4 2" xfId="37916" xr:uid="{00000000-0005-0000-0000-000049960000}"/>
    <cellStyle name="Note 2 12 4 5" xfId="25482" xr:uid="{00000000-0005-0000-0000-00004A960000}"/>
    <cellStyle name="Note 2 12 4 6" xfId="25483" xr:uid="{00000000-0005-0000-0000-00004B960000}"/>
    <cellStyle name="Note 2 12 4 7" xfId="25484" xr:uid="{00000000-0005-0000-0000-00004C960000}"/>
    <cellStyle name="Note 2 12 5" xfId="3932" xr:uid="{00000000-0005-0000-0000-00004D960000}"/>
    <cellStyle name="Note 2 12 5 2" xfId="14130" xr:uid="{00000000-0005-0000-0000-00004E960000}"/>
    <cellStyle name="Note 2 12 5 3" xfId="35465" xr:uid="{00000000-0005-0000-0000-00004F960000}"/>
    <cellStyle name="Note 2 12 5 4" xfId="10509" xr:uid="{00000000-0005-0000-0000-000050960000}"/>
    <cellStyle name="Note 2 12 6" xfId="4879" xr:uid="{00000000-0005-0000-0000-000051960000}"/>
    <cellStyle name="Note 2 12 6 2" xfId="35847" xr:uid="{00000000-0005-0000-0000-000052960000}"/>
    <cellStyle name="Note 2 12 6 3" xfId="25485" xr:uid="{00000000-0005-0000-0000-000053960000}"/>
    <cellStyle name="Note 2 12 7" xfId="25486" xr:uid="{00000000-0005-0000-0000-000054960000}"/>
    <cellStyle name="Note 2 12 7 2" xfId="37913" xr:uid="{00000000-0005-0000-0000-000055960000}"/>
    <cellStyle name="Note 2 12 8" xfId="25487" xr:uid="{00000000-0005-0000-0000-000056960000}"/>
    <cellStyle name="Note 2 12 9" xfId="25488" xr:uid="{00000000-0005-0000-0000-000057960000}"/>
    <cellStyle name="Note 2 13" xfId="1691" xr:uid="{00000000-0005-0000-0000-000058960000}"/>
    <cellStyle name="Note 2 13 10" xfId="25489" xr:uid="{00000000-0005-0000-0000-000059960000}"/>
    <cellStyle name="Note 2 13 2" xfId="1692" xr:uid="{00000000-0005-0000-0000-00005A960000}"/>
    <cellStyle name="Note 2 13 2 2" xfId="3937" xr:uid="{00000000-0005-0000-0000-00005B960000}"/>
    <cellStyle name="Note 2 13 2 2 2" xfId="14135" xr:uid="{00000000-0005-0000-0000-00005C960000}"/>
    <cellStyle name="Note 2 13 2 2 3" xfId="35470" xr:uid="{00000000-0005-0000-0000-00005D960000}"/>
    <cellStyle name="Note 2 13 2 2 4" xfId="10514" xr:uid="{00000000-0005-0000-0000-00005E960000}"/>
    <cellStyle name="Note 2 13 2 3" xfId="4884" xr:uid="{00000000-0005-0000-0000-00005F960000}"/>
    <cellStyle name="Note 2 13 2 3 2" xfId="35852" xr:uid="{00000000-0005-0000-0000-000060960000}"/>
    <cellStyle name="Note 2 13 2 3 3" xfId="25490" xr:uid="{00000000-0005-0000-0000-000061960000}"/>
    <cellStyle name="Note 2 13 2 4" xfId="25491" xr:uid="{00000000-0005-0000-0000-000062960000}"/>
    <cellStyle name="Note 2 13 2 4 2" xfId="37918" xr:uid="{00000000-0005-0000-0000-000063960000}"/>
    <cellStyle name="Note 2 13 2 5" xfId="25492" xr:uid="{00000000-0005-0000-0000-000064960000}"/>
    <cellStyle name="Note 2 13 2 6" xfId="25493" xr:uid="{00000000-0005-0000-0000-000065960000}"/>
    <cellStyle name="Note 2 13 2 7" xfId="25494" xr:uid="{00000000-0005-0000-0000-000066960000}"/>
    <cellStyle name="Note 2 13 3" xfId="1693" xr:uid="{00000000-0005-0000-0000-000067960000}"/>
    <cellStyle name="Note 2 13 3 2" xfId="3938" xr:uid="{00000000-0005-0000-0000-000068960000}"/>
    <cellStyle name="Note 2 13 3 2 2" xfId="14136" xr:uid="{00000000-0005-0000-0000-000069960000}"/>
    <cellStyle name="Note 2 13 3 2 3" xfId="35471" xr:uid="{00000000-0005-0000-0000-00006A960000}"/>
    <cellStyle name="Note 2 13 3 2 4" xfId="10515" xr:uid="{00000000-0005-0000-0000-00006B960000}"/>
    <cellStyle name="Note 2 13 3 3" xfId="4885" xr:uid="{00000000-0005-0000-0000-00006C960000}"/>
    <cellStyle name="Note 2 13 3 3 2" xfId="35853" xr:uid="{00000000-0005-0000-0000-00006D960000}"/>
    <cellStyle name="Note 2 13 3 3 3" xfId="25495" xr:uid="{00000000-0005-0000-0000-00006E960000}"/>
    <cellStyle name="Note 2 13 3 4" xfId="25496" xr:uid="{00000000-0005-0000-0000-00006F960000}"/>
    <cellStyle name="Note 2 13 3 4 2" xfId="37919" xr:uid="{00000000-0005-0000-0000-000070960000}"/>
    <cellStyle name="Note 2 13 3 5" xfId="25497" xr:uid="{00000000-0005-0000-0000-000071960000}"/>
    <cellStyle name="Note 2 13 3 6" xfId="25498" xr:uid="{00000000-0005-0000-0000-000072960000}"/>
    <cellStyle name="Note 2 13 3 7" xfId="25499" xr:uid="{00000000-0005-0000-0000-000073960000}"/>
    <cellStyle name="Note 2 13 4" xfId="1694" xr:uid="{00000000-0005-0000-0000-000074960000}"/>
    <cellStyle name="Note 2 13 4 2" xfId="3939" xr:uid="{00000000-0005-0000-0000-000075960000}"/>
    <cellStyle name="Note 2 13 4 2 2" xfId="14137" xr:uid="{00000000-0005-0000-0000-000076960000}"/>
    <cellStyle name="Note 2 13 4 2 3" xfId="35472" xr:uid="{00000000-0005-0000-0000-000077960000}"/>
    <cellStyle name="Note 2 13 4 2 4" xfId="10516" xr:uid="{00000000-0005-0000-0000-000078960000}"/>
    <cellStyle name="Note 2 13 4 3" xfId="4886" xr:uid="{00000000-0005-0000-0000-000079960000}"/>
    <cellStyle name="Note 2 13 4 3 2" xfId="35854" xr:uid="{00000000-0005-0000-0000-00007A960000}"/>
    <cellStyle name="Note 2 13 4 3 3" xfId="25500" xr:uid="{00000000-0005-0000-0000-00007B960000}"/>
    <cellStyle name="Note 2 13 4 4" xfId="25501" xr:uid="{00000000-0005-0000-0000-00007C960000}"/>
    <cellStyle name="Note 2 13 4 4 2" xfId="37920" xr:uid="{00000000-0005-0000-0000-00007D960000}"/>
    <cellStyle name="Note 2 13 4 5" xfId="25502" xr:uid="{00000000-0005-0000-0000-00007E960000}"/>
    <cellStyle name="Note 2 13 4 6" xfId="25503" xr:uid="{00000000-0005-0000-0000-00007F960000}"/>
    <cellStyle name="Note 2 13 4 7" xfId="25504" xr:uid="{00000000-0005-0000-0000-000080960000}"/>
    <cellStyle name="Note 2 13 5" xfId="3936" xr:uid="{00000000-0005-0000-0000-000081960000}"/>
    <cellStyle name="Note 2 13 5 2" xfId="14134" xr:uid="{00000000-0005-0000-0000-000082960000}"/>
    <cellStyle name="Note 2 13 5 3" xfId="35469" xr:uid="{00000000-0005-0000-0000-000083960000}"/>
    <cellStyle name="Note 2 13 5 4" xfId="10513" xr:uid="{00000000-0005-0000-0000-000084960000}"/>
    <cellStyle name="Note 2 13 6" xfId="4883" xr:uid="{00000000-0005-0000-0000-000085960000}"/>
    <cellStyle name="Note 2 13 6 2" xfId="35851" xr:uid="{00000000-0005-0000-0000-000086960000}"/>
    <cellStyle name="Note 2 13 6 3" xfId="25505" xr:uid="{00000000-0005-0000-0000-000087960000}"/>
    <cellStyle name="Note 2 13 7" xfId="25506" xr:uid="{00000000-0005-0000-0000-000088960000}"/>
    <cellStyle name="Note 2 13 7 2" xfId="37917" xr:uid="{00000000-0005-0000-0000-000089960000}"/>
    <cellStyle name="Note 2 13 8" xfId="25507" xr:uid="{00000000-0005-0000-0000-00008A960000}"/>
    <cellStyle name="Note 2 13 9" xfId="25508" xr:uid="{00000000-0005-0000-0000-00008B960000}"/>
    <cellStyle name="Note 2 14" xfId="1695" xr:uid="{00000000-0005-0000-0000-00008C960000}"/>
    <cellStyle name="Note 2 14 10" xfId="25509" xr:uid="{00000000-0005-0000-0000-00008D960000}"/>
    <cellStyle name="Note 2 14 2" xfId="1696" xr:uid="{00000000-0005-0000-0000-00008E960000}"/>
    <cellStyle name="Note 2 14 2 2" xfId="3941" xr:uid="{00000000-0005-0000-0000-00008F960000}"/>
    <cellStyle name="Note 2 14 2 2 2" xfId="14139" xr:uid="{00000000-0005-0000-0000-000090960000}"/>
    <cellStyle name="Note 2 14 2 2 3" xfId="35474" xr:uid="{00000000-0005-0000-0000-000091960000}"/>
    <cellStyle name="Note 2 14 2 2 4" xfId="10518" xr:uid="{00000000-0005-0000-0000-000092960000}"/>
    <cellStyle name="Note 2 14 2 3" xfId="4888" xr:uid="{00000000-0005-0000-0000-000093960000}"/>
    <cellStyle name="Note 2 14 2 3 2" xfId="35856" xr:uid="{00000000-0005-0000-0000-000094960000}"/>
    <cellStyle name="Note 2 14 2 3 3" xfId="25510" xr:uid="{00000000-0005-0000-0000-000095960000}"/>
    <cellStyle name="Note 2 14 2 4" xfId="25511" xr:uid="{00000000-0005-0000-0000-000096960000}"/>
    <cellStyle name="Note 2 14 2 4 2" xfId="37922" xr:uid="{00000000-0005-0000-0000-000097960000}"/>
    <cellStyle name="Note 2 14 2 5" xfId="25512" xr:uid="{00000000-0005-0000-0000-000098960000}"/>
    <cellStyle name="Note 2 14 2 6" xfId="25513" xr:uid="{00000000-0005-0000-0000-000099960000}"/>
    <cellStyle name="Note 2 14 2 7" xfId="25514" xr:uid="{00000000-0005-0000-0000-00009A960000}"/>
    <cellStyle name="Note 2 14 3" xfId="1697" xr:uid="{00000000-0005-0000-0000-00009B960000}"/>
    <cellStyle name="Note 2 14 3 2" xfId="3942" xr:uid="{00000000-0005-0000-0000-00009C960000}"/>
    <cellStyle name="Note 2 14 3 2 2" xfId="14140" xr:uid="{00000000-0005-0000-0000-00009D960000}"/>
    <cellStyle name="Note 2 14 3 2 3" xfId="35475" xr:uid="{00000000-0005-0000-0000-00009E960000}"/>
    <cellStyle name="Note 2 14 3 2 4" xfId="10519" xr:uid="{00000000-0005-0000-0000-00009F960000}"/>
    <cellStyle name="Note 2 14 3 3" xfId="4889" xr:uid="{00000000-0005-0000-0000-0000A0960000}"/>
    <cellStyle name="Note 2 14 3 3 2" xfId="35857" xr:uid="{00000000-0005-0000-0000-0000A1960000}"/>
    <cellStyle name="Note 2 14 3 3 3" xfId="25515" xr:uid="{00000000-0005-0000-0000-0000A2960000}"/>
    <cellStyle name="Note 2 14 3 4" xfId="25516" xr:uid="{00000000-0005-0000-0000-0000A3960000}"/>
    <cellStyle name="Note 2 14 3 4 2" xfId="37923" xr:uid="{00000000-0005-0000-0000-0000A4960000}"/>
    <cellStyle name="Note 2 14 3 5" xfId="25517" xr:uid="{00000000-0005-0000-0000-0000A5960000}"/>
    <cellStyle name="Note 2 14 3 6" xfId="25518" xr:uid="{00000000-0005-0000-0000-0000A6960000}"/>
    <cellStyle name="Note 2 14 3 7" xfId="25519" xr:uid="{00000000-0005-0000-0000-0000A7960000}"/>
    <cellStyle name="Note 2 14 4" xfId="1698" xr:uid="{00000000-0005-0000-0000-0000A8960000}"/>
    <cellStyle name="Note 2 14 4 2" xfId="3943" xr:uid="{00000000-0005-0000-0000-0000A9960000}"/>
    <cellStyle name="Note 2 14 4 2 2" xfId="14141" xr:uid="{00000000-0005-0000-0000-0000AA960000}"/>
    <cellStyle name="Note 2 14 4 2 3" xfId="35476" xr:uid="{00000000-0005-0000-0000-0000AB960000}"/>
    <cellStyle name="Note 2 14 4 2 4" xfId="10520" xr:uid="{00000000-0005-0000-0000-0000AC960000}"/>
    <cellStyle name="Note 2 14 4 3" xfId="4890" xr:uid="{00000000-0005-0000-0000-0000AD960000}"/>
    <cellStyle name="Note 2 14 4 3 2" xfId="35858" xr:uid="{00000000-0005-0000-0000-0000AE960000}"/>
    <cellStyle name="Note 2 14 4 3 3" xfId="25520" xr:uid="{00000000-0005-0000-0000-0000AF960000}"/>
    <cellStyle name="Note 2 14 4 4" xfId="25521" xr:uid="{00000000-0005-0000-0000-0000B0960000}"/>
    <cellStyle name="Note 2 14 4 4 2" xfId="37924" xr:uid="{00000000-0005-0000-0000-0000B1960000}"/>
    <cellStyle name="Note 2 14 4 5" xfId="25522" xr:uid="{00000000-0005-0000-0000-0000B2960000}"/>
    <cellStyle name="Note 2 14 4 6" xfId="25523" xr:uid="{00000000-0005-0000-0000-0000B3960000}"/>
    <cellStyle name="Note 2 14 4 7" xfId="25524" xr:uid="{00000000-0005-0000-0000-0000B4960000}"/>
    <cellStyle name="Note 2 14 5" xfId="3940" xr:uid="{00000000-0005-0000-0000-0000B5960000}"/>
    <cellStyle name="Note 2 14 5 2" xfId="14138" xr:uid="{00000000-0005-0000-0000-0000B6960000}"/>
    <cellStyle name="Note 2 14 5 3" xfId="35473" xr:uid="{00000000-0005-0000-0000-0000B7960000}"/>
    <cellStyle name="Note 2 14 5 4" xfId="10517" xr:uid="{00000000-0005-0000-0000-0000B8960000}"/>
    <cellStyle name="Note 2 14 6" xfId="4887" xr:uid="{00000000-0005-0000-0000-0000B9960000}"/>
    <cellStyle name="Note 2 14 6 2" xfId="35855" xr:uid="{00000000-0005-0000-0000-0000BA960000}"/>
    <cellStyle name="Note 2 14 6 3" xfId="25525" xr:uid="{00000000-0005-0000-0000-0000BB960000}"/>
    <cellStyle name="Note 2 14 7" xfId="25526" xr:uid="{00000000-0005-0000-0000-0000BC960000}"/>
    <cellStyle name="Note 2 14 7 2" xfId="37921" xr:uid="{00000000-0005-0000-0000-0000BD960000}"/>
    <cellStyle name="Note 2 14 8" xfId="25527" xr:uid="{00000000-0005-0000-0000-0000BE960000}"/>
    <cellStyle name="Note 2 14 9" xfId="25528" xr:uid="{00000000-0005-0000-0000-0000BF960000}"/>
    <cellStyle name="Note 2 15" xfId="1699" xr:uid="{00000000-0005-0000-0000-0000C0960000}"/>
    <cellStyle name="Note 2 15 10" xfId="25529" xr:uid="{00000000-0005-0000-0000-0000C1960000}"/>
    <cellStyle name="Note 2 15 2" xfId="1700" xr:uid="{00000000-0005-0000-0000-0000C2960000}"/>
    <cellStyle name="Note 2 15 2 2" xfId="3945" xr:uid="{00000000-0005-0000-0000-0000C3960000}"/>
    <cellStyle name="Note 2 15 2 2 2" xfId="14143" xr:uid="{00000000-0005-0000-0000-0000C4960000}"/>
    <cellStyle name="Note 2 15 2 2 3" xfId="35478" xr:uid="{00000000-0005-0000-0000-0000C5960000}"/>
    <cellStyle name="Note 2 15 2 2 4" xfId="10522" xr:uid="{00000000-0005-0000-0000-0000C6960000}"/>
    <cellStyle name="Note 2 15 2 3" xfId="4892" xr:uid="{00000000-0005-0000-0000-0000C7960000}"/>
    <cellStyle name="Note 2 15 2 3 2" xfId="35860" xr:uid="{00000000-0005-0000-0000-0000C8960000}"/>
    <cellStyle name="Note 2 15 2 3 3" xfId="25530" xr:uid="{00000000-0005-0000-0000-0000C9960000}"/>
    <cellStyle name="Note 2 15 2 4" xfId="25531" xr:uid="{00000000-0005-0000-0000-0000CA960000}"/>
    <cellStyle name="Note 2 15 2 4 2" xfId="37926" xr:uid="{00000000-0005-0000-0000-0000CB960000}"/>
    <cellStyle name="Note 2 15 2 5" xfId="25532" xr:uid="{00000000-0005-0000-0000-0000CC960000}"/>
    <cellStyle name="Note 2 15 2 6" xfId="25533" xr:uid="{00000000-0005-0000-0000-0000CD960000}"/>
    <cellStyle name="Note 2 15 2 7" xfId="25534" xr:uid="{00000000-0005-0000-0000-0000CE960000}"/>
    <cellStyle name="Note 2 15 3" xfId="1701" xr:uid="{00000000-0005-0000-0000-0000CF960000}"/>
    <cellStyle name="Note 2 15 3 2" xfId="3946" xr:uid="{00000000-0005-0000-0000-0000D0960000}"/>
    <cellStyle name="Note 2 15 3 2 2" xfId="14144" xr:uid="{00000000-0005-0000-0000-0000D1960000}"/>
    <cellStyle name="Note 2 15 3 2 3" xfId="35479" xr:uid="{00000000-0005-0000-0000-0000D2960000}"/>
    <cellStyle name="Note 2 15 3 2 4" xfId="10523" xr:uid="{00000000-0005-0000-0000-0000D3960000}"/>
    <cellStyle name="Note 2 15 3 3" xfId="4893" xr:uid="{00000000-0005-0000-0000-0000D4960000}"/>
    <cellStyle name="Note 2 15 3 3 2" xfId="35861" xr:uid="{00000000-0005-0000-0000-0000D5960000}"/>
    <cellStyle name="Note 2 15 3 3 3" xfId="25535" xr:uid="{00000000-0005-0000-0000-0000D6960000}"/>
    <cellStyle name="Note 2 15 3 4" xfId="25536" xr:uid="{00000000-0005-0000-0000-0000D7960000}"/>
    <cellStyle name="Note 2 15 3 4 2" xfId="37927" xr:uid="{00000000-0005-0000-0000-0000D8960000}"/>
    <cellStyle name="Note 2 15 3 5" xfId="25537" xr:uid="{00000000-0005-0000-0000-0000D9960000}"/>
    <cellStyle name="Note 2 15 3 6" xfId="25538" xr:uid="{00000000-0005-0000-0000-0000DA960000}"/>
    <cellStyle name="Note 2 15 3 7" xfId="25539" xr:uid="{00000000-0005-0000-0000-0000DB960000}"/>
    <cellStyle name="Note 2 15 4" xfId="1702" xr:uid="{00000000-0005-0000-0000-0000DC960000}"/>
    <cellStyle name="Note 2 15 4 2" xfId="3947" xr:uid="{00000000-0005-0000-0000-0000DD960000}"/>
    <cellStyle name="Note 2 15 4 2 2" xfId="14145" xr:uid="{00000000-0005-0000-0000-0000DE960000}"/>
    <cellStyle name="Note 2 15 4 2 3" xfId="35480" xr:uid="{00000000-0005-0000-0000-0000DF960000}"/>
    <cellStyle name="Note 2 15 4 2 4" xfId="10524" xr:uid="{00000000-0005-0000-0000-0000E0960000}"/>
    <cellStyle name="Note 2 15 4 3" xfId="4894" xr:uid="{00000000-0005-0000-0000-0000E1960000}"/>
    <cellStyle name="Note 2 15 4 3 2" xfId="35862" xr:uid="{00000000-0005-0000-0000-0000E2960000}"/>
    <cellStyle name="Note 2 15 4 3 3" xfId="25540" xr:uid="{00000000-0005-0000-0000-0000E3960000}"/>
    <cellStyle name="Note 2 15 4 4" xfId="25541" xr:uid="{00000000-0005-0000-0000-0000E4960000}"/>
    <cellStyle name="Note 2 15 4 4 2" xfId="37928" xr:uid="{00000000-0005-0000-0000-0000E5960000}"/>
    <cellStyle name="Note 2 15 4 5" xfId="25542" xr:uid="{00000000-0005-0000-0000-0000E6960000}"/>
    <cellStyle name="Note 2 15 4 6" xfId="25543" xr:uid="{00000000-0005-0000-0000-0000E7960000}"/>
    <cellStyle name="Note 2 15 4 7" xfId="25544" xr:uid="{00000000-0005-0000-0000-0000E8960000}"/>
    <cellStyle name="Note 2 15 5" xfId="3944" xr:uid="{00000000-0005-0000-0000-0000E9960000}"/>
    <cellStyle name="Note 2 15 5 2" xfId="14142" xr:uid="{00000000-0005-0000-0000-0000EA960000}"/>
    <cellStyle name="Note 2 15 5 3" xfId="35477" xr:uid="{00000000-0005-0000-0000-0000EB960000}"/>
    <cellStyle name="Note 2 15 5 4" xfId="10521" xr:uid="{00000000-0005-0000-0000-0000EC960000}"/>
    <cellStyle name="Note 2 15 6" xfId="4891" xr:uid="{00000000-0005-0000-0000-0000ED960000}"/>
    <cellStyle name="Note 2 15 6 2" xfId="35859" xr:uid="{00000000-0005-0000-0000-0000EE960000}"/>
    <cellStyle name="Note 2 15 6 3" xfId="25545" xr:uid="{00000000-0005-0000-0000-0000EF960000}"/>
    <cellStyle name="Note 2 15 7" xfId="25546" xr:uid="{00000000-0005-0000-0000-0000F0960000}"/>
    <cellStyle name="Note 2 15 7 2" xfId="37925" xr:uid="{00000000-0005-0000-0000-0000F1960000}"/>
    <cellStyle name="Note 2 15 8" xfId="25547" xr:uid="{00000000-0005-0000-0000-0000F2960000}"/>
    <cellStyle name="Note 2 15 9" xfId="25548" xr:uid="{00000000-0005-0000-0000-0000F3960000}"/>
    <cellStyle name="Note 2 16" xfId="1703" xr:uid="{00000000-0005-0000-0000-0000F4960000}"/>
    <cellStyle name="Note 2 16 10" xfId="4895" xr:uid="{00000000-0005-0000-0000-0000F5960000}"/>
    <cellStyle name="Note 2 16 10 2" xfId="14146" xr:uid="{00000000-0005-0000-0000-0000F6960000}"/>
    <cellStyle name="Note 2 16 10 3" xfId="35863" xr:uid="{00000000-0005-0000-0000-0000F7960000}"/>
    <cellStyle name="Note 2 16 10 4" xfId="10525" xr:uid="{00000000-0005-0000-0000-0000F8960000}"/>
    <cellStyle name="Note 2 16 11" xfId="25549" xr:uid="{00000000-0005-0000-0000-0000F9960000}"/>
    <cellStyle name="Note 2 16 11 2" xfId="37929" xr:uid="{00000000-0005-0000-0000-0000FA960000}"/>
    <cellStyle name="Note 2 16 12" xfId="25550" xr:uid="{00000000-0005-0000-0000-0000FB960000}"/>
    <cellStyle name="Note 2 16 13" xfId="25551" xr:uid="{00000000-0005-0000-0000-0000FC960000}"/>
    <cellStyle name="Note 2 16 14" xfId="25552" xr:uid="{00000000-0005-0000-0000-0000FD960000}"/>
    <cellStyle name="Note 2 16 15" xfId="25553" xr:uid="{00000000-0005-0000-0000-0000FE960000}"/>
    <cellStyle name="Note 2 16 2" xfId="1704" xr:uid="{00000000-0005-0000-0000-0000FF960000}"/>
    <cellStyle name="Note 2 16 2 10" xfId="25554" xr:uid="{00000000-0005-0000-0000-000000970000}"/>
    <cellStyle name="Note 2 16 2 2" xfId="3950" xr:uid="{00000000-0005-0000-0000-000001970000}"/>
    <cellStyle name="Note 2 16 2 2 2" xfId="5530" xr:uid="{00000000-0005-0000-0000-000002970000}"/>
    <cellStyle name="Note 2 16 2 2 2 2" xfId="10528" xr:uid="{00000000-0005-0000-0000-000003970000}"/>
    <cellStyle name="Note 2 16 2 2 2 2 2" xfId="14149" xr:uid="{00000000-0005-0000-0000-000004970000}"/>
    <cellStyle name="Note 2 16 2 2 2 3" xfId="25555" xr:uid="{00000000-0005-0000-0000-000005970000}"/>
    <cellStyle name="Note 2 16 2 2 2 4" xfId="25556" xr:uid="{00000000-0005-0000-0000-000006970000}"/>
    <cellStyle name="Note 2 16 2 2 2 5" xfId="25557" xr:uid="{00000000-0005-0000-0000-000007970000}"/>
    <cellStyle name="Note 2 16 2 2 2 6" xfId="25558" xr:uid="{00000000-0005-0000-0000-000008970000}"/>
    <cellStyle name="Note 2 16 2 2 3" xfId="10527" xr:uid="{00000000-0005-0000-0000-000009970000}"/>
    <cellStyle name="Note 2 16 2 2 3 2" xfId="14148" xr:uid="{00000000-0005-0000-0000-00000A970000}"/>
    <cellStyle name="Note 2 16 2 2 3 3" xfId="38527" xr:uid="{00000000-0005-0000-0000-00000B970000}"/>
    <cellStyle name="Note 2 16 2 2 4" xfId="25559" xr:uid="{00000000-0005-0000-0000-00000C970000}"/>
    <cellStyle name="Note 2 16 2 2 5" xfId="25560" xr:uid="{00000000-0005-0000-0000-00000D970000}"/>
    <cellStyle name="Note 2 16 2 2 6" xfId="25561" xr:uid="{00000000-0005-0000-0000-00000E970000}"/>
    <cellStyle name="Note 2 16 2 2 7" xfId="25562" xr:uid="{00000000-0005-0000-0000-00000F970000}"/>
    <cellStyle name="Note 2 16 2 3" xfId="3951" xr:uid="{00000000-0005-0000-0000-000010970000}"/>
    <cellStyle name="Note 2 16 2 3 2" xfId="5531" xr:uid="{00000000-0005-0000-0000-000011970000}"/>
    <cellStyle name="Note 2 16 2 3 2 2" xfId="10530" xr:uid="{00000000-0005-0000-0000-000012970000}"/>
    <cellStyle name="Note 2 16 2 3 2 2 2" xfId="14151" xr:uid="{00000000-0005-0000-0000-000013970000}"/>
    <cellStyle name="Note 2 16 2 3 2 3" xfId="25563" xr:uid="{00000000-0005-0000-0000-000014970000}"/>
    <cellStyle name="Note 2 16 2 3 2 4" xfId="25564" xr:uid="{00000000-0005-0000-0000-000015970000}"/>
    <cellStyle name="Note 2 16 2 3 2 5" xfId="25565" xr:uid="{00000000-0005-0000-0000-000016970000}"/>
    <cellStyle name="Note 2 16 2 3 2 6" xfId="25566" xr:uid="{00000000-0005-0000-0000-000017970000}"/>
    <cellStyle name="Note 2 16 2 3 3" xfId="10529" xr:uid="{00000000-0005-0000-0000-000018970000}"/>
    <cellStyle name="Note 2 16 2 3 3 2" xfId="14150" xr:uid="{00000000-0005-0000-0000-000019970000}"/>
    <cellStyle name="Note 2 16 2 3 3 3" xfId="38528" xr:uid="{00000000-0005-0000-0000-00001A970000}"/>
    <cellStyle name="Note 2 16 2 3 4" xfId="25567" xr:uid="{00000000-0005-0000-0000-00001B970000}"/>
    <cellStyle name="Note 2 16 2 3 5" xfId="25568" xr:uid="{00000000-0005-0000-0000-00001C970000}"/>
    <cellStyle name="Note 2 16 2 3 6" xfId="25569" xr:uid="{00000000-0005-0000-0000-00001D970000}"/>
    <cellStyle name="Note 2 16 2 3 7" xfId="25570" xr:uid="{00000000-0005-0000-0000-00001E970000}"/>
    <cellStyle name="Note 2 16 2 4" xfId="3949" xr:uid="{00000000-0005-0000-0000-00001F970000}"/>
    <cellStyle name="Note 2 16 2 4 2" xfId="10531" xr:uid="{00000000-0005-0000-0000-000020970000}"/>
    <cellStyle name="Note 2 16 2 4 2 2" xfId="14152" xr:uid="{00000000-0005-0000-0000-000021970000}"/>
    <cellStyle name="Note 2 16 2 4 3" xfId="25571" xr:uid="{00000000-0005-0000-0000-000022970000}"/>
    <cellStyle name="Note 2 16 2 4 4" xfId="25572" xr:uid="{00000000-0005-0000-0000-000023970000}"/>
    <cellStyle name="Note 2 16 2 4 5" xfId="25573" xr:uid="{00000000-0005-0000-0000-000024970000}"/>
    <cellStyle name="Note 2 16 2 4 6" xfId="25574" xr:uid="{00000000-0005-0000-0000-000025970000}"/>
    <cellStyle name="Note 2 16 2 5" xfId="4896" xr:uid="{00000000-0005-0000-0000-000026970000}"/>
    <cellStyle name="Note 2 16 2 5 2" xfId="14147" xr:uid="{00000000-0005-0000-0000-000027970000}"/>
    <cellStyle name="Note 2 16 2 5 3" xfId="35864" xr:uid="{00000000-0005-0000-0000-000028970000}"/>
    <cellStyle name="Note 2 16 2 5 4" xfId="10526" xr:uid="{00000000-0005-0000-0000-000029970000}"/>
    <cellStyle name="Note 2 16 2 6" xfId="25575" xr:uid="{00000000-0005-0000-0000-00002A970000}"/>
    <cellStyle name="Note 2 16 2 6 2" xfId="37930" xr:uid="{00000000-0005-0000-0000-00002B970000}"/>
    <cellStyle name="Note 2 16 2 7" xfId="25576" xr:uid="{00000000-0005-0000-0000-00002C970000}"/>
    <cellStyle name="Note 2 16 2 8" xfId="25577" xr:uid="{00000000-0005-0000-0000-00002D970000}"/>
    <cellStyle name="Note 2 16 2 9" xfId="25578" xr:uid="{00000000-0005-0000-0000-00002E970000}"/>
    <cellStyle name="Note 2 16 3" xfId="1705" xr:uid="{00000000-0005-0000-0000-00002F970000}"/>
    <cellStyle name="Note 2 16 3 10" xfId="25579" xr:uid="{00000000-0005-0000-0000-000030970000}"/>
    <cellStyle name="Note 2 16 3 2" xfId="3953" xr:uid="{00000000-0005-0000-0000-000031970000}"/>
    <cellStyle name="Note 2 16 3 2 2" xfId="5532" xr:uid="{00000000-0005-0000-0000-000032970000}"/>
    <cellStyle name="Note 2 16 3 2 2 2" xfId="10534" xr:uid="{00000000-0005-0000-0000-000033970000}"/>
    <cellStyle name="Note 2 16 3 2 2 2 2" xfId="14155" xr:uid="{00000000-0005-0000-0000-000034970000}"/>
    <cellStyle name="Note 2 16 3 2 2 3" xfId="25580" xr:uid="{00000000-0005-0000-0000-000035970000}"/>
    <cellStyle name="Note 2 16 3 2 2 4" xfId="25581" xr:uid="{00000000-0005-0000-0000-000036970000}"/>
    <cellStyle name="Note 2 16 3 2 2 5" xfId="25582" xr:uid="{00000000-0005-0000-0000-000037970000}"/>
    <cellStyle name="Note 2 16 3 2 2 6" xfId="25583" xr:uid="{00000000-0005-0000-0000-000038970000}"/>
    <cellStyle name="Note 2 16 3 2 3" xfId="10533" xr:uid="{00000000-0005-0000-0000-000039970000}"/>
    <cellStyle name="Note 2 16 3 2 3 2" xfId="14154" xr:uid="{00000000-0005-0000-0000-00003A970000}"/>
    <cellStyle name="Note 2 16 3 2 3 3" xfId="38529" xr:uid="{00000000-0005-0000-0000-00003B970000}"/>
    <cellStyle name="Note 2 16 3 2 4" xfId="25584" xr:uid="{00000000-0005-0000-0000-00003C970000}"/>
    <cellStyle name="Note 2 16 3 2 5" xfId="25585" xr:uid="{00000000-0005-0000-0000-00003D970000}"/>
    <cellStyle name="Note 2 16 3 2 6" xfId="25586" xr:uid="{00000000-0005-0000-0000-00003E970000}"/>
    <cellStyle name="Note 2 16 3 2 7" xfId="25587" xr:uid="{00000000-0005-0000-0000-00003F970000}"/>
    <cellStyle name="Note 2 16 3 3" xfId="3954" xr:uid="{00000000-0005-0000-0000-000040970000}"/>
    <cellStyle name="Note 2 16 3 3 2" xfId="5533" xr:uid="{00000000-0005-0000-0000-000041970000}"/>
    <cellStyle name="Note 2 16 3 3 2 2" xfId="10536" xr:uid="{00000000-0005-0000-0000-000042970000}"/>
    <cellStyle name="Note 2 16 3 3 2 2 2" xfId="14157" xr:uid="{00000000-0005-0000-0000-000043970000}"/>
    <cellStyle name="Note 2 16 3 3 2 3" xfId="25588" xr:uid="{00000000-0005-0000-0000-000044970000}"/>
    <cellStyle name="Note 2 16 3 3 2 4" xfId="25589" xr:uid="{00000000-0005-0000-0000-000045970000}"/>
    <cellStyle name="Note 2 16 3 3 2 5" xfId="25590" xr:uid="{00000000-0005-0000-0000-000046970000}"/>
    <cellStyle name="Note 2 16 3 3 2 6" xfId="25591" xr:uid="{00000000-0005-0000-0000-000047970000}"/>
    <cellStyle name="Note 2 16 3 3 3" xfId="10535" xr:uid="{00000000-0005-0000-0000-000048970000}"/>
    <cellStyle name="Note 2 16 3 3 3 2" xfId="14156" xr:uid="{00000000-0005-0000-0000-000049970000}"/>
    <cellStyle name="Note 2 16 3 3 3 3" xfId="38530" xr:uid="{00000000-0005-0000-0000-00004A970000}"/>
    <cellStyle name="Note 2 16 3 3 4" xfId="25592" xr:uid="{00000000-0005-0000-0000-00004B970000}"/>
    <cellStyle name="Note 2 16 3 3 5" xfId="25593" xr:uid="{00000000-0005-0000-0000-00004C970000}"/>
    <cellStyle name="Note 2 16 3 3 6" xfId="25594" xr:uid="{00000000-0005-0000-0000-00004D970000}"/>
    <cellStyle name="Note 2 16 3 3 7" xfId="25595" xr:uid="{00000000-0005-0000-0000-00004E970000}"/>
    <cellStyle name="Note 2 16 3 4" xfId="3952" xr:uid="{00000000-0005-0000-0000-00004F970000}"/>
    <cellStyle name="Note 2 16 3 4 2" xfId="10537" xr:uid="{00000000-0005-0000-0000-000050970000}"/>
    <cellStyle name="Note 2 16 3 4 2 2" xfId="14158" xr:uid="{00000000-0005-0000-0000-000051970000}"/>
    <cellStyle name="Note 2 16 3 4 3" xfId="25596" xr:uid="{00000000-0005-0000-0000-000052970000}"/>
    <cellStyle name="Note 2 16 3 4 4" xfId="25597" xr:uid="{00000000-0005-0000-0000-000053970000}"/>
    <cellStyle name="Note 2 16 3 4 5" xfId="25598" xr:uid="{00000000-0005-0000-0000-000054970000}"/>
    <cellStyle name="Note 2 16 3 4 6" xfId="25599" xr:uid="{00000000-0005-0000-0000-000055970000}"/>
    <cellStyle name="Note 2 16 3 5" xfId="4897" xr:uid="{00000000-0005-0000-0000-000056970000}"/>
    <cellStyle name="Note 2 16 3 5 2" xfId="14153" xr:uid="{00000000-0005-0000-0000-000057970000}"/>
    <cellStyle name="Note 2 16 3 5 3" xfId="35865" xr:uid="{00000000-0005-0000-0000-000058970000}"/>
    <cellStyle name="Note 2 16 3 5 4" xfId="10532" xr:uid="{00000000-0005-0000-0000-000059970000}"/>
    <cellStyle name="Note 2 16 3 6" xfId="25600" xr:uid="{00000000-0005-0000-0000-00005A970000}"/>
    <cellStyle name="Note 2 16 3 6 2" xfId="37931" xr:uid="{00000000-0005-0000-0000-00005B970000}"/>
    <cellStyle name="Note 2 16 3 7" xfId="25601" xr:uid="{00000000-0005-0000-0000-00005C970000}"/>
    <cellStyle name="Note 2 16 3 8" xfId="25602" xr:uid="{00000000-0005-0000-0000-00005D970000}"/>
    <cellStyle name="Note 2 16 3 9" xfId="25603" xr:uid="{00000000-0005-0000-0000-00005E970000}"/>
    <cellStyle name="Note 2 16 4" xfId="1706" xr:uid="{00000000-0005-0000-0000-00005F970000}"/>
    <cellStyle name="Note 2 16 4 2" xfId="3955" xr:uid="{00000000-0005-0000-0000-000060970000}"/>
    <cellStyle name="Note 2 16 4 2 2" xfId="10539" xr:uid="{00000000-0005-0000-0000-000061970000}"/>
    <cellStyle name="Note 2 16 4 2 2 2" xfId="14160" xr:uid="{00000000-0005-0000-0000-000062970000}"/>
    <cellStyle name="Note 2 16 4 2 3" xfId="25604" xr:uid="{00000000-0005-0000-0000-000063970000}"/>
    <cellStyle name="Note 2 16 4 2 4" xfId="25605" xr:uid="{00000000-0005-0000-0000-000064970000}"/>
    <cellStyle name="Note 2 16 4 2 5" xfId="25606" xr:uid="{00000000-0005-0000-0000-000065970000}"/>
    <cellStyle name="Note 2 16 4 2 6" xfId="25607" xr:uid="{00000000-0005-0000-0000-000066970000}"/>
    <cellStyle name="Note 2 16 4 3" xfId="4898" xr:uid="{00000000-0005-0000-0000-000067970000}"/>
    <cellStyle name="Note 2 16 4 3 2" xfId="14159" xr:uid="{00000000-0005-0000-0000-000068970000}"/>
    <cellStyle name="Note 2 16 4 3 3" xfId="35866" xr:uid="{00000000-0005-0000-0000-000069970000}"/>
    <cellStyle name="Note 2 16 4 3 4" xfId="10538" xr:uid="{00000000-0005-0000-0000-00006A970000}"/>
    <cellStyle name="Note 2 16 4 4" xfId="25608" xr:uid="{00000000-0005-0000-0000-00006B970000}"/>
    <cellStyle name="Note 2 16 4 4 2" xfId="37932" xr:uid="{00000000-0005-0000-0000-00006C970000}"/>
    <cellStyle name="Note 2 16 4 5" xfId="25609" xr:uid="{00000000-0005-0000-0000-00006D970000}"/>
    <cellStyle name="Note 2 16 4 6" xfId="25610" xr:uid="{00000000-0005-0000-0000-00006E970000}"/>
    <cellStyle name="Note 2 16 4 7" xfId="25611" xr:uid="{00000000-0005-0000-0000-00006F970000}"/>
    <cellStyle name="Note 2 16 4 8" xfId="25612" xr:uid="{00000000-0005-0000-0000-000070970000}"/>
    <cellStyle name="Note 2 16 5" xfId="3956" xr:uid="{00000000-0005-0000-0000-000071970000}"/>
    <cellStyle name="Note 2 16 5 2" xfId="5534" xr:uid="{00000000-0005-0000-0000-000072970000}"/>
    <cellStyle name="Note 2 16 5 2 2" xfId="10541" xr:uid="{00000000-0005-0000-0000-000073970000}"/>
    <cellStyle name="Note 2 16 5 2 2 2" xfId="14162" xr:uid="{00000000-0005-0000-0000-000074970000}"/>
    <cellStyle name="Note 2 16 5 2 3" xfId="25613" xr:uid="{00000000-0005-0000-0000-000075970000}"/>
    <cellStyle name="Note 2 16 5 2 4" xfId="25614" xr:uid="{00000000-0005-0000-0000-000076970000}"/>
    <cellStyle name="Note 2 16 5 2 5" xfId="25615" xr:uid="{00000000-0005-0000-0000-000077970000}"/>
    <cellStyle name="Note 2 16 5 2 6" xfId="25616" xr:uid="{00000000-0005-0000-0000-000078970000}"/>
    <cellStyle name="Note 2 16 5 3" xfId="10540" xr:uid="{00000000-0005-0000-0000-000079970000}"/>
    <cellStyle name="Note 2 16 5 3 2" xfId="14161" xr:uid="{00000000-0005-0000-0000-00007A970000}"/>
    <cellStyle name="Note 2 16 5 3 3" xfId="38531" xr:uid="{00000000-0005-0000-0000-00007B970000}"/>
    <cellStyle name="Note 2 16 5 4" xfId="25617" xr:uid="{00000000-0005-0000-0000-00007C970000}"/>
    <cellStyle name="Note 2 16 5 5" xfId="25618" xr:uid="{00000000-0005-0000-0000-00007D970000}"/>
    <cellStyle name="Note 2 16 5 6" xfId="25619" xr:uid="{00000000-0005-0000-0000-00007E970000}"/>
    <cellStyle name="Note 2 16 5 7" xfId="25620" xr:uid="{00000000-0005-0000-0000-00007F970000}"/>
    <cellStyle name="Note 2 16 6" xfId="3957" xr:uid="{00000000-0005-0000-0000-000080970000}"/>
    <cellStyle name="Note 2 16 6 2" xfId="5535" xr:uid="{00000000-0005-0000-0000-000081970000}"/>
    <cellStyle name="Note 2 16 6 2 2" xfId="10543" xr:uid="{00000000-0005-0000-0000-000082970000}"/>
    <cellStyle name="Note 2 16 6 2 2 2" xfId="14164" xr:uid="{00000000-0005-0000-0000-000083970000}"/>
    <cellStyle name="Note 2 16 6 2 3" xfId="25621" xr:uid="{00000000-0005-0000-0000-000084970000}"/>
    <cellStyle name="Note 2 16 6 2 4" xfId="25622" xr:uid="{00000000-0005-0000-0000-000085970000}"/>
    <cellStyle name="Note 2 16 6 2 5" xfId="25623" xr:uid="{00000000-0005-0000-0000-000086970000}"/>
    <cellStyle name="Note 2 16 6 2 6" xfId="25624" xr:uid="{00000000-0005-0000-0000-000087970000}"/>
    <cellStyle name="Note 2 16 6 3" xfId="10542" xr:uid="{00000000-0005-0000-0000-000088970000}"/>
    <cellStyle name="Note 2 16 6 3 2" xfId="14163" xr:uid="{00000000-0005-0000-0000-000089970000}"/>
    <cellStyle name="Note 2 16 6 3 3" xfId="38532" xr:uid="{00000000-0005-0000-0000-00008A970000}"/>
    <cellStyle name="Note 2 16 6 4" xfId="25625" xr:uid="{00000000-0005-0000-0000-00008B970000}"/>
    <cellStyle name="Note 2 16 6 5" xfId="25626" xr:uid="{00000000-0005-0000-0000-00008C970000}"/>
    <cellStyle name="Note 2 16 6 6" xfId="25627" xr:uid="{00000000-0005-0000-0000-00008D970000}"/>
    <cellStyle name="Note 2 16 6 7" xfId="25628" xr:uid="{00000000-0005-0000-0000-00008E970000}"/>
    <cellStyle name="Note 2 16 7" xfId="3958" xr:uid="{00000000-0005-0000-0000-00008F970000}"/>
    <cellStyle name="Note 2 16 7 2" xfId="5536" xr:uid="{00000000-0005-0000-0000-000090970000}"/>
    <cellStyle name="Note 2 16 7 2 2" xfId="10545" xr:uid="{00000000-0005-0000-0000-000091970000}"/>
    <cellStyle name="Note 2 16 7 2 2 2" xfId="14166" xr:uid="{00000000-0005-0000-0000-000092970000}"/>
    <cellStyle name="Note 2 16 7 2 3" xfId="25629" xr:uid="{00000000-0005-0000-0000-000093970000}"/>
    <cellStyle name="Note 2 16 7 2 4" xfId="25630" xr:uid="{00000000-0005-0000-0000-000094970000}"/>
    <cellStyle name="Note 2 16 7 2 5" xfId="25631" xr:uid="{00000000-0005-0000-0000-000095970000}"/>
    <cellStyle name="Note 2 16 7 2 6" xfId="25632" xr:uid="{00000000-0005-0000-0000-000096970000}"/>
    <cellStyle name="Note 2 16 7 3" xfId="10544" xr:uid="{00000000-0005-0000-0000-000097970000}"/>
    <cellStyle name="Note 2 16 7 3 2" xfId="14165" xr:uid="{00000000-0005-0000-0000-000098970000}"/>
    <cellStyle name="Note 2 16 7 3 3" xfId="38533" xr:uid="{00000000-0005-0000-0000-000099970000}"/>
    <cellStyle name="Note 2 16 7 4" xfId="25633" xr:uid="{00000000-0005-0000-0000-00009A970000}"/>
    <cellStyle name="Note 2 16 7 5" xfId="25634" xr:uid="{00000000-0005-0000-0000-00009B970000}"/>
    <cellStyle name="Note 2 16 7 6" xfId="25635" xr:uid="{00000000-0005-0000-0000-00009C970000}"/>
    <cellStyle name="Note 2 16 7 7" xfId="25636" xr:uid="{00000000-0005-0000-0000-00009D970000}"/>
    <cellStyle name="Note 2 16 8" xfId="3959" xr:uid="{00000000-0005-0000-0000-00009E970000}"/>
    <cellStyle name="Note 2 16 8 2" xfId="5537" xr:uid="{00000000-0005-0000-0000-00009F970000}"/>
    <cellStyle name="Note 2 16 8 2 2" xfId="10547" xr:uid="{00000000-0005-0000-0000-0000A0970000}"/>
    <cellStyle name="Note 2 16 8 2 2 2" xfId="14168" xr:uid="{00000000-0005-0000-0000-0000A1970000}"/>
    <cellStyle name="Note 2 16 8 2 3" xfId="25637" xr:uid="{00000000-0005-0000-0000-0000A2970000}"/>
    <cellStyle name="Note 2 16 8 2 4" xfId="25638" xr:uid="{00000000-0005-0000-0000-0000A3970000}"/>
    <cellStyle name="Note 2 16 8 2 5" xfId="25639" xr:uid="{00000000-0005-0000-0000-0000A4970000}"/>
    <cellStyle name="Note 2 16 8 2 6" xfId="25640" xr:uid="{00000000-0005-0000-0000-0000A5970000}"/>
    <cellStyle name="Note 2 16 8 3" xfId="10546" xr:uid="{00000000-0005-0000-0000-0000A6970000}"/>
    <cellStyle name="Note 2 16 8 3 2" xfId="14167" xr:uid="{00000000-0005-0000-0000-0000A7970000}"/>
    <cellStyle name="Note 2 16 8 3 3" xfId="38534" xr:uid="{00000000-0005-0000-0000-0000A8970000}"/>
    <cellStyle name="Note 2 16 8 4" xfId="25641" xr:uid="{00000000-0005-0000-0000-0000A9970000}"/>
    <cellStyle name="Note 2 16 8 5" xfId="25642" xr:uid="{00000000-0005-0000-0000-0000AA970000}"/>
    <cellStyle name="Note 2 16 8 6" xfId="25643" xr:uid="{00000000-0005-0000-0000-0000AB970000}"/>
    <cellStyle name="Note 2 16 8 7" xfId="25644" xr:uid="{00000000-0005-0000-0000-0000AC970000}"/>
    <cellStyle name="Note 2 16 9" xfId="3948" xr:uid="{00000000-0005-0000-0000-0000AD970000}"/>
    <cellStyle name="Note 2 16 9 2" xfId="10548" xr:uid="{00000000-0005-0000-0000-0000AE970000}"/>
    <cellStyle name="Note 2 16 9 2 2" xfId="14169" xr:uid="{00000000-0005-0000-0000-0000AF970000}"/>
    <cellStyle name="Note 2 16 9 3" xfId="25645" xr:uid="{00000000-0005-0000-0000-0000B0970000}"/>
    <cellStyle name="Note 2 16 9 4" xfId="25646" xr:uid="{00000000-0005-0000-0000-0000B1970000}"/>
    <cellStyle name="Note 2 16 9 5" xfId="25647" xr:uid="{00000000-0005-0000-0000-0000B2970000}"/>
    <cellStyle name="Note 2 16 9 6" xfId="25648" xr:uid="{00000000-0005-0000-0000-0000B3970000}"/>
    <cellStyle name="Note 2 16_IND_UC" xfId="3960" xr:uid="{00000000-0005-0000-0000-0000B4970000}"/>
    <cellStyle name="Note 2 17" xfId="1707" xr:uid="{00000000-0005-0000-0000-0000B5970000}"/>
    <cellStyle name="Note 2 17 10" xfId="25649" xr:uid="{00000000-0005-0000-0000-0000B6970000}"/>
    <cellStyle name="Note 2 17 11" xfId="25650" xr:uid="{00000000-0005-0000-0000-0000B7970000}"/>
    <cellStyle name="Note 2 17 2" xfId="1708" xr:uid="{00000000-0005-0000-0000-0000B8970000}"/>
    <cellStyle name="Note 2 17 2 10" xfId="6734" xr:uid="{00000000-0005-0000-0000-0000B9970000}"/>
    <cellStyle name="Note 2 17 2 2" xfId="7669" xr:uid="{00000000-0005-0000-0000-0000BA970000}"/>
    <cellStyle name="Note 2 17 2 2 2" xfId="10551" xr:uid="{00000000-0005-0000-0000-0000BB970000}"/>
    <cellStyle name="Note 2 17 2 2 2 2" xfId="14172" xr:uid="{00000000-0005-0000-0000-0000BC970000}"/>
    <cellStyle name="Note 2 17 2 2 3" xfId="25651" xr:uid="{00000000-0005-0000-0000-0000BD970000}"/>
    <cellStyle name="Note 2 17 2 2 4" xfId="25652" xr:uid="{00000000-0005-0000-0000-0000BE970000}"/>
    <cellStyle name="Note 2 17 2 2 5" xfId="25653" xr:uid="{00000000-0005-0000-0000-0000BF970000}"/>
    <cellStyle name="Note 2 17 2 2 6" xfId="25654" xr:uid="{00000000-0005-0000-0000-0000C0970000}"/>
    <cellStyle name="Note 2 17 2 3" xfId="8587" xr:uid="{00000000-0005-0000-0000-0000C1970000}"/>
    <cellStyle name="Note 2 17 2 3 2" xfId="10552" xr:uid="{00000000-0005-0000-0000-0000C2970000}"/>
    <cellStyle name="Note 2 17 2 3 2 2" xfId="14173" xr:uid="{00000000-0005-0000-0000-0000C3970000}"/>
    <cellStyle name="Note 2 17 2 3 3" xfId="25655" xr:uid="{00000000-0005-0000-0000-0000C4970000}"/>
    <cellStyle name="Note 2 17 2 3 4" xfId="25656" xr:uid="{00000000-0005-0000-0000-0000C5970000}"/>
    <cellStyle name="Note 2 17 2 3 5" xfId="25657" xr:uid="{00000000-0005-0000-0000-0000C6970000}"/>
    <cellStyle name="Note 2 17 2 3 6" xfId="25658" xr:uid="{00000000-0005-0000-0000-0000C7970000}"/>
    <cellStyle name="Note 2 17 2 4" xfId="10550" xr:uid="{00000000-0005-0000-0000-0000C8970000}"/>
    <cellStyle name="Note 2 17 2 4 2" xfId="14171" xr:uid="{00000000-0005-0000-0000-0000C9970000}"/>
    <cellStyle name="Note 2 17 2 5" xfId="25659" xr:uid="{00000000-0005-0000-0000-0000CA970000}"/>
    <cellStyle name="Note 2 17 2 6" xfId="25660" xr:uid="{00000000-0005-0000-0000-0000CB970000}"/>
    <cellStyle name="Note 2 17 2 7" xfId="25661" xr:uid="{00000000-0005-0000-0000-0000CC970000}"/>
    <cellStyle name="Note 2 17 2 8" xfId="25662" xr:uid="{00000000-0005-0000-0000-0000CD970000}"/>
    <cellStyle name="Note 2 17 2 9" xfId="25663" xr:uid="{00000000-0005-0000-0000-0000CE970000}"/>
    <cellStyle name="Note 2 17 3" xfId="3961" xr:uid="{00000000-0005-0000-0000-0000CF970000}"/>
    <cellStyle name="Note 2 17 3 2" xfId="10553" xr:uid="{00000000-0005-0000-0000-0000D0970000}"/>
    <cellStyle name="Note 2 17 3 2 2" xfId="14174" xr:uid="{00000000-0005-0000-0000-0000D1970000}"/>
    <cellStyle name="Note 2 17 3 3" xfId="25664" xr:uid="{00000000-0005-0000-0000-0000D2970000}"/>
    <cellStyle name="Note 2 17 3 4" xfId="25665" xr:uid="{00000000-0005-0000-0000-0000D3970000}"/>
    <cellStyle name="Note 2 17 3 5" xfId="25666" xr:uid="{00000000-0005-0000-0000-0000D4970000}"/>
    <cellStyle name="Note 2 17 3 6" xfId="25667" xr:uid="{00000000-0005-0000-0000-0000D5970000}"/>
    <cellStyle name="Note 2 17 3 7" xfId="35481" xr:uid="{00000000-0005-0000-0000-0000D6970000}"/>
    <cellStyle name="Note 2 17 3 8" xfId="7670" xr:uid="{00000000-0005-0000-0000-0000D7970000}"/>
    <cellStyle name="Note 2 17 4" xfId="4899" xr:uid="{00000000-0005-0000-0000-0000D8970000}"/>
    <cellStyle name="Note 2 17 4 2" xfId="10554" xr:uid="{00000000-0005-0000-0000-0000D9970000}"/>
    <cellStyle name="Note 2 17 4 2 2" xfId="14175" xr:uid="{00000000-0005-0000-0000-0000DA970000}"/>
    <cellStyle name="Note 2 17 4 3" xfId="25668" xr:uid="{00000000-0005-0000-0000-0000DB970000}"/>
    <cellStyle name="Note 2 17 4 4" xfId="25669" xr:uid="{00000000-0005-0000-0000-0000DC970000}"/>
    <cellStyle name="Note 2 17 4 5" xfId="25670" xr:uid="{00000000-0005-0000-0000-0000DD970000}"/>
    <cellStyle name="Note 2 17 4 6" xfId="25671" xr:uid="{00000000-0005-0000-0000-0000DE970000}"/>
    <cellStyle name="Note 2 17 4 7" xfId="35867" xr:uid="{00000000-0005-0000-0000-0000DF970000}"/>
    <cellStyle name="Note 2 17 4 8" xfId="7671" xr:uid="{00000000-0005-0000-0000-0000E0970000}"/>
    <cellStyle name="Note 2 17 5" xfId="7672" xr:uid="{00000000-0005-0000-0000-0000E1970000}"/>
    <cellStyle name="Note 2 17 5 2" xfId="10555" xr:uid="{00000000-0005-0000-0000-0000E2970000}"/>
    <cellStyle name="Note 2 17 5 2 2" xfId="14176" xr:uid="{00000000-0005-0000-0000-0000E3970000}"/>
    <cellStyle name="Note 2 17 5 3" xfId="25672" xr:uid="{00000000-0005-0000-0000-0000E4970000}"/>
    <cellStyle name="Note 2 17 5 4" xfId="25673" xr:uid="{00000000-0005-0000-0000-0000E5970000}"/>
    <cellStyle name="Note 2 17 5 5" xfId="25674" xr:uid="{00000000-0005-0000-0000-0000E6970000}"/>
    <cellStyle name="Note 2 17 5 6" xfId="25675" xr:uid="{00000000-0005-0000-0000-0000E7970000}"/>
    <cellStyle name="Note 2 17 5 7" xfId="37933" xr:uid="{00000000-0005-0000-0000-0000E8970000}"/>
    <cellStyle name="Note 2 17 6" xfId="10549" xr:uid="{00000000-0005-0000-0000-0000E9970000}"/>
    <cellStyle name="Note 2 17 6 2" xfId="14170" xr:uid="{00000000-0005-0000-0000-0000EA970000}"/>
    <cellStyle name="Note 2 17 7" xfId="25676" xr:uid="{00000000-0005-0000-0000-0000EB970000}"/>
    <cellStyle name="Note 2 17 8" xfId="25677" xr:uid="{00000000-0005-0000-0000-0000EC970000}"/>
    <cellStyle name="Note 2 17 9" xfId="25678" xr:uid="{00000000-0005-0000-0000-0000ED970000}"/>
    <cellStyle name="Note 2 18" xfId="1709" xr:uid="{00000000-0005-0000-0000-0000EE970000}"/>
    <cellStyle name="Note 2 18 2" xfId="3962" xr:uid="{00000000-0005-0000-0000-0000EF970000}"/>
    <cellStyle name="Note 2 18 2 2" xfId="10557" xr:uid="{00000000-0005-0000-0000-0000F0970000}"/>
    <cellStyle name="Note 2 18 2 2 2" xfId="14178" xr:uid="{00000000-0005-0000-0000-0000F1970000}"/>
    <cellStyle name="Note 2 18 2 3" xfId="25679" xr:uid="{00000000-0005-0000-0000-0000F2970000}"/>
    <cellStyle name="Note 2 18 2 4" xfId="25680" xr:uid="{00000000-0005-0000-0000-0000F3970000}"/>
    <cellStyle name="Note 2 18 2 5" xfId="25681" xr:uid="{00000000-0005-0000-0000-0000F4970000}"/>
    <cellStyle name="Note 2 18 2 6" xfId="25682" xr:uid="{00000000-0005-0000-0000-0000F5970000}"/>
    <cellStyle name="Note 2 18 3" xfId="4900" xr:uid="{00000000-0005-0000-0000-0000F6970000}"/>
    <cellStyle name="Note 2 18 3 2" xfId="14177" xr:uid="{00000000-0005-0000-0000-0000F7970000}"/>
    <cellStyle name="Note 2 18 3 3" xfId="35868" xr:uid="{00000000-0005-0000-0000-0000F8970000}"/>
    <cellStyle name="Note 2 18 3 4" xfId="10556" xr:uid="{00000000-0005-0000-0000-0000F9970000}"/>
    <cellStyle name="Note 2 18 4" xfId="25683" xr:uid="{00000000-0005-0000-0000-0000FA970000}"/>
    <cellStyle name="Note 2 18 4 2" xfId="37934" xr:uid="{00000000-0005-0000-0000-0000FB970000}"/>
    <cellStyle name="Note 2 18 5" xfId="25684" xr:uid="{00000000-0005-0000-0000-0000FC970000}"/>
    <cellStyle name="Note 2 18 6" xfId="25685" xr:uid="{00000000-0005-0000-0000-0000FD970000}"/>
    <cellStyle name="Note 2 18 7" xfId="25686" xr:uid="{00000000-0005-0000-0000-0000FE970000}"/>
    <cellStyle name="Note 2 18 8" xfId="25687" xr:uid="{00000000-0005-0000-0000-0000FF970000}"/>
    <cellStyle name="Note 2 19" xfId="1710" xr:uid="{00000000-0005-0000-0000-000000980000}"/>
    <cellStyle name="Note 2 19 2" xfId="3963" xr:uid="{00000000-0005-0000-0000-000001980000}"/>
    <cellStyle name="Note 2 19 2 2" xfId="10559" xr:uid="{00000000-0005-0000-0000-000002980000}"/>
    <cellStyle name="Note 2 19 2 2 2" xfId="14180" xr:uid="{00000000-0005-0000-0000-000003980000}"/>
    <cellStyle name="Note 2 19 2 3" xfId="25688" xr:uid="{00000000-0005-0000-0000-000004980000}"/>
    <cellStyle name="Note 2 19 2 4" xfId="25689" xr:uid="{00000000-0005-0000-0000-000005980000}"/>
    <cellStyle name="Note 2 19 2 5" xfId="25690" xr:uid="{00000000-0005-0000-0000-000006980000}"/>
    <cellStyle name="Note 2 19 2 6" xfId="25691" xr:uid="{00000000-0005-0000-0000-000007980000}"/>
    <cellStyle name="Note 2 19 3" xfId="4901" xr:uid="{00000000-0005-0000-0000-000008980000}"/>
    <cellStyle name="Note 2 19 3 2" xfId="14179" xr:uid="{00000000-0005-0000-0000-000009980000}"/>
    <cellStyle name="Note 2 19 3 3" xfId="35869" xr:uid="{00000000-0005-0000-0000-00000A980000}"/>
    <cellStyle name="Note 2 19 3 4" xfId="10558" xr:uid="{00000000-0005-0000-0000-00000B980000}"/>
    <cellStyle name="Note 2 19 4" xfId="25692" xr:uid="{00000000-0005-0000-0000-00000C980000}"/>
    <cellStyle name="Note 2 19 4 2" xfId="37935" xr:uid="{00000000-0005-0000-0000-00000D980000}"/>
    <cellStyle name="Note 2 19 5" xfId="25693" xr:uid="{00000000-0005-0000-0000-00000E980000}"/>
    <cellStyle name="Note 2 19 6" xfId="25694" xr:uid="{00000000-0005-0000-0000-00000F980000}"/>
    <cellStyle name="Note 2 19 7" xfId="25695" xr:uid="{00000000-0005-0000-0000-000010980000}"/>
    <cellStyle name="Note 2 19 8" xfId="25696" xr:uid="{00000000-0005-0000-0000-000011980000}"/>
    <cellStyle name="Note 2 2" xfId="1711" xr:uid="{00000000-0005-0000-0000-000012980000}"/>
    <cellStyle name="Note 2 2 10" xfId="6735" xr:uid="{00000000-0005-0000-0000-000013980000}"/>
    <cellStyle name="Note 2 2 10 2" xfId="7673" xr:uid="{00000000-0005-0000-0000-000014980000}"/>
    <cellStyle name="Note 2 2 10 2 2" xfId="10562" xr:uid="{00000000-0005-0000-0000-000015980000}"/>
    <cellStyle name="Note 2 2 10 2 2 2" xfId="14183" xr:uid="{00000000-0005-0000-0000-000016980000}"/>
    <cellStyle name="Note 2 2 10 2 3" xfId="25697" xr:uid="{00000000-0005-0000-0000-000017980000}"/>
    <cellStyle name="Note 2 2 10 2 4" xfId="25698" xr:uid="{00000000-0005-0000-0000-000018980000}"/>
    <cellStyle name="Note 2 2 10 2 5" xfId="25699" xr:uid="{00000000-0005-0000-0000-000019980000}"/>
    <cellStyle name="Note 2 2 10 2 6" xfId="25700" xr:uid="{00000000-0005-0000-0000-00001A980000}"/>
    <cellStyle name="Note 2 2 10 3" xfId="10561" xr:uid="{00000000-0005-0000-0000-00001B980000}"/>
    <cellStyle name="Note 2 2 10 3 2" xfId="14182" xr:uid="{00000000-0005-0000-0000-00001C980000}"/>
    <cellStyle name="Note 2 2 10 4" xfId="25701" xr:uid="{00000000-0005-0000-0000-00001D980000}"/>
    <cellStyle name="Note 2 2 10 5" xfId="25702" xr:uid="{00000000-0005-0000-0000-00001E980000}"/>
    <cellStyle name="Note 2 2 10 6" xfId="25703" xr:uid="{00000000-0005-0000-0000-00001F980000}"/>
    <cellStyle name="Note 2 2 10 7" xfId="25704" xr:uid="{00000000-0005-0000-0000-000020980000}"/>
    <cellStyle name="Note 2 2 11" xfId="7674" xr:uid="{00000000-0005-0000-0000-000021980000}"/>
    <cellStyle name="Note 2 2 11 2" xfId="10563" xr:uid="{00000000-0005-0000-0000-000022980000}"/>
    <cellStyle name="Note 2 2 11 2 2" xfId="14184" xr:uid="{00000000-0005-0000-0000-000023980000}"/>
    <cellStyle name="Note 2 2 11 3" xfId="25705" xr:uid="{00000000-0005-0000-0000-000024980000}"/>
    <cellStyle name="Note 2 2 11 4" xfId="25706" xr:uid="{00000000-0005-0000-0000-000025980000}"/>
    <cellStyle name="Note 2 2 11 5" xfId="25707" xr:uid="{00000000-0005-0000-0000-000026980000}"/>
    <cellStyle name="Note 2 2 11 6" xfId="25708" xr:uid="{00000000-0005-0000-0000-000027980000}"/>
    <cellStyle name="Note 2 2 12" xfId="7675" xr:uid="{00000000-0005-0000-0000-000028980000}"/>
    <cellStyle name="Note 2 2 12 2" xfId="10564" xr:uid="{00000000-0005-0000-0000-000029980000}"/>
    <cellStyle name="Note 2 2 12 2 2" xfId="14185" xr:uid="{00000000-0005-0000-0000-00002A980000}"/>
    <cellStyle name="Note 2 2 12 3" xfId="25709" xr:uid="{00000000-0005-0000-0000-00002B980000}"/>
    <cellStyle name="Note 2 2 12 4" xfId="25710" xr:uid="{00000000-0005-0000-0000-00002C980000}"/>
    <cellStyle name="Note 2 2 12 5" xfId="25711" xr:uid="{00000000-0005-0000-0000-00002D980000}"/>
    <cellStyle name="Note 2 2 12 6" xfId="25712" xr:uid="{00000000-0005-0000-0000-00002E980000}"/>
    <cellStyle name="Note 2 2 13" xfId="7676" xr:uid="{00000000-0005-0000-0000-00002F980000}"/>
    <cellStyle name="Note 2 2 13 2" xfId="10565" xr:uid="{00000000-0005-0000-0000-000030980000}"/>
    <cellStyle name="Note 2 2 13 2 2" xfId="14186" xr:uid="{00000000-0005-0000-0000-000031980000}"/>
    <cellStyle name="Note 2 2 13 3" xfId="25713" xr:uid="{00000000-0005-0000-0000-000032980000}"/>
    <cellStyle name="Note 2 2 13 4" xfId="25714" xr:uid="{00000000-0005-0000-0000-000033980000}"/>
    <cellStyle name="Note 2 2 13 5" xfId="25715" xr:uid="{00000000-0005-0000-0000-000034980000}"/>
    <cellStyle name="Note 2 2 13 6" xfId="25716" xr:uid="{00000000-0005-0000-0000-000035980000}"/>
    <cellStyle name="Note 2 2 14" xfId="7677" xr:uid="{00000000-0005-0000-0000-000036980000}"/>
    <cellStyle name="Note 2 2 14 2" xfId="10566" xr:uid="{00000000-0005-0000-0000-000037980000}"/>
    <cellStyle name="Note 2 2 14 2 2" xfId="14187" xr:uid="{00000000-0005-0000-0000-000038980000}"/>
    <cellStyle name="Note 2 2 14 3" xfId="25717" xr:uid="{00000000-0005-0000-0000-000039980000}"/>
    <cellStyle name="Note 2 2 14 4" xfId="25718" xr:uid="{00000000-0005-0000-0000-00003A980000}"/>
    <cellStyle name="Note 2 2 14 5" xfId="25719" xr:uid="{00000000-0005-0000-0000-00003B980000}"/>
    <cellStyle name="Note 2 2 14 6" xfId="25720" xr:uid="{00000000-0005-0000-0000-00003C980000}"/>
    <cellStyle name="Note 2 2 15" xfId="7678" xr:uid="{00000000-0005-0000-0000-00003D980000}"/>
    <cellStyle name="Note 2 2 15 2" xfId="10567" xr:uid="{00000000-0005-0000-0000-00003E980000}"/>
    <cellStyle name="Note 2 2 15 2 2" xfId="14188" xr:uid="{00000000-0005-0000-0000-00003F980000}"/>
    <cellStyle name="Note 2 2 15 3" xfId="25721" xr:uid="{00000000-0005-0000-0000-000040980000}"/>
    <cellStyle name="Note 2 2 15 4" xfId="25722" xr:uid="{00000000-0005-0000-0000-000041980000}"/>
    <cellStyle name="Note 2 2 15 5" xfId="25723" xr:uid="{00000000-0005-0000-0000-000042980000}"/>
    <cellStyle name="Note 2 2 15 6" xfId="25724" xr:uid="{00000000-0005-0000-0000-000043980000}"/>
    <cellStyle name="Note 2 2 16" xfId="10560" xr:uid="{00000000-0005-0000-0000-000044980000}"/>
    <cellStyle name="Note 2 2 16 2" xfId="14181" xr:uid="{00000000-0005-0000-0000-000045980000}"/>
    <cellStyle name="Note 2 2 17" xfId="25725" xr:uid="{00000000-0005-0000-0000-000046980000}"/>
    <cellStyle name="Note 2 2 18" xfId="25726" xr:uid="{00000000-0005-0000-0000-000047980000}"/>
    <cellStyle name="Note 2 2 19" xfId="25727" xr:uid="{00000000-0005-0000-0000-000048980000}"/>
    <cellStyle name="Note 2 2 2" xfId="1712" xr:uid="{00000000-0005-0000-0000-000049980000}"/>
    <cellStyle name="Note 2 2 2 10" xfId="3964" xr:uid="{00000000-0005-0000-0000-00004A980000}"/>
    <cellStyle name="Note 2 2 2 10 2" xfId="10569" xr:uid="{00000000-0005-0000-0000-00004B980000}"/>
    <cellStyle name="Note 2 2 2 10 2 2" xfId="14190" xr:uid="{00000000-0005-0000-0000-00004C980000}"/>
    <cellStyle name="Note 2 2 2 10 3" xfId="25728" xr:uid="{00000000-0005-0000-0000-00004D980000}"/>
    <cellStyle name="Note 2 2 2 10 4" xfId="25729" xr:uid="{00000000-0005-0000-0000-00004E980000}"/>
    <cellStyle name="Note 2 2 2 10 5" xfId="25730" xr:uid="{00000000-0005-0000-0000-00004F980000}"/>
    <cellStyle name="Note 2 2 2 10 6" xfId="25731" xr:uid="{00000000-0005-0000-0000-000050980000}"/>
    <cellStyle name="Note 2 2 2 10 7" xfId="35482" xr:uid="{00000000-0005-0000-0000-000051980000}"/>
    <cellStyle name="Note 2 2 2 10 8" xfId="7679" xr:uid="{00000000-0005-0000-0000-000052980000}"/>
    <cellStyle name="Note 2 2 2 11" xfId="4902" xr:uid="{00000000-0005-0000-0000-000053980000}"/>
    <cellStyle name="Note 2 2 2 11 2" xfId="10570" xr:uid="{00000000-0005-0000-0000-000054980000}"/>
    <cellStyle name="Note 2 2 2 11 2 2" xfId="14191" xr:uid="{00000000-0005-0000-0000-000055980000}"/>
    <cellStyle name="Note 2 2 2 11 3" xfId="25732" xr:uid="{00000000-0005-0000-0000-000056980000}"/>
    <cellStyle name="Note 2 2 2 11 4" xfId="25733" xr:uid="{00000000-0005-0000-0000-000057980000}"/>
    <cellStyle name="Note 2 2 2 11 5" xfId="25734" xr:uid="{00000000-0005-0000-0000-000058980000}"/>
    <cellStyle name="Note 2 2 2 11 6" xfId="25735" xr:uid="{00000000-0005-0000-0000-000059980000}"/>
    <cellStyle name="Note 2 2 2 11 7" xfId="35870" xr:uid="{00000000-0005-0000-0000-00005A980000}"/>
    <cellStyle name="Note 2 2 2 11 8" xfId="7680" xr:uid="{00000000-0005-0000-0000-00005B980000}"/>
    <cellStyle name="Note 2 2 2 12" xfId="10568" xr:uid="{00000000-0005-0000-0000-00005C980000}"/>
    <cellStyle name="Note 2 2 2 12 2" xfId="14189" xr:uid="{00000000-0005-0000-0000-00005D980000}"/>
    <cellStyle name="Note 2 2 2 12 3" xfId="37936" xr:uid="{00000000-0005-0000-0000-00005E980000}"/>
    <cellStyle name="Note 2 2 2 13" xfId="25736" xr:uid="{00000000-0005-0000-0000-00005F980000}"/>
    <cellStyle name="Note 2 2 2 14" xfId="25737" xr:uid="{00000000-0005-0000-0000-000060980000}"/>
    <cellStyle name="Note 2 2 2 15" xfId="25738" xr:uid="{00000000-0005-0000-0000-000061980000}"/>
    <cellStyle name="Note 2 2 2 16" xfId="25739" xr:uid="{00000000-0005-0000-0000-000062980000}"/>
    <cellStyle name="Note 2 2 2 17" xfId="25740" xr:uid="{00000000-0005-0000-0000-000063980000}"/>
    <cellStyle name="Note 2 2 2 2" xfId="1713" xr:uid="{00000000-0005-0000-0000-000064980000}"/>
    <cellStyle name="Note 2 2 2 2 10" xfId="6736" xr:uid="{00000000-0005-0000-0000-000065980000}"/>
    <cellStyle name="Note 2 2 2 2 10 2" xfId="7681" xr:uid="{00000000-0005-0000-0000-000066980000}"/>
    <cellStyle name="Note 2 2 2 2 10 2 2" xfId="10573" xr:uid="{00000000-0005-0000-0000-000067980000}"/>
    <cellStyle name="Note 2 2 2 2 10 2 2 2" xfId="14194" xr:uid="{00000000-0005-0000-0000-000068980000}"/>
    <cellStyle name="Note 2 2 2 2 10 2 3" xfId="25741" xr:uid="{00000000-0005-0000-0000-000069980000}"/>
    <cellStyle name="Note 2 2 2 2 10 2 4" xfId="25742" xr:uid="{00000000-0005-0000-0000-00006A980000}"/>
    <cellStyle name="Note 2 2 2 2 10 2 5" xfId="25743" xr:uid="{00000000-0005-0000-0000-00006B980000}"/>
    <cellStyle name="Note 2 2 2 2 10 2 6" xfId="25744" xr:uid="{00000000-0005-0000-0000-00006C980000}"/>
    <cellStyle name="Note 2 2 2 2 10 3" xfId="10572" xr:uid="{00000000-0005-0000-0000-00006D980000}"/>
    <cellStyle name="Note 2 2 2 2 10 3 2" xfId="14193" xr:uid="{00000000-0005-0000-0000-00006E980000}"/>
    <cellStyle name="Note 2 2 2 2 10 4" xfId="25745" xr:uid="{00000000-0005-0000-0000-00006F980000}"/>
    <cellStyle name="Note 2 2 2 2 10 5" xfId="25746" xr:uid="{00000000-0005-0000-0000-000070980000}"/>
    <cellStyle name="Note 2 2 2 2 10 6" xfId="25747" xr:uid="{00000000-0005-0000-0000-000071980000}"/>
    <cellStyle name="Note 2 2 2 2 10 7" xfId="25748" xr:uid="{00000000-0005-0000-0000-000072980000}"/>
    <cellStyle name="Note 2 2 2 2 11" xfId="7682" xr:uid="{00000000-0005-0000-0000-000073980000}"/>
    <cellStyle name="Note 2 2 2 2 11 2" xfId="10574" xr:uid="{00000000-0005-0000-0000-000074980000}"/>
    <cellStyle name="Note 2 2 2 2 11 2 2" xfId="14195" xr:uid="{00000000-0005-0000-0000-000075980000}"/>
    <cellStyle name="Note 2 2 2 2 11 3" xfId="25749" xr:uid="{00000000-0005-0000-0000-000076980000}"/>
    <cellStyle name="Note 2 2 2 2 11 4" xfId="25750" xr:uid="{00000000-0005-0000-0000-000077980000}"/>
    <cellStyle name="Note 2 2 2 2 11 5" xfId="25751" xr:uid="{00000000-0005-0000-0000-000078980000}"/>
    <cellStyle name="Note 2 2 2 2 11 6" xfId="25752" xr:uid="{00000000-0005-0000-0000-000079980000}"/>
    <cellStyle name="Note 2 2 2 2 12" xfId="7683" xr:uid="{00000000-0005-0000-0000-00007A980000}"/>
    <cellStyle name="Note 2 2 2 2 12 2" xfId="10575" xr:uid="{00000000-0005-0000-0000-00007B980000}"/>
    <cellStyle name="Note 2 2 2 2 12 2 2" xfId="14196" xr:uid="{00000000-0005-0000-0000-00007C980000}"/>
    <cellStyle name="Note 2 2 2 2 12 3" xfId="25753" xr:uid="{00000000-0005-0000-0000-00007D980000}"/>
    <cellStyle name="Note 2 2 2 2 12 4" xfId="25754" xr:uid="{00000000-0005-0000-0000-00007E980000}"/>
    <cellStyle name="Note 2 2 2 2 12 5" xfId="25755" xr:uid="{00000000-0005-0000-0000-00007F980000}"/>
    <cellStyle name="Note 2 2 2 2 12 6" xfId="25756" xr:uid="{00000000-0005-0000-0000-000080980000}"/>
    <cellStyle name="Note 2 2 2 2 13" xfId="7684" xr:uid="{00000000-0005-0000-0000-000081980000}"/>
    <cellStyle name="Note 2 2 2 2 13 2" xfId="10576" xr:uid="{00000000-0005-0000-0000-000082980000}"/>
    <cellStyle name="Note 2 2 2 2 13 2 2" xfId="14197" xr:uid="{00000000-0005-0000-0000-000083980000}"/>
    <cellStyle name="Note 2 2 2 2 13 3" xfId="25757" xr:uid="{00000000-0005-0000-0000-000084980000}"/>
    <cellStyle name="Note 2 2 2 2 13 4" xfId="25758" xr:uid="{00000000-0005-0000-0000-000085980000}"/>
    <cellStyle name="Note 2 2 2 2 13 5" xfId="25759" xr:uid="{00000000-0005-0000-0000-000086980000}"/>
    <cellStyle name="Note 2 2 2 2 13 6" xfId="25760" xr:uid="{00000000-0005-0000-0000-000087980000}"/>
    <cellStyle name="Note 2 2 2 2 14" xfId="7685" xr:uid="{00000000-0005-0000-0000-000088980000}"/>
    <cellStyle name="Note 2 2 2 2 14 2" xfId="10577" xr:uid="{00000000-0005-0000-0000-000089980000}"/>
    <cellStyle name="Note 2 2 2 2 14 2 2" xfId="14198" xr:uid="{00000000-0005-0000-0000-00008A980000}"/>
    <cellStyle name="Note 2 2 2 2 14 3" xfId="25761" xr:uid="{00000000-0005-0000-0000-00008B980000}"/>
    <cellStyle name="Note 2 2 2 2 14 4" xfId="25762" xr:uid="{00000000-0005-0000-0000-00008C980000}"/>
    <cellStyle name="Note 2 2 2 2 14 5" xfId="25763" xr:uid="{00000000-0005-0000-0000-00008D980000}"/>
    <cellStyle name="Note 2 2 2 2 14 6" xfId="25764" xr:uid="{00000000-0005-0000-0000-00008E980000}"/>
    <cellStyle name="Note 2 2 2 2 15" xfId="7686" xr:uid="{00000000-0005-0000-0000-00008F980000}"/>
    <cellStyle name="Note 2 2 2 2 15 2" xfId="10578" xr:uid="{00000000-0005-0000-0000-000090980000}"/>
    <cellStyle name="Note 2 2 2 2 15 2 2" xfId="14199" xr:uid="{00000000-0005-0000-0000-000091980000}"/>
    <cellStyle name="Note 2 2 2 2 15 3" xfId="25765" xr:uid="{00000000-0005-0000-0000-000092980000}"/>
    <cellStyle name="Note 2 2 2 2 15 4" xfId="25766" xr:uid="{00000000-0005-0000-0000-000093980000}"/>
    <cellStyle name="Note 2 2 2 2 15 5" xfId="25767" xr:uid="{00000000-0005-0000-0000-000094980000}"/>
    <cellStyle name="Note 2 2 2 2 15 6" xfId="25768" xr:uid="{00000000-0005-0000-0000-000095980000}"/>
    <cellStyle name="Note 2 2 2 2 16" xfId="10571" xr:uid="{00000000-0005-0000-0000-000096980000}"/>
    <cellStyle name="Note 2 2 2 2 16 2" xfId="14192" xr:uid="{00000000-0005-0000-0000-000097980000}"/>
    <cellStyle name="Note 2 2 2 2 17" xfId="25769" xr:uid="{00000000-0005-0000-0000-000098980000}"/>
    <cellStyle name="Note 2 2 2 2 18" xfId="25770" xr:uid="{00000000-0005-0000-0000-000099980000}"/>
    <cellStyle name="Note 2 2 2 2 19" xfId="25771" xr:uid="{00000000-0005-0000-0000-00009A980000}"/>
    <cellStyle name="Note 2 2 2 2 2" xfId="1714" xr:uid="{00000000-0005-0000-0000-00009B980000}"/>
    <cellStyle name="Note 2 2 2 2 2 10" xfId="25772" xr:uid="{00000000-0005-0000-0000-00009C980000}"/>
    <cellStyle name="Note 2 2 2 2 2 10 2" xfId="37937" xr:uid="{00000000-0005-0000-0000-00009D980000}"/>
    <cellStyle name="Note 2 2 2 2 2 11" xfId="25773" xr:uid="{00000000-0005-0000-0000-00009E980000}"/>
    <cellStyle name="Note 2 2 2 2 2 12" xfId="25774" xr:uid="{00000000-0005-0000-0000-00009F980000}"/>
    <cellStyle name="Note 2 2 2 2 2 13" xfId="25775" xr:uid="{00000000-0005-0000-0000-0000A0980000}"/>
    <cellStyle name="Note 2 2 2 2 2 14" xfId="25776" xr:uid="{00000000-0005-0000-0000-0000A1980000}"/>
    <cellStyle name="Note 2 2 2 2 2 2" xfId="1715" xr:uid="{00000000-0005-0000-0000-0000A2980000}"/>
    <cellStyle name="Note 2 2 2 2 2 2 10" xfId="25777" xr:uid="{00000000-0005-0000-0000-0000A3980000}"/>
    <cellStyle name="Note 2 2 2 2 2 2 2" xfId="3967" xr:uid="{00000000-0005-0000-0000-0000A4980000}"/>
    <cellStyle name="Note 2 2 2 2 2 2 2 2" xfId="3968" xr:uid="{00000000-0005-0000-0000-0000A5980000}"/>
    <cellStyle name="Note 2 2 2 2 2 2 2 2 2" xfId="5538" xr:uid="{00000000-0005-0000-0000-0000A6980000}"/>
    <cellStyle name="Note 2 2 2 2 2 2 2 2 2 2" xfId="10583" xr:uid="{00000000-0005-0000-0000-0000A7980000}"/>
    <cellStyle name="Note 2 2 2 2 2 2 2 2 2 2 2" xfId="14204" xr:uid="{00000000-0005-0000-0000-0000A8980000}"/>
    <cellStyle name="Note 2 2 2 2 2 2 2 2 2 3" xfId="25778" xr:uid="{00000000-0005-0000-0000-0000A9980000}"/>
    <cellStyle name="Note 2 2 2 2 2 2 2 2 2 4" xfId="25779" xr:uid="{00000000-0005-0000-0000-0000AA980000}"/>
    <cellStyle name="Note 2 2 2 2 2 2 2 2 2 5" xfId="25780" xr:uid="{00000000-0005-0000-0000-0000AB980000}"/>
    <cellStyle name="Note 2 2 2 2 2 2 2 2 2 6" xfId="25781" xr:uid="{00000000-0005-0000-0000-0000AC980000}"/>
    <cellStyle name="Note 2 2 2 2 2 2 2 2 3" xfId="10582" xr:uid="{00000000-0005-0000-0000-0000AD980000}"/>
    <cellStyle name="Note 2 2 2 2 2 2 2 2 3 2" xfId="14203" xr:uid="{00000000-0005-0000-0000-0000AE980000}"/>
    <cellStyle name="Note 2 2 2 2 2 2 2 2 3 3" xfId="38535" xr:uid="{00000000-0005-0000-0000-0000AF980000}"/>
    <cellStyle name="Note 2 2 2 2 2 2 2 2 4" xfId="25782" xr:uid="{00000000-0005-0000-0000-0000B0980000}"/>
    <cellStyle name="Note 2 2 2 2 2 2 2 2 5" xfId="25783" xr:uid="{00000000-0005-0000-0000-0000B1980000}"/>
    <cellStyle name="Note 2 2 2 2 2 2 2 2 6" xfId="25784" xr:uid="{00000000-0005-0000-0000-0000B2980000}"/>
    <cellStyle name="Note 2 2 2 2 2 2 2 2 7" xfId="25785" xr:uid="{00000000-0005-0000-0000-0000B3980000}"/>
    <cellStyle name="Note 2 2 2 2 2 2 2 3" xfId="10581" xr:uid="{00000000-0005-0000-0000-0000B4980000}"/>
    <cellStyle name="Note 2 2 2 2 2 2 2 3 2" xfId="14202" xr:uid="{00000000-0005-0000-0000-0000B5980000}"/>
    <cellStyle name="Note 2 2 2 2 2 2 2 4" xfId="25786" xr:uid="{00000000-0005-0000-0000-0000B6980000}"/>
    <cellStyle name="Note 2 2 2 2 2 2 2 5" xfId="25787" xr:uid="{00000000-0005-0000-0000-0000B7980000}"/>
    <cellStyle name="Note 2 2 2 2 2 2 2 6" xfId="25788" xr:uid="{00000000-0005-0000-0000-0000B8980000}"/>
    <cellStyle name="Note 2 2 2 2 2 2 2 7" xfId="25789" xr:uid="{00000000-0005-0000-0000-0000B9980000}"/>
    <cellStyle name="Note 2 2 2 2 2 2 3" xfId="3966" xr:uid="{00000000-0005-0000-0000-0000BA980000}"/>
    <cellStyle name="Note 2 2 2 2 2 2 3 2" xfId="10584" xr:uid="{00000000-0005-0000-0000-0000BB980000}"/>
    <cellStyle name="Note 2 2 2 2 2 2 3 2 2" xfId="14205" xr:uid="{00000000-0005-0000-0000-0000BC980000}"/>
    <cellStyle name="Note 2 2 2 2 2 2 3 3" xfId="25790" xr:uid="{00000000-0005-0000-0000-0000BD980000}"/>
    <cellStyle name="Note 2 2 2 2 2 2 3 4" xfId="25791" xr:uid="{00000000-0005-0000-0000-0000BE980000}"/>
    <cellStyle name="Note 2 2 2 2 2 2 3 5" xfId="25792" xr:uid="{00000000-0005-0000-0000-0000BF980000}"/>
    <cellStyle name="Note 2 2 2 2 2 2 3 6" xfId="25793" xr:uid="{00000000-0005-0000-0000-0000C0980000}"/>
    <cellStyle name="Note 2 2 2 2 2 2 4" xfId="4904" xr:uid="{00000000-0005-0000-0000-0000C1980000}"/>
    <cellStyle name="Note 2 2 2 2 2 2 4 2" xfId="10585" xr:uid="{00000000-0005-0000-0000-0000C2980000}"/>
    <cellStyle name="Note 2 2 2 2 2 2 4 2 2" xfId="14206" xr:uid="{00000000-0005-0000-0000-0000C3980000}"/>
    <cellStyle name="Note 2 2 2 2 2 2 4 3" xfId="25794" xr:uid="{00000000-0005-0000-0000-0000C4980000}"/>
    <cellStyle name="Note 2 2 2 2 2 2 4 4" xfId="25795" xr:uid="{00000000-0005-0000-0000-0000C5980000}"/>
    <cellStyle name="Note 2 2 2 2 2 2 4 5" xfId="25796" xr:uid="{00000000-0005-0000-0000-0000C6980000}"/>
    <cellStyle name="Note 2 2 2 2 2 2 4 6" xfId="25797" xr:uid="{00000000-0005-0000-0000-0000C7980000}"/>
    <cellStyle name="Note 2 2 2 2 2 2 5" xfId="10580" xr:uid="{00000000-0005-0000-0000-0000C8980000}"/>
    <cellStyle name="Note 2 2 2 2 2 2 5 2" xfId="14201" xr:uid="{00000000-0005-0000-0000-0000C9980000}"/>
    <cellStyle name="Note 2 2 2 2 2 2 5 3" xfId="37938" xr:uid="{00000000-0005-0000-0000-0000CA980000}"/>
    <cellStyle name="Note 2 2 2 2 2 2 6" xfId="25798" xr:uid="{00000000-0005-0000-0000-0000CB980000}"/>
    <cellStyle name="Note 2 2 2 2 2 2 7" xfId="25799" xr:uid="{00000000-0005-0000-0000-0000CC980000}"/>
    <cellStyle name="Note 2 2 2 2 2 2 8" xfId="25800" xr:uid="{00000000-0005-0000-0000-0000CD980000}"/>
    <cellStyle name="Note 2 2 2 2 2 2 9" xfId="25801" xr:uid="{00000000-0005-0000-0000-0000CE980000}"/>
    <cellStyle name="Note 2 2 2 2 2 2_TRA" xfId="3969" xr:uid="{00000000-0005-0000-0000-0000CF980000}"/>
    <cellStyle name="Note 2 2 2 2 2 3" xfId="1716" xr:uid="{00000000-0005-0000-0000-0000D0980000}"/>
    <cellStyle name="Note 2 2 2 2 2 3 2" xfId="3970" xr:uid="{00000000-0005-0000-0000-0000D1980000}"/>
    <cellStyle name="Note 2 2 2 2 2 3 2 2" xfId="10587" xr:uid="{00000000-0005-0000-0000-0000D2980000}"/>
    <cellStyle name="Note 2 2 2 2 2 3 2 2 2" xfId="14208" xr:uid="{00000000-0005-0000-0000-0000D3980000}"/>
    <cellStyle name="Note 2 2 2 2 2 3 2 3" xfId="25802" xr:uid="{00000000-0005-0000-0000-0000D4980000}"/>
    <cellStyle name="Note 2 2 2 2 2 3 2 4" xfId="25803" xr:uid="{00000000-0005-0000-0000-0000D5980000}"/>
    <cellStyle name="Note 2 2 2 2 2 3 2 5" xfId="25804" xr:uid="{00000000-0005-0000-0000-0000D6980000}"/>
    <cellStyle name="Note 2 2 2 2 2 3 2 6" xfId="25805" xr:uid="{00000000-0005-0000-0000-0000D7980000}"/>
    <cellStyle name="Note 2 2 2 2 2 3 3" xfId="4905" xr:uid="{00000000-0005-0000-0000-0000D8980000}"/>
    <cellStyle name="Note 2 2 2 2 2 3 3 2" xfId="14207" xr:uid="{00000000-0005-0000-0000-0000D9980000}"/>
    <cellStyle name="Note 2 2 2 2 2 3 3 3" xfId="35872" xr:uid="{00000000-0005-0000-0000-0000DA980000}"/>
    <cellStyle name="Note 2 2 2 2 2 3 3 4" xfId="10586" xr:uid="{00000000-0005-0000-0000-0000DB980000}"/>
    <cellStyle name="Note 2 2 2 2 2 3 4" xfId="25806" xr:uid="{00000000-0005-0000-0000-0000DC980000}"/>
    <cellStyle name="Note 2 2 2 2 2 3 4 2" xfId="37939" xr:uid="{00000000-0005-0000-0000-0000DD980000}"/>
    <cellStyle name="Note 2 2 2 2 2 3 5" xfId="25807" xr:uid="{00000000-0005-0000-0000-0000DE980000}"/>
    <cellStyle name="Note 2 2 2 2 2 3 6" xfId="25808" xr:uid="{00000000-0005-0000-0000-0000DF980000}"/>
    <cellStyle name="Note 2 2 2 2 2 3 7" xfId="25809" xr:uid="{00000000-0005-0000-0000-0000E0980000}"/>
    <cellStyle name="Note 2 2 2 2 2 3 8" xfId="25810" xr:uid="{00000000-0005-0000-0000-0000E1980000}"/>
    <cellStyle name="Note 2 2 2 2 2 4" xfId="3971" xr:uid="{00000000-0005-0000-0000-0000E2980000}"/>
    <cellStyle name="Note 2 2 2 2 2 4 2" xfId="5539" xr:uid="{00000000-0005-0000-0000-0000E3980000}"/>
    <cellStyle name="Note 2 2 2 2 2 4 2 2" xfId="10589" xr:uid="{00000000-0005-0000-0000-0000E4980000}"/>
    <cellStyle name="Note 2 2 2 2 2 4 2 2 2" xfId="14210" xr:uid="{00000000-0005-0000-0000-0000E5980000}"/>
    <cellStyle name="Note 2 2 2 2 2 4 2 3" xfId="25811" xr:uid="{00000000-0005-0000-0000-0000E6980000}"/>
    <cellStyle name="Note 2 2 2 2 2 4 2 4" xfId="25812" xr:uid="{00000000-0005-0000-0000-0000E7980000}"/>
    <cellStyle name="Note 2 2 2 2 2 4 2 5" xfId="25813" xr:uid="{00000000-0005-0000-0000-0000E8980000}"/>
    <cellStyle name="Note 2 2 2 2 2 4 2 6" xfId="25814" xr:uid="{00000000-0005-0000-0000-0000E9980000}"/>
    <cellStyle name="Note 2 2 2 2 2 4 3" xfId="10588" xr:uid="{00000000-0005-0000-0000-0000EA980000}"/>
    <cellStyle name="Note 2 2 2 2 2 4 3 2" xfId="14209" xr:uid="{00000000-0005-0000-0000-0000EB980000}"/>
    <cellStyle name="Note 2 2 2 2 2 4 3 3" xfId="38536" xr:uid="{00000000-0005-0000-0000-0000EC980000}"/>
    <cellStyle name="Note 2 2 2 2 2 4 4" xfId="25815" xr:uid="{00000000-0005-0000-0000-0000ED980000}"/>
    <cellStyle name="Note 2 2 2 2 2 4 5" xfId="25816" xr:uid="{00000000-0005-0000-0000-0000EE980000}"/>
    <cellStyle name="Note 2 2 2 2 2 4 6" xfId="25817" xr:uid="{00000000-0005-0000-0000-0000EF980000}"/>
    <cellStyle name="Note 2 2 2 2 2 4 7" xfId="25818" xr:uid="{00000000-0005-0000-0000-0000F0980000}"/>
    <cellStyle name="Note 2 2 2 2 2 5" xfId="3972" xr:uid="{00000000-0005-0000-0000-0000F1980000}"/>
    <cellStyle name="Note 2 2 2 2 2 5 2" xfId="5540" xr:uid="{00000000-0005-0000-0000-0000F2980000}"/>
    <cellStyle name="Note 2 2 2 2 2 5 2 2" xfId="10591" xr:uid="{00000000-0005-0000-0000-0000F3980000}"/>
    <cellStyle name="Note 2 2 2 2 2 5 2 2 2" xfId="14212" xr:uid="{00000000-0005-0000-0000-0000F4980000}"/>
    <cellStyle name="Note 2 2 2 2 2 5 2 3" xfId="25819" xr:uid="{00000000-0005-0000-0000-0000F5980000}"/>
    <cellStyle name="Note 2 2 2 2 2 5 2 4" xfId="25820" xr:uid="{00000000-0005-0000-0000-0000F6980000}"/>
    <cellStyle name="Note 2 2 2 2 2 5 2 5" xfId="25821" xr:uid="{00000000-0005-0000-0000-0000F7980000}"/>
    <cellStyle name="Note 2 2 2 2 2 5 2 6" xfId="25822" xr:uid="{00000000-0005-0000-0000-0000F8980000}"/>
    <cellStyle name="Note 2 2 2 2 2 5 3" xfId="10590" xr:uid="{00000000-0005-0000-0000-0000F9980000}"/>
    <cellStyle name="Note 2 2 2 2 2 5 3 2" xfId="14211" xr:uid="{00000000-0005-0000-0000-0000FA980000}"/>
    <cellStyle name="Note 2 2 2 2 2 5 3 3" xfId="38537" xr:uid="{00000000-0005-0000-0000-0000FB980000}"/>
    <cellStyle name="Note 2 2 2 2 2 5 4" xfId="25823" xr:uid="{00000000-0005-0000-0000-0000FC980000}"/>
    <cellStyle name="Note 2 2 2 2 2 5 5" xfId="25824" xr:uid="{00000000-0005-0000-0000-0000FD980000}"/>
    <cellStyle name="Note 2 2 2 2 2 5 6" xfId="25825" xr:uid="{00000000-0005-0000-0000-0000FE980000}"/>
    <cellStyle name="Note 2 2 2 2 2 5 7" xfId="25826" xr:uid="{00000000-0005-0000-0000-0000FF980000}"/>
    <cellStyle name="Note 2 2 2 2 2 6" xfId="3973" xr:uid="{00000000-0005-0000-0000-000000990000}"/>
    <cellStyle name="Note 2 2 2 2 2 6 2" xfId="5541" xr:uid="{00000000-0005-0000-0000-000001990000}"/>
    <cellStyle name="Note 2 2 2 2 2 6 2 2" xfId="10593" xr:uid="{00000000-0005-0000-0000-000002990000}"/>
    <cellStyle name="Note 2 2 2 2 2 6 2 2 2" xfId="14214" xr:uid="{00000000-0005-0000-0000-000003990000}"/>
    <cellStyle name="Note 2 2 2 2 2 6 2 3" xfId="25827" xr:uid="{00000000-0005-0000-0000-000004990000}"/>
    <cellStyle name="Note 2 2 2 2 2 6 2 4" xfId="25828" xr:uid="{00000000-0005-0000-0000-000005990000}"/>
    <cellStyle name="Note 2 2 2 2 2 6 2 5" xfId="25829" xr:uid="{00000000-0005-0000-0000-000006990000}"/>
    <cellStyle name="Note 2 2 2 2 2 6 2 6" xfId="25830" xr:uid="{00000000-0005-0000-0000-000007990000}"/>
    <cellStyle name="Note 2 2 2 2 2 6 3" xfId="10592" xr:uid="{00000000-0005-0000-0000-000008990000}"/>
    <cellStyle name="Note 2 2 2 2 2 6 3 2" xfId="14213" xr:uid="{00000000-0005-0000-0000-000009990000}"/>
    <cellStyle name="Note 2 2 2 2 2 6 3 3" xfId="38538" xr:uid="{00000000-0005-0000-0000-00000A990000}"/>
    <cellStyle name="Note 2 2 2 2 2 6 4" xfId="25831" xr:uid="{00000000-0005-0000-0000-00000B990000}"/>
    <cellStyle name="Note 2 2 2 2 2 6 5" xfId="25832" xr:uid="{00000000-0005-0000-0000-00000C990000}"/>
    <cellStyle name="Note 2 2 2 2 2 6 6" xfId="25833" xr:uid="{00000000-0005-0000-0000-00000D990000}"/>
    <cellStyle name="Note 2 2 2 2 2 6 7" xfId="25834" xr:uid="{00000000-0005-0000-0000-00000E990000}"/>
    <cellStyle name="Note 2 2 2 2 2 7" xfId="3974" xr:uid="{00000000-0005-0000-0000-00000F990000}"/>
    <cellStyle name="Note 2 2 2 2 2 7 2" xfId="10594" xr:uid="{00000000-0005-0000-0000-000010990000}"/>
    <cellStyle name="Note 2 2 2 2 2 7 2 2" xfId="14215" xr:uid="{00000000-0005-0000-0000-000011990000}"/>
    <cellStyle name="Note 2 2 2 2 2 7 3" xfId="25835" xr:uid="{00000000-0005-0000-0000-000012990000}"/>
    <cellStyle name="Note 2 2 2 2 2 7 4" xfId="25836" xr:uid="{00000000-0005-0000-0000-000013990000}"/>
    <cellStyle name="Note 2 2 2 2 2 7 5" xfId="25837" xr:uid="{00000000-0005-0000-0000-000014990000}"/>
    <cellStyle name="Note 2 2 2 2 2 7 6" xfId="25838" xr:uid="{00000000-0005-0000-0000-000015990000}"/>
    <cellStyle name="Note 2 2 2 2 2 8" xfId="3965" xr:uid="{00000000-0005-0000-0000-000016990000}"/>
    <cellStyle name="Note 2 2 2 2 2 8 2" xfId="10595" xr:uid="{00000000-0005-0000-0000-000017990000}"/>
    <cellStyle name="Note 2 2 2 2 2 8 2 2" xfId="14216" xr:uid="{00000000-0005-0000-0000-000018990000}"/>
    <cellStyle name="Note 2 2 2 2 2 8 3" xfId="25839" xr:uid="{00000000-0005-0000-0000-000019990000}"/>
    <cellStyle name="Note 2 2 2 2 2 8 4" xfId="25840" xr:uid="{00000000-0005-0000-0000-00001A990000}"/>
    <cellStyle name="Note 2 2 2 2 2 8 5" xfId="25841" xr:uid="{00000000-0005-0000-0000-00001B990000}"/>
    <cellStyle name="Note 2 2 2 2 2 8 6" xfId="25842" xr:uid="{00000000-0005-0000-0000-00001C990000}"/>
    <cellStyle name="Note 2 2 2 2 2 8 7" xfId="35483" xr:uid="{00000000-0005-0000-0000-00001D990000}"/>
    <cellStyle name="Note 2 2 2 2 2 8 8" xfId="7687" xr:uid="{00000000-0005-0000-0000-00001E990000}"/>
    <cellStyle name="Note 2 2 2 2 2 9" xfId="4903" xr:uid="{00000000-0005-0000-0000-00001F990000}"/>
    <cellStyle name="Note 2 2 2 2 2 9 2" xfId="14200" xr:uid="{00000000-0005-0000-0000-000020990000}"/>
    <cellStyle name="Note 2 2 2 2 2 9 3" xfId="35871" xr:uid="{00000000-0005-0000-0000-000021990000}"/>
    <cellStyle name="Note 2 2 2 2 2 9 4" xfId="10579" xr:uid="{00000000-0005-0000-0000-000022990000}"/>
    <cellStyle name="Note 2 2 2 2 2_IND_UC" xfId="3975" xr:uid="{00000000-0005-0000-0000-000023990000}"/>
    <cellStyle name="Note 2 2 2 2 20" xfId="25843" xr:uid="{00000000-0005-0000-0000-000024990000}"/>
    <cellStyle name="Note 2 2 2 2 21" xfId="25844" xr:uid="{00000000-0005-0000-0000-000025990000}"/>
    <cellStyle name="Note 2 2 2 2 3" xfId="1717" xr:uid="{00000000-0005-0000-0000-000026990000}"/>
    <cellStyle name="Note 2 2 2 2 3 10" xfId="10596" xr:uid="{00000000-0005-0000-0000-000027990000}"/>
    <cellStyle name="Note 2 2 2 2 3 10 2" xfId="14217" xr:uid="{00000000-0005-0000-0000-000028990000}"/>
    <cellStyle name="Note 2 2 2 2 3 11" xfId="25845" xr:uid="{00000000-0005-0000-0000-000029990000}"/>
    <cellStyle name="Note 2 2 2 2 3 12" xfId="25846" xr:uid="{00000000-0005-0000-0000-00002A990000}"/>
    <cellStyle name="Note 2 2 2 2 3 13" xfId="25847" xr:uid="{00000000-0005-0000-0000-00002B990000}"/>
    <cellStyle name="Note 2 2 2 2 3 14" xfId="25848" xr:uid="{00000000-0005-0000-0000-00002C990000}"/>
    <cellStyle name="Note 2 2 2 2 3 15" xfId="25849" xr:uid="{00000000-0005-0000-0000-00002D990000}"/>
    <cellStyle name="Note 2 2 2 2 3 2" xfId="3977" xr:uid="{00000000-0005-0000-0000-00002E990000}"/>
    <cellStyle name="Note 2 2 2 2 3 2 2" xfId="5542" xr:uid="{00000000-0005-0000-0000-00002F990000}"/>
    <cellStyle name="Note 2 2 2 2 3 2 2 2" xfId="10598" xr:uid="{00000000-0005-0000-0000-000030990000}"/>
    <cellStyle name="Note 2 2 2 2 3 2 2 2 2" xfId="14219" xr:uid="{00000000-0005-0000-0000-000031990000}"/>
    <cellStyle name="Note 2 2 2 2 3 2 2 3" xfId="25850" xr:uid="{00000000-0005-0000-0000-000032990000}"/>
    <cellStyle name="Note 2 2 2 2 3 2 2 4" xfId="25851" xr:uid="{00000000-0005-0000-0000-000033990000}"/>
    <cellStyle name="Note 2 2 2 2 3 2 2 5" xfId="25852" xr:uid="{00000000-0005-0000-0000-000034990000}"/>
    <cellStyle name="Note 2 2 2 2 3 2 2 6" xfId="25853" xr:uid="{00000000-0005-0000-0000-000035990000}"/>
    <cellStyle name="Note 2 2 2 2 3 2 3" xfId="10597" xr:uid="{00000000-0005-0000-0000-000036990000}"/>
    <cellStyle name="Note 2 2 2 2 3 2 3 2" xfId="14218" xr:uid="{00000000-0005-0000-0000-000037990000}"/>
    <cellStyle name="Note 2 2 2 2 3 2 3 3" xfId="38539" xr:uid="{00000000-0005-0000-0000-000038990000}"/>
    <cellStyle name="Note 2 2 2 2 3 2 4" xfId="25854" xr:uid="{00000000-0005-0000-0000-000039990000}"/>
    <cellStyle name="Note 2 2 2 2 3 2 5" xfId="25855" xr:uid="{00000000-0005-0000-0000-00003A990000}"/>
    <cellStyle name="Note 2 2 2 2 3 2 6" xfId="25856" xr:uid="{00000000-0005-0000-0000-00003B990000}"/>
    <cellStyle name="Note 2 2 2 2 3 2 7" xfId="25857" xr:uid="{00000000-0005-0000-0000-00003C990000}"/>
    <cellStyle name="Note 2 2 2 2 3 3" xfId="3978" xr:uid="{00000000-0005-0000-0000-00003D990000}"/>
    <cellStyle name="Note 2 2 2 2 3 3 2" xfId="5543" xr:uid="{00000000-0005-0000-0000-00003E990000}"/>
    <cellStyle name="Note 2 2 2 2 3 3 2 2" xfId="10600" xr:uid="{00000000-0005-0000-0000-00003F990000}"/>
    <cellStyle name="Note 2 2 2 2 3 3 2 2 2" xfId="14221" xr:uid="{00000000-0005-0000-0000-000040990000}"/>
    <cellStyle name="Note 2 2 2 2 3 3 2 3" xfId="25858" xr:uid="{00000000-0005-0000-0000-000041990000}"/>
    <cellStyle name="Note 2 2 2 2 3 3 2 4" xfId="25859" xr:uid="{00000000-0005-0000-0000-000042990000}"/>
    <cellStyle name="Note 2 2 2 2 3 3 2 5" xfId="25860" xr:uid="{00000000-0005-0000-0000-000043990000}"/>
    <cellStyle name="Note 2 2 2 2 3 3 2 6" xfId="25861" xr:uid="{00000000-0005-0000-0000-000044990000}"/>
    <cellStyle name="Note 2 2 2 2 3 3 3" xfId="10599" xr:uid="{00000000-0005-0000-0000-000045990000}"/>
    <cellStyle name="Note 2 2 2 2 3 3 3 2" xfId="14220" xr:uid="{00000000-0005-0000-0000-000046990000}"/>
    <cellStyle name="Note 2 2 2 2 3 3 3 3" xfId="38540" xr:uid="{00000000-0005-0000-0000-000047990000}"/>
    <cellStyle name="Note 2 2 2 2 3 3 4" xfId="25862" xr:uid="{00000000-0005-0000-0000-000048990000}"/>
    <cellStyle name="Note 2 2 2 2 3 3 5" xfId="25863" xr:uid="{00000000-0005-0000-0000-000049990000}"/>
    <cellStyle name="Note 2 2 2 2 3 3 6" xfId="25864" xr:uid="{00000000-0005-0000-0000-00004A990000}"/>
    <cellStyle name="Note 2 2 2 2 3 3 7" xfId="25865" xr:uid="{00000000-0005-0000-0000-00004B990000}"/>
    <cellStyle name="Note 2 2 2 2 3 4" xfId="3979" xr:uid="{00000000-0005-0000-0000-00004C990000}"/>
    <cellStyle name="Note 2 2 2 2 3 4 2" xfId="5544" xr:uid="{00000000-0005-0000-0000-00004D990000}"/>
    <cellStyle name="Note 2 2 2 2 3 4 2 2" xfId="10602" xr:uid="{00000000-0005-0000-0000-00004E990000}"/>
    <cellStyle name="Note 2 2 2 2 3 4 2 2 2" xfId="14223" xr:uid="{00000000-0005-0000-0000-00004F990000}"/>
    <cellStyle name="Note 2 2 2 2 3 4 2 3" xfId="25866" xr:uid="{00000000-0005-0000-0000-000050990000}"/>
    <cellStyle name="Note 2 2 2 2 3 4 2 4" xfId="25867" xr:uid="{00000000-0005-0000-0000-000051990000}"/>
    <cellStyle name="Note 2 2 2 2 3 4 2 5" xfId="25868" xr:uid="{00000000-0005-0000-0000-000052990000}"/>
    <cellStyle name="Note 2 2 2 2 3 4 2 6" xfId="25869" xr:uid="{00000000-0005-0000-0000-000053990000}"/>
    <cellStyle name="Note 2 2 2 2 3 4 3" xfId="10601" xr:uid="{00000000-0005-0000-0000-000054990000}"/>
    <cellStyle name="Note 2 2 2 2 3 4 3 2" xfId="14222" xr:uid="{00000000-0005-0000-0000-000055990000}"/>
    <cellStyle name="Note 2 2 2 2 3 4 3 3" xfId="38541" xr:uid="{00000000-0005-0000-0000-000056990000}"/>
    <cellStyle name="Note 2 2 2 2 3 4 4" xfId="25870" xr:uid="{00000000-0005-0000-0000-000057990000}"/>
    <cellStyle name="Note 2 2 2 2 3 4 5" xfId="25871" xr:uid="{00000000-0005-0000-0000-000058990000}"/>
    <cellStyle name="Note 2 2 2 2 3 4 6" xfId="25872" xr:uid="{00000000-0005-0000-0000-000059990000}"/>
    <cellStyle name="Note 2 2 2 2 3 4 7" xfId="25873" xr:uid="{00000000-0005-0000-0000-00005A990000}"/>
    <cellStyle name="Note 2 2 2 2 3 5" xfId="3980" xr:uid="{00000000-0005-0000-0000-00005B990000}"/>
    <cellStyle name="Note 2 2 2 2 3 5 2" xfId="7988" xr:uid="{00000000-0005-0000-0000-00005C990000}"/>
    <cellStyle name="Note 2 2 2 2 3 5 2 2" xfId="10604" xr:uid="{00000000-0005-0000-0000-00005D990000}"/>
    <cellStyle name="Note 2 2 2 2 3 5 2 2 2" xfId="14225" xr:uid="{00000000-0005-0000-0000-00005E990000}"/>
    <cellStyle name="Note 2 2 2 2 3 5 2 3" xfId="25874" xr:uid="{00000000-0005-0000-0000-00005F990000}"/>
    <cellStyle name="Note 2 2 2 2 3 5 2 4" xfId="25875" xr:uid="{00000000-0005-0000-0000-000060990000}"/>
    <cellStyle name="Note 2 2 2 2 3 5 2 5" xfId="25876" xr:uid="{00000000-0005-0000-0000-000061990000}"/>
    <cellStyle name="Note 2 2 2 2 3 5 2 6" xfId="25877" xr:uid="{00000000-0005-0000-0000-000062990000}"/>
    <cellStyle name="Note 2 2 2 2 3 5 3" xfId="10603" xr:uid="{00000000-0005-0000-0000-000063990000}"/>
    <cellStyle name="Note 2 2 2 2 3 5 3 2" xfId="14224" xr:uid="{00000000-0005-0000-0000-000064990000}"/>
    <cellStyle name="Note 2 2 2 2 3 5 4" xfId="25878" xr:uid="{00000000-0005-0000-0000-000065990000}"/>
    <cellStyle name="Note 2 2 2 2 3 5 5" xfId="25879" xr:uid="{00000000-0005-0000-0000-000066990000}"/>
    <cellStyle name="Note 2 2 2 2 3 5 6" xfId="25880" xr:uid="{00000000-0005-0000-0000-000067990000}"/>
    <cellStyle name="Note 2 2 2 2 3 5 7" xfId="25881" xr:uid="{00000000-0005-0000-0000-000068990000}"/>
    <cellStyle name="Note 2 2 2 2 3 5 8" xfId="7688" xr:uid="{00000000-0005-0000-0000-000069990000}"/>
    <cellStyle name="Note 2 2 2 2 3 6" xfId="3976" xr:uid="{00000000-0005-0000-0000-00006A990000}"/>
    <cellStyle name="Note 2 2 2 2 3 6 2" xfId="10605" xr:uid="{00000000-0005-0000-0000-00006B990000}"/>
    <cellStyle name="Note 2 2 2 2 3 6 2 2" xfId="14226" xr:uid="{00000000-0005-0000-0000-00006C990000}"/>
    <cellStyle name="Note 2 2 2 2 3 6 3" xfId="25882" xr:uid="{00000000-0005-0000-0000-00006D990000}"/>
    <cellStyle name="Note 2 2 2 2 3 6 4" xfId="25883" xr:uid="{00000000-0005-0000-0000-00006E990000}"/>
    <cellStyle name="Note 2 2 2 2 3 6 5" xfId="25884" xr:uid="{00000000-0005-0000-0000-00006F990000}"/>
    <cellStyle name="Note 2 2 2 2 3 6 6" xfId="25885" xr:uid="{00000000-0005-0000-0000-000070990000}"/>
    <cellStyle name="Note 2 2 2 2 3 7" xfId="4906" xr:uid="{00000000-0005-0000-0000-000071990000}"/>
    <cellStyle name="Note 2 2 2 2 3 7 2" xfId="10606" xr:uid="{00000000-0005-0000-0000-000072990000}"/>
    <cellStyle name="Note 2 2 2 2 3 7 2 2" xfId="14227" xr:uid="{00000000-0005-0000-0000-000073990000}"/>
    <cellStyle name="Note 2 2 2 2 3 7 3" xfId="25886" xr:uid="{00000000-0005-0000-0000-000074990000}"/>
    <cellStyle name="Note 2 2 2 2 3 7 4" xfId="25887" xr:uid="{00000000-0005-0000-0000-000075990000}"/>
    <cellStyle name="Note 2 2 2 2 3 7 5" xfId="25888" xr:uid="{00000000-0005-0000-0000-000076990000}"/>
    <cellStyle name="Note 2 2 2 2 3 7 6" xfId="25889" xr:uid="{00000000-0005-0000-0000-000077990000}"/>
    <cellStyle name="Note 2 2 2 2 3 8" xfId="7689" xr:uid="{00000000-0005-0000-0000-000078990000}"/>
    <cellStyle name="Note 2 2 2 2 3 8 2" xfId="10607" xr:uid="{00000000-0005-0000-0000-000079990000}"/>
    <cellStyle name="Note 2 2 2 2 3 8 2 2" xfId="14228" xr:uid="{00000000-0005-0000-0000-00007A990000}"/>
    <cellStyle name="Note 2 2 2 2 3 8 3" xfId="25890" xr:uid="{00000000-0005-0000-0000-00007B990000}"/>
    <cellStyle name="Note 2 2 2 2 3 8 4" xfId="25891" xr:uid="{00000000-0005-0000-0000-00007C990000}"/>
    <cellStyle name="Note 2 2 2 2 3 8 5" xfId="25892" xr:uid="{00000000-0005-0000-0000-00007D990000}"/>
    <cellStyle name="Note 2 2 2 2 3 8 6" xfId="25893" xr:uid="{00000000-0005-0000-0000-00007E990000}"/>
    <cellStyle name="Note 2 2 2 2 3 9" xfId="7690" xr:uid="{00000000-0005-0000-0000-00007F990000}"/>
    <cellStyle name="Note 2 2 2 2 3 9 2" xfId="10608" xr:uid="{00000000-0005-0000-0000-000080990000}"/>
    <cellStyle name="Note 2 2 2 2 3 9 2 2" xfId="14229" xr:uid="{00000000-0005-0000-0000-000081990000}"/>
    <cellStyle name="Note 2 2 2 2 3 9 3" xfId="25894" xr:uid="{00000000-0005-0000-0000-000082990000}"/>
    <cellStyle name="Note 2 2 2 2 3 9 4" xfId="25895" xr:uid="{00000000-0005-0000-0000-000083990000}"/>
    <cellStyle name="Note 2 2 2 2 3 9 5" xfId="25896" xr:uid="{00000000-0005-0000-0000-000084990000}"/>
    <cellStyle name="Note 2 2 2 2 3 9 6" xfId="25897" xr:uid="{00000000-0005-0000-0000-000085990000}"/>
    <cellStyle name="Note 2 2 2 2 3_IND_UC" xfId="3981" xr:uid="{00000000-0005-0000-0000-000086990000}"/>
    <cellStyle name="Note 2 2 2 2 4" xfId="1718" xr:uid="{00000000-0005-0000-0000-000087990000}"/>
    <cellStyle name="Note 2 2 2 2 4 10" xfId="25898" xr:uid="{00000000-0005-0000-0000-000088990000}"/>
    <cellStyle name="Note 2 2 2 2 4 11" xfId="25899" xr:uid="{00000000-0005-0000-0000-000089990000}"/>
    <cellStyle name="Note 2 2 2 2 4 12" xfId="25900" xr:uid="{00000000-0005-0000-0000-00008A990000}"/>
    <cellStyle name="Note 2 2 2 2 4 2" xfId="1719" xr:uid="{00000000-0005-0000-0000-00008B990000}"/>
    <cellStyle name="Note 2 2 2 2 4 2 2" xfId="3983" xr:uid="{00000000-0005-0000-0000-00008C990000}"/>
    <cellStyle name="Note 2 2 2 2 4 2 2 2" xfId="10611" xr:uid="{00000000-0005-0000-0000-00008D990000}"/>
    <cellStyle name="Note 2 2 2 2 4 2 2 2 2" xfId="14232" xr:uid="{00000000-0005-0000-0000-00008E990000}"/>
    <cellStyle name="Note 2 2 2 2 4 2 2 3" xfId="25901" xr:uid="{00000000-0005-0000-0000-00008F990000}"/>
    <cellStyle name="Note 2 2 2 2 4 2 2 4" xfId="25902" xr:uid="{00000000-0005-0000-0000-000090990000}"/>
    <cellStyle name="Note 2 2 2 2 4 2 2 5" xfId="25903" xr:uid="{00000000-0005-0000-0000-000091990000}"/>
    <cellStyle name="Note 2 2 2 2 4 2 2 6" xfId="25904" xr:uid="{00000000-0005-0000-0000-000092990000}"/>
    <cellStyle name="Note 2 2 2 2 4 2 3" xfId="4907" xr:uid="{00000000-0005-0000-0000-000093990000}"/>
    <cellStyle name="Note 2 2 2 2 4 2 3 2" xfId="14231" xr:uid="{00000000-0005-0000-0000-000094990000}"/>
    <cellStyle name="Note 2 2 2 2 4 2 3 3" xfId="35873" xr:uid="{00000000-0005-0000-0000-000095990000}"/>
    <cellStyle name="Note 2 2 2 2 4 2 3 4" xfId="10610" xr:uid="{00000000-0005-0000-0000-000096990000}"/>
    <cellStyle name="Note 2 2 2 2 4 2 4" xfId="25905" xr:uid="{00000000-0005-0000-0000-000097990000}"/>
    <cellStyle name="Note 2 2 2 2 4 2 4 2" xfId="37940" xr:uid="{00000000-0005-0000-0000-000098990000}"/>
    <cellStyle name="Note 2 2 2 2 4 2 5" xfId="25906" xr:uid="{00000000-0005-0000-0000-000099990000}"/>
    <cellStyle name="Note 2 2 2 2 4 2 6" xfId="25907" xr:uid="{00000000-0005-0000-0000-00009A990000}"/>
    <cellStyle name="Note 2 2 2 2 4 2 7" xfId="25908" xr:uid="{00000000-0005-0000-0000-00009B990000}"/>
    <cellStyle name="Note 2 2 2 2 4 2 8" xfId="25909" xr:uid="{00000000-0005-0000-0000-00009C990000}"/>
    <cellStyle name="Note 2 2 2 2 4 3" xfId="1720" xr:uid="{00000000-0005-0000-0000-00009D990000}"/>
    <cellStyle name="Note 2 2 2 2 4 3 2" xfId="3984" xr:uid="{00000000-0005-0000-0000-00009E990000}"/>
    <cellStyle name="Note 2 2 2 2 4 3 2 2" xfId="5545" xr:uid="{00000000-0005-0000-0000-00009F990000}"/>
    <cellStyle name="Note 2 2 2 2 4 3 2 2 2" xfId="10614" xr:uid="{00000000-0005-0000-0000-0000A0990000}"/>
    <cellStyle name="Note 2 2 2 2 4 3 2 2 2 2" xfId="14235" xr:uid="{00000000-0005-0000-0000-0000A1990000}"/>
    <cellStyle name="Note 2 2 2 2 4 3 2 2 3" xfId="25910" xr:uid="{00000000-0005-0000-0000-0000A2990000}"/>
    <cellStyle name="Note 2 2 2 2 4 3 2 2 4" xfId="25911" xr:uid="{00000000-0005-0000-0000-0000A3990000}"/>
    <cellStyle name="Note 2 2 2 2 4 3 2 2 5" xfId="25912" xr:uid="{00000000-0005-0000-0000-0000A4990000}"/>
    <cellStyle name="Note 2 2 2 2 4 3 2 2 6" xfId="25913" xr:uid="{00000000-0005-0000-0000-0000A5990000}"/>
    <cellStyle name="Note 2 2 2 2 4 3 2 3" xfId="8318" xr:uid="{00000000-0005-0000-0000-0000A6990000}"/>
    <cellStyle name="Note 2 2 2 2 4 3 2 3 2" xfId="10615" xr:uid="{00000000-0005-0000-0000-0000A7990000}"/>
    <cellStyle name="Note 2 2 2 2 4 3 2 3 2 2" xfId="14236" xr:uid="{00000000-0005-0000-0000-0000A8990000}"/>
    <cellStyle name="Note 2 2 2 2 4 3 2 3 3" xfId="25914" xr:uid="{00000000-0005-0000-0000-0000A9990000}"/>
    <cellStyle name="Note 2 2 2 2 4 3 2 3 4" xfId="25915" xr:uid="{00000000-0005-0000-0000-0000AA990000}"/>
    <cellStyle name="Note 2 2 2 2 4 3 2 3 5" xfId="25916" xr:uid="{00000000-0005-0000-0000-0000AB990000}"/>
    <cellStyle name="Note 2 2 2 2 4 3 2 3 6" xfId="25917" xr:uid="{00000000-0005-0000-0000-0000AC990000}"/>
    <cellStyle name="Note 2 2 2 2 4 3 2 3 7" xfId="38542" xr:uid="{00000000-0005-0000-0000-0000AD990000}"/>
    <cellStyle name="Note 2 2 2 2 4 3 2 4" xfId="10613" xr:uid="{00000000-0005-0000-0000-0000AE990000}"/>
    <cellStyle name="Note 2 2 2 2 4 3 2 4 2" xfId="14234" xr:uid="{00000000-0005-0000-0000-0000AF990000}"/>
    <cellStyle name="Note 2 2 2 2 4 3 2 5" xfId="25918" xr:uid="{00000000-0005-0000-0000-0000B0990000}"/>
    <cellStyle name="Note 2 2 2 2 4 3 2 6" xfId="25919" xr:uid="{00000000-0005-0000-0000-0000B1990000}"/>
    <cellStyle name="Note 2 2 2 2 4 3 2 7" xfId="25920" xr:uid="{00000000-0005-0000-0000-0000B2990000}"/>
    <cellStyle name="Note 2 2 2 2 4 3 2 8" xfId="25921" xr:uid="{00000000-0005-0000-0000-0000B3990000}"/>
    <cellStyle name="Note 2 2 2 2 4 3 3" xfId="10612" xr:uid="{00000000-0005-0000-0000-0000B4990000}"/>
    <cellStyle name="Note 2 2 2 2 4 3 3 2" xfId="14233" xr:uid="{00000000-0005-0000-0000-0000B5990000}"/>
    <cellStyle name="Note 2 2 2 2 4 3 4" xfId="25922" xr:uid="{00000000-0005-0000-0000-0000B6990000}"/>
    <cellStyle name="Note 2 2 2 2 4 3 5" xfId="25923" xr:uid="{00000000-0005-0000-0000-0000B7990000}"/>
    <cellStyle name="Note 2 2 2 2 4 3 6" xfId="25924" xr:uid="{00000000-0005-0000-0000-0000B8990000}"/>
    <cellStyle name="Note 2 2 2 2 4 3 7" xfId="25925" xr:uid="{00000000-0005-0000-0000-0000B9990000}"/>
    <cellStyle name="Note 2 2 2 2 4 3 8" xfId="25926" xr:uid="{00000000-0005-0000-0000-0000BA990000}"/>
    <cellStyle name="Note 2 2 2 2 4 4" xfId="3985" xr:uid="{00000000-0005-0000-0000-0000BB990000}"/>
    <cellStyle name="Note 2 2 2 2 4 4 2" xfId="5546" xr:uid="{00000000-0005-0000-0000-0000BC990000}"/>
    <cellStyle name="Note 2 2 2 2 4 4 2 2" xfId="10617" xr:uid="{00000000-0005-0000-0000-0000BD990000}"/>
    <cellStyle name="Note 2 2 2 2 4 4 2 2 2" xfId="14238" xr:uid="{00000000-0005-0000-0000-0000BE990000}"/>
    <cellStyle name="Note 2 2 2 2 4 4 2 3" xfId="25927" xr:uid="{00000000-0005-0000-0000-0000BF990000}"/>
    <cellStyle name="Note 2 2 2 2 4 4 2 4" xfId="25928" xr:uid="{00000000-0005-0000-0000-0000C0990000}"/>
    <cellStyle name="Note 2 2 2 2 4 4 2 5" xfId="25929" xr:uid="{00000000-0005-0000-0000-0000C1990000}"/>
    <cellStyle name="Note 2 2 2 2 4 4 2 6" xfId="25930" xr:uid="{00000000-0005-0000-0000-0000C2990000}"/>
    <cellStyle name="Note 2 2 2 2 4 4 3" xfId="10616" xr:uid="{00000000-0005-0000-0000-0000C3990000}"/>
    <cellStyle name="Note 2 2 2 2 4 4 3 2" xfId="14237" xr:uid="{00000000-0005-0000-0000-0000C4990000}"/>
    <cellStyle name="Note 2 2 2 2 4 4 3 3" xfId="38543" xr:uid="{00000000-0005-0000-0000-0000C5990000}"/>
    <cellStyle name="Note 2 2 2 2 4 4 4" xfId="25931" xr:uid="{00000000-0005-0000-0000-0000C6990000}"/>
    <cellStyle name="Note 2 2 2 2 4 4 5" xfId="25932" xr:uid="{00000000-0005-0000-0000-0000C7990000}"/>
    <cellStyle name="Note 2 2 2 2 4 4 6" xfId="25933" xr:uid="{00000000-0005-0000-0000-0000C8990000}"/>
    <cellStyle name="Note 2 2 2 2 4 4 7" xfId="25934" xr:uid="{00000000-0005-0000-0000-0000C9990000}"/>
    <cellStyle name="Note 2 2 2 2 4 5" xfId="3982" xr:uid="{00000000-0005-0000-0000-0000CA990000}"/>
    <cellStyle name="Note 2 2 2 2 4 5 2" xfId="10618" xr:uid="{00000000-0005-0000-0000-0000CB990000}"/>
    <cellStyle name="Note 2 2 2 2 4 5 2 2" xfId="14239" xr:uid="{00000000-0005-0000-0000-0000CC990000}"/>
    <cellStyle name="Note 2 2 2 2 4 5 3" xfId="25935" xr:uid="{00000000-0005-0000-0000-0000CD990000}"/>
    <cellStyle name="Note 2 2 2 2 4 5 4" xfId="25936" xr:uid="{00000000-0005-0000-0000-0000CE990000}"/>
    <cellStyle name="Note 2 2 2 2 4 5 5" xfId="25937" xr:uid="{00000000-0005-0000-0000-0000CF990000}"/>
    <cellStyle name="Note 2 2 2 2 4 5 6" xfId="25938" xr:uid="{00000000-0005-0000-0000-0000D0990000}"/>
    <cellStyle name="Note 2 2 2 2 4 6" xfId="10619" xr:uid="{00000000-0005-0000-0000-0000D1990000}"/>
    <cellStyle name="Note 2 2 2 2 4 6 2" xfId="14240" xr:uid="{00000000-0005-0000-0000-0000D2990000}"/>
    <cellStyle name="Note 2 2 2 2 4 6 3" xfId="39221" xr:uid="{00000000-0005-0000-0000-0000D3990000}"/>
    <cellStyle name="Note 2 2 2 2 4 7" xfId="10609" xr:uid="{00000000-0005-0000-0000-0000D4990000}"/>
    <cellStyle name="Note 2 2 2 2 4 7 2" xfId="14230" xr:uid="{00000000-0005-0000-0000-0000D5990000}"/>
    <cellStyle name="Note 2 2 2 2 4 8" xfId="25939" xr:uid="{00000000-0005-0000-0000-0000D6990000}"/>
    <cellStyle name="Note 2 2 2 2 4 9" xfId="25940" xr:uid="{00000000-0005-0000-0000-0000D7990000}"/>
    <cellStyle name="Note 2 2 2 2 4_IND_UC" xfId="3986" xr:uid="{00000000-0005-0000-0000-0000D8990000}"/>
    <cellStyle name="Note 2 2 2 2 5" xfId="1721" xr:uid="{00000000-0005-0000-0000-0000D9990000}"/>
    <cellStyle name="Note 2 2 2 2 5 10" xfId="25941" xr:uid="{00000000-0005-0000-0000-0000DA990000}"/>
    <cellStyle name="Note 2 2 2 2 5 11" xfId="25942" xr:uid="{00000000-0005-0000-0000-0000DB990000}"/>
    <cellStyle name="Note 2 2 2 2 5 2" xfId="3987" xr:uid="{00000000-0005-0000-0000-0000DC990000}"/>
    <cellStyle name="Note 2 2 2 2 5 2 2" xfId="10621" xr:uid="{00000000-0005-0000-0000-0000DD990000}"/>
    <cellStyle name="Note 2 2 2 2 5 2 2 2" xfId="14242" xr:uid="{00000000-0005-0000-0000-0000DE990000}"/>
    <cellStyle name="Note 2 2 2 2 5 2 3" xfId="25943" xr:uid="{00000000-0005-0000-0000-0000DF990000}"/>
    <cellStyle name="Note 2 2 2 2 5 2 4" xfId="25944" xr:uid="{00000000-0005-0000-0000-0000E0990000}"/>
    <cellStyle name="Note 2 2 2 2 5 2 5" xfId="25945" xr:uid="{00000000-0005-0000-0000-0000E1990000}"/>
    <cellStyle name="Note 2 2 2 2 5 2 6" xfId="25946" xr:uid="{00000000-0005-0000-0000-0000E2990000}"/>
    <cellStyle name="Note 2 2 2 2 5 3" xfId="4908" xr:uid="{00000000-0005-0000-0000-0000E3990000}"/>
    <cellStyle name="Note 2 2 2 2 5 3 2" xfId="10622" xr:uid="{00000000-0005-0000-0000-0000E4990000}"/>
    <cellStyle name="Note 2 2 2 2 5 3 2 2" xfId="14243" xr:uid="{00000000-0005-0000-0000-0000E5990000}"/>
    <cellStyle name="Note 2 2 2 2 5 3 3" xfId="25947" xr:uid="{00000000-0005-0000-0000-0000E6990000}"/>
    <cellStyle name="Note 2 2 2 2 5 3 4" xfId="25948" xr:uid="{00000000-0005-0000-0000-0000E7990000}"/>
    <cellStyle name="Note 2 2 2 2 5 3 5" xfId="25949" xr:uid="{00000000-0005-0000-0000-0000E8990000}"/>
    <cellStyle name="Note 2 2 2 2 5 3 6" xfId="25950" xr:uid="{00000000-0005-0000-0000-0000E9990000}"/>
    <cellStyle name="Note 2 2 2 2 5 4" xfId="7692" xr:uid="{00000000-0005-0000-0000-0000EA990000}"/>
    <cellStyle name="Note 2 2 2 2 5 4 2" xfId="10623" xr:uid="{00000000-0005-0000-0000-0000EB990000}"/>
    <cellStyle name="Note 2 2 2 2 5 4 2 2" xfId="14244" xr:uid="{00000000-0005-0000-0000-0000EC990000}"/>
    <cellStyle name="Note 2 2 2 2 5 4 3" xfId="25951" xr:uid="{00000000-0005-0000-0000-0000ED990000}"/>
    <cellStyle name="Note 2 2 2 2 5 4 4" xfId="25952" xr:uid="{00000000-0005-0000-0000-0000EE990000}"/>
    <cellStyle name="Note 2 2 2 2 5 4 5" xfId="25953" xr:uid="{00000000-0005-0000-0000-0000EF990000}"/>
    <cellStyle name="Note 2 2 2 2 5 4 6" xfId="25954" xr:uid="{00000000-0005-0000-0000-0000F0990000}"/>
    <cellStyle name="Note 2 2 2 2 5 5" xfId="7691" xr:uid="{00000000-0005-0000-0000-0000F1990000}"/>
    <cellStyle name="Note 2 2 2 2 5 5 2" xfId="10624" xr:uid="{00000000-0005-0000-0000-0000F2990000}"/>
    <cellStyle name="Note 2 2 2 2 5 5 2 2" xfId="14245" xr:uid="{00000000-0005-0000-0000-0000F3990000}"/>
    <cellStyle name="Note 2 2 2 2 5 5 3" xfId="25955" xr:uid="{00000000-0005-0000-0000-0000F4990000}"/>
    <cellStyle name="Note 2 2 2 2 5 5 4" xfId="25956" xr:uid="{00000000-0005-0000-0000-0000F5990000}"/>
    <cellStyle name="Note 2 2 2 2 5 5 5" xfId="25957" xr:uid="{00000000-0005-0000-0000-0000F6990000}"/>
    <cellStyle name="Note 2 2 2 2 5 5 6" xfId="25958" xr:uid="{00000000-0005-0000-0000-0000F7990000}"/>
    <cellStyle name="Note 2 2 2 2 5 6" xfId="10620" xr:uid="{00000000-0005-0000-0000-0000F8990000}"/>
    <cellStyle name="Note 2 2 2 2 5 6 2" xfId="14241" xr:uid="{00000000-0005-0000-0000-0000F9990000}"/>
    <cellStyle name="Note 2 2 2 2 5 7" xfId="25959" xr:uid="{00000000-0005-0000-0000-0000FA990000}"/>
    <cellStyle name="Note 2 2 2 2 5 8" xfId="25960" xr:uid="{00000000-0005-0000-0000-0000FB990000}"/>
    <cellStyle name="Note 2 2 2 2 5 9" xfId="25961" xr:uid="{00000000-0005-0000-0000-0000FC990000}"/>
    <cellStyle name="Note 2 2 2 2 6" xfId="1722" xr:uid="{00000000-0005-0000-0000-0000FD990000}"/>
    <cellStyle name="Note 2 2 2 2 6 10" xfId="25962" xr:uid="{00000000-0005-0000-0000-0000FE990000}"/>
    <cellStyle name="Note 2 2 2 2 6 11" xfId="25963" xr:uid="{00000000-0005-0000-0000-0000FF990000}"/>
    <cellStyle name="Note 2 2 2 2 6 2" xfId="3988" xr:uid="{00000000-0005-0000-0000-0000009A0000}"/>
    <cellStyle name="Note 2 2 2 2 6 2 2" xfId="10626" xr:uid="{00000000-0005-0000-0000-0000019A0000}"/>
    <cellStyle name="Note 2 2 2 2 6 2 2 2" xfId="14247" xr:uid="{00000000-0005-0000-0000-0000029A0000}"/>
    <cellStyle name="Note 2 2 2 2 6 2 3" xfId="25964" xr:uid="{00000000-0005-0000-0000-0000039A0000}"/>
    <cellStyle name="Note 2 2 2 2 6 2 4" xfId="25965" xr:uid="{00000000-0005-0000-0000-0000049A0000}"/>
    <cellStyle name="Note 2 2 2 2 6 2 5" xfId="25966" xr:uid="{00000000-0005-0000-0000-0000059A0000}"/>
    <cellStyle name="Note 2 2 2 2 6 2 6" xfId="25967" xr:uid="{00000000-0005-0000-0000-0000069A0000}"/>
    <cellStyle name="Note 2 2 2 2 6 3" xfId="4909" xr:uid="{00000000-0005-0000-0000-0000079A0000}"/>
    <cellStyle name="Note 2 2 2 2 6 3 2" xfId="10627" xr:uid="{00000000-0005-0000-0000-0000089A0000}"/>
    <cellStyle name="Note 2 2 2 2 6 3 2 2" xfId="14248" xr:uid="{00000000-0005-0000-0000-0000099A0000}"/>
    <cellStyle name="Note 2 2 2 2 6 3 3" xfId="25968" xr:uid="{00000000-0005-0000-0000-00000A9A0000}"/>
    <cellStyle name="Note 2 2 2 2 6 3 4" xfId="25969" xr:uid="{00000000-0005-0000-0000-00000B9A0000}"/>
    <cellStyle name="Note 2 2 2 2 6 3 5" xfId="25970" xr:uid="{00000000-0005-0000-0000-00000C9A0000}"/>
    <cellStyle name="Note 2 2 2 2 6 3 6" xfId="25971" xr:uid="{00000000-0005-0000-0000-00000D9A0000}"/>
    <cellStyle name="Note 2 2 2 2 6 4" xfId="7694" xr:uid="{00000000-0005-0000-0000-00000E9A0000}"/>
    <cellStyle name="Note 2 2 2 2 6 4 2" xfId="10628" xr:uid="{00000000-0005-0000-0000-00000F9A0000}"/>
    <cellStyle name="Note 2 2 2 2 6 4 2 2" xfId="14249" xr:uid="{00000000-0005-0000-0000-0000109A0000}"/>
    <cellStyle name="Note 2 2 2 2 6 4 3" xfId="25972" xr:uid="{00000000-0005-0000-0000-0000119A0000}"/>
    <cellStyle name="Note 2 2 2 2 6 4 4" xfId="25973" xr:uid="{00000000-0005-0000-0000-0000129A0000}"/>
    <cellStyle name="Note 2 2 2 2 6 4 5" xfId="25974" xr:uid="{00000000-0005-0000-0000-0000139A0000}"/>
    <cellStyle name="Note 2 2 2 2 6 4 6" xfId="25975" xr:uid="{00000000-0005-0000-0000-0000149A0000}"/>
    <cellStyle name="Note 2 2 2 2 6 5" xfId="7693" xr:uid="{00000000-0005-0000-0000-0000159A0000}"/>
    <cellStyle name="Note 2 2 2 2 6 5 2" xfId="10629" xr:uid="{00000000-0005-0000-0000-0000169A0000}"/>
    <cellStyle name="Note 2 2 2 2 6 5 2 2" xfId="14250" xr:uid="{00000000-0005-0000-0000-0000179A0000}"/>
    <cellStyle name="Note 2 2 2 2 6 5 3" xfId="25976" xr:uid="{00000000-0005-0000-0000-0000189A0000}"/>
    <cellStyle name="Note 2 2 2 2 6 5 4" xfId="25977" xr:uid="{00000000-0005-0000-0000-0000199A0000}"/>
    <cellStyle name="Note 2 2 2 2 6 5 5" xfId="25978" xr:uid="{00000000-0005-0000-0000-00001A9A0000}"/>
    <cellStyle name="Note 2 2 2 2 6 5 6" xfId="25979" xr:uid="{00000000-0005-0000-0000-00001B9A0000}"/>
    <cellStyle name="Note 2 2 2 2 6 6" xfId="10625" xr:uid="{00000000-0005-0000-0000-00001C9A0000}"/>
    <cellStyle name="Note 2 2 2 2 6 6 2" xfId="14246" xr:uid="{00000000-0005-0000-0000-00001D9A0000}"/>
    <cellStyle name="Note 2 2 2 2 6 7" xfId="25980" xr:uid="{00000000-0005-0000-0000-00001E9A0000}"/>
    <cellStyle name="Note 2 2 2 2 6 8" xfId="25981" xr:uid="{00000000-0005-0000-0000-00001F9A0000}"/>
    <cellStyle name="Note 2 2 2 2 6 9" xfId="25982" xr:uid="{00000000-0005-0000-0000-0000209A0000}"/>
    <cellStyle name="Note 2 2 2 2 7" xfId="1723" xr:uid="{00000000-0005-0000-0000-0000219A0000}"/>
    <cellStyle name="Note 2 2 2 2 7 10" xfId="25983" xr:uid="{00000000-0005-0000-0000-0000229A0000}"/>
    <cellStyle name="Note 2 2 2 2 7 11" xfId="25984" xr:uid="{00000000-0005-0000-0000-0000239A0000}"/>
    <cellStyle name="Note 2 2 2 2 7 2" xfId="3989" xr:uid="{00000000-0005-0000-0000-0000249A0000}"/>
    <cellStyle name="Note 2 2 2 2 7 2 2" xfId="10631" xr:uid="{00000000-0005-0000-0000-0000259A0000}"/>
    <cellStyle name="Note 2 2 2 2 7 2 2 2" xfId="14252" xr:uid="{00000000-0005-0000-0000-0000269A0000}"/>
    <cellStyle name="Note 2 2 2 2 7 2 3" xfId="25985" xr:uid="{00000000-0005-0000-0000-0000279A0000}"/>
    <cellStyle name="Note 2 2 2 2 7 2 4" xfId="25986" xr:uid="{00000000-0005-0000-0000-0000289A0000}"/>
    <cellStyle name="Note 2 2 2 2 7 2 5" xfId="25987" xr:uid="{00000000-0005-0000-0000-0000299A0000}"/>
    <cellStyle name="Note 2 2 2 2 7 2 6" xfId="25988" xr:uid="{00000000-0005-0000-0000-00002A9A0000}"/>
    <cellStyle name="Note 2 2 2 2 7 3" xfId="4910" xr:uid="{00000000-0005-0000-0000-00002B9A0000}"/>
    <cellStyle name="Note 2 2 2 2 7 3 2" xfId="10632" xr:uid="{00000000-0005-0000-0000-00002C9A0000}"/>
    <cellStyle name="Note 2 2 2 2 7 3 2 2" xfId="14253" xr:uid="{00000000-0005-0000-0000-00002D9A0000}"/>
    <cellStyle name="Note 2 2 2 2 7 3 3" xfId="25989" xr:uid="{00000000-0005-0000-0000-00002E9A0000}"/>
    <cellStyle name="Note 2 2 2 2 7 3 4" xfId="25990" xr:uid="{00000000-0005-0000-0000-00002F9A0000}"/>
    <cellStyle name="Note 2 2 2 2 7 3 5" xfId="25991" xr:uid="{00000000-0005-0000-0000-0000309A0000}"/>
    <cellStyle name="Note 2 2 2 2 7 3 6" xfId="25992" xr:uid="{00000000-0005-0000-0000-0000319A0000}"/>
    <cellStyle name="Note 2 2 2 2 7 4" xfId="7696" xr:uid="{00000000-0005-0000-0000-0000329A0000}"/>
    <cellStyle name="Note 2 2 2 2 7 4 2" xfId="10633" xr:uid="{00000000-0005-0000-0000-0000339A0000}"/>
    <cellStyle name="Note 2 2 2 2 7 4 2 2" xfId="14254" xr:uid="{00000000-0005-0000-0000-0000349A0000}"/>
    <cellStyle name="Note 2 2 2 2 7 4 3" xfId="25993" xr:uid="{00000000-0005-0000-0000-0000359A0000}"/>
    <cellStyle name="Note 2 2 2 2 7 4 4" xfId="25994" xr:uid="{00000000-0005-0000-0000-0000369A0000}"/>
    <cellStyle name="Note 2 2 2 2 7 4 5" xfId="25995" xr:uid="{00000000-0005-0000-0000-0000379A0000}"/>
    <cellStyle name="Note 2 2 2 2 7 4 6" xfId="25996" xr:uid="{00000000-0005-0000-0000-0000389A0000}"/>
    <cellStyle name="Note 2 2 2 2 7 5" xfId="7695" xr:uid="{00000000-0005-0000-0000-0000399A0000}"/>
    <cellStyle name="Note 2 2 2 2 7 5 2" xfId="10634" xr:uid="{00000000-0005-0000-0000-00003A9A0000}"/>
    <cellStyle name="Note 2 2 2 2 7 5 2 2" xfId="14255" xr:uid="{00000000-0005-0000-0000-00003B9A0000}"/>
    <cellStyle name="Note 2 2 2 2 7 5 3" xfId="25997" xr:uid="{00000000-0005-0000-0000-00003C9A0000}"/>
    <cellStyle name="Note 2 2 2 2 7 5 4" xfId="25998" xr:uid="{00000000-0005-0000-0000-00003D9A0000}"/>
    <cellStyle name="Note 2 2 2 2 7 5 5" xfId="25999" xr:uid="{00000000-0005-0000-0000-00003E9A0000}"/>
    <cellStyle name="Note 2 2 2 2 7 5 6" xfId="26000" xr:uid="{00000000-0005-0000-0000-00003F9A0000}"/>
    <cellStyle name="Note 2 2 2 2 7 6" xfId="10630" xr:uid="{00000000-0005-0000-0000-0000409A0000}"/>
    <cellStyle name="Note 2 2 2 2 7 6 2" xfId="14251" xr:uid="{00000000-0005-0000-0000-0000419A0000}"/>
    <cellStyle name="Note 2 2 2 2 7 7" xfId="26001" xr:uid="{00000000-0005-0000-0000-0000429A0000}"/>
    <cellStyle name="Note 2 2 2 2 7 8" xfId="26002" xr:uid="{00000000-0005-0000-0000-0000439A0000}"/>
    <cellStyle name="Note 2 2 2 2 7 9" xfId="26003" xr:uid="{00000000-0005-0000-0000-0000449A0000}"/>
    <cellStyle name="Note 2 2 2 2 8" xfId="3990" xr:uid="{00000000-0005-0000-0000-0000459A0000}"/>
    <cellStyle name="Note 2 2 2 2 8 2" xfId="10635" xr:uid="{00000000-0005-0000-0000-0000469A0000}"/>
    <cellStyle name="Note 2 2 2 2 8 2 2" xfId="14256" xr:uid="{00000000-0005-0000-0000-0000479A0000}"/>
    <cellStyle name="Note 2 2 2 2 8 3" xfId="26004" xr:uid="{00000000-0005-0000-0000-0000489A0000}"/>
    <cellStyle name="Note 2 2 2 2 8 4" xfId="26005" xr:uid="{00000000-0005-0000-0000-0000499A0000}"/>
    <cellStyle name="Note 2 2 2 2 8 5" xfId="26006" xr:uid="{00000000-0005-0000-0000-00004A9A0000}"/>
    <cellStyle name="Note 2 2 2 2 8 6" xfId="26007" xr:uid="{00000000-0005-0000-0000-00004B9A0000}"/>
    <cellStyle name="Note 2 2 2 2 9" xfId="3991" xr:uid="{00000000-0005-0000-0000-00004C9A0000}"/>
    <cellStyle name="Note 2 2 2 2 9 2" xfId="10636" xr:uid="{00000000-0005-0000-0000-00004D9A0000}"/>
    <cellStyle name="Note 2 2 2 2 9 2 2" xfId="14257" xr:uid="{00000000-0005-0000-0000-00004E9A0000}"/>
    <cellStyle name="Note 2 2 2 2 9 3" xfId="26008" xr:uid="{00000000-0005-0000-0000-00004F9A0000}"/>
    <cellStyle name="Note 2 2 2 2 9 4" xfId="26009" xr:uid="{00000000-0005-0000-0000-0000509A0000}"/>
    <cellStyle name="Note 2 2 2 2 9 5" xfId="26010" xr:uid="{00000000-0005-0000-0000-0000519A0000}"/>
    <cellStyle name="Note 2 2 2 2 9 6" xfId="26011" xr:uid="{00000000-0005-0000-0000-0000529A0000}"/>
    <cellStyle name="Note 2 2 2 2_IND_UC" xfId="3992" xr:uid="{00000000-0005-0000-0000-0000539A0000}"/>
    <cellStyle name="Note 2 2 2 3" xfId="1724" xr:uid="{00000000-0005-0000-0000-0000549A0000}"/>
    <cellStyle name="Note 2 2 2 3 10" xfId="26012" xr:uid="{00000000-0005-0000-0000-0000559A0000}"/>
    <cellStyle name="Note 2 2 2 3 11" xfId="26013" xr:uid="{00000000-0005-0000-0000-0000569A0000}"/>
    <cellStyle name="Note 2 2 2 3 12" xfId="26014" xr:uid="{00000000-0005-0000-0000-0000579A0000}"/>
    <cellStyle name="Note 2 2 2 3 2" xfId="1725" xr:uid="{00000000-0005-0000-0000-0000589A0000}"/>
    <cellStyle name="Note 2 2 2 3 2 10" xfId="26015" xr:uid="{00000000-0005-0000-0000-0000599A0000}"/>
    <cellStyle name="Note 2 2 2 3 2 11" xfId="26016" xr:uid="{00000000-0005-0000-0000-00005A9A0000}"/>
    <cellStyle name="Note 2 2 2 3 2 2" xfId="7698" xr:uid="{00000000-0005-0000-0000-00005B9A0000}"/>
    <cellStyle name="Note 2 2 2 3 2 2 2" xfId="10639" xr:uid="{00000000-0005-0000-0000-00005C9A0000}"/>
    <cellStyle name="Note 2 2 2 3 2 2 2 2" xfId="14260" xr:uid="{00000000-0005-0000-0000-00005D9A0000}"/>
    <cellStyle name="Note 2 2 2 3 2 2 3" xfId="26017" xr:uid="{00000000-0005-0000-0000-00005E9A0000}"/>
    <cellStyle name="Note 2 2 2 3 2 2 4" xfId="26018" xr:uid="{00000000-0005-0000-0000-00005F9A0000}"/>
    <cellStyle name="Note 2 2 2 3 2 2 5" xfId="26019" xr:uid="{00000000-0005-0000-0000-0000609A0000}"/>
    <cellStyle name="Note 2 2 2 3 2 2 6" xfId="26020" xr:uid="{00000000-0005-0000-0000-0000619A0000}"/>
    <cellStyle name="Note 2 2 2 3 2 3" xfId="7699" xr:uid="{00000000-0005-0000-0000-0000629A0000}"/>
    <cellStyle name="Note 2 2 2 3 2 3 2" xfId="10640" xr:uid="{00000000-0005-0000-0000-0000639A0000}"/>
    <cellStyle name="Note 2 2 2 3 2 3 2 2" xfId="14261" xr:uid="{00000000-0005-0000-0000-0000649A0000}"/>
    <cellStyle name="Note 2 2 2 3 2 3 3" xfId="26021" xr:uid="{00000000-0005-0000-0000-0000659A0000}"/>
    <cellStyle name="Note 2 2 2 3 2 3 4" xfId="26022" xr:uid="{00000000-0005-0000-0000-0000669A0000}"/>
    <cellStyle name="Note 2 2 2 3 2 3 5" xfId="26023" xr:uid="{00000000-0005-0000-0000-0000679A0000}"/>
    <cellStyle name="Note 2 2 2 3 2 3 6" xfId="26024" xr:uid="{00000000-0005-0000-0000-0000689A0000}"/>
    <cellStyle name="Note 2 2 2 3 2 4" xfId="7700" xr:uid="{00000000-0005-0000-0000-0000699A0000}"/>
    <cellStyle name="Note 2 2 2 3 2 4 2" xfId="10641" xr:uid="{00000000-0005-0000-0000-00006A9A0000}"/>
    <cellStyle name="Note 2 2 2 3 2 4 2 2" xfId="14262" xr:uid="{00000000-0005-0000-0000-00006B9A0000}"/>
    <cellStyle name="Note 2 2 2 3 2 4 3" xfId="26025" xr:uid="{00000000-0005-0000-0000-00006C9A0000}"/>
    <cellStyle name="Note 2 2 2 3 2 4 4" xfId="26026" xr:uid="{00000000-0005-0000-0000-00006D9A0000}"/>
    <cellStyle name="Note 2 2 2 3 2 4 5" xfId="26027" xr:uid="{00000000-0005-0000-0000-00006E9A0000}"/>
    <cellStyle name="Note 2 2 2 3 2 4 6" xfId="26028" xr:uid="{00000000-0005-0000-0000-00006F9A0000}"/>
    <cellStyle name="Note 2 2 2 3 2 5" xfId="7697" xr:uid="{00000000-0005-0000-0000-0000709A0000}"/>
    <cellStyle name="Note 2 2 2 3 2 5 2" xfId="10642" xr:uid="{00000000-0005-0000-0000-0000719A0000}"/>
    <cellStyle name="Note 2 2 2 3 2 5 2 2" xfId="14263" xr:uid="{00000000-0005-0000-0000-0000729A0000}"/>
    <cellStyle name="Note 2 2 2 3 2 5 3" xfId="26029" xr:uid="{00000000-0005-0000-0000-0000739A0000}"/>
    <cellStyle name="Note 2 2 2 3 2 5 4" xfId="26030" xr:uid="{00000000-0005-0000-0000-0000749A0000}"/>
    <cellStyle name="Note 2 2 2 3 2 5 5" xfId="26031" xr:uid="{00000000-0005-0000-0000-0000759A0000}"/>
    <cellStyle name="Note 2 2 2 3 2 5 6" xfId="26032" xr:uid="{00000000-0005-0000-0000-0000769A0000}"/>
    <cellStyle name="Note 2 2 2 3 2 6" xfId="10638" xr:uid="{00000000-0005-0000-0000-0000779A0000}"/>
    <cellStyle name="Note 2 2 2 3 2 6 2" xfId="14259" xr:uid="{00000000-0005-0000-0000-0000789A0000}"/>
    <cellStyle name="Note 2 2 2 3 2 7" xfId="26033" xr:uid="{00000000-0005-0000-0000-0000799A0000}"/>
    <cellStyle name="Note 2 2 2 3 2 8" xfId="26034" xr:uid="{00000000-0005-0000-0000-00007A9A0000}"/>
    <cellStyle name="Note 2 2 2 3 2 9" xfId="26035" xr:uid="{00000000-0005-0000-0000-00007B9A0000}"/>
    <cellStyle name="Note 2 2 2 3 3" xfId="1726" xr:uid="{00000000-0005-0000-0000-00007C9A0000}"/>
    <cellStyle name="Note 2 2 2 3 3 2" xfId="3994" xr:uid="{00000000-0005-0000-0000-00007D9A0000}"/>
    <cellStyle name="Note 2 2 2 3 3 2 2" xfId="7987" xr:uid="{00000000-0005-0000-0000-00007E9A0000}"/>
    <cellStyle name="Note 2 2 2 3 3 2 2 2" xfId="10645" xr:uid="{00000000-0005-0000-0000-00007F9A0000}"/>
    <cellStyle name="Note 2 2 2 3 3 2 2 2 2" xfId="14266" xr:uid="{00000000-0005-0000-0000-0000809A0000}"/>
    <cellStyle name="Note 2 2 2 3 3 2 2 3" xfId="26036" xr:uid="{00000000-0005-0000-0000-0000819A0000}"/>
    <cellStyle name="Note 2 2 2 3 3 2 2 4" xfId="26037" xr:uid="{00000000-0005-0000-0000-0000829A0000}"/>
    <cellStyle name="Note 2 2 2 3 3 2 2 5" xfId="26038" xr:uid="{00000000-0005-0000-0000-0000839A0000}"/>
    <cellStyle name="Note 2 2 2 3 3 2 2 6" xfId="26039" xr:uid="{00000000-0005-0000-0000-0000849A0000}"/>
    <cellStyle name="Note 2 2 2 3 3 2 3" xfId="10644" xr:uid="{00000000-0005-0000-0000-0000859A0000}"/>
    <cellStyle name="Note 2 2 2 3 3 2 3 2" xfId="14265" xr:uid="{00000000-0005-0000-0000-0000869A0000}"/>
    <cellStyle name="Note 2 2 2 3 3 2 4" xfId="26040" xr:uid="{00000000-0005-0000-0000-0000879A0000}"/>
    <cellStyle name="Note 2 2 2 3 3 2 5" xfId="26041" xr:uid="{00000000-0005-0000-0000-0000889A0000}"/>
    <cellStyle name="Note 2 2 2 3 3 2 6" xfId="26042" xr:uid="{00000000-0005-0000-0000-0000899A0000}"/>
    <cellStyle name="Note 2 2 2 3 3 2 7" xfId="26043" xr:uid="{00000000-0005-0000-0000-00008A9A0000}"/>
    <cellStyle name="Note 2 2 2 3 3 2 8" xfId="8319" xr:uid="{00000000-0005-0000-0000-00008B9A0000}"/>
    <cellStyle name="Note 2 2 2 3 3 3" xfId="3993" xr:uid="{00000000-0005-0000-0000-00008C9A0000}"/>
    <cellStyle name="Note 2 2 2 3 3 3 2" xfId="14264" xr:uid="{00000000-0005-0000-0000-00008D9A0000}"/>
    <cellStyle name="Note 2 2 2 3 3 3 3" xfId="35484" xr:uid="{00000000-0005-0000-0000-00008E9A0000}"/>
    <cellStyle name="Note 2 2 2 3 3 3 4" xfId="10643" xr:uid="{00000000-0005-0000-0000-00008F9A0000}"/>
    <cellStyle name="Note 2 2 2 3 3 4" xfId="4912" xr:uid="{00000000-0005-0000-0000-0000909A0000}"/>
    <cellStyle name="Note 2 2 2 3 3 4 2" xfId="35874" xr:uid="{00000000-0005-0000-0000-0000919A0000}"/>
    <cellStyle name="Note 2 2 2 3 3 4 3" xfId="26044" xr:uid="{00000000-0005-0000-0000-0000929A0000}"/>
    <cellStyle name="Note 2 2 2 3 3 5" xfId="26045" xr:uid="{00000000-0005-0000-0000-0000939A0000}"/>
    <cellStyle name="Note 2 2 2 3 3 5 2" xfId="37941" xr:uid="{00000000-0005-0000-0000-0000949A0000}"/>
    <cellStyle name="Note 2 2 2 3 3 6" xfId="26046" xr:uid="{00000000-0005-0000-0000-0000959A0000}"/>
    <cellStyle name="Note 2 2 2 3 3 7" xfId="26047" xr:uid="{00000000-0005-0000-0000-0000969A0000}"/>
    <cellStyle name="Note 2 2 2 3 3 8" xfId="26048" xr:uid="{00000000-0005-0000-0000-0000979A0000}"/>
    <cellStyle name="Note 2 2 2 3 4" xfId="3995" xr:uid="{00000000-0005-0000-0000-0000989A0000}"/>
    <cellStyle name="Note 2 2 2 3 4 2" xfId="10646" xr:uid="{00000000-0005-0000-0000-0000999A0000}"/>
    <cellStyle name="Note 2 2 2 3 4 2 2" xfId="14267" xr:uid="{00000000-0005-0000-0000-00009A9A0000}"/>
    <cellStyle name="Note 2 2 2 3 4 3" xfId="26049" xr:uid="{00000000-0005-0000-0000-00009B9A0000}"/>
    <cellStyle name="Note 2 2 2 3 4 4" xfId="26050" xr:uid="{00000000-0005-0000-0000-00009C9A0000}"/>
    <cellStyle name="Note 2 2 2 3 4 5" xfId="26051" xr:uid="{00000000-0005-0000-0000-00009D9A0000}"/>
    <cellStyle name="Note 2 2 2 3 4 6" xfId="26052" xr:uid="{00000000-0005-0000-0000-00009E9A0000}"/>
    <cellStyle name="Note 2 2 2 3 5" xfId="4911" xr:uid="{00000000-0005-0000-0000-00009F9A0000}"/>
    <cellStyle name="Note 2 2 2 3 5 2" xfId="10647" xr:uid="{00000000-0005-0000-0000-0000A09A0000}"/>
    <cellStyle name="Note 2 2 2 3 5 2 2" xfId="14268" xr:uid="{00000000-0005-0000-0000-0000A19A0000}"/>
    <cellStyle name="Note 2 2 2 3 5 3" xfId="26053" xr:uid="{00000000-0005-0000-0000-0000A29A0000}"/>
    <cellStyle name="Note 2 2 2 3 5 4" xfId="26054" xr:uid="{00000000-0005-0000-0000-0000A39A0000}"/>
    <cellStyle name="Note 2 2 2 3 5 5" xfId="26055" xr:uid="{00000000-0005-0000-0000-0000A49A0000}"/>
    <cellStyle name="Note 2 2 2 3 5 6" xfId="26056" xr:uid="{00000000-0005-0000-0000-0000A59A0000}"/>
    <cellStyle name="Note 2 2 2 3 6" xfId="7701" xr:uid="{00000000-0005-0000-0000-0000A69A0000}"/>
    <cellStyle name="Note 2 2 2 3 6 2" xfId="10648" xr:uid="{00000000-0005-0000-0000-0000A79A0000}"/>
    <cellStyle name="Note 2 2 2 3 6 2 2" xfId="14269" xr:uid="{00000000-0005-0000-0000-0000A89A0000}"/>
    <cellStyle name="Note 2 2 2 3 6 3" xfId="26057" xr:uid="{00000000-0005-0000-0000-0000A99A0000}"/>
    <cellStyle name="Note 2 2 2 3 6 4" xfId="26058" xr:uid="{00000000-0005-0000-0000-0000AA9A0000}"/>
    <cellStyle name="Note 2 2 2 3 6 5" xfId="26059" xr:uid="{00000000-0005-0000-0000-0000AB9A0000}"/>
    <cellStyle name="Note 2 2 2 3 6 6" xfId="26060" xr:uid="{00000000-0005-0000-0000-0000AC9A0000}"/>
    <cellStyle name="Note 2 2 2 3 7" xfId="10637" xr:uid="{00000000-0005-0000-0000-0000AD9A0000}"/>
    <cellStyle name="Note 2 2 2 3 7 2" xfId="14258" xr:uid="{00000000-0005-0000-0000-0000AE9A0000}"/>
    <cellStyle name="Note 2 2 2 3 8" xfId="26061" xr:uid="{00000000-0005-0000-0000-0000AF9A0000}"/>
    <cellStyle name="Note 2 2 2 3 9" xfId="26062" xr:uid="{00000000-0005-0000-0000-0000B09A0000}"/>
    <cellStyle name="Note 2 2 2 3_IND_UC" xfId="3996" xr:uid="{00000000-0005-0000-0000-0000B19A0000}"/>
    <cellStyle name="Note 2 2 2 4" xfId="1727" xr:uid="{00000000-0005-0000-0000-0000B29A0000}"/>
    <cellStyle name="Note 2 2 2 4 10" xfId="26063" xr:uid="{00000000-0005-0000-0000-0000B39A0000}"/>
    <cellStyle name="Note 2 2 2 4 11" xfId="26064" xr:uid="{00000000-0005-0000-0000-0000B49A0000}"/>
    <cellStyle name="Note 2 2 2 4 12" xfId="26065" xr:uid="{00000000-0005-0000-0000-0000B59A0000}"/>
    <cellStyle name="Note 2 2 2 4 13" xfId="26066" xr:uid="{00000000-0005-0000-0000-0000B69A0000}"/>
    <cellStyle name="Note 2 2 2 4 2" xfId="1728" xr:uid="{00000000-0005-0000-0000-0000B79A0000}"/>
    <cellStyle name="Note 2 2 2 4 2 10" xfId="26067" xr:uid="{00000000-0005-0000-0000-0000B89A0000}"/>
    <cellStyle name="Note 2 2 2 4 2 11" xfId="26068" xr:uid="{00000000-0005-0000-0000-0000B99A0000}"/>
    <cellStyle name="Note 2 2 2 4 2 2" xfId="7703" xr:uid="{00000000-0005-0000-0000-0000BA9A0000}"/>
    <cellStyle name="Note 2 2 2 4 2 2 2" xfId="10651" xr:uid="{00000000-0005-0000-0000-0000BB9A0000}"/>
    <cellStyle name="Note 2 2 2 4 2 2 2 2" xfId="14272" xr:uid="{00000000-0005-0000-0000-0000BC9A0000}"/>
    <cellStyle name="Note 2 2 2 4 2 2 3" xfId="26069" xr:uid="{00000000-0005-0000-0000-0000BD9A0000}"/>
    <cellStyle name="Note 2 2 2 4 2 2 4" xfId="26070" xr:uid="{00000000-0005-0000-0000-0000BE9A0000}"/>
    <cellStyle name="Note 2 2 2 4 2 2 5" xfId="26071" xr:uid="{00000000-0005-0000-0000-0000BF9A0000}"/>
    <cellStyle name="Note 2 2 2 4 2 2 6" xfId="26072" xr:uid="{00000000-0005-0000-0000-0000C09A0000}"/>
    <cellStyle name="Note 2 2 2 4 2 3" xfId="7704" xr:uid="{00000000-0005-0000-0000-0000C19A0000}"/>
    <cellStyle name="Note 2 2 2 4 2 3 2" xfId="10652" xr:uid="{00000000-0005-0000-0000-0000C29A0000}"/>
    <cellStyle name="Note 2 2 2 4 2 3 2 2" xfId="14273" xr:uid="{00000000-0005-0000-0000-0000C39A0000}"/>
    <cellStyle name="Note 2 2 2 4 2 3 3" xfId="26073" xr:uid="{00000000-0005-0000-0000-0000C49A0000}"/>
    <cellStyle name="Note 2 2 2 4 2 3 4" xfId="26074" xr:uid="{00000000-0005-0000-0000-0000C59A0000}"/>
    <cellStyle name="Note 2 2 2 4 2 3 5" xfId="26075" xr:uid="{00000000-0005-0000-0000-0000C69A0000}"/>
    <cellStyle name="Note 2 2 2 4 2 3 6" xfId="26076" xr:uid="{00000000-0005-0000-0000-0000C79A0000}"/>
    <cellStyle name="Note 2 2 2 4 2 4" xfId="7705" xr:uid="{00000000-0005-0000-0000-0000C89A0000}"/>
    <cellStyle name="Note 2 2 2 4 2 4 2" xfId="10653" xr:uid="{00000000-0005-0000-0000-0000C99A0000}"/>
    <cellStyle name="Note 2 2 2 4 2 4 2 2" xfId="14274" xr:uid="{00000000-0005-0000-0000-0000CA9A0000}"/>
    <cellStyle name="Note 2 2 2 4 2 4 3" xfId="26077" xr:uid="{00000000-0005-0000-0000-0000CB9A0000}"/>
    <cellStyle name="Note 2 2 2 4 2 4 4" xfId="26078" xr:uid="{00000000-0005-0000-0000-0000CC9A0000}"/>
    <cellStyle name="Note 2 2 2 4 2 4 5" xfId="26079" xr:uid="{00000000-0005-0000-0000-0000CD9A0000}"/>
    <cellStyle name="Note 2 2 2 4 2 4 6" xfId="26080" xr:uid="{00000000-0005-0000-0000-0000CE9A0000}"/>
    <cellStyle name="Note 2 2 2 4 2 5" xfId="7702" xr:uid="{00000000-0005-0000-0000-0000CF9A0000}"/>
    <cellStyle name="Note 2 2 2 4 2 5 2" xfId="10654" xr:uid="{00000000-0005-0000-0000-0000D09A0000}"/>
    <cellStyle name="Note 2 2 2 4 2 5 2 2" xfId="14275" xr:uid="{00000000-0005-0000-0000-0000D19A0000}"/>
    <cellStyle name="Note 2 2 2 4 2 5 3" xfId="26081" xr:uid="{00000000-0005-0000-0000-0000D29A0000}"/>
    <cellStyle name="Note 2 2 2 4 2 5 4" xfId="26082" xr:uid="{00000000-0005-0000-0000-0000D39A0000}"/>
    <cellStyle name="Note 2 2 2 4 2 5 5" xfId="26083" xr:uid="{00000000-0005-0000-0000-0000D49A0000}"/>
    <cellStyle name="Note 2 2 2 4 2 5 6" xfId="26084" xr:uid="{00000000-0005-0000-0000-0000D59A0000}"/>
    <cellStyle name="Note 2 2 2 4 2 6" xfId="10650" xr:uid="{00000000-0005-0000-0000-0000D69A0000}"/>
    <cellStyle name="Note 2 2 2 4 2 6 2" xfId="14271" xr:uid="{00000000-0005-0000-0000-0000D79A0000}"/>
    <cellStyle name="Note 2 2 2 4 2 7" xfId="26085" xr:uid="{00000000-0005-0000-0000-0000D89A0000}"/>
    <cellStyle name="Note 2 2 2 4 2 8" xfId="26086" xr:uid="{00000000-0005-0000-0000-0000D99A0000}"/>
    <cellStyle name="Note 2 2 2 4 2 9" xfId="26087" xr:uid="{00000000-0005-0000-0000-0000DA9A0000}"/>
    <cellStyle name="Note 2 2 2 4 3" xfId="1729" xr:uid="{00000000-0005-0000-0000-0000DB9A0000}"/>
    <cellStyle name="Note 2 2 2 4 3 2" xfId="3998" xr:uid="{00000000-0005-0000-0000-0000DC9A0000}"/>
    <cellStyle name="Note 2 2 2 4 3 2 2" xfId="7985" xr:uid="{00000000-0005-0000-0000-0000DD9A0000}"/>
    <cellStyle name="Note 2 2 2 4 3 2 2 2" xfId="10657" xr:uid="{00000000-0005-0000-0000-0000DE9A0000}"/>
    <cellStyle name="Note 2 2 2 4 3 2 2 2 2" xfId="14278" xr:uid="{00000000-0005-0000-0000-0000DF9A0000}"/>
    <cellStyle name="Note 2 2 2 4 3 2 2 3" xfId="26088" xr:uid="{00000000-0005-0000-0000-0000E09A0000}"/>
    <cellStyle name="Note 2 2 2 4 3 2 2 4" xfId="26089" xr:uid="{00000000-0005-0000-0000-0000E19A0000}"/>
    <cellStyle name="Note 2 2 2 4 3 2 2 5" xfId="26090" xr:uid="{00000000-0005-0000-0000-0000E29A0000}"/>
    <cellStyle name="Note 2 2 2 4 3 2 2 6" xfId="26091" xr:uid="{00000000-0005-0000-0000-0000E39A0000}"/>
    <cellStyle name="Note 2 2 2 4 3 2 3" xfId="10656" xr:uid="{00000000-0005-0000-0000-0000E49A0000}"/>
    <cellStyle name="Note 2 2 2 4 3 2 3 2" xfId="14277" xr:uid="{00000000-0005-0000-0000-0000E59A0000}"/>
    <cellStyle name="Note 2 2 2 4 3 2 4" xfId="26092" xr:uid="{00000000-0005-0000-0000-0000E69A0000}"/>
    <cellStyle name="Note 2 2 2 4 3 2 5" xfId="26093" xr:uid="{00000000-0005-0000-0000-0000E79A0000}"/>
    <cellStyle name="Note 2 2 2 4 3 2 6" xfId="26094" xr:uid="{00000000-0005-0000-0000-0000E89A0000}"/>
    <cellStyle name="Note 2 2 2 4 3 2 7" xfId="26095" xr:uid="{00000000-0005-0000-0000-0000E99A0000}"/>
    <cellStyle name="Note 2 2 2 4 3 2 8" xfId="8320" xr:uid="{00000000-0005-0000-0000-0000EA9A0000}"/>
    <cellStyle name="Note 2 2 2 4 3 3" xfId="3997" xr:uid="{00000000-0005-0000-0000-0000EB9A0000}"/>
    <cellStyle name="Note 2 2 2 4 3 3 2" xfId="14276" xr:uid="{00000000-0005-0000-0000-0000EC9A0000}"/>
    <cellStyle name="Note 2 2 2 4 3 3 3" xfId="35485" xr:uid="{00000000-0005-0000-0000-0000ED9A0000}"/>
    <cellStyle name="Note 2 2 2 4 3 3 4" xfId="10655" xr:uid="{00000000-0005-0000-0000-0000EE9A0000}"/>
    <cellStyle name="Note 2 2 2 4 3 4" xfId="4914" xr:uid="{00000000-0005-0000-0000-0000EF9A0000}"/>
    <cellStyle name="Note 2 2 2 4 3 4 2" xfId="35875" xr:uid="{00000000-0005-0000-0000-0000F09A0000}"/>
    <cellStyle name="Note 2 2 2 4 3 4 3" xfId="26096" xr:uid="{00000000-0005-0000-0000-0000F19A0000}"/>
    <cellStyle name="Note 2 2 2 4 3 5" xfId="26097" xr:uid="{00000000-0005-0000-0000-0000F29A0000}"/>
    <cellStyle name="Note 2 2 2 4 3 5 2" xfId="37942" xr:uid="{00000000-0005-0000-0000-0000F39A0000}"/>
    <cellStyle name="Note 2 2 2 4 3 6" xfId="26098" xr:uid="{00000000-0005-0000-0000-0000F49A0000}"/>
    <cellStyle name="Note 2 2 2 4 3 7" xfId="26099" xr:uid="{00000000-0005-0000-0000-0000F59A0000}"/>
    <cellStyle name="Note 2 2 2 4 3 8" xfId="26100" xr:uid="{00000000-0005-0000-0000-0000F69A0000}"/>
    <cellStyle name="Note 2 2 2 4 4" xfId="3999" xr:uid="{00000000-0005-0000-0000-0000F79A0000}"/>
    <cellStyle name="Note 2 2 2 4 4 2" xfId="10658" xr:uid="{00000000-0005-0000-0000-0000F89A0000}"/>
    <cellStyle name="Note 2 2 2 4 4 2 2" xfId="14279" xr:uid="{00000000-0005-0000-0000-0000F99A0000}"/>
    <cellStyle name="Note 2 2 2 4 4 3" xfId="26101" xr:uid="{00000000-0005-0000-0000-0000FA9A0000}"/>
    <cellStyle name="Note 2 2 2 4 4 4" xfId="26102" xr:uid="{00000000-0005-0000-0000-0000FB9A0000}"/>
    <cellStyle name="Note 2 2 2 4 4 5" xfId="26103" xr:uid="{00000000-0005-0000-0000-0000FC9A0000}"/>
    <cellStyle name="Note 2 2 2 4 4 6" xfId="26104" xr:uid="{00000000-0005-0000-0000-0000FD9A0000}"/>
    <cellStyle name="Note 2 2 2 4 5" xfId="4913" xr:uid="{00000000-0005-0000-0000-0000FE9A0000}"/>
    <cellStyle name="Note 2 2 2 4 5 2" xfId="10659" xr:uid="{00000000-0005-0000-0000-0000FF9A0000}"/>
    <cellStyle name="Note 2 2 2 4 5 2 2" xfId="14280" xr:uid="{00000000-0005-0000-0000-0000009B0000}"/>
    <cellStyle name="Note 2 2 2 4 5 3" xfId="26105" xr:uid="{00000000-0005-0000-0000-0000019B0000}"/>
    <cellStyle name="Note 2 2 2 4 5 4" xfId="26106" xr:uid="{00000000-0005-0000-0000-0000029B0000}"/>
    <cellStyle name="Note 2 2 2 4 5 5" xfId="26107" xr:uid="{00000000-0005-0000-0000-0000039B0000}"/>
    <cellStyle name="Note 2 2 2 4 5 6" xfId="26108" xr:uid="{00000000-0005-0000-0000-0000049B0000}"/>
    <cellStyle name="Note 2 2 2 4 6" xfId="7706" xr:uid="{00000000-0005-0000-0000-0000059B0000}"/>
    <cellStyle name="Note 2 2 2 4 6 2" xfId="10660" xr:uid="{00000000-0005-0000-0000-0000069B0000}"/>
    <cellStyle name="Note 2 2 2 4 6 2 2" xfId="14281" xr:uid="{00000000-0005-0000-0000-0000079B0000}"/>
    <cellStyle name="Note 2 2 2 4 6 3" xfId="26109" xr:uid="{00000000-0005-0000-0000-0000089B0000}"/>
    <cellStyle name="Note 2 2 2 4 6 4" xfId="26110" xr:uid="{00000000-0005-0000-0000-0000099B0000}"/>
    <cellStyle name="Note 2 2 2 4 6 5" xfId="26111" xr:uid="{00000000-0005-0000-0000-00000A9B0000}"/>
    <cellStyle name="Note 2 2 2 4 6 6" xfId="26112" xr:uid="{00000000-0005-0000-0000-00000B9B0000}"/>
    <cellStyle name="Note 2 2 2 4 7" xfId="10661" xr:uid="{00000000-0005-0000-0000-00000C9B0000}"/>
    <cellStyle name="Note 2 2 2 4 7 2" xfId="14282" xr:uid="{00000000-0005-0000-0000-00000D9B0000}"/>
    <cellStyle name="Note 2 2 2 4 8" xfId="10649" xr:uid="{00000000-0005-0000-0000-00000E9B0000}"/>
    <cellStyle name="Note 2 2 2 4 8 2" xfId="14270" xr:uid="{00000000-0005-0000-0000-00000F9B0000}"/>
    <cellStyle name="Note 2 2 2 4 9" xfId="26113" xr:uid="{00000000-0005-0000-0000-0000109B0000}"/>
    <cellStyle name="Note 2 2 2 4_IND_UC" xfId="4000" xr:uid="{00000000-0005-0000-0000-0000119B0000}"/>
    <cellStyle name="Note 2 2 2 5" xfId="1730" xr:uid="{00000000-0005-0000-0000-0000129B0000}"/>
    <cellStyle name="Note 2 2 2 5 10" xfId="26114" xr:uid="{00000000-0005-0000-0000-0000139B0000}"/>
    <cellStyle name="Note 2 2 2 5 11" xfId="26115" xr:uid="{00000000-0005-0000-0000-0000149B0000}"/>
    <cellStyle name="Note 2 2 2 5 12" xfId="26116" xr:uid="{00000000-0005-0000-0000-0000159B0000}"/>
    <cellStyle name="Note 2 2 2 5 2" xfId="4001" xr:uid="{00000000-0005-0000-0000-0000169B0000}"/>
    <cellStyle name="Note 2 2 2 5 2 2" xfId="10663" xr:uid="{00000000-0005-0000-0000-0000179B0000}"/>
    <cellStyle name="Note 2 2 2 5 2 2 2" xfId="14284" xr:uid="{00000000-0005-0000-0000-0000189B0000}"/>
    <cellStyle name="Note 2 2 2 5 2 3" xfId="26117" xr:uid="{00000000-0005-0000-0000-0000199B0000}"/>
    <cellStyle name="Note 2 2 2 5 2 4" xfId="26118" xr:uid="{00000000-0005-0000-0000-00001A9B0000}"/>
    <cellStyle name="Note 2 2 2 5 2 5" xfId="26119" xr:uid="{00000000-0005-0000-0000-00001B9B0000}"/>
    <cellStyle name="Note 2 2 2 5 2 6" xfId="26120" xr:uid="{00000000-0005-0000-0000-00001C9B0000}"/>
    <cellStyle name="Note 2 2 2 5 3" xfId="4002" xr:uid="{00000000-0005-0000-0000-00001D9B0000}"/>
    <cellStyle name="Note 2 2 2 5 3 2" xfId="10664" xr:uid="{00000000-0005-0000-0000-00001E9B0000}"/>
    <cellStyle name="Note 2 2 2 5 3 2 2" xfId="14285" xr:uid="{00000000-0005-0000-0000-00001F9B0000}"/>
    <cellStyle name="Note 2 2 2 5 3 3" xfId="26121" xr:uid="{00000000-0005-0000-0000-0000209B0000}"/>
    <cellStyle name="Note 2 2 2 5 3 4" xfId="26122" xr:uid="{00000000-0005-0000-0000-0000219B0000}"/>
    <cellStyle name="Note 2 2 2 5 3 5" xfId="26123" xr:uid="{00000000-0005-0000-0000-0000229B0000}"/>
    <cellStyle name="Note 2 2 2 5 3 6" xfId="26124" xr:uid="{00000000-0005-0000-0000-0000239B0000}"/>
    <cellStyle name="Note 2 2 2 5 4" xfId="4003" xr:uid="{00000000-0005-0000-0000-0000249B0000}"/>
    <cellStyle name="Note 2 2 2 5 4 2" xfId="10665" xr:uid="{00000000-0005-0000-0000-0000259B0000}"/>
    <cellStyle name="Note 2 2 2 5 4 2 2" xfId="14286" xr:uid="{00000000-0005-0000-0000-0000269B0000}"/>
    <cellStyle name="Note 2 2 2 5 4 3" xfId="26125" xr:uid="{00000000-0005-0000-0000-0000279B0000}"/>
    <cellStyle name="Note 2 2 2 5 4 4" xfId="26126" xr:uid="{00000000-0005-0000-0000-0000289B0000}"/>
    <cellStyle name="Note 2 2 2 5 4 5" xfId="26127" xr:uid="{00000000-0005-0000-0000-0000299B0000}"/>
    <cellStyle name="Note 2 2 2 5 4 6" xfId="26128" xr:uid="{00000000-0005-0000-0000-00002A9B0000}"/>
    <cellStyle name="Note 2 2 2 5 5" xfId="4004" xr:uid="{00000000-0005-0000-0000-00002B9B0000}"/>
    <cellStyle name="Note 2 2 2 5 5 2" xfId="5547" xr:uid="{00000000-0005-0000-0000-00002C9B0000}"/>
    <cellStyle name="Note 2 2 2 5 5 2 2" xfId="10667" xr:uid="{00000000-0005-0000-0000-00002D9B0000}"/>
    <cellStyle name="Note 2 2 2 5 5 2 2 2" xfId="14288" xr:uid="{00000000-0005-0000-0000-00002E9B0000}"/>
    <cellStyle name="Note 2 2 2 5 5 2 3" xfId="26129" xr:uid="{00000000-0005-0000-0000-00002F9B0000}"/>
    <cellStyle name="Note 2 2 2 5 5 2 4" xfId="26130" xr:uid="{00000000-0005-0000-0000-0000309B0000}"/>
    <cellStyle name="Note 2 2 2 5 5 2 5" xfId="26131" xr:uid="{00000000-0005-0000-0000-0000319B0000}"/>
    <cellStyle name="Note 2 2 2 5 5 2 6" xfId="26132" xr:uid="{00000000-0005-0000-0000-0000329B0000}"/>
    <cellStyle name="Note 2 2 2 5 5 2 7" xfId="36142" xr:uid="{00000000-0005-0000-0000-0000339B0000}"/>
    <cellStyle name="Note 2 2 2 5 5 2 8" xfId="7707" xr:uid="{00000000-0005-0000-0000-0000349B0000}"/>
    <cellStyle name="Note 2 2 2 5 5 3" xfId="10666" xr:uid="{00000000-0005-0000-0000-0000359B0000}"/>
    <cellStyle name="Note 2 2 2 5 5 3 2" xfId="14287" xr:uid="{00000000-0005-0000-0000-0000369B0000}"/>
    <cellStyle name="Note 2 2 2 5 5 3 3" xfId="38544" xr:uid="{00000000-0005-0000-0000-0000379B0000}"/>
    <cellStyle name="Note 2 2 2 5 5 4" xfId="26133" xr:uid="{00000000-0005-0000-0000-0000389B0000}"/>
    <cellStyle name="Note 2 2 2 5 5 5" xfId="26134" xr:uid="{00000000-0005-0000-0000-0000399B0000}"/>
    <cellStyle name="Note 2 2 2 5 5 6" xfId="26135" xr:uid="{00000000-0005-0000-0000-00003A9B0000}"/>
    <cellStyle name="Note 2 2 2 5 5 7" xfId="26136" xr:uid="{00000000-0005-0000-0000-00003B9B0000}"/>
    <cellStyle name="Note 2 2 2 5 6" xfId="10668" xr:uid="{00000000-0005-0000-0000-00003C9B0000}"/>
    <cellStyle name="Note 2 2 2 5 6 2" xfId="14289" xr:uid="{00000000-0005-0000-0000-00003D9B0000}"/>
    <cellStyle name="Note 2 2 2 5 7" xfId="10662" xr:uid="{00000000-0005-0000-0000-00003E9B0000}"/>
    <cellStyle name="Note 2 2 2 5 7 2" xfId="14283" xr:uid="{00000000-0005-0000-0000-00003F9B0000}"/>
    <cellStyle name="Note 2 2 2 5 8" xfId="26137" xr:uid="{00000000-0005-0000-0000-0000409B0000}"/>
    <cellStyle name="Note 2 2 2 5 9" xfId="26138" xr:uid="{00000000-0005-0000-0000-0000419B0000}"/>
    <cellStyle name="Note 2 2 2 5_IND_UC" xfId="4005" xr:uid="{00000000-0005-0000-0000-0000429B0000}"/>
    <cellStyle name="Note 2 2 2 6" xfId="1731" xr:uid="{00000000-0005-0000-0000-0000439B0000}"/>
    <cellStyle name="Note 2 2 2 6 2" xfId="10669" xr:uid="{00000000-0005-0000-0000-0000449B0000}"/>
    <cellStyle name="Note 2 2 2 6 2 2" xfId="14290" xr:uid="{00000000-0005-0000-0000-0000459B0000}"/>
    <cellStyle name="Note 2 2 2 6 3" xfId="26139" xr:uid="{00000000-0005-0000-0000-0000469B0000}"/>
    <cellStyle name="Note 2 2 2 6 4" xfId="26140" xr:uid="{00000000-0005-0000-0000-0000479B0000}"/>
    <cellStyle name="Note 2 2 2 6 5" xfId="26141" xr:uid="{00000000-0005-0000-0000-0000489B0000}"/>
    <cellStyle name="Note 2 2 2 6 6" xfId="26142" xr:uid="{00000000-0005-0000-0000-0000499B0000}"/>
    <cellStyle name="Note 2 2 2 6 7" xfId="26143" xr:uid="{00000000-0005-0000-0000-00004A9B0000}"/>
    <cellStyle name="Note 2 2 2 7" xfId="1732" xr:uid="{00000000-0005-0000-0000-00004B9B0000}"/>
    <cellStyle name="Note 2 2 2 7 2" xfId="10670" xr:uid="{00000000-0005-0000-0000-00004C9B0000}"/>
    <cellStyle name="Note 2 2 2 7 2 2" xfId="14291" xr:uid="{00000000-0005-0000-0000-00004D9B0000}"/>
    <cellStyle name="Note 2 2 2 7 3" xfId="26144" xr:uid="{00000000-0005-0000-0000-00004E9B0000}"/>
    <cellStyle name="Note 2 2 2 7 4" xfId="26145" xr:uid="{00000000-0005-0000-0000-00004F9B0000}"/>
    <cellStyle name="Note 2 2 2 7 5" xfId="26146" xr:uid="{00000000-0005-0000-0000-0000509B0000}"/>
    <cellStyle name="Note 2 2 2 7 6" xfId="26147" xr:uid="{00000000-0005-0000-0000-0000519B0000}"/>
    <cellStyle name="Note 2 2 2 7 7" xfId="26148" xr:uid="{00000000-0005-0000-0000-0000529B0000}"/>
    <cellStyle name="Note 2 2 2 8" xfId="4006" xr:uid="{00000000-0005-0000-0000-0000539B0000}"/>
    <cellStyle name="Note 2 2 2 8 2" xfId="5548" xr:uid="{00000000-0005-0000-0000-0000549B0000}"/>
    <cellStyle name="Note 2 2 2 8 2 2" xfId="10672" xr:uid="{00000000-0005-0000-0000-0000559B0000}"/>
    <cellStyle name="Note 2 2 2 8 2 2 2" xfId="14293" xr:uid="{00000000-0005-0000-0000-0000569B0000}"/>
    <cellStyle name="Note 2 2 2 8 2 3" xfId="26149" xr:uid="{00000000-0005-0000-0000-0000579B0000}"/>
    <cellStyle name="Note 2 2 2 8 2 4" xfId="26150" xr:uid="{00000000-0005-0000-0000-0000589B0000}"/>
    <cellStyle name="Note 2 2 2 8 2 5" xfId="26151" xr:uid="{00000000-0005-0000-0000-0000599B0000}"/>
    <cellStyle name="Note 2 2 2 8 2 6" xfId="26152" xr:uid="{00000000-0005-0000-0000-00005A9B0000}"/>
    <cellStyle name="Note 2 2 2 8 3" xfId="10671" xr:uid="{00000000-0005-0000-0000-00005B9B0000}"/>
    <cellStyle name="Note 2 2 2 8 3 2" xfId="14292" xr:uid="{00000000-0005-0000-0000-00005C9B0000}"/>
    <cellStyle name="Note 2 2 2 8 3 3" xfId="38545" xr:uid="{00000000-0005-0000-0000-00005D9B0000}"/>
    <cellStyle name="Note 2 2 2 8 4" xfId="26153" xr:uid="{00000000-0005-0000-0000-00005E9B0000}"/>
    <cellStyle name="Note 2 2 2 8 5" xfId="26154" xr:uid="{00000000-0005-0000-0000-00005F9B0000}"/>
    <cellStyle name="Note 2 2 2 8 6" xfId="26155" xr:uid="{00000000-0005-0000-0000-0000609B0000}"/>
    <cellStyle name="Note 2 2 2 8 7" xfId="26156" xr:uid="{00000000-0005-0000-0000-0000619B0000}"/>
    <cellStyle name="Note 2 2 2 9" xfId="4007" xr:uid="{00000000-0005-0000-0000-0000629B0000}"/>
    <cellStyle name="Note 2 2 2 9 2" xfId="5549" xr:uid="{00000000-0005-0000-0000-0000639B0000}"/>
    <cellStyle name="Note 2 2 2 9 2 2" xfId="10674" xr:uid="{00000000-0005-0000-0000-0000649B0000}"/>
    <cellStyle name="Note 2 2 2 9 2 2 2" xfId="14295" xr:uid="{00000000-0005-0000-0000-0000659B0000}"/>
    <cellStyle name="Note 2 2 2 9 2 3" xfId="26157" xr:uid="{00000000-0005-0000-0000-0000669B0000}"/>
    <cellStyle name="Note 2 2 2 9 2 4" xfId="26158" xr:uid="{00000000-0005-0000-0000-0000679B0000}"/>
    <cellStyle name="Note 2 2 2 9 2 5" xfId="26159" xr:uid="{00000000-0005-0000-0000-0000689B0000}"/>
    <cellStyle name="Note 2 2 2 9 2 6" xfId="26160" xr:uid="{00000000-0005-0000-0000-0000699B0000}"/>
    <cellStyle name="Note 2 2 2 9 3" xfId="10673" xr:uid="{00000000-0005-0000-0000-00006A9B0000}"/>
    <cellStyle name="Note 2 2 2 9 3 2" xfId="14294" xr:uid="{00000000-0005-0000-0000-00006B9B0000}"/>
    <cellStyle name="Note 2 2 2 9 3 3" xfId="38546" xr:uid="{00000000-0005-0000-0000-00006C9B0000}"/>
    <cellStyle name="Note 2 2 2 9 4" xfId="26161" xr:uid="{00000000-0005-0000-0000-00006D9B0000}"/>
    <cellStyle name="Note 2 2 2 9 5" xfId="26162" xr:uid="{00000000-0005-0000-0000-00006E9B0000}"/>
    <cellStyle name="Note 2 2 2 9 6" xfId="26163" xr:uid="{00000000-0005-0000-0000-00006F9B0000}"/>
    <cellStyle name="Note 2 2 2 9 7" xfId="26164" xr:uid="{00000000-0005-0000-0000-0000709B0000}"/>
    <cellStyle name="Note 2 2 2_IND_UC" xfId="4008" xr:uid="{00000000-0005-0000-0000-0000719B0000}"/>
    <cellStyle name="Note 2 2 20" xfId="26165" xr:uid="{00000000-0005-0000-0000-0000729B0000}"/>
    <cellStyle name="Note 2 2 21" xfId="26166" xr:uid="{00000000-0005-0000-0000-0000739B0000}"/>
    <cellStyle name="Note 2 2 3" xfId="1733" xr:uid="{00000000-0005-0000-0000-0000749B0000}"/>
    <cellStyle name="Note 2 2 3 10" xfId="10675" xr:uid="{00000000-0005-0000-0000-0000759B0000}"/>
    <cellStyle name="Note 2 2 3 10 2" xfId="14296" xr:uid="{00000000-0005-0000-0000-0000769B0000}"/>
    <cellStyle name="Note 2 2 3 11" xfId="26167" xr:uid="{00000000-0005-0000-0000-0000779B0000}"/>
    <cellStyle name="Note 2 2 3 12" xfId="26168" xr:uid="{00000000-0005-0000-0000-0000789B0000}"/>
    <cellStyle name="Note 2 2 3 13" xfId="26169" xr:uid="{00000000-0005-0000-0000-0000799B0000}"/>
    <cellStyle name="Note 2 2 3 14" xfId="26170" xr:uid="{00000000-0005-0000-0000-00007A9B0000}"/>
    <cellStyle name="Note 2 2 3 15" xfId="26171" xr:uid="{00000000-0005-0000-0000-00007B9B0000}"/>
    <cellStyle name="Note 2 2 3 2" xfId="4010" xr:uid="{00000000-0005-0000-0000-00007C9B0000}"/>
    <cellStyle name="Note 2 2 3 2 2" xfId="5550" xr:uid="{00000000-0005-0000-0000-00007D9B0000}"/>
    <cellStyle name="Note 2 2 3 2 2 2" xfId="10677" xr:uid="{00000000-0005-0000-0000-00007E9B0000}"/>
    <cellStyle name="Note 2 2 3 2 2 2 2" xfId="14298" xr:uid="{00000000-0005-0000-0000-00007F9B0000}"/>
    <cellStyle name="Note 2 2 3 2 2 3" xfId="26172" xr:uid="{00000000-0005-0000-0000-0000809B0000}"/>
    <cellStyle name="Note 2 2 3 2 2 4" xfId="26173" xr:uid="{00000000-0005-0000-0000-0000819B0000}"/>
    <cellStyle name="Note 2 2 3 2 2 5" xfId="26174" xr:uid="{00000000-0005-0000-0000-0000829B0000}"/>
    <cellStyle name="Note 2 2 3 2 2 6" xfId="26175" xr:uid="{00000000-0005-0000-0000-0000839B0000}"/>
    <cellStyle name="Note 2 2 3 2 3" xfId="10678" xr:uid="{00000000-0005-0000-0000-0000849B0000}"/>
    <cellStyle name="Note 2 2 3 2 3 2" xfId="14299" xr:uid="{00000000-0005-0000-0000-0000859B0000}"/>
    <cellStyle name="Note 2 2 3 2 3 3" xfId="38547" xr:uid="{00000000-0005-0000-0000-0000869B0000}"/>
    <cellStyle name="Note 2 2 3 2 4" xfId="10676" xr:uid="{00000000-0005-0000-0000-0000879B0000}"/>
    <cellStyle name="Note 2 2 3 2 4 2" xfId="14297" xr:uid="{00000000-0005-0000-0000-0000889B0000}"/>
    <cellStyle name="Note 2 2 3 2 5" xfId="26176" xr:uid="{00000000-0005-0000-0000-0000899B0000}"/>
    <cellStyle name="Note 2 2 3 2 6" xfId="26177" xr:uid="{00000000-0005-0000-0000-00008A9B0000}"/>
    <cellStyle name="Note 2 2 3 2 7" xfId="26178" xr:uid="{00000000-0005-0000-0000-00008B9B0000}"/>
    <cellStyle name="Note 2 2 3 2 8" xfId="26179" xr:uid="{00000000-0005-0000-0000-00008C9B0000}"/>
    <cellStyle name="Note 2 2 3 3" xfId="4011" xr:uid="{00000000-0005-0000-0000-00008D9B0000}"/>
    <cellStyle name="Note 2 2 3 3 2" xfId="5551" xr:uid="{00000000-0005-0000-0000-00008E9B0000}"/>
    <cellStyle name="Note 2 2 3 3 2 2" xfId="10680" xr:uid="{00000000-0005-0000-0000-00008F9B0000}"/>
    <cellStyle name="Note 2 2 3 3 2 2 2" xfId="14301" xr:uid="{00000000-0005-0000-0000-0000909B0000}"/>
    <cellStyle name="Note 2 2 3 3 2 3" xfId="26180" xr:uid="{00000000-0005-0000-0000-0000919B0000}"/>
    <cellStyle name="Note 2 2 3 3 2 4" xfId="26181" xr:uid="{00000000-0005-0000-0000-0000929B0000}"/>
    <cellStyle name="Note 2 2 3 3 2 5" xfId="26182" xr:uid="{00000000-0005-0000-0000-0000939B0000}"/>
    <cellStyle name="Note 2 2 3 3 2 6" xfId="26183" xr:uid="{00000000-0005-0000-0000-0000949B0000}"/>
    <cellStyle name="Note 2 2 3 3 3" xfId="10679" xr:uid="{00000000-0005-0000-0000-0000959B0000}"/>
    <cellStyle name="Note 2 2 3 3 3 2" xfId="14300" xr:uid="{00000000-0005-0000-0000-0000969B0000}"/>
    <cellStyle name="Note 2 2 3 3 3 3" xfId="38548" xr:uid="{00000000-0005-0000-0000-0000979B0000}"/>
    <cellStyle name="Note 2 2 3 3 4" xfId="26184" xr:uid="{00000000-0005-0000-0000-0000989B0000}"/>
    <cellStyle name="Note 2 2 3 3 5" xfId="26185" xr:uid="{00000000-0005-0000-0000-0000999B0000}"/>
    <cellStyle name="Note 2 2 3 3 6" xfId="26186" xr:uid="{00000000-0005-0000-0000-00009A9B0000}"/>
    <cellStyle name="Note 2 2 3 3 7" xfId="26187" xr:uid="{00000000-0005-0000-0000-00009B9B0000}"/>
    <cellStyle name="Note 2 2 3 4" xfId="4012" xr:uid="{00000000-0005-0000-0000-00009C9B0000}"/>
    <cellStyle name="Note 2 2 3 4 2" xfId="5552" xr:uid="{00000000-0005-0000-0000-00009D9B0000}"/>
    <cellStyle name="Note 2 2 3 4 2 2" xfId="10682" xr:uid="{00000000-0005-0000-0000-00009E9B0000}"/>
    <cellStyle name="Note 2 2 3 4 2 2 2" xfId="14303" xr:uid="{00000000-0005-0000-0000-00009F9B0000}"/>
    <cellStyle name="Note 2 2 3 4 2 3" xfId="26188" xr:uid="{00000000-0005-0000-0000-0000A09B0000}"/>
    <cellStyle name="Note 2 2 3 4 2 4" xfId="26189" xr:uid="{00000000-0005-0000-0000-0000A19B0000}"/>
    <cellStyle name="Note 2 2 3 4 2 5" xfId="26190" xr:uid="{00000000-0005-0000-0000-0000A29B0000}"/>
    <cellStyle name="Note 2 2 3 4 2 6" xfId="26191" xr:uid="{00000000-0005-0000-0000-0000A39B0000}"/>
    <cellStyle name="Note 2 2 3 4 3" xfId="10683" xr:uid="{00000000-0005-0000-0000-0000A49B0000}"/>
    <cellStyle name="Note 2 2 3 4 3 2" xfId="14304" xr:uid="{00000000-0005-0000-0000-0000A59B0000}"/>
    <cellStyle name="Note 2 2 3 4 3 3" xfId="38549" xr:uid="{00000000-0005-0000-0000-0000A69B0000}"/>
    <cellStyle name="Note 2 2 3 4 4" xfId="10681" xr:uid="{00000000-0005-0000-0000-0000A79B0000}"/>
    <cellStyle name="Note 2 2 3 4 4 2" xfId="14302" xr:uid="{00000000-0005-0000-0000-0000A89B0000}"/>
    <cellStyle name="Note 2 2 3 4 5" xfId="26192" xr:uid="{00000000-0005-0000-0000-0000A99B0000}"/>
    <cellStyle name="Note 2 2 3 4 6" xfId="26193" xr:uid="{00000000-0005-0000-0000-0000AA9B0000}"/>
    <cellStyle name="Note 2 2 3 4 7" xfId="26194" xr:uid="{00000000-0005-0000-0000-0000AB9B0000}"/>
    <cellStyle name="Note 2 2 3 4 8" xfId="26195" xr:uid="{00000000-0005-0000-0000-0000AC9B0000}"/>
    <cellStyle name="Note 2 2 3 5" xfId="4013" xr:uid="{00000000-0005-0000-0000-0000AD9B0000}"/>
    <cellStyle name="Note 2 2 3 5 10" xfId="26196" xr:uid="{00000000-0005-0000-0000-0000AE9B0000}"/>
    <cellStyle name="Note 2 2 3 5 11" xfId="7708" xr:uid="{00000000-0005-0000-0000-0000AF9B0000}"/>
    <cellStyle name="Note 2 2 3 5 2" xfId="8671" xr:uid="{00000000-0005-0000-0000-0000B09B0000}"/>
    <cellStyle name="Note 2 2 3 5 2 2" xfId="10685" xr:uid="{00000000-0005-0000-0000-0000B19B0000}"/>
    <cellStyle name="Note 2 2 3 5 2 2 2" xfId="14306" xr:uid="{00000000-0005-0000-0000-0000B29B0000}"/>
    <cellStyle name="Note 2 2 3 5 2 3" xfId="26197" xr:uid="{00000000-0005-0000-0000-0000B39B0000}"/>
    <cellStyle name="Note 2 2 3 5 2 4" xfId="26198" xr:uid="{00000000-0005-0000-0000-0000B49B0000}"/>
    <cellStyle name="Note 2 2 3 5 2 5" xfId="26199" xr:uid="{00000000-0005-0000-0000-0000B59B0000}"/>
    <cellStyle name="Note 2 2 3 5 2 6" xfId="26200" xr:uid="{00000000-0005-0000-0000-0000B69B0000}"/>
    <cellStyle name="Note 2 2 3 5 3" xfId="8397" xr:uid="{00000000-0005-0000-0000-0000B79B0000}"/>
    <cellStyle name="Note 2 2 3 5 3 2" xfId="10686" xr:uid="{00000000-0005-0000-0000-0000B89B0000}"/>
    <cellStyle name="Note 2 2 3 5 3 2 2" xfId="14307" xr:uid="{00000000-0005-0000-0000-0000B99B0000}"/>
    <cellStyle name="Note 2 2 3 5 3 3" xfId="12513" xr:uid="{00000000-0005-0000-0000-0000BA9B0000}"/>
    <cellStyle name="Note 2 2 3 5 3 3 2" xfId="26201" xr:uid="{00000000-0005-0000-0000-0000BB9B0000}"/>
    <cellStyle name="Note 2 2 3 5 3 4" xfId="26202" xr:uid="{00000000-0005-0000-0000-0000BC9B0000}"/>
    <cellStyle name="Note 2 2 3 5 3 5" xfId="26203" xr:uid="{00000000-0005-0000-0000-0000BD9B0000}"/>
    <cellStyle name="Note 2 2 3 5 3 6" xfId="26204" xr:uid="{00000000-0005-0000-0000-0000BE9B0000}"/>
    <cellStyle name="Note 2 2 3 5 3 7" xfId="26205" xr:uid="{00000000-0005-0000-0000-0000BF9B0000}"/>
    <cellStyle name="Note 2 2 3 5 4" xfId="7976" xr:uid="{00000000-0005-0000-0000-0000C09B0000}"/>
    <cellStyle name="Note 2 2 3 5 4 2" xfId="10687" xr:uid="{00000000-0005-0000-0000-0000C19B0000}"/>
    <cellStyle name="Note 2 2 3 5 4 2 2" xfId="14308" xr:uid="{00000000-0005-0000-0000-0000C29B0000}"/>
    <cellStyle name="Note 2 2 3 5 4 3" xfId="26206" xr:uid="{00000000-0005-0000-0000-0000C39B0000}"/>
    <cellStyle name="Note 2 2 3 5 4 4" xfId="26207" xr:uid="{00000000-0005-0000-0000-0000C49B0000}"/>
    <cellStyle name="Note 2 2 3 5 4 5" xfId="26208" xr:uid="{00000000-0005-0000-0000-0000C59B0000}"/>
    <cellStyle name="Note 2 2 3 5 4 6" xfId="26209" xr:uid="{00000000-0005-0000-0000-0000C69B0000}"/>
    <cellStyle name="Note 2 2 3 5 5" xfId="10688" xr:uid="{00000000-0005-0000-0000-0000C79B0000}"/>
    <cellStyle name="Note 2 2 3 5 5 2" xfId="14309" xr:uid="{00000000-0005-0000-0000-0000C89B0000}"/>
    <cellStyle name="Note 2 2 3 5 6" xfId="10684" xr:uid="{00000000-0005-0000-0000-0000C99B0000}"/>
    <cellStyle name="Note 2 2 3 5 6 2" xfId="14305" xr:uid="{00000000-0005-0000-0000-0000CA9B0000}"/>
    <cellStyle name="Note 2 2 3 5 7" xfId="26210" xr:uid="{00000000-0005-0000-0000-0000CB9B0000}"/>
    <cellStyle name="Note 2 2 3 5 8" xfId="26211" xr:uid="{00000000-0005-0000-0000-0000CC9B0000}"/>
    <cellStyle name="Note 2 2 3 5 9" xfId="26212" xr:uid="{00000000-0005-0000-0000-0000CD9B0000}"/>
    <cellStyle name="Note 2 2 3 6" xfId="4009" xr:uid="{00000000-0005-0000-0000-0000CE9B0000}"/>
    <cellStyle name="Note 2 2 3 6 2" xfId="10689" xr:uid="{00000000-0005-0000-0000-0000CF9B0000}"/>
    <cellStyle name="Note 2 2 3 6 2 2" xfId="14310" xr:uid="{00000000-0005-0000-0000-0000D09B0000}"/>
    <cellStyle name="Note 2 2 3 6 3" xfId="26213" xr:uid="{00000000-0005-0000-0000-0000D19B0000}"/>
    <cellStyle name="Note 2 2 3 6 4" xfId="26214" xr:uid="{00000000-0005-0000-0000-0000D29B0000}"/>
    <cellStyle name="Note 2 2 3 6 5" xfId="26215" xr:uid="{00000000-0005-0000-0000-0000D39B0000}"/>
    <cellStyle name="Note 2 2 3 6 6" xfId="26216" xr:uid="{00000000-0005-0000-0000-0000D49B0000}"/>
    <cellStyle name="Note 2 2 3 7" xfId="4915" xr:uid="{00000000-0005-0000-0000-0000D59B0000}"/>
    <cellStyle name="Note 2 2 3 7 2" xfId="10690" xr:uid="{00000000-0005-0000-0000-0000D69B0000}"/>
    <cellStyle name="Note 2 2 3 7 2 2" xfId="14311" xr:uid="{00000000-0005-0000-0000-0000D79B0000}"/>
    <cellStyle name="Note 2 2 3 7 3" xfId="26217" xr:uid="{00000000-0005-0000-0000-0000D89B0000}"/>
    <cellStyle name="Note 2 2 3 7 4" xfId="26218" xr:uid="{00000000-0005-0000-0000-0000D99B0000}"/>
    <cellStyle name="Note 2 2 3 7 5" xfId="26219" xr:uid="{00000000-0005-0000-0000-0000DA9B0000}"/>
    <cellStyle name="Note 2 2 3 7 6" xfId="26220" xr:uid="{00000000-0005-0000-0000-0000DB9B0000}"/>
    <cellStyle name="Note 2 2 3 8" xfId="7709" xr:uid="{00000000-0005-0000-0000-0000DC9B0000}"/>
    <cellStyle name="Note 2 2 3 8 2" xfId="10691" xr:uid="{00000000-0005-0000-0000-0000DD9B0000}"/>
    <cellStyle name="Note 2 2 3 8 2 2" xfId="14312" xr:uid="{00000000-0005-0000-0000-0000DE9B0000}"/>
    <cellStyle name="Note 2 2 3 8 3" xfId="26221" xr:uid="{00000000-0005-0000-0000-0000DF9B0000}"/>
    <cellStyle name="Note 2 2 3 8 4" xfId="26222" xr:uid="{00000000-0005-0000-0000-0000E09B0000}"/>
    <cellStyle name="Note 2 2 3 8 5" xfId="26223" xr:uid="{00000000-0005-0000-0000-0000E19B0000}"/>
    <cellStyle name="Note 2 2 3 8 6" xfId="26224" xr:uid="{00000000-0005-0000-0000-0000E29B0000}"/>
    <cellStyle name="Note 2 2 3 9" xfId="7710" xr:uid="{00000000-0005-0000-0000-0000E39B0000}"/>
    <cellStyle name="Note 2 2 3 9 2" xfId="10692" xr:uid="{00000000-0005-0000-0000-0000E49B0000}"/>
    <cellStyle name="Note 2 2 3 9 2 2" xfId="14313" xr:uid="{00000000-0005-0000-0000-0000E59B0000}"/>
    <cellStyle name="Note 2 2 3 9 3" xfId="26225" xr:uid="{00000000-0005-0000-0000-0000E69B0000}"/>
    <cellStyle name="Note 2 2 3 9 4" xfId="26226" xr:uid="{00000000-0005-0000-0000-0000E79B0000}"/>
    <cellStyle name="Note 2 2 3 9 5" xfId="26227" xr:uid="{00000000-0005-0000-0000-0000E89B0000}"/>
    <cellStyle name="Note 2 2 3 9 6" xfId="26228" xr:uid="{00000000-0005-0000-0000-0000E99B0000}"/>
    <cellStyle name="Note 2 2 3_IND_UC" xfId="4014" xr:uid="{00000000-0005-0000-0000-0000EA9B0000}"/>
    <cellStyle name="Note 2 2 4" xfId="1734" xr:uid="{00000000-0005-0000-0000-0000EB9B0000}"/>
    <cellStyle name="Note 2 2 4 10" xfId="26229" xr:uid="{00000000-0005-0000-0000-0000EC9B0000}"/>
    <cellStyle name="Note 2 2 4 11" xfId="26230" xr:uid="{00000000-0005-0000-0000-0000ED9B0000}"/>
    <cellStyle name="Note 2 2 4 12" xfId="26231" xr:uid="{00000000-0005-0000-0000-0000EE9B0000}"/>
    <cellStyle name="Note 2 2 4 2" xfId="1735" xr:uid="{00000000-0005-0000-0000-0000EF9B0000}"/>
    <cellStyle name="Note 2 2 4 2 2" xfId="4016" xr:uid="{00000000-0005-0000-0000-0000F09B0000}"/>
    <cellStyle name="Note 2 2 4 2 2 2" xfId="10695" xr:uid="{00000000-0005-0000-0000-0000F19B0000}"/>
    <cellStyle name="Note 2 2 4 2 2 2 2" xfId="14316" xr:uid="{00000000-0005-0000-0000-0000F29B0000}"/>
    <cellStyle name="Note 2 2 4 2 2 3" xfId="26232" xr:uid="{00000000-0005-0000-0000-0000F39B0000}"/>
    <cellStyle name="Note 2 2 4 2 2 4" xfId="26233" xr:uid="{00000000-0005-0000-0000-0000F49B0000}"/>
    <cellStyle name="Note 2 2 4 2 2 5" xfId="26234" xr:uid="{00000000-0005-0000-0000-0000F59B0000}"/>
    <cellStyle name="Note 2 2 4 2 2 6" xfId="26235" xr:uid="{00000000-0005-0000-0000-0000F69B0000}"/>
    <cellStyle name="Note 2 2 4 2 3" xfId="4916" xr:uid="{00000000-0005-0000-0000-0000F79B0000}"/>
    <cellStyle name="Note 2 2 4 2 3 2" xfId="14315" xr:uid="{00000000-0005-0000-0000-0000F89B0000}"/>
    <cellStyle name="Note 2 2 4 2 3 3" xfId="35876" xr:uid="{00000000-0005-0000-0000-0000F99B0000}"/>
    <cellStyle name="Note 2 2 4 2 3 4" xfId="10694" xr:uid="{00000000-0005-0000-0000-0000FA9B0000}"/>
    <cellStyle name="Note 2 2 4 2 4" xfId="26236" xr:uid="{00000000-0005-0000-0000-0000FB9B0000}"/>
    <cellStyle name="Note 2 2 4 2 4 2" xfId="37943" xr:uid="{00000000-0005-0000-0000-0000FC9B0000}"/>
    <cellStyle name="Note 2 2 4 2 5" xfId="26237" xr:uid="{00000000-0005-0000-0000-0000FD9B0000}"/>
    <cellStyle name="Note 2 2 4 2 6" xfId="26238" xr:uid="{00000000-0005-0000-0000-0000FE9B0000}"/>
    <cellStyle name="Note 2 2 4 2 7" xfId="26239" xr:uid="{00000000-0005-0000-0000-0000FF9B0000}"/>
    <cellStyle name="Note 2 2 4 2 8" xfId="26240" xr:uid="{00000000-0005-0000-0000-0000009C0000}"/>
    <cellStyle name="Note 2 2 4 3" xfId="1736" xr:uid="{00000000-0005-0000-0000-0000019C0000}"/>
    <cellStyle name="Note 2 2 4 3 2" xfId="4017" xr:uid="{00000000-0005-0000-0000-0000029C0000}"/>
    <cellStyle name="Note 2 2 4 3 2 2" xfId="5553" xr:uid="{00000000-0005-0000-0000-0000039C0000}"/>
    <cellStyle name="Note 2 2 4 3 2 2 2" xfId="10698" xr:uid="{00000000-0005-0000-0000-0000049C0000}"/>
    <cellStyle name="Note 2 2 4 3 2 2 2 2" xfId="14319" xr:uid="{00000000-0005-0000-0000-0000059C0000}"/>
    <cellStyle name="Note 2 2 4 3 2 2 3" xfId="26241" xr:uid="{00000000-0005-0000-0000-0000069C0000}"/>
    <cellStyle name="Note 2 2 4 3 2 2 4" xfId="26242" xr:uid="{00000000-0005-0000-0000-0000079C0000}"/>
    <cellStyle name="Note 2 2 4 3 2 2 5" xfId="26243" xr:uid="{00000000-0005-0000-0000-0000089C0000}"/>
    <cellStyle name="Note 2 2 4 3 2 2 6" xfId="26244" xr:uid="{00000000-0005-0000-0000-0000099C0000}"/>
    <cellStyle name="Note 2 2 4 3 2 3" xfId="8321" xr:uid="{00000000-0005-0000-0000-00000A9C0000}"/>
    <cellStyle name="Note 2 2 4 3 2 3 2" xfId="10699" xr:uid="{00000000-0005-0000-0000-00000B9C0000}"/>
    <cellStyle name="Note 2 2 4 3 2 3 2 2" xfId="14320" xr:uid="{00000000-0005-0000-0000-00000C9C0000}"/>
    <cellStyle name="Note 2 2 4 3 2 3 3" xfId="26245" xr:uid="{00000000-0005-0000-0000-00000D9C0000}"/>
    <cellStyle name="Note 2 2 4 3 2 3 4" xfId="26246" xr:uid="{00000000-0005-0000-0000-00000E9C0000}"/>
    <cellStyle name="Note 2 2 4 3 2 3 5" xfId="26247" xr:uid="{00000000-0005-0000-0000-00000F9C0000}"/>
    <cellStyle name="Note 2 2 4 3 2 3 6" xfId="26248" xr:uid="{00000000-0005-0000-0000-0000109C0000}"/>
    <cellStyle name="Note 2 2 4 3 2 3 7" xfId="38550" xr:uid="{00000000-0005-0000-0000-0000119C0000}"/>
    <cellStyle name="Note 2 2 4 3 2 4" xfId="10697" xr:uid="{00000000-0005-0000-0000-0000129C0000}"/>
    <cellStyle name="Note 2 2 4 3 2 4 2" xfId="14318" xr:uid="{00000000-0005-0000-0000-0000139C0000}"/>
    <cellStyle name="Note 2 2 4 3 2 5" xfId="26249" xr:uid="{00000000-0005-0000-0000-0000149C0000}"/>
    <cellStyle name="Note 2 2 4 3 2 6" xfId="26250" xr:uid="{00000000-0005-0000-0000-0000159C0000}"/>
    <cellStyle name="Note 2 2 4 3 2 7" xfId="26251" xr:uid="{00000000-0005-0000-0000-0000169C0000}"/>
    <cellStyle name="Note 2 2 4 3 2 8" xfId="26252" xr:uid="{00000000-0005-0000-0000-0000179C0000}"/>
    <cellStyle name="Note 2 2 4 3 3" xfId="10696" xr:uid="{00000000-0005-0000-0000-0000189C0000}"/>
    <cellStyle name="Note 2 2 4 3 3 2" xfId="14317" xr:uid="{00000000-0005-0000-0000-0000199C0000}"/>
    <cellStyle name="Note 2 2 4 3 4" xfId="26253" xr:uid="{00000000-0005-0000-0000-00001A9C0000}"/>
    <cellStyle name="Note 2 2 4 3 5" xfId="26254" xr:uid="{00000000-0005-0000-0000-00001B9C0000}"/>
    <cellStyle name="Note 2 2 4 3 6" xfId="26255" xr:uid="{00000000-0005-0000-0000-00001C9C0000}"/>
    <cellStyle name="Note 2 2 4 3 7" xfId="26256" xr:uid="{00000000-0005-0000-0000-00001D9C0000}"/>
    <cellStyle name="Note 2 2 4 3 8" xfId="26257" xr:uid="{00000000-0005-0000-0000-00001E9C0000}"/>
    <cellStyle name="Note 2 2 4 4" xfId="4018" xr:uid="{00000000-0005-0000-0000-00001F9C0000}"/>
    <cellStyle name="Note 2 2 4 4 2" xfId="5554" xr:uid="{00000000-0005-0000-0000-0000209C0000}"/>
    <cellStyle name="Note 2 2 4 4 2 2" xfId="10701" xr:uid="{00000000-0005-0000-0000-0000219C0000}"/>
    <cellStyle name="Note 2 2 4 4 2 2 2" xfId="14322" xr:uid="{00000000-0005-0000-0000-0000229C0000}"/>
    <cellStyle name="Note 2 2 4 4 2 3" xfId="26258" xr:uid="{00000000-0005-0000-0000-0000239C0000}"/>
    <cellStyle name="Note 2 2 4 4 2 4" xfId="26259" xr:uid="{00000000-0005-0000-0000-0000249C0000}"/>
    <cellStyle name="Note 2 2 4 4 2 5" xfId="26260" xr:uid="{00000000-0005-0000-0000-0000259C0000}"/>
    <cellStyle name="Note 2 2 4 4 2 6" xfId="26261" xr:uid="{00000000-0005-0000-0000-0000269C0000}"/>
    <cellStyle name="Note 2 2 4 4 3" xfId="10700" xr:uid="{00000000-0005-0000-0000-0000279C0000}"/>
    <cellStyle name="Note 2 2 4 4 3 2" xfId="14321" xr:uid="{00000000-0005-0000-0000-0000289C0000}"/>
    <cellStyle name="Note 2 2 4 4 3 3" xfId="38551" xr:uid="{00000000-0005-0000-0000-0000299C0000}"/>
    <cellStyle name="Note 2 2 4 4 4" xfId="26262" xr:uid="{00000000-0005-0000-0000-00002A9C0000}"/>
    <cellStyle name="Note 2 2 4 4 5" xfId="26263" xr:uid="{00000000-0005-0000-0000-00002B9C0000}"/>
    <cellStyle name="Note 2 2 4 4 6" xfId="26264" xr:uid="{00000000-0005-0000-0000-00002C9C0000}"/>
    <cellStyle name="Note 2 2 4 4 7" xfId="26265" xr:uid="{00000000-0005-0000-0000-00002D9C0000}"/>
    <cellStyle name="Note 2 2 4 5" xfId="4015" xr:uid="{00000000-0005-0000-0000-00002E9C0000}"/>
    <cellStyle name="Note 2 2 4 5 2" xfId="10702" xr:uid="{00000000-0005-0000-0000-00002F9C0000}"/>
    <cellStyle name="Note 2 2 4 5 2 2" xfId="14323" xr:uid="{00000000-0005-0000-0000-0000309C0000}"/>
    <cellStyle name="Note 2 2 4 5 3" xfId="26266" xr:uid="{00000000-0005-0000-0000-0000319C0000}"/>
    <cellStyle name="Note 2 2 4 5 4" xfId="26267" xr:uid="{00000000-0005-0000-0000-0000329C0000}"/>
    <cellStyle name="Note 2 2 4 5 5" xfId="26268" xr:uid="{00000000-0005-0000-0000-0000339C0000}"/>
    <cellStyle name="Note 2 2 4 5 6" xfId="26269" xr:uid="{00000000-0005-0000-0000-0000349C0000}"/>
    <cellStyle name="Note 2 2 4 6" xfId="10703" xr:uid="{00000000-0005-0000-0000-0000359C0000}"/>
    <cellStyle name="Note 2 2 4 6 2" xfId="14324" xr:uid="{00000000-0005-0000-0000-0000369C0000}"/>
    <cellStyle name="Note 2 2 4 6 3" xfId="39222" xr:uid="{00000000-0005-0000-0000-0000379C0000}"/>
    <cellStyle name="Note 2 2 4 7" xfId="10693" xr:uid="{00000000-0005-0000-0000-0000389C0000}"/>
    <cellStyle name="Note 2 2 4 7 2" xfId="14314" xr:uid="{00000000-0005-0000-0000-0000399C0000}"/>
    <cellStyle name="Note 2 2 4 8" xfId="26270" xr:uid="{00000000-0005-0000-0000-00003A9C0000}"/>
    <cellStyle name="Note 2 2 4 9" xfId="26271" xr:uid="{00000000-0005-0000-0000-00003B9C0000}"/>
    <cellStyle name="Note 2 2 4_IND_UC" xfId="4019" xr:uid="{00000000-0005-0000-0000-00003C9C0000}"/>
    <cellStyle name="Note 2 2 5" xfId="1737" xr:uid="{00000000-0005-0000-0000-00003D9C0000}"/>
    <cellStyle name="Note 2 2 5 10" xfId="26272" xr:uid="{00000000-0005-0000-0000-00003E9C0000}"/>
    <cellStyle name="Note 2 2 5 11" xfId="26273" xr:uid="{00000000-0005-0000-0000-00003F9C0000}"/>
    <cellStyle name="Note 2 2 5 12" xfId="26274" xr:uid="{00000000-0005-0000-0000-0000409C0000}"/>
    <cellStyle name="Note 2 2 5 2" xfId="4021" xr:uid="{00000000-0005-0000-0000-0000419C0000}"/>
    <cellStyle name="Note 2 2 5 2 2" xfId="5555" xr:uid="{00000000-0005-0000-0000-0000429C0000}"/>
    <cellStyle name="Note 2 2 5 2 2 2" xfId="10706" xr:uid="{00000000-0005-0000-0000-0000439C0000}"/>
    <cellStyle name="Note 2 2 5 2 2 2 2" xfId="14327" xr:uid="{00000000-0005-0000-0000-0000449C0000}"/>
    <cellStyle name="Note 2 2 5 2 2 3" xfId="26275" xr:uid="{00000000-0005-0000-0000-0000459C0000}"/>
    <cellStyle name="Note 2 2 5 2 2 4" xfId="26276" xr:uid="{00000000-0005-0000-0000-0000469C0000}"/>
    <cellStyle name="Note 2 2 5 2 2 5" xfId="26277" xr:uid="{00000000-0005-0000-0000-0000479C0000}"/>
    <cellStyle name="Note 2 2 5 2 2 6" xfId="26278" xr:uid="{00000000-0005-0000-0000-0000489C0000}"/>
    <cellStyle name="Note 2 2 5 2 3" xfId="10705" xr:uid="{00000000-0005-0000-0000-0000499C0000}"/>
    <cellStyle name="Note 2 2 5 2 3 2" xfId="14326" xr:uid="{00000000-0005-0000-0000-00004A9C0000}"/>
    <cellStyle name="Note 2 2 5 2 3 3" xfId="38552" xr:uid="{00000000-0005-0000-0000-00004B9C0000}"/>
    <cellStyle name="Note 2 2 5 2 4" xfId="26279" xr:uid="{00000000-0005-0000-0000-00004C9C0000}"/>
    <cellStyle name="Note 2 2 5 2 5" xfId="26280" xr:uid="{00000000-0005-0000-0000-00004D9C0000}"/>
    <cellStyle name="Note 2 2 5 2 6" xfId="26281" xr:uid="{00000000-0005-0000-0000-00004E9C0000}"/>
    <cellStyle name="Note 2 2 5 2 7" xfId="26282" xr:uid="{00000000-0005-0000-0000-00004F9C0000}"/>
    <cellStyle name="Note 2 2 5 3" xfId="4022" xr:uid="{00000000-0005-0000-0000-0000509C0000}"/>
    <cellStyle name="Note 2 2 5 3 2" xfId="5556" xr:uid="{00000000-0005-0000-0000-0000519C0000}"/>
    <cellStyle name="Note 2 2 5 3 2 2" xfId="10708" xr:uid="{00000000-0005-0000-0000-0000529C0000}"/>
    <cellStyle name="Note 2 2 5 3 2 2 2" xfId="14329" xr:uid="{00000000-0005-0000-0000-0000539C0000}"/>
    <cellStyle name="Note 2 2 5 3 2 3" xfId="26283" xr:uid="{00000000-0005-0000-0000-0000549C0000}"/>
    <cellStyle name="Note 2 2 5 3 2 4" xfId="26284" xr:uid="{00000000-0005-0000-0000-0000559C0000}"/>
    <cellStyle name="Note 2 2 5 3 2 5" xfId="26285" xr:uid="{00000000-0005-0000-0000-0000569C0000}"/>
    <cellStyle name="Note 2 2 5 3 2 6" xfId="26286" xr:uid="{00000000-0005-0000-0000-0000579C0000}"/>
    <cellStyle name="Note 2 2 5 3 3" xfId="10707" xr:uid="{00000000-0005-0000-0000-0000589C0000}"/>
    <cellStyle name="Note 2 2 5 3 3 2" xfId="14328" xr:uid="{00000000-0005-0000-0000-0000599C0000}"/>
    <cellStyle name="Note 2 2 5 3 3 3" xfId="38553" xr:uid="{00000000-0005-0000-0000-00005A9C0000}"/>
    <cellStyle name="Note 2 2 5 3 4" xfId="26287" xr:uid="{00000000-0005-0000-0000-00005B9C0000}"/>
    <cellStyle name="Note 2 2 5 3 5" xfId="26288" xr:uid="{00000000-0005-0000-0000-00005C9C0000}"/>
    <cellStyle name="Note 2 2 5 3 6" xfId="26289" xr:uid="{00000000-0005-0000-0000-00005D9C0000}"/>
    <cellStyle name="Note 2 2 5 3 7" xfId="26290" xr:uid="{00000000-0005-0000-0000-00005E9C0000}"/>
    <cellStyle name="Note 2 2 5 4" xfId="4023" xr:uid="{00000000-0005-0000-0000-00005F9C0000}"/>
    <cellStyle name="Note 2 2 5 4 2" xfId="5557" xr:uid="{00000000-0005-0000-0000-0000609C0000}"/>
    <cellStyle name="Note 2 2 5 4 2 2" xfId="10710" xr:uid="{00000000-0005-0000-0000-0000619C0000}"/>
    <cellStyle name="Note 2 2 5 4 2 2 2" xfId="14331" xr:uid="{00000000-0005-0000-0000-0000629C0000}"/>
    <cellStyle name="Note 2 2 5 4 2 3" xfId="26291" xr:uid="{00000000-0005-0000-0000-0000639C0000}"/>
    <cellStyle name="Note 2 2 5 4 2 4" xfId="26292" xr:uid="{00000000-0005-0000-0000-0000649C0000}"/>
    <cellStyle name="Note 2 2 5 4 2 5" xfId="26293" xr:uid="{00000000-0005-0000-0000-0000659C0000}"/>
    <cellStyle name="Note 2 2 5 4 2 6" xfId="26294" xr:uid="{00000000-0005-0000-0000-0000669C0000}"/>
    <cellStyle name="Note 2 2 5 4 3" xfId="10709" xr:uid="{00000000-0005-0000-0000-0000679C0000}"/>
    <cellStyle name="Note 2 2 5 4 3 2" xfId="14330" xr:uid="{00000000-0005-0000-0000-0000689C0000}"/>
    <cellStyle name="Note 2 2 5 4 3 3" xfId="38554" xr:uid="{00000000-0005-0000-0000-0000699C0000}"/>
    <cellStyle name="Note 2 2 5 4 4" xfId="26295" xr:uid="{00000000-0005-0000-0000-00006A9C0000}"/>
    <cellStyle name="Note 2 2 5 4 5" xfId="26296" xr:uid="{00000000-0005-0000-0000-00006B9C0000}"/>
    <cellStyle name="Note 2 2 5 4 6" xfId="26297" xr:uid="{00000000-0005-0000-0000-00006C9C0000}"/>
    <cellStyle name="Note 2 2 5 4 7" xfId="26298" xr:uid="{00000000-0005-0000-0000-00006D9C0000}"/>
    <cellStyle name="Note 2 2 5 5" xfId="4024" xr:uid="{00000000-0005-0000-0000-00006E9C0000}"/>
    <cellStyle name="Note 2 2 5 5 2" xfId="8402" xr:uid="{00000000-0005-0000-0000-00006F9C0000}"/>
    <cellStyle name="Note 2 2 5 5 2 2" xfId="10712" xr:uid="{00000000-0005-0000-0000-0000709C0000}"/>
    <cellStyle name="Note 2 2 5 5 2 2 2" xfId="14333" xr:uid="{00000000-0005-0000-0000-0000719C0000}"/>
    <cellStyle name="Note 2 2 5 5 2 3" xfId="26299" xr:uid="{00000000-0005-0000-0000-0000729C0000}"/>
    <cellStyle name="Note 2 2 5 5 2 4" xfId="26300" xr:uid="{00000000-0005-0000-0000-0000739C0000}"/>
    <cellStyle name="Note 2 2 5 5 2 5" xfId="26301" xr:uid="{00000000-0005-0000-0000-0000749C0000}"/>
    <cellStyle name="Note 2 2 5 5 2 6" xfId="26302" xr:uid="{00000000-0005-0000-0000-0000759C0000}"/>
    <cellStyle name="Note 2 2 5 5 3" xfId="10711" xr:uid="{00000000-0005-0000-0000-0000769C0000}"/>
    <cellStyle name="Note 2 2 5 5 3 2" xfId="14332" xr:uid="{00000000-0005-0000-0000-0000779C0000}"/>
    <cellStyle name="Note 2 2 5 5 4" xfId="26303" xr:uid="{00000000-0005-0000-0000-0000789C0000}"/>
    <cellStyle name="Note 2 2 5 5 5" xfId="26304" xr:uid="{00000000-0005-0000-0000-0000799C0000}"/>
    <cellStyle name="Note 2 2 5 5 6" xfId="26305" xr:uid="{00000000-0005-0000-0000-00007A9C0000}"/>
    <cellStyle name="Note 2 2 5 5 7" xfId="26306" xr:uid="{00000000-0005-0000-0000-00007B9C0000}"/>
    <cellStyle name="Note 2 2 5 5 8" xfId="7711" xr:uid="{00000000-0005-0000-0000-00007C9C0000}"/>
    <cellStyle name="Note 2 2 5 6" xfId="4020" xr:uid="{00000000-0005-0000-0000-00007D9C0000}"/>
    <cellStyle name="Note 2 2 5 6 2" xfId="14334" xr:uid="{00000000-0005-0000-0000-00007E9C0000}"/>
    <cellStyle name="Note 2 2 5 6 3" xfId="35486" xr:uid="{00000000-0005-0000-0000-00007F9C0000}"/>
    <cellStyle name="Note 2 2 5 6 4" xfId="10713" xr:uid="{00000000-0005-0000-0000-0000809C0000}"/>
    <cellStyle name="Note 2 2 5 7" xfId="4917" xr:uid="{00000000-0005-0000-0000-0000819C0000}"/>
    <cellStyle name="Note 2 2 5 7 2" xfId="14325" xr:uid="{00000000-0005-0000-0000-0000829C0000}"/>
    <cellStyle name="Note 2 2 5 7 3" xfId="35877" xr:uid="{00000000-0005-0000-0000-0000839C0000}"/>
    <cellStyle name="Note 2 2 5 7 4" xfId="10704" xr:uid="{00000000-0005-0000-0000-0000849C0000}"/>
    <cellStyle name="Note 2 2 5 8" xfId="26307" xr:uid="{00000000-0005-0000-0000-0000859C0000}"/>
    <cellStyle name="Note 2 2 5 8 2" xfId="37944" xr:uid="{00000000-0005-0000-0000-0000869C0000}"/>
    <cellStyle name="Note 2 2 5 9" xfId="26308" xr:uid="{00000000-0005-0000-0000-0000879C0000}"/>
    <cellStyle name="Note 2 2 5_IND_UC" xfId="4025" xr:uid="{00000000-0005-0000-0000-0000889C0000}"/>
    <cellStyle name="Note 2 2 6" xfId="1738" xr:uid="{00000000-0005-0000-0000-0000899C0000}"/>
    <cellStyle name="Note 2 2 6 10" xfId="26309" xr:uid="{00000000-0005-0000-0000-00008A9C0000}"/>
    <cellStyle name="Note 2 2 6 11" xfId="26310" xr:uid="{00000000-0005-0000-0000-00008B9C0000}"/>
    <cellStyle name="Note 2 2 6 2" xfId="4026" xr:uid="{00000000-0005-0000-0000-00008C9C0000}"/>
    <cellStyle name="Note 2 2 6 2 2" xfId="10715" xr:uid="{00000000-0005-0000-0000-00008D9C0000}"/>
    <cellStyle name="Note 2 2 6 2 2 2" xfId="14336" xr:uid="{00000000-0005-0000-0000-00008E9C0000}"/>
    <cellStyle name="Note 2 2 6 2 3" xfId="26311" xr:uid="{00000000-0005-0000-0000-00008F9C0000}"/>
    <cellStyle name="Note 2 2 6 2 4" xfId="26312" xr:uid="{00000000-0005-0000-0000-0000909C0000}"/>
    <cellStyle name="Note 2 2 6 2 5" xfId="26313" xr:uid="{00000000-0005-0000-0000-0000919C0000}"/>
    <cellStyle name="Note 2 2 6 2 6" xfId="26314" xr:uid="{00000000-0005-0000-0000-0000929C0000}"/>
    <cellStyle name="Note 2 2 6 3" xfId="4918" xr:uid="{00000000-0005-0000-0000-0000939C0000}"/>
    <cellStyle name="Note 2 2 6 3 2" xfId="10716" xr:uid="{00000000-0005-0000-0000-0000949C0000}"/>
    <cellStyle name="Note 2 2 6 3 2 2" xfId="14337" xr:uid="{00000000-0005-0000-0000-0000959C0000}"/>
    <cellStyle name="Note 2 2 6 3 3" xfId="26315" xr:uid="{00000000-0005-0000-0000-0000969C0000}"/>
    <cellStyle name="Note 2 2 6 3 4" xfId="26316" xr:uid="{00000000-0005-0000-0000-0000979C0000}"/>
    <cellStyle name="Note 2 2 6 3 5" xfId="26317" xr:uid="{00000000-0005-0000-0000-0000989C0000}"/>
    <cellStyle name="Note 2 2 6 3 6" xfId="26318" xr:uid="{00000000-0005-0000-0000-0000999C0000}"/>
    <cellStyle name="Note 2 2 6 4" xfId="7713" xr:uid="{00000000-0005-0000-0000-00009A9C0000}"/>
    <cellStyle name="Note 2 2 6 4 2" xfId="10717" xr:uid="{00000000-0005-0000-0000-00009B9C0000}"/>
    <cellStyle name="Note 2 2 6 4 2 2" xfId="14338" xr:uid="{00000000-0005-0000-0000-00009C9C0000}"/>
    <cellStyle name="Note 2 2 6 4 3" xfId="26319" xr:uid="{00000000-0005-0000-0000-00009D9C0000}"/>
    <cellStyle name="Note 2 2 6 4 4" xfId="26320" xr:uid="{00000000-0005-0000-0000-00009E9C0000}"/>
    <cellStyle name="Note 2 2 6 4 5" xfId="26321" xr:uid="{00000000-0005-0000-0000-00009F9C0000}"/>
    <cellStyle name="Note 2 2 6 4 6" xfId="26322" xr:uid="{00000000-0005-0000-0000-0000A09C0000}"/>
    <cellStyle name="Note 2 2 6 5" xfId="7712" xr:uid="{00000000-0005-0000-0000-0000A19C0000}"/>
    <cellStyle name="Note 2 2 6 5 2" xfId="10718" xr:uid="{00000000-0005-0000-0000-0000A29C0000}"/>
    <cellStyle name="Note 2 2 6 5 2 2" xfId="14339" xr:uid="{00000000-0005-0000-0000-0000A39C0000}"/>
    <cellStyle name="Note 2 2 6 5 3" xfId="26323" xr:uid="{00000000-0005-0000-0000-0000A49C0000}"/>
    <cellStyle name="Note 2 2 6 5 4" xfId="26324" xr:uid="{00000000-0005-0000-0000-0000A59C0000}"/>
    <cellStyle name="Note 2 2 6 5 5" xfId="26325" xr:uid="{00000000-0005-0000-0000-0000A69C0000}"/>
    <cellStyle name="Note 2 2 6 5 6" xfId="26326" xr:uid="{00000000-0005-0000-0000-0000A79C0000}"/>
    <cellStyle name="Note 2 2 6 6" xfId="10714" xr:uid="{00000000-0005-0000-0000-0000A89C0000}"/>
    <cellStyle name="Note 2 2 6 6 2" xfId="14335" xr:uid="{00000000-0005-0000-0000-0000A99C0000}"/>
    <cellStyle name="Note 2 2 6 7" xfId="26327" xr:uid="{00000000-0005-0000-0000-0000AA9C0000}"/>
    <cellStyle name="Note 2 2 6 8" xfId="26328" xr:uid="{00000000-0005-0000-0000-0000AB9C0000}"/>
    <cellStyle name="Note 2 2 6 9" xfId="26329" xr:uid="{00000000-0005-0000-0000-0000AC9C0000}"/>
    <cellStyle name="Note 2 2 7" xfId="1739" xr:uid="{00000000-0005-0000-0000-0000AD9C0000}"/>
    <cellStyle name="Note 2 2 7 10" xfId="26330" xr:uid="{00000000-0005-0000-0000-0000AE9C0000}"/>
    <cellStyle name="Note 2 2 7 11" xfId="26331" xr:uid="{00000000-0005-0000-0000-0000AF9C0000}"/>
    <cellStyle name="Note 2 2 7 2" xfId="4027" xr:uid="{00000000-0005-0000-0000-0000B09C0000}"/>
    <cellStyle name="Note 2 2 7 2 2" xfId="10720" xr:uid="{00000000-0005-0000-0000-0000B19C0000}"/>
    <cellStyle name="Note 2 2 7 2 2 2" xfId="14341" xr:uid="{00000000-0005-0000-0000-0000B29C0000}"/>
    <cellStyle name="Note 2 2 7 2 3" xfId="26332" xr:uid="{00000000-0005-0000-0000-0000B39C0000}"/>
    <cellStyle name="Note 2 2 7 2 4" xfId="26333" xr:uid="{00000000-0005-0000-0000-0000B49C0000}"/>
    <cellStyle name="Note 2 2 7 2 5" xfId="26334" xr:uid="{00000000-0005-0000-0000-0000B59C0000}"/>
    <cellStyle name="Note 2 2 7 2 6" xfId="26335" xr:uid="{00000000-0005-0000-0000-0000B69C0000}"/>
    <cellStyle name="Note 2 2 7 3" xfId="4919" xr:uid="{00000000-0005-0000-0000-0000B79C0000}"/>
    <cellStyle name="Note 2 2 7 3 2" xfId="10721" xr:uid="{00000000-0005-0000-0000-0000B89C0000}"/>
    <cellStyle name="Note 2 2 7 3 2 2" xfId="14342" xr:uid="{00000000-0005-0000-0000-0000B99C0000}"/>
    <cellStyle name="Note 2 2 7 3 3" xfId="26336" xr:uid="{00000000-0005-0000-0000-0000BA9C0000}"/>
    <cellStyle name="Note 2 2 7 3 4" xfId="26337" xr:uid="{00000000-0005-0000-0000-0000BB9C0000}"/>
    <cellStyle name="Note 2 2 7 3 5" xfId="26338" xr:uid="{00000000-0005-0000-0000-0000BC9C0000}"/>
    <cellStyle name="Note 2 2 7 3 6" xfId="26339" xr:uid="{00000000-0005-0000-0000-0000BD9C0000}"/>
    <cellStyle name="Note 2 2 7 4" xfId="7715" xr:uid="{00000000-0005-0000-0000-0000BE9C0000}"/>
    <cellStyle name="Note 2 2 7 4 2" xfId="10722" xr:uid="{00000000-0005-0000-0000-0000BF9C0000}"/>
    <cellStyle name="Note 2 2 7 4 2 2" xfId="14343" xr:uid="{00000000-0005-0000-0000-0000C09C0000}"/>
    <cellStyle name="Note 2 2 7 4 3" xfId="26340" xr:uid="{00000000-0005-0000-0000-0000C19C0000}"/>
    <cellStyle name="Note 2 2 7 4 4" xfId="26341" xr:uid="{00000000-0005-0000-0000-0000C29C0000}"/>
    <cellStyle name="Note 2 2 7 4 5" xfId="26342" xr:uid="{00000000-0005-0000-0000-0000C39C0000}"/>
    <cellStyle name="Note 2 2 7 4 6" xfId="26343" xr:uid="{00000000-0005-0000-0000-0000C49C0000}"/>
    <cellStyle name="Note 2 2 7 5" xfId="7714" xr:uid="{00000000-0005-0000-0000-0000C59C0000}"/>
    <cellStyle name="Note 2 2 7 5 2" xfId="10723" xr:uid="{00000000-0005-0000-0000-0000C69C0000}"/>
    <cellStyle name="Note 2 2 7 5 2 2" xfId="14344" xr:uid="{00000000-0005-0000-0000-0000C79C0000}"/>
    <cellStyle name="Note 2 2 7 5 3" xfId="26344" xr:uid="{00000000-0005-0000-0000-0000C89C0000}"/>
    <cellStyle name="Note 2 2 7 5 4" xfId="26345" xr:uid="{00000000-0005-0000-0000-0000C99C0000}"/>
    <cellStyle name="Note 2 2 7 5 5" xfId="26346" xr:uid="{00000000-0005-0000-0000-0000CA9C0000}"/>
    <cellStyle name="Note 2 2 7 5 6" xfId="26347" xr:uid="{00000000-0005-0000-0000-0000CB9C0000}"/>
    <cellStyle name="Note 2 2 7 6" xfId="10719" xr:uid="{00000000-0005-0000-0000-0000CC9C0000}"/>
    <cellStyle name="Note 2 2 7 6 2" xfId="14340" xr:uid="{00000000-0005-0000-0000-0000CD9C0000}"/>
    <cellStyle name="Note 2 2 7 7" xfId="26348" xr:uid="{00000000-0005-0000-0000-0000CE9C0000}"/>
    <cellStyle name="Note 2 2 7 8" xfId="26349" xr:uid="{00000000-0005-0000-0000-0000CF9C0000}"/>
    <cellStyle name="Note 2 2 7 9" xfId="26350" xr:uid="{00000000-0005-0000-0000-0000D09C0000}"/>
    <cellStyle name="Note 2 2 8" xfId="4028" xr:uid="{00000000-0005-0000-0000-0000D19C0000}"/>
    <cellStyle name="Note 2 2 8 2" xfId="10724" xr:uid="{00000000-0005-0000-0000-0000D29C0000}"/>
    <cellStyle name="Note 2 2 8 2 2" xfId="14345" xr:uid="{00000000-0005-0000-0000-0000D39C0000}"/>
    <cellStyle name="Note 2 2 8 3" xfId="26351" xr:uid="{00000000-0005-0000-0000-0000D49C0000}"/>
    <cellStyle name="Note 2 2 8 4" xfId="26352" xr:uid="{00000000-0005-0000-0000-0000D59C0000}"/>
    <cellStyle name="Note 2 2 8 5" xfId="26353" xr:uid="{00000000-0005-0000-0000-0000D69C0000}"/>
    <cellStyle name="Note 2 2 8 6" xfId="26354" xr:uid="{00000000-0005-0000-0000-0000D79C0000}"/>
    <cellStyle name="Note 2 2 9" xfId="4029" xr:uid="{00000000-0005-0000-0000-0000D89C0000}"/>
    <cellStyle name="Note 2 2 9 2" xfId="10725" xr:uid="{00000000-0005-0000-0000-0000D99C0000}"/>
    <cellStyle name="Note 2 2 9 2 2" xfId="14346" xr:uid="{00000000-0005-0000-0000-0000DA9C0000}"/>
    <cellStyle name="Note 2 2 9 3" xfId="26355" xr:uid="{00000000-0005-0000-0000-0000DB9C0000}"/>
    <cellStyle name="Note 2 2 9 4" xfId="26356" xr:uid="{00000000-0005-0000-0000-0000DC9C0000}"/>
    <cellStyle name="Note 2 2 9 5" xfId="26357" xr:uid="{00000000-0005-0000-0000-0000DD9C0000}"/>
    <cellStyle name="Note 2 2 9 6" xfId="26358" xr:uid="{00000000-0005-0000-0000-0000DE9C0000}"/>
    <cellStyle name="Note 2 2_IND_UC" xfId="4030" xr:uid="{00000000-0005-0000-0000-0000DF9C0000}"/>
    <cellStyle name="Note 2 20" xfId="1740" xr:uid="{00000000-0005-0000-0000-0000E09C0000}"/>
    <cellStyle name="Note 2 20 2" xfId="4031" xr:uid="{00000000-0005-0000-0000-0000E19C0000}"/>
    <cellStyle name="Note 2 20 2 2" xfId="10727" xr:uid="{00000000-0005-0000-0000-0000E29C0000}"/>
    <cellStyle name="Note 2 20 2 2 2" xfId="14348" xr:uid="{00000000-0005-0000-0000-0000E39C0000}"/>
    <cellStyle name="Note 2 20 2 3" xfId="26359" xr:uid="{00000000-0005-0000-0000-0000E49C0000}"/>
    <cellStyle name="Note 2 20 2 4" xfId="26360" xr:uid="{00000000-0005-0000-0000-0000E59C0000}"/>
    <cellStyle name="Note 2 20 2 5" xfId="26361" xr:uid="{00000000-0005-0000-0000-0000E69C0000}"/>
    <cellStyle name="Note 2 20 2 6" xfId="26362" xr:uid="{00000000-0005-0000-0000-0000E79C0000}"/>
    <cellStyle name="Note 2 20 3" xfId="4920" xr:uid="{00000000-0005-0000-0000-0000E89C0000}"/>
    <cellStyle name="Note 2 20 3 2" xfId="14347" xr:uid="{00000000-0005-0000-0000-0000E99C0000}"/>
    <cellStyle name="Note 2 20 3 3" xfId="35878" xr:uid="{00000000-0005-0000-0000-0000EA9C0000}"/>
    <cellStyle name="Note 2 20 3 4" xfId="10726" xr:uid="{00000000-0005-0000-0000-0000EB9C0000}"/>
    <cellStyle name="Note 2 20 4" xfId="26363" xr:uid="{00000000-0005-0000-0000-0000EC9C0000}"/>
    <cellStyle name="Note 2 20 4 2" xfId="37945" xr:uid="{00000000-0005-0000-0000-0000ED9C0000}"/>
    <cellStyle name="Note 2 20 5" xfId="26364" xr:uid="{00000000-0005-0000-0000-0000EE9C0000}"/>
    <cellStyle name="Note 2 20 6" xfId="26365" xr:uid="{00000000-0005-0000-0000-0000EF9C0000}"/>
    <cellStyle name="Note 2 20 7" xfId="26366" xr:uid="{00000000-0005-0000-0000-0000F09C0000}"/>
    <cellStyle name="Note 2 20 8" xfId="26367" xr:uid="{00000000-0005-0000-0000-0000F19C0000}"/>
    <cellStyle name="Note 2 21" xfId="1741" xr:uid="{00000000-0005-0000-0000-0000F29C0000}"/>
    <cellStyle name="Note 2 21 2" xfId="1742" xr:uid="{00000000-0005-0000-0000-0000F39C0000}"/>
    <cellStyle name="Note 2 21 2 2" xfId="1743" xr:uid="{00000000-0005-0000-0000-0000F49C0000}"/>
    <cellStyle name="Note 2 21 2 2 2" xfId="4033" xr:uid="{00000000-0005-0000-0000-0000F59C0000}"/>
    <cellStyle name="Note 2 21 2 2 2 2" xfId="14351" xr:uid="{00000000-0005-0000-0000-0000F69C0000}"/>
    <cellStyle name="Note 2 21 2 2 2 3" xfId="35488" xr:uid="{00000000-0005-0000-0000-0000F79C0000}"/>
    <cellStyle name="Note 2 21 2 2 2 4" xfId="10730" xr:uid="{00000000-0005-0000-0000-0000F89C0000}"/>
    <cellStyle name="Note 2 21 2 2 3" xfId="4922" xr:uid="{00000000-0005-0000-0000-0000F99C0000}"/>
    <cellStyle name="Note 2 21 2 2 3 2" xfId="35880" xr:uid="{00000000-0005-0000-0000-0000FA9C0000}"/>
    <cellStyle name="Note 2 21 2 2 3 3" xfId="26368" xr:uid="{00000000-0005-0000-0000-0000FB9C0000}"/>
    <cellStyle name="Note 2 21 2 2 4" xfId="26369" xr:uid="{00000000-0005-0000-0000-0000FC9C0000}"/>
    <cellStyle name="Note 2 21 2 2 4 2" xfId="37947" xr:uid="{00000000-0005-0000-0000-0000FD9C0000}"/>
    <cellStyle name="Note 2 21 2 2 5" xfId="26370" xr:uid="{00000000-0005-0000-0000-0000FE9C0000}"/>
    <cellStyle name="Note 2 21 2 2 6" xfId="26371" xr:uid="{00000000-0005-0000-0000-0000FF9C0000}"/>
    <cellStyle name="Note 2 21 2 2 7" xfId="26372" xr:uid="{00000000-0005-0000-0000-0000009D0000}"/>
    <cellStyle name="Note 2 21 2 3" xfId="8322" xr:uid="{00000000-0005-0000-0000-0000019D0000}"/>
    <cellStyle name="Note 2 21 2 3 2" xfId="10731" xr:uid="{00000000-0005-0000-0000-0000029D0000}"/>
    <cellStyle name="Note 2 21 2 3 2 2" xfId="14352" xr:uid="{00000000-0005-0000-0000-0000039D0000}"/>
    <cellStyle name="Note 2 21 2 3 3" xfId="26373" xr:uid="{00000000-0005-0000-0000-0000049D0000}"/>
    <cellStyle name="Note 2 21 2 3 4" xfId="26374" xr:uid="{00000000-0005-0000-0000-0000059D0000}"/>
    <cellStyle name="Note 2 21 2 3 5" xfId="26375" xr:uid="{00000000-0005-0000-0000-0000069D0000}"/>
    <cellStyle name="Note 2 21 2 3 6" xfId="26376" xr:uid="{00000000-0005-0000-0000-0000079D0000}"/>
    <cellStyle name="Note 2 21 2 4" xfId="10729" xr:uid="{00000000-0005-0000-0000-0000089D0000}"/>
    <cellStyle name="Note 2 21 2 4 2" xfId="14350" xr:uid="{00000000-0005-0000-0000-0000099D0000}"/>
    <cellStyle name="Note 2 21 2 5" xfId="26377" xr:uid="{00000000-0005-0000-0000-00000A9D0000}"/>
    <cellStyle name="Note 2 21 2 6" xfId="26378" xr:uid="{00000000-0005-0000-0000-00000B9D0000}"/>
    <cellStyle name="Note 2 21 2 7" xfId="26379" xr:uid="{00000000-0005-0000-0000-00000C9D0000}"/>
    <cellStyle name="Note 2 21 2 8" xfId="26380" xr:uid="{00000000-0005-0000-0000-00000D9D0000}"/>
    <cellStyle name="Note 2 21 2 9" xfId="26381" xr:uid="{00000000-0005-0000-0000-00000E9D0000}"/>
    <cellStyle name="Note 2 21 3" xfId="1744" xr:uid="{00000000-0005-0000-0000-00000F9D0000}"/>
    <cellStyle name="Note 2 21 3 2" xfId="4034" xr:uid="{00000000-0005-0000-0000-0000109D0000}"/>
    <cellStyle name="Note 2 21 3 2 2" xfId="14353" xr:uid="{00000000-0005-0000-0000-0000119D0000}"/>
    <cellStyle name="Note 2 21 3 2 3" xfId="35489" xr:uid="{00000000-0005-0000-0000-0000129D0000}"/>
    <cellStyle name="Note 2 21 3 2 4" xfId="10732" xr:uid="{00000000-0005-0000-0000-0000139D0000}"/>
    <cellStyle name="Note 2 21 3 3" xfId="4923" xr:uid="{00000000-0005-0000-0000-0000149D0000}"/>
    <cellStyle name="Note 2 21 3 3 2" xfId="35881" xr:uid="{00000000-0005-0000-0000-0000159D0000}"/>
    <cellStyle name="Note 2 21 3 3 3" xfId="26382" xr:uid="{00000000-0005-0000-0000-0000169D0000}"/>
    <cellStyle name="Note 2 21 3 4" xfId="26383" xr:uid="{00000000-0005-0000-0000-0000179D0000}"/>
    <cellStyle name="Note 2 21 3 4 2" xfId="37948" xr:uid="{00000000-0005-0000-0000-0000189D0000}"/>
    <cellStyle name="Note 2 21 3 5" xfId="26384" xr:uid="{00000000-0005-0000-0000-0000199D0000}"/>
    <cellStyle name="Note 2 21 3 6" xfId="26385" xr:uid="{00000000-0005-0000-0000-00001A9D0000}"/>
    <cellStyle name="Note 2 21 3 7" xfId="26386" xr:uid="{00000000-0005-0000-0000-00001B9D0000}"/>
    <cellStyle name="Note 2 21 4" xfId="4032" xr:uid="{00000000-0005-0000-0000-00001C9D0000}"/>
    <cellStyle name="Note 2 21 4 2" xfId="14349" xr:uid="{00000000-0005-0000-0000-00001D9D0000}"/>
    <cellStyle name="Note 2 21 4 3" xfId="35487" xr:uid="{00000000-0005-0000-0000-00001E9D0000}"/>
    <cellStyle name="Note 2 21 4 4" xfId="10728" xr:uid="{00000000-0005-0000-0000-00001F9D0000}"/>
    <cellStyle name="Note 2 21 5" xfId="4921" xr:uid="{00000000-0005-0000-0000-0000209D0000}"/>
    <cellStyle name="Note 2 21 5 2" xfId="35879" xr:uid="{00000000-0005-0000-0000-0000219D0000}"/>
    <cellStyle name="Note 2 21 5 3" xfId="26387" xr:uid="{00000000-0005-0000-0000-0000229D0000}"/>
    <cellStyle name="Note 2 21 6" xfId="26388" xr:uid="{00000000-0005-0000-0000-0000239D0000}"/>
    <cellStyle name="Note 2 21 6 2" xfId="37946" xr:uid="{00000000-0005-0000-0000-0000249D0000}"/>
    <cellStyle name="Note 2 21 7" xfId="26389" xr:uid="{00000000-0005-0000-0000-0000259D0000}"/>
    <cellStyle name="Note 2 21 8" xfId="26390" xr:uid="{00000000-0005-0000-0000-0000269D0000}"/>
    <cellStyle name="Note 2 21 9" xfId="26391" xr:uid="{00000000-0005-0000-0000-0000279D0000}"/>
    <cellStyle name="Note 2 22" xfId="1745" xr:uid="{00000000-0005-0000-0000-0000289D0000}"/>
    <cellStyle name="Note 2 22 2" xfId="4035" xr:uid="{00000000-0005-0000-0000-0000299D0000}"/>
    <cellStyle name="Note 2 22 2 2" xfId="10734" xr:uid="{00000000-0005-0000-0000-00002A9D0000}"/>
    <cellStyle name="Note 2 22 2 2 2" xfId="14355" xr:uid="{00000000-0005-0000-0000-00002B9D0000}"/>
    <cellStyle name="Note 2 22 2 3" xfId="26392" xr:uid="{00000000-0005-0000-0000-00002C9D0000}"/>
    <cellStyle name="Note 2 22 2 4" xfId="26393" xr:uid="{00000000-0005-0000-0000-00002D9D0000}"/>
    <cellStyle name="Note 2 22 2 5" xfId="26394" xr:uid="{00000000-0005-0000-0000-00002E9D0000}"/>
    <cellStyle name="Note 2 22 2 6" xfId="26395" xr:uid="{00000000-0005-0000-0000-00002F9D0000}"/>
    <cellStyle name="Note 2 22 3" xfId="4924" xr:uid="{00000000-0005-0000-0000-0000309D0000}"/>
    <cellStyle name="Note 2 22 3 2" xfId="14354" xr:uid="{00000000-0005-0000-0000-0000319D0000}"/>
    <cellStyle name="Note 2 22 3 3" xfId="35882" xr:uid="{00000000-0005-0000-0000-0000329D0000}"/>
    <cellStyle name="Note 2 22 3 4" xfId="10733" xr:uid="{00000000-0005-0000-0000-0000339D0000}"/>
    <cellStyle name="Note 2 22 4" xfId="26396" xr:uid="{00000000-0005-0000-0000-0000349D0000}"/>
    <cellStyle name="Note 2 22 4 2" xfId="37949" xr:uid="{00000000-0005-0000-0000-0000359D0000}"/>
    <cellStyle name="Note 2 22 5" xfId="26397" xr:uid="{00000000-0005-0000-0000-0000369D0000}"/>
    <cellStyle name="Note 2 22 6" xfId="26398" xr:uid="{00000000-0005-0000-0000-0000379D0000}"/>
    <cellStyle name="Note 2 22 7" xfId="26399" xr:uid="{00000000-0005-0000-0000-0000389D0000}"/>
    <cellStyle name="Note 2 22 8" xfId="26400" xr:uid="{00000000-0005-0000-0000-0000399D0000}"/>
    <cellStyle name="Note 2 23" xfId="1746" xr:uid="{00000000-0005-0000-0000-00003A9D0000}"/>
    <cellStyle name="Note 2 23 2" xfId="4036" xr:uid="{00000000-0005-0000-0000-00003B9D0000}"/>
    <cellStyle name="Note 2 23 2 2" xfId="10736" xr:uid="{00000000-0005-0000-0000-00003C9D0000}"/>
    <cellStyle name="Note 2 23 2 2 2" xfId="14357" xr:uid="{00000000-0005-0000-0000-00003D9D0000}"/>
    <cellStyle name="Note 2 23 2 3" xfId="26401" xr:uid="{00000000-0005-0000-0000-00003E9D0000}"/>
    <cellStyle name="Note 2 23 2 4" xfId="26402" xr:uid="{00000000-0005-0000-0000-00003F9D0000}"/>
    <cellStyle name="Note 2 23 2 5" xfId="26403" xr:uid="{00000000-0005-0000-0000-0000409D0000}"/>
    <cellStyle name="Note 2 23 2 6" xfId="26404" xr:uid="{00000000-0005-0000-0000-0000419D0000}"/>
    <cellStyle name="Note 2 23 3" xfId="4925" xr:uid="{00000000-0005-0000-0000-0000429D0000}"/>
    <cellStyle name="Note 2 23 3 2" xfId="14356" xr:uid="{00000000-0005-0000-0000-0000439D0000}"/>
    <cellStyle name="Note 2 23 3 3" xfId="35883" xr:uid="{00000000-0005-0000-0000-0000449D0000}"/>
    <cellStyle name="Note 2 23 3 4" xfId="10735" xr:uid="{00000000-0005-0000-0000-0000459D0000}"/>
    <cellStyle name="Note 2 23 4" xfId="26405" xr:uid="{00000000-0005-0000-0000-0000469D0000}"/>
    <cellStyle name="Note 2 23 4 2" xfId="37950" xr:uid="{00000000-0005-0000-0000-0000479D0000}"/>
    <cellStyle name="Note 2 23 5" xfId="26406" xr:uid="{00000000-0005-0000-0000-0000489D0000}"/>
    <cellStyle name="Note 2 23 6" xfId="26407" xr:uid="{00000000-0005-0000-0000-0000499D0000}"/>
    <cellStyle name="Note 2 23 7" xfId="26408" xr:uid="{00000000-0005-0000-0000-00004A9D0000}"/>
    <cellStyle name="Note 2 23 8" xfId="26409" xr:uid="{00000000-0005-0000-0000-00004B9D0000}"/>
    <cellStyle name="Note 2 24" xfId="1747" xr:uid="{00000000-0005-0000-0000-00004C9D0000}"/>
    <cellStyle name="Note 2 24 10" xfId="26410" xr:uid="{00000000-0005-0000-0000-00004D9D0000}"/>
    <cellStyle name="Note 2 24 11" xfId="26411" xr:uid="{00000000-0005-0000-0000-00004E9D0000}"/>
    <cellStyle name="Note 2 24 2" xfId="4037" xr:uid="{00000000-0005-0000-0000-00004F9D0000}"/>
    <cellStyle name="Note 2 24 2 2" xfId="10738" xr:uid="{00000000-0005-0000-0000-0000509D0000}"/>
    <cellStyle name="Note 2 24 2 2 2" xfId="14359" xr:uid="{00000000-0005-0000-0000-0000519D0000}"/>
    <cellStyle name="Note 2 24 2 3" xfId="26412" xr:uid="{00000000-0005-0000-0000-0000529D0000}"/>
    <cellStyle name="Note 2 24 2 4" xfId="26413" xr:uid="{00000000-0005-0000-0000-0000539D0000}"/>
    <cellStyle name="Note 2 24 2 5" xfId="26414" xr:uid="{00000000-0005-0000-0000-0000549D0000}"/>
    <cellStyle name="Note 2 24 2 6" xfId="26415" xr:uid="{00000000-0005-0000-0000-0000559D0000}"/>
    <cellStyle name="Note 2 24 3" xfId="4926" xr:uid="{00000000-0005-0000-0000-0000569D0000}"/>
    <cellStyle name="Note 2 24 3 2" xfId="10739" xr:uid="{00000000-0005-0000-0000-0000579D0000}"/>
    <cellStyle name="Note 2 24 3 2 2" xfId="14360" xr:uid="{00000000-0005-0000-0000-0000589D0000}"/>
    <cellStyle name="Note 2 24 3 3" xfId="26416" xr:uid="{00000000-0005-0000-0000-0000599D0000}"/>
    <cellStyle name="Note 2 24 3 4" xfId="26417" xr:uid="{00000000-0005-0000-0000-00005A9D0000}"/>
    <cellStyle name="Note 2 24 3 5" xfId="26418" xr:uid="{00000000-0005-0000-0000-00005B9D0000}"/>
    <cellStyle name="Note 2 24 3 6" xfId="26419" xr:uid="{00000000-0005-0000-0000-00005C9D0000}"/>
    <cellStyle name="Note 2 24 4" xfId="7717" xr:uid="{00000000-0005-0000-0000-00005D9D0000}"/>
    <cellStyle name="Note 2 24 4 2" xfId="10740" xr:uid="{00000000-0005-0000-0000-00005E9D0000}"/>
    <cellStyle name="Note 2 24 4 2 2" xfId="14361" xr:uid="{00000000-0005-0000-0000-00005F9D0000}"/>
    <cellStyle name="Note 2 24 4 3" xfId="26420" xr:uid="{00000000-0005-0000-0000-0000609D0000}"/>
    <cellStyle name="Note 2 24 4 4" xfId="26421" xr:uid="{00000000-0005-0000-0000-0000619D0000}"/>
    <cellStyle name="Note 2 24 4 5" xfId="26422" xr:uid="{00000000-0005-0000-0000-0000629D0000}"/>
    <cellStyle name="Note 2 24 4 6" xfId="26423" xr:uid="{00000000-0005-0000-0000-0000639D0000}"/>
    <cellStyle name="Note 2 24 5" xfId="7716" xr:uid="{00000000-0005-0000-0000-0000649D0000}"/>
    <cellStyle name="Note 2 24 5 2" xfId="10741" xr:uid="{00000000-0005-0000-0000-0000659D0000}"/>
    <cellStyle name="Note 2 24 5 2 2" xfId="14362" xr:uid="{00000000-0005-0000-0000-0000669D0000}"/>
    <cellStyle name="Note 2 24 5 3" xfId="26424" xr:uid="{00000000-0005-0000-0000-0000679D0000}"/>
    <cellStyle name="Note 2 24 5 4" xfId="26425" xr:uid="{00000000-0005-0000-0000-0000689D0000}"/>
    <cellStyle name="Note 2 24 5 5" xfId="26426" xr:uid="{00000000-0005-0000-0000-0000699D0000}"/>
    <cellStyle name="Note 2 24 5 6" xfId="26427" xr:uid="{00000000-0005-0000-0000-00006A9D0000}"/>
    <cellStyle name="Note 2 24 6" xfId="10737" xr:uid="{00000000-0005-0000-0000-00006B9D0000}"/>
    <cellStyle name="Note 2 24 6 2" xfId="14358" xr:uid="{00000000-0005-0000-0000-00006C9D0000}"/>
    <cellStyle name="Note 2 24 7" xfId="26428" xr:uid="{00000000-0005-0000-0000-00006D9D0000}"/>
    <cellStyle name="Note 2 24 8" xfId="26429" xr:uid="{00000000-0005-0000-0000-00006E9D0000}"/>
    <cellStyle name="Note 2 24 9" xfId="26430" xr:uid="{00000000-0005-0000-0000-00006F9D0000}"/>
    <cellStyle name="Note 2 25" xfId="1748" xr:uid="{00000000-0005-0000-0000-0000709D0000}"/>
    <cellStyle name="Note 2 25 2" xfId="4038" xr:uid="{00000000-0005-0000-0000-0000719D0000}"/>
    <cellStyle name="Note 2 25 2 2" xfId="10743" xr:uid="{00000000-0005-0000-0000-0000729D0000}"/>
    <cellStyle name="Note 2 25 2 2 2" xfId="14364" xr:uid="{00000000-0005-0000-0000-0000739D0000}"/>
    <cellStyle name="Note 2 25 2 3" xfId="26431" xr:uid="{00000000-0005-0000-0000-0000749D0000}"/>
    <cellStyle name="Note 2 25 2 4" xfId="26432" xr:uid="{00000000-0005-0000-0000-0000759D0000}"/>
    <cellStyle name="Note 2 25 2 5" xfId="26433" xr:uid="{00000000-0005-0000-0000-0000769D0000}"/>
    <cellStyle name="Note 2 25 2 6" xfId="26434" xr:uid="{00000000-0005-0000-0000-0000779D0000}"/>
    <cellStyle name="Note 2 25 3" xfId="4927" xr:uid="{00000000-0005-0000-0000-0000789D0000}"/>
    <cellStyle name="Note 2 25 3 2" xfId="14363" xr:uid="{00000000-0005-0000-0000-0000799D0000}"/>
    <cellStyle name="Note 2 25 3 3" xfId="35884" xr:uid="{00000000-0005-0000-0000-00007A9D0000}"/>
    <cellStyle name="Note 2 25 3 4" xfId="10742" xr:uid="{00000000-0005-0000-0000-00007B9D0000}"/>
    <cellStyle name="Note 2 25 4" xfId="26435" xr:uid="{00000000-0005-0000-0000-00007C9D0000}"/>
    <cellStyle name="Note 2 25 4 2" xfId="37951" xr:uid="{00000000-0005-0000-0000-00007D9D0000}"/>
    <cellStyle name="Note 2 25 5" xfId="26436" xr:uid="{00000000-0005-0000-0000-00007E9D0000}"/>
    <cellStyle name="Note 2 25 6" xfId="26437" xr:uid="{00000000-0005-0000-0000-00007F9D0000}"/>
    <cellStyle name="Note 2 25 7" xfId="26438" xr:uid="{00000000-0005-0000-0000-0000809D0000}"/>
    <cellStyle name="Note 2 25 8" xfId="26439" xr:uid="{00000000-0005-0000-0000-0000819D0000}"/>
    <cellStyle name="Note 2 26" xfId="1749" xr:uid="{00000000-0005-0000-0000-0000829D0000}"/>
    <cellStyle name="Note 2 26 2" xfId="4039" xr:uid="{00000000-0005-0000-0000-0000839D0000}"/>
    <cellStyle name="Note 2 26 2 2" xfId="10745" xr:uid="{00000000-0005-0000-0000-0000849D0000}"/>
    <cellStyle name="Note 2 26 2 2 2" xfId="14366" xr:uid="{00000000-0005-0000-0000-0000859D0000}"/>
    <cellStyle name="Note 2 26 2 3" xfId="26440" xr:uid="{00000000-0005-0000-0000-0000869D0000}"/>
    <cellStyle name="Note 2 26 2 4" xfId="26441" xr:uid="{00000000-0005-0000-0000-0000879D0000}"/>
    <cellStyle name="Note 2 26 2 5" xfId="26442" xr:uid="{00000000-0005-0000-0000-0000889D0000}"/>
    <cellStyle name="Note 2 26 2 6" xfId="26443" xr:uid="{00000000-0005-0000-0000-0000899D0000}"/>
    <cellStyle name="Note 2 26 3" xfId="4928" xr:uid="{00000000-0005-0000-0000-00008A9D0000}"/>
    <cellStyle name="Note 2 26 3 2" xfId="14365" xr:uid="{00000000-0005-0000-0000-00008B9D0000}"/>
    <cellStyle name="Note 2 26 3 3" xfId="35885" xr:uid="{00000000-0005-0000-0000-00008C9D0000}"/>
    <cellStyle name="Note 2 26 3 4" xfId="10744" xr:uid="{00000000-0005-0000-0000-00008D9D0000}"/>
    <cellStyle name="Note 2 26 4" xfId="26444" xr:uid="{00000000-0005-0000-0000-00008E9D0000}"/>
    <cellStyle name="Note 2 26 4 2" xfId="37952" xr:uid="{00000000-0005-0000-0000-00008F9D0000}"/>
    <cellStyle name="Note 2 26 5" xfId="26445" xr:uid="{00000000-0005-0000-0000-0000909D0000}"/>
    <cellStyle name="Note 2 26 6" xfId="26446" xr:uid="{00000000-0005-0000-0000-0000919D0000}"/>
    <cellStyle name="Note 2 26 7" xfId="26447" xr:uid="{00000000-0005-0000-0000-0000929D0000}"/>
    <cellStyle name="Note 2 26 8" xfId="26448" xr:uid="{00000000-0005-0000-0000-0000939D0000}"/>
    <cellStyle name="Note 2 27" xfId="1750" xr:uid="{00000000-0005-0000-0000-0000949D0000}"/>
    <cellStyle name="Note 2 27 2" xfId="4040" xr:uid="{00000000-0005-0000-0000-0000959D0000}"/>
    <cellStyle name="Note 2 27 2 2" xfId="10747" xr:uid="{00000000-0005-0000-0000-0000969D0000}"/>
    <cellStyle name="Note 2 27 2 2 2" xfId="14368" xr:uid="{00000000-0005-0000-0000-0000979D0000}"/>
    <cellStyle name="Note 2 27 2 3" xfId="26449" xr:uid="{00000000-0005-0000-0000-0000989D0000}"/>
    <cellStyle name="Note 2 27 2 4" xfId="26450" xr:uid="{00000000-0005-0000-0000-0000999D0000}"/>
    <cellStyle name="Note 2 27 2 5" xfId="26451" xr:uid="{00000000-0005-0000-0000-00009A9D0000}"/>
    <cellStyle name="Note 2 27 2 6" xfId="26452" xr:uid="{00000000-0005-0000-0000-00009B9D0000}"/>
    <cellStyle name="Note 2 27 3" xfId="4929" xr:uid="{00000000-0005-0000-0000-00009C9D0000}"/>
    <cellStyle name="Note 2 27 3 2" xfId="14367" xr:uid="{00000000-0005-0000-0000-00009D9D0000}"/>
    <cellStyle name="Note 2 27 3 3" xfId="35886" xr:uid="{00000000-0005-0000-0000-00009E9D0000}"/>
    <cellStyle name="Note 2 27 3 4" xfId="10746" xr:uid="{00000000-0005-0000-0000-00009F9D0000}"/>
    <cellStyle name="Note 2 27 4" xfId="26453" xr:uid="{00000000-0005-0000-0000-0000A09D0000}"/>
    <cellStyle name="Note 2 27 4 2" xfId="37953" xr:uid="{00000000-0005-0000-0000-0000A19D0000}"/>
    <cellStyle name="Note 2 27 5" xfId="26454" xr:uid="{00000000-0005-0000-0000-0000A29D0000}"/>
    <cellStyle name="Note 2 27 6" xfId="26455" xr:uid="{00000000-0005-0000-0000-0000A39D0000}"/>
    <cellStyle name="Note 2 27 7" xfId="26456" xr:uid="{00000000-0005-0000-0000-0000A49D0000}"/>
    <cellStyle name="Note 2 27 8" xfId="26457" xr:uid="{00000000-0005-0000-0000-0000A59D0000}"/>
    <cellStyle name="Note 2 28" xfId="1751" xr:uid="{00000000-0005-0000-0000-0000A69D0000}"/>
    <cellStyle name="Note 2 28 2" xfId="4041" xr:uid="{00000000-0005-0000-0000-0000A79D0000}"/>
    <cellStyle name="Note 2 28 2 2" xfId="10749" xr:uid="{00000000-0005-0000-0000-0000A89D0000}"/>
    <cellStyle name="Note 2 28 2 2 2" xfId="14370" xr:uid="{00000000-0005-0000-0000-0000A99D0000}"/>
    <cellStyle name="Note 2 28 2 3" xfId="26458" xr:uid="{00000000-0005-0000-0000-0000AA9D0000}"/>
    <cellStyle name="Note 2 28 2 4" xfId="26459" xr:uid="{00000000-0005-0000-0000-0000AB9D0000}"/>
    <cellStyle name="Note 2 28 2 5" xfId="26460" xr:uid="{00000000-0005-0000-0000-0000AC9D0000}"/>
    <cellStyle name="Note 2 28 2 6" xfId="26461" xr:uid="{00000000-0005-0000-0000-0000AD9D0000}"/>
    <cellStyle name="Note 2 28 3" xfId="4930" xr:uid="{00000000-0005-0000-0000-0000AE9D0000}"/>
    <cellStyle name="Note 2 28 3 2" xfId="14369" xr:uid="{00000000-0005-0000-0000-0000AF9D0000}"/>
    <cellStyle name="Note 2 28 3 3" xfId="35887" xr:uid="{00000000-0005-0000-0000-0000B09D0000}"/>
    <cellStyle name="Note 2 28 3 4" xfId="10748" xr:uid="{00000000-0005-0000-0000-0000B19D0000}"/>
    <cellStyle name="Note 2 28 4" xfId="26462" xr:uid="{00000000-0005-0000-0000-0000B29D0000}"/>
    <cellStyle name="Note 2 28 4 2" xfId="37954" xr:uid="{00000000-0005-0000-0000-0000B39D0000}"/>
    <cellStyle name="Note 2 28 5" xfId="26463" xr:uid="{00000000-0005-0000-0000-0000B49D0000}"/>
    <cellStyle name="Note 2 28 6" xfId="26464" xr:uid="{00000000-0005-0000-0000-0000B59D0000}"/>
    <cellStyle name="Note 2 28 7" xfId="26465" xr:uid="{00000000-0005-0000-0000-0000B69D0000}"/>
    <cellStyle name="Note 2 28 8" xfId="26466" xr:uid="{00000000-0005-0000-0000-0000B79D0000}"/>
    <cellStyle name="Note 2 29" xfId="1752" xr:uid="{00000000-0005-0000-0000-0000B89D0000}"/>
    <cellStyle name="Note 2 29 2" xfId="4042" xr:uid="{00000000-0005-0000-0000-0000B99D0000}"/>
    <cellStyle name="Note 2 29 2 2" xfId="10751" xr:uid="{00000000-0005-0000-0000-0000BA9D0000}"/>
    <cellStyle name="Note 2 29 2 2 2" xfId="14372" xr:uid="{00000000-0005-0000-0000-0000BB9D0000}"/>
    <cellStyle name="Note 2 29 2 3" xfId="26467" xr:uid="{00000000-0005-0000-0000-0000BC9D0000}"/>
    <cellStyle name="Note 2 29 2 4" xfId="26468" xr:uid="{00000000-0005-0000-0000-0000BD9D0000}"/>
    <cellStyle name="Note 2 29 2 5" xfId="26469" xr:uid="{00000000-0005-0000-0000-0000BE9D0000}"/>
    <cellStyle name="Note 2 29 2 6" xfId="26470" xr:uid="{00000000-0005-0000-0000-0000BF9D0000}"/>
    <cellStyle name="Note 2 29 3" xfId="4931" xr:uid="{00000000-0005-0000-0000-0000C09D0000}"/>
    <cellStyle name="Note 2 29 3 2" xfId="14371" xr:uid="{00000000-0005-0000-0000-0000C19D0000}"/>
    <cellStyle name="Note 2 29 3 3" xfId="35888" xr:uid="{00000000-0005-0000-0000-0000C29D0000}"/>
    <cellStyle name="Note 2 29 3 4" xfId="10750" xr:uid="{00000000-0005-0000-0000-0000C39D0000}"/>
    <cellStyle name="Note 2 29 4" xfId="26471" xr:uid="{00000000-0005-0000-0000-0000C49D0000}"/>
    <cellStyle name="Note 2 29 4 2" xfId="37955" xr:uid="{00000000-0005-0000-0000-0000C59D0000}"/>
    <cellStyle name="Note 2 29 5" xfId="26472" xr:uid="{00000000-0005-0000-0000-0000C69D0000}"/>
    <cellStyle name="Note 2 29 6" xfId="26473" xr:uid="{00000000-0005-0000-0000-0000C79D0000}"/>
    <cellStyle name="Note 2 29 7" xfId="26474" xr:uid="{00000000-0005-0000-0000-0000C89D0000}"/>
    <cellStyle name="Note 2 29 8" xfId="26475" xr:uid="{00000000-0005-0000-0000-0000C99D0000}"/>
    <cellStyle name="Note 2 3" xfId="1753" xr:uid="{00000000-0005-0000-0000-0000CA9D0000}"/>
    <cellStyle name="Note 2 3 10" xfId="26476" xr:uid="{00000000-0005-0000-0000-0000CB9D0000}"/>
    <cellStyle name="Note 2 3 2" xfId="1754" xr:uid="{00000000-0005-0000-0000-0000CC9D0000}"/>
    <cellStyle name="Note 2 3 2 2" xfId="4044" xr:uid="{00000000-0005-0000-0000-0000CD9D0000}"/>
    <cellStyle name="Note 2 3 2 2 2" xfId="14374" xr:uid="{00000000-0005-0000-0000-0000CE9D0000}"/>
    <cellStyle name="Note 2 3 2 2 3" xfId="35491" xr:uid="{00000000-0005-0000-0000-0000CF9D0000}"/>
    <cellStyle name="Note 2 3 2 2 4" xfId="10753" xr:uid="{00000000-0005-0000-0000-0000D09D0000}"/>
    <cellStyle name="Note 2 3 2 3" xfId="4933" xr:uid="{00000000-0005-0000-0000-0000D19D0000}"/>
    <cellStyle name="Note 2 3 2 3 2" xfId="35890" xr:uid="{00000000-0005-0000-0000-0000D29D0000}"/>
    <cellStyle name="Note 2 3 2 3 3" xfId="26477" xr:uid="{00000000-0005-0000-0000-0000D39D0000}"/>
    <cellStyle name="Note 2 3 2 4" xfId="26478" xr:uid="{00000000-0005-0000-0000-0000D49D0000}"/>
    <cellStyle name="Note 2 3 2 4 2" xfId="37957" xr:uid="{00000000-0005-0000-0000-0000D59D0000}"/>
    <cellStyle name="Note 2 3 2 5" xfId="26479" xr:uid="{00000000-0005-0000-0000-0000D69D0000}"/>
    <cellStyle name="Note 2 3 2 6" xfId="26480" xr:uid="{00000000-0005-0000-0000-0000D79D0000}"/>
    <cellStyle name="Note 2 3 2 7" xfId="26481" xr:uid="{00000000-0005-0000-0000-0000D89D0000}"/>
    <cellStyle name="Note 2 3 3" xfId="1755" xr:uid="{00000000-0005-0000-0000-0000D99D0000}"/>
    <cellStyle name="Note 2 3 3 2" xfId="4045" xr:uid="{00000000-0005-0000-0000-0000DA9D0000}"/>
    <cellStyle name="Note 2 3 3 2 2" xfId="14375" xr:uid="{00000000-0005-0000-0000-0000DB9D0000}"/>
    <cellStyle name="Note 2 3 3 2 3" xfId="35492" xr:uid="{00000000-0005-0000-0000-0000DC9D0000}"/>
    <cellStyle name="Note 2 3 3 2 4" xfId="10754" xr:uid="{00000000-0005-0000-0000-0000DD9D0000}"/>
    <cellStyle name="Note 2 3 3 3" xfId="4934" xr:uid="{00000000-0005-0000-0000-0000DE9D0000}"/>
    <cellStyle name="Note 2 3 3 3 2" xfId="35891" xr:uid="{00000000-0005-0000-0000-0000DF9D0000}"/>
    <cellStyle name="Note 2 3 3 3 3" xfId="26482" xr:uid="{00000000-0005-0000-0000-0000E09D0000}"/>
    <cellStyle name="Note 2 3 3 4" xfId="26483" xr:uid="{00000000-0005-0000-0000-0000E19D0000}"/>
    <cellStyle name="Note 2 3 3 4 2" xfId="37958" xr:uid="{00000000-0005-0000-0000-0000E29D0000}"/>
    <cellStyle name="Note 2 3 3 5" xfId="26484" xr:uid="{00000000-0005-0000-0000-0000E39D0000}"/>
    <cellStyle name="Note 2 3 3 6" xfId="26485" xr:uid="{00000000-0005-0000-0000-0000E49D0000}"/>
    <cellStyle name="Note 2 3 3 7" xfId="26486" xr:uid="{00000000-0005-0000-0000-0000E59D0000}"/>
    <cellStyle name="Note 2 3 4" xfId="1756" xr:uid="{00000000-0005-0000-0000-0000E69D0000}"/>
    <cellStyle name="Note 2 3 4 2" xfId="4046" xr:uid="{00000000-0005-0000-0000-0000E79D0000}"/>
    <cellStyle name="Note 2 3 4 2 2" xfId="14376" xr:uid="{00000000-0005-0000-0000-0000E89D0000}"/>
    <cellStyle name="Note 2 3 4 2 3" xfId="35493" xr:uid="{00000000-0005-0000-0000-0000E99D0000}"/>
    <cellStyle name="Note 2 3 4 2 4" xfId="10755" xr:uid="{00000000-0005-0000-0000-0000EA9D0000}"/>
    <cellStyle name="Note 2 3 4 3" xfId="4935" xr:uid="{00000000-0005-0000-0000-0000EB9D0000}"/>
    <cellStyle name="Note 2 3 4 3 2" xfId="35892" xr:uid="{00000000-0005-0000-0000-0000EC9D0000}"/>
    <cellStyle name="Note 2 3 4 3 3" xfId="26487" xr:uid="{00000000-0005-0000-0000-0000ED9D0000}"/>
    <cellStyle name="Note 2 3 4 4" xfId="26488" xr:uid="{00000000-0005-0000-0000-0000EE9D0000}"/>
    <cellStyle name="Note 2 3 4 4 2" xfId="37959" xr:uid="{00000000-0005-0000-0000-0000EF9D0000}"/>
    <cellStyle name="Note 2 3 4 5" xfId="26489" xr:uid="{00000000-0005-0000-0000-0000F09D0000}"/>
    <cellStyle name="Note 2 3 4 6" xfId="26490" xr:uid="{00000000-0005-0000-0000-0000F19D0000}"/>
    <cellStyle name="Note 2 3 4 7" xfId="26491" xr:uid="{00000000-0005-0000-0000-0000F29D0000}"/>
    <cellStyle name="Note 2 3 5" xfId="4043" xr:uid="{00000000-0005-0000-0000-0000F39D0000}"/>
    <cellStyle name="Note 2 3 5 2" xfId="14373" xr:uid="{00000000-0005-0000-0000-0000F49D0000}"/>
    <cellStyle name="Note 2 3 5 3" xfId="35490" xr:uid="{00000000-0005-0000-0000-0000F59D0000}"/>
    <cellStyle name="Note 2 3 5 4" xfId="10752" xr:uid="{00000000-0005-0000-0000-0000F69D0000}"/>
    <cellStyle name="Note 2 3 6" xfId="4932" xr:uid="{00000000-0005-0000-0000-0000F79D0000}"/>
    <cellStyle name="Note 2 3 6 2" xfId="35889" xr:uid="{00000000-0005-0000-0000-0000F89D0000}"/>
    <cellStyle name="Note 2 3 6 3" xfId="26492" xr:uid="{00000000-0005-0000-0000-0000F99D0000}"/>
    <cellStyle name="Note 2 3 7" xfId="26493" xr:uid="{00000000-0005-0000-0000-0000FA9D0000}"/>
    <cellStyle name="Note 2 3 7 2" xfId="37956" xr:uid="{00000000-0005-0000-0000-0000FB9D0000}"/>
    <cellStyle name="Note 2 3 8" xfId="26494" xr:uid="{00000000-0005-0000-0000-0000FC9D0000}"/>
    <cellStyle name="Note 2 3 9" xfId="26495" xr:uid="{00000000-0005-0000-0000-0000FD9D0000}"/>
    <cellStyle name="Note 2 30" xfId="1757" xr:uid="{00000000-0005-0000-0000-0000FE9D0000}"/>
    <cellStyle name="Note 2 30 2" xfId="4047" xr:uid="{00000000-0005-0000-0000-0000FF9D0000}"/>
    <cellStyle name="Note 2 30 2 2" xfId="10757" xr:uid="{00000000-0005-0000-0000-0000009E0000}"/>
    <cellStyle name="Note 2 30 2 2 2" xfId="14378" xr:uid="{00000000-0005-0000-0000-0000019E0000}"/>
    <cellStyle name="Note 2 30 2 3" xfId="26496" xr:uid="{00000000-0005-0000-0000-0000029E0000}"/>
    <cellStyle name="Note 2 30 2 4" xfId="26497" xr:uid="{00000000-0005-0000-0000-0000039E0000}"/>
    <cellStyle name="Note 2 30 2 5" xfId="26498" xr:uid="{00000000-0005-0000-0000-0000049E0000}"/>
    <cellStyle name="Note 2 30 2 6" xfId="26499" xr:uid="{00000000-0005-0000-0000-0000059E0000}"/>
    <cellStyle name="Note 2 30 3" xfId="4936" xr:uid="{00000000-0005-0000-0000-0000069E0000}"/>
    <cellStyle name="Note 2 30 3 2" xfId="14377" xr:uid="{00000000-0005-0000-0000-0000079E0000}"/>
    <cellStyle name="Note 2 30 3 3" xfId="35893" xr:uid="{00000000-0005-0000-0000-0000089E0000}"/>
    <cellStyle name="Note 2 30 3 4" xfId="10756" xr:uid="{00000000-0005-0000-0000-0000099E0000}"/>
    <cellStyle name="Note 2 30 4" xfId="26500" xr:uid="{00000000-0005-0000-0000-00000A9E0000}"/>
    <cellStyle name="Note 2 30 4 2" xfId="37960" xr:uid="{00000000-0005-0000-0000-00000B9E0000}"/>
    <cellStyle name="Note 2 30 5" xfId="26501" xr:uid="{00000000-0005-0000-0000-00000C9E0000}"/>
    <cellStyle name="Note 2 30 6" xfId="26502" xr:uid="{00000000-0005-0000-0000-00000D9E0000}"/>
    <cellStyle name="Note 2 30 7" xfId="26503" xr:uid="{00000000-0005-0000-0000-00000E9E0000}"/>
    <cellStyle name="Note 2 30 8" xfId="26504" xr:uid="{00000000-0005-0000-0000-00000F9E0000}"/>
    <cellStyle name="Note 2 31" xfId="1758" xr:uid="{00000000-0005-0000-0000-0000109E0000}"/>
    <cellStyle name="Note 2 31 2" xfId="4048" xr:uid="{00000000-0005-0000-0000-0000119E0000}"/>
    <cellStyle name="Note 2 31 2 2" xfId="10759" xr:uid="{00000000-0005-0000-0000-0000129E0000}"/>
    <cellStyle name="Note 2 31 2 2 2" xfId="14380" xr:uid="{00000000-0005-0000-0000-0000139E0000}"/>
    <cellStyle name="Note 2 31 2 3" xfId="26505" xr:uid="{00000000-0005-0000-0000-0000149E0000}"/>
    <cellStyle name="Note 2 31 2 4" xfId="26506" xr:uid="{00000000-0005-0000-0000-0000159E0000}"/>
    <cellStyle name="Note 2 31 2 5" xfId="26507" xr:uid="{00000000-0005-0000-0000-0000169E0000}"/>
    <cellStyle name="Note 2 31 2 6" xfId="26508" xr:uid="{00000000-0005-0000-0000-0000179E0000}"/>
    <cellStyle name="Note 2 31 3" xfId="4937" xr:uid="{00000000-0005-0000-0000-0000189E0000}"/>
    <cellStyle name="Note 2 31 3 2" xfId="14379" xr:uid="{00000000-0005-0000-0000-0000199E0000}"/>
    <cellStyle name="Note 2 31 3 3" xfId="35894" xr:uid="{00000000-0005-0000-0000-00001A9E0000}"/>
    <cellStyle name="Note 2 31 3 4" xfId="10758" xr:uid="{00000000-0005-0000-0000-00001B9E0000}"/>
    <cellStyle name="Note 2 31 4" xfId="26509" xr:uid="{00000000-0005-0000-0000-00001C9E0000}"/>
    <cellStyle name="Note 2 31 4 2" xfId="37961" xr:uid="{00000000-0005-0000-0000-00001D9E0000}"/>
    <cellStyle name="Note 2 31 5" xfId="26510" xr:uid="{00000000-0005-0000-0000-00001E9E0000}"/>
    <cellStyle name="Note 2 31 6" xfId="26511" xr:uid="{00000000-0005-0000-0000-00001F9E0000}"/>
    <cellStyle name="Note 2 31 7" xfId="26512" xr:uid="{00000000-0005-0000-0000-0000209E0000}"/>
    <cellStyle name="Note 2 31 8" xfId="26513" xr:uid="{00000000-0005-0000-0000-0000219E0000}"/>
    <cellStyle name="Note 2 32" xfId="1759" xr:uid="{00000000-0005-0000-0000-0000229E0000}"/>
    <cellStyle name="Note 2 32 2" xfId="4049" xr:uid="{00000000-0005-0000-0000-0000239E0000}"/>
    <cellStyle name="Note 2 32 2 2" xfId="10761" xr:uid="{00000000-0005-0000-0000-0000249E0000}"/>
    <cellStyle name="Note 2 32 2 2 2" xfId="14382" xr:uid="{00000000-0005-0000-0000-0000259E0000}"/>
    <cellStyle name="Note 2 32 2 3" xfId="26514" xr:uid="{00000000-0005-0000-0000-0000269E0000}"/>
    <cellStyle name="Note 2 32 2 4" xfId="26515" xr:uid="{00000000-0005-0000-0000-0000279E0000}"/>
    <cellStyle name="Note 2 32 2 5" xfId="26516" xr:uid="{00000000-0005-0000-0000-0000289E0000}"/>
    <cellStyle name="Note 2 32 2 6" xfId="26517" xr:uid="{00000000-0005-0000-0000-0000299E0000}"/>
    <cellStyle name="Note 2 32 3" xfId="4938" xr:uid="{00000000-0005-0000-0000-00002A9E0000}"/>
    <cellStyle name="Note 2 32 3 2" xfId="14381" xr:uid="{00000000-0005-0000-0000-00002B9E0000}"/>
    <cellStyle name="Note 2 32 3 3" xfId="35895" xr:uid="{00000000-0005-0000-0000-00002C9E0000}"/>
    <cellStyle name="Note 2 32 3 4" xfId="10760" xr:uid="{00000000-0005-0000-0000-00002D9E0000}"/>
    <cellStyle name="Note 2 32 4" xfId="26518" xr:uid="{00000000-0005-0000-0000-00002E9E0000}"/>
    <cellStyle name="Note 2 32 4 2" xfId="37962" xr:uid="{00000000-0005-0000-0000-00002F9E0000}"/>
    <cellStyle name="Note 2 32 5" xfId="26519" xr:uid="{00000000-0005-0000-0000-0000309E0000}"/>
    <cellStyle name="Note 2 32 6" xfId="26520" xr:uid="{00000000-0005-0000-0000-0000319E0000}"/>
    <cellStyle name="Note 2 32 7" xfId="26521" xr:uid="{00000000-0005-0000-0000-0000329E0000}"/>
    <cellStyle name="Note 2 32 8" xfId="26522" xr:uid="{00000000-0005-0000-0000-0000339E0000}"/>
    <cellStyle name="Note 2 33" xfId="1760" xr:uid="{00000000-0005-0000-0000-0000349E0000}"/>
    <cellStyle name="Note 2 33 10" xfId="26523" xr:uid="{00000000-0005-0000-0000-0000359E0000}"/>
    <cellStyle name="Note 2 33 11" xfId="26524" xr:uid="{00000000-0005-0000-0000-0000369E0000}"/>
    <cellStyle name="Note 2 33 12" xfId="26525" xr:uid="{00000000-0005-0000-0000-0000379E0000}"/>
    <cellStyle name="Note 2 33 2" xfId="4050" xr:uid="{00000000-0005-0000-0000-0000389E0000}"/>
    <cellStyle name="Note 2 33 2 2" xfId="10763" xr:uid="{00000000-0005-0000-0000-0000399E0000}"/>
    <cellStyle name="Note 2 33 2 2 2" xfId="14384" xr:uid="{00000000-0005-0000-0000-00003A9E0000}"/>
    <cellStyle name="Note 2 33 2 3" xfId="26526" xr:uid="{00000000-0005-0000-0000-00003B9E0000}"/>
    <cellStyle name="Note 2 33 2 4" xfId="26527" xr:uid="{00000000-0005-0000-0000-00003C9E0000}"/>
    <cellStyle name="Note 2 33 2 5" xfId="26528" xr:uid="{00000000-0005-0000-0000-00003D9E0000}"/>
    <cellStyle name="Note 2 33 2 6" xfId="26529" xr:uid="{00000000-0005-0000-0000-00003E9E0000}"/>
    <cellStyle name="Note 2 33 3" xfId="4051" xr:uid="{00000000-0005-0000-0000-00003F9E0000}"/>
    <cellStyle name="Note 2 33 3 2" xfId="10764" xr:uid="{00000000-0005-0000-0000-0000409E0000}"/>
    <cellStyle name="Note 2 33 3 2 2" xfId="14385" xr:uid="{00000000-0005-0000-0000-0000419E0000}"/>
    <cellStyle name="Note 2 33 3 3" xfId="26530" xr:uid="{00000000-0005-0000-0000-0000429E0000}"/>
    <cellStyle name="Note 2 33 3 4" xfId="26531" xr:uid="{00000000-0005-0000-0000-0000439E0000}"/>
    <cellStyle name="Note 2 33 3 5" xfId="26532" xr:uid="{00000000-0005-0000-0000-0000449E0000}"/>
    <cellStyle name="Note 2 33 3 6" xfId="26533" xr:uid="{00000000-0005-0000-0000-0000459E0000}"/>
    <cellStyle name="Note 2 33 4" xfId="4052" xr:uid="{00000000-0005-0000-0000-0000469E0000}"/>
    <cellStyle name="Note 2 33 4 2" xfId="10765" xr:uid="{00000000-0005-0000-0000-0000479E0000}"/>
    <cellStyle name="Note 2 33 4 2 2" xfId="14386" xr:uid="{00000000-0005-0000-0000-0000489E0000}"/>
    <cellStyle name="Note 2 33 4 3" xfId="26534" xr:uid="{00000000-0005-0000-0000-0000499E0000}"/>
    <cellStyle name="Note 2 33 4 4" xfId="26535" xr:uid="{00000000-0005-0000-0000-00004A9E0000}"/>
    <cellStyle name="Note 2 33 4 5" xfId="26536" xr:uid="{00000000-0005-0000-0000-00004B9E0000}"/>
    <cellStyle name="Note 2 33 4 6" xfId="26537" xr:uid="{00000000-0005-0000-0000-00004C9E0000}"/>
    <cellStyle name="Note 2 33 5" xfId="4053" xr:uid="{00000000-0005-0000-0000-00004D9E0000}"/>
    <cellStyle name="Note 2 33 5 2" xfId="5558" xr:uid="{00000000-0005-0000-0000-00004E9E0000}"/>
    <cellStyle name="Note 2 33 5 2 2" xfId="10767" xr:uid="{00000000-0005-0000-0000-00004F9E0000}"/>
    <cellStyle name="Note 2 33 5 2 2 2" xfId="14388" xr:uid="{00000000-0005-0000-0000-0000509E0000}"/>
    <cellStyle name="Note 2 33 5 2 3" xfId="26538" xr:uid="{00000000-0005-0000-0000-0000519E0000}"/>
    <cellStyle name="Note 2 33 5 2 4" xfId="26539" xr:uid="{00000000-0005-0000-0000-0000529E0000}"/>
    <cellStyle name="Note 2 33 5 2 5" xfId="26540" xr:uid="{00000000-0005-0000-0000-0000539E0000}"/>
    <cellStyle name="Note 2 33 5 2 6" xfId="26541" xr:uid="{00000000-0005-0000-0000-0000549E0000}"/>
    <cellStyle name="Note 2 33 5 2 7" xfId="36143" xr:uid="{00000000-0005-0000-0000-0000559E0000}"/>
    <cellStyle name="Note 2 33 5 2 8" xfId="7718" xr:uid="{00000000-0005-0000-0000-0000569E0000}"/>
    <cellStyle name="Note 2 33 5 3" xfId="10766" xr:uid="{00000000-0005-0000-0000-0000579E0000}"/>
    <cellStyle name="Note 2 33 5 3 2" xfId="14387" xr:uid="{00000000-0005-0000-0000-0000589E0000}"/>
    <cellStyle name="Note 2 33 5 3 3" xfId="38555" xr:uid="{00000000-0005-0000-0000-0000599E0000}"/>
    <cellStyle name="Note 2 33 5 4" xfId="26542" xr:uid="{00000000-0005-0000-0000-00005A9E0000}"/>
    <cellStyle name="Note 2 33 5 5" xfId="26543" xr:uid="{00000000-0005-0000-0000-00005B9E0000}"/>
    <cellStyle name="Note 2 33 5 6" xfId="26544" xr:uid="{00000000-0005-0000-0000-00005C9E0000}"/>
    <cellStyle name="Note 2 33 5 7" xfId="26545" xr:uid="{00000000-0005-0000-0000-00005D9E0000}"/>
    <cellStyle name="Note 2 33 6" xfId="10768" xr:uid="{00000000-0005-0000-0000-00005E9E0000}"/>
    <cellStyle name="Note 2 33 6 2" xfId="14389" xr:uid="{00000000-0005-0000-0000-00005F9E0000}"/>
    <cellStyle name="Note 2 33 7" xfId="10762" xr:uid="{00000000-0005-0000-0000-0000609E0000}"/>
    <cellStyle name="Note 2 33 7 2" xfId="14383" xr:uid="{00000000-0005-0000-0000-0000619E0000}"/>
    <cellStyle name="Note 2 33 8" xfId="26546" xr:uid="{00000000-0005-0000-0000-0000629E0000}"/>
    <cellStyle name="Note 2 33 9" xfId="26547" xr:uid="{00000000-0005-0000-0000-0000639E0000}"/>
    <cellStyle name="Note 2 33_IND_UC" xfId="4054" xr:uid="{00000000-0005-0000-0000-0000649E0000}"/>
    <cellStyle name="Note 2 34" xfId="1761" xr:uid="{00000000-0005-0000-0000-0000659E0000}"/>
    <cellStyle name="Note 2 34 10" xfId="26548" xr:uid="{00000000-0005-0000-0000-0000669E0000}"/>
    <cellStyle name="Note 2 34 11" xfId="26549" xr:uid="{00000000-0005-0000-0000-0000679E0000}"/>
    <cellStyle name="Note 2 34 12" xfId="26550" xr:uid="{00000000-0005-0000-0000-0000689E0000}"/>
    <cellStyle name="Note 2 34 2" xfId="4055" xr:uid="{00000000-0005-0000-0000-0000699E0000}"/>
    <cellStyle name="Note 2 34 2 2" xfId="10770" xr:uid="{00000000-0005-0000-0000-00006A9E0000}"/>
    <cellStyle name="Note 2 34 2 2 2" xfId="14391" xr:uid="{00000000-0005-0000-0000-00006B9E0000}"/>
    <cellStyle name="Note 2 34 2 3" xfId="26551" xr:uid="{00000000-0005-0000-0000-00006C9E0000}"/>
    <cellStyle name="Note 2 34 2 4" xfId="26552" xr:uid="{00000000-0005-0000-0000-00006D9E0000}"/>
    <cellStyle name="Note 2 34 2 5" xfId="26553" xr:uid="{00000000-0005-0000-0000-00006E9E0000}"/>
    <cellStyle name="Note 2 34 2 6" xfId="26554" xr:uid="{00000000-0005-0000-0000-00006F9E0000}"/>
    <cellStyle name="Note 2 34 3" xfId="4056" xr:uid="{00000000-0005-0000-0000-0000709E0000}"/>
    <cellStyle name="Note 2 34 3 2" xfId="10771" xr:uid="{00000000-0005-0000-0000-0000719E0000}"/>
    <cellStyle name="Note 2 34 3 2 2" xfId="14392" xr:uid="{00000000-0005-0000-0000-0000729E0000}"/>
    <cellStyle name="Note 2 34 3 3" xfId="26555" xr:uid="{00000000-0005-0000-0000-0000739E0000}"/>
    <cellStyle name="Note 2 34 3 4" xfId="26556" xr:uid="{00000000-0005-0000-0000-0000749E0000}"/>
    <cellStyle name="Note 2 34 3 5" xfId="26557" xr:uid="{00000000-0005-0000-0000-0000759E0000}"/>
    <cellStyle name="Note 2 34 3 6" xfId="26558" xr:uid="{00000000-0005-0000-0000-0000769E0000}"/>
    <cellStyle name="Note 2 34 4" xfId="4057" xr:uid="{00000000-0005-0000-0000-0000779E0000}"/>
    <cellStyle name="Note 2 34 4 2" xfId="10772" xr:uid="{00000000-0005-0000-0000-0000789E0000}"/>
    <cellStyle name="Note 2 34 4 2 2" xfId="14393" xr:uid="{00000000-0005-0000-0000-0000799E0000}"/>
    <cellStyle name="Note 2 34 4 3" xfId="26559" xr:uid="{00000000-0005-0000-0000-00007A9E0000}"/>
    <cellStyle name="Note 2 34 4 4" xfId="26560" xr:uid="{00000000-0005-0000-0000-00007B9E0000}"/>
    <cellStyle name="Note 2 34 4 5" xfId="26561" xr:uid="{00000000-0005-0000-0000-00007C9E0000}"/>
    <cellStyle name="Note 2 34 4 6" xfId="26562" xr:uid="{00000000-0005-0000-0000-00007D9E0000}"/>
    <cellStyle name="Note 2 34 5" xfId="4058" xr:uid="{00000000-0005-0000-0000-00007E9E0000}"/>
    <cellStyle name="Note 2 34 5 2" xfId="5559" xr:uid="{00000000-0005-0000-0000-00007F9E0000}"/>
    <cellStyle name="Note 2 34 5 2 2" xfId="10774" xr:uid="{00000000-0005-0000-0000-0000809E0000}"/>
    <cellStyle name="Note 2 34 5 2 2 2" xfId="14395" xr:uid="{00000000-0005-0000-0000-0000819E0000}"/>
    <cellStyle name="Note 2 34 5 2 3" xfId="26563" xr:uid="{00000000-0005-0000-0000-0000829E0000}"/>
    <cellStyle name="Note 2 34 5 2 4" xfId="26564" xr:uid="{00000000-0005-0000-0000-0000839E0000}"/>
    <cellStyle name="Note 2 34 5 2 5" xfId="26565" xr:uid="{00000000-0005-0000-0000-0000849E0000}"/>
    <cellStyle name="Note 2 34 5 2 6" xfId="26566" xr:uid="{00000000-0005-0000-0000-0000859E0000}"/>
    <cellStyle name="Note 2 34 5 2 7" xfId="36144" xr:uid="{00000000-0005-0000-0000-0000869E0000}"/>
    <cellStyle name="Note 2 34 5 2 8" xfId="7719" xr:uid="{00000000-0005-0000-0000-0000879E0000}"/>
    <cellStyle name="Note 2 34 5 3" xfId="10773" xr:uid="{00000000-0005-0000-0000-0000889E0000}"/>
    <cellStyle name="Note 2 34 5 3 2" xfId="14394" xr:uid="{00000000-0005-0000-0000-0000899E0000}"/>
    <cellStyle name="Note 2 34 5 3 3" xfId="38556" xr:uid="{00000000-0005-0000-0000-00008A9E0000}"/>
    <cellStyle name="Note 2 34 5 4" xfId="26567" xr:uid="{00000000-0005-0000-0000-00008B9E0000}"/>
    <cellStyle name="Note 2 34 5 5" xfId="26568" xr:uid="{00000000-0005-0000-0000-00008C9E0000}"/>
    <cellStyle name="Note 2 34 5 6" xfId="26569" xr:uid="{00000000-0005-0000-0000-00008D9E0000}"/>
    <cellStyle name="Note 2 34 5 7" xfId="26570" xr:uid="{00000000-0005-0000-0000-00008E9E0000}"/>
    <cellStyle name="Note 2 34 6" xfId="10775" xr:uid="{00000000-0005-0000-0000-00008F9E0000}"/>
    <cellStyle name="Note 2 34 6 2" xfId="14396" xr:uid="{00000000-0005-0000-0000-0000909E0000}"/>
    <cellStyle name="Note 2 34 7" xfId="10769" xr:uid="{00000000-0005-0000-0000-0000919E0000}"/>
    <cellStyle name="Note 2 34 7 2" xfId="14390" xr:uid="{00000000-0005-0000-0000-0000929E0000}"/>
    <cellStyle name="Note 2 34 8" xfId="26571" xr:uid="{00000000-0005-0000-0000-0000939E0000}"/>
    <cellStyle name="Note 2 34 9" xfId="26572" xr:uid="{00000000-0005-0000-0000-0000949E0000}"/>
    <cellStyle name="Note 2 34_IND_UC" xfId="4059" xr:uid="{00000000-0005-0000-0000-0000959E0000}"/>
    <cellStyle name="Note 2 35" xfId="1762" xr:uid="{00000000-0005-0000-0000-0000969E0000}"/>
    <cellStyle name="Note 2 35 10" xfId="26573" xr:uid="{00000000-0005-0000-0000-0000979E0000}"/>
    <cellStyle name="Note 2 35 11" xfId="26574" xr:uid="{00000000-0005-0000-0000-0000989E0000}"/>
    <cellStyle name="Note 2 35 12" xfId="26575" xr:uid="{00000000-0005-0000-0000-0000999E0000}"/>
    <cellStyle name="Note 2 35 2" xfId="4060" xr:uid="{00000000-0005-0000-0000-00009A9E0000}"/>
    <cellStyle name="Note 2 35 2 2" xfId="10777" xr:uid="{00000000-0005-0000-0000-00009B9E0000}"/>
    <cellStyle name="Note 2 35 2 2 2" xfId="14398" xr:uid="{00000000-0005-0000-0000-00009C9E0000}"/>
    <cellStyle name="Note 2 35 2 3" xfId="26576" xr:uid="{00000000-0005-0000-0000-00009D9E0000}"/>
    <cellStyle name="Note 2 35 2 4" xfId="26577" xr:uid="{00000000-0005-0000-0000-00009E9E0000}"/>
    <cellStyle name="Note 2 35 2 5" xfId="26578" xr:uid="{00000000-0005-0000-0000-00009F9E0000}"/>
    <cellStyle name="Note 2 35 2 6" xfId="26579" xr:uid="{00000000-0005-0000-0000-0000A09E0000}"/>
    <cellStyle name="Note 2 35 3" xfId="4061" xr:uid="{00000000-0005-0000-0000-0000A19E0000}"/>
    <cellStyle name="Note 2 35 3 2" xfId="10778" xr:uid="{00000000-0005-0000-0000-0000A29E0000}"/>
    <cellStyle name="Note 2 35 3 2 2" xfId="14399" xr:uid="{00000000-0005-0000-0000-0000A39E0000}"/>
    <cellStyle name="Note 2 35 3 3" xfId="26580" xr:uid="{00000000-0005-0000-0000-0000A49E0000}"/>
    <cellStyle name="Note 2 35 3 4" xfId="26581" xr:uid="{00000000-0005-0000-0000-0000A59E0000}"/>
    <cellStyle name="Note 2 35 3 5" xfId="26582" xr:uid="{00000000-0005-0000-0000-0000A69E0000}"/>
    <cellStyle name="Note 2 35 3 6" xfId="26583" xr:uid="{00000000-0005-0000-0000-0000A79E0000}"/>
    <cellStyle name="Note 2 35 4" xfId="4062" xr:uid="{00000000-0005-0000-0000-0000A89E0000}"/>
    <cellStyle name="Note 2 35 4 2" xfId="10779" xr:uid="{00000000-0005-0000-0000-0000A99E0000}"/>
    <cellStyle name="Note 2 35 4 2 2" xfId="14400" xr:uid="{00000000-0005-0000-0000-0000AA9E0000}"/>
    <cellStyle name="Note 2 35 4 3" xfId="26584" xr:uid="{00000000-0005-0000-0000-0000AB9E0000}"/>
    <cellStyle name="Note 2 35 4 4" xfId="26585" xr:uid="{00000000-0005-0000-0000-0000AC9E0000}"/>
    <cellStyle name="Note 2 35 4 5" xfId="26586" xr:uid="{00000000-0005-0000-0000-0000AD9E0000}"/>
    <cellStyle name="Note 2 35 4 6" xfId="26587" xr:uid="{00000000-0005-0000-0000-0000AE9E0000}"/>
    <cellStyle name="Note 2 35 5" xfId="4063" xr:uid="{00000000-0005-0000-0000-0000AF9E0000}"/>
    <cellStyle name="Note 2 35 5 2" xfId="5560" xr:uid="{00000000-0005-0000-0000-0000B09E0000}"/>
    <cellStyle name="Note 2 35 5 2 2" xfId="10781" xr:uid="{00000000-0005-0000-0000-0000B19E0000}"/>
    <cellStyle name="Note 2 35 5 2 2 2" xfId="14402" xr:uid="{00000000-0005-0000-0000-0000B29E0000}"/>
    <cellStyle name="Note 2 35 5 2 3" xfId="26588" xr:uid="{00000000-0005-0000-0000-0000B39E0000}"/>
    <cellStyle name="Note 2 35 5 2 4" xfId="26589" xr:uid="{00000000-0005-0000-0000-0000B49E0000}"/>
    <cellStyle name="Note 2 35 5 2 5" xfId="26590" xr:uid="{00000000-0005-0000-0000-0000B59E0000}"/>
    <cellStyle name="Note 2 35 5 2 6" xfId="26591" xr:uid="{00000000-0005-0000-0000-0000B69E0000}"/>
    <cellStyle name="Note 2 35 5 2 7" xfId="36145" xr:uid="{00000000-0005-0000-0000-0000B79E0000}"/>
    <cellStyle name="Note 2 35 5 2 8" xfId="7720" xr:uid="{00000000-0005-0000-0000-0000B89E0000}"/>
    <cellStyle name="Note 2 35 5 3" xfId="10780" xr:uid="{00000000-0005-0000-0000-0000B99E0000}"/>
    <cellStyle name="Note 2 35 5 3 2" xfId="14401" xr:uid="{00000000-0005-0000-0000-0000BA9E0000}"/>
    <cellStyle name="Note 2 35 5 3 3" xfId="38557" xr:uid="{00000000-0005-0000-0000-0000BB9E0000}"/>
    <cellStyle name="Note 2 35 5 4" xfId="26592" xr:uid="{00000000-0005-0000-0000-0000BC9E0000}"/>
    <cellStyle name="Note 2 35 5 5" xfId="26593" xr:uid="{00000000-0005-0000-0000-0000BD9E0000}"/>
    <cellStyle name="Note 2 35 5 6" xfId="26594" xr:uid="{00000000-0005-0000-0000-0000BE9E0000}"/>
    <cellStyle name="Note 2 35 5 7" xfId="26595" xr:uid="{00000000-0005-0000-0000-0000BF9E0000}"/>
    <cellStyle name="Note 2 35 6" xfId="10782" xr:uid="{00000000-0005-0000-0000-0000C09E0000}"/>
    <cellStyle name="Note 2 35 6 2" xfId="14403" xr:uid="{00000000-0005-0000-0000-0000C19E0000}"/>
    <cellStyle name="Note 2 35 7" xfId="10776" xr:uid="{00000000-0005-0000-0000-0000C29E0000}"/>
    <cellStyle name="Note 2 35 7 2" xfId="14397" xr:uid="{00000000-0005-0000-0000-0000C39E0000}"/>
    <cellStyle name="Note 2 35 8" xfId="26596" xr:uid="{00000000-0005-0000-0000-0000C49E0000}"/>
    <cellStyle name="Note 2 35 9" xfId="26597" xr:uid="{00000000-0005-0000-0000-0000C59E0000}"/>
    <cellStyle name="Note 2 35_IND_UC" xfId="4064" xr:uid="{00000000-0005-0000-0000-0000C69E0000}"/>
    <cellStyle name="Note 2 36" xfId="1763" xr:uid="{00000000-0005-0000-0000-0000C79E0000}"/>
    <cellStyle name="Note 2 36 2" xfId="10783" xr:uid="{00000000-0005-0000-0000-0000C89E0000}"/>
    <cellStyle name="Note 2 36 2 2" xfId="14404" xr:uid="{00000000-0005-0000-0000-0000C99E0000}"/>
    <cellStyle name="Note 2 36 3" xfId="26598" xr:uid="{00000000-0005-0000-0000-0000CA9E0000}"/>
    <cellStyle name="Note 2 36 4" xfId="26599" xr:uid="{00000000-0005-0000-0000-0000CB9E0000}"/>
    <cellStyle name="Note 2 36 5" xfId="26600" xr:uid="{00000000-0005-0000-0000-0000CC9E0000}"/>
    <cellStyle name="Note 2 36 6" xfId="26601" xr:uid="{00000000-0005-0000-0000-0000CD9E0000}"/>
    <cellStyle name="Note 2 36 7" xfId="26602" xr:uid="{00000000-0005-0000-0000-0000CE9E0000}"/>
    <cellStyle name="Note 2 37" xfId="1764" xr:uid="{00000000-0005-0000-0000-0000CF9E0000}"/>
    <cellStyle name="Note 2 37 2" xfId="10784" xr:uid="{00000000-0005-0000-0000-0000D09E0000}"/>
    <cellStyle name="Note 2 37 2 2" xfId="14405" xr:uid="{00000000-0005-0000-0000-0000D19E0000}"/>
    <cellStyle name="Note 2 37 3" xfId="26603" xr:uid="{00000000-0005-0000-0000-0000D29E0000}"/>
    <cellStyle name="Note 2 37 4" xfId="26604" xr:uid="{00000000-0005-0000-0000-0000D39E0000}"/>
    <cellStyle name="Note 2 37 5" xfId="26605" xr:uid="{00000000-0005-0000-0000-0000D49E0000}"/>
    <cellStyle name="Note 2 37 6" xfId="26606" xr:uid="{00000000-0005-0000-0000-0000D59E0000}"/>
    <cellStyle name="Note 2 37 7" xfId="26607" xr:uid="{00000000-0005-0000-0000-0000D69E0000}"/>
    <cellStyle name="Note 2 38" xfId="1765" xr:uid="{00000000-0005-0000-0000-0000D79E0000}"/>
    <cellStyle name="Note 2 38 2" xfId="4065" xr:uid="{00000000-0005-0000-0000-0000D89E0000}"/>
    <cellStyle name="Note 2 38 2 2" xfId="10786" xr:uid="{00000000-0005-0000-0000-0000D99E0000}"/>
    <cellStyle name="Note 2 38 2 2 2" xfId="14407" xr:uid="{00000000-0005-0000-0000-0000DA9E0000}"/>
    <cellStyle name="Note 2 38 2 3" xfId="26608" xr:uid="{00000000-0005-0000-0000-0000DB9E0000}"/>
    <cellStyle name="Note 2 38 2 4" xfId="26609" xr:uid="{00000000-0005-0000-0000-0000DC9E0000}"/>
    <cellStyle name="Note 2 38 2 5" xfId="26610" xr:uid="{00000000-0005-0000-0000-0000DD9E0000}"/>
    <cellStyle name="Note 2 38 2 6" xfId="26611" xr:uid="{00000000-0005-0000-0000-0000DE9E0000}"/>
    <cellStyle name="Note 2 38 3" xfId="4939" xr:uid="{00000000-0005-0000-0000-0000DF9E0000}"/>
    <cellStyle name="Note 2 38 3 2" xfId="14408" xr:uid="{00000000-0005-0000-0000-0000E09E0000}"/>
    <cellStyle name="Note 2 38 3 3" xfId="35896" xr:uid="{00000000-0005-0000-0000-0000E19E0000}"/>
    <cellStyle name="Note 2 38 3 4" xfId="10787" xr:uid="{00000000-0005-0000-0000-0000E29E0000}"/>
    <cellStyle name="Note 2 38 4" xfId="10785" xr:uid="{00000000-0005-0000-0000-0000E39E0000}"/>
    <cellStyle name="Note 2 38 4 2" xfId="14406" xr:uid="{00000000-0005-0000-0000-0000E49E0000}"/>
    <cellStyle name="Note 2 38 4 3" xfId="37963" xr:uid="{00000000-0005-0000-0000-0000E59E0000}"/>
    <cellStyle name="Note 2 38 5" xfId="26612" xr:uid="{00000000-0005-0000-0000-0000E69E0000}"/>
    <cellStyle name="Note 2 38 6" xfId="26613" xr:uid="{00000000-0005-0000-0000-0000E79E0000}"/>
    <cellStyle name="Note 2 38 7" xfId="26614" xr:uid="{00000000-0005-0000-0000-0000E89E0000}"/>
    <cellStyle name="Note 2 38 8" xfId="26615" xr:uid="{00000000-0005-0000-0000-0000E99E0000}"/>
    <cellStyle name="Note 2 38 9" xfId="26616" xr:uid="{00000000-0005-0000-0000-0000EA9E0000}"/>
    <cellStyle name="Note 2 39" xfId="4066" xr:uid="{00000000-0005-0000-0000-0000EB9E0000}"/>
    <cellStyle name="Note 2 39 2" xfId="5561" xr:uid="{00000000-0005-0000-0000-0000EC9E0000}"/>
    <cellStyle name="Note 2 39 2 2" xfId="8588" xr:uid="{00000000-0005-0000-0000-0000ED9E0000}"/>
    <cellStyle name="Note 2 39 2 2 2" xfId="10790" xr:uid="{00000000-0005-0000-0000-0000EE9E0000}"/>
    <cellStyle name="Note 2 39 2 2 2 2" xfId="14411" xr:uid="{00000000-0005-0000-0000-0000EF9E0000}"/>
    <cellStyle name="Note 2 39 2 2 3" xfId="26617" xr:uid="{00000000-0005-0000-0000-0000F09E0000}"/>
    <cellStyle name="Note 2 39 2 2 4" xfId="26618" xr:uid="{00000000-0005-0000-0000-0000F19E0000}"/>
    <cellStyle name="Note 2 39 2 2 5" xfId="26619" xr:uid="{00000000-0005-0000-0000-0000F29E0000}"/>
    <cellStyle name="Note 2 39 2 2 6" xfId="26620" xr:uid="{00000000-0005-0000-0000-0000F39E0000}"/>
    <cellStyle name="Note 2 39 2 3" xfId="8398" xr:uid="{00000000-0005-0000-0000-0000F49E0000}"/>
    <cellStyle name="Note 2 39 2 3 2" xfId="10791" xr:uid="{00000000-0005-0000-0000-0000F59E0000}"/>
    <cellStyle name="Note 2 39 2 3 2 2" xfId="14412" xr:uid="{00000000-0005-0000-0000-0000F69E0000}"/>
    <cellStyle name="Note 2 39 2 3 3" xfId="12514" xr:uid="{00000000-0005-0000-0000-0000F79E0000}"/>
    <cellStyle name="Note 2 39 2 3 3 2" xfId="26621" xr:uid="{00000000-0005-0000-0000-0000F89E0000}"/>
    <cellStyle name="Note 2 39 2 3 4" xfId="26622" xr:uid="{00000000-0005-0000-0000-0000F99E0000}"/>
    <cellStyle name="Note 2 39 2 3 5" xfId="26623" xr:uid="{00000000-0005-0000-0000-0000FA9E0000}"/>
    <cellStyle name="Note 2 39 2 3 6" xfId="26624" xr:uid="{00000000-0005-0000-0000-0000FB9E0000}"/>
    <cellStyle name="Note 2 39 2 3 7" xfId="26625" xr:uid="{00000000-0005-0000-0000-0000FC9E0000}"/>
    <cellStyle name="Note 2 39 2 4" xfId="10789" xr:uid="{00000000-0005-0000-0000-0000FD9E0000}"/>
    <cellStyle name="Note 2 39 2 4 2" xfId="14410" xr:uid="{00000000-0005-0000-0000-0000FE9E0000}"/>
    <cellStyle name="Note 2 39 2 5" xfId="26626" xr:uid="{00000000-0005-0000-0000-0000FF9E0000}"/>
    <cellStyle name="Note 2 39 2 6" xfId="26627" xr:uid="{00000000-0005-0000-0000-0000009F0000}"/>
    <cellStyle name="Note 2 39 2 7" xfId="26628" xr:uid="{00000000-0005-0000-0000-0000019F0000}"/>
    <cellStyle name="Note 2 39 2 8" xfId="26629" xr:uid="{00000000-0005-0000-0000-0000029F0000}"/>
    <cellStyle name="Note 2 39 3" xfId="10792" xr:uid="{00000000-0005-0000-0000-0000039F0000}"/>
    <cellStyle name="Note 2 39 3 2" xfId="14413" xr:uid="{00000000-0005-0000-0000-0000049F0000}"/>
    <cellStyle name="Note 2 39 3 3" xfId="38558" xr:uid="{00000000-0005-0000-0000-0000059F0000}"/>
    <cellStyle name="Note 2 39 4" xfId="10788" xr:uid="{00000000-0005-0000-0000-0000069F0000}"/>
    <cellStyle name="Note 2 39 4 2" xfId="14409" xr:uid="{00000000-0005-0000-0000-0000079F0000}"/>
    <cellStyle name="Note 2 39 5" xfId="26630" xr:uid="{00000000-0005-0000-0000-0000089F0000}"/>
    <cellStyle name="Note 2 39 6" xfId="26631" xr:uid="{00000000-0005-0000-0000-0000099F0000}"/>
    <cellStyle name="Note 2 39 7" xfId="26632" xr:uid="{00000000-0005-0000-0000-00000A9F0000}"/>
    <cellStyle name="Note 2 39 8" xfId="26633" xr:uid="{00000000-0005-0000-0000-00000B9F0000}"/>
    <cellStyle name="Note 2 4" xfId="1766" xr:uid="{00000000-0005-0000-0000-00000C9F0000}"/>
    <cellStyle name="Note 2 4 10" xfId="26634" xr:uid="{00000000-0005-0000-0000-00000D9F0000}"/>
    <cellStyle name="Note 2 4 2" xfId="1767" xr:uid="{00000000-0005-0000-0000-00000E9F0000}"/>
    <cellStyle name="Note 2 4 2 2" xfId="4068" xr:uid="{00000000-0005-0000-0000-00000F9F0000}"/>
    <cellStyle name="Note 2 4 2 2 2" xfId="14415" xr:uid="{00000000-0005-0000-0000-0000109F0000}"/>
    <cellStyle name="Note 2 4 2 2 3" xfId="35495" xr:uid="{00000000-0005-0000-0000-0000119F0000}"/>
    <cellStyle name="Note 2 4 2 2 4" xfId="10794" xr:uid="{00000000-0005-0000-0000-0000129F0000}"/>
    <cellStyle name="Note 2 4 2 3" xfId="4941" xr:uid="{00000000-0005-0000-0000-0000139F0000}"/>
    <cellStyle name="Note 2 4 2 3 2" xfId="35898" xr:uid="{00000000-0005-0000-0000-0000149F0000}"/>
    <cellStyle name="Note 2 4 2 3 3" xfId="26635" xr:uid="{00000000-0005-0000-0000-0000159F0000}"/>
    <cellStyle name="Note 2 4 2 4" xfId="26636" xr:uid="{00000000-0005-0000-0000-0000169F0000}"/>
    <cellStyle name="Note 2 4 2 4 2" xfId="37965" xr:uid="{00000000-0005-0000-0000-0000179F0000}"/>
    <cellStyle name="Note 2 4 2 5" xfId="26637" xr:uid="{00000000-0005-0000-0000-0000189F0000}"/>
    <cellStyle name="Note 2 4 2 6" xfId="26638" xr:uid="{00000000-0005-0000-0000-0000199F0000}"/>
    <cellStyle name="Note 2 4 2 7" xfId="26639" xr:uid="{00000000-0005-0000-0000-00001A9F0000}"/>
    <cellStyle name="Note 2 4 3" xfId="1768" xr:uid="{00000000-0005-0000-0000-00001B9F0000}"/>
    <cellStyle name="Note 2 4 3 2" xfId="4069" xr:uid="{00000000-0005-0000-0000-00001C9F0000}"/>
    <cellStyle name="Note 2 4 3 2 2" xfId="14416" xr:uid="{00000000-0005-0000-0000-00001D9F0000}"/>
    <cellStyle name="Note 2 4 3 2 3" xfId="35496" xr:uid="{00000000-0005-0000-0000-00001E9F0000}"/>
    <cellStyle name="Note 2 4 3 2 4" xfId="10795" xr:uid="{00000000-0005-0000-0000-00001F9F0000}"/>
    <cellStyle name="Note 2 4 3 3" xfId="4942" xr:uid="{00000000-0005-0000-0000-0000209F0000}"/>
    <cellStyle name="Note 2 4 3 3 2" xfId="35899" xr:uid="{00000000-0005-0000-0000-0000219F0000}"/>
    <cellStyle name="Note 2 4 3 3 3" xfId="26640" xr:uid="{00000000-0005-0000-0000-0000229F0000}"/>
    <cellStyle name="Note 2 4 3 4" xfId="26641" xr:uid="{00000000-0005-0000-0000-0000239F0000}"/>
    <cellStyle name="Note 2 4 3 4 2" xfId="37966" xr:uid="{00000000-0005-0000-0000-0000249F0000}"/>
    <cellStyle name="Note 2 4 3 5" xfId="26642" xr:uid="{00000000-0005-0000-0000-0000259F0000}"/>
    <cellStyle name="Note 2 4 3 6" xfId="26643" xr:uid="{00000000-0005-0000-0000-0000269F0000}"/>
    <cellStyle name="Note 2 4 3 7" xfId="26644" xr:uid="{00000000-0005-0000-0000-0000279F0000}"/>
    <cellStyle name="Note 2 4 4" xfId="1769" xr:uid="{00000000-0005-0000-0000-0000289F0000}"/>
    <cellStyle name="Note 2 4 4 2" xfId="4070" xr:uid="{00000000-0005-0000-0000-0000299F0000}"/>
    <cellStyle name="Note 2 4 4 2 2" xfId="14417" xr:uid="{00000000-0005-0000-0000-00002A9F0000}"/>
    <cellStyle name="Note 2 4 4 2 3" xfId="35497" xr:uid="{00000000-0005-0000-0000-00002B9F0000}"/>
    <cellStyle name="Note 2 4 4 2 4" xfId="10796" xr:uid="{00000000-0005-0000-0000-00002C9F0000}"/>
    <cellStyle name="Note 2 4 4 3" xfId="4943" xr:uid="{00000000-0005-0000-0000-00002D9F0000}"/>
    <cellStyle name="Note 2 4 4 3 2" xfId="35900" xr:uid="{00000000-0005-0000-0000-00002E9F0000}"/>
    <cellStyle name="Note 2 4 4 3 3" xfId="26645" xr:uid="{00000000-0005-0000-0000-00002F9F0000}"/>
    <cellStyle name="Note 2 4 4 4" xfId="26646" xr:uid="{00000000-0005-0000-0000-0000309F0000}"/>
    <cellStyle name="Note 2 4 4 4 2" xfId="37967" xr:uid="{00000000-0005-0000-0000-0000319F0000}"/>
    <cellStyle name="Note 2 4 4 5" xfId="26647" xr:uid="{00000000-0005-0000-0000-0000329F0000}"/>
    <cellStyle name="Note 2 4 4 6" xfId="26648" xr:uid="{00000000-0005-0000-0000-0000339F0000}"/>
    <cellStyle name="Note 2 4 4 7" xfId="26649" xr:uid="{00000000-0005-0000-0000-0000349F0000}"/>
    <cellStyle name="Note 2 4 5" xfId="4067" xr:uid="{00000000-0005-0000-0000-0000359F0000}"/>
    <cellStyle name="Note 2 4 5 2" xfId="14414" xr:uid="{00000000-0005-0000-0000-0000369F0000}"/>
    <cellStyle name="Note 2 4 5 3" xfId="35494" xr:uid="{00000000-0005-0000-0000-0000379F0000}"/>
    <cellStyle name="Note 2 4 5 4" xfId="10793" xr:uid="{00000000-0005-0000-0000-0000389F0000}"/>
    <cellStyle name="Note 2 4 6" xfId="4940" xr:uid="{00000000-0005-0000-0000-0000399F0000}"/>
    <cellStyle name="Note 2 4 6 2" xfId="35897" xr:uid="{00000000-0005-0000-0000-00003A9F0000}"/>
    <cellStyle name="Note 2 4 6 3" xfId="26650" xr:uid="{00000000-0005-0000-0000-00003B9F0000}"/>
    <cellStyle name="Note 2 4 7" xfId="26651" xr:uid="{00000000-0005-0000-0000-00003C9F0000}"/>
    <cellStyle name="Note 2 4 7 2" xfId="37964" xr:uid="{00000000-0005-0000-0000-00003D9F0000}"/>
    <cellStyle name="Note 2 4 8" xfId="26652" xr:uid="{00000000-0005-0000-0000-00003E9F0000}"/>
    <cellStyle name="Note 2 4 9" xfId="26653" xr:uid="{00000000-0005-0000-0000-00003F9F0000}"/>
    <cellStyle name="Note 2 40" xfId="3923" xr:uid="{00000000-0005-0000-0000-0000409F0000}"/>
    <cellStyle name="Note 2 40 2" xfId="10797" xr:uid="{00000000-0005-0000-0000-0000419F0000}"/>
    <cellStyle name="Note 2 40 2 2" xfId="14418" xr:uid="{00000000-0005-0000-0000-0000429F0000}"/>
    <cellStyle name="Note 2 40 3" xfId="26654" xr:uid="{00000000-0005-0000-0000-0000439F0000}"/>
    <cellStyle name="Note 2 40 4" xfId="26655" xr:uid="{00000000-0005-0000-0000-0000449F0000}"/>
    <cellStyle name="Note 2 40 5" xfId="26656" xr:uid="{00000000-0005-0000-0000-0000459F0000}"/>
    <cellStyle name="Note 2 40 6" xfId="26657" xr:uid="{00000000-0005-0000-0000-0000469F0000}"/>
    <cellStyle name="Note 2 40 7" xfId="35456" xr:uid="{00000000-0005-0000-0000-0000479F0000}"/>
    <cellStyle name="Note 2 40 8" xfId="7721" xr:uid="{00000000-0005-0000-0000-0000489F0000}"/>
    <cellStyle name="Note 2 41" xfId="4870" xr:uid="{00000000-0005-0000-0000-0000499F0000}"/>
    <cellStyle name="Note 2 41 2" xfId="10798" xr:uid="{00000000-0005-0000-0000-00004A9F0000}"/>
    <cellStyle name="Note 2 41 2 2" xfId="14419" xr:uid="{00000000-0005-0000-0000-00004B9F0000}"/>
    <cellStyle name="Note 2 41 3" xfId="26658" xr:uid="{00000000-0005-0000-0000-00004C9F0000}"/>
    <cellStyle name="Note 2 41 4" xfId="26659" xr:uid="{00000000-0005-0000-0000-00004D9F0000}"/>
    <cellStyle name="Note 2 41 5" xfId="26660" xr:uid="{00000000-0005-0000-0000-00004E9F0000}"/>
    <cellStyle name="Note 2 41 6" xfId="26661" xr:uid="{00000000-0005-0000-0000-00004F9F0000}"/>
    <cellStyle name="Note 2 41 7" xfId="35838" xr:uid="{00000000-0005-0000-0000-0000509F0000}"/>
    <cellStyle name="Note 2 41 8" xfId="7722" xr:uid="{00000000-0005-0000-0000-0000519F0000}"/>
    <cellStyle name="Note 2 42" xfId="10500" xr:uid="{00000000-0005-0000-0000-0000529F0000}"/>
    <cellStyle name="Note 2 42 2" xfId="14121" xr:uid="{00000000-0005-0000-0000-0000539F0000}"/>
    <cellStyle name="Note 2 42 3" xfId="37904" xr:uid="{00000000-0005-0000-0000-0000549F0000}"/>
    <cellStyle name="Note 2 43" xfId="26662" xr:uid="{00000000-0005-0000-0000-0000559F0000}"/>
    <cellStyle name="Note 2 44" xfId="26663" xr:uid="{00000000-0005-0000-0000-0000569F0000}"/>
    <cellStyle name="Note 2 45" xfId="26664" xr:uid="{00000000-0005-0000-0000-0000579F0000}"/>
    <cellStyle name="Note 2 46" xfId="26665" xr:uid="{00000000-0005-0000-0000-0000589F0000}"/>
    <cellStyle name="Note 2 47" xfId="26666" xr:uid="{00000000-0005-0000-0000-0000599F0000}"/>
    <cellStyle name="Note 2 48" xfId="26667" xr:uid="{00000000-0005-0000-0000-00005A9F0000}"/>
    <cellStyle name="Note 2 49" xfId="26668" xr:uid="{00000000-0005-0000-0000-00005B9F0000}"/>
    <cellStyle name="Note 2 5" xfId="1770" xr:uid="{00000000-0005-0000-0000-00005C9F0000}"/>
    <cellStyle name="Note 2 5 10" xfId="26669" xr:uid="{00000000-0005-0000-0000-00005D9F0000}"/>
    <cellStyle name="Note 2 5 2" xfId="1771" xr:uid="{00000000-0005-0000-0000-00005E9F0000}"/>
    <cellStyle name="Note 2 5 2 2" xfId="4072" xr:uid="{00000000-0005-0000-0000-00005F9F0000}"/>
    <cellStyle name="Note 2 5 2 2 2" xfId="14421" xr:uid="{00000000-0005-0000-0000-0000609F0000}"/>
    <cellStyle name="Note 2 5 2 2 3" xfId="35499" xr:uid="{00000000-0005-0000-0000-0000619F0000}"/>
    <cellStyle name="Note 2 5 2 2 4" xfId="10800" xr:uid="{00000000-0005-0000-0000-0000629F0000}"/>
    <cellStyle name="Note 2 5 2 3" xfId="4945" xr:uid="{00000000-0005-0000-0000-0000639F0000}"/>
    <cellStyle name="Note 2 5 2 3 2" xfId="35902" xr:uid="{00000000-0005-0000-0000-0000649F0000}"/>
    <cellStyle name="Note 2 5 2 3 3" xfId="26670" xr:uid="{00000000-0005-0000-0000-0000659F0000}"/>
    <cellStyle name="Note 2 5 2 4" xfId="26671" xr:uid="{00000000-0005-0000-0000-0000669F0000}"/>
    <cellStyle name="Note 2 5 2 4 2" xfId="37969" xr:uid="{00000000-0005-0000-0000-0000679F0000}"/>
    <cellStyle name="Note 2 5 2 5" xfId="26672" xr:uid="{00000000-0005-0000-0000-0000689F0000}"/>
    <cellStyle name="Note 2 5 2 6" xfId="26673" xr:uid="{00000000-0005-0000-0000-0000699F0000}"/>
    <cellStyle name="Note 2 5 2 7" xfId="26674" xr:uid="{00000000-0005-0000-0000-00006A9F0000}"/>
    <cellStyle name="Note 2 5 3" xfId="1772" xr:uid="{00000000-0005-0000-0000-00006B9F0000}"/>
    <cellStyle name="Note 2 5 3 2" xfId="4073" xr:uid="{00000000-0005-0000-0000-00006C9F0000}"/>
    <cellStyle name="Note 2 5 3 2 2" xfId="14422" xr:uid="{00000000-0005-0000-0000-00006D9F0000}"/>
    <cellStyle name="Note 2 5 3 2 3" xfId="35500" xr:uid="{00000000-0005-0000-0000-00006E9F0000}"/>
    <cellStyle name="Note 2 5 3 2 4" xfId="10801" xr:uid="{00000000-0005-0000-0000-00006F9F0000}"/>
    <cellStyle name="Note 2 5 3 3" xfId="4946" xr:uid="{00000000-0005-0000-0000-0000709F0000}"/>
    <cellStyle name="Note 2 5 3 3 2" xfId="35903" xr:uid="{00000000-0005-0000-0000-0000719F0000}"/>
    <cellStyle name="Note 2 5 3 3 3" xfId="26675" xr:uid="{00000000-0005-0000-0000-0000729F0000}"/>
    <cellStyle name="Note 2 5 3 4" xfId="26676" xr:uid="{00000000-0005-0000-0000-0000739F0000}"/>
    <cellStyle name="Note 2 5 3 4 2" xfId="37970" xr:uid="{00000000-0005-0000-0000-0000749F0000}"/>
    <cellStyle name="Note 2 5 3 5" xfId="26677" xr:uid="{00000000-0005-0000-0000-0000759F0000}"/>
    <cellStyle name="Note 2 5 3 6" xfId="26678" xr:uid="{00000000-0005-0000-0000-0000769F0000}"/>
    <cellStyle name="Note 2 5 3 7" xfId="26679" xr:uid="{00000000-0005-0000-0000-0000779F0000}"/>
    <cellStyle name="Note 2 5 4" xfId="1773" xr:uid="{00000000-0005-0000-0000-0000789F0000}"/>
    <cellStyle name="Note 2 5 4 2" xfId="4074" xr:uid="{00000000-0005-0000-0000-0000799F0000}"/>
    <cellStyle name="Note 2 5 4 2 2" xfId="14423" xr:uid="{00000000-0005-0000-0000-00007A9F0000}"/>
    <cellStyle name="Note 2 5 4 2 3" xfId="35501" xr:uid="{00000000-0005-0000-0000-00007B9F0000}"/>
    <cellStyle name="Note 2 5 4 2 4" xfId="10802" xr:uid="{00000000-0005-0000-0000-00007C9F0000}"/>
    <cellStyle name="Note 2 5 4 3" xfId="4947" xr:uid="{00000000-0005-0000-0000-00007D9F0000}"/>
    <cellStyle name="Note 2 5 4 3 2" xfId="35904" xr:uid="{00000000-0005-0000-0000-00007E9F0000}"/>
    <cellStyle name="Note 2 5 4 3 3" xfId="26680" xr:uid="{00000000-0005-0000-0000-00007F9F0000}"/>
    <cellStyle name="Note 2 5 4 4" xfId="26681" xr:uid="{00000000-0005-0000-0000-0000809F0000}"/>
    <cellStyle name="Note 2 5 4 4 2" xfId="37971" xr:uid="{00000000-0005-0000-0000-0000819F0000}"/>
    <cellStyle name="Note 2 5 4 5" xfId="26682" xr:uid="{00000000-0005-0000-0000-0000829F0000}"/>
    <cellStyle name="Note 2 5 4 6" xfId="26683" xr:uid="{00000000-0005-0000-0000-0000839F0000}"/>
    <cellStyle name="Note 2 5 4 7" xfId="26684" xr:uid="{00000000-0005-0000-0000-0000849F0000}"/>
    <cellStyle name="Note 2 5 5" xfId="4071" xr:uid="{00000000-0005-0000-0000-0000859F0000}"/>
    <cellStyle name="Note 2 5 5 2" xfId="14420" xr:uid="{00000000-0005-0000-0000-0000869F0000}"/>
    <cellStyle name="Note 2 5 5 3" xfId="35498" xr:uid="{00000000-0005-0000-0000-0000879F0000}"/>
    <cellStyle name="Note 2 5 5 4" xfId="10799" xr:uid="{00000000-0005-0000-0000-0000889F0000}"/>
    <cellStyle name="Note 2 5 6" xfId="4944" xr:uid="{00000000-0005-0000-0000-0000899F0000}"/>
    <cellStyle name="Note 2 5 6 2" xfId="35901" xr:uid="{00000000-0005-0000-0000-00008A9F0000}"/>
    <cellStyle name="Note 2 5 6 3" xfId="26685" xr:uid="{00000000-0005-0000-0000-00008B9F0000}"/>
    <cellStyle name="Note 2 5 7" xfId="26686" xr:uid="{00000000-0005-0000-0000-00008C9F0000}"/>
    <cellStyle name="Note 2 5 7 2" xfId="37968" xr:uid="{00000000-0005-0000-0000-00008D9F0000}"/>
    <cellStyle name="Note 2 5 8" xfId="26687" xr:uid="{00000000-0005-0000-0000-00008E9F0000}"/>
    <cellStyle name="Note 2 5 9" xfId="26688" xr:uid="{00000000-0005-0000-0000-00008F9F0000}"/>
    <cellStyle name="Note 2 50" xfId="26689" xr:uid="{00000000-0005-0000-0000-0000909F0000}"/>
    <cellStyle name="Note 2 51" xfId="26690" xr:uid="{00000000-0005-0000-0000-0000919F0000}"/>
    <cellStyle name="Note 2 52" xfId="26691" xr:uid="{00000000-0005-0000-0000-0000929F0000}"/>
    <cellStyle name="Note 2 53" xfId="26692" xr:uid="{00000000-0005-0000-0000-0000939F0000}"/>
    <cellStyle name="Note 2 54" xfId="26693" xr:uid="{00000000-0005-0000-0000-0000949F0000}"/>
    <cellStyle name="Note 2 55" xfId="26694" xr:uid="{00000000-0005-0000-0000-0000959F0000}"/>
    <cellStyle name="Note 2 56" xfId="26695" xr:uid="{00000000-0005-0000-0000-0000969F0000}"/>
    <cellStyle name="Note 2 57" xfId="6605" xr:uid="{00000000-0005-0000-0000-0000979F0000}"/>
    <cellStyle name="Note 2 6" xfId="1774" xr:uid="{00000000-0005-0000-0000-0000989F0000}"/>
    <cellStyle name="Note 2 6 10" xfId="26696" xr:uid="{00000000-0005-0000-0000-0000999F0000}"/>
    <cellStyle name="Note 2 6 2" xfId="1775" xr:uid="{00000000-0005-0000-0000-00009A9F0000}"/>
    <cellStyle name="Note 2 6 2 2" xfId="4076" xr:uid="{00000000-0005-0000-0000-00009B9F0000}"/>
    <cellStyle name="Note 2 6 2 2 2" xfId="14425" xr:uid="{00000000-0005-0000-0000-00009C9F0000}"/>
    <cellStyle name="Note 2 6 2 2 3" xfId="35503" xr:uid="{00000000-0005-0000-0000-00009D9F0000}"/>
    <cellStyle name="Note 2 6 2 2 4" xfId="10804" xr:uid="{00000000-0005-0000-0000-00009E9F0000}"/>
    <cellStyle name="Note 2 6 2 3" xfId="4949" xr:uid="{00000000-0005-0000-0000-00009F9F0000}"/>
    <cellStyle name="Note 2 6 2 3 2" xfId="35906" xr:uid="{00000000-0005-0000-0000-0000A09F0000}"/>
    <cellStyle name="Note 2 6 2 3 3" xfId="26697" xr:uid="{00000000-0005-0000-0000-0000A19F0000}"/>
    <cellStyle name="Note 2 6 2 4" xfId="26698" xr:uid="{00000000-0005-0000-0000-0000A29F0000}"/>
    <cellStyle name="Note 2 6 2 4 2" xfId="37973" xr:uid="{00000000-0005-0000-0000-0000A39F0000}"/>
    <cellStyle name="Note 2 6 2 5" xfId="26699" xr:uid="{00000000-0005-0000-0000-0000A49F0000}"/>
    <cellStyle name="Note 2 6 2 6" xfId="26700" xr:uid="{00000000-0005-0000-0000-0000A59F0000}"/>
    <cellStyle name="Note 2 6 2 7" xfId="26701" xr:uid="{00000000-0005-0000-0000-0000A69F0000}"/>
    <cellStyle name="Note 2 6 3" xfId="1776" xr:uid="{00000000-0005-0000-0000-0000A79F0000}"/>
    <cellStyle name="Note 2 6 3 2" xfId="4077" xr:uid="{00000000-0005-0000-0000-0000A89F0000}"/>
    <cellStyle name="Note 2 6 3 2 2" xfId="14426" xr:uid="{00000000-0005-0000-0000-0000A99F0000}"/>
    <cellStyle name="Note 2 6 3 2 3" xfId="35504" xr:uid="{00000000-0005-0000-0000-0000AA9F0000}"/>
    <cellStyle name="Note 2 6 3 2 4" xfId="10805" xr:uid="{00000000-0005-0000-0000-0000AB9F0000}"/>
    <cellStyle name="Note 2 6 3 3" xfId="4950" xr:uid="{00000000-0005-0000-0000-0000AC9F0000}"/>
    <cellStyle name="Note 2 6 3 3 2" xfId="35907" xr:uid="{00000000-0005-0000-0000-0000AD9F0000}"/>
    <cellStyle name="Note 2 6 3 3 3" xfId="26702" xr:uid="{00000000-0005-0000-0000-0000AE9F0000}"/>
    <cellStyle name="Note 2 6 3 4" xfId="26703" xr:uid="{00000000-0005-0000-0000-0000AF9F0000}"/>
    <cellStyle name="Note 2 6 3 4 2" xfId="37974" xr:uid="{00000000-0005-0000-0000-0000B09F0000}"/>
    <cellStyle name="Note 2 6 3 5" xfId="26704" xr:uid="{00000000-0005-0000-0000-0000B19F0000}"/>
    <cellStyle name="Note 2 6 3 6" xfId="26705" xr:uid="{00000000-0005-0000-0000-0000B29F0000}"/>
    <cellStyle name="Note 2 6 3 7" xfId="26706" xr:uid="{00000000-0005-0000-0000-0000B39F0000}"/>
    <cellStyle name="Note 2 6 4" xfId="1777" xr:uid="{00000000-0005-0000-0000-0000B49F0000}"/>
    <cellStyle name="Note 2 6 4 2" xfId="4078" xr:uid="{00000000-0005-0000-0000-0000B59F0000}"/>
    <cellStyle name="Note 2 6 4 2 2" xfId="14427" xr:uid="{00000000-0005-0000-0000-0000B69F0000}"/>
    <cellStyle name="Note 2 6 4 2 3" xfId="35505" xr:uid="{00000000-0005-0000-0000-0000B79F0000}"/>
    <cellStyle name="Note 2 6 4 2 4" xfId="10806" xr:uid="{00000000-0005-0000-0000-0000B89F0000}"/>
    <cellStyle name="Note 2 6 4 3" xfId="4951" xr:uid="{00000000-0005-0000-0000-0000B99F0000}"/>
    <cellStyle name="Note 2 6 4 3 2" xfId="35908" xr:uid="{00000000-0005-0000-0000-0000BA9F0000}"/>
    <cellStyle name="Note 2 6 4 3 3" xfId="26707" xr:uid="{00000000-0005-0000-0000-0000BB9F0000}"/>
    <cellStyle name="Note 2 6 4 4" xfId="26708" xr:uid="{00000000-0005-0000-0000-0000BC9F0000}"/>
    <cellStyle name="Note 2 6 4 4 2" xfId="37975" xr:uid="{00000000-0005-0000-0000-0000BD9F0000}"/>
    <cellStyle name="Note 2 6 4 5" xfId="26709" xr:uid="{00000000-0005-0000-0000-0000BE9F0000}"/>
    <cellStyle name="Note 2 6 4 6" xfId="26710" xr:uid="{00000000-0005-0000-0000-0000BF9F0000}"/>
    <cellStyle name="Note 2 6 4 7" xfId="26711" xr:uid="{00000000-0005-0000-0000-0000C09F0000}"/>
    <cellStyle name="Note 2 6 5" xfId="4075" xr:uid="{00000000-0005-0000-0000-0000C19F0000}"/>
    <cellStyle name="Note 2 6 5 2" xfId="14424" xr:uid="{00000000-0005-0000-0000-0000C29F0000}"/>
    <cellStyle name="Note 2 6 5 3" xfId="35502" xr:uid="{00000000-0005-0000-0000-0000C39F0000}"/>
    <cellStyle name="Note 2 6 5 4" xfId="10803" xr:uid="{00000000-0005-0000-0000-0000C49F0000}"/>
    <cellStyle name="Note 2 6 6" xfId="4948" xr:uid="{00000000-0005-0000-0000-0000C59F0000}"/>
    <cellStyle name="Note 2 6 6 2" xfId="35905" xr:uid="{00000000-0005-0000-0000-0000C69F0000}"/>
    <cellStyle name="Note 2 6 6 3" xfId="26712" xr:uid="{00000000-0005-0000-0000-0000C79F0000}"/>
    <cellStyle name="Note 2 6 7" xfId="26713" xr:uid="{00000000-0005-0000-0000-0000C89F0000}"/>
    <cellStyle name="Note 2 6 7 2" xfId="37972" xr:uid="{00000000-0005-0000-0000-0000C99F0000}"/>
    <cellStyle name="Note 2 6 8" xfId="26714" xr:uid="{00000000-0005-0000-0000-0000CA9F0000}"/>
    <cellStyle name="Note 2 6 9" xfId="26715" xr:uid="{00000000-0005-0000-0000-0000CB9F0000}"/>
    <cellStyle name="Note 2 7" xfId="1778" xr:uid="{00000000-0005-0000-0000-0000CC9F0000}"/>
    <cellStyle name="Note 2 7 10" xfId="26716" xr:uid="{00000000-0005-0000-0000-0000CD9F0000}"/>
    <cellStyle name="Note 2 7 2" xfId="1779" xr:uid="{00000000-0005-0000-0000-0000CE9F0000}"/>
    <cellStyle name="Note 2 7 2 2" xfId="4080" xr:uid="{00000000-0005-0000-0000-0000CF9F0000}"/>
    <cellStyle name="Note 2 7 2 2 2" xfId="14429" xr:uid="{00000000-0005-0000-0000-0000D09F0000}"/>
    <cellStyle name="Note 2 7 2 2 3" xfId="35507" xr:uid="{00000000-0005-0000-0000-0000D19F0000}"/>
    <cellStyle name="Note 2 7 2 2 4" xfId="10808" xr:uid="{00000000-0005-0000-0000-0000D29F0000}"/>
    <cellStyle name="Note 2 7 2 3" xfId="4953" xr:uid="{00000000-0005-0000-0000-0000D39F0000}"/>
    <cellStyle name="Note 2 7 2 3 2" xfId="35910" xr:uid="{00000000-0005-0000-0000-0000D49F0000}"/>
    <cellStyle name="Note 2 7 2 3 3" xfId="26717" xr:uid="{00000000-0005-0000-0000-0000D59F0000}"/>
    <cellStyle name="Note 2 7 2 4" xfId="26718" xr:uid="{00000000-0005-0000-0000-0000D69F0000}"/>
    <cellStyle name="Note 2 7 2 4 2" xfId="37977" xr:uid="{00000000-0005-0000-0000-0000D79F0000}"/>
    <cellStyle name="Note 2 7 2 5" xfId="26719" xr:uid="{00000000-0005-0000-0000-0000D89F0000}"/>
    <cellStyle name="Note 2 7 2 6" xfId="26720" xr:uid="{00000000-0005-0000-0000-0000D99F0000}"/>
    <cellStyle name="Note 2 7 2 7" xfId="26721" xr:uid="{00000000-0005-0000-0000-0000DA9F0000}"/>
    <cellStyle name="Note 2 7 3" xfId="1780" xr:uid="{00000000-0005-0000-0000-0000DB9F0000}"/>
    <cellStyle name="Note 2 7 3 2" xfId="4081" xr:uid="{00000000-0005-0000-0000-0000DC9F0000}"/>
    <cellStyle name="Note 2 7 3 2 2" xfId="14430" xr:uid="{00000000-0005-0000-0000-0000DD9F0000}"/>
    <cellStyle name="Note 2 7 3 2 3" xfId="35508" xr:uid="{00000000-0005-0000-0000-0000DE9F0000}"/>
    <cellStyle name="Note 2 7 3 2 4" xfId="10809" xr:uid="{00000000-0005-0000-0000-0000DF9F0000}"/>
    <cellStyle name="Note 2 7 3 3" xfId="4954" xr:uid="{00000000-0005-0000-0000-0000E09F0000}"/>
    <cellStyle name="Note 2 7 3 3 2" xfId="35911" xr:uid="{00000000-0005-0000-0000-0000E19F0000}"/>
    <cellStyle name="Note 2 7 3 3 3" xfId="26722" xr:uid="{00000000-0005-0000-0000-0000E29F0000}"/>
    <cellStyle name="Note 2 7 3 4" xfId="26723" xr:uid="{00000000-0005-0000-0000-0000E39F0000}"/>
    <cellStyle name="Note 2 7 3 4 2" xfId="37978" xr:uid="{00000000-0005-0000-0000-0000E49F0000}"/>
    <cellStyle name="Note 2 7 3 5" xfId="26724" xr:uid="{00000000-0005-0000-0000-0000E59F0000}"/>
    <cellStyle name="Note 2 7 3 6" xfId="26725" xr:uid="{00000000-0005-0000-0000-0000E69F0000}"/>
    <cellStyle name="Note 2 7 3 7" xfId="26726" xr:uid="{00000000-0005-0000-0000-0000E79F0000}"/>
    <cellStyle name="Note 2 7 4" xfId="1781" xr:uid="{00000000-0005-0000-0000-0000E89F0000}"/>
    <cellStyle name="Note 2 7 4 2" xfId="4082" xr:uid="{00000000-0005-0000-0000-0000E99F0000}"/>
    <cellStyle name="Note 2 7 4 2 2" xfId="14431" xr:uid="{00000000-0005-0000-0000-0000EA9F0000}"/>
    <cellStyle name="Note 2 7 4 2 3" xfId="35509" xr:uid="{00000000-0005-0000-0000-0000EB9F0000}"/>
    <cellStyle name="Note 2 7 4 2 4" xfId="10810" xr:uid="{00000000-0005-0000-0000-0000EC9F0000}"/>
    <cellStyle name="Note 2 7 4 3" xfId="4955" xr:uid="{00000000-0005-0000-0000-0000ED9F0000}"/>
    <cellStyle name="Note 2 7 4 3 2" xfId="35912" xr:uid="{00000000-0005-0000-0000-0000EE9F0000}"/>
    <cellStyle name="Note 2 7 4 3 3" xfId="26727" xr:uid="{00000000-0005-0000-0000-0000EF9F0000}"/>
    <cellStyle name="Note 2 7 4 4" xfId="26728" xr:uid="{00000000-0005-0000-0000-0000F09F0000}"/>
    <cellStyle name="Note 2 7 4 4 2" xfId="37979" xr:uid="{00000000-0005-0000-0000-0000F19F0000}"/>
    <cellStyle name="Note 2 7 4 5" xfId="26729" xr:uid="{00000000-0005-0000-0000-0000F29F0000}"/>
    <cellStyle name="Note 2 7 4 6" xfId="26730" xr:uid="{00000000-0005-0000-0000-0000F39F0000}"/>
    <cellStyle name="Note 2 7 4 7" xfId="26731" xr:uid="{00000000-0005-0000-0000-0000F49F0000}"/>
    <cellStyle name="Note 2 7 5" xfId="4079" xr:uid="{00000000-0005-0000-0000-0000F59F0000}"/>
    <cellStyle name="Note 2 7 5 2" xfId="14428" xr:uid="{00000000-0005-0000-0000-0000F69F0000}"/>
    <cellStyle name="Note 2 7 5 3" xfId="35506" xr:uid="{00000000-0005-0000-0000-0000F79F0000}"/>
    <cellStyle name="Note 2 7 5 4" xfId="10807" xr:uid="{00000000-0005-0000-0000-0000F89F0000}"/>
    <cellStyle name="Note 2 7 6" xfId="4952" xr:uid="{00000000-0005-0000-0000-0000F99F0000}"/>
    <cellStyle name="Note 2 7 6 2" xfId="35909" xr:uid="{00000000-0005-0000-0000-0000FA9F0000}"/>
    <cellStyle name="Note 2 7 6 3" xfId="26732" xr:uid="{00000000-0005-0000-0000-0000FB9F0000}"/>
    <cellStyle name="Note 2 7 7" xfId="26733" xr:uid="{00000000-0005-0000-0000-0000FC9F0000}"/>
    <cellStyle name="Note 2 7 7 2" xfId="37976" xr:uid="{00000000-0005-0000-0000-0000FD9F0000}"/>
    <cellStyle name="Note 2 7 8" xfId="26734" xr:uid="{00000000-0005-0000-0000-0000FE9F0000}"/>
    <cellStyle name="Note 2 7 9" xfId="26735" xr:uid="{00000000-0005-0000-0000-0000FF9F0000}"/>
    <cellStyle name="Note 2 8" xfId="1782" xr:uid="{00000000-0005-0000-0000-000000A00000}"/>
    <cellStyle name="Note 2 8 10" xfId="26736" xr:uid="{00000000-0005-0000-0000-000001A00000}"/>
    <cellStyle name="Note 2 8 2" xfId="1783" xr:uid="{00000000-0005-0000-0000-000002A00000}"/>
    <cellStyle name="Note 2 8 2 2" xfId="4084" xr:uid="{00000000-0005-0000-0000-000003A00000}"/>
    <cellStyle name="Note 2 8 2 2 2" xfId="14433" xr:uid="{00000000-0005-0000-0000-000004A00000}"/>
    <cellStyle name="Note 2 8 2 2 3" xfId="35511" xr:uid="{00000000-0005-0000-0000-000005A00000}"/>
    <cellStyle name="Note 2 8 2 2 4" xfId="10812" xr:uid="{00000000-0005-0000-0000-000006A00000}"/>
    <cellStyle name="Note 2 8 2 3" xfId="4957" xr:uid="{00000000-0005-0000-0000-000007A00000}"/>
    <cellStyle name="Note 2 8 2 3 2" xfId="35914" xr:uid="{00000000-0005-0000-0000-000008A00000}"/>
    <cellStyle name="Note 2 8 2 3 3" xfId="26737" xr:uid="{00000000-0005-0000-0000-000009A00000}"/>
    <cellStyle name="Note 2 8 2 4" xfId="26738" xr:uid="{00000000-0005-0000-0000-00000AA00000}"/>
    <cellStyle name="Note 2 8 2 4 2" xfId="37981" xr:uid="{00000000-0005-0000-0000-00000BA00000}"/>
    <cellStyle name="Note 2 8 2 5" xfId="26739" xr:uid="{00000000-0005-0000-0000-00000CA00000}"/>
    <cellStyle name="Note 2 8 2 6" xfId="26740" xr:uid="{00000000-0005-0000-0000-00000DA00000}"/>
    <cellStyle name="Note 2 8 2 7" xfId="26741" xr:uid="{00000000-0005-0000-0000-00000EA00000}"/>
    <cellStyle name="Note 2 8 3" xfId="1784" xr:uid="{00000000-0005-0000-0000-00000FA00000}"/>
    <cellStyle name="Note 2 8 3 2" xfId="4085" xr:uid="{00000000-0005-0000-0000-000010A00000}"/>
    <cellStyle name="Note 2 8 3 2 2" xfId="14434" xr:uid="{00000000-0005-0000-0000-000011A00000}"/>
    <cellStyle name="Note 2 8 3 2 3" xfId="35512" xr:uid="{00000000-0005-0000-0000-000012A00000}"/>
    <cellStyle name="Note 2 8 3 2 4" xfId="10813" xr:uid="{00000000-0005-0000-0000-000013A00000}"/>
    <cellStyle name="Note 2 8 3 3" xfId="4958" xr:uid="{00000000-0005-0000-0000-000014A00000}"/>
    <cellStyle name="Note 2 8 3 3 2" xfId="35915" xr:uid="{00000000-0005-0000-0000-000015A00000}"/>
    <cellStyle name="Note 2 8 3 3 3" xfId="26742" xr:uid="{00000000-0005-0000-0000-000016A00000}"/>
    <cellStyle name="Note 2 8 3 4" xfId="26743" xr:uid="{00000000-0005-0000-0000-000017A00000}"/>
    <cellStyle name="Note 2 8 3 4 2" xfId="37982" xr:uid="{00000000-0005-0000-0000-000018A00000}"/>
    <cellStyle name="Note 2 8 3 5" xfId="26744" xr:uid="{00000000-0005-0000-0000-000019A00000}"/>
    <cellStyle name="Note 2 8 3 6" xfId="26745" xr:uid="{00000000-0005-0000-0000-00001AA00000}"/>
    <cellStyle name="Note 2 8 3 7" xfId="26746" xr:uid="{00000000-0005-0000-0000-00001BA00000}"/>
    <cellStyle name="Note 2 8 4" xfId="1785" xr:uid="{00000000-0005-0000-0000-00001CA00000}"/>
    <cellStyle name="Note 2 8 4 2" xfId="4086" xr:uid="{00000000-0005-0000-0000-00001DA00000}"/>
    <cellStyle name="Note 2 8 4 2 2" xfId="14435" xr:uid="{00000000-0005-0000-0000-00001EA00000}"/>
    <cellStyle name="Note 2 8 4 2 3" xfId="35513" xr:uid="{00000000-0005-0000-0000-00001FA00000}"/>
    <cellStyle name="Note 2 8 4 2 4" xfId="10814" xr:uid="{00000000-0005-0000-0000-000020A00000}"/>
    <cellStyle name="Note 2 8 4 3" xfId="4959" xr:uid="{00000000-0005-0000-0000-000021A00000}"/>
    <cellStyle name="Note 2 8 4 3 2" xfId="35916" xr:uid="{00000000-0005-0000-0000-000022A00000}"/>
    <cellStyle name="Note 2 8 4 3 3" xfId="26747" xr:uid="{00000000-0005-0000-0000-000023A00000}"/>
    <cellStyle name="Note 2 8 4 4" xfId="26748" xr:uid="{00000000-0005-0000-0000-000024A00000}"/>
    <cellStyle name="Note 2 8 4 4 2" xfId="37983" xr:uid="{00000000-0005-0000-0000-000025A00000}"/>
    <cellStyle name="Note 2 8 4 5" xfId="26749" xr:uid="{00000000-0005-0000-0000-000026A00000}"/>
    <cellStyle name="Note 2 8 4 6" xfId="26750" xr:uid="{00000000-0005-0000-0000-000027A00000}"/>
    <cellStyle name="Note 2 8 4 7" xfId="26751" xr:uid="{00000000-0005-0000-0000-000028A00000}"/>
    <cellStyle name="Note 2 8 5" xfId="4083" xr:uid="{00000000-0005-0000-0000-000029A00000}"/>
    <cellStyle name="Note 2 8 5 2" xfId="14432" xr:uid="{00000000-0005-0000-0000-00002AA00000}"/>
    <cellStyle name="Note 2 8 5 3" xfId="35510" xr:uid="{00000000-0005-0000-0000-00002BA00000}"/>
    <cellStyle name="Note 2 8 5 4" xfId="10811" xr:uid="{00000000-0005-0000-0000-00002CA00000}"/>
    <cellStyle name="Note 2 8 6" xfId="4956" xr:uid="{00000000-0005-0000-0000-00002DA00000}"/>
    <cellStyle name="Note 2 8 6 2" xfId="35913" xr:uid="{00000000-0005-0000-0000-00002EA00000}"/>
    <cellStyle name="Note 2 8 6 3" xfId="26752" xr:uid="{00000000-0005-0000-0000-00002FA00000}"/>
    <cellStyle name="Note 2 8 7" xfId="26753" xr:uid="{00000000-0005-0000-0000-000030A00000}"/>
    <cellStyle name="Note 2 8 7 2" xfId="37980" xr:uid="{00000000-0005-0000-0000-000031A00000}"/>
    <cellStyle name="Note 2 8 8" xfId="26754" xr:uid="{00000000-0005-0000-0000-000032A00000}"/>
    <cellStyle name="Note 2 8 9" xfId="26755" xr:uid="{00000000-0005-0000-0000-000033A00000}"/>
    <cellStyle name="Note 2 9" xfId="1786" xr:uid="{00000000-0005-0000-0000-000034A00000}"/>
    <cellStyle name="Note 2 9 10" xfId="26756" xr:uid="{00000000-0005-0000-0000-000035A00000}"/>
    <cellStyle name="Note 2 9 2" xfId="1787" xr:uid="{00000000-0005-0000-0000-000036A00000}"/>
    <cellStyle name="Note 2 9 2 2" xfId="4088" xr:uid="{00000000-0005-0000-0000-000037A00000}"/>
    <cellStyle name="Note 2 9 2 2 2" xfId="14437" xr:uid="{00000000-0005-0000-0000-000038A00000}"/>
    <cellStyle name="Note 2 9 2 2 3" xfId="35515" xr:uid="{00000000-0005-0000-0000-000039A00000}"/>
    <cellStyle name="Note 2 9 2 2 4" xfId="10816" xr:uid="{00000000-0005-0000-0000-00003AA00000}"/>
    <cellStyle name="Note 2 9 2 3" xfId="4961" xr:uid="{00000000-0005-0000-0000-00003BA00000}"/>
    <cellStyle name="Note 2 9 2 3 2" xfId="35918" xr:uid="{00000000-0005-0000-0000-00003CA00000}"/>
    <cellStyle name="Note 2 9 2 3 3" xfId="26757" xr:uid="{00000000-0005-0000-0000-00003DA00000}"/>
    <cellStyle name="Note 2 9 2 4" xfId="26758" xr:uid="{00000000-0005-0000-0000-00003EA00000}"/>
    <cellStyle name="Note 2 9 2 4 2" xfId="37985" xr:uid="{00000000-0005-0000-0000-00003FA00000}"/>
    <cellStyle name="Note 2 9 2 5" xfId="26759" xr:uid="{00000000-0005-0000-0000-000040A00000}"/>
    <cellStyle name="Note 2 9 2 6" xfId="26760" xr:uid="{00000000-0005-0000-0000-000041A00000}"/>
    <cellStyle name="Note 2 9 2 7" xfId="26761" xr:uid="{00000000-0005-0000-0000-000042A00000}"/>
    <cellStyle name="Note 2 9 3" xfId="1788" xr:uid="{00000000-0005-0000-0000-000043A00000}"/>
    <cellStyle name="Note 2 9 3 2" xfId="4089" xr:uid="{00000000-0005-0000-0000-000044A00000}"/>
    <cellStyle name="Note 2 9 3 2 2" xfId="14438" xr:uid="{00000000-0005-0000-0000-000045A00000}"/>
    <cellStyle name="Note 2 9 3 2 3" xfId="35516" xr:uid="{00000000-0005-0000-0000-000046A00000}"/>
    <cellStyle name="Note 2 9 3 2 4" xfId="10817" xr:uid="{00000000-0005-0000-0000-000047A00000}"/>
    <cellStyle name="Note 2 9 3 3" xfId="4962" xr:uid="{00000000-0005-0000-0000-000048A00000}"/>
    <cellStyle name="Note 2 9 3 3 2" xfId="35919" xr:uid="{00000000-0005-0000-0000-000049A00000}"/>
    <cellStyle name="Note 2 9 3 3 3" xfId="26762" xr:uid="{00000000-0005-0000-0000-00004AA00000}"/>
    <cellStyle name="Note 2 9 3 4" xfId="26763" xr:uid="{00000000-0005-0000-0000-00004BA00000}"/>
    <cellStyle name="Note 2 9 3 4 2" xfId="37986" xr:uid="{00000000-0005-0000-0000-00004CA00000}"/>
    <cellStyle name="Note 2 9 3 5" xfId="26764" xr:uid="{00000000-0005-0000-0000-00004DA00000}"/>
    <cellStyle name="Note 2 9 3 6" xfId="26765" xr:uid="{00000000-0005-0000-0000-00004EA00000}"/>
    <cellStyle name="Note 2 9 3 7" xfId="26766" xr:uid="{00000000-0005-0000-0000-00004FA00000}"/>
    <cellStyle name="Note 2 9 4" xfId="1789" xr:uid="{00000000-0005-0000-0000-000050A00000}"/>
    <cellStyle name="Note 2 9 4 2" xfId="4090" xr:uid="{00000000-0005-0000-0000-000051A00000}"/>
    <cellStyle name="Note 2 9 4 2 2" xfId="14439" xr:uid="{00000000-0005-0000-0000-000052A00000}"/>
    <cellStyle name="Note 2 9 4 2 3" xfId="35517" xr:uid="{00000000-0005-0000-0000-000053A00000}"/>
    <cellStyle name="Note 2 9 4 2 4" xfId="10818" xr:uid="{00000000-0005-0000-0000-000054A00000}"/>
    <cellStyle name="Note 2 9 4 3" xfId="4963" xr:uid="{00000000-0005-0000-0000-000055A00000}"/>
    <cellStyle name="Note 2 9 4 3 2" xfId="35920" xr:uid="{00000000-0005-0000-0000-000056A00000}"/>
    <cellStyle name="Note 2 9 4 3 3" xfId="26767" xr:uid="{00000000-0005-0000-0000-000057A00000}"/>
    <cellStyle name="Note 2 9 4 4" xfId="26768" xr:uid="{00000000-0005-0000-0000-000058A00000}"/>
    <cellStyle name="Note 2 9 4 4 2" xfId="37987" xr:uid="{00000000-0005-0000-0000-000059A00000}"/>
    <cellStyle name="Note 2 9 4 5" xfId="26769" xr:uid="{00000000-0005-0000-0000-00005AA00000}"/>
    <cellStyle name="Note 2 9 4 6" xfId="26770" xr:uid="{00000000-0005-0000-0000-00005BA00000}"/>
    <cellStyle name="Note 2 9 4 7" xfId="26771" xr:uid="{00000000-0005-0000-0000-00005CA00000}"/>
    <cellStyle name="Note 2 9 5" xfId="4087" xr:uid="{00000000-0005-0000-0000-00005DA00000}"/>
    <cellStyle name="Note 2 9 5 2" xfId="14436" xr:uid="{00000000-0005-0000-0000-00005EA00000}"/>
    <cellStyle name="Note 2 9 5 3" xfId="35514" xr:uid="{00000000-0005-0000-0000-00005FA00000}"/>
    <cellStyle name="Note 2 9 5 4" xfId="10815" xr:uid="{00000000-0005-0000-0000-000060A00000}"/>
    <cellStyle name="Note 2 9 6" xfId="4960" xr:uid="{00000000-0005-0000-0000-000061A00000}"/>
    <cellStyle name="Note 2 9 6 2" xfId="35917" xr:uid="{00000000-0005-0000-0000-000062A00000}"/>
    <cellStyle name="Note 2 9 6 3" xfId="26772" xr:uid="{00000000-0005-0000-0000-000063A00000}"/>
    <cellStyle name="Note 2 9 7" xfId="26773" xr:uid="{00000000-0005-0000-0000-000064A00000}"/>
    <cellStyle name="Note 2 9 7 2" xfId="37984" xr:uid="{00000000-0005-0000-0000-000065A00000}"/>
    <cellStyle name="Note 2 9 8" xfId="26774" xr:uid="{00000000-0005-0000-0000-000066A00000}"/>
    <cellStyle name="Note 2 9 9" xfId="26775" xr:uid="{00000000-0005-0000-0000-000067A00000}"/>
    <cellStyle name="Note 2_IND_UC" xfId="6606" xr:uid="{00000000-0005-0000-0000-000068A00000}"/>
    <cellStyle name="Note 20" xfId="1790" xr:uid="{00000000-0005-0000-0000-000069A00000}"/>
    <cellStyle name="Note 20 2" xfId="1791" xr:uid="{00000000-0005-0000-0000-00006AA00000}"/>
    <cellStyle name="Note 20 2 2" xfId="4092" xr:uid="{00000000-0005-0000-0000-00006BA00000}"/>
    <cellStyle name="Note 20 2 2 2" xfId="14441" xr:uid="{00000000-0005-0000-0000-00006CA00000}"/>
    <cellStyle name="Note 20 2 2 3" xfId="35519" xr:uid="{00000000-0005-0000-0000-00006DA00000}"/>
    <cellStyle name="Note 20 2 2 4" xfId="10820" xr:uid="{00000000-0005-0000-0000-00006EA00000}"/>
    <cellStyle name="Note 20 2 3" xfId="4964" xr:uid="{00000000-0005-0000-0000-00006FA00000}"/>
    <cellStyle name="Note 20 2 3 2" xfId="35921" xr:uid="{00000000-0005-0000-0000-000070A00000}"/>
    <cellStyle name="Note 20 2 3 3" xfId="26776" xr:uid="{00000000-0005-0000-0000-000071A00000}"/>
    <cellStyle name="Note 20 2 4" xfId="26777" xr:uid="{00000000-0005-0000-0000-000072A00000}"/>
    <cellStyle name="Note 20 2 4 2" xfId="37988" xr:uid="{00000000-0005-0000-0000-000073A00000}"/>
    <cellStyle name="Note 20 2 5" xfId="26778" xr:uid="{00000000-0005-0000-0000-000074A00000}"/>
    <cellStyle name="Note 20 2 6" xfId="26779" xr:uid="{00000000-0005-0000-0000-000075A00000}"/>
    <cellStyle name="Note 20 2 7" xfId="26780" xr:uid="{00000000-0005-0000-0000-000076A00000}"/>
    <cellStyle name="Note 20 3" xfId="1792" xr:uid="{00000000-0005-0000-0000-000077A00000}"/>
    <cellStyle name="Note 20 3 2" xfId="10821" xr:uid="{00000000-0005-0000-0000-000078A00000}"/>
    <cellStyle name="Note 20 3 2 2" xfId="14442" xr:uid="{00000000-0005-0000-0000-000079A00000}"/>
    <cellStyle name="Note 20 3 3" xfId="26781" xr:uid="{00000000-0005-0000-0000-00007AA00000}"/>
    <cellStyle name="Note 20 3 4" xfId="26782" xr:uid="{00000000-0005-0000-0000-00007BA00000}"/>
    <cellStyle name="Note 20 3 5" xfId="26783" xr:uid="{00000000-0005-0000-0000-00007CA00000}"/>
    <cellStyle name="Note 20 3 6" xfId="26784" xr:uid="{00000000-0005-0000-0000-00007DA00000}"/>
    <cellStyle name="Note 20 3 7" xfId="26785" xr:uid="{00000000-0005-0000-0000-00007EA00000}"/>
    <cellStyle name="Note 20 4" xfId="4091" xr:uid="{00000000-0005-0000-0000-00007FA00000}"/>
    <cellStyle name="Note 20 4 2" xfId="14440" xr:uid="{00000000-0005-0000-0000-000080A00000}"/>
    <cellStyle name="Note 20 4 3" xfId="35518" xr:uid="{00000000-0005-0000-0000-000081A00000}"/>
    <cellStyle name="Note 20 4 4" xfId="10819" xr:uid="{00000000-0005-0000-0000-000082A00000}"/>
    <cellStyle name="Note 20 5" xfId="26786" xr:uid="{00000000-0005-0000-0000-000083A00000}"/>
    <cellStyle name="Note 20 5 2" xfId="39223" xr:uid="{00000000-0005-0000-0000-000084A00000}"/>
    <cellStyle name="Note 20 6" xfId="26787" xr:uid="{00000000-0005-0000-0000-000085A00000}"/>
    <cellStyle name="Note 20 7" xfId="26788" xr:uid="{00000000-0005-0000-0000-000086A00000}"/>
    <cellStyle name="Note 20 8" xfId="26789" xr:uid="{00000000-0005-0000-0000-000087A00000}"/>
    <cellStyle name="Note 20 9" xfId="26790" xr:uid="{00000000-0005-0000-0000-000088A00000}"/>
    <cellStyle name="Note 21" xfId="1793" xr:uid="{00000000-0005-0000-0000-000089A00000}"/>
    <cellStyle name="Note 21 2" xfId="4094" xr:uid="{00000000-0005-0000-0000-00008AA00000}"/>
    <cellStyle name="Note 21 2 2" xfId="5562" xr:uid="{00000000-0005-0000-0000-00008BA00000}"/>
    <cellStyle name="Note 21 2 2 2" xfId="14444" xr:uid="{00000000-0005-0000-0000-00008CA00000}"/>
    <cellStyle name="Note 21 2 2 3" xfId="36146" xr:uid="{00000000-0005-0000-0000-00008DA00000}"/>
    <cellStyle name="Note 21 2 2 4" xfId="10823" xr:uid="{00000000-0005-0000-0000-00008EA00000}"/>
    <cellStyle name="Note 21 2 3" xfId="26791" xr:uid="{00000000-0005-0000-0000-00008FA00000}"/>
    <cellStyle name="Note 21 2 3 2" xfId="38559" xr:uid="{00000000-0005-0000-0000-000090A00000}"/>
    <cellStyle name="Note 21 2 4" xfId="26792" xr:uid="{00000000-0005-0000-0000-000091A00000}"/>
    <cellStyle name="Note 21 2 5" xfId="26793" xr:uid="{00000000-0005-0000-0000-000092A00000}"/>
    <cellStyle name="Note 21 2 6" xfId="26794" xr:uid="{00000000-0005-0000-0000-000093A00000}"/>
    <cellStyle name="Note 21 3" xfId="4093" xr:uid="{00000000-0005-0000-0000-000094A00000}"/>
    <cellStyle name="Note 21 3 2" xfId="14443" xr:uid="{00000000-0005-0000-0000-000095A00000}"/>
    <cellStyle name="Note 21 3 3" xfId="35520" xr:uid="{00000000-0005-0000-0000-000096A00000}"/>
    <cellStyle name="Note 21 3 4" xfId="10822" xr:uid="{00000000-0005-0000-0000-000097A00000}"/>
    <cellStyle name="Note 21 4" xfId="4965" xr:uid="{00000000-0005-0000-0000-000098A00000}"/>
    <cellStyle name="Note 21 4 2" xfId="35922" xr:uid="{00000000-0005-0000-0000-000099A00000}"/>
    <cellStyle name="Note 21 4 3" xfId="26795" xr:uid="{00000000-0005-0000-0000-00009AA00000}"/>
    <cellStyle name="Note 21 5" xfId="26796" xr:uid="{00000000-0005-0000-0000-00009BA00000}"/>
    <cellStyle name="Note 21 5 2" xfId="37989" xr:uid="{00000000-0005-0000-0000-00009CA00000}"/>
    <cellStyle name="Note 21 6" xfId="26797" xr:uid="{00000000-0005-0000-0000-00009DA00000}"/>
    <cellStyle name="Note 21 7" xfId="26798" xr:uid="{00000000-0005-0000-0000-00009EA00000}"/>
    <cellStyle name="Note 21 8" xfId="26799" xr:uid="{00000000-0005-0000-0000-00009FA00000}"/>
    <cellStyle name="Note 22" xfId="1794" xr:uid="{00000000-0005-0000-0000-0000A0A00000}"/>
    <cellStyle name="Note 22 2" xfId="4096" xr:uid="{00000000-0005-0000-0000-0000A1A00000}"/>
    <cellStyle name="Note 22 2 2" xfId="5563" xr:uid="{00000000-0005-0000-0000-0000A2A00000}"/>
    <cellStyle name="Note 22 2 2 2" xfId="14446" xr:uid="{00000000-0005-0000-0000-0000A3A00000}"/>
    <cellStyle name="Note 22 2 2 3" xfId="36147" xr:uid="{00000000-0005-0000-0000-0000A4A00000}"/>
    <cellStyle name="Note 22 2 2 4" xfId="10825" xr:uid="{00000000-0005-0000-0000-0000A5A00000}"/>
    <cellStyle name="Note 22 2 3" xfId="26800" xr:uid="{00000000-0005-0000-0000-0000A6A00000}"/>
    <cellStyle name="Note 22 2 3 2" xfId="38560" xr:uid="{00000000-0005-0000-0000-0000A7A00000}"/>
    <cellStyle name="Note 22 2 4" xfId="26801" xr:uid="{00000000-0005-0000-0000-0000A8A00000}"/>
    <cellStyle name="Note 22 2 5" xfId="26802" xr:uid="{00000000-0005-0000-0000-0000A9A00000}"/>
    <cellStyle name="Note 22 2 6" xfId="26803" xr:uid="{00000000-0005-0000-0000-0000AAA00000}"/>
    <cellStyle name="Note 22 3" xfId="4095" xr:uid="{00000000-0005-0000-0000-0000ABA00000}"/>
    <cellStyle name="Note 22 3 2" xfId="14445" xr:uid="{00000000-0005-0000-0000-0000ACA00000}"/>
    <cellStyle name="Note 22 3 3" xfId="35521" xr:uid="{00000000-0005-0000-0000-0000ADA00000}"/>
    <cellStyle name="Note 22 3 4" xfId="10824" xr:uid="{00000000-0005-0000-0000-0000AEA00000}"/>
    <cellStyle name="Note 22 4" xfId="4966" xr:uid="{00000000-0005-0000-0000-0000AFA00000}"/>
    <cellStyle name="Note 22 4 2" xfId="35923" xr:uid="{00000000-0005-0000-0000-0000B0A00000}"/>
    <cellStyle name="Note 22 4 3" xfId="26804" xr:uid="{00000000-0005-0000-0000-0000B1A00000}"/>
    <cellStyle name="Note 22 5" xfId="26805" xr:uid="{00000000-0005-0000-0000-0000B2A00000}"/>
    <cellStyle name="Note 22 5 2" xfId="37990" xr:uid="{00000000-0005-0000-0000-0000B3A00000}"/>
    <cellStyle name="Note 22 6" xfId="26806" xr:uid="{00000000-0005-0000-0000-0000B4A00000}"/>
    <cellStyle name="Note 22 7" xfId="26807" xr:uid="{00000000-0005-0000-0000-0000B5A00000}"/>
    <cellStyle name="Note 22 8" xfId="26808" xr:uid="{00000000-0005-0000-0000-0000B6A00000}"/>
    <cellStyle name="Note 23" xfId="1795" xr:uid="{00000000-0005-0000-0000-0000B7A00000}"/>
    <cellStyle name="Note 23 2" xfId="4098" xr:uid="{00000000-0005-0000-0000-0000B8A00000}"/>
    <cellStyle name="Note 23 2 2" xfId="5564" xr:uid="{00000000-0005-0000-0000-0000B9A00000}"/>
    <cellStyle name="Note 23 2 2 2" xfId="14448" xr:uid="{00000000-0005-0000-0000-0000BAA00000}"/>
    <cellStyle name="Note 23 2 2 3" xfId="36148" xr:uid="{00000000-0005-0000-0000-0000BBA00000}"/>
    <cellStyle name="Note 23 2 2 4" xfId="10827" xr:uid="{00000000-0005-0000-0000-0000BCA00000}"/>
    <cellStyle name="Note 23 2 3" xfId="26809" xr:uid="{00000000-0005-0000-0000-0000BDA00000}"/>
    <cellStyle name="Note 23 2 3 2" xfId="38561" xr:uid="{00000000-0005-0000-0000-0000BEA00000}"/>
    <cellStyle name="Note 23 2 4" xfId="26810" xr:uid="{00000000-0005-0000-0000-0000BFA00000}"/>
    <cellStyle name="Note 23 2 5" xfId="26811" xr:uid="{00000000-0005-0000-0000-0000C0A00000}"/>
    <cellStyle name="Note 23 2 6" xfId="26812" xr:uid="{00000000-0005-0000-0000-0000C1A00000}"/>
    <cellStyle name="Note 23 3" xfId="4097" xr:uid="{00000000-0005-0000-0000-0000C2A00000}"/>
    <cellStyle name="Note 23 3 2" xfId="14447" xr:uid="{00000000-0005-0000-0000-0000C3A00000}"/>
    <cellStyle name="Note 23 3 3" xfId="35522" xr:uid="{00000000-0005-0000-0000-0000C4A00000}"/>
    <cellStyle name="Note 23 3 4" xfId="10826" xr:uid="{00000000-0005-0000-0000-0000C5A00000}"/>
    <cellStyle name="Note 23 4" xfId="4967" xr:uid="{00000000-0005-0000-0000-0000C6A00000}"/>
    <cellStyle name="Note 23 4 2" xfId="35924" xr:uid="{00000000-0005-0000-0000-0000C7A00000}"/>
    <cellStyle name="Note 23 4 3" xfId="26813" xr:uid="{00000000-0005-0000-0000-0000C8A00000}"/>
    <cellStyle name="Note 23 5" xfId="26814" xr:uid="{00000000-0005-0000-0000-0000C9A00000}"/>
    <cellStyle name="Note 23 5 2" xfId="37991" xr:uid="{00000000-0005-0000-0000-0000CAA00000}"/>
    <cellStyle name="Note 23 6" xfId="26815" xr:uid="{00000000-0005-0000-0000-0000CBA00000}"/>
    <cellStyle name="Note 23 7" xfId="26816" xr:uid="{00000000-0005-0000-0000-0000CCA00000}"/>
    <cellStyle name="Note 23 8" xfId="26817" xr:uid="{00000000-0005-0000-0000-0000CDA00000}"/>
    <cellStyle name="Note 24" xfId="1796" xr:uid="{00000000-0005-0000-0000-0000CEA00000}"/>
    <cellStyle name="Note 24 10" xfId="26818" xr:uid="{00000000-0005-0000-0000-0000CFA00000}"/>
    <cellStyle name="Note 24 2" xfId="1797" xr:uid="{00000000-0005-0000-0000-0000D0A00000}"/>
    <cellStyle name="Note 24 2 2" xfId="4100" xr:uid="{00000000-0005-0000-0000-0000D1A00000}"/>
    <cellStyle name="Note 24 2 2 2" xfId="14450" xr:uid="{00000000-0005-0000-0000-0000D2A00000}"/>
    <cellStyle name="Note 24 2 2 3" xfId="35524" xr:uid="{00000000-0005-0000-0000-0000D3A00000}"/>
    <cellStyle name="Note 24 2 2 4" xfId="10829" xr:uid="{00000000-0005-0000-0000-0000D4A00000}"/>
    <cellStyle name="Note 24 2 3" xfId="4969" xr:uid="{00000000-0005-0000-0000-0000D5A00000}"/>
    <cellStyle name="Note 24 2 3 2" xfId="35926" xr:uid="{00000000-0005-0000-0000-0000D6A00000}"/>
    <cellStyle name="Note 24 2 3 3" xfId="26819" xr:uid="{00000000-0005-0000-0000-0000D7A00000}"/>
    <cellStyle name="Note 24 2 4" xfId="26820" xr:uid="{00000000-0005-0000-0000-0000D8A00000}"/>
    <cellStyle name="Note 24 2 4 2" xfId="37993" xr:uid="{00000000-0005-0000-0000-0000D9A00000}"/>
    <cellStyle name="Note 24 2 5" xfId="26821" xr:uid="{00000000-0005-0000-0000-0000DAA00000}"/>
    <cellStyle name="Note 24 2 6" xfId="26822" xr:uid="{00000000-0005-0000-0000-0000DBA00000}"/>
    <cellStyle name="Note 24 2 7" xfId="26823" xr:uid="{00000000-0005-0000-0000-0000DCA00000}"/>
    <cellStyle name="Note 24 3" xfId="1798" xr:uid="{00000000-0005-0000-0000-0000DDA00000}"/>
    <cellStyle name="Note 24 3 2" xfId="4101" xr:uid="{00000000-0005-0000-0000-0000DEA00000}"/>
    <cellStyle name="Note 24 3 2 2" xfId="10831" xr:uid="{00000000-0005-0000-0000-0000DFA00000}"/>
    <cellStyle name="Note 24 3 2 2 2" xfId="14452" xr:uid="{00000000-0005-0000-0000-0000E0A00000}"/>
    <cellStyle name="Note 24 3 2 3" xfId="26824" xr:uid="{00000000-0005-0000-0000-0000E1A00000}"/>
    <cellStyle name="Note 24 3 2 4" xfId="26825" xr:uid="{00000000-0005-0000-0000-0000E2A00000}"/>
    <cellStyle name="Note 24 3 2 5" xfId="26826" xr:uid="{00000000-0005-0000-0000-0000E3A00000}"/>
    <cellStyle name="Note 24 3 2 6" xfId="26827" xr:uid="{00000000-0005-0000-0000-0000E4A00000}"/>
    <cellStyle name="Note 24 3 3" xfId="4970" xr:uid="{00000000-0005-0000-0000-0000E5A00000}"/>
    <cellStyle name="Note 24 3 3 2" xfId="14451" xr:uid="{00000000-0005-0000-0000-0000E6A00000}"/>
    <cellStyle name="Note 24 3 3 3" xfId="35927" xr:uid="{00000000-0005-0000-0000-0000E7A00000}"/>
    <cellStyle name="Note 24 3 3 4" xfId="10830" xr:uid="{00000000-0005-0000-0000-0000E8A00000}"/>
    <cellStyle name="Note 24 3 4" xfId="26828" xr:uid="{00000000-0005-0000-0000-0000E9A00000}"/>
    <cellStyle name="Note 24 3 4 2" xfId="37994" xr:uid="{00000000-0005-0000-0000-0000EAA00000}"/>
    <cellStyle name="Note 24 3 5" xfId="26829" xr:uid="{00000000-0005-0000-0000-0000EBA00000}"/>
    <cellStyle name="Note 24 3 6" xfId="26830" xr:uid="{00000000-0005-0000-0000-0000ECA00000}"/>
    <cellStyle name="Note 24 3 7" xfId="26831" xr:uid="{00000000-0005-0000-0000-0000EDA00000}"/>
    <cellStyle name="Note 24 3 8" xfId="26832" xr:uid="{00000000-0005-0000-0000-0000EEA00000}"/>
    <cellStyle name="Note 24 3 9" xfId="26833" xr:uid="{00000000-0005-0000-0000-0000EFA00000}"/>
    <cellStyle name="Note 24 4" xfId="4099" xr:uid="{00000000-0005-0000-0000-0000F0A00000}"/>
    <cellStyle name="Note 24 4 2" xfId="14453" xr:uid="{00000000-0005-0000-0000-0000F1A00000}"/>
    <cellStyle name="Note 24 4 3" xfId="35523" xr:uid="{00000000-0005-0000-0000-0000F2A00000}"/>
    <cellStyle name="Note 24 4 4" xfId="10832" xr:uid="{00000000-0005-0000-0000-0000F3A00000}"/>
    <cellStyle name="Note 24 5" xfId="4968" xr:uid="{00000000-0005-0000-0000-0000F4A00000}"/>
    <cellStyle name="Note 24 5 2" xfId="14449" xr:uid="{00000000-0005-0000-0000-0000F5A00000}"/>
    <cellStyle name="Note 24 5 3" xfId="35925" xr:uid="{00000000-0005-0000-0000-0000F6A00000}"/>
    <cellStyle name="Note 24 5 4" xfId="10828" xr:uid="{00000000-0005-0000-0000-0000F7A00000}"/>
    <cellStyle name="Note 24 6" xfId="26834" xr:uid="{00000000-0005-0000-0000-0000F8A00000}"/>
    <cellStyle name="Note 24 6 2" xfId="37992" xr:uid="{00000000-0005-0000-0000-0000F9A00000}"/>
    <cellStyle name="Note 24 7" xfId="26835" xr:uid="{00000000-0005-0000-0000-0000FAA00000}"/>
    <cellStyle name="Note 24 8" xfId="26836" xr:uid="{00000000-0005-0000-0000-0000FBA00000}"/>
    <cellStyle name="Note 24 9" xfId="26837" xr:uid="{00000000-0005-0000-0000-0000FCA00000}"/>
    <cellStyle name="Note 25" xfId="1799" xr:uid="{00000000-0005-0000-0000-0000FDA00000}"/>
    <cellStyle name="Note 25 2" xfId="7952" xr:uid="{00000000-0005-0000-0000-0000FEA00000}"/>
    <cellStyle name="Note 25 2 2" xfId="10834" xr:uid="{00000000-0005-0000-0000-0000FFA00000}"/>
    <cellStyle name="Note 25 2 2 2" xfId="14455" xr:uid="{00000000-0005-0000-0000-000000A10000}"/>
    <cellStyle name="Note 25 2 3" xfId="26838" xr:uid="{00000000-0005-0000-0000-000001A10000}"/>
    <cellStyle name="Note 25 2 4" xfId="26839" xr:uid="{00000000-0005-0000-0000-000002A10000}"/>
    <cellStyle name="Note 25 2 5" xfId="26840" xr:uid="{00000000-0005-0000-0000-000003A10000}"/>
    <cellStyle name="Note 25 2 6" xfId="26841" xr:uid="{00000000-0005-0000-0000-000004A10000}"/>
    <cellStyle name="Note 25 3" xfId="10833" xr:uid="{00000000-0005-0000-0000-000005A10000}"/>
    <cellStyle name="Note 25 3 2" xfId="14454" xr:uid="{00000000-0005-0000-0000-000006A10000}"/>
    <cellStyle name="Note 25 4" xfId="26842" xr:uid="{00000000-0005-0000-0000-000007A10000}"/>
    <cellStyle name="Note 25 5" xfId="26843" xr:uid="{00000000-0005-0000-0000-000008A10000}"/>
    <cellStyle name="Note 25 6" xfId="26844" xr:uid="{00000000-0005-0000-0000-000009A10000}"/>
    <cellStyle name="Note 25 7" xfId="26845" xr:uid="{00000000-0005-0000-0000-00000AA10000}"/>
    <cellStyle name="Note 25 8" xfId="26846" xr:uid="{00000000-0005-0000-0000-00000BA10000}"/>
    <cellStyle name="Note 25 9" xfId="7723" xr:uid="{00000000-0005-0000-0000-00000CA10000}"/>
    <cellStyle name="Note 26" xfId="4102" xr:uid="{00000000-0005-0000-0000-00000DA10000}"/>
    <cellStyle name="Note 26 2" xfId="5565" xr:uid="{00000000-0005-0000-0000-00000EA10000}"/>
    <cellStyle name="Note 26 2 2" xfId="14456" xr:uid="{00000000-0005-0000-0000-00000FA10000}"/>
    <cellStyle name="Note 26 2 3" xfId="36149" xr:uid="{00000000-0005-0000-0000-000010A10000}"/>
    <cellStyle name="Note 26 2 4" xfId="10835" xr:uid="{00000000-0005-0000-0000-000011A10000}"/>
    <cellStyle name="Note 26 3" xfId="12390" xr:uid="{00000000-0005-0000-0000-000012A10000}"/>
    <cellStyle name="Note 26 3 2" xfId="26847" xr:uid="{00000000-0005-0000-0000-000013A10000}"/>
    <cellStyle name="Note 26 4" xfId="26848" xr:uid="{00000000-0005-0000-0000-000014A10000}"/>
    <cellStyle name="Note 26 5" xfId="26849" xr:uid="{00000000-0005-0000-0000-000015A10000}"/>
    <cellStyle name="Note 26 6" xfId="26850" xr:uid="{00000000-0005-0000-0000-000016A10000}"/>
    <cellStyle name="Note 26 7" xfId="26851" xr:uid="{00000000-0005-0000-0000-000017A10000}"/>
    <cellStyle name="Note 27" xfId="8335" xr:uid="{00000000-0005-0000-0000-000018A10000}"/>
    <cellStyle name="Note 27 2" xfId="10836" xr:uid="{00000000-0005-0000-0000-000019A10000}"/>
    <cellStyle name="Note 27 2 2" xfId="14457" xr:uid="{00000000-0005-0000-0000-00001AA10000}"/>
    <cellStyle name="Note 27 3" xfId="12498" xr:uid="{00000000-0005-0000-0000-00001BA10000}"/>
    <cellStyle name="Note 27 3 2" xfId="26852" xr:uid="{00000000-0005-0000-0000-00001CA10000}"/>
    <cellStyle name="Note 27 4" xfId="26853" xr:uid="{00000000-0005-0000-0000-00001DA10000}"/>
    <cellStyle name="Note 27 5" xfId="26854" xr:uid="{00000000-0005-0000-0000-00001EA10000}"/>
    <cellStyle name="Note 27 6" xfId="26855" xr:uid="{00000000-0005-0000-0000-00001FA10000}"/>
    <cellStyle name="Note 27 7" xfId="26856" xr:uid="{00000000-0005-0000-0000-000020A10000}"/>
    <cellStyle name="Note 28" xfId="8036" xr:uid="{00000000-0005-0000-0000-000021A10000}"/>
    <cellStyle name="Note 28 2" xfId="10837" xr:uid="{00000000-0005-0000-0000-000022A10000}"/>
    <cellStyle name="Note 28 2 2" xfId="14458" xr:uid="{00000000-0005-0000-0000-000023A10000}"/>
    <cellStyle name="Note 28 3" xfId="12391" xr:uid="{00000000-0005-0000-0000-000024A10000}"/>
    <cellStyle name="Note 28 3 2" xfId="26857" xr:uid="{00000000-0005-0000-0000-000025A10000}"/>
    <cellStyle name="Note 28 4" xfId="26858" xr:uid="{00000000-0005-0000-0000-000026A10000}"/>
    <cellStyle name="Note 28 5" xfId="26859" xr:uid="{00000000-0005-0000-0000-000027A10000}"/>
    <cellStyle name="Note 28 6" xfId="26860" xr:uid="{00000000-0005-0000-0000-000028A10000}"/>
    <cellStyle name="Note 28 7" xfId="26861" xr:uid="{00000000-0005-0000-0000-000029A10000}"/>
    <cellStyle name="Note 29" xfId="6604" xr:uid="{00000000-0005-0000-0000-00002AA10000}"/>
    <cellStyle name="Note 29 2" xfId="26863" xr:uid="{00000000-0005-0000-0000-00002BA10000}"/>
    <cellStyle name="Note 29 3" xfId="26862" xr:uid="{00000000-0005-0000-0000-00002CA10000}"/>
    <cellStyle name="Note 3" xfId="1800" xr:uid="{00000000-0005-0000-0000-00002DA10000}"/>
    <cellStyle name="Note 3 10" xfId="4104" xr:uid="{00000000-0005-0000-0000-00002EA10000}"/>
    <cellStyle name="Note 3 10 2" xfId="5566" xr:uid="{00000000-0005-0000-0000-00002FA10000}"/>
    <cellStyle name="Note 3 10 2 2" xfId="10840" xr:uid="{00000000-0005-0000-0000-000030A10000}"/>
    <cellStyle name="Note 3 10 2 2 2" xfId="14461" xr:uid="{00000000-0005-0000-0000-000031A10000}"/>
    <cellStyle name="Note 3 10 2 3" xfId="26864" xr:uid="{00000000-0005-0000-0000-000032A10000}"/>
    <cellStyle name="Note 3 10 2 4" xfId="26865" xr:uid="{00000000-0005-0000-0000-000033A10000}"/>
    <cellStyle name="Note 3 10 2 5" xfId="26866" xr:uid="{00000000-0005-0000-0000-000034A10000}"/>
    <cellStyle name="Note 3 10 2 6" xfId="26867" xr:uid="{00000000-0005-0000-0000-000035A10000}"/>
    <cellStyle name="Note 3 10 3" xfId="10839" xr:uid="{00000000-0005-0000-0000-000036A10000}"/>
    <cellStyle name="Note 3 10 3 2" xfId="14460" xr:uid="{00000000-0005-0000-0000-000037A10000}"/>
    <cellStyle name="Note 3 10 3 3" xfId="38562" xr:uid="{00000000-0005-0000-0000-000038A10000}"/>
    <cellStyle name="Note 3 10 4" xfId="26868" xr:uid="{00000000-0005-0000-0000-000039A10000}"/>
    <cellStyle name="Note 3 10 5" xfId="26869" xr:uid="{00000000-0005-0000-0000-00003AA10000}"/>
    <cellStyle name="Note 3 10 6" xfId="26870" xr:uid="{00000000-0005-0000-0000-00003BA10000}"/>
    <cellStyle name="Note 3 10 7" xfId="26871" xr:uid="{00000000-0005-0000-0000-00003CA10000}"/>
    <cellStyle name="Note 3 11" xfId="4105" xr:uid="{00000000-0005-0000-0000-00003DA10000}"/>
    <cellStyle name="Note 3 11 2" xfId="5567" xr:uid="{00000000-0005-0000-0000-00003EA10000}"/>
    <cellStyle name="Note 3 11 2 2" xfId="10842" xr:uid="{00000000-0005-0000-0000-00003FA10000}"/>
    <cellStyle name="Note 3 11 2 2 2" xfId="14463" xr:uid="{00000000-0005-0000-0000-000040A10000}"/>
    <cellStyle name="Note 3 11 2 3" xfId="26872" xr:uid="{00000000-0005-0000-0000-000041A10000}"/>
    <cellStyle name="Note 3 11 2 4" xfId="26873" xr:uid="{00000000-0005-0000-0000-000042A10000}"/>
    <cellStyle name="Note 3 11 2 5" xfId="26874" xr:uid="{00000000-0005-0000-0000-000043A10000}"/>
    <cellStyle name="Note 3 11 2 6" xfId="26875" xr:uid="{00000000-0005-0000-0000-000044A10000}"/>
    <cellStyle name="Note 3 11 3" xfId="10841" xr:uid="{00000000-0005-0000-0000-000045A10000}"/>
    <cellStyle name="Note 3 11 3 2" xfId="14462" xr:uid="{00000000-0005-0000-0000-000046A10000}"/>
    <cellStyle name="Note 3 11 3 3" xfId="38563" xr:uid="{00000000-0005-0000-0000-000047A10000}"/>
    <cellStyle name="Note 3 11 4" xfId="26876" xr:uid="{00000000-0005-0000-0000-000048A10000}"/>
    <cellStyle name="Note 3 11 5" xfId="26877" xr:uid="{00000000-0005-0000-0000-000049A10000}"/>
    <cellStyle name="Note 3 11 6" xfId="26878" xr:uid="{00000000-0005-0000-0000-00004AA10000}"/>
    <cellStyle name="Note 3 11 7" xfId="26879" xr:uid="{00000000-0005-0000-0000-00004BA10000}"/>
    <cellStyle name="Note 3 12" xfId="4106" xr:uid="{00000000-0005-0000-0000-00004CA10000}"/>
    <cellStyle name="Note 3 12 2" xfId="5568" xr:uid="{00000000-0005-0000-0000-00004DA10000}"/>
    <cellStyle name="Note 3 12 2 2" xfId="10844" xr:uid="{00000000-0005-0000-0000-00004EA10000}"/>
    <cellStyle name="Note 3 12 2 2 2" xfId="14465" xr:uid="{00000000-0005-0000-0000-00004FA10000}"/>
    <cellStyle name="Note 3 12 2 3" xfId="26880" xr:uid="{00000000-0005-0000-0000-000050A10000}"/>
    <cellStyle name="Note 3 12 2 4" xfId="26881" xr:uid="{00000000-0005-0000-0000-000051A10000}"/>
    <cellStyle name="Note 3 12 2 5" xfId="26882" xr:uid="{00000000-0005-0000-0000-000052A10000}"/>
    <cellStyle name="Note 3 12 2 6" xfId="26883" xr:uid="{00000000-0005-0000-0000-000053A10000}"/>
    <cellStyle name="Note 3 12 3" xfId="10843" xr:uid="{00000000-0005-0000-0000-000054A10000}"/>
    <cellStyle name="Note 3 12 3 2" xfId="14464" xr:uid="{00000000-0005-0000-0000-000055A10000}"/>
    <cellStyle name="Note 3 12 3 3" xfId="38564" xr:uid="{00000000-0005-0000-0000-000056A10000}"/>
    <cellStyle name="Note 3 12 4" xfId="26884" xr:uid="{00000000-0005-0000-0000-000057A10000}"/>
    <cellStyle name="Note 3 12 5" xfId="26885" xr:uid="{00000000-0005-0000-0000-000058A10000}"/>
    <cellStyle name="Note 3 12 6" xfId="26886" xr:uid="{00000000-0005-0000-0000-000059A10000}"/>
    <cellStyle name="Note 3 12 7" xfId="26887" xr:uid="{00000000-0005-0000-0000-00005AA10000}"/>
    <cellStyle name="Note 3 13" xfId="4107" xr:uid="{00000000-0005-0000-0000-00005BA10000}"/>
    <cellStyle name="Note 3 13 2" xfId="5569" xr:uid="{00000000-0005-0000-0000-00005CA10000}"/>
    <cellStyle name="Note 3 13 2 2" xfId="10846" xr:uid="{00000000-0005-0000-0000-00005DA10000}"/>
    <cellStyle name="Note 3 13 2 2 2" xfId="14467" xr:uid="{00000000-0005-0000-0000-00005EA10000}"/>
    <cellStyle name="Note 3 13 2 3" xfId="26888" xr:uid="{00000000-0005-0000-0000-00005FA10000}"/>
    <cellStyle name="Note 3 13 2 4" xfId="26889" xr:uid="{00000000-0005-0000-0000-000060A10000}"/>
    <cellStyle name="Note 3 13 2 5" xfId="26890" xr:uid="{00000000-0005-0000-0000-000061A10000}"/>
    <cellStyle name="Note 3 13 2 6" xfId="26891" xr:uid="{00000000-0005-0000-0000-000062A10000}"/>
    <cellStyle name="Note 3 13 3" xfId="10845" xr:uid="{00000000-0005-0000-0000-000063A10000}"/>
    <cellStyle name="Note 3 13 3 2" xfId="14466" xr:uid="{00000000-0005-0000-0000-000064A10000}"/>
    <cellStyle name="Note 3 13 3 3" xfId="38565" xr:uid="{00000000-0005-0000-0000-000065A10000}"/>
    <cellStyle name="Note 3 13 4" xfId="26892" xr:uid="{00000000-0005-0000-0000-000066A10000}"/>
    <cellStyle name="Note 3 13 5" xfId="26893" xr:uid="{00000000-0005-0000-0000-000067A10000}"/>
    <cellStyle name="Note 3 13 6" xfId="26894" xr:uid="{00000000-0005-0000-0000-000068A10000}"/>
    <cellStyle name="Note 3 13 7" xfId="26895" xr:uid="{00000000-0005-0000-0000-000069A10000}"/>
    <cellStyle name="Note 3 14" xfId="4108" xr:uid="{00000000-0005-0000-0000-00006AA10000}"/>
    <cellStyle name="Note 3 14 2" xfId="5570" xr:uid="{00000000-0005-0000-0000-00006BA10000}"/>
    <cellStyle name="Note 3 14 2 2" xfId="10848" xr:uid="{00000000-0005-0000-0000-00006CA10000}"/>
    <cellStyle name="Note 3 14 2 2 2" xfId="14469" xr:uid="{00000000-0005-0000-0000-00006DA10000}"/>
    <cellStyle name="Note 3 14 2 3" xfId="26896" xr:uid="{00000000-0005-0000-0000-00006EA10000}"/>
    <cellStyle name="Note 3 14 2 4" xfId="26897" xr:uid="{00000000-0005-0000-0000-00006FA10000}"/>
    <cellStyle name="Note 3 14 2 5" xfId="26898" xr:uid="{00000000-0005-0000-0000-000070A10000}"/>
    <cellStyle name="Note 3 14 2 6" xfId="26899" xr:uid="{00000000-0005-0000-0000-000071A10000}"/>
    <cellStyle name="Note 3 14 3" xfId="10847" xr:uid="{00000000-0005-0000-0000-000072A10000}"/>
    <cellStyle name="Note 3 14 3 2" xfId="14468" xr:uid="{00000000-0005-0000-0000-000073A10000}"/>
    <cellStyle name="Note 3 14 3 3" xfId="38566" xr:uid="{00000000-0005-0000-0000-000074A10000}"/>
    <cellStyle name="Note 3 14 4" xfId="26900" xr:uid="{00000000-0005-0000-0000-000075A10000}"/>
    <cellStyle name="Note 3 14 5" xfId="26901" xr:uid="{00000000-0005-0000-0000-000076A10000}"/>
    <cellStyle name="Note 3 14 6" xfId="26902" xr:uid="{00000000-0005-0000-0000-000077A10000}"/>
    <cellStyle name="Note 3 14 7" xfId="26903" xr:uid="{00000000-0005-0000-0000-000078A10000}"/>
    <cellStyle name="Note 3 15" xfId="4103" xr:uid="{00000000-0005-0000-0000-000079A10000}"/>
    <cellStyle name="Note 3 15 2" xfId="10849" xr:uid="{00000000-0005-0000-0000-00007AA10000}"/>
    <cellStyle name="Note 3 15 2 2" xfId="14470" xr:uid="{00000000-0005-0000-0000-00007BA10000}"/>
    <cellStyle name="Note 3 15 3" xfId="26904" xr:uid="{00000000-0005-0000-0000-00007CA10000}"/>
    <cellStyle name="Note 3 15 4" xfId="26905" xr:uid="{00000000-0005-0000-0000-00007DA10000}"/>
    <cellStyle name="Note 3 15 5" xfId="26906" xr:uid="{00000000-0005-0000-0000-00007EA10000}"/>
    <cellStyle name="Note 3 15 6" xfId="26907" xr:uid="{00000000-0005-0000-0000-00007FA10000}"/>
    <cellStyle name="Note 3 16" xfId="4971" xr:uid="{00000000-0005-0000-0000-000080A10000}"/>
    <cellStyle name="Note 3 16 2" xfId="14459" xr:uid="{00000000-0005-0000-0000-000081A10000}"/>
    <cellStyle name="Note 3 16 3" xfId="35928" xr:uid="{00000000-0005-0000-0000-000082A10000}"/>
    <cellStyle name="Note 3 16 4" xfId="10838" xr:uid="{00000000-0005-0000-0000-000083A10000}"/>
    <cellStyle name="Note 3 17" xfId="26908" xr:uid="{00000000-0005-0000-0000-000084A10000}"/>
    <cellStyle name="Note 3 17 2" xfId="37995" xr:uid="{00000000-0005-0000-0000-000085A10000}"/>
    <cellStyle name="Note 3 18" xfId="26909" xr:uid="{00000000-0005-0000-0000-000086A10000}"/>
    <cellStyle name="Note 3 19" xfId="26910" xr:uid="{00000000-0005-0000-0000-000087A10000}"/>
    <cellStyle name="Note 3 2" xfId="1801" xr:uid="{00000000-0005-0000-0000-000088A10000}"/>
    <cellStyle name="Note 3 2 2" xfId="4109" xr:uid="{00000000-0005-0000-0000-000089A10000}"/>
    <cellStyle name="Note 3 2 2 2" xfId="10851" xr:uid="{00000000-0005-0000-0000-00008AA10000}"/>
    <cellStyle name="Note 3 2 2 2 2" xfId="14472" xr:uid="{00000000-0005-0000-0000-00008BA10000}"/>
    <cellStyle name="Note 3 2 2 3" xfId="26911" xr:uid="{00000000-0005-0000-0000-00008CA10000}"/>
    <cellStyle name="Note 3 2 2 4" xfId="26912" xr:uid="{00000000-0005-0000-0000-00008DA10000}"/>
    <cellStyle name="Note 3 2 2 5" xfId="26913" xr:uid="{00000000-0005-0000-0000-00008EA10000}"/>
    <cellStyle name="Note 3 2 2 6" xfId="26914" xr:uid="{00000000-0005-0000-0000-00008FA10000}"/>
    <cellStyle name="Note 3 2 3" xfId="4972" xr:uid="{00000000-0005-0000-0000-000090A10000}"/>
    <cellStyle name="Note 3 2 3 2" xfId="14471" xr:uid="{00000000-0005-0000-0000-000091A10000}"/>
    <cellStyle name="Note 3 2 3 3" xfId="35929" xr:uid="{00000000-0005-0000-0000-000092A10000}"/>
    <cellStyle name="Note 3 2 3 4" xfId="10850" xr:uid="{00000000-0005-0000-0000-000093A10000}"/>
    <cellStyle name="Note 3 2 4" xfId="26915" xr:uid="{00000000-0005-0000-0000-000094A10000}"/>
    <cellStyle name="Note 3 2 4 2" xfId="37996" xr:uid="{00000000-0005-0000-0000-000095A10000}"/>
    <cellStyle name="Note 3 2 5" xfId="26916" xr:uid="{00000000-0005-0000-0000-000096A10000}"/>
    <cellStyle name="Note 3 2 6" xfId="26917" xr:uid="{00000000-0005-0000-0000-000097A10000}"/>
    <cellStyle name="Note 3 2 7" xfId="26918" xr:uid="{00000000-0005-0000-0000-000098A10000}"/>
    <cellStyle name="Note 3 2 8" xfId="26919" xr:uid="{00000000-0005-0000-0000-000099A10000}"/>
    <cellStyle name="Note 3 20" xfId="26920" xr:uid="{00000000-0005-0000-0000-00009AA10000}"/>
    <cellStyle name="Note 3 21" xfId="26921" xr:uid="{00000000-0005-0000-0000-00009BA10000}"/>
    <cellStyle name="Note 3 3" xfId="1802" xr:uid="{00000000-0005-0000-0000-00009CA10000}"/>
    <cellStyle name="Note 3 3 2" xfId="4110" xr:uid="{00000000-0005-0000-0000-00009DA10000}"/>
    <cellStyle name="Note 3 3 2 2" xfId="10853" xr:uid="{00000000-0005-0000-0000-00009EA10000}"/>
    <cellStyle name="Note 3 3 2 2 2" xfId="14474" xr:uid="{00000000-0005-0000-0000-00009FA10000}"/>
    <cellStyle name="Note 3 3 2 3" xfId="26922" xr:uid="{00000000-0005-0000-0000-0000A0A10000}"/>
    <cellStyle name="Note 3 3 2 4" xfId="26923" xr:uid="{00000000-0005-0000-0000-0000A1A10000}"/>
    <cellStyle name="Note 3 3 2 5" xfId="26924" xr:uid="{00000000-0005-0000-0000-0000A2A10000}"/>
    <cellStyle name="Note 3 3 2 6" xfId="26925" xr:uid="{00000000-0005-0000-0000-0000A3A10000}"/>
    <cellStyle name="Note 3 3 3" xfId="4973" xr:uid="{00000000-0005-0000-0000-0000A4A10000}"/>
    <cellStyle name="Note 3 3 3 2" xfId="14473" xr:uid="{00000000-0005-0000-0000-0000A5A10000}"/>
    <cellStyle name="Note 3 3 3 3" xfId="35930" xr:uid="{00000000-0005-0000-0000-0000A6A10000}"/>
    <cellStyle name="Note 3 3 3 4" xfId="10852" xr:uid="{00000000-0005-0000-0000-0000A7A10000}"/>
    <cellStyle name="Note 3 3 4" xfId="26926" xr:uid="{00000000-0005-0000-0000-0000A8A10000}"/>
    <cellStyle name="Note 3 3 4 2" xfId="37997" xr:uid="{00000000-0005-0000-0000-0000A9A10000}"/>
    <cellStyle name="Note 3 3 5" xfId="26927" xr:uid="{00000000-0005-0000-0000-0000AAA10000}"/>
    <cellStyle name="Note 3 3 6" xfId="26928" xr:uid="{00000000-0005-0000-0000-0000ABA10000}"/>
    <cellStyle name="Note 3 3 7" xfId="26929" xr:uid="{00000000-0005-0000-0000-0000ACA10000}"/>
    <cellStyle name="Note 3 3 8" xfId="26930" xr:uid="{00000000-0005-0000-0000-0000ADA10000}"/>
    <cellStyle name="Note 3 4" xfId="1803" xr:uid="{00000000-0005-0000-0000-0000AEA10000}"/>
    <cellStyle name="Note 3 4 2" xfId="4111" xr:uid="{00000000-0005-0000-0000-0000AFA10000}"/>
    <cellStyle name="Note 3 4 2 2" xfId="10855" xr:uid="{00000000-0005-0000-0000-0000B0A10000}"/>
    <cellStyle name="Note 3 4 2 2 2" xfId="14476" xr:uid="{00000000-0005-0000-0000-0000B1A10000}"/>
    <cellStyle name="Note 3 4 2 3" xfId="26931" xr:uid="{00000000-0005-0000-0000-0000B2A10000}"/>
    <cellStyle name="Note 3 4 2 4" xfId="26932" xr:uid="{00000000-0005-0000-0000-0000B3A10000}"/>
    <cellStyle name="Note 3 4 2 5" xfId="26933" xr:uid="{00000000-0005-0000-0000-0000B4A10000}"/>
    <cellStyle name="Note 3 4 2 6" xfId="26934" xr:uid="{00000000-0005-0000-0000-0000B5A10000}"/>
    <cellStyle name="Note 3 4 3" xfId="4974" xr:uid="{00000000-0005-0000-0000-0000B6A10000}"/>
    <cellStyle name="Note 3 4 3 2" xfId="14475" xr:uid="{00000000-0005-0000-0000-0000B7A10000}"/>
    <cellStyle name="Note 3 4 3 3" xfId="35931" xr:uid="{00000000-0005-0000-0000-0000B8A10000}"/>
    <cellStyle name="Note 3 4 3 4" xfId="10854" xr:uid="{00000000-0005-0000-0000-0000B9A10000}"/>
    <cellStyle name="Note 3 4 4" xfId="26935" xr:uid="{00000000-0005-0000-0000-0000BAA10000}"/>
    <cellStyle name="Note 3 4 4 2" xfId="37998" xr:uid="{00000000-0005-0000-0000-0000BBA10000}"/>
    <cellStyle name="Note 3 4 5" xfId="26936" xr:uid="{00000000-0005-0000-0000-0000BCA10000}"/>
    <cellStyle name="Note 3 4 6" xfId="26937" xr:uid="{00000000-0005-0000-0000-0000BDA10000}"/>
    <cellStyle name="Note 3 4 7" xfId="26938" xr:uid="{00000000-0005-0000-0000-0000BEA10000}"/>
    <cellStyle name="Note 3 4 8" xfId="26939" xr:uid="{00000000-0005-0000-0000-0000BFA10000}"/>
    <cellStyle name="Note 3 5" xfId="4112" xr:uid="{00000000-0005-0000-0000-0000C0A10000}"/>
    <cellStyle name="Note 3 5 2" xfId="5571" xr:uid="{00000000-0005-0000-0000-0000C1A10000}"/>
    <cellStyle name="Note 3 5 2 2" xfId="10857" xr:uid="{00000000-0005-0000-0000-0000C2A10000}"/>
    <cellStyle name="Note 3 5 2 2 2" xfId="14478" xr:uid="{00000000-0005-0000-0000-0000C3A10000}"/>
    <cellStyle name="Note 3 5 2 3" xfId="26940" xr:uid="{00000000-0005-0000-0000-0000C4A10000}"/>
    <cellStyle name="Note 3 5 2 4" xfId="26941" xr:uid="{00000000-0005-0000-0000-0000C5A10000}"/>
    <cellStyle name="Note 3 5 2 5" xfId="26942" xr:uid="{00000000-0005-0000-0000-0000C6A10000}"/>
    <cellStyle name="Note 3 5 2 6" xfId="26943" xr:uid="{00000000-0005-0000-0000-0000C7A10000}"/>
    <cellStyle name="Note 3 5 3" xfId="10856" xr:uid="{00000000-0005-0000-0000-0000C8A10000}"/>
    <cellStyle name="Note 3 5 3 2" xfId="14477" xr:uid="{00000000-0005-0000-0000-0000C9A10000}"/>
    <cellStyle name="Note 3 5 3 3" xfId="38567" xr:uid="{00000000-0005-0000-0000-0000CAA10000}"/>
    <cellStyle name="Note 3 5 4" xfId="26944" xr:uid="{00000000-0005-0000-0000-0000CBA10000}"/>
    <cellStyle name="Note 3 5 5" xfId="26945" xr:uid="{00000000-0005-0000-0000-0000CCA10000}"/>
    <cellStyle name="Note 3 5 6" xfId="26946" xr:uid="{00000000-0005-0000-0000-0000CDA10000}"/>
    <cellStyle name="Note 3 5 7" xfId="26947" xr:uid="{00000000-0005-0000-0000-0000CEA10000}"/>
    <cellStyle name="Note 3 6" xfId="4113" xr:uid="{00000000-0005-0000-0000-0000CFA10000}"/>
    <cellStyle name="Note 3 6 2" xfId="5572" xr:uid="{00000000-0005-0000-0000-0000D0A10000}"/>
    <cellStyle name="Note 3 6 2 2" xfId="10859" xr:uid="{00000000-0005-0000-0000-0000D1A10000}"/>
    <cellStyle name="Note 3 6 2 2 2" xfId="14480" xr:uid="{00000000-0005-0000-0000-0000D2A10000}"/>
    <cellStyle name="Note 3 6 2 3" xfId="26948" xr:uid="{00000000-0005-0000-0000-0000D3A10000}"/>
    <cellStyle name="Note 3 6 2 4" xfId="26949" xr:uid="{00000000-0005-0000-0000-0000D4A10000}"/>
    <cellStyle name="Note 3 6 2 5" xfId="26950" xr:uid="{00000000-0005-0000-0000-0000D5A10000}"/>
    <cellStyle name="Note 3 6 2 6" xfId="26951" xr:uid="{00000000-0005-0000-0000-0000D6A10000}"/>
    <cellStyle name="Note 3 6 3" xfId="10858" xr:uid="{00000000-0005-0000-0000-0000D7A10000}"/>
    <cellStyle name="Note 3 6 3 2" xfId="14479" xr:uid="{00000000-0005-0000-0000-0000D8A10000}"/>
    <cellStyle name="Note 3 6 3 3" xfId="38568" xr:uid="{00000000-0005-0000-0000-0000D9A10000}"/>
    <cellStyle name="Note 3 6 4" xfId="26952" xr:uid="{00000000-0005-0000-0000-0000DAA10000}"/>
    <cellStyle name="Note 3 6 5" xfId="26953" xr:uid="{00000000-0005-0000-0000-0000DBA10000}"/>
    <cellStyle name="Note 3 6 6" xfId="26954" xr:uid="{00000000-0005-0000-0000-0000DCA10000}"/>
    <cellStyle name="Note 3 6 7" xfId="26955" xr:uid="{00000000-0005-0000-0000-0000DDA10000}"/>
    <cellStyle name="Note 3 7" xfId="4114" xr:uid="{00000000-0005-0000-0000-0000DEA10000}"/>
    <cellStyle name="Note 3 7 2" xfId="5573" xr:uid="{00000000-0005-0000-0000-0000DFA10000}"/>
    <cellStyle name="Note 3 7 2 2" xfId="10861" xr:uid="{00000000-0005-0000-0000-0000E0A10000}"/>
    <cellStyle name="Note 3 7 2 2 2" xfId="14482" xr:uid="{00000000-0005-0000-0000-0000E1A10000}"/>
    <cellStyle name="Note 3 7 2 3" xfId="26956" xr:uid="{00000000-0005-0000-0000-0000E2A10000}"/>
    <cellStyle name="Note 3 7 2 4" xfId="26957" xr:uid="{00000000-0005-0000-0000-0000E3A10000}"/>
    <cellStyle name="Note 3 7 2 5" xfId="26958" xr:uid="{00000000-0005-0000-0000-0000E4A10000}"/>
    <cellStyle name="Note 3 7 2 6" xfId="26959" xr:uid="{00000000-0005-0000-0000-0000E5A10000}"/>
    <cellStyle name="Note 3 7 3" xfId="10860" xr:uid="{00000000-0005-0000-0000-0000E6A10000}"/>
    <cellStyle name="Note 3 7 3 2" xfId="14481" xr:uid="{00000000-0005-0000-0000-0000E7A10000}"/>
    <cellStyle name="Note 3 7 3 3" xfId="38569" xr:uid="{00000000-0005-0000-0000-0000E8A10000}"/>
    <cellStyle name="Note 3 7 4" xfId="26960" xr:uid="{00000000-0005-0000-0000-0000E9A10000}"/>
    <cellStyle name="Note 3 7 5" xfId="26961" xr:uid="{00000000-0005-0000-0000-0000EAA10000}"/>
    <cellStyle name="Note 3 7 6" xfId="26962" xr:uid="{00000000-0005-0000-0000-0000EBA10000}"/>
    <cellStyle name="Note 3 7 7" xfId="26963" xr:uid="{00000000-0005-0000-0000-0000ECA10000}"/>
    <cellStyle name="Note 3 8" xfId="4115" xr:uid="{00000000-0005-0000-0000-0000EDA10000}"/>
    <cellStyle name="Note 3 8 2" xfId="5574" xr:uid="{00000000-0005-0000-0000-0000EEA10000}"/>
    <cellStyle name="Note 3 8 2 2" xfId="10863" xr:uid="{00000000-0005-0000-0000-0000EFA10000}"/>
    <cellStyle name="Note 3 8 2 2 2" xfId="14484" xr:uid="{00000000-0005-0000-0000-0000F0A10000}"/>
    <cellStyle name="Note 3 8 2 3" xfId="26964" xr:uid="{00000000-0005-0000-0000-0000F1A10000}"/>
    <cellStyle name="Note 3 8 2 4" xfId="26965" xr:uid="{00000000-0005-0000-0000-0000F2A10000}"/>
    <cellStyle name="Note 3 8 2 5" xfId="26966" xr:uid="{00000000-0005-0000-0000-0000F3A10000}"/>
    <cellStyle name="Note 3 8 2 6" xfId="26967" xr:uid="{00000000-0005-0000-0000-0000F4A10000}"/>
    <cellStyle name="Note 3 8 3" xfId="10862" xr:uid="{00000000-0005-0000-0000-0000F5A10000}"/>
    <cellStyle name="Note 3 8 3 2" xfId="14483" xr:uid="{00000000-0005-0000-0000-0000F6A10000}"/>
    <cellStyle name="Note 3 8 3 3" xfId="38570" xr:uid="{00000000-0005-0000-0000-0000F7A10000}"/>
    <cellStyle name="Note 3 8 4" xfId="26968" xr:uid="{00000000-0005-0000-0000-0000F8A10000}"/>
    <cellStyle name="Note 3 8 5" xfId="26969" xr:uid="{00000000-0005-0000-0000-0000F9A10000}"/>
    <cellStyle name="Note 3 8 6" xfId="26970" xr:uid="{00000000-0005-0000-0000-0000FAA10000}"/>
    <cellStyle name="Note 3 8 7" xfId="26971" xr:uid="{00000000-0005-0000-0000-0000FBA10000}"/>
    <cellStyle name="Note 3 9" xfId="4116" xr:uid="{00000000-0005-0000-0000-0000FCA10000}"/>
    <cellStyle name="Note 3 9 2" xfId="5575" xr:uid="{00000000-0005-0000-0000-0000FDA10000}"/>
    <cellStyle name="Note 3 9 2 2" xfId="10865" xr:uid="{00000000-0005-0000-0000-0000FEA10000}"/>
    <cellStyle name="Note 3 9 2 2 2" xfId="14486" xr:uid="{00000000-0005-0000-0000-0000FFA10000}"/>
    <cellStyle name="Note 3 9 2 3" xfId="26972" xr:uid="{00000000-0005-0000-0000-000000A20000}"/>
    <cellStyle name="Note 3 9 2 4" xfId="26973" xr:uid="{00000000-0005-0000-0000-000001A20000}"/>
    <cellStyle name="Note 3 9 2 5" xfId="26974" xr:uid="{00000000-0005-0000-0000-000002A20000}"/>
    <cellStyle name="Note 3 9 2 6" xfId="26975" xr:uid="{00000000-0005-0000-0000-000003A20000}"/>
    <cellStyle name="Note 3 9 3" xfId="10864" xr:uid="{00000000-0005-0000-0000-000004A20000}"/>
    <cellStyle name="Note 3 9 3 2" xfId="14485" xr:uid="{00000000-0005-0000-0000-000005A20000}"/>
    <cellStyle name="Note 3 9 3 3" xfId="38571" xr:uid="{00000000-0005-0000-0000-000006A20000}"/>
    <cellStyle name="Note 3 9 4" xfId="26976" xr:uid="{00000000-0005-0000-0000-000007A20000}"/>
    <cellStyle name="Note 3 9 5" xfId="26977" xr:uid="{00000000-0005-0000-0000-000008A20000}"/>
    <cellStyle name="Note 3 9 6" xfId="26978" xr:uid="{00000000-0005-0000-0000-000009A20000}"/>
    <cellStyle name="Note 3 9 7" xfId="26979" xr:uid="{00000000-0005-0000-0000-00000AA20000}"/>
    <cellStyle name="Note 3_IND_UC" xfId="6607" xr:uid="{00000000-0005-0000-0000-00000BA20000}"/>
    <cellStyle name="Note 30" xfId="26980" xr:uid="{00000000-0005-0000-0000-00000CA20000}"/>
    <cellStyle name="Note 31" xfId="26981" xr:uid="{00000000-0005-0000-0000-00000DA20000}"/>
    <cellStyle name="Note 32" xfId="26982" xr:uid="{00000000-0005-0000-0000-00000EA20000}"/>
    <cellStyle name="Note 4" xfId="1804" xr:uid="{00000000-0005-0000-0000-00000FA20000}"/>
    <cellStyle name="Note 4 10" xfId="26983" xr:uid="{00000000-0005-0000-0000-000010A20000}"/>
    <cellStyle name="Note 4 11" xfId="26984" xr:uid="{00000000-0005-0000-0000-000011A20000}"/>
    <cellStyle name="Note 4 2" xfId="1805" xr:uid="{00000000-0005-0000-0000-000012A20000}"/>
    <cellStyle name="Note 4 2 2" xfId="4118" xr:uid="{00000000-0005-0000-0000-000013A20000}"/>
    <cellStyle name="Note 4 2 2 2" xfId="10868" xr:uid="{00000000-0005-0000-0000-000014A20000}"/>
    <cellStyle name="Note 4 2 2 2 2" xfId="14489" xr:uid="{00000000-0005-0000-0000-000015A20000}"/>
    <cellStyle name="Note 4 2 2 3" xfId="26985" xr:uid="{00000000-0005-0000-0000-000016A20000}"/>
    <cellStyle name="Note 4 2 2 4" xfId="26986" xr:uid="{00000000-0005-0000-0000-000017A20000}"/>
    <cellStyle name="Note 4 2 2 5" xfId="26987" xr:uid="{00000000-0005-0000-0000-000018A20000}"/>
    <cellStyle name="Note 4 2 2 6" xfId="26988" xr:uid="{00000000-0005-0000-0000-000019A20000}"/>
    <cellStyle name="Note 4 2 3" xfId="4976" xr:uid="{00000000-0005-0000-0000-00001AA20000}"/>
    <cellStyle name="Note 4 2 3 2" xfId="14488" xr:uid="{00000000-0005-0000-0000-00001BA20000}"/>
    <cellStyle name="Note 4 2 3 3" xfId="35933" xr:uid="{00000000-0005-0000-0000-00001CA20000}"/>
    <cellStyle name="Note 4 2 3 4" xfId="10867" xr:uid="{00000000-0005-0000-0000-00001DA20000}"/>
    <cellStyle name="Note 4 2 4" xfId="26989" xr:uid="{00000000-0005-0000-0000-00001EA20000}"/>
    <cellStyle name="Note 4 2 4 2" xfId="38000" xr:uid="{00000000-0005-0000-0000-00001FA20000}"/>
    <cellStyle name="Note 4 2 5" xfId="26990" xr:uid="{00000000-0005-0000-0000-000020A20000}"/>
    <cellStyle name="Note 4 2 6" xfId="26991" xr:uid="{00000000-0005-0000-0000-000021A20000}"/>
    <cellStyle name="Note 4 2 7" xfId="26992" xr:uid="{00000000-0005-0000-0000-000022A20000}"/>
    <cellStyle name="Note 4 2 8" xfId="26993" xr:uid="{00000000-0005-0000-0000-000023A20000}"/>
    <cellStyle name="Note 4 3" xfId="1806" xr:uid="{00000000-0005-0000-0000-000024A20000}"/>
    <cellStyle name="Note 4 3 2" xfId="4119" xr:uid="{00000000-0005-0000-0000-000025A20000}"/>
    <cellStyle name="Note 4 3 2 2" xfId="10870" xr:uid="{00000000-0005-0000-0000-000026A20000}"/>
    <cellStyle name="Note 4 3 2 2 2" xfId="14491" xr:uid="{00000000-0005-0000-0000-000027A20000}"/>
    <cellStyle name="Note 4 3 2 3" xfId="26994" xr:uid="{00000000-0005-0000-0000-000028A20000}"/>
    <cellStyle name="Note 4 3 2 4" xfId="26995" xr:uid="{00000000-0005-0000-0000-000029A20000}"/>
    <cellStyle name="Note 4 3 2 5" xfId="26996" xr:uid="{00000000-0005-0000-0000-00002AA20000}"/>
    <cellStyle name="Note 4 3 2 6" xfId="26997" xr:uid="{00000000-0005-0000-0000-00002BA20000}"/>
    <cellStyle name="Note 4 3 3" xfId="4977" xr:uid="{00000000-0005-0000-0000-00002CA20000}"/>
    <cellStyle name="Note 4 3 3 2" xfId="14490" xr:uid="{00000000-0005-0000-0000-00002DA20000}"/>
    <cellStyle name="Note 4 3 3 3" xfId="35934" xr:uid="{00000000-0005-0000-0000-00002EA20000}"/>
    <cellStyle name="Note 4 3 3 4" xfId="10869" xr:uid="{00000000-0005-0000-0000-00002FA20000}"/>
    <cellStyle name="Note 4 3 4" xfId="26998" xr:uid="{00000000-0005-0000-0000-000030A20000}"/>
    <cellStyle name="Note 4 3 4 2" xfId="38001" xr:uid="{00000000-0005-0000-0000-000031A20000}"/>
    <cellStyle name="Note 4 3 5" xfId="26999" xr:uid="{00000000-0005-0000-0000-000032A20000}"/>
    <cellStyle name="Note 4 3 6" xfId="27000" xr:uid="{00000000-0005-0000-0000-000033A20000}"/>
    <cellStyle name="Note 4 3 7" xfId="27001" xr:uid="{00000000-0005-0000-0000-000034A20000}"/>
    <cellStyle name="Note 4 3 8" xfId="27002" xr:uid="{00000000-0005-0000-0000-000035A20000}"/>
    <cellStyle name="Note 4 4" xfId="1807" xr:uid="{00000000-0005-0000-0000-000036A20000}"/>
    <cellStyle name="Note 4 4 2" xfId="4120" xr:uid="{00000000-0005-0000-0000-000037A20000}"/>
    <cellStyle name="Note 4 4 2 2" xfId="10872" xr:uid="{00000000-0005-0000-0000-000038A20000}"/>
    <cellStyle name="Note 4 4 2 2 2" xfId="14493" xr:uid="{00000000-0005-0000-0000-000039A20000}"/>
    <cellStyle name="Note 4 4 2 3" xfId="27003" xr:uid="{00000000-0005-0000-0000-00003AA20000}"/>
    <cellStyle name="Note 4 4 2 4" xfId="27004" xr:uid="{00000000-0005-0000-0000-00003BA20000}"/>
    <cellStyle name="Note 4 4 2 5" xfId="27005" xr:uid="{00000000-0005-0000-0000-00003CA20000}"/>
    <cellStyle name="Note 4 4 2 6" xfId="27006" xr:uid="{00000000-0005-0000-0000-00003DA20000}"/>
    <cellStyle name="Note 4 4 3" xfId="4978" xr:uid="{00000000-0005-0000-0000-00003EA20000}"/>
    <cellStyle name="Note 4 4 3 2" xfId="14492" xr:uid="{00000000-0005-0000-0000-00003FA20000}"/>
    <cellStyle name="Note 4 4 3 3" xfId="35935" xr:uid="{00000000-0005-0000-0000-000040A20000}"/>
    <cellStyle name="Note 4 4 3 4" xfId="10871" xr:uid="{00000000-0005-0000-0000-000041A20000}"/>
    <cellStyle name="Note 4 4 4" xfId="27007" xr:uid="{00000000-0005-0000-0000-000042A20000}"/>
    <cellStyle name="Note 4 4 4 2" xfId="38002" xr:uid="{00000000-0005-0000-0000-000043A20000}"/>
    <cellStyle name="Note 4 4 5" xfId="27008" xr:uid="{00000000-0005-0000-0000-000044A20000}"/>
    <cellStyle name="Note 4 4 6" xfId="27009" xr:uid="{00000000-0005-0000-0000-000045A20000}"/>
    <cellStyle name="Note 4 4 7" xfId="27010" xr:uid="{00000000-0005-0000-0000-000046A20000}"/>
    <cellStyle name="Note 4 4 8" xfId="27011" xr:uid="{00000000-0005-0000-0000-000047A20000}"/>
    <cellStyle name="Note 4 5" xfId="4117" xr:uid="{00000000-0005-0000-0000-000048A20000}"/>
    <cellStyle name="Note 4 5 2" xfId="10873" xr:uid="{00000000-0005-0000-0000-000049A20000}"/>
    <cellStyle name="Note 4 5 2 2" xfId="14494" xr:uid="{00000000-0005-0000-0000-00004AA20000}"/>
    <cellStyle name="Note 4 5 3" xfId="27012" xr:uid="{00000000-0005-0000-0000-00004BA20000}"/>
    <cellStyle name="Note 4 5 4" xfId="27013" xr:uid="{00000000-0005-0000-0000-00004CA20000}"/>
    <cellStyle name="Note 4 5 5" xfId="27014" xr:uid="{00000000-0005-0000-0000-00004DA20000}"/>
    <cellStyle name="Note 4 5 6" xfId="27015" xr:uid="{00000000-0005-0000-0000-00004EA20000}"/>
    <cellStyle name="Note 4 6" xfId="4975" xr:uid="{00000000-0005-0000-0000-00004FA20000}"/>
    <cellStyle name="Note 4 6 2" xfId="14487" xr:uid="{00000000-0005-0000-0000-000050A20000}"/>
    <cellStyle name="Note 4 6 3" xfId="35932" xr:uid="{00000000-0005-0000-0000-000051A20000}"/>
    <cellStyle name="Note 4 6 4" xfId="10866" xr:uid="{00000000-0005-0000-0000-000052A20000}"/>
    <cellStyle name="Note 4 7" xfId="27016" xr:uid="{00000000-0005-0000-0000-000053A20000}"/>
    <cellStyle name="Note 4 7 2" xfId="37999" xr:uid="{00000000-0005-0000-0000-000054A20000}"/>
    <cellStyle name="Note 4 8" xfId="27017" xr:uid="{00000000-0005-0000-0000-000055A20000}"/>
    <cellStyle name="Note 4 9" xfId="27018" xr:uid="{00000000-0005-0000-0000-000056A20000}"/>
    <cellStyle name="Note 4_IND_UC" xfId="6608" xr:uid="{00000000-0005-0000-0000-000057A20000}"/>
    <cellStyle name="Note 5" xfId="1808" xr:uid="{00000000-0005-0000-0000-000058A20000}"/>
    <cellStyle name="Note 5 10" xfId="27019" xr:uid="{00000000-0005-0000-0000-000059A20000}"/>
    <cellStyle name="Note 5 2" xfId="1809" xr:uid="{00000000-0005-0000-0000-00005AA20000}"/>
    <cellStyle name="Note 5 2 2" xfId="4122" xr:uid="{00000000-0005-0000-0000-00005BA20000}"/>
    <cellStyle name="Note 5 2 2 2" xfId="14496" xr:uid="{00000000-0005-0000-0000-00005CA20000}"/>
    <cellStyle name="Note 5 2 2 3" xfId="35526" xr:uid="{00000000-0005-0000-0000-00005DA20000}"/>
    <cellStyle name="Note 5 2 2 4" xfId="10875" xr:uid="{00000000-0005-0000-0000-00005EA20000}"/>
    <cellStyle name="Note 5 2 3" xfId="4980" xr:uid="{00000000-0005-0000-0000-00005FA20000}"/>
    <cellStyle name="Note 5 2 3 2" xfId="35937" xr:uid="{00000000-0005-0000-0000-000060A20000}"/>
    <cellStyle name="Note 5 2 3 3" xfId="27020" xr:uid="{00000000-0005-0000-0000-000061A20000}"/>
    <cellStyle name="Note 5 2 4" xfId="27021" xr:uid="{00000000-0005-0000-0000-000062A20000}"/>
    <cellStyle name="Note 5 2 4 2" xfId="38004" xr:uid="{00000000-0005-0000-0000-000063A20000}"/>
    <cellStyle name="Note 5 2 5" xfId="27022" xr:uid="{00000000-0005-0000-0000-000064A20000}"/>
    <cellStyle name="Note 5 2 6" xfId="27023" xr:uid="{00000000-0005-0000-0000-000065A20000}"/>
    <cellStyle name="Note 5 2 7" xfId="27024" xr:uid="{00000000-0005-0000-0000-000066A20000}"/>
    <cellStyle name="Note 5 3" xfId="1810" xr:uid="{00000000-0005-0000-0000-000067A20000}"/>
    <cellStyle name="Note 5 3 2" xfId="4123" xr:uid="{00000000-0005-0000-0000-000068A20000}"/>
    <cellStyle name="Note 5 3 2 2" xfId="14497" xr:uid="{00000000-0005-0000-0000-000069A20000}"/>
    <cellStyle name="Note 5 3 2 3" xfId="35527" xr:uid="{00000000-0005-0000-0000-00006AA20000}"/>
    <cellStyle name="Note 5 3 2 4" xfId="10876" xr:uid="{00000000-0005-0000-0000-00006BA20000}"/>
    <cellStyle name="Note 5 3 3" xfId="4981" xr:uid="{00000000-0005-0000-0000-00006CA20000}"/>
    <cellStyle name="Note 5 3 3 2" xfId="35938" xr:uid="{00000000-0005-0000-0000-00006DA20000}"/>
    <cellStyle name="Note 5 3 3 3" xfId="27025" xr:uid="{00000000-0005-0000-0000-00006EA20000}"/>
    <cellStyle name="Note 5 3 4" xfId="27026" xr:uid="{00000000-0005-0000-0000-00006FA20000}"/>
    <cellStyle name="Note 5 3 4 2" xfId="38005" xr:uid="{00000000-0005-0000-0000-000070A20000}"/>
    <cellStyle name="Note 5 3 5" xfId="27027" xr:uid="{00000000-0005-0000-0000-000071A20000}"/>
    <cellStyle name="Note 5 3 6" xfId="27028" xr:uid="{00000000-0005-0000-0000-000072A20000}"/>
    <cellStyle name="Note 5 3 7" xfId="27029" xr:uid="{00000000-0005-0000-0000-000073A20000}"/>
    <cellStyle name="Note 5 4" xfId="1811" xr:uid="{00000000-0005-0000-0000-000074A20000}"/>
    <cellStyle name="Note 5 4 2" xfId="4124" xr:uid="{00000000-0005-0000-0000-000075A20000}"/>
    <cellStyle name="Note 5 4 2 2" xfId="14498" xr:uid="{00000000-0005-0000-0000-000076A20000}"/>
    <cellStyle name="Note 5 4 2 3" xfId="35528" xr:uid="{00000000-0005-0000-0000-000077A20000}"/>
    <cellStyle name="Note 5 4 2 4" xfId="10877" xr:uid="{00000000-0005-0000-0000-000078A20000}"/>
    <cellStyle name="Note 5 4 3" xfId="4982" xr:uid="{00000000-0005-0000-0000-000079A20000}"/>
    <cellStyle name="Note 5 4 3 2" xfId="35939" xr:uid="{00000000-0005-0000-0000-00007AA20000}"/>
    <cellStyle name="Note 5 4 3 3" xfId="27030" xr:uid="{00000000-0005-0000-0000-00007BA20000}"/>
    <cellStyle name="Note 5 4 4" xfId="27031" xr:uid="{00000000-0005-0000-0000-00007CA20000}"/>
    <cellStyle name="Note 5 4 4 2" xfId="38006" xr:uid="{00000000-0005-0000-0000-00007DA20000}"/>
    <cellStyle name="Note 5 4 5" xfId="27032" xr:uid="{00000000-0005-0000-0000-00007EA20000}"/>
    <cellStyle name="Note 5 4 6" xfId="27033" xr:uid="{00000000-0005-0000-0000-00007FA20000}"/>
    <cellStyle name="Note 5 4 7" xfId="27034" xr:uid="{00000000-0005-0000-0000-000080A20000}"/>
    <cellStyle name="Note 5 5" xfId="4121" xr:uid="{00000000-0005-0000-0000-000081A20000}"/>
    <cellStyle name="Note 5 5 2" xfId="14495" xr:uid="{00000000-0005-0000-0000-000082A20000}"/>
    <cellStyle name="Note 5 5 3" xfId="35525" xr:uid="{00000000-0005-0000-0000-000083A20000}"/>
    <cellStyle name="Note 5 5 4" xfId="10874" xr:uid="{00000000-0005-0000-0000-000084A20000}"/>
    <cellStyle name="Note 5 6" xfId="4979" xr:uid="{00000000-0005-0000-0000-000085A20000}"/>
    <cellStyle name="Note 5 6 2" xfId="35936" xr:uid="{00000000-0005-0000-0000-000086A20000}"/>
    <cellStyle name="Note 5 6 3" xfId="27035" xr:uid="{00000000-0005-0000-0000-000087A20000}"/>
    <cellStyle name="Note 5 7" xfId="27036" xr:uid="{00000000-0005-0000-0000-000088A20000}"/>
    <cellStyle name="Note 5 7 2" xfId="38003" xr:uid="{00000000-0005-0000-0000-000089A20000}"/>
    <cellStyle name="Note 5 8" xfId="27037" xr:uid="{00000000-0005-0000-0000-00008AA20000}"/>
    <cellStyle name="Note 5 9" xfId="27038" xr:uid="{00000000-0005-0000-0000-00008BA20000}"/>
    <cellStyle name="Note 6" xfId="1812" xr:uid="{00000000-0005-0000-0000-00008CA20000}"/>
    <cellStyle name="Note 6 10" xfId="4125" xr:uid="{00000000-0005-0000-0000-00008DA20000}"/>
    <cellStyle name="Note 6 10 2" xfId="10879" xr:uid="{00000000-0005-0000-0000-00008EA20000}"/>
    <cellStyle name="Note 6 10 2 2" xfId="14500" xr:uid="{00000000-0005-0000-0000-00008FA20000}"/>
    <cellStyle name="Note 6 10 3" xfId="27039" xr:uid="{00000000-0005-0000-0000-000090A20000}"/>
    <cellStyle name="Note 6 10 4" xfId="27040" xr:uid="{00000000-0005-0000-0000-000091A20000}"/>
    <cellStyle name="Note 6 10 5" xfId="27041" xr:uid="{00000000-0005-0000-0000-000092A20000}"/>
    <cellStyle name="Note 6 10 6" xfId="27042" xr:uid="{00000000-0005-0000-0000-000093A20000}"/>
    <cellStyle name="Note 6 11" xfId="4983" xr:uid="{00000000-0005-0000-0000-000094A20000}"/>
    <cellStyle name="Note 6 11 2" xfId="10880" xr:uid="{00000000-0005-0000-0000-000095A20000}"/>
    <cellStyle name="Note 6 11 2 2" xfId="14501" xr:uid="{00000000-0005-0000-0000-000096A20000}"/>
    <cellStyle name="Note 6 11 3" xfId="27043" xr:uid="{00000000-0005-0000-0000-000097A20000}"/>
    <cellStyle name="Note 6 11 4" xfId="27044" xr:uid="{00000000-0005-0000-0000-000098A20000}"/>
    <cellStyle name="Note 6 11 5" xfId="27045" xr:uid="{00000000-0005-0000-0000-000099A20000}"/>
    <cellStyle name="Note 6 11 6" xfId="27046" xr:uid="{00000000-0005-0000-0000-00009AA20000}"/>
    <cellStyle name="Note 6 11 7" xfId="35940" xr:uid="{00000000-0005-0000-0000-00009BA20000}"/>
    <cellStyle name="Note 6 11 8" xfId="8323" xr:uid="{00000000-0005-0000-0000-00009CA20000}"/>
    <cellStyle name="Note 6 12" xfId="10878" xr:uid="{00000000-0005-0000-0000-00009DA20000}"/>
    <cellStyle name="Note 6 12 2" xfId="14499" xr:uid="{00000000-0005-0000-0000-00009EA20000}"/>
    <cellStyle name="Note 6 12 3" xfId="38007" xr:uid="{00000000-0005-0000-0000-00009FA20000}"/>
    <cellStyle name="Note 6 13" xfId="27047" xr:uid="{00000000-0005-0000-0000-0000A0A20000}"/>
    <cellStyle name="Note 6 14" xfId="27048" xr:uid="{00000000-0005-0000-0000-0000A1A20000}"/>
    <cellStyle name="Note 6 15" xfId="27049" xr:uid="{00000000-0005-0000-0000-0000A2A20000}"/>
    <cellStyle name="Note 6 16" xfId="27050" xr:uid="{00000000-0005-0000-0000-0000A3A20000}"/>
    <cellStyle name="Note 6 17" xfId="27051" xr:uid="{00000000-0005-0000-0000-0000A4A20000}"/>
    <cellStyle name="Note 6 2" xfId="1813" xr:uid="{00000000-0005-0000-0000-0000A5A20000}"/>
    <cellStyle name="Note 6 2 10" xfId="4984" xr:uid="{00000000-0005-0000-0000-0000A6A20000}"/>
    <cellStyle name="Note 6 2 10 2" xfId="14502" xr:uid="{00000000-0005-0000-0000-0000A7A20000}"/>
    <cellStyle name="Note 6 2 10 3" xfId="35941" xr:uid="{00000000-0005-0000-0000-0000A8A20000}"/>
    <cellStyle name="Note 6 2 10 4" xfId="10881" xr:uid="{00000000-0005-0000-0000-0000A9A20000}"/>
    <cellStyle name="Note 6 2 11" xfId="27052" xr:uid="{00000000-0005-0000-0000-0000AAA20000}"/>
    <cellStyle name="Note 6 2 11 2" xfId="38008" xr:uid="{00000000-0005-0000-0000-0000ABA20000}"/>
    <cellStyle name="Note 6 2 12" xfId="27053" xr:uid="{00000000-0005-0000-0000-0000ACA20000}"/>
    <cellStyle name="Note 6 2 13" xfId="27054" xr:uid="{00000000-0005-0000-0000-0000ADA20000}"/>
    <cellStyle name="Note 6 2 14" xfId="27055" xr:uid="{00000000-0005-0000-0000-0000AEA20000}"/>
    <cellStyle name="Note 6 2 15" xfId="27056" xr:uid="{00000000-0005-0000-0000-0000AFA20000}"/>
    <cellStyle name="Note 6 2 2" xfId="1814" xr:uid="{00000000-0005-0000-0000-0000B0A20000}"/>
    <cellStyle name="Note 6 2 2 10" xfId="27057" xr:uid="{00000000-0005-0000-0000-0000B1A20000}"/>
    <cellStyle name="Note 6 2 2 2" xfId="4128" xr:uid="{00000000-0005-0000-0000-0000B2A20000}"/>
    <cellStyle name="Note 6 2 2 2 2" xfId="5576" xr:uid="{00000000-0005-0000-0000-0000B3A20000}"/>
    <cellStyle name="Note 6 2 2 2 2 2" xfId="10884" xr:uid="{00000000-0005-0000-0000-0000B4A20000}"/>
    <cellStyle name="Note 6 2 2 2 2 2 2" xfId="14505" xr:uid="{00000000-0005-0000-0000-0000B5A20000}"/>
    <cellStyle name="Note 6 2 2 2 2 3" xfId="27058" xr:uid="{00000000-0005-0000-0000-0000B6A20000}"/>
    <cellStyle name="Note 6 2 2 2 2 4" xfId="27059" xr:uid="{00000000-0005-0000-0000-0000B7A20000}"/>
    <cellStyle name="Note 6 2 2 2 2 5" xfId="27060" xr:uid="{00000000-0005-0000-0000-0000B8A20000}"/>
    <cellStyle name="Note 6 2 2 2 2 6" xfId="27061" xr:uid="{00000000-0005-0000-0000-0000B9A20000}"/>
    <cellStyle name="Note 6 2 2 2 3" xfId="10883" xr:uid="{00000000-0005-0000-0000-0000BAA20000}"/>
    <cellStyle name="Note 6 2 2 2 3 2" xfId="14504" xr:uid="{00000000-0005-0000-0000-0000BBA20000}"/>
    <cellStyle name="Note 6 2 2 2 3 3" xfId="38572" xr:uid="{00000000-0005-0000-0000-0000BCA20000}"/>
    <cellStyle name="Note 6 2 2 2 4" xfId="27062" xr:uid="{00000000-0005-0000-0000-0000BDA20000}"/>
    <cellStyle name="Note 6 2 2 2 5" xfId="27063" xr:uid="{00000000-0005-0000-0000-0000BEA20000}"/>
    <cellStyle name="Note 6 2 2 2 6" xfId="27064" xr:uid="{00000000-0005-0000-0000-0000BFA20000}"/>
    <cellStyle name="Note 6 2 2 2 7" xfId="27065" xr:uid="{00000000-0005-0000-0000-0000C0A20000}"/>
    <cellStyle name="Note 6 2 2 3" xfId="4129" xr:uid="{00000000-0005-0000-0000-0000C1A20000}"/>
    <cellStyle name="Note 6 2 2 3 2" xfId="5577" xr:uid="{00000000-0005-0000-0000-0000C2A20000}"/>
    <cellStyle name="Note 6 2 2 3 2 2" xfId="10886" xr:uid="{00000000-0005-0000-0000-0000C3A20000}"/>
    <cellStyle name="Note 6 2 2 3 2 2 2" xfId="14507" xr:uid="{00000000-0005-0000-0000-0000C4A20000}"/>
    <cellStyle name="Note 6 2 2 3 2 3" xfId="27066" xr:uid="{00000000-0005-0000-0000-0000C5A20000}"/>
    <cellStyle name="Note 6 2 2 3 2 4" xfId="27067" xr:uid="{00000000-0005-0000-0000-0000C6A20000}"/>
    <cellStyle name="Note 6 2 2 3 2 5" xfId="27068" xr:uid="{00000000-0005-0000-0000-0000C7A20000}"/>
    <cellStyle name="Note 6 2 2 3 2 6" xfId="27069" xr:uid="{00000000-0005-0000-0000-0000C8A20000}"/>
    <cellStyle name="Note 6 2 2 3 3" xfId="10885" xr:uid="{00000000-0005-0000-0000-0000C9A20000}"/>
    <cellStyle name="Note 6 2 2 3 3 2" xfId="14506" xr:uid="{00000000-0005-0000-0000-0000CAA20000}"/>
    <cellStyle name="Note 6 2 2 3 3 3" xfId="38573" xr:uid="{00000000-0005-0000-0000-0000CBA20000}"/>
    <cellStyle name="Note 6 2 2 3 4" xfId="27070" xr:uid="{00000000-0005-0000-0000-0000CCA20000}"/>
    <cellStyle name="Note 6 2 2 3 5" xfId="27071" xr:uid="{00000000-0005-0000-0000-0000CDA20000}"/>
    <cellStyle name="Note 6 2 2 3 6" xfId="27072" xr:uid="{00000000-0005-0000-0000-0000CEA20000}"/>
    <cellStyle name="Note 6 2 2 3 7" xfId="27073" xr:uid="{00000000-0005-0000-0000-0000CFA20000}"/>
    <cellStyle name="Note 6 2 2 4" xfId="4127" xr:uid="{00000000-0005-0000-0000-0000D0A20000}"/>
    <cellStyle name="Note 6 2 2 4 2" xfId="10887" xr:uid="{00000000-0005-0000-0000-0000D1A20000}"/>
    <cellStyle name="Note 6 2 2 4 2 2" xfId="14508" xr:uid="{00000000-0005-0000-0000-0000D2A20000}"/>
    <cellStyle name="Note 6 2 2 4 3" xfId="27074" xr:uid="{00000000-0005-0000-0000-0000D3A20000}"/>
    <cellStyle name="Note 6 2 2 4 4" xfId="27075" xr:uid="{00000000-0005-0000-0000-0000D4A20000}"/>
    <cellStyle name="Note 6 2 2 4 5" xfId="27076" xr:uid="{00000000-0005-0000-0000-0000D5A20000}"/>
    <cellStyle name="Note 6 2 2 4 6" xfId="27077" xr:uid="{00000000-0005-0000-0000-0000D6A20000}"/>
    <cellStyle name="Note 6 2 2 5" xfId="4985" xr:uid="{00000000-0005-0000-0000-0000D7A20000}"/>
    <cellStyle name="Note 6 2 2 5 2" xfId="14503" xr:uid="{00000000-0005-0000-0000-0000D8A20000}"/>
    <cellStyle name="Note 6 2 2 5 3" xfId="35942" xr:uid="{00000000-0005-0000-0000-0000D9A20000}"/>
    <cellStyle name="Note 6 2 2 5 4" xfId="10882" xr:uid="{00000000-0005-0000-0000-0000DAA20000}"/>
    <cellStyle name="Note 6 2 2 6" xfId="27078" xr:uid="{00000000-0005-0000-0000-0000DBA20000}"/>
    <cellStyle name="Note 6 2 2 6 2" xfId="38009" xr:uid="{00000000-0005-0000-0000-0000DCA20000}"/>
    <cellStyle name="Note 6 2 2 7" xfId="27079" xr:uid="{00000000-0005-0000-0000-0000DDA20000}"/>
    <cellStyle name="Note 6 2 2 8" xfId="27080" xr:uid="{00000000-0005-0000-0000-0000DEA20000}"/>
    <cellStyle name="Note 6 2 2 9" xfId="27081" xr:uid="{00000000-0005-0000-0000-0000DFA20000}"/>
    <cellStyle name="Note 6 2 3" xfId="1815" xr:uid="{00000000-0005-0000-0000-0000E0A20000}"/>
    <cellStyle name="Note 6 2 3 10" xfId="27082" xr:uid="{00000000-0005-0000-0000-0000E1A20000}"/>
    <cellStyle name="Note 6 2 3 2" xfId="4131" xr:uid="{00000000-0005-0000-0000-0000E2A20000}"/>
    <cellStyle name="Note 6 2 3 2 2" xfId="5578" xr:uid="{00000000-0005-0000-0000-0000E3A20000}"/>
    <cellStyle name="Note 6 2 3 2 2 2" xfId="10890" xr:uid="{00000000-0005-0000-0000-0000E4A20000}"/>
    <cellStyle name="Note 6 2 3 2 2 2 2" xfId="14511" xr:uid="{00000000-0005-0000-0000-0000E5A20000}"/>
    <cellStyle name="Note 6 2 3 2 2 3" xfId="27083" xr:uid="{00000000-0005-0000-0000-0000E6A20000}"/>
    <cellStyle name="Note 6 2 3 2 2 4" xfId="27084" xr:uid="{00000000-0005-0000-0000-0000E7A20000}"/>
    <cellStyle name="Note 6 2 3 2 2 5" xfId="27085" xr:uid="{00000000-0005-0000-0000-0000E8A20000}"/>
    <cellStyle name="Note 6 2 3 2 2 6" xfId="27086" xr:uid="{00000000-0005-0000-0000-0000E9A20000}"/>
    <cellStyle name="Note 6 2 3 2 3" xfId="10889" xr:uid="{00000000-0005-0000-0000-0000EAA20000}"/>
    <cellStyle name="Note 6 2 3 2 3 2" xfId="14510" xr:uid="{00000000-0005-0000-0000-0000EBA20000}"/>
    <cellStyle name="Note 6 2 3 2 3 3" xfId="38574" xr:uid="{00000000-0005-0000-0000-0000ECA20000}"/>
    <cellStyle name="Note 6 2 3 2 4" xfId="27087" xr:uid="{00000000-0005-0000-0000-0000EDA20000}"/>
    <cellStyle name="Note 6 2 3 2 5" xfId="27088" xr:uid="{00000000-0005-0000-0000-0000EEA20000}"/>
    <cellStyle name="Note 6 2 3 2 6" xfId="27089" xr:uid="{00000000-0005-0000-0000-0000EFA20000}"/>
    <cellStyle name="Note 6 2 3 2 7" xfId="27090" xr:uid="{00000000-0005-0000-0000-0000F0A20000}"/>
    <cellStyle name="Note 6 2 3 3" xfId="4132" xr:uid="{00000000-0005-0000-0000-0000F1A20000}"/>
    <cellStyle name="Note 6 2 3 3 2" xfId="5579" xr:uid="{00000000-0005-0000-0000-0000F2A20000}"/>
    <cellStyle name="Note 6 2 3 3 2 2" xfId="10892" xr:uid="{00000000-0005-0000-0000-0000F3A20000}"/>
    <cellStyle name="Note 6 2 3 3 2 2 2" xfId="14513" xr:uid="{00000000-0005-0000-0000-0000F4A20000}"/>
    <cellStyle name="Note 6 2 3 3 2 3" xfId="27091" xr:uid="{00000000-0005-0000-0000-0000F5A20000}"/>
    <cellStyle name="Note 6 2 3 3 2 4" xfId="27092" xr:uid="{00000000-0005-0000-0000-0000F6A20000}"/>
    <cellStyle name="Note 6 2 3 3 2 5" xfId="27093" xr:uid="{00000000-0005-0000-0000-0000F7A20000}"/>
    <cellStyle name="Note 6 2 3 3 2 6" xfId="27094" xr:uid="{00000000-0005-0000-0000-0000F8A20000}"/>
    <cellStyle name="Note 6 2 3 3 3" xfId="10891" xr:uid="{00000000-0005-0000-0000-0000F9A20000}"/>
    <cellStyle name="Note 6 2 3 3 3 2" xfId="14512" xr:uid="{00000000-0005-0000-0000-0000FAA20000}"/>
    <cellStyle name="Note 6 2 3 3 3 3" xfId="38575" xr:uid="{00000000-0005-0000-0000-0000FBA20000}"/>
    <cellStyle name="Note 6 2 3 3 4" xfId="27095" xr:uid="{00000000-0005-0000-0000-0000FCA20000}"/>
    <cellStyle name="Note 6 2 3 3 5" xfId="27096" xr:uid="{00000000-0005-0000-0000-0000FDA20000}"/>
    <cellStyle name="Note 6 2 3 3 6" xfId="27097" xr:uid="{00000000-0005-0000-0000-0000FEA20000}"/>
    <cellStyle name="Note 6 2 3 3 7" xfId="27098" xr:uid="{00000000-0005-0000-0000-0000FFA20000}"/>
    <cellStyle name="Note 6 2 3 4" xfId="4130" xr:uid="{00000000-0005-0000-0000-000000A30000}"/>
    <cellStyle name="Note 6 2 3 4 2" xfId="10893" xr:uid="{00000000-0005-0000-0000-000001A30000}"/>
    <cellStyle name="Note 6 2 3 4 2 2" xfId="14514" xr:uid="{00000000-0005-0000-0000-000002A30000}"/>
    <cellStyle name="Note 6 2 3 4 3" xfId="27099" xr:uid="{00000000-0005-0000-0000-000003A30000}"/>
    <cellStyle name="Note 6 2 3 4 4" xfId="27100" xr:uid="{00000000-0005-0000-0000-000004A30000}"/>
    <cellStyle name="Note 6 2 3 4 5" xfId="27101" xr:uid="{00000000-0005-0000-0000-000005A30000}"/>
    <cellStyle name="Note 6 2 3 4 6" xfId="27102" xr:uid="{00000000-0005-0000-0000-000006A30000}"/>
    <cellStyle name="Note 6 2 3 5" xfId="4986" xr:uid="{00000000-0005-0000-0000-000007A30000}"/>
    <cellStyle name="Note 6 2 3 5 2" xfId="14509" xr:uid="{00000000-0005-0000-0000-000008A30000}"/>
    <cellStyle name="Note 6 2 3 5 3" xfId="35943" xr:uid="{00000000-0005-0000-0000-000009A30000}"/>
    <cellStyle name="Note 6 2 3 5 4" xfId="10888" xr:uid="{00000000-0005-0000-0000-00000AA30000}"/>
    <cellStyle name="Note 6 2 3 6" xfId="27103" xr:uid="{00000000-0005-0000-0000-00000BA30000}"/>
    <cellStyle name="Note 6 2 3 6 2" xfId="38010" xr:uid="{00000000-0005-0000-0000-00000CA30000}"/>
    <cellStyle name="Note 6 2 3 7" xfId="27104" xr:uid="{00000000-0005-0000-0000-00000DA30000}"/>
    <cellStyle name="Note 6 2 3 8" xfId="27105" xr:uid="{00000000-0005-0000-0000-00000EA30000}"/>
    <cellStyle name="Note 6 2 3 9" xfId="27106" xr:uid="{00000000-0005-0000-0000-00000FA30000}"/>
    <cellStyle name="Note 6 2 4" xfId="1816" xr:uid="{00000000-0005-0000-0000-000010A30000}"/>
    <cellStyle name="Note 6 2 4 2" xfId="4133" xr:uid="{00000000-0005-0000-0000-000011A30000}"/>
    <cellStyle name="Note 6 2 4 2 2" xfId="10895" xr:uid="{00000000-0005-0000-0000-000012A30000}"/>
    <cellStyle name="Note 6 2 4 2 2 2" xfId="14516" xr:uid="{00000000-0005-0000-0000-000013A30000}"/>
    <cellStyle name="Note 6 2 4 2 3" xfId="27107" xr:uid="{00000000-0005-0000-0000-000014A30000}"/>
    <cellStyle name="Note 6 2 4 2 4" xfId="27108" xr:uid="{00000000-0005-0000-0000-000015A30000}"/>
    <cellStyle name="Note 6 2 4 2 5" xfId="27109" xr:uid="{00000000-0005-0000-0000-000016A30000}"/>
    <cellStyle name="Note 6 2 4 2 6" xfId="27110" xr:uid="{00000000-0005-0000-0000-000017A30000}"/>
    <cellStyle name="Note 6 2 4 3" xfId="4987" xr:uid="{00000000-0005-0000-0000-000018A30000}"/>
    <cellStyle name="Note 6 2 4 3 2" xfId="14515" xr:uid="{00000000-0005-0000-0000-000019A30000}"/>
    <cellStyle name="Note 6 2 4 3 3" xfId="35944" xr:uid="{00000000-0005-0000-0000-00001AA30000}"/>
    <cellStyle name="Note 6 2 4 3 4" xfId="10894" xr:uid="{00000000-0005-0000-0000-00001BA30000}"/>
    <cellStyle name="Note 6 2 4 4" xfId="27111" xr:uid="{00000000-0005-0000-0000-00001CA30000}"/>
    <cellStyle name="Note 6 2 4 4 2" xfId="38011" xr:uid="{00000000-0005-0000-0000-00001DA30000}"/>
    <cellStyle name="Note 6 2 4 5" xfId="27112" xr:uid="{00000000-0005-0000-0000-00001EA30000}"/>
    <cellStyle name="Note 6 2 4 6" xfId="27113" xr:uid="{00000000-0005-0000-0000-00001FA30000}"/>
    <cellStyle name="Note 6 2 4 7" xfId="27114" xr:uid="{00000000-0005-0000-0000-000020A30000}"/>
    <cellStyle name="Note 6 2 4 8" xfId="27115" xr:uid="{00000000-0005-0000-0000-000021A30000}"/>
    <cellStyle name="Note 6 2 5" xfId="4134" xr:uid="{00000000-0005-0000-0000-000022A30000}"/>
    <cellStyle name="Note 6 2 5 2" xfId="5580" xr:uid="{00000000-0005-0000-0000-000023A30000}"/>
    <cellStyle name="Note 6 2 5 2 2" xfId="10897" xr:uid="{00000000-0005-0000-0000-000024A30000}"/>
    <cellStyle name="Note 6 2 5 2 2 2" xfId="14518" xr:uid="{00000000-0005-0000-0000-000025A30000}"/>
    <cellStyle name="Note 6 2 5 2 3" xfId="27116" xr:uid="{00000000-0005-0000-0000-000026A30000}"/>
    <cellStyle name="Note 6 2 5 2 4" xfId="27117" xr:uid="{00000000-0005-0000-0000-000027A30000}"/>
    <cellStyle name="Note 6 2 5 2 5" xfId="27118" xr:uid="{00000000-0005-0000-0000-000028A30000}"/>
    <cellStyle name="Note 6 2 5 2 6" xfId="27119" xr:uid="{00000000-0005-0000-0000-000029A30000}"/>
    <cellStyle name="Note 6 2 5 3" xfId="10896" xr:uid="{00000000-0005-0000-0000-00002AA30000}"/>
    <cellStyle name="Note 6 2 5 3 2" xfId="14517" xr:uid="{00000000-0005-0000-0000-00002BA30000}"/>
    <cellStyle name="Note 6 2 5 3 3" xfId="38576" xr:uid="{00000000-0005-0000-0000-00002CA30000}"/>
    <cellStyle name="Note 6 2 5 4" xfId="27120" xr:uid="{00000000-0005-0000-0000-00002DA30000}"/>
    <cellStyle name="Note 6 2 5 5" xfId="27121" xr:uid="{00000000-0005-0000-0000-00002EA30000}"/>
    <cellStyle name="Note 6 2 5 6" xfId="27122" xr:uid="{00000000-0005-0000-0000-00002FA30000}"/>
    <cellStyle name="Note 6 2 5 7" xfId="27123" xr:uid="{00000000-0005-0000-0000-000030A30000}"/>
    <cellStyle name="Note 6 2 6" xfId="4135" xr:uid="{00000000-0005-0000-0000-000031A30000}"/>
    <cellStyle name="Note 6 2 6 2" xfId="5581" xr:uid="{00000000-0005-0000-0000-000032A30000}"/>
    <cellStyle name="Note 6 2 6 2 2" xfId="10899" xr:uid="{00000000-0005-0000-0000-000033A30000}"/>
    <cellStyle name="Note 6 2 6 2 2 2" xfId="14520" xr:uid="{00000000-0005-0000-0000-000034A30000}"/>
    <cellStyle name="Note 6 2 6 2 3" xfId="27124" xr:uid="{00000000-0005-0000-0000-000035A30000}"/>
    <cellStyle name="Note 6 2 6 2 4" xfId="27125" xr:uid="{00000000-0005-0000-0000-000036A30000}"/>
    <cellStyle name="Note 6 2 6 2 5" xfId="27126" xr:uid="{00000000-0005-0000-0000-000037A30000}"/>
    <cellStyle name="Note 6 2 6 2 6" xfId="27127" xr:uid="{00000000-0005-0000-0000-000038A30000}"/>
    <cellStyle name="Note 6 2 6 3" xfId="10898" xr:uid="{00000000-0005-0000-0000-000039A30000}"/>
    <cellStyle name="Note 6 2 6 3 2" xfId="14519" xr:uid="{00000000-0005-0000-0000-00003AA30000}"/>
    <cellStyle name="Note 6 2 6 3 3" xfId="38577" xr:uid="{00000000-0005-0000-0000-00003BA30000}"/>
    <cellStyle name="Note 6 2 6 4" xfId="27128" xr:uid="{00000000-0005-0000-0000-00003CA30000}"/>
    <cellStyle name="Note 6 2 6 5" xfId="27129" xr:uid="{00000000-0005-0000-0000-00003DA30000}"/>
    <cellStyle name="Note 6 2 6 6" xfId="27130" xr:uid="{00000000-0005-0000-0000-00003EA30000}"/>
    <cellStyle name="Note 6 2 6 7" xfId="27131" xr:uid="{00000000-0005-0000-0000-00003FA30000}"/>
    <cellStyle name="Note 6 2 7" xfId="4136" xr:uid="{00000000-0005-0000-0000-000040A30000}"/>
    <cellStyle name="Note 6 2 7 2" xfId="5582" xr:uid="{00000000-0005-0000-0000-000041A30000}"/>
    <cellStyle name="Note 6 2 7 2 2" xfId="10901" xr:uid="{00000000-0005-0000-0000-000042A30000}"/>
    <cellStyle name="Note 6 2 7 2 2 2" xfId="14522" xr:uid="{00000000-0005-0000-0000-000043A30000}"/>
    <cellStyle name="Note 6 2 7 2 3" xfId="27132" xr:uid="{00000000-0005-0000-0000-000044A30000}"/>
    <cellStyle name="Note 6 2 7 2 4" xfId="27133" xr:uid="{00000000-0005-0000-0000-000045A30000}"/>
    <cellStyle name="Note 6 2 7 2 5" xfId="27134" xr:uid="{00000000-0005-0000-0000-000046A30000}"/>
    <cellStyle name="Note 6 2 7 2 6" xfId="27135" xr:uid="{00000000-0005-0000-0000-000047A30000}"/>
    <cellStyle name="Note 6 2 7 3" xfId="10900" xr:uid="{00000000-0005-0000-0000-000048A30000}"/>
    <cellStyle name="Note 6 2 7 3 2" xfId="14521" xr:uid="{00000000-0005-0000-0000-000049A30000}"/>
    <cellStyle name="Note 6 2 7 3 3" xfId="38578" xr:uid="{00000000-0005-0000-0000-00004AA30000}"/>
    <cellStyle name="Note 6 2 7 4" xfId="27136" xr:uid="{00000000-0005-0000-0000-00004BA30000}"/>
    <cellStyle name="Note 6 2 7 5" xfId="27137" xr:uid="{00000000-0005-0000-0000-00004CA30000}"/>
    <cellStyle name="Note 6 2 7 6" xfId="27138" xr:uid="{00000000-0005-0000-0000-00004DA30000}"/>
    <cellStyle name="Note 6 2 7 7" xfId="27139" xr:uid="{00000000-0005-0000-0000-00004EA30000}"/>
    <cellStyle name="Note 6 2 8" xfId="4137" xr:uid="{00000000-0005-0000-0000-00004FA30000}"/>
    <cellStyle name="Note 6 2 8 2" xfId="5583" xr:uid="{00000000-0005-0000-0000-000050A30000}"/>
    <cellStyle name="Note 6 2 8 2 2" xfId="10903" xr:uid="{00000000-0005-0000-0000-000051A30000}"/>
    <cellStyle name="Note 6 2 8 2 2 2" xfId="14524" xr:uid="{00000000-0005-0000-0000-000052A30000}"/>
    <cellStyle name="Note 6 2 8 2 3" xfId="27140" xr:uid="{00000000-0005-0000-0000-000053A30000}"/>
    <cellStyle name="Note 6 2 8 2 4" xfId="27141" xr:uid="{00000000-0005-0000-0000-000054A30000}"/>
    <cellStyle name="Note 6 2 8 2 5" xfId="27142" xr:uid="{00000000-0005-0000-0000-000055A30000}"/>
    <cellStyle name="Note 6 2 8 2 6" xfId="27143" xr:uid="{00000000-0005-0000-0000-000056A30000}"/>
    <cellStyle name="Note 6 2 8 3" xfId="10902" xr:uid="{00000000-0005-0000-0000-000057A30000}"/>
    <cellStyle name="Note 6 2 8 3 2" xfId="14523" xr:uid="{00000000-0005-0000-0000-000058A30000}"/>
    <cellStyle name="Note 6 2 8 3 3" xfId="38579" xr:uid="{00000000-0005-0000-0000-000059A30000}"/>
    <cellStyle name="Note 6 2 8 4" xfId="27144" xr:uid="{00000000-0005-0000-0000-00005AA30000}"/>
    <cellStyle name="Note 6 2 8 5" xfId="27145" xr:uid="{00000000-0005-0000-0000-00005BA30000}"/>
    <cellStyle name="Note 6 2 8 6" xfId="27146" xr:uid="{00000000-0005-0000-0000-00005CA30000}"/>
    <cellStyle name="Note 6 2 8 7" xfId="27147" xr:uid="{00000000-0005-0000-0000-00005DA30000}"/>
    <cellStyle name="Note 6 2 9" xfId="4126" xr:uid="{00000000-0005-0000-0000-00005EA30000}"/>
    <cellStyle name="Note 6 2 9 2" xfId="10904" xr:uid="{00000000-0005-0000-0000-00005FA30000}"/>
    <cellStyle name="Note 6 2 9 2 2" xfId="14525" xr:uid="{00000000-0005-0000-0000-000060A30000}"/>
    <cellStyle name="Note 6 2 9 3" xfId="27148" xr:uid="{00000000-0005-0000-0000-000061A30000}"/>
    <cellStyle name="Note 6 2 9 4" xfId="27149" xr:uid="{00000000-0005-0000-0000-000062A30000}"/>
    <cellStyle name="Note 6 2 9 5" xfId="27150" xr:uid="{00000000-0005-0000-0000-000063A30000}"/>
    <cellStyle name="Note 6 2 9 6" xfId="27151" xr:uid="{00000000-0005-0000-0000-000064A30000}"/>
    <cellStyle name="Note 6 2_IND_UC" xfId="4138" xr:uid="{00000000-0005-0000-0000-000065A30000}"/>
    <cellStyle name="Note 6 3" xfId="1817" xr:uid="{00000000-0005-0000-0000-000066A30000}"/>
    <cellStyle name="Note 6 3 10" xfId="27152" xr:uid="{00000000-0005-0000-0000-000067A30000}"/>
    <cellStyle name="Note 6 3 2" xfId="4140" xr:uid="{00000000-0005-0000-0000-000068A30000}"/>
    <cellStyle name="Note 6 3 2 2" xfId="5584" xr:uid="{00000000-0005-0000-0000-000069A30000}"/>
    <cellStyle name="Note 6 3 2 2 2" xfId="10907" xr:uid="{00000000-0005-0000-0000-00006AA30000}"/>
    <cellStyle name="Note 6 3 2 2 2 2" xfId="14528" xr:uid="{00000000-0005-0000-0000-00006BA30000}"/>
    <cellStyle name="Note 6 3 2 2 3" xfId="27153" xr:uid="{00000000-0005-0000-0000-00006CA30000}"/>
    <cellStyle name="Note 6 3 2 2 4" xfId="27154" xr:uid="{00000000-0005-0000-0000-00006DA30000}"/>
    <cellStyle name="Note 6 3 2 2 5" xfId="27155" xr:uid="{00000000-0005-0000-0000-00006EA30000}"/>
    <cellStyle name="Note 6 3 2 2 6" xfId="27156" xr:uid="{00000000-0005-0000-0000-00006FA30000}"/>
    <cellStyle name="Note 6 3 2 3" xfId="10906" xr:uid="{00000000-0005-0000-0000-000070A30000}"/>
    <cellStyle name="Note 6 3 2 3 2" xfId="14527" xr:uid="{00000000-0005-0000-0000-000071A30000}"/>
    <cellStyle name="Note 6 3 2 3 3" xfId="38580" xr:uid="{00000000-0005-0000-0000-000072A30000}"/>
    <cellStyle name="Note 6 3 2 4" xfId="27157" xr:uid="{00000000-0005-0000-0000-000073A30000}"/>
    <cellStyle name="Note 6 3 2 5" xfId="27158" xr:uid="{00000000-0005-0000-0000-000074A30000}"/>
    <cellStyle name="Note 6 3 2 6" xfId="27159" xr:uid="{00000000-0005-0000-0000-000075A30000}"/>
    <cellStyle name="Note 6 3 2 7" xfId="27160" xr:uid="{00000000-0005-0000-0000-000076A30000}"/>
    <cellStyle name="Note 6 3 3" xfId="4141" xr:uid="{00000000-0005-0000-0000-000077A30000}"/>
    <cellStyle name="Note 6 3 3 2" xfId="5585" xr:uid="{00000000-0005-0000-0000-000078A30000}"/>
    <cellStyle name="Note 6 3 3 2 2" xfId="10909" xr:uid="{00000000-0005-0000-0000-000079A30000}"/>
    <cellStyle name="Note 6 3 3 2 2 2" xfId="14530" xr:uid="{00000000-0005-0000-0000-00007AA30000}"/>
    <cellStyle name="Note 6 3 3 2 3" xfId="27161" xr:uid="{00000000-0005-0000-0000-00007BA30000}"/>
    <cellStyle name="Note 6 3 3 2 4" xfId="27162" xr:uid="{00000000-0005-0000-0000-00007CA30000}"/>
    <cellStyle name="Note 6 3 3 2 5" xfId="27163" xr:uid="{00000000-0005-0000-0000-00007DA30000}"/>
    <cellStyle name="Note 6 3 3 2 6" xfId="27164" xr:uid="{00000000-0005-0000-0000-00007EA30000}"/>
    <cellStyle name="Note 6 3 3 3" xfId="10908" xr:uid="{00000000-0005-0000-0000-00007FA30000}"/>
    <cellStyle name="Note 6 3 3 3 2" xfId="14529" xr:uid="{00000000-0005-0000-0000-000080A30000}"/>
    <cellStyle name="Note 6 3 3 3 3" xfId="38581" xr:uid="{00000000-0005-0000-0000-000081A30000}"/>
    <cellStyle name="Note 6 3 3 4" xfId="27165" xr:uid="{00000000-0005-0000-0000-000082A30000}"/>
    <cellStyle name="Note 6 3 3 5" xfId="27166" xr:uid="{00000000-0005-0000-0000-000083A30000}"/>
    <cellStyle name="Note 6 3 3 6" xfId="27167" xr:uid="{00000000-0005-0000-0000-000084A30000}"/>
    <cellStyle name="Note 6 3 3 7" xfId="27168" xr:uid="{00000000-0005-0000-0000-000085A30000}"/>
    <cellStyle name="Note 6 3 4" xfId="4139" xr:uid="{00000000-0005-0000-0000-000086A30000}"/>
    <cellStyle name="Note 6 3 4 2" xfId="10910" xr:uid="{00000000-0005-0000-0000-000087A30000}"/>
    <cellStyle name="Note 6 3 4 2 2" xfId="14531" xr:uid="{00000000-0005-0000-0000-000088A30000}"/>
    <cellStyle name="Note 6 3 4 3" xfId="27169" xr:uid="{00000000-0005-0000-0000-000089A30000}"/>
    <cellStyle name="Note 6 3 4 4" xfId="27170" xr:uid="{00000000-0005-0000-0000-00008AA30000}"/>
    <cellStyle name="Note 6 3 4 5" xfId="27171" xr:uid="{00000000-0005-0000-0000-00008BA30000}"/>
    <cellStyle name="Note 6 3 4 6" xfId="27172" xr:uid="{00000000-0005-0000-0000-00008CA30000}"/>
    <cellStyle name="Note 6 3 5" xfId="4988" xr:uid="{00000000-0005-0000-0000-00008DA30000}"/>
    <cellStyle name="Note 6 3 5 2" xfId="14526" xr:uid="{00000000-0005-0000-0000-00008EA30000}"/>
    <cellStyle name="Note 6 3 5 3" xfId="35945" xr:uid="{00000000-0005-0000-0000-00008FA30000}"/>
    <cellStyle name="Note 6 3 5 4" xfId="10905" xr:uid="{00000000-0005-0000-0000-000090A30000}"/>
    <cellStyle name="Note 6 3 6" xfId="27173" xr:uid="{00000000-0005-0000-0000-000091A30000}"/>
    <cellStyle name="Note 6 3 6 2" xfId="38012" xr:uid="{00000000-0005-0000-0000-000092A30000}"/>
    <cellStyle name="Note 6 3 7" xfId="27174" xr:uid="{00000000-0005-0000-0000-000093A30000}"/>
    <cellStyle name="Note 6 3 8" xfId="27175" xr:uid="{00000000-0005-0000-0000-000094A30000}"/>
    <cellStyle name="Note 6 3 9" xfId="27176" xr:uid="{00000000-0005-0000-0000-000095A30000}"/>
    <cellStyle name="Note 6 4" xfId="1818" xr:uid="{00000000-0005-0000-0000-000096A30000}"/>
    <cellStyle name="Note 6 4 10" xfId="27177" xr:uid="{00000000-0005-0000-0000-000097A30000}"/>
    <cellStyle name="Note 6 4 2" xfId="4143" xr:uid="{00000000-0005-0000-0000-000098A30000}"/>
    <cellStyle name="Note 6 4 2 2" xfId="5586" xr:uid="{00000000-0005-0000-0000-000099A30000}"/>
    <cellStyle name="Note 6 4 2 2 2" xfId="10913" xr:uid="{00000000-0005-0000-0000-00009AA30000}"/>
    <cellStyle name="Note 6 4 2 2 2 2" xfId="14534" xr:uid="{00000000-0005-0000-0000-00009BA30000}"/>
    <cellStyle name="Note 6 4 2 2 3" xfId="27178" xr:uid="{00000000-0005-0000-0000-00009CA30000}"/>
    <cellStyle name="Note 6 4 2 2 4" xfId="27179" xr:uid="{00000000-0005-0000-0000-00009DA30000}"/>
    <cellStyle name="Note 6 4 2 2 5" xfId="27180" xr:uid="{00000000-0005-0000-0000-00009EA30000}"/>
    <cellStyle name="Note 6 4 2 2 6" xfId="27181" xr:uid="{00000000-0005-0000-0000-00009FA30000}"/>
    <cellStyle name="Note 6 4 2 3" xfId="10912" xr:uid="{00000000-0005-0000-0000-0000A0A30000}"/>
    <cellStyle name="Note 6 4 2 3 2" xfId="14533" xr:uid="{00000000-0005-0000-0000-0000A1A30000}"/>
    <cellStyle name="Note 6 4 2 3 3" xfId="38582" xr:uid="{00000000-0005-0000-0000-0000A2A30000}"/>
    <cellStyle name="Note 6 4 2 4" xfId="27182" xr:uid="{00000000-0005-0000-0000-0000A3A30000}"/>
    <cellStyle name="Note 6 4 2 5" xfId="27183" xr:uid="{00000000-0005-0000-0000-0000A4A30000}"/>
    <cellStyle name="Note 6 4 2 6" xfId="27184" xr:uid="{00000000-0005-0000-0000-0000A5A30000}"/>
    <cellStyle name="Note 6 4 2 7" xfId="27185" xr:uid="{00000000-0005-0000-0000-0000A6A30000}"/>
    <cellStyle name="Note 6 4 3" xfId="4144" xr:uid="{00000000-0005-0000-0000-0000A7A30000}"/>
    <cellStyle name="Note 6 4 3 2" xfId="5587" xr:uid="{00000000-0005-0000-0000-0000A8A30000}"/>
    <cellStyle name="Note 6 4 3 2 2" xfId="10915" xr:uid="{00000000-0005-0000-0000-0000A9A30000}"/>
    <cellStyle name="Note 6 4 3 2 2 2" xfId="14536" xr:uid="{00000000-0005-0000-0000-0000AAA30000}"/>
    <cellStyle name="Note 6 4 3 2 3" xfId="27186" xr:uid="{00000000-0005-0000-0000-0000ABA30000}"/>
    <cellStyle name="Note 6 4 3 2 4" xfId="27187" xr:uid="{00000000-0005-0000-0000-0000ACA30000}"/>
    <cellStyle name="Note 6 4 3 2 5" xfId="27188" xr:uid="{00000000-0005-0000-0000-0000ADA30000}"/>
    <cellStyle name="Note 6 4 3 2 6" xfId="27189" xr:uid="{00000000-0005-0000-0000-0000AEA30000}"/>
    <cellStyle name="Note 6 4 3 3" xfId="10914" xr:uid="{00000000-0005-0000-0000-0000AFA30000}"/>
    <cellStyle name="Note 6 4 3 3 2" xfId="14535" xr:uid="{00000000-0005-0000-0000-0000B0A30000}"/>
    <cellStyle name="Note 6 4 3 3 3" xfId="38583" xr:uid="{00000000-0005-0000-0000-0000B1A30000}"/>
    <cellStyle name="Note 6 4 3 4" xfId="27190" xr:uid="{00000000-0005-0000-0000-0000B2A30000}"/>
    <cellStyle name="Note 6 4 3 5" xfId="27191" xr:uid="{00000000-0005-0000-0000-0000B3A30000}"/>
    <cellStyle name="Note 6 4 3 6" xfId="27192" xr:uid="{00000000-0005-0000-0000-0000B4A30000}"/>
    <cellStyle name="Note 6 4 3 7" xfId="27193" xr:uid="{00000000-0005-0000-0000-0000B5A30000}"/>
    <cellStyle name="Note 6 4 4" xfId="4142" xr:uid="{00000000-0005-0000-0000-0000B6A30000}"/>
    <cellStyle name="Note 6 4 4 2" xfId="10916" xr:uid="{00000000-0005-0000-0000-0000B7A30000}"/>
    <cellStyle name="Note 6 4 4 2 2" xfId="14537" xr:uid="{00000000-0005-0000-0000-0000B8A30000}"/>
    <cellStyle name="Note 6 4 4 3" xfId="27194" xr:uid="{00000000-0005-0000-0000-0000B9A30000}"/>
    <cellStyle name="Note 6 4 4 4" xfId="27195" xr:uid="{00000000-0005-0000-0000-0000BAA30000}"/>
    <cellStyle name="Note 6 4 4 5" xfId="27196" xr:uid="{00000000-0005-0000-0000-0000BBA30000}"/>
    <cellStyle name="Note 6 4 4 6" xfId="27197" xr:uid="{00000000-0005-0000-0000-0000BCA30000}"/>
    <cellStyle name="Note 6 4 5" xfId="4989" xr:uid="{00000000-0005-0000-0000-0000BDA30000}"/>
    <cellStyle name="Note 6 4 5 2" xfId="14532" xr:uid="{00000000-0005-0000-0000-0000BEA30000}"/>
    <cellStyle name="Note 6 4 5 3" xfId="35946" xr:uid="{00000000-0005-0000-0000-0000BFA30000}"/>
    <cellStyle name="Note 6 4 5 4" xfId="10911" xr:uid="{00000000-0005-0000-0000-0000C0A30000}"/>
    <cellStyle name="Note 6 4 6" xfId="27198" xr:uid="{00000000-0005-0000-0000-0000C1A30000}"/>
    <cellStyle name="Note 6 4 6 2" xfId="38013" xr:uid="{00000000-0005-0000-0000-0000C2A30000}"/>
    <cellStyle name="Note 6 4 7" xfId="27199" xr:uid="{00000000-0005-0000-0000-0000C3A30000}"/>
    <cellStyle name="Note 6 4 8" xfId="27200" xr:uid="{00000000-0005-0000-0000-0000C4A30000}"/>
    <cellStyle name="Note 6 4 9" xfId="27201" xr:uid="{00000000-0005-0000-0000-0000C5A30000}"/>
    <cellStyle name="Note 6 5" xfId="1819" xr:uid="{00000000-0005-0000-0000-0000C6A30000}"/>
    <cellStyle name="Note 6 5 2" xfId="4145" xr:uid="{00000000-0005-0000-0000-0000C7A30000}"/>
    <cellStyle name="Note 6 5 2 2" xfId="10918" xr:uid="{00000000-0005-0000-0000-0000C8A30000}"/>
    <cellStyle name="Note 6 5 2 2 2" xfId="14539" xr:uid="{00000000-0005-0000-0000-0000C9A30000}"/>
    <cellStyle name="Note 6 5 2 3" xfId="27202" xr:uid="{00000000-0005-0000-0000-0000CAA30000}"/>
    <cellStyle name="Note 6 5 2 4" xfId="27203" xr:uid="{00000000-0005-0000-0000-0000CBA30000}"/>
    <cellStyle name="Note 6 5 2 5" xfId="27204" xr:uid="{00000000-0005-0000-0000-0000CCA30000}"/>
    <cellStyle name="Note 6 5 2 6" xfId="27205" xr:uid="{00000000-0005-0000-0000-0000CDA30000}"/>
    <cellStyle name="Note 6 5 3" xfId="4990" xr:uid="{00000000-0005-0000-0000-0000CEA30000}"/>
    <cellStyle name="Note 6 5 3 2" xfId="14538" xr:uid="{00000000-0005-0000-0000-0000CFA30000}"/>
    <cellStyle name="Note 6 5 3 3" xfId="35947" xr:uid="{00000000-0005-0000-0000-0000D0A30000}"/>
    <cellStyle name="Note 6 5 3 4" xfId="10917" xr:uid="{00000000-0005-0000-0000-0000D1A30000}"/>
    <cellStyle name="Note 6 5 4" xfId="27206" xr:uid="{00000000-0005-0000-0000-0000D2A30000}"/>
    <cellStyle name="Note 6 5 4 2" xfId="38014" xr:uid="{00000000-0005-0000-0000-0000D3A30000}"/>
    <cellStyle name="Note 6 5 5" xfId="27207" xr:uid="{00000000-0005-0000-0000-0000D4A30000}"/>
    <cellStyle name="Note 6 5 6" xfId="27208" xr:uid="{00000000-0005-0000-0000-0000D5A30000}"/>
    <cellStyle name="Note 6 5 7" xfId="27209" xr:uid="{00000000-0005-0000-0000-0000D6A30000}"/>
    <cellStyle name="Note 6 5 8" xfId="27210" xr:uid="{00000000-0005-0000-0000-0000D7A30000}"/>
    <cellStyle name="Note 6 6" xfId="4146" xr:uid="{00000000-0005-0000-0000-0000D8A30000}"/>
    <cellStyle name="Note 6 6 2" xfId="5588" xr:uid="{00000000-0005-0000-0000-0000D9A30000}"/>
    <cellStyle name="Note 6 6 2 2" xfId="10920" xr:uid="{00000000-0005-0000-0000-0000DAA30000}"/>
    <cellStyle name="Note 6 6 2 2 2" xfId="14541" xr:uid="{00000000-0005-0000-0000-0000DBA30000}"/>
    <cellStyle name="Note 6 6 2 3" xfId="27211" xr:uid="{00000000-0005-0000-0000-0000DCA30000}"/>
    <cellStyle name="Note 6 6 2 4" xfId="27212" xr:uid="{00000000-0005-0000-0000-0000DDA30000}"/>
    <cellStyle name="Note 6 6 2 5" xfId="27213" xr:uid="{00000000-0005-0000-0000-0000DEA30000}"/>
    <cellStyle name="Note 6 6 2 6" xfId="27214" xr:uid="{00000000-0005-0000-0000-0000DFA30000}"/>
    <cellStyle name="Note 6 6 3" xfId="10919" xr:uid="{00000000-0005-0000-0000-0000E0A30000}"/>
    <cellStyle name="Note 6 6 3 2" xfId="14540" xr:uid="{00000000-0005-0000-0000-0000E1A30000}"/>
    <cellStyle name="Note 6 6 3 3" xfId="38584" xr:uid="{00000000-0005-0000-0000-0000E2A30000}"/>
    <cellStyle name="Note 6 6 4" xfId="27215" xr:uid="{00000000-0005-0000-0000-0000E3A30000}"/>
    <cellStyle name="Note 6 6 5" xfId="27216" xr:uid="{00000000-0005-0000-0000-0000E4A30000}"/>
    <cellStyle name="Note 6 6 6" xfId="27217" xr:uid="{00000000-0005-0000-0000-0000E5A30000}"/>
    <cellStyle name="Note 6 6 7" xfId="27218" xr:uid="{00000000-0005-0000-0000-0000E6A30000}"/>
    <cellStyle name="Note 6 7" xfId="4147" xr:uid="{00000000-0005-0000-0000-0000E7A30000}"/>
    <cellStyle name="Note 6 7 2" xfId="5589" xr:uid="{00000000-0005-0000-0000-0000E8A30000}"/>
    <cellStyle name="Note 6 7 2 2" xfId="10922" xr:uid="{00000000-0005-0000-0000-0000E9A30000}"/>
    <cellStyle name="Note 6 7 2 2 2" xfId="14543" xr:uid="{00000000-0005-0000-0000-0000EAA30000}"/>
    <cellStyle name="Note 6 7 2 3" xfId="27219" xr:uid="{00000000-0005-0000-0000-0000EBA30000}"/>
    <cellStyle name="Note 6 7 2 4" xfId="27220" xr:uid="{00000000-0005-0000-0000-0000ECA30000}"/>
    <cellStyle name="Note 6 7 2 5" xfId="27221" xr:uid="{00000000-0005-0000-0000-0000EDA30000}"/>
    <cellStyle name="Note 6 7 2 6" xfId="27222" xr:uid="{00000000-0005-0000-0000-0000EEA30000}"/>
    <cellStyle name="Note 6 7 3" xfId="10921" xr:uid="{00000000-0005-0000-0000-0000EFA30000}"/>
    <cellStyle name="Note 6 7 3 2" xfId="14542" xr:uid="{00000000-0005-0000-0000-0000F0A30000}"/>
    <cellStyle name="Note 6 7 3 3" xfId="38585" xr:uid="{00000000-0005-0000-0000-0000F1A30000}"/>
    <cellStyle name="Note 6 7 4" xfId="27223" xr:uid="{00000000-0005-0000-0000-0000F2A30000}"/>
    <cellStyle name="Note 6 7 5" xfId="27224" xr:uid="{00000000-0005-0000-0000-0000F3A30000}"/>
    <cellStyle name="Note 6 7 6" xfId="27225" xr:uid="{00000000-0005-0000-0000-0000F4A30000}"/>
    <cellStyle name="Note 6 7 7" xfId="27226" xr:uid="{00000000-0005-0000-0000-0000F5A30000}"/>
    <cellStyle name="Note 6 8" xfId="4148" xr:uid="{00000000-0005-0000-0000-0000F6A30000}"/>
    <cellStyle name="Note 6 8 2" xfId="10923" xr:uid="{00000000-0005-0000-0000-0000F7A30000}"/>
    <cellStyle name="Note 6 8 2 2" xfId="14544" xr:uid="{00000000-0005-0000-0000-0000F8A30000}"/>
    <cellStyle name="Note 6 8 3" xfId="27227" xr:uid="{00000000-0005-0000-0000-0000F9A30000}"/>
    <cellStyle name="Note 6 8 4" xfId="27228" xr:uid="{00000000-0005-0000-0000-0000FAA30000}"/>
    <cellStyle name="Note 6 8 5" xfId="27229" xr:uid="{00000000-0005-0000-0000-0000FBA30000}"/>
    <cellStyle name="Note 6 8 6" xfId="27230" xr:uid="{00000000-0005-0000-0000-0000FCA30000}"/>
    <cellStyle name="Note 6 9" xfId="4149" xr:uid="{00000000-0005-0000-0000-0000FDA30000}"/>
    <cellStyle name="Note 6 9 2" xfId="10924" xr:uid="{00000000-0005-0000-0000-0000FEA30000}"/>
    <cellStyle name="Note 6 9 2 2" xfId="14545" xr:uid="{00000000-0005-0000-0000-0000FFA30000}"/>
    <cellStyle name="Note 6 9 3" xfId="27231" xr:uid="{00000000-0005-0000-0000-000000A40000}"/>
    <cellStyle name="Note 6 9 4" xfId="27232" xr:uid="{00000000-0005-0000-0000-000001A40000}"/>
    <cellStyle name="Note 6 9 5" xfId="27233" xr:uid="{00000000-0005-0000-0000-000002A40000}"/>
    <cellStyle name="Note 6 9 6" xfId="27234" xr:uid="{00000000-0005-0000-0000-000003A40000}"/>
    <cellStyle name="Note 6_IND_UC" xfId="4150" xr:uid="{00000000-0005-0000-0000-000004A40000}"/>
    <cellStyle name="Note 7" xfId="1820" xr:uid="{00000000-0005-0000-0000-000005A40000}"/>
    <cellStyle name="Note 7 10" xfId="7724" xr:uid="{00000000-0005-0000-0000-000006A40000}"/>
    <cellStyle name="Note 7 10 2" xfId="10926" xr:uid="{00000000-0005-0000-0000-000007A40000}"/>
    <cellStyle name="Note 7 10 2 2" xfId="14547" xr:uid="{00000000-0005-0000-0000-000008A40000}"/>
    <cellStyle name="Note 7 10 3" xfId="27235" xr:uid="{00000000-0005-0000-0000-000009A40000}"/>
    <cellStyle name="Note 7 10 4" xfId="27236" xr:uid="{00000000-0005-0000-0000-00000AA40000}"/>
    <cellStyle name="Note 7 10 5" xfId="27237" xr:uid="{00000000-0005-0000-0000-00000BA40000}"/>
    <cellStyle name="Note 7 10 6" xfId="27238" xr:uid="{00000000-0005-0000-0000-00000CA40000}"/>
    <cellStyle name="Note 7 11" xfId="7725" xr:uid="{00000000-0005-0000-0000-00000DA40000}"/>
    <cellStyle name="Note 7 11 2" xfId="10927" xr:uid="{00000000-0005-0000-0000-00000EA40000}"/>
    <cellStyle name="Note 7 11 2 2" xfId="14548" xr:uid="{00000000-0005-0000-0000-00000FA40000}"/>
    <cellStyle name="Note 7 11 3" xfId="27239" xr:uid="{00000000-0005-0000-0000-000010A40000}"/>
    <cellStyle name="Note 7 11 4" xfId="27240" xr:uid="{00000000-0005-0000-0000-000011A40000}"/>
    <cellStyle name="Note 7 11 5" xfId="27241" xr:uid="{00000000-0005-0000-0000-000012A40000}"/>
    <cellStyle name="Note 7 11 6" xfId="27242" xr:uid="{00000000-0005-0000-0000-000013A40000}"/>
    <cellStyle name="Note 7 12" xfId="7726" xr:uid="{00000000-0005-0000-0000-000014A40000}"/>
    <cellStyle name="Note 7 12 2" xfId="10928" xr:uid="{00000000-0005-0000-0000-000015A40000}"/>
    <cellStyle name="Note 7 12 2 2" xfId="14549" xr:uid="{00000000-0005-0000-0000-000016A40000}"/>
    <cellStyle name="Note 7 12 3" xfId="27243" xr:uid="{00000000-0005-0000-0000-000017A40000}"/>
    <cellStyle name="Note 7 12 4" xfId="27244" xr:uid="{00000000-0005-0000-0000-000018A40000}"/>
    <cellStyle name="Note 7 12 5" xfId="27245" xr:uid="{00000000-0005-0000-0000-000019A40000}"/>
    <cellStyle name="Note 7 12 6" xfId="27246" xr:uid="{00000000-0005-0000-0000-00001AA40000}"/>
    <cellStyle name="Note 7 13" xfId="7727" xr:uid="{00000000-0005-0000-0000-00001BA40000}"/>
    <cellStyle name="Note 7 13 2" xfId="10929" xr:uid="{00000000-0005-0000-0000-00001CA40000}"/>
    <cellStyle name="Note 7 13 2 2" xfId="14550" xr:uid="{00000000-0005-0000-0000-00001DA40000}"/>
    <cellStyle name="Note 7 13 3" xfId="27247" xr:uid="{00000000-0005-0000-0000-00001EA40000}"/>
    <cellStyle name="Note 7 13 4" xfId="27248" xr:uid="{00000000-0005-0000-0000-00001FA40000}"/>
    <cellStyle name="Note 7 13 5" xfId="27249" xr:uid="{00000000-0005-0000-0000-000020A40000}"/>
    <cellStyle name="Note 7 13 6" xfId="27250" xr:uid="{00000000-0005-0000-0000-000021A40000}"/>
    <cellStyle name="Note 7 14" xfId="7728" xr:uid="{00000000-0005-0000-0000-000022A40000}"/>
    <cellStyle name="Note 7 14 2" xfId="10930" xr:uid="{00000000-0005-0000-0000-000023A40000}"/>
    <cellStyle name="Note 7 14 2 2" xfId="14551" xr:uid="{00000000-0005-0000-0000-000024A40000}"/>
    <cellStyle name="Note 7 14 3" xfId="27251" xr:uid="{00000000-0005-0000-0000-000025A40000}"/>
    <cellStyle name="Note 7 14 4" xfId="27252" xr:uid="{00000000-0005-0000-0000-000026A40000}"/>
    <cellStyle name="Note 7 14 5" xfId="27253" xr:uid="{00000000-0005-0000-0000-000027A40000}"/>
    <cellStyle name="Note 7 14 6" xfId="27254" xr:uid="{00000000-0005-0000-0000-000028A40000}"/>
    <cellStyle name="Note 7 15" xfId="10925" xr:uid="{00000000-0005-0000-0000-000029A40000}"/>
    <cellStyle name="Note 7 15 2" xfId="14546" xr:uid="{00000000-0005-0000-0000-00002AA40000}"/>
    <cellStyle name="Note 7 16" xfId="27255" xr:uid="{00000000-0005-0000-0000-00002BA40000}"/>
    <cellStyle name="Note 7 17" xfId="27256" xr:uid="{00000000-0005-0000-0000-00002CA40000}"/>
    <cellStyle name="Note 7 18" xfId="27257" xr:uid="{00000000-0005-0000-0000-00002DA40000}"/>
    <cellStyle name="Note 7 19" xfId="27258" xr:uid="{00000000-0005-0000-0000-00002EA40000}"/>
    <cellStyle name="Note 7 2" xfId="1821" xr:uid="{00000000-0005-0000-0000-00002FA40000}"/>
    <cellStyle name="Note 7 2 2" xfId="10931" xr:uid="{00000000-0005-0000-0000-000030A40000}"/>
    <cellStyle name="Note 7 2 2 2" xfId="14552" xr:uid="{00000000-0005-0000-0000-000031A40000}"/>
    <cellStyle name="Note 7 2 3" xfId="27259" xr:uid="{00000000-0005-0000-0000-000032A40000}"/>
    <cellStyle name="Note 7 2 4" xfId="27260" xr:uid="{00000000-0005-0000-0000-000033A40000}"/>
    <cellStyle name="Note 7 2 5" xfId="27261" xr:uid="{00000000-0005-0000-0000-000034A40000}"/>
    <cellStyle name="Note 7 2 6" xfId="27262" xr:uid="{00000000-0005-0000-0000-000035A40000}"/>
    <cellStyle name="Note 7 2 7" xfId="27263" xr:uid="{00000000-0005-0000-0000-000036A40000}"/>
    <cellStyle name="Note 7 20" xfId="27264" xr:uid="{00000000-0005-0000-0000-000037A40000}"/>
    <cellStyle name="Note 7 3" xfId="1822" xr:uid="{00000000-0005-0000-0000-000038A40000}"/>
    <cellStyle name="Note 7 3 2" xfId="10932" xr:uid="{00000000-0005-0000-0000-000039A40000}"/>
    <cellStyle name="Note 7 3 2 2" xfId="14553" xr:uid="{00000000-0005-0000-0000-00003AA40000}"/>
    <cellStyle name="Note 7 3 3" xfId="27265" xr:uid="{00000000-0005-0000-0000-00003BA40000}"/>
    <cellStyle name="Note 7 3 4" xfId="27266" xr:uid="{00000000-0005-0000-0000-00003CA40000}"/>
    <cellStyle name="Note 7 3 5" xfId="27267" xr:uid="{00000000-0005-0000-0000-00003DA40000}"/>
    <cellStyle name="Note 7 3 6" xfId="27268" xr:uid="{00000000-0005-0000-0000-00003EA40000}"/>
    <cellStyle name="Note 7 3 7" xfId="27269" xr:uid="{00000000-0005-0000-0000-00003FA40000}"/>
    <cellStyle name="Note 7 4" xfId="4151" xr:uid="{00000000-0005-0000-0000-000040A40000}"/>
    <cellStyle name="Note 7 4 2" xfId="10933" xr:uid="{00000000-0005-0000-0000-000041A40000}"/>
    <cellStyle name="Note 7 4 2 2" xfId="14554" xr:uid="{00000000-0005-0000-0000-000042A40000}"/>
    <cellStyle name="Note 7 4 3" xfId="27270" xr:uid="{00000000-0005-0000-0000-000043A40000}"/>
    <cellStyle name="Note 7 4 4" xfId="27271" xr:uid="{00000000-0005-0000-0000-000044A40000}"/>
    <cellStyle name="Note 7 4 5" xfId="27272" xr:uid="{00000000-0005-0000-0000-000045A40000}"/>
    <cellStyle name="Note 7 4 6" xfId="27273" xr:uid="{00000000-0005-0000-0000-000046A40000}"/>
    <cellStyle name="Note 7 5" xfId="4152" xr:uid="{00000000-0005-0000-0000-000047A40000}"/>
    <cellStyle name="Note 7 5 2" xfId="10934" xr:uid="{00000000-0005-0000-0000-000048A40000}"/>
    <cellStyle name="Note 7 5 2 2" xfId="14555" xr:uid="{00000000-0005-0000-0000-000049A40000}"/>
    <cellStyle name="Note 7 5 3" xfId="27274" xr:uid="{00000000-0005-0000-0000-00004AA40000}"/>
    <cellStyle name="Note 7 5 4" xfId="27275" xr:uid="{00000000-0005-0000-0000-00004BA40000}"/>
    <cellStyle name="Note 7 5 5" xfId="27276" xr:uid="{00000000-0005-0000-0000-00004CA40000}"/>
    <cellStyle name="Note 7 5 6" xfId="27277" xr:uid="{00000000-0005-0000-0000-00004DA40000}"/>
    <cellStyle name="Note 7 6" xfId="4153" xr:uid="{00000000-0005-0000-0000-00004EA40000}"/>
    <cellStyle name="Note 7 6 2" xfId="10935" xr:uid="{00000000-0005-0000-0000-00004FA40000}"/>
    <cellStyle name="Note 7 6 2 2" xfId="14556" xr:uid="{00000000-0005-0000-0000-000050A40000}"/>
    <cellStyle name="Note 7 6 3" xfId="27278" xr:uid="{00000000-0005-0000-0000-000051A40000}"/>
    <cellStyle name="Note 7 6 4" xfId="27279" xr:uid="{00000000-0005-0000-0000-000052A40000}"/>
    <cellStyle name="Note 7 6 5" xfId="27280" xr:uid="{00000000-0005-0000-0000-000053A40000}"/>
    <cellStyle name="Note 7 6 6" xfId="27281" xr:uid="{00000000-0005-0000-0000-000054A40000}"/>
    <cellStyle name="Note 7 7" xfId="4154" xr:uid="{00000000-0005-0000-0000-000055A40000}"/>
    <cellStyle name="Note 7 7 2" xfId="10936" xr:uid="{00000000-0005-0000-0000-000056A40000}"/>
    <cellStyle name="Note 7 7 2 2" xfId="14557" xr:uid="{00000000-0005-0000-0000-000057A40000}"/>
    <cellStyle name="Note 7 7 3" xfId="27282" xr:uid="{00000000-0005-0000-0000-000058A40000}"/>
    <cellStyle name="Note 7 7 4" xfId="27283" xr:uid="{00000000-0005-0000-0000-000059A40000}"/>
    <cellStyle name="Note 7 7 5" xfId="27284" xr:uid="{00000000-0005-0000-0000-00005AA40000}"/>
    <cellStyle name="Note 7 7 6" xfId="27285" xr:uid="{00000000-0005-0000-0000-00005BA40000}"/>
    <cellStyle name="Note 7 8" xfId="4155" xr:uid="{00000000-0005-0000-0000-00005CA40000}"/>
    <cellStyle name="Note 7 8 2" xfId="10937" xr:uid="{00000000-0005-0000-0000-00005DA40000}"/>
    <cellStyle name="Note 7 8 2 2" xfId="14558" xr:uid="{00000000-0005-0000-0000-00005EA40000}"/>
    <cellStyle name="Note 7 8 3" xfId="27286" xr:uid="{00000000-0005-0000-0000-00005FA40000}"/>
    <cellStyle name="Note 7 8 4" xfId="27287" xr:uid="{00000000-0005-0000-0000-000060A40000}"/>
    <cellStyle name="Note 7 8 5" xfId="27288" xr:uid="{00000000-0005-0000-0000-000061A40000}"/>
    <cellStyle name="Note 7 8 6" xfId="27289" xr:uid="{00000000-0005-0000-0000-000062A40000}"/>
    <cellStyle name="Note 7 9" xfId="7729" xr:uid="{00000000-0005-0000-0000-000063A40000}"/>
    <cellStyle name="Note 7 9 2" xfId="10938" xr:uid="{00000000-0005-0000-0000-000064A40000}"/>
    <cellStyle name="Note 7 9 2 2" xfId="14559" xr:uid="{00000000-0005-0000-0000-000065A40000}"/>
    <cellStyle name="Note 7 9 3" xfId="27290" xr:uid="{00000000-0005-0000-0000-000066A40000}"/>
    <cellStyle name="Note 7 9 4" xfId="27291" xr:uid="{00000000-0005-0000-0000-000067A40000}"/>
    <cellStyle name="Note 7 9 5" xfId="27292" xr:uid="{00000000-0005-0000-0000-000068A40000}"/>
    <cellStyle name="Note 7 9 6" xfId="27293" xr:uid="{00000000-0005-0000-0000-000069A40000}"/>
    <cellStyle name="Note 7_IND_UC" xfId="4156" xr:uid="{00000000-0005-0000-0000-00006AA40000}"/>
    <cellStyle name="Note 8" xfId="1823" xr:uid="{00000000-0005-0000-0000-00006BA40000}"/>
    <cellStyle name="Note 8 10" xfId="7730" xr:uid="{00000000-0005-0000-0000-00006CA40000}"/>
    <cellStyle name="Note 8 10 2" xfId="10940" xr:uid="{00000000-0005-0000-0000-00006DA40000}"/>
    <cellStyle name="Note 8 10 2 2" xfId="14561" xr:uid="{00000000-0005-0000-0000-00006EA40000}"/>
    <cellStyle name="Note 8 10 3" xfId="27294" xr:uid="{00000000-0005-0000-0000-00006FA40000}"/>
    <cellStyle name="Note 8 10 4" xfId="27295" xr:uid="{00000000-0005-0000-0000-000070A40000}"/>
    <cellStyle name="Note 8 10 5" xfId="27296" xr:uid="{00000000-0005-0000-0000-000071A40000}"/>
    <cellStyle name="Note 8 10 6" xfId="27297" xr:uid="{00000000-0005-0000-0000-000072A40000}"/>
    <cellStyle name="Note 8 11" xfId="7731" xr:uid="{00000000-0005-0000-0000-000073A40000}"/>
    <cellStyle name="Note 8 11 2" xfId="10941" xr:uid="{00000000-0005-0000-0000-000074A40000}"/>
    <cellStyle name="Note 8 11 2 2" xfId="14562" xr:uid="{00000000-0005-0000-0000-000075A40000}"/>
    <cellStyle name="Note 8 11 3" xfId="27298" xr:uid="{00000000-0005-0000-0000-000076A40000}"/>
    <cellStyle name="Note 8 11 4" xfId="27299" xr:uid="{00000000-0005-0000-0000-000077A40000}"/>
    <cellStyle name="Note 8 11 5" xfId="27300" xr:uid="{00000000-0005-0000-0000-000078A40000}"/>
    <cellStyle name="Note 8 11 6" xfId="27301" xr:uid="{00000000-0005-0000-0000-000079A40000}"/>
    <cellStyle name="Note 8 12" xfId="7732" xr:uid="{00000000-0005-0000-0000-00007AA40000}"/>
    <cellStyle name="Note 8 12 2" xfId="10942" xr:uid="{00000000-0005-0000-0000-00007BA40000}"/>
    <cellStyle name="Note 8 12 2 2" xfId="14563" xr:uid="{00000000-0005-0000-0000-00007CA40000}"/>
    <cellStyle name="Note 8 12 3" xfId="27302" xr:uid="{00000000-0005-0000-0000-00007DA40000}"/>
    <cellStyle name="Note 8 12 4" xfId="27303" xr:uid="{00000000-0005-0000-0000-00007EA40000}"/>
    <cellStyle name="Note 8 12 5" xfId="27304" xr:uid="{00000000-0005-0000-0000-00007FA40000}"/>
    <cellStyle name="Note 8 12 6" xfId="27305" xr:uid="{00000000-0005-0000-0000-000080A40000}"/>
    <cellStyle name="Note 8 13" xfId="7733" xr:uid="{00000000-0005-0000-0000-000081A40000}"/>
    <cellStyle name="Note 8 13 2" xfId="10943" xr:uid="{00000000-0005-0000-0000-000082A40000}"/>
    <cellStyle name="Note 8 13 2 2" xfId="14564" xr:uid="{00000000-0005-0000-0000-000083A40000}"/>
    <cellStyle name="Note 8 13 3" xfId="27306" xr:uid="{00000000-0005-0000-0000-000084A40000}"/>
    <cellStyle name="Note 8 13 4" xfId="27307" xr:uid="{00000000-0005-0000-0000-000085A40000}"/>
    <cellStyle name="Note 8 13 5" xfId="27308" xr:uid="{00000000-0005-0000-0000-000086A40000}"/>
    <cellStyle name="Note 8 13 6" xfId="27309" xr:uid="{00000000-0005-0000-0000-000087A40000}"/>
    <cellStyle name="Note 8 14" xfId="7734" xr:uid="{00000000-0005-0000-0000-000088A40000}"/>
    <cellStyle name="Note 8 14 2" xfId="10944" xr:uid="{00000000-0005-0000-0000-000089A40000}"/>
    <cellStyle name="Note 8 14 2 2" xfId="14565" xr:uid="{00000000-0005-0000-0000-00008AA40000}"/>
    <cellStyle name="Note 8 14 3" xfId="27310" xr:uid="{00000000-0005-0000-0000-00008BA40000}"/>
    <cellStyle name="Note 8 14 4" xfId="27311" xr:uid="{00000000-0005-0000-0000-00008CA40000}"/>
    <cellStyle name="Note 8 14 5" xfId="27312" xr:uid="{00000000-0005-0000-0000-00008DA40000}"/>
    <cellStyle name="Note 8 14 6" xfId="27313" xr:uid="{00000000-0005-0000-0000-00008EA40000}"/>
    <cellStyle name="Note 8 15" xfId="10939" xr:uid="{00000000-0005-0000-0000-00008FA40000}"/>
    <cellStyle name="Note 8 15 2" xfId="14560" xr:uid="{00000000-0005-0000-0000-000090A40000}"/>
    <cellStyle name="Note 8 16" xfId="27314" xr:uid="{00000000-0005-0000-0000-000091A40000}"/>
    <cellStyle name="Note 8 17" xfId="27315" xr:uid="{00000000-0005-0000-0000-000092A40000}"/>
    <cellStyle name="Note 8 18" xfId="27316" xr:uid="{00000000-0005-0000-0000-000093A40000}"/>
    <cellStyle name="Note 8 19" xfId="27317" xr:uid="{00000000-0005-0000-0000-000094A40000}"/>
    <cellStyle name="Note 8 2" xfId="1824" xr:uid="{00000000-0005-0000-0000-000095A40000}"/>
    <cellStyle name="Note 8 2 2" xfId="10945" xr:uid="{00000000-0005-0000-0000-000096A40000}"/>
    <cellStyle name="Note 8 2 2 2" xfId="14566" xr:uid="{00000000-0005-0000-0000-000097A40000}"/>
    <cellStyle name="Note 8 2 3" xfId="27318" xr:uid="{00000000-0005-0000-0000-000098A40000}"/>
    <cellStyle name="Note 8 2 4" xfId="27319" xr:uid="{00000000-0005-0000-0000-000099A40000}"/>
    <cellStyle name="Note 8 2 5" xfId="27320" xr:uid="{00000000-0005-0000-0000-00009AA40000}"/>
    <cellStyle name="Note 8 2 6" xfId="27321" xr:uid="{00000000-0005-0000-0000-00009BA40000}"/>
    <cellStyle name="Note 8 2 7" xfId="27322" xr:uid="{00000000-0005-0000-0000-00009CA40000}"/>
    <cellStyle name="Note 8 20" xfId="27323" xr:uid="{00000000-0005-0000-0000-00009DA40000}"/>
    <cellStyle name="Note 8 3" xfId="1825" xr:uid="{00000000-0005-0000-0000-00009EA40000}"/>
    <cellStyle name="Note 8 3 2" xfId="10946" xr:uid="{00000000-0005-0000-0000-00009FA40000}"/>
    <cellStyle name="Note 8 3 2 2" xfId="14567" xr:uid="{00000000-0005-0000-0000-0000A0A40000}"/>
    <cellStyle name="Note 8 3 3" xfId="27324" xr:uid="{00000000-0005-0000-0000-0000A1A40000}"/>
    <cellStyle name="Note 8 3 4" xfId="27325" xr:uid="{00000000-0005-0000-0000-0000A2A40000}"/>
    <cellStyle name="Note 8 3 5" xfId="27326" xr:uid="{00000000-0005-0000-0000-0000A3A40000}"/>
    <cellStyle name="Note 8 3 6" xfId="27327" xr:uid="{00000000-0005-0000-0000-0000A4A40000}"/>
    <cellStyle name="Note 8 3 7" xfId="27328" xr:uid="{00000000-0005-0000-0000-0000A5A40000}"/>
    <cellStyle name="Note 8 4" xfId="4157" xr:uid="{00000000-0005-0000-0000-0000A6A40000}"/>
    <cellStyle name="Note 8 4 2" xfId="10947" xr:uid="{00000000-0005-0000-0000-0000A7A40000}"/>
    <cellStyle name="Note 8 4 2 2" xfId="14568" xr:uid="{00000000-0005-0000-0000-0000A8A40000}"/>
    <cellStyle name="Note 8 4 3" xfId="27329" xr:uid="{00000000-0005-0000-0000-0000A9A40000}"/>
    <cellStyle name="Note 8 4 4" xfId="27330" xr:uid="{00000000-0005-0000-0000-0000AAA40000}"/>
    <cellStyle name="Note 8 4 5" xfId="27331" xr:uid="{00000000-0005-0000-0000-0000ABA40000}"/>
    <cellStyle name="Note 8 4 6" xfId="27332" xr:uid="{00000000-0005-0000-0000-0000ACA40000}"/>
    <cellStyle name="Note 8 5" xfId="4158" xr:uid="{00000000-0005-0000-0000-0000ADA40000}"/>
    <cellStyle name="Note 8 5 2" xfId="10948" xr:uid="{00000000-0005-0000-0000-0000AEA40000}"/>
    <cellStyle name="Note 8 5 2 2" xfId="14569" xr:uid="{00000000-0005-0000-0000-0000AFA40000}"/>
    <cellStyle name="Note 8 5 3" xfId="27333" xr:uid="{00000000-0005-0000-0000-0000B0A40000}"/>
    <cellStyle name="Note 8 5 4" xfId="27334" xr:uid="{00000000-0005-0000-0000-0000B1A40000}"/>
    <cellStyle name="Note 8 5 5" xfId="27335" xr:uid="{00000000-0005-0000-0000-0000B2A40000}"/>
    <cellStyle name="Note 8 5 6" xfId="27336" xr:uid="{00000000-0005-0000-0000-0000B3A40000}"/>
    <cellStyle name="Note 8 6" xfId="4159" xr:uid="{00000000-0005-0000-0000-0000B4A40000}"/>
    <cellStyle name="Note 8 6 2" xfId="10949" xr:uid="{00000000-0005-0000-0000-0000B5A40000}"/>
    <cellStyle name="Note 8 6 2 2" xfId="14570" xr:uid="{00000000-0005-0000-0000-0000B6A40000}"/>
    <cellStyle name="Note 8 6 3" xfId="27337" xr:uid="{00000000-0005-0000-0000-0000B7A40000}"/>
    <cellStyle name="Note 8 6 4" xfId="27338" xr:uid="{00000000-0005-0000-0000-0000B8A40000}"/>
    <cellStyle name="Note 8 6 5" xfId="27339" xr:uid="{00000000-0005-0000-0000-0000B9A40000}"/>
    <cellStyle name="Note 8 6 6" xfId="27340" xr:uid="{00000000-0005-0000-0000-0000BAA40000}"/>
    <cellStyle name="Note 8 7" xfId="4160" xr:uid="{00000000-0005-0000-0000-0000BBA40000}"/>
    <cellStyle name="Note 8 7 2" xfId="10950" xr:uid="{00000000-0005-0000-0000-0000BCA40000}"/>
    <cellStyle name="Note 8 7 2 2" xfId="14571" xr:uid="{00000000-0005-0000-0000-0000BDA40000}"/>
    <cellStyle name="Note 8 7 3" xfId="27341" xr:uid="{00000000-0005-0000-0000-0000BEA40000}"/>
    <cellStyle name="Note 8 7 4" xfId="27342" xr:uid="{00000000-0005-0000-0000-0000BFA40000}"/>
    <cellStyle name="Note 8 7 5" xfId="27343" xr:uid="{00000000-0005-0000-0000-0000C0A40000}"/>
    <cellStyle name="Note 8 7 6" xfId="27344" xr:uid="{00000000-0005-0000-0000-0000C1A40000}"/>
    <cellStyle name="Note 8 8" xfId="4161" xr:uid="{00000000-0005-0000-0000-0000C2A40000}"/>
    <cellStyle name="Note 8 8 2" xfId="10951" xr:uid="{00000000-0005-0000-0000-0000C3A40000}"/>
    <cellStyle name="Note 8 8 2 2" xfId="14572" xr:uid="{00000000-0005-0000-0000-0000C4A40000}"/>
    <cellStyle name="Note 8 8 3" xfId="27345" xr:uid="{00000000-0005-0000-0000-0000C5A40000}"/>
    <cellStyle name="Note 8 8 4" xfId="27346" xr:uid="{00000000-0005-0000-0000-0000C6A40000}"/>
    <cellStyle name="Note 8 8 5" xfId="27347" xr:uid="{00000000-0005-0000-0000-0000C7A40000}"/>
    <cellStyle name="Note 8 8 6" xfId="27348" xr:uid="{00000000-0005-0000-0000-0000C8A40000}"/>
    <cellStyle name="Note 8 9" xfId="7735" xr:uid="{00000000-0005-0000-0000-0000C9A40000}"/>
    <cellStyle name="Note 8 9 2" xfId="10952" xr:uid="{00000000-0005-0000-0000-0000CAA40000}"/>
    <cellStyle name="Note 8 9 2 2" xfId="14573" xr:uid="{00000000-0005-0000-0000-0000CBA40000}"/>
    <cellStyle name="Note 8 9 3" xfId="27349" xr:uid="{00000000-0005-0000-0000-0000CCA40000}"/>
    <cellStyle name="Note 8 9 4" xfId="27350" xr:uid="{00000000-0005-0000-0000-0000CDA40000}"/>
    <cellStyle name="Note 8 9 5" xfId="27351" xr:uid="{00000000-0005-0000-0000-0000CEA40000}"/>
    <cellStyle name="Note 8 9 6" xfId="27352" xr:uid="{00000000-0005-0000-0000-0000CFA40000}"/>
    <cellStyle name="Note 8_IND_UC" xfId="4162" xr:uid="{00000000-0005-0000-0000-0000D0A40000}"/>
    <cellStyle name="Note 9" xfId="1826" xr:uid="{00000000-0005-0000-0000-0000D1A40000}"/>
    <cellStyle name="Note 9 10" xfId="7736" xr:uid="{00000000-0005-0000-0000-0000D2A40000}"/>
    <cellStyle name="Note 9 10 2" xfId="10954" xr:uid="{00000000-0005-0000-0000-0000D3A40000}"/>
    <cellStyle name="Note 9 10 2 2" xfId="14575" xr:uid="{00000000-0005-0000-0000-0000D4A40000}"/>
    <cellStyle name="Note 9 10 3" xfId="27353" xr:uid="{00000000-0005-0000-0000-0000D5A40000}"/>
    <cellStyle name="Note 9 10 4" xfId="27354" xr:uid="{00000000-0005-0000-0000-0000D6A40000}"/>
    <cellStyle name="Note 9 10 5" xfId="27355" xr:uid="{00000000-0005-0000-0000-0000D7A40000}"/>
    <cellStyle name="Note 9 10 6" xfId="27356" xr:uid="{00000000-0005-0000-0000-0000D8A40000}"/>
    <cellStyle name="Note 9 11" xfId="7737" xr:uid="{00000000-0005-0000-0000-0000D9A40000}"/>
    <cellStyle name="Note 9 11 2" xfId="10955" xr:uid="{00000000-0005-0000-0000-0000DAA40000}"/>
    <cellStyle name="Note 9 11 2 2" xfId="14576" xr:uid="{00000000-0005-0000-0000-0000DBA40000}"/>
    <cellStyle name="Note 9 11 3" xfId="27357" xr:uid="{00000000-0005-0000-0000-0000DCA40000}"/>
    <cellStyle name="Note 9 11 4" xfId="27358" xr:uid="{00000000-0005-0000-0000-0000DDA40000}"/>
    <cellStyle name="Note 9 11 5" xfId="27359" xr:uid="{00000000-0005-0000-0000-0000DEA40000}"/>
    <cellStyle name="Note 9 11 6" xfId="27360" xr:uid="{00000000-0005-0000-0000-0000DFA40000}"/>
    <cellStyle name="Note 9 12" xfId="7738" xr:uid="{00000000-0005-0000-0000-0000E0A40000}"/>
    <cellStyle name="Note 9 12 2" xfId="10956" xr:uid="{00000000-0005-0000-0000-0000E1A40000}"/>
    <cellStyle name="Note 9 12 2 2" xfId="14577" xr:uid="{00000000-0005-0000-0000-0000E2A40000}"/>
    <cellStyle name="Note 9 12 3" xfId="27361" xr:uid="{00000000-0005-0000-0000-0000E3A40000}"/>
    <cellStyle name="Note 9 12 4" xfId="27362" xr:uid="{00000000-0005-0000-0000-0000E4A40000}"/>
    <cellStyle name="Note 9 12 5" xfId="27363" xr:uid="{00000000-0005-0000-0000-0000E5A40000}"/>
    <cellStyle name="Note 9 12 6" xfId="27364" xr:uid="{00000000-0005-0000-0000-0000E6A40000}"/>
    <cellStyle name="Note 9 13" xfId="7739" xr:uid="{00000000-0005-0000-0000-0000E7A40000}"/>
    <cellStyle name="Note 9 13 2" xfId="10957" xr:uid="{00000000-0005-0000-0000-0000E8A40000}"/>
    <cellStyle name="Note 9 13 2 2" xfId="14578" xr:uid="{00000000-0005-0000-0000-0000E9A40000}"/>
    <cellStyle name="Note 9 13 3" xfId="27365" xr:uid="{00000000-0005-0000-0000-0000EAA40000}"/>
    <cellStyle name="Note 9 13 4" xfId="27366" xr:uid="{00000000-0005-0000-0000-0000EBA40000}"/>
    <cellStyle name="Note 9 13 5" xfId="27367" xr:uid="{00000000-0005-0000-0000-0000ECA40000}"/>
    <cellStyle name="Note 9 13 6" xfId="27368" xr:uid="{00000000-0005-0000-0000-0000EDA40000}"/>
    <cellStyle name="Note 9 14" xfId="7740" xr:uid="{00000000-0005-0000-0000-0000EEA40000}"/>
    <cellStyle name="Note 9 14 2" xfId="10958" xr:uid="{00000000-0005-0000-0000-0000EFA40000}"/>
    <cellStyle name="Note 9 14 2 2" xfId="14579" xr:uid="{00000000-0005-0000-0000-0000F0A40000}"/>
    <cellStyle name="Note 9 14 3" xfId="27369" xr:uid="{00000000-0005-0000-0000-0000F1A40000}"/>
    <cellStyle name="Note 9 14 4" xfId="27370" xr:uid="{00000000-0005-0000-0000-0000F2A40000}"/>
    <cellStyle name="Note 9 14 5" xfId="27371" xr:uid="{00000000-0005-0000-0000-0000F3A40000}"/>
    <cellStyle name="Note 9 14 6" xfId="27372" xr:uid="{00000000-0005-0000-0000-0000F4A40000}"/>
    <cellStyle name="Note 9 15" xfId="10953" xr:uid="{00000000-0005-0000-0000-0000F5A40000}"/>
    <cellStyle name="Note 9 15 2" xfId="14574" xr:uid="{00000000-0005-0000-0000-0000F6A40000}"/>
    <cellStyle name="Note 9 16" xfId="27373" xr:uid="{00000000-0005-0000-0000-0000F7A40000}"/>
    <cellStyle name="Note 9 17" xfId="27374" xr:uid="{00000000-0005-0000-0000-0000F8A40000}"/>
    <cellStyle name="Note 9 18" xfId="27375" xr:uid="{00000000-0005-0000-0000-0000F9A40000}"/>
    <cellStyle name="Note 9 19" xfId="27376" xr:uid="{00000000-0005-0000-0000-0000FAA40000}"/>
    <cellStyle name="Note 9 2" xfId="1827" xr:uid="{00000000-0005-0000-0000-0000FBA40000}"/>
    <cellStyle name="Note 9 2 2" xfId="10959" xr:uid="{00000000-0005-0000-0000-0000FCA40000}"/>
    <cellStyle name="Note 9 2 2 2" xfId="14580" xr:uid="{00000000-0005-0000-0000-0000FDA40000}"/>
    <cellStyle name="Note 9 2 3" xfId="27377" xr:uid="{00000000-0005-0000-0000-0000FEA40000}"/>
    <cellStyle name="Note 9 2 4" xfId="27378" xr:uid="{00000000-0005-0000-0000-0000FFA40000}"/>
    <cellStyle name="Note 9 2 5" xfId="27379" xr:uid="{00000000-0005-0000-0000-000000A50000}"/>
    <cellStyle name="Note 9 2 6" xfId="27380" xr:uid="{00000000-0005-0000-0000-000001A50000}"/>
    <cellStyle name="Note 9 2 7" xfId="27381" xr:uid="{00000000-0005-0000-0000-000002A50000}"/>
    <cellStyle name="Note 9 20" xfId="27382" xr:uid="{00000000-0005-0000-0000-000003A50000}"/>
    <cellStyle name="Note 9 3" xfId="1828" xr:uid="{00000000-0005-0000-0000-000004A50000}"/>
    <cellStyle name="Note 9 3 2" xfId="10960" xr:uid="{00000000-0005-0000-0000-000005A50000}"/>
    <cellStyle name="Note 9 3 2 2" xfId="14581" xr:uid="{00000000-0005-0000-0000-000006A50000}"/>
    <cellStyle name="Note 9 3 3" xfId="27383" xr:uid="{00000000-0005-0000-0000-000007A50000}"/>
    <cellStyle name="Note 9 3 4" xfId="27384" xr:uid="{00000000-0005-0000-0000-000008A50000}"/>
    <cellStyle name="Note 9 3 5" xfId="27385" xr:uid="{00000000-0005-0000-0000-000009A50000}"/>
    <cellStyle name="Note 9 3 6" xfId="27386" xr:uid="{00000000-0005-0000-0000-00000AA50000}"/>
    <cellStyle name="Note 9 3 7" xfId="27387" xr:uid="{00000000-0005-0000-0000-00000BA50000}"/>
    <cellStyle name="Note 9 4" xfId="4163" xr:uid="{00000000-0005-0000-0000-00000CA50000}"/>
    <cellStyle name="Note 9 4 2" xfId="10961" xr:uid="{00000000-0005-0000-0000-00000DA50000}"/>
    <cellStyle name="Note 9 4 2 2" xfId="14582" xr:uid="{00000000-0005-0000-0000-00000EA50000}"/>
    <cellStyle name="Note 9 4 3" xfId="27388" xr:uid="{00000000-0005-0000-0000-00000FA50000}"/>
    <cellStyle name="Note 9 4 4" xfId="27389" xr:uid="{00000000-0005-0000-0000-000010A50000}"/>
    <cellStyle name="Note 9 4 5" xfId="27390" xr:uid="{00000000-0005-0000-0000-000011A50000}"/>
    <cellStyle name="Note 9 4 6" xfId="27391" xr:uid="{00000000-0005-0000-0000-000012A50000}"/>
    <cellStyle name="Note 9 5" xfId="4164" xr:uid="{00000000-0005-0000-0000-000013A50000}"/>
    <cellStyle name="Note 9 5 2" xfId="10962" xr:uid="{00000000-0005-0000-0000-000014A50000}"/>
    <cellStyle name="Note 9 5 2 2" xfId="14583" xr:uid="{00000000-0005-0000-0000-000015A50000}"/>
    <cellStyle name="Note 9 5 3" xfId="27392" xr:uid="{00000000-0005-0000-0000-000016A50000}"/>
    <cellStyle name="Note 9 5 4" xfId="27393" xr:uid="{00000000-0005-0000-0000-000017A50000}"/>
    <cellStyle name="Note 9 5 5" xfId="27394" xr:uid="{00000000-0005-0000-0000-000018A50000}"/>
    <cellStyle name="Note 9 5 6" xfId="27395" xr:uid="{00000000-0005-0000-0000-000019A50000}"/>
    <cellStyle name="Note 9 6" xfId="4165" xr:uid="{00000000-0005-0000-0000-00001AA50000}"/>
    <cellStyle name="Note 9 6 2" xfId="10963" xr:uid="{00000000-0005-0000-0000-00001BA50000}"/>
    <cellStyle name="Note 9 6 2 2" xfId="14584" xr:uid="{00000000-0005-0000-0000-00001CA50000}"/>
    <cellStyle name="Note 9 6 3" xfId="27396" xr:uid="{00000000-0005-0000-0000-00001DA50000}"/>
    <cellStyle name="Note 9 6 4" xfId="27397" xr:uid="{00000000-0005-0000-0000-00001EA50000}"/>
    <cellStyle name="Note 9 6 5" xfId="27398" xr:uid="{00000000-0005-0000-0000-00001FA50000}"/>
    <cellStyle name="Note 9 6 6" xfId="27399" xr:uid="{00000000-0005-0000-0000-000020A50000}"/>
    <cellStyle name="Note 9 7" xfId="4166" xr:uid="{00000000-0005-0000-0000-000021A50000}"/>
    <cellStyle name="Note 9 7 2" xfId="5590" xr:uid="{00000000-0005-0000-0000-000022A50000}"/>
    <cellStyle name="Note 9 7 2 2" xfId="10965" xr:uid="{00000000-0005-0000-0000-000023A50000}"/>
    <cellStyle name="Note 9 7 2 2 2" xfId="14586" xr:uid="{00000000-0005-0000-0000-000024A50000}"/>
    <cellStyle name="Note 9 7 2 3" xfId="27400" xr:uid="{00000000-0005-0000-0000-000025A50000}"/>
    <cellStyle name="Note 9 7 2 4" xfId="27401" xr:uid="{00000000-0005-0000-0000-000026A50000}"/>
    <cellStyle name="Note 9 7 2 5" xfId="27402" xr:uid="{00000000-0005-0000-0000-000027A50000}"/>
    <cellStyle name="Note 9 7 2 6" xfId="27403" xr:uid="{00000000-0005-0000-0000-000028A50000}"/>
    <cellStyle name="Note 9 7 3" xfId="7741" xr:uid="{00000000-0005-0000-0000-000029A50000}"/>
    <cellStyle name="Note 9 7 3 2" xfId="10966" xr:uid="{00000000-0005-0000-0000-00002AA50000}"/>
    <cellStyle name="Note 9 7 3 2 2" xfId="14587" xr:uid="{00000000-0005-0000-0000-00002BA50000}"/>
    <cellStyle name="Note 9 7 3 3" xfId="27404" xr:uid="{00000000-0005-0000-0000-00002CA50000}"/>
    <cellStyle name="Note 9 7 3 4" xfId="27405" xr:uid="{00000000-0005-0000-0000-00002DA50000}"/>
    <cellStyle name="Note 9 7 3 5" xfId="27406" xr:uid="{00000000-0005-0000-0000-00002EA50000}"/>
    <cellStyle name="Note 9 7 3 6" xfId="27407" xr:uid="{00000000-0005-0000-0000-00002FA50000}"/>
    <cellStyle name="Note 9 7 3 7" xfId="38586" xr:uid="{00000000-0005-0000-0000-000030A50000}"/>
    <cellStyle name="Note 9 7 4" xfId="10964" xr:uid="{00000000-0005-0000-0000-000031A50000}"/>
    <cellStyle name="Note 9 7 4 2" xfId="14585" xr:uid="{00000000-0005-0000-0000-000032A50000}"/>
    <cellStyle name="Note 9 7 5" xfId="27408" xr:uid="{00000000-0005-0000-0000-000033A50000}"/>
    <cellStyle name="Note 9 7 6" xfId="27409" xr:uid="{00000000-0005-0000-0000-000034A50000}"/>
    <cellStyle name="Note 9 7 7" xfId="27410" xr:uid="{00000000-0005-0000-0000-000035A50000}"/>
    <cellStyle name="Note 9 7 8" xfId="27411" xr:uid="{00000000-0005-0000-0000-000036A50000}"/>
    <cellStyle name="Note 9 8" xfId="4167" xr:uid="{00000000-0005-0000-0000-000037A50000}"/>
    <cellStyle name="Note 9 8 2" xfId="5591" xr:uid="{00000000-0005-0000-0000-000038A50000}"/>
    <cellStyle name="Note 9 8 2 2" xfId="10968" xr:uid="{00000000-0005-0000-0000-000039A50000}"/>
    <cellStyle name="Note 9 8 2 2 2" xfId="14589" xr:uid="{00000000-0005-0000-0000-00003AA50000}"/>
    <cellStyle name="Note 9 8 2 3" xfId="27412" xr:uid="{00000000-0005-0000-0000-00003BA50000}"/>
    <cellStyle name="Note 9 8 2 4" xfId="27413" xr:uid="{00000000-0005-0000-0000-00003CA50000}"/>
    <cellStyle name="Note 9 8 2 5" xfId="27414" xr:uid="{00000000-0005-0000-0000-00003DA50000}"/>
    <cellStyle name="Note 9 8 2 6" xfId="27415" xr:uid="{00000000-0005-0000-0000-00003EA50000}"/>
    <cellStyle name="Note 9 8 3" xfId="7742" xr:uid="{00000000-0005-0000-0000-00003FA50000}"/>
    <cellStyle name="Note 9 8 3 2" xfId="10969" xr:uid="{00000000-0005-0000-0000-000040A50000}"/>
    <cellStyle name="Note 9 8 3 2 2" xfId="14590" xr:uid="{00000000-0005-0000-0000-000041A50000}"/>
    <cellStyle name="Note 9 8 3 3" xfId="27416" xr:uid="{00000000-0005-0000-0000-000042A50000}"/>
    <cellStyle name="Note 9 8 3 4" xfId="27417" xr:uid="{00000000-0005-0000-0000-000043A50000}"/>
    <cellStyle name="Note 9 8 3 5" xfId="27418" xr:uid="{00000000-0005-0000-0000-000044A50000}"/>
    <cellStyle name="Note 9 8 3 6" xfId="27419" xr:uid="{00000000-0005-0000-0000-000045A50000}"/>
    <cellStyle name="Note 9 8 3 7" xfId="38587" xr:uid="{00000000-0005-0000-0000-000046A50000}"/>
    <cellStyle name="Note 9 8 4" xfId="10967" xr:uid="{00000000-0005-0000-0000-000047A50000}"/>
    <cellStyle name="Note 9 8 4 2" xfId="14588" xr:uid="{00000000-0005-0000-0000-000048A50000}"/>
    <cellStyle name="Note 9 8 5" xfId="27420" xr:uid="{00000000-0005-0000-0000-000049A50000}"/>
    <cellStyle name="Note 9 8 6" xfId="27421" xr:uid="{00000000-0005-0000-0000-00004AA50000}"/>
    <cellStyle name="Note 9 8 7" xfId="27422" xr:uid="{00000000-0005-0000-0000-00004BA50000}"/>
    <cellStyle name="Note 9 8 8" xfId="27423" xr:uid="{00000000-0005-0000-0000-00004CA50000}"/>
    <cellStyle name="Note 9 9" xfId="7743" xr:uid="{00000000-0005-0000-0000-00004DA50000}"/>
    <cellStyle name="Note 9 9 2" xfId="10970" xr:uid="{00000000-0005-0000-0000-00004EA50000}"/>
    <cellStyle name="Note 9 9 2 2" xfId="14591" xr:uid="{00000000-0005-0000-0000-00004FA50000}"/>
    <cellStyle name="Note 9 9 3" xfId="27424" xr:uid="{00000000-0005-0000-0000-000050A50000}"/>
    <cellStyle name="Note 9 9 4" xfId="27425" xr:uid="{00000000-0005-0000-0000-000051A50000}"/>
    <cellStyle name="Note 9 9 5" xfId="27426" xr:uid="{00000000-0005-0000-0000-000052A50000}"/>
    <cellStyle name="Note 9 9 6" xfId="27427" xr:uid="{00000000-0005-0000-0000-000053A50000}"/>
    <cellStyle name="Note 9_IND_UC" xfId="4168" xr:uid="{00000000-0005-0000-0000-000054A50000}"/>
    <cellStyle name="NUMLINHA" xfId="1829" xr:uid="{00000000-0005-0000-0000-000055A50000}"/>
    <cellStyle name="NUMLINHA 2" xfId="10971" xr:uid="{00000000-0005-0000-0000-000056A50000}"/>
    <cellStyle name="NUMLINHA 2 2" xfId="14592" xr:uid="{00000000-0005-0000-0000-000057A50000}"/>
    <cellStyle name="NUMLINHA 3" xfId="27428" xr:uid="{00000000-0005-0000-0000-000058A50000}"/>
    <cellStyle name="NUMLINHA 4" xfId="27429" xr:uid="{00000000-0005-0000-0000-000059A50000}"/>
    <cellStyle name="NUMLINHA 5" xfId="27430" xr:uid="{00000000-0005-0000-0000-00005AA50000}"/>
    <cellStyle name="NUMLINHA 6" xfId="27431" xr:uid="{00000000-0005-0000-0000-00005BA50000}"/>
    <cellStyle name="NUMLINHA 7" xfId="27432" xr:uid="{00000000-0005-0000-0000-00005CA50000}"/>
    <cellStyle name="NUMLINHA 8" xfId="27433" xr:uid="{00000000-0005-0000-0000-00005DA50000}"/>
    <cellStyle name="Nuovo" xfId="4169" xr:uid="{00000000-0005-0000-0000-00005EA50000}"/>
    <cellStyle name="Nuovo 10" xfId="27434" xr:uid="{00000000-0005-0000-0000-00005FA50000}"/>
    <cellStyle name="Nuovo 2" xfId="4170" xr:uid="{00000000-0005-0000-0000-000060A50000}"/>
    <cellStyle name="Nuovo 2 2" xfId="5593" xr:uid="{00000000-0005-0000-0000-000061A50000}"/>
    <cellStyle name="Nuovo 2 2 2" xfId="10974" xr:uid="{00000000-0005-0000-0000-000062A50000}"/>
    <cellStyle name="Nuovo 2 2 2 2" xfId="14595" xr:uid="{00000000-0005-0000-0000-000063A50000}"/>
    <cellStyle name="Nuovo 2 2 3" xfId="27435" xr:uid="{00000000-0005-0000-0000-000064A50000}"/>
    <cellStyle name="Nuovo 2 2 4" xfId="27436" xr:uid="{00000000-0005-0000-0000-000065A50000}"/>
    <cellStyle name="Nuovo 2 2 5" xfId="27437" xr:uid="{00000000-0005-0000-0000-000066A50000}"/>
    <cellStyle name="Nuovo 2 2 6" xfId="27438" xr:uid="{00000000-0005-0000-0000-000067A50000}"/>
    <cellStyle name="Nuovo 2 3" xfId="10973" xr:uid="{00000000-0005-0000-0000-000068A50000}"/>
    <cellStyle name="Nuovo 2 3 2" xfId="14594" xr:uid="{00000000-0005-0000-0000-000069A50000}"/>
    <cellStyle name="Nuovo 2 3 3" xfId="38589" xr:uid="{00000000-0005-0000-0000-00006AA50000}"/>
    <cellStyle name="Nuovo 2 4" xfId="27439" xr:uid="{00000000-0005-0000-0000-00006BA50000}"/>
    <cellStyle name="Nuovo 2 5" xfId="27440" xr:uid="{00000000-0005-0000-0000-00006CA50000}"/>
    <cellStyle name="Nuovo 2 6" xfId="27441" xr:uid="{00000000-0005-0000-0000-00006DA50000}"/>
    <cellStyle name="Nuovo 2 7" xfId="27442" xr:uid="{00000000-0005-0000-0000-00006EA50000}"/>
    <cellStyle name="Nuovo 3" xfId="4171" xr:uid="{00000000-0005-0000-0000-00006FA50000}"/>
    <cellStyle name="Nuovo 3 2" xfId="5594" xr:uid="{00000000-0005-0000-0000-000070A50000}"/>
    <cellStyle name="Nuovo 3 2 2" xfId="10976" xr:uid="{00000000-0005-0000-0000-000071A50000}"/>
    <cellStyle name="Nuovo 3 2 2 2" xfId="14597" xr:uid="{00000000-0005-0000-0000-000072A50000}"/>
    <cellStyle name="Nuovo 3 2 3" xfId="27443" xr:uid="{00000000-0005-0000-0000-000073A50000}"/>
    <cellStyle name="Nuovo 3 2 4" xfId="27444" xr:uid="{00000000-0005-0000-0000-000074A50000}"/>
    <cellStyle name="Nuovo 3 2 5" xfId="27445" xr:uid="{00000000-0005-0000-0000-000075A50000}"/>
    <cellStyle name="Nuovo 3 2 6" xfId="27446" xr:uid="{00000000-0005-0000-0000-000076A50000}"/>
    <cellStyle name="Nuovo 3 3" xfId="10975" xr:uid="{00000000-0005-0000-0000-000077A50000}"/>
    <cellStyle name="Nuovo 3 3 2" xfId="14596" xr:uid="{00000000-0005-0000-0000-000078A50000}"/>
    <cellStyle name="Nuovo 3 3 3" xfId="38590" xr:uid="{00000000-0005-0000-0000-000079A50000}"/>
    <cellStyle name="Nuovo 3 4" xfId="27447" xr:uid="{00000000-0005-0000-0000-00007AA50000}"/>
    <cellStyle name="Nuovo 3 5" xfId="27448" xr:uid="{00000000-0005-0000-0000-00007BA50000}"/>
    <cellStyle name="Nuovo 3 6" xfId="27449" xr:uid="{00000000-0005-0000-0000-00007CA50000}"/>
    <cellStyle name="Nuovo 3 7" xfId="27450" xr:uid="{00000000-0005-0000-0000-00007DA50000}"/>
    <cellStyle name="Nuovo 4" xfId="4172" xr:uid="{00000000-0005-0000-0000-00007EA50000}"/>
    <cellStyle name="Nuovo 4 2" xfId="5595" xr:uid="{00000000-0005-0000-0000-00007FA50000}"/>
    <cellStyle name="Nuovo 4 2 2" xfId="10978" xr:uid="{00000000-0005-0000-0000-000080A50000}"/>
    <cellStyle name="Nuovo 4 2 2 2" xfId="14599" xr:uid="{00000000-0005-0000-0000-000081A50000}"/>
    <cellStyle name="Nuovo 4 2 3" xfId="27451" xr:uid="{00000000-0005-0000-0000-000082A50000}"/>
    <cellStyle name="Nuovo 4 2 4" xfId="27452" xr:uid="{00000000-0005-0000-0000-000083A50000}"/>
    <cellStyle name="Nuovo 4 2 5" xfId="27453" xr:uid="{00000000-0005-0000-0000-000084A50000}"/>
    <cellStyle name="Nuovo 4 2 6" xfId="27454" xr:uid="{00000000-0005-0000-0000-000085A50000}"/>
    <cellStyle name="Nuovo 4 3" xfId="10977" xr:uid="{00000000-0005-0000-0000-000086A50000}"/>
    <cellStyle name="Nuovo 4 3 2" xfId="14598" xr:uid="{00000000-0005-0000-0000-000087A50000}"/>
    <cellStyle name="Nuovo 4 3 3" xfId="38591" xr:uid="{00000000-0005-0000-0000-000088A50000}"/>
    <cellStyle name="Nuovo 4 4" xfId="27455" xr:uid="{00000000-0005-0000-0000-000089A50000}"/>
    <cellStyle name="Nuovo 4 5" xfId="27456" xr:uid="{00000000-0005-0000-0000-00008AA50000}"/>
    <cellStyle name="Nuovo 4 6" xfId="27457" xr:uid="{00000000-0005-0000-0000-00008BA50000}"/>
    <cellStyle name="Nuovo 4 7" xfId="27458" xr:uid="{00000000-0005-0000-0000-00008CA50000}"/>
    <cellStyle name="Nuovo 5" xfId="5592" xr:uid="{00000000-0005-0000-0000-00008DA50000}"/>
    <cellStyle name="Nuovo 5 2" xfId="10979" xr:uid="{00000000-0005-0000-0000-00008EA50000}"/>
    <cellStyle name="Nuovo 5 2 2" xfId="14600" xr:uid="{00000000-0005-0000-0000-00008FA50000}"/>
    <cellStyle name="Nuovo 5 3" xfId="27459" xr:uid="{00000000-0005-0000-0000-000090A50000}"/>
    <cellStyle name="Nuovo 5 4" xfId="27460" xr:uid="{00000000-0005-0000-0000-000091A50000}"/>
    <cellStyle name="Nuovo 5 5" xfId="27461" xr:uid="{00000000-0005-0000-0000-000092A50000}"/>
    <cellStyle name="Nuovo 5 6" xfId="27462" xr:uid="{00000000-0005-0000-0000-000093A50000}"/>
    <cellStyle name="Nuovo 6" xfId="10972" xr:uid="{00000000-0005-0000-0000-000094A50000}"/>
    <cellStyle name="Nuovo 6 2" xfId="14593" xr:uid="{00000000-0005-0000-0000-000095A50000}"/>
    <cellStyle name="Nuovo 6 3" xfId="38588" xr:uid="{00000000-0005-0000-0000-000096A50000}"/>
    <cellStyle name="Nuovo 7" xfId="27463" xr:uid="{00000000-0005-0000-0000-000097A50000}"/>
    <cellStyle name="Nuovo 8" xfId="27464" xr:uid="{00000000-0005-0000-0000-000098A50000}"/>
    <cellStyle name="Nuovo 9" xfId="27465" xr:uid="{00000000-0005-0000-0000-000099A50000}"/>
    <cellStyle name="Output 10" xfId="1830" xr:uid="{00000000-0005-0000-0000-00009AA50000}"/>
    <cellStyle name="Output 10 2" xfId="4173" xr:uid="{00000000-0005-0000-0000-00009BA50000}"/>
    <cellStyle name="Output 10 2 2" xfId="10981" xr:uid="{00000000-0005-0000-0000-00009CA50000}"/>
    <cellStyle name="Output 10 2 2 2" xfId="14602" xr:uid="{00000000-0005-0000-0000-00009DA50000}"/>
    <cellStyle name="Output 10 2 3" xfId="27466" xr:uid="{00000000-0005-0000-0000-00009EA50000}"/>
    <cellStyle name="Output 10 2 4" xfId="27467" xr:uid="{00000000-0005-0000-0000-00009FA50000}"/>
    <cellStyle name="Output 10 2 5" xfId="27468" xr:uid="{00000000-0005-0000-0000-0000A0A50000}"/>
    <cellStyle name="Output 10 2 6" xfId="27469" xr:uid="{00000000-0005-0000-0000-0000A1A50000}"/>
    <cellStyle name="Output 10 3" xfId="10980" xr:uid="{00000000-0005-0000-0000-0000A2A50000}"/>
    <cellStyle name="Output 10 3 2" xfId="14601" xr:uid="{00000000-0005-0000-0000-0000A3A50000}"/>
    <cellStyle name="Output 10 4" xfId="27470" xr:uid="{00000000-0005-0000-0000-0000A4A50000}"/>
    <cellStyle name="Output 10 5" xfId="27471" xr:uid="{00000000-0005-0000-0000-0000A5A50000}"/>
    <cellStyle name="Output 10 6" xfId="27472" xr:uid="{00000000-0005-0000-0000-0000A6A50000}"/>
    <cellStyle name="Output 10 7" xfId="27473" xr:uid="{00000000-0005-0000-0000-0000A7A50000}"/>
    <cellStyle name="Output 10 8" xfId="27474" xr:uid="{00000000-0005-0000-0000-0000A8A50000}"/>
    <cellStyle name="Output 11" xfId="1831" xr:uid="{00000000-0005-0000-0000-0000A9A50000}"/>
    <cellStyle name="Output 11 2" xfId="8324" xr:uid="{00000000-0005-0000-0000-0000AAA50000}"/>
    <cellStyle name="Output 11 2 2" xfId="10983" xr:uid="{00000000-0005-0000-0000-0000ABA50000}"/>
    <cellStyle name="Output 11 2 2 2" xfId="14604" xr:uid="{00000000-0005-0000-0000-0000ACA50000}"/>
    <cellStyle name="Output 11 2 3" xfId="27475" xr:uid="{00000000-0005-0000-0000-0000ADA50000}"/>
    <cellStyle name="Output 11 2 4" xfId="27476" xr:uid="{00000000-0005-0000-0000-0000AEA50000}"/>
    <cellStyle name="Output 11 2 5" xfId="27477" xr:uid="{00000000-0005-0000-0000-0000AFA50000}"/>
    <cellStyle name="Output 11 2 6" xfId="27478" xr:uid="{00000000-0005-0000-0000-0000B0A50000}"/>
    <cellStyle name="Output 11 3" xfId="10982" xr:uid="{00000000-0005-0000-0000-0000B1A50000}"/>
    <cellStyle name="Output 11 3 2" xfId="14603" xr:uid="{00000000-0005-0000-0000-0000B2A50000}"/>
    <cellStyle name="Output 11 4" xfId="27479" xr:uid="{00000000-0005-0000-0000-0000B3A50000}"/>
    <cellStyle name="Output 11 5" xfId="27480" xr:uid="{00000000-0005-0000-0000-0000B4A50000}"/>
    <cellStyle name="Output 11 6" xfId="27481" xr:uid="{00000000-0005-0000-0000-0000B5A50000}"/>
    <cellStyle name="Output 11 7" xfId="27482" xr:uid="{00000000-0005-0000-0000-0000B6A50000}"/>
    <cellStyle name="Output 11 8" xfId="27483" xr:uid="{00000000-0005-0000-0000-0000B7A50000}"/>
    <cellStyle name="Output 12" xfId="1832" xr:uid="{00000000-0005-0000-0000-0000B8A50000}"/>
    <cellStyle name="Output 12 2" xfId="8325" xr:uid="{00000000-0005-0000-0000-0000B9A50000}"/>
    <cellStyle name="Output 12 2 2" xfId="10985" xr:uid="{00000000-0005-0000-0000-0000BAA50000}"/>
    <cellStyle name="Output 12 2 2 2" xfId="14606" xr:uid="{00000000-0005-0000-0000-0000BBA50000}"/>
    <cellStyle name="Output 12 2 3" xfId="27484" xr:uid="{00000000-0005-0000-0000-0000BCA50000}"/>
    <cellStyle name="Output 12 2 4" xfId="27485" xr:uid="{00000000-0005-0000-0000-0000BDA50000}"/>
    <cellStyle name="Output 12 2 5" xfId="27486" xr:uid="{00000000-0005-0000-0000-0000BEA50000}"/>
    <cellStyle name="Output 12 2 6" xfId="27487" xr:uid="{00000000-0005-0000-0000-0000BFA50000}"/>
    <cellStyle name="Output 12 3" xfId="10984" xr:uid="{00000000-0005-0000-0000-0000C0A50000}"/>
    <cellStyle name="Output 12 3 2" xfId="14605" xr:uid="{00000000-0005-0000-0000-0000C1A50000}"/>
    <cellStyle name="Output 12 4" xfId="27488" xr:uid="{00000000-0005-0000-0000-0000C2A50000}"/>
    <cellStyle name="Output 12 5" xfId="27489" xr:uid="{00000000-0005-0000-0000-0000C3A50000}"/>
    <cellStyle name="Output 12 6" xfId="27490" xr:uid="{00000000-0005-0000-0000-0000C4A50000}"/>
    <cellStyle name="Output 12 7" xfId="27491" xr:uid="{00000000-0005-0000-0000-0000C5A50000}"/>
    <cellStyle name="Output 12 8" xfId="27492" xr:uid="{00000000-0005-0000-0000-0000C6A50000}"/>
    <cellStyle name="Output 13" xfId="1833" xr:uid="{00000000-0005-0000-0000-0000C7A50000}"/>
    <cellStyle name="Output 13 2" xfId="8326" xr:uid="{00000000-0005-0000-0000-0000C8A50000}"/>
    <cellStyle name="Output 13 2 2" xfId="10987" xr:uid="{00000000-0005-0000-0000-0000C9A50000}"/>
    <cellStyle name="Output 13 2 2 2" xfId="14608" xr:uid="{00000000-0005-0000-0000-0000CAA50000}"/>
    <cellStyle name="Output 13 2 3" xfId="27493" xr:uid="{00000000-0005-0000-0000-0000CBA50000}"/>
    <cellStyle name="Output 13 2 4" xfId="27494" xr:uid="{00000000-0005-0000-0000-0000CCA50000}"/>
    <cellStyle name="Output 13 2 5" xfId="27495" xr:uid="{00000000-0005-0000-0000-0000CDA50000}"/>
    <cellStyle name="Output 13 2 6" xfId="27496" xr:uid="{00000000-0005-0000-0000-0000CEA50000}"/>
    <cellStyle name="Output 13 3" xfId="10986" xr:uid="{00000000-0005-0000-0000-0000CFA50000}"/>
    <cellStyle name="Output 13 3 2" xfId="14607" xr:uid="{00000000-0005-0000-0000-0000D0A50000}"/>
    <cellStyle name="Output 13 4" xfId="27497" xr:uid="{00000000-0005-0000-0000-0000D1A50000}"/>
    <cellStyle name="Output 13 5" xfId="27498" xr:uid="{00000000-0005-0000-0000-0000D2A50000}"/>
    <cellStyle name="Output 13 6" xfId="27499" xr:uid="{00000000-0005-0000-0000-0000D3A50000}"/>
    <cellStyle name="Output 13 7" xfId="27500" xr:uid="{00000000-0005-0000-0000-0000D4A50000}"/>
    <cellStyle name="Output 13 8" xfId="27501" xr:uid="{00000000-0005-0000-0000-0000D5A50000}"/>
    <cellStyle name="Output 14" xfId="1834" xr:uid="{00000000-0005-0000-0000-0000D6A50000}"/>
    <cellStyle name="Output 14 2" xfId="8327" xr:uid="{00000000-0005-0000-0000-0000D7A50000}"/>
    <cellStyle name="Output 14 2 2" xfId="10989" xr:uid="{00000000-0005-0000-0000-0000D8A50000}"/>
    <cellStyle name="Output 14 2 2 2" xfId="14610" xr:uid="{00000000-0005-0000-0000-0000D9A50000}"/>
    <cellStyle name="Output 14 2 3" xfId="27502" xr:uid="{00000000-0005-0000-0000-0000DAA50000}"/>
    <cellStyle name="Output 14 2 4" xfId="27503" xr:uid="{00000000-0005-0000-0000-0000DBA50000}"/>
    <cellStyle name="Output 14 2 5" xfId="27504" xr:uid="{00000000-0005-0000-0000-0000DCA50000}"/>
    <cellStyle name="Output 14 2 6" xfId="27505" xr:uid="{00000000-0005-0000-0000-0000DDA50000}"/>
    <cellStyle name="Output 14 3" xfId="10988" xr:uid="{00000000-0005-0000-0000-0000DEA50000}"/>
    <cellStyle name="Output 14 3 2" xfId="14609" xr:uid="{00000000-0005-0000-0000-0000DFA50000}"/>
    <cellStyle name="Output 14 4" xfId="27506" xr:uid="{00000000-0005-0000-0000-0000E0A50000}"/>
    <cellStyle name="Output 14 5" xfId="27507" xr:uid="{00000000-0005-0000-0000-0000E1A50000}"/>
    <cellStyle name="Output 14 6" xfId="27508" xr:uid="{00000000-0005-0000-0000-0000E2A50000}"/>
    <cellStyle name="Output 14 7" xfId="27509" xr:uid="{00000000-0005-0000-0000-0000E3A50000}"/>
    <cellStyle name="Output 14 8" xfId="27510" xr:uid="{00000000-0005-0000-0000-0000E4A50000}"/>
    <cellStyle name="Output 15" xfId="4174" xr:uid="{00000000-0005-0000-0000-0000E5A50000}"/>
    <cellStyle name="Output 15 2" xfId="8328" xr:uid="{00000000-0005-0000-0000-0000E6A50000}"/>
    <cellStyle name="Output 15 2 2" xfId="10991" xr:uid="{00000000-0005-0000-0000-0000E7A50000}"/>
    <cellStyle name="Output 15 2 2 2" xfId="14612" xr:uid="{00000000-0005-0000-0000-0000E8A50000}"/>
    <cellStyle name="Output 15 2 3" xfId="27511" xr:uid="{00000000-0005-0000-0000-0000E9A50000}"/>
    <cellStyle name="Output 15 2 4" xfId="27512" xr:uid="{00000000-0005-0000-0000-0000EAA50000}"/>
    <cellStyle name="Output 15 2 5" xfId="27513" xr:uid="{00000000-0005-0000-0000-0000EBA50000}"/>
    <cellStyle name="Output 15 2 6" xfId="27514" xr:uid="{00000000-0005-0000-0000-0000ECA50000}"/>
    <cellStyle name="Output 15 3" xfId="10990" xr:uid="{00000000-0005-0000-0000-0000EDA50000}"/>
    <cellStyle name="Output 15 3 2" xfId="14611" xr:uid="{00000000-0005-0000-0000-0000EEA50000}"/>
    <cellStyle name="Output 15 4" xfId="27515" xr:uid="{00000000-0005-0000-0000-0000EFA50000}"/>
    <cellStyle name="Output 15 5" xfId="27516" xr:uid="{00000000-0005-0000-0000-0000F0A50000}"/>
    <cellStyle name="Output 15 6" xfId="27517" xr:uid="{00000000-0005-0000-0000-0000F1A50000}"/>
    <cellStyle name="Output 15 7" xfId="27518" xr:uid="{00000000-0005-0000-0000-0000F2A50000}"/>
    <cellStyle name="Output 16" xfId="4175" xr:uid="{00000000-0005-0000-0000-0000F3A50000}"/>
    <cellStyle name="Output 16 2" xfId="8329" xr:uid="{00000000-0005-0000-0000-0000F4A50000}"/>
    <cellStyle name="Output 16 2 2" xfId="10993" xr:uid="{00000000-0005-0000-0000-0000F5A50000}"/>
    <cellStyle name="Output 16 2 2 2" xfId="14614" xr:uid="{00000000-0005-0000-0000-0000F6A50000}"/>
    <cellStyle name="Output 16 2 3" xfId="27519" xr:uid="{00000000-0005-0000-0000-0000F7A50000}"/>
    <cellStyle name="Output 16 2 4" xfId="27520" xr:uid="{00000000-0005-0000-0000-0000F8A50000}"/>
    <cellStyle name="Output 16 2 5" xfId="27521" xr:uid="{00000000-0005-0000-0000-0000F9A50000}"/>
    <cellStyle name="Output 16 2 6" xfId="27522" xr:uid="{00000000-0005-0000-0000-0000FAA50000}"/>
    <cellStyle name="Output 16 3" xfId="10992" xr:uid="{00000000-0005-0000-0000-0000FBA50000}"/>
    <cellStyle name="Output 16 3 2" xfId="14613" xr:uid="{00000000-0005-0000-0000-0000FCA50000}"/>
    <cellStyle name="Output 16 4" xfId="27523" xr:uid="{00000000-0005-0000-0000-0000FDA50000}"/>
    <cellStyle name="Output 16 5" xfId="27524" xr:uid="{00000000-0005-0000-0000-0000FEA50000}"/>
    <cellStyle name="Output 16 6" xfId="27525" xr:uid="{00000000-0005-0000-0000-0000FFA50000}"/>
    <cellStyle name="Output 16 7" xfId="27526" xr:uid="{00000000-0005-0000-0000-000000A60000}"/>
    <cellStyle name="Output 17" xfId="4176" xr:uid="{00000000-0005-0000-0000-000001A60000}"/>
    <cellStyle name="Output 17 2" xfId="8330" xr:uid="{00000000-0005-0000-0000-000002A60000}"/>
    <cellStyle name="Output 17 2 2" xfId="10995" xr:uid="{00000000-0005-0000-0000-000003A60000}"/>
    <cellStyle name="Output 17 2 2 2" xfId="14616" xr:uid="{00000000-0005-0000-0000-000004A60000}"/>
    <cellStyle name="Output 17 2 3" xfId="27527" xr:uid="{00000000-0005-0000-0000-000005A60000}"/>
    <cellStyle name="Output 17 2 4" xfId="27528" xr:uid="{00000000-0005-0000-0000-000006A60000}"/>
    <cellStyle name="Output 17 2 5" xfId="27529" xr:uid="{00000000-0005-0000-0000-000007A60000}"/>
    <cellStyle name="Output 17 2 6" xfId="27530" xr:uid="{00000000-0005-0000-0000-000008A60000}"/>
    <cellStyle name="Output 17 3" xfId="10994" xr:uid="{00000000-0005-0000-0000-000009A60000}"/>
    <cellStyle name="Output 17 3 2" xfId="14615" xr:uid="{00000000-0005-0000-0000-00000AA60000}"/>
    <cellStyle name="Output 17 4" xfId="27531" xr:uid="{00000000-0005-0000-0000-00000BA60000}"/>
    <cellStyle name="Output 17 5" xfId="27532" xr:uid="{00000000-0005-0000-0000-00000CA60000}"/>
    <cellStyle name="Output 17 6" xfId="27533" xr:uid="{00000000-0005-0000-0000-00000DA60000}"/>
    <cellStyle name="Output 17 7" xfId="27534" xr:uid="{00000000-0005-0000-0000-00000EA60000}"/>
    <cellStyle name="Output 18" xfId="4177" xr:uid="{00000000-0005-0000-0000-00000FA60000}"/>
    <cellStyle name="Output 18 2" xfId="8331" xr:uid="{00000000-0005-0000-0000-000010A60000}"/>
    <cellStyle name="Output 18 2 2" xfId="10997" xr:uid="{00000000-0005-0000-0000-000011A60000}"/>
    <cellStyle name="Output 18 2 2 2" xfId="14618" xr:uid="{00000000-0005-0000-0000-000012A60000}"/>
    <cellStyle name="Output 18 2 3" xfId="27535" xr:uid="{00000000-0005-0000-0000-000013A60000}"/>
    <cellStyle name="Output 18 2 4" xfId="27536" xr:uid="{00000000-0005-0000-0000-000014A60000}"/>
    <cellStyle name="Output 18 2 5" xfId="27537" xr:uid="{00000000-0005-0000-0000-000015A60000}"/>
    <cellStyle name="Output 18 2 6" xfId="27538" xr:uid="{00000000-0005-0000-0000-000016A60000}"/>
    <cellStyle name="Output 18 3" xfId="10996" xr:uid="{00000000-0005-0000-0000-000017A60000}"/>
    <cellStyle name="Output 18 3 2" xfId="14617" xr:uid="{00000000-0005-0000-0000-000018A60000}"/>
    <cellStyle name="Output 18 4" xfId="27539" xr:uid="{00000000-0005-0000-0000-000019A60000}"/>
    <cellStyle name="Output 18 5" xfId="27540" xr:uid="{00000000-0005-0000-0000-00001AA60000}"/>
    <cellStyle name="Output 18 6" xfId="27541" xr:uid="{00000000-0005-0000-0000-00001BA60000}"/>
    <cellStyle name="Output 18 7" xfId="27542" xr:uid="{00000000-0005-0000-0000-00001CA60000}"/>
    <cellStyle name="Output 19" xfId="4178" xr:uid="{00000000-0005-0000-0000-00001DA60000}"/>
    <cellStyle name="Output 19 2" xfId="8332" xr:uid="{00000000-0005-0000-0000-00001EA60000}"/>
    <cellStyle name="Output 19 2 2" xfId="10999" xr:uid="{00000000-0005-0000-0000-00001FA60000}"/>
    <cellStyle name="Output 19 2 2 2" xfId="14620" xr:uid="{00000000-0005-0000-0000-000020A60000}"/>
    <cellStyle name="Output 19 2 3" xfId="27543" xr:uid="{00000000-0005-0000-0000-000021A60000}"/>
    <cellStyle name="Output 19 2 4" xfId="27544" xr:uid="{00000000-0005-0000-0000-000022A60000}"/>
    <cellStyle name="Output 19 2 5" xfId="27545" xr:uid="{00000000-0005-0000-0000-000023A60000}"/>
    <cellStyle name="Output 19 2 6" xfId="27546" xr:uid="{00000000-0005-0000-0000-000024A60000}"/>
    <cellStyle name="Output 19 3" xfId="10998" xr:uid="{00000000-0005-0000-0000-000025A60000}"/>
    <cellStyle name="Output 19 3 2" xfId="14619" xr:uid="{00000000-0005-0000-0000-000026A60000}"/>
    <cellStyle name="Output 19 4" xfId="27547" xr:uid="{00000000-0005-0000-0000-000027A60000}"/>
    <cellStyle name="Output 19 5" xfId="27548" xr:uid="{00000000-0005-0000-0000-000028A60000}"/>
    <cellStyle name="Output 19 6" xfId="27549" xr:uid="{00000000-0005-0000-0000-000029A60000}"/>
    <cellStyle name="Output 19 7" xfId="27550" xr:uid="{00000000-0005-0000-0000-00002AA60000}"/>
    <cellStyle name="Output 2" xfId="1835" xr:uid="{00000000-0005-0000-0000-00002BA60000}"/>
    <cellStyle name="Output 2 10" xfId="11000" xr:uid="{00000000-0005-0000-0000-00002CA60000}"/>
    <cellStyle name="Output 2 10 2" xfId="14621" xr:uid="{00000000-0005-0000-0000-00002DA60000}"/>
    <cellStyle name="Output 2 11" xfId="27551" xr:uid="{00000000-0005-0000-0000-00002EA60000}"/>
    <cellStyle name="Output 2 12" xfId="27552" xr:uid="{00000000-0005-0000-0000-00002FA60000}"/>
    <cellStyle name="Output 2 13" xfId="27553" xr:uid="{00000000-0005-0000-0000-000030A60000}"/>
    <cellStyle name="Output 2 14" xfId="27554" xr:uid="{00000000-0005-0000-0000-000031A60000}"/>
    <cellStyle name="Output 2 15" xfId="27555" xr:uid="{00000000-0005-0000-0000-000032A60000}"/>
    <cellStyle name="Output 2 16" xfId="27556" xr:uid="{00000000-0005-0000-0000-000033A60000}"/>
    <cellStyle name="Output 2 2" xfId="1836" xr:uid="{00000000-0005-0000-0000-000034A60000}"/>
    <cellStyle name="Output 2 2 2" xfId="11001" xr:uid="{00000000-0005-0000-0000-000035A60000}"/>
    <cellStyle name="Output 2 2 2 2" xfId="14622" xr:uid="{00000000-0005-0000-0000-000036A60000}"/>
    <cellStyle name="Output 2 2 3" xfId="27557" xr:uid="{00000000-0005-0000-0000-000037A60000}"/>
    <cellStyle name="Output 2 2 4" xfId="27558" xr:uid="{00000000-0005-0000-0000-000038A60000}"/>
    <cellStyle name="Output 2 2 5" xfId="27559" xr:uid="{00000000-0005-0000-0000-000039A60000}"/>
    <cellStyle name="Output 2 2 6" xfId="27560" xr:uid="{00000000-0005-0000-0000-00003AA60000}"/>
    <cellStyle name="Output 2 2 7" xfId="27561" xr:uid="{00000000-0005-0000-0000-00003BA60000}"/>
    <cellStyle name="Output 2 3" xfId="1837" xr:uid="{00000000-0005-0000-0000-00003CA60000}"/>
    <cellStyle name="Output 2 3 2" xfId="11002" xr:uid="{00000000-0005-0000-0000-00003DA60000}"/>
    <cellStyle name="Output 2 3 2 2" xfId="14623" xr:uid="{00000000-0005-0000-0000-00003EA60000}"/>
    <cellStyle name="Output 2 3 3" xfId="27562" xr:uid="{00000000-0005-0000-0000-00003FA60000}"/>
    <cellStyle name="Output 2 3 4" xfId="27563" xr:uid="{00000000-0005-0000-0000-000040A60000}"/>
    <cellStyle name="Output 2 3 5" xfId="27564" xr:uid="{00000000-0005-0000-0000-000041A60000}"/>
    <cellStyle name="Output 2 3 6" xfId="27565" xr:uid="{00000000-0005-0000-0000-000042A60000}"/>
    <cellStyle name="Output 2 3 7" xfId="27566" xr:uid="{00000000-0005-0000-0000-000043A60000}"/>
    <cellStyle name="Output 2 4" xfId="1838" xr:uid="{00000000-0005-0000-0000-000044A60000}"/>
    <cellStyle name="Output 2 4 2" xfId="11003" xr:uid="{00000000-0005-0000-0000-000045A60000}"/>
    <cellStyle name="Output 2 4 2 2" xfId="14624" xr:uid="{00000000-0005-0000-0000-000046A60000}"/>
    <cellStyle name="Output 2 4 3" xfId="27567" xr:uid="{00000000-0005-0000-0000-000047A60000}"/>
    <cellStyle name="Output 2 4 4" xfId="27568" xr:uid="{00000000-0005-0000-0000-000048A60000}"/>
    <cellStyle name="Output 2 4 5" xfId="27569" xr:uid="{00000000-0005-0000-0000-000049A60000}"/>
    <cellStyle name="Output 2 4 6" xfId="27570" xr:uid="{00000000-0005-0000-0000-00004AA60000}"/>
    <cellStyle name="Output 2 4 7" xfId="27571" xr:uid="{00000000-0005-0000-0000-00004BA60000}"/>
    <cellStyle name="Output 2 5" xfId="1839" xr:uid="{00000000-0005-0000-0000-00004CA60000}"/>
    <cellStyle name="Output 2 5 2" xfId="11004" xr:uid="{00000000-0005-0000-0000-00004DA60000}"/>
    <cellStyle name="Output 2 5 2 2" xfId="14625" xr:uid="{00000000-0005-0000-0000-00004EA60000}"/>
    <cellStyle name="Output 2 5 3" xfId="27572" xr:uid="{00000000-0005-0000-0000-00004FA60000}"/>
    <cellStyle name="Output 2 5 4" xfId="27573" xr:uid="{00000000-0005-0000-0000-000050A60000}"/>
    <cellStyle name="Output 2 5 5" xfId="27574" xr:uid="{00000000-0005-0000-0000-000051A60000}"/>
    <cellStyle name="Output 2 5 6" xfId="27575" xr:uid="{00000000-0005-0000-0000-000052A60000}"/>
    <cellStyle name="Output 2 5 7" xfId="27576" xr:uid="{00000000-0005-0000-0000-000053A60000}"/>
    <cellStyle name="Output 2 6" xfId="1840" xr:uid="{00000000-0005-0000-0000-000054A60000}"/>
    <cellStyle name="Output 2 6 2" xfId="11005" xr:uid="{00000000-0005-0000-0000-000055A60000}"/>
    <cellStyle name="Output 2 6 2 2" xfId="14626" xr:uid="{00000000-0005-0000-0000-000056A60000}"/>
    <cellStyle name="Output 2 6 3" xfId="27577" xr:uid="{00000000-0005-0000-0000-000057A60000}"/>
    <cellStyle name="Output 2 6 4" xfId="27578" xr:uid="{00000000-0005-0000-0000-000058A60000}"/>
    <cellStyle name="Output 2 6 5" xfId="27579" xr:uid="{00000000-0005-0000-0000-000059A60000}"/>
    <cellStyle name="Output 2 6 6" xfId="27580" xr:uid="{00000000-0005-0000-0000-00005AA60000}"/>
    <cellStyle name="Output 2 6 7" xfId="27581" xr:uid="{00000000-0005-0000-0000-00005BA60000}"/>
    <cellStyle name="Output 2 7" xfId="1841" xr:uid="{00000000-0005-0000-0000-00005CA60000}"/>
    <cellStyle name="Output 2 7 2" xfId="11006" xr:uid="{00000000-0005-0000-0000-00005DA60000}"/>
    <cellStyle name="Output 2 7 2 2" xfId="14627" xr:uid="{00000000-0005-0000-0000-00005EA60000}"/>
    <cellStyle name="Output 2 7 3" xfId="27582" xr:uid="{00000000-0005-0000-0000-00005FA60000}"/>
    <cellStyle name="Output 2 7 4" xfId="27583" xr:uid="{00000000-0005-0000-0000-000060A60000}"/>
    <cellStyle name="Output 2 7 5" xfId="27584" xr:uid="{00000000-0005-0000-0000-000061A60000}"/>
    <cellStyle name="Output 2 7 6" xfId="27585" xr:uid="{00000000-0005-0000-0000-000062A60000}"/>
    <cellStyle name="Output 2 7 7" xfId="27586" xr:uid="{00000000-0005-0000-0000-000063A60000}"/>
    <cellStyle name="Output 2 8" xfId="1842" xr:uid="{00000000-0005-0000-0000-000064A60000}"/>
    <cellStyle name="Output 2 8 2" xfId="11007" xr:uid="{00000000-0005-0000-0000-000065A60000}"/>
    <cellStyle name="Output 2 8 2 2" xfId="14628" xr:uid="{00000000-0005-0000-0000-000066A60000}"/>
    <cellStyle name="Output 2 8 3" xfId="27587" xr:uid="{00000000-0005-0000-0000-000067A60000}"/>
    <cellStyle name="Output 2 8 4" xfId="27588" xr:uid="{00000000-0005-0000-0000-000068A60000}"/>
    <cellStyle name="Output 2 8 5" xfId="27589" xr:uid="{00000000-0005-0000-0000-000069A60000}"/>
    <cellStyle name="Output 2 8 6" xfId="27590" xr:uid="{00000000-0005-0000-0000-00006AA60000}"/>
    <cellStyle name="Output 2 8 7" xfId="27591" xr:uid="{00000000-0005-0000-0000-00006BA60000}"/>
    <cellStyle name="Output 2 9" xfId="1843" xr:uid="{00000000-0005-0000-0000-00006CA60000}"/>
    <cellStyle name="Output 2 9 2" xfId="11008" xr:uid="{00000000-0005-0000-0000-00006DA60000}"/>
    <cellStyle name="Output 2 9 2 2" xfId="14629" xr:uid="{00000000-0005-0000-0000-00006EA60000}"/>
    <cellStyle name="Output 2 9 3" xfId="27592" xr:uid="{00000000-0005-0000-0000-00006FA60000}"/>
    <cellStyle name="Output 2 9 4" xfId="27593" xr:uid="{00000000-0005-0000-0000-000070A60000}"/>
    <cellStyle name="Output 2 9 5" xfId="27594" xr:uid="{00000000-0005-0000-0000-000071A60000}"/>
    <cellStyle name="Output 2 9 6" xfId="27595" xr:uid="{00000000-0005-0000-0000-000072A60000}"/>
    <cellStyle name="Output 2 9 7" xfId="27596" xr:uid="{00000000-0005-0000-0000-000073A60000}"/>
    <cellStyle name="Output 2_ELC" xfId="6610" xr:uid="{00000000-0005-0000-0000-000074A60000}"/>
    <cellStyle name="Output 20" xfId="4179" xr:uid="{00000000-0005-0000-0000-000075A60000}"/>
    <cellStyle name="Output 20 2" xfId="8333" xr:uid="{00000000-0005-0000-0000-000076A60000}"/>
    <cellStyle name="Output 20 2 2" xfId="11010" xr:uid="{00000000-0005-0000-0000-000077A60000}"/>
    <cellStyle name="Output 20 2 2 2" xfId="14631" xr:uid="{00000000-0005-0000-0000-000078A60000}"/>
    <cellStyle name="Output 20 2 3" xfId="27597" xr:uid="{00000000-0005-0000-0000-000079A60000}"/>
    <cellStyle name="Output 20 2 4" xfId="27598" xr:uid="{00000000-0005-0000-0000-00007AA60000}"/>
    <cellStyle name="Output 20 2 5" xfId="27599" xr:uid="{00000000-0005-0000-0000-00007BA60000}"/>
    <cellStyle name="Output 20 2 6" xfId="27600" xr:uid="{00000000-0005-0000-0000-00007CA60000}"/>
    <cellStyle name="Output 20 3" xfId="11009" xr:uid="{00000000-0005-0000-0000-00007DA60000}"/>
    <cellStyle name="Output 20 3 2" xfId="14630" xr:uid="{00000000-0005-0000-0000-00007EA60000}"/>
    <cellStyle name="Output 20 4" xfId="27601" xr:uid="{00000000-0005-0000-0000-00007FA60000}"/>
    <cellStyle name="Output 20 5" xfId="27602" xr:uid="{00000000-0005-0000-0000-000080A60000}"/>
    <cellStyle name="Output 20 6" xfId="27603" xr:uid="{00000000-0005-0000-0000-000081A60000}"/>
    <cellStyle name="Output 20 7" xfId="27604" xr:uid="{00000000-0005-0000-0000-000082A60000}"/>
    <cellStyle name="Output 21" xfId="8334" xr:uid="{00000000-0005-0000-0000-000083A60000}"/>
    <cellStyle name="Output 21 2" xfId="11011" xr:uid="{00000000-0005-0000-0000-000084A60000}"/>
    <cellStyle name="Output 21 2 2" xfId="14632" xr:uid="{00000000-0005-0000-0000-000085A60000}"/>
    <cellStyle name="Output 21 3" xfId="27605" xr:uid="{00000000-0005-0000-0000-000086A60000}"/>
    <cellStyle name="Output 21 4" xfId="27606" xr:uid="{00000000-0005-0000-0000-000087A60000}"/>
    <cellStyle name="Output 21 5" xfId="27607" xr:uid="{00000000-0005-0000-0000-000088A60000}"/>
    <cellStyle name="Output 21 6" xfId="27608" xr:uid="{00000000-0005-0000-0000-000089A60000}"/>
    <cellStyle name="Output 22" xfId="6609" xr:uid="{00000000-0005-0000-0000-00008AA60000}"/>
    <cellStyle name="Output 22 2" xfId="27610" xr:uid="{00000000-0005-0000-0000-00008BA60000}"/>
    <cellStyle name="Output 22 3" xfId="27609" xr:uid="{00000000-0005-0000-0000-00008CA60000}"/>
    <cellStyle name="Output 23" xfId="27611" xr:uid="{00000000-0005-0000-0000-00008DA60000}"/>
    <cellStyle name="Output 24" xfId="27612" xr:uid="{00000000-0005-0000-0000-00008EA60000}"/>
    <cellStyle name="Output 25" xfId="27613" xr:uid="{00000000-0005-0000-0000-00008FA60000}"/>
    <cellStyle name="Output 3" xfId="1844" xr:uid="{00000000-0005-0000-0000-000090A60000}"/>
    <cellStyle name="Output 3 10" xfId="4180" xr:uid="{00000000-0005-0000-0000-000091A60000}"/>
    <cellStyle name="Output 3 10 2" xfId="11013" xr:uid="{00000000-0005-0000-0000-000092A60000}"/>
    <cellStyle name="Output 3 10 2 2" xfId="14634" xr:uid="{00000000-0005-0000-0000-000093A60000}"/>
    <cellStyle name="Output 3 10 3" xfId="27614" xr:uid="{00000000-0005-0000-0000-000094A60000}"/>
    <cellStyle name="Output 3 10 4" xfId="27615" xr:uid="{00000000-0005-0000-0000-000095A60000}"/>
    <cellStyle name="Output 3 10 5" xfId="27616" xr:uid="{00000000-0005-0000-0000-000096A60000}"/>
    <cellStyle name="Output 3 10 6" xfId="27617" xr:uid="{00000000-0005-0000-0000-000097A60000}"/>
    <cellStyle name="Output 3 11" xfId="4181" xr:uid="{00000000-0005-0000-0000-000098A60000}"/>
    <cellStyle name="Output 3 11 2" xfId="11014" xr:uid="{00000000-0005-0000-0000-000099A60000}"/>
    <cellStyle name="Output 3 11 2 2" xfId="14635" xr:uid="{00000000-0005-0000-0000-00009AA60000}"/>
    <cellStyle name="Output 3 11 3" xfId="27618" xr:uid="{00000000-0005-0000-0000-00009BA60000}"/>
    <cellStyle name="Output 3 11 4" xfId="27619" xr:uid="{00000000-0005-0000-0000-00009CA60000}"/>
    <cellStyle name="Output 3 11 5" xfId="27620" xr:uid="{00000000-0005-0000-0000-00009DA60000}"/>
    <cellStyle name="Output 3 11 6" xfId="27621" xr:uid="{00000000-0005-0000-0000-00009EA60000}"/>
    <cellStyle name="Output 3 12" xfId="4182" xr:uid="{00000000-0005-0000-0000-00009FA60000}"/>
    <cellStyle name="Output 3 12 2" xfId="11015" xr:uid="{00000000-0005-0000-0000-0000A0A60000}"/>
    <cellStyle name="Output 3 12 2 2" xfId="14636" xr:uid="{00000000-0005-0000-0000-0000A1A60000}"/>
    <cellStyle name="Output 3 12 3" xfId="27622" xr:uid="{00000000-0005-0000-0000-0000A2A60000}"/>
    <cellStyle name="Output 3 12 4" xfId="27623" xr:uid="{00000000-0005-0000-0000-0000A3A60000}"/>
    <cellStyle name="Output 3 12 5" xfId="27624" xr:uid="{00000000-0005-0000-0000-0000A4A60000}"/>
    <cellStyle name="Output 3 12 6" xfId="27625" xr:uid="{00000000-0005-0000-0000-0000A5A60000}"/>
    <cellStyle name="Output 3 13" xfId="4183" xr:uid="{00000000-0005-0000-0000-0000A6A60000}"/>
    <cellStyle name="Output 3 13 2" xfId="11016" xr:uid="{00000000-0005-0000-0000-0000A7A60000}"/>
    <cellStyle name="Output 3 13 2 2" xfId="14637" xr:uid="{00000000-0005-0000-0000-0000A8A60000}"/>
    <cellStyle name="Output 3 13 3" xfId="27626" xr:uid="{00000000-0005-0000-0000-0000A9A60000}"/>
    <cellStyle name="Output 3 13 4" xfId="27627" xr:uid="{00000000-0005-0000-0000-0000AAA60000}"/>
    <cellStyle name="Output 3 13 5" xfId="27628" xr:uid="{00000000-0005-0000-0000-0000ABA60000}"/>
    <cellStyle name="Output 3 13 6" xfId="27629" xr:uid="{00000000-0005-0000-0000-0000ACA60000}"/>
    <cellStyle name="Output 3 14" xfId="4184" xr:uid="{00000000-0005-0000-0000-0000ADA60000}"/>
    <cellStyle name="Output 3 14 2" xfId="11017" xr:uid="{00000000-0005-0000-0000-0000AEA60000}"/>
    <cellStyle name="Output 3 14 2 2" xfId="14638" xr:uid="{00000000-0005-0000-0000-0000AFA60000}"/>
    <cellStyle name="Output 3 14 3" xfId="27630" xr:uid="{00000000-0005-0000-0000-0000B0A60000}"/>
    <cellStyle name="Output 3 14 4" xfId="27631" xr:uid="{00000000-0005-0000-0000-0000B1A60000}"/>
    <cellStyle name="Output 3 14 5" xfId="27632" xr:uid="{00000000-0005-0000-0000-0000B2A60000}"/>
    <cellStyle name="Output 3 14 6" xfId="27633" xr:uid="{00000000-0005-0000-0000-0000B3A60000}"/>
    <cellStyle name="Output 3 15" xfId="8336" xr:uid="{00000000-0005-0000-0000-0000B4A60000}"/>
    <cellStyle name="Output 3 15 2" xfId="11018" xr:uid="{00000000-0005-0000-0000-0000B5A60000}"/>
    <cellStyle name="Output 3 15 2 2" xfId="14639" xr:uid="{00000000-0005-0000-0000-0000B6A60000}"/>
    <cellStyle name="Output 3 15 3" xfId="27634" xr:uid="{00000000-0005-0000-0000-0000B7A60000}"/>
    <cellStyle name="Output 3 15 4" xfId="27635" xr:uid="{00000000-0005-0000-0000-0000B8A60000}"/>
    <cellStyle name="Output 3 15 5" xfId="27636" xr:uid="{00000000-0005-0000-0000-0000B9A60000}"/>
    <cellStyle name="Output 3 15 6" xfId="27637" xr:uid="{00000000-0005-0000-0000-0000BAA60000}"/>
    <cellStyle name="Output 3 16" xfId="11012" xr:uid="{00000000-0005-0000-0000-0000BBA60000}"/>
    <cellStyle name="Output 3 16 2" xfId="14633" xr:uid="{00000000-0005-0000-0000-0000BCA60000}"/>
    <cellStyle name="Output 3 17" xfId="27638" xr:uid="{00000000-0005-0000-0000-0000BDA60000}"/>
    <cellStyle name="Output 3 18" xfId="27639" xr:uid="{00000000-0005-0000-0000-0000BEA60000}"/>
    <cellStyle name="Output 3 19" xfId="27640" xr:uid="{00000000-0005-0000-0000-0000BFA60000}"/>
    <cellStyle name="Output 3 2" xfId="1845" xr:uid="{00000000-0005-0000-0000-0000C0A60000}"/>
    <cellStyle name="Output 3 2 2" xfId="11019" xr:uid="{00000000-0005-0000-0000-0000C1A60000}"/>
    <cellStyle name="Output 3 2 2 2" xfId="14640" xr:uid="{00000000-0005-0000-0000-0000C2A60000}"/>
    <cellStyle name="Output 3 2 3" xfId="27641" xr:uid="{00000000-0005-0000-0000-0000C3A60000}"/>
    <cellStyle name="Output 3 2 4" xfId="27642" xr:uid="{00000000-0005-0000-0000-0000C4A60000}"/>
    <cellStyle name="Output 3 2 5" xfId="27643" xr:uid="{00000000-0005-0000-0000-0000C5A60000}"/>
    <cellStyle name="Output 3 2 6" xfId="27644" xr:uid="{00000000-0005-0000-0000-0000C6A60000}"/>
    <cellStyle name="Output 3 2 7" xfId="27645" xr:uid="{00000000-0005-0000-0000-0000C7A60000}"/>
    <cellStyle name="Output 3 20" xfId="27646" xr:uid="{00000000-0005-0000-0000-0000C8A60000}"/>
    <cellStyle name="Output 3 21" xfId="27647" xr:uid="{00000000-0005-0000-0000-0000C9A60000}"/>
    <cellStyle name="Output 3 3" xfId="4185" xr:uid="{00000000-0005-0000-0000-0000CAA60000}"/>
    <cellStyle name="Output 3 3 2" xfId="11020" xr:uid="{00000000-0005-0000-0000-0000CBA60000}"/>
    <cellStyle name="Output 3 3 2 2" xfId="14641" xr:uid="{00000000-0005-0000-0000-0000CCA60000}"/>
    <cellStyle name="Output 3 3 3" xfId="27648" xr:uid="{00000000-0005-0000-0000-0000CDA60000}"/>
    <cellStyle name="Output 3 3 4" xfId="27649" xr:uid="{00000000-0005-0000-0000-0000CEA60000}"/>
    <cellStyle name="Output 3 3 5" xfId="27650" xr:uid="{00000000-0005-0000-0000-0000CFA60000}"/>
    <cellStyle name="Output 3 3 6" xfId="27651" xr:uid="{00000000-0005-0000-0000-0000D0A60000}"/>
    <cellStyle name="Output 3 4" xfId="4186" xr:uid="{00000000-0005-0000-0000-0000D1A60000}"/>
    <cellStyle name="Output 3 4 2" xfId="11021" xr:uid="{00000000-0005-0000-0000-0000D2A60000}"/>
    <cellStyle name="Output 3 4 2 2" xfId="14642" xr:uid="{00000000-0005-0000-0000-0000D3A60000}"/>
    <cellStyle name="Output 3 4 3" xfId="27652" xr:uid="{00000000-0005-0000-0000-0000D4A60000}"/>
    <cellStyle name="Output 3 4 4" xfId="27653" xr:uid="{00000000-0005-0000-0000-0000D5A60000}"/>
    <cellStyle name="Output 3 4 5" xfId="27654" xr:uid="{00000000-0005-0000-0000-0000D6A60000}"/>
    <cellStyle name="Output 3 4 6" xfId="27655" xr:uid="{00000000-0005-0000-0000-0000D7A60000}"/>
    <cellStyle name="Output 3 5" xfId="4187" xr:uid="{00000000-0005-0000-0000-0000D8A60000}"/>
    <cellStyle name="Output 3 5 2" xfId="11022" xr:uid="{00000000-0005-0000-0000-0000D9A60000}"/>
    <cellStyle name="Output 3 5 2 2" xfId="14643" xr:uid="{00000000-0005-0000-0000-0000DAA60000}"/>
    <cellStyle name="Output 3 5 3" xfId="27656" xr:uid="{00000000-0005-0000-0000-0000DBA60000}"/>
    <cellStyle name="Output 3 5 4" xfId="27657" xr:uid="{00000000-0005-0000-0000-0000DCA60000}"/>
    <cellStyle name="Output 3 5 5" xfId="27658" xr:uid="{00000000-0005-0000-0000-0000DDA60000}"/>
    <cellStyle name="Output 3 5 6" xfId="27659" xr:uid="{00000000-0005-0000-0000-0000DEA60000}"/>
    <cellStyle name="Output 3 6" xfId="4188" xr:uid="{00000000-0005-0000-0000-0000DFA60000}"/>
    <cellStyle name="Output 3 6 2" xfId="11023" xr:uid="{00000000-0005-0000-0000-0000E0A60000}"/>
    <cellStyle name="Output 3 6 2 2" xfId="14644" xr:uid="{00000000-0005-0000-0000-0000E1A60000}"/>
    <cellStyle name="Output 3 6 3" xfId="27660" xr:uid="{00000000-0005-0000-0000-0000E2A60000}"/>
    <cellStyle name="Output 3 6 4" xfId="27661" xr:uid="{00000000-0005-0000-0000-0000E3A60000}"/>
    <cellStyle name="Output 3 6 5" xfId="27662" xr:uid="{00000000-0005-0000-0000-0000E4A60000}"/>
    <cellStyle name="Output 3 6 6" xfId="27663" xr:uid="{00000000-0005-0000-0000-0000E5A60000}"/>
    <cellStyle name="Output 3 7" xfId="4189" xr:uid="{00000000-0005-0000-0000-0000E6A60000}"/>
    <cellStyle name="Output 3 7 2" xfId="11024" xr:uid="{00000000-0005-0000-0000-0000E7A60000}"/>
    <cellStyle name="Output 3 7 2 2" xfId="14645" xr:uid="{00000000-0005-0000-0000-0000E8A60000}"/>
    <cellStyle name="Output 3 7 3" xfId="27664" xr:uid="{00000000-0005-0000-0000-0000E9A60000}"/>
    <cellStyle name="Output 3 7 4" xfId="27665" xr:uid="{00000000-0005-0000-0000-0000EAA60000}"/>
    <cellStyle name="Output 3 7 5" xfId="27666" xr:uid="{00000000-0005-0000-0000-0000EBA60000}"/>
    <cellStyle name="Output 3 7 6" xfId="27667" xr:uid="{00000000-0005-0000-0000-0000ECA60000}"/>
    <cellStyle name="Output 3 8" xfId="4190" xr:uid="{00000000-0005-0000-0000-0000EDA60000}"/>
    <cellStyle name="Output 3 8 2" xfId="11025" xr:uid="{00000000-0005-0000-0000-0000EEA60000}"/>
    <cellStyle name="Output 3 8 2 2" xfId="14646" xr:uid="{00000000-0005-0000-0000-0000EFA60000}"/>
    <cellStyle name="Output 3 8 3" xfId="27668" xr:uid="{00000000-0005-0000-0000-0000F0A60000}"/>
    <cellStyle name="Output 3 8 4" xfId="27669" xr:uid="{00000000-0005-0000-0000-0000F1A60000}"/>
    <cellStyle name="Output 3 8 5" xfId="27670" xr:uid="{00000000-0005-0000-0000-0000F2A60000}"/>
    <cellStyle name="Output 3 8 6" xfId="27671" xr:uid="{00000000-0005-0000-0000-0000F3A60000}"/>
    <cellStyle name="Output 3 9" xfId="4191" xr:uid="{00000000-0005-0000-0000-0000F4A60000}"/>
    <cellStyle name="Output 3 9 2" xfId="11026" xr:uid="{00000000-0005-0000-0000-0000F5A60000}"/>
    <cellStyle name="Output 3 9 2 2" xfId="14647" xr:uid="{00000000-0005-0000-0000-0000F6A60000}"/>
    <cellStyle name="Output 3 9 3" xfId="27672" xr:uid="{00000000-0005-0000-0000-0000F7A60000}"/>
    <cellStyle name="Output 3 9 4" xfId="27673" xr:uid="{00000000-0005-0000-0000-0000F8A60000}"/>
    <cellStyle name="Output 3 9 5" xfId="27674" xr:uid="{00000000-0005-0000-0000-0000F9A60000}"/>
    <cellStyle name="Output 3 9 6" xfId="27675" xr:uid="{00000000-0005-0000-0000-0000FAA60000}"/>
    <cellStyle name="Output 3_ELC" xfId="6611" xr:uid="{00000000-0005-0000-0000-0000FBA60000}"/>
    <cellStyle name="Output 4" xfId="1846" xr:uid="{00000000-0005-0000-0000-0000FCA60000}"/>
    <cellStyle name="Output 4 2" xfId="1847" xr:uid="{00000000-0005-0000-0000-0000FDA60000}"/>
    <cellStyle name="Output 4 2 2" xfId="11028" xr:uid="{00000000-0005-0000-0000-0000FEA60000}"/>
    <cellStyle name="Output 4 2 2 2" xfId="14649" xr:uid="{00000000-0005-0000-0000-0000FFA60000}"/>
    <cellStyle name="Output 4 2 3" xfId="27676" xr:uid="{00000000-0005-0000-0000-000000A70000}"/>
    <cellStyle name="Output 4 2 4" xfId="27677" xr:uid="{00000000-0005-0000-0000-000001A70000}"/>
    <cellStyle name="Output 4 2 5" xfId="27678" xr:uid="{00000000-0005-0000-0000-000002A70000}"/>
    <cellStyle name="Output 4 2 6" xfId="27679" xr:uid="{00000000-0005-0000-0000-000003A70000}"/>
    <cellStyle name="Output 4 2 7" xfId="27680" xr:uid="{00000000-0005-0000-0000-000004A70000}"/>
    <cellStyle name="Output 4 3" xfId="11027" xr:uid="{00000000-0005-0000-0000-000005A70000}"/>
    <cellStyle name="Output 4 3 2" xfId="14648" xr:uid="{00000000-0005-0000-0000-000006A70000}"/>
    <cellStyle name="Output 4 4" xfId="27681" xr:uid="{00000000-0005-0000-0000-000007A70000}"/>
    <cellStyle name="Output 4 5" xfId="27682" xr:uid="{00000000-0005-0000-0000-000008A70000}"/>
    <cellStyle name="Output 4 6" xfId="27683" xr:uid="{00000000-0005-0000-0000-000009A70000}"/>
    <cellStyle name="Output 4 7" xfId="27684" xr:uid="{00000000-0005-0000-0000-00000AA70000}"/>
    <cellStyle name="Output 4 8" xfId="27685" xr:uid="{00000000-0005-0000-0000-00000BA70000}"/>
    <cellStyle name="Output 5" xfId="1848" xr:uid="{00000000-0005-0000-0000-00000CA70000}"/>
    <cellStyle name="Output 5 2" xfId="1849" xr:uid="{00000000-0005-0000-0000-00000DA70000}"/>
    <cellStyle name="Output 5 2 2" xfId="11030" xr:uid="{00000000-0005-0000-0000-00000EA70000}"/>
    <cellStyle name="Output 5 2 2 2" xfId="14651" xr:uid="{00000000-0005-0000-0000-00000FA70000}"/>
    <cellStyle name="Output 5 2 3" xfId="27686" xr:uid="{00000000-0005-0000-0000-000010A70000}"/>
    <cellStyle name="Output 5 2 4" xfId="27687" xr:uid="{00000000-0005-0000-0000-000011A70000}"/>
    <cellStyle name="Output 5 2 5" xfId="27688" xr:uid="{00000000-0005-0000-0000-000012A70000}"/>
    <cellStyle name="Output 5 2 6" xfId="27689" xr:uid="{00000000-0005-0000-0000-000013A70000}"/>
    <cellStyle name="Output 5 2 7" xfId="27690" xr:uid="{00000000-0005-0000-0000-000014A70000}"/>
    <cellStyle name="Output 5 3" xfId="11029" xr:uid="{00000000-0005-0000-0000-000015A70000}"/>
    <cellStyle name="Output 5 3 2" xfId="14650" xr:uid="{00000000-0005-0000-0000-000016A70000}"/>
    <cellStyle name="Output 5 4" xfId="27691" xr:uid="{00000000-0005-0000-0000-000017A70000}"/>
    <cellStyle name="Output 5 5" xfId="27692" xr:uid="{00000000-0005-0000-0000-000018A70000}"/>
    <cellStyle name="Output 5 6" xfId="27693" xr:uid="{00000000-0005-0000-0000-000019A70000}"/>
    <cellStyle name="Output 5 7" xfId="27694" xr:uid="{00000000-0005-0000-0000-00001AA70000}"/>
    <cellStyle name="Output 5 8" xfId="27695" xr:uid="{00000000-0005-0000-0000-00001BA70000}"/>
    <cellStyle name="Output 6" xfId="1850" xr:uid="{00000000-0005-0000-0000-00001CA70000}"/>
    <cellStyle name="Output 6 2" xfId="1851" xr:uid="{00000000-0005-0000-0000-00001DA70000}"/>
    <cellStyle name="Output 6 2 2" xfId="11032" xr:uid="{00000000-0005-0000-0000-00001EA70000}"/>
    <cellStyle name="Output 6 2 2 2" xfId="14653" xr:uid="{00000000-0005-0000-0000-00001FA70000}"/>
    <cellStyle name="Output 6 2 3" xfId="27696" xr:uid="{00000000-0005-0000-0000-000020A70000}"/>
    <cellStyle name="Output 6 2 4" xfId="27697" xr:uid="{00000000-0005-0000-0000-000021A70000}"/>
    <cellStyle name="Output 6 2 5" xfId="27698" xr:uid="{00000000-0005-0000-0000-000022A70000}"/>
    <cellStyle name="Output 6 2 6" xfId="27699" xr:uid="{00000000-0005-0000-0000-000023A70000}"/>
    <cellStyle name="Output 6 2 7" xfId="27700" xr:uid="{00000000-0005-0000-0000-000024A70000}"/>
    <cellStyle name="Output 6 3" xfId="4192" xr:uid="{00000000-0005-0000-0000-000025A70000}"/>
    <cellStyle name="Output 6 3 2" xfId="11033" xr:uid="{00000000-0005-0000-0000-000026A70000}"/>
    <cellStyle name="Output 6 3 2 2" xfId="14654" xr:uid="{00000000-0005-0000-0000-000027A70000}"/>
    <cellStyle name="Output 6 3 3" xfId="27701" xr:uid="{00000000-0005-0000-0000-000028A70000}"/>
    <cellStyle name="Output 6 3 4" xfId="27702" xr:uid="{00000000-0005-0000-0000-000029A70000}"/>
    <cellStyle name="Output 6 3 5" xfId="27703" xr:uid="{00000000-0005-0000-0000-00002AA70000}"/>
    <cellStyle name="Output 6 3 6" xfId="27704" xr:uid="{00000000-0005-0000-0000-00002BA70000}"/>
    <cellStyle name="Output 6 4" xfId="11031" xr:uid="{00000000-0005-0000-0000-00002CA70000}"/>
    <cellStyle name="Output 6 4 2" xfId="14652" xr:uid="{00000000-0005-0000-0000-00002DA70000}"/>
    <cellStyle name="Output 6 5" xfId="27705" xr:uid="{00000000-0005-0000-0000-00002EA70000}"/>
    <cellStyle name="Output 6 6" xfId="27706" xr:uid="{00000000-0005-0000-0000-00002FA70000}"/>
    <cellStyle name="Output 6 7" xfId="27707" xr:uid="{00000000-0005-0000-0000-000030A70000}"/>
    <cellStyle name="Output 6 8" xfId="27708" xr:uid="{00000000-0005-0000-0000-000031A70000}"/>
    <cellStyle name="Output 6 9" xfId="27709" xr:uid="{00000000-0005-0000-0000-000032A70000}"/>
    <cellStyle name="Output 6_ELC" xfId="6612" xr:uid="{00000000-0005-0000-0000-000033A70000}"/>
    <cellStyle name="Output 7" xfId="1852" xr:uid="{00000000-0005-0000-0000-000034A70000}"/>
    <cellStyle name="Output 7 2" xfId="1853" xr:uid="{00000000-0005-0000-0000-000035A70000}"/>
    <cellStyle name="Output 7 2 2" xfId="11035" xr:uid="{00000000-0005-0000-0000-000036A70000}"/>
    <cellStyle name="Output 7 2 2 2" xfId="14656" xr:uid="{00000000-0005-0000-0000-000037A70000}"/>
    <cellStyle name="Output 7 2 3" xfId="27710" xr:uid="{00000000-0005-0000-0000-000038A70000}"/>
    <cellStyle name="Output 7 2 4" xfId="27711" xr:uid="{00000000-0005-0000-0000-000039A70000}"/>
    <cellStyle name="Output 7 2 5" xfId="27712" xr:uid="{00000000-0005-0000-0000-00003AA70000}"/>
    <cellStyle name="Output 7 2 6" xfId="27713" xr:uid="{00000000-0005-0000-0000-00003BA70000}"/>
    <cellStyle name="Output 7 2 7" xfId="27714" xr:uid="{00000000-0005-0000-0000-00003CA70000}"/>
    <cellStyle name="Output 7 3" xfId="4193" xr:uid="{00000000-0005-0000-0000-00003DA70000}"/>
    <cellStyle name="Output 7 3 2" xfId="11036" xr:uid="{00000000-0005-0000-0000-00003EA70000}"/>
    <cellStyle name="Output 7 3 2 2" xfId="14657" xr:uid="{00000000-0005-0000-0000-00003FA70000}"/>
    <cellStyle name="Output 7 3 3" xfId="27715" xr:uid="{00000000-0005-0000-0000-000040A70000}"/>
    <cellStyle name="Output 7 3 4" xfId="27716" xr:uid="{00000000-0005-0000-0000-000041A70000}"/>
    <cellStyle name="Output 7 3 5" xfId="27717" xr:uid="{00000000-0005-0000-0000-000042A70000}"/>
    <cellStyle name="Output 7 3 6" xfId="27718" xr:uid="{00000000-0005-0000-0000-000043A70000}"/>
    <cellStyle name="Output 7 4" xfId="11034" xr:uid="{00000000-0005-0000-0000-000044A70000}"/>
    <cellStyle name="Output 7 4 2" xfId="14655" xr:uid="{00000000-0005-0000-0000-000045A70000}"/>
    <cellStyle name="Output 7 5" xfId="27719" xr:uid="{00000000-0005-0000-0000-000046A70000}"/>
    <cellStyle name="Output 7 6" xfId="27720" xr:uid="{00000000-0005-0000-0000-000047A70000}"/>
    <cellStyle name="Output 7 7" xfId="27721" xr:uid="{00000000-0005-0000-0000-000048A70000}"/>
    <cellStyle name="Output 7 8" xfId="27722" xr:uid="{00000000-0005-0000-0000-000049A70000}"/>
    <cellStyle name="Output 7 9" xfId="27723" xr:uid="{00000000-0005-0000-0000-00004AA70000}"/>
    <cellStyle name="Output 7_ELC" xfId="6613" xr:uid="{00000000-0005-0000-0000-00004BA70000}"/>
    <cellStyle name="Output 8" xfId="1854" xr:uid="{00000000-0005-0000-0000-00004CA70000}"/>
    <cellStyle name="Output 8 2" xfId="1855" xr:uid="{00000000-0005-0000-0000-00004DA70000}"/>
    <cellStyle name="Output 8 2 2" xfId="11038" xr:uid="{00000000-0005-0000-0000-00004EA70000}"/>
    <cellStyle name="Output 8 2 2 2" xfId="14659" xr:uid="{00000000-0005-0000-0000-00004FA70000}"/>
    <cellStyle name="Output 8 2 3" xfId="27724" xr:uid="{00000000-0005-0000-0000-000050A70000}"/>
    <cellStyle name="Output 8 2 4" xfId="27725" xr:uid="{00000000-0005-0000-0000-000051A70000}"/>
    <cellStyle name="Output 8 2 5" xfId="27726" xr:uid="{00000000-0005-0000-0000-000052A70000}"/>
    <cellStyle name="Output 8 2 6" xfId="27727" xr:uid="{00000000-0005-0000-0000-000053A70000}"/>
    <cellStyle name="Output 8 2 7" xfId="27728" xr:uid="{00000000-0005-0000-0000-000054A70000}"/>
    <cellStyle name="Output 8 3" xfId="4194" xr:uid="{00000000-0005-0000-0000-000055A70000}"/>
    <cellStyle name="Output 8 3 2" xfId="11039" xr:uid="{00000000-0005-0000-0000-000056A70000}"/>
    <cellStyle name="Output 8 3 2 2" xfId="14660" xr:uid="{00000000-0005-0000-0000-000057A70000}"/>
    <cellStyle name="Output 8 3 3" xfId="27729" xr:uid="{00000000-0005-0000-0000-000058A70000}"/>
    <cellStyle name="Output 8 3 4" xfId="27730" xr:uid="{00000000-0005-0000-0000-000059A70000}"/>
    <cellStyle name="Output 8 3 5" xfId="27731" xr:uid="{00000000-0005-0000-0000-00005AA70000}"/>
    <cellStyle name="Output 8 3 6" xfId="27732" xr:uid="{00000000-0005-0000-0000-00005BA70000}"/>
    <cellStyle name="Output 8 4" xfId="11037" xr:uid="{00000000-0005-0000-0000-00005CA70000}"/>
    <cellStyle name="Output 8 4 2" xfId="14658" xr:uid="{00000000-0005-0000-0000-00005DA70000}"/>
    <cellStyle name="Output 8 5" xfId="27733" xr:uid="{00000000-0005-0000-0000-00005EA70000}"/>
    <cellStyle name="Output 8 6" xfId="27734" xr:uid="{00000000-0005-0000-0000-00005FA70000}"/>
    <cellStyle name="Output 8 7" xfId="27735" xr:uid="{00000000-0005-0000-0000-000060A70000}"/>
    <cellStyle name="Output 8 8" xfId="27736" xr:uid="{00000000-0005-0000-0000-000061A70000}"/>
    <cellStyle name="Output 8 9" xfId="27737" xr:uid="{00000000-0005-0000-0000-000062A70000}"/>
    <cellStyle name="Output 8_ELC" xfId="6614" xr:uid="{00000000-0005-0000-0000-000063A70000}"/>
    <cellStyle name="Output 9" xfId="1856" xr:uid="{00000000-0005-0000-0000-000064A70000}"/>
    <cellStyle name="Output 9 2" xfId="4195" xr:uid="{00000000-0005-0000-0000-000065A70000}"/>
    <cellStyle name="Output 9 2 2" xfId="11041" xr:uid="{00000000-0005-0000-0000-000066A70000}"/>
    <cellStyle name="Output 9 2 2 2" xfId="14662" xr:uid="{00000000-0005-0000-0000-000067A70000}"/>
    <cellStyle name="Output 9 2 3" xfId="27738" xr:uid="{00000000-0005-0000-0000-000068A70000}"/>
    <cellStyle name="Output 9 2 4" xfId="27739" xr:uid="{00000000-0005-0000-0000-000069A70000}"/>
    <cellStyle name="Output 9 2 5" xfId="27740" xr:uid="{00000000-0005-0000-0000-00006AA70000}"/>
    <cellStyle name="Output 9 2 6" xfId="27741" xr:uid="{00000000-0005-0000-0000-00006BA70000}"/>
    <cellStyle name="Output 9 3" xfId="11040" xr:uid="{00000000-0005-0000-0000-00006CA70000}"/>
    <cellStyle name="Output 9 3 2" xfId="14661" xr:uid="{00000000-0005-0000-0000-00006DA70000}"/>
    <cellStyle name="Output 9 4" xfId="27742" xr:uid="{00000000-0005-0000-0000-00006EA70000}"/>
    <cellStyle name="Output 9 5" xfId="27743" xr:uid="{00000000-0005-0000-0000-00006FA70000}"/>
    <cellStyle name="Output 9 6" xfId="27744" xr:uid="{00000000-0005-0000-0000-000070A70000}"/>
    <cellStyle name="Output 9 7" xfId="27745" xr:uid="{00000000-0005-0000-0000-000071A70000}"/>
    <cellStyle name="Output 9 8" xfId="27746" xr:uid="{00000000-0005-0000-0000-000072A70000}"/>
    <cellStyle name="Pattern" xfId="1857" xr:uid="{00000000-0005-0000-0000-000073A70000}"/>
    <cellStyle name="Pattern 2" xfId="11042" xr:uid="{00000000-0005-0000-0000-000074A70000}"/>
    <cellStyle name="Pattern 2 2" xfId="14663" xr:uid="{00000000-0005-0000-0000-000075A70000}"/>
    <cellStyle name="Pattern 3" xfId="27747" xr:uid="{00000000-0005-0000-0000-000076A70000}"/>
    <cellStyle name="Pattern 4" xfId="27748" xr:uid="{00000000-0005-0000-0000-000077A70000}"/>
    <cellStyle name="Pattern 5" xfId="27749" xr:uid="{00000000-0005-0000-0000-000078A70000}"/>
    <cellStyle name="Pattern 6" xfId="27750" xr:uid="{00000000-0005-0000-0000-000079A70000}"/>
    <cellStyle name="Pattern 7" xfId="27751" xr:uid="{00000000-0005-0000-0000-00007AA70000}"/>
    <cellStyle name="Pattern 8" xfId="27752" xr:uid="{00000000-0005-0000-0000-00007BA70000}"/>
    <cellStyle name="Percent 10" xfId="1859" xr:uid="{00000000-0005-0000-0000-00007DA70000}"/>
    <cellStyle name="Percent 10 10" xfId="27753" xr:uid="{00000000-0005-0000-0000-00007EA70000}"/>
    <cellStyle name="Percent 10 2" xfId="1860" xr:uid="{00000000-0005-0000-0000-00007FA70000}"/>
    <cellStyle name="Percent 10 2 2" xfId="4198" xr:uid="{00000000-0005-0000-0000-000080A70000}"/>
    <cellStyle name="Percent 10 2 2 2" xfId="5596" xr:uid="{00000000-0005-0000-0000-000081A70000}"/>
    <cellStyle name="Percent 10 2 2 2 2" xfId="14666" xr:uid="{00000000-0005-0000-0000-000082A70000}"/>
    <cellStyle name="Percent 10 2 2 2 3" xfId="36150" xr:uid="{00000000-0005-0000-0000-000083A70000}"/>
    <cellStyle name="Percent 10 2 2 2 4" xfId="11045" xr:uid="{00000000-0005-0000-0000-000084A70000}"/>
    <cellStyle name="Percent 10 2 2 3" xfId="27754" xr:uid="{00000000-0005-0000-0000-000085A70000}"/>
    <cellStyle name="Percent 10 2 2 3 2" xfId="38592" xr:uid="{00000000-0005-0000-0000-000086A70000}"/>
    <cellStyle name="Percent 10 2 2 4" xfId="27755" xr:uid="{00000000-0005-0000-0000-000087A70000}"/>
    <cellStyle name="Percent 10 2 2 5" xfId="27756" xr:uid="{00000000-0005-0000-0000-000088A70000}"/>
    <cellStyle name="Percent 10 2 2 6" xfId="27757" xr:uid="{00000000-0005-0000-0000-000089A70000}"/>
    <cellStyle name="Percent 10 2 3" xfId="4197" xr:uid="{00000000-0005-0000-0000-00008AA70000}"/>
    <cellStyle name="Percent 10 2 3 2" xfId="14665" xr:uid="{00000000-0005-0000-0000-00008BA70000}"/>
    <cellStyle name="Percent 10 2 3 3" xfId="35530" xr:uid="{00000000-0005-0000-0000-00008CA70000}"/>
    <cellStyle name="Percent 10 2 3 4" xfId="11044" xr:uid="{00000000-0005-0000-0000-00008DA70000}"/>
    <cellStyle name="Percent 10 2 4" xfId="4993" xr:uid="{00000000-0005-0000-0000-00008EA70000}"/>
    <cellStyle name="Percent 10 2 4 2" xfId="35949" xr:uid="{00000000-0005-0000-0000-00008FA70000}"/>
    <cellStyle name="Percent 10 2 4 3" xfId="27758" xr:uid="{00000000-0005-0000-0000-000090A70000}"/>
    <cellStyle name="Percent 10 2 5" xfId="27759" xr:uid="{00000000-0005-0000-0000-000091A70000}"/>
    <cellStyle name="Percent 10 2 5 2" xfId="38016" xr:uid="{00000000-0005-0000-0000-000092A70000}"/>
    <cellStyle name="Percent 10 2 6" xfId="27760" xr:uid="{00000000-0005-0000-0000-000093A70000}"/>
    <cellStyle name="Percent 10 2 7" xfId="27761" xr:uid="{00000000-0005-0000-0000-000094A70000}"/>
    <cellStyle name="Percent 10 2 8" xfId="27762" xr:uid="{00000000-0005-0000-0000-000095A70000}"/>
    <cellStyle name="Percent 10 3" xfId="1861" xr:uid="{00000000-0005-0000-0000-000096A70000}"/>
    <cellStyle name="Percent 10 3 2" xfId="4199" xr:uid="{00000000-0005-0000-0000-000097A70000}"/>
    <cellStyle name="Percent 10 3 2 2" xfId="11047" xr:uid="{00000000-0005-0000-0000-000098A70000}"/>
    <cellStyle name="Percent 10 3 2 2 2" xfId="14668" xr:uid="{00000000-0005-0000-0000-000099A70000}"/>
    <cellStyle name="Percent 10 3 2 3" xfId="27763" xr:uid="{00000000-0005-0000-0000-00009AA70000}"/>
    <cellStyle name="Percent 10 3 2 4" xfId="27764" xr:uid="{00000000-0005-0000-0000-00009BA70000}"/>
    <cellStyle name="Percent 10 3 2 5" xfId="27765" xr:uid="{00000000-0005-0000-0000-00009CA70000}"/>
    <cellStyle name="Percent 10 3 2 6" xfId="27766" xr:uid="{00000000-0005-0000-0000-00009DA70000}"/>
    <cellStyle name="Percent 10 3 3" xfId="4994" xr:uid="{00000000-0005-0000-0000-00009EA70000}"/>
    <cellStyle name="Percent 10 3 3 2" xfId="14667" xr:uid="{00000000-0005-0000-0000-00009FA70000}"/>
    <cellStyle name="Percent 10 3 3 3" xfId="35950" xr:uid="{00000000-0005-0000-0000-0000A0A70000}"/>
    <cellStyle name="Percent 10 3 3 4" xfId="11046" xr:uid="{00000000-0005-0000-0000-0000A1A70000}"/>
    <cellStyle name="Percent 10 3 4" xfId="27767" xr:uid="{00000000-0005-0000-0000-0000A2A70000}"/>
    <cellStyle name="Percent 10 3 4 2" xfId="38017" xr:uid="{00000000-0005-0000-0000-0000A3A70000}"/>
    <cellStyle name="Percent 10 3 5" xfId="27768" xr:uid="{00000000-0005-0000-0000-0000A4A70000}"/>
    <cellStyle name="Percent 10 3 6" xfId="27769" xr:uid="{00000000-0005-0000-0000-0000A5A70000}"/>
    <cellStyle name="Percent 10 3 7" xfId="27770" xr:uid="{00000000-0005-0000-0000-0000A6A70000}"/>
    <cellStyle name="Percent 10 3 8" xfId="27771" xr:uid="{00000000-0005-0000-0000-0000A7A70000}"/>
    <cellStyle name="Percent 10 3 9" xfId="27772" xr:uid="{00000000-0005-0000-0000-0000A8A70000}"/>
    <cellStyle name="Percent 10 4" xfId="4196" xr:uid="{00000000-0005-0000-0000-0000A9A70000}"/>
    <cellStyle name="Percent 10 4 2" xfId="14669" xr:uid="{00000000-0005-0000-0000-0000AAA70000}"/>
    <cellStyle name="Percent 10 4 3" xfId="35529" xr:uid="{00000000-0005-0000-0000-0000ABA70000}"/>
    <cellStyle name="Percent 10 4 4" xfId="11048" xr:uid="{00000000-0005-0000-0000-0000ACA70000}"/>
    <cellStyle name="Percent 10 5" xfId="4992" xr:uid="{00000000-0005-0000-0000-0000ADA70000}"/>
    <cellStyle name="Percent 10 5 2" xfId="14664" xr:uid="{00000000-0005-0000-0000-0000AEA70000}"/>
    <cellStyle name="Percent 10 5 3" xfId="35948" xr:uid="{00000000-0005-0000-0000-0000AFA70000}"/>
    <cellStyle name="Percent 10 5 4" xfId="11043" xr:uid="{00000000-0005-0000-0000-0000B0A70000}"/>
    <cellStyle name="Percent 10 6" xfId="27773" xr:uid="{00000000-0005-0000-0000-0000B1A70000}"/>
    <cellStyle name="Percent 10 6 2" xfId="38015" xr:uid="{00000000-0005-0000-0000-0000B2A70000}"/>
    <cellStyle name="Percent 10 7" xfId="27774" xr:uid="{00000000-0005-0000-0000-0000B3A70000}"/>
    <cellStyle name="Percent 10 8" xfId="27775" xr:uid="{00000000-0005-0000-0000-0000B4A70000}"/>
    <cellStyle name="Percent 10 9" xfId="27776" xr:uid="{00000000-0005-0000-0000-0000B5A70000}"/>
    <cellStyle name="Percent 11" xfId="4200" xr:uid="{00000000-0005-0000-0000-0000B6A70000}"/>
    <cellStyle name="Percent 11 2" xfId="4201" xr:uid="{00000000-0005-0000-0000-0000B7A70000}"/>
    <cellStyle name="Percent 11 2 2" xfId="5598" xr:uid="{00000000-0005-0000-0000-0000B8A70000}"/>
    <cellStyle name="Percent 11 2 2 2" xfId="14671" xr:uid="{00000000-0005-0000-0000-0000B9A70000}"/>
    <cellStyle name="Percent 11 2 2 3" xfId="36152" xr:uid="{00000000-0005-0000-0000-0000BAA70000}"/>
    <cellStyle name="Percent 11 2 2 4" xfId="11050" xr:uid="{00000000-0005-0000-0000-0000BBA70000}"/>
    <cellStyle name="Percent 11 2 3" xfId="27777" xr:uid="{00000000-0005-0000-0000-0000BCA70000}"/>
    <cellStyle name="Percent 11 2 3 2" xfId="38593" xr:uid="{00000000-0005-0000-0000-0000BDA70000}"/>
    <cellStyle name="Percent 11 2 4" xfId="27778" xr:uid="{00000000-0005-0000-0000-0000BEA70000}"/>
    <cellStyle name="Percent 11 2 5" xfId="27779" xr:uid="{00000000-0005-0000-0000-0000BFA70000}"/>
    <cellStyle name="Percent 11 2 6" xfId="27780" xr:uid="{00000000-0005-0000-0000-0000C0A70000}"/>
    <cellStyle name="Percent 11 3" xfId="4202" xr:uid="{00000000-0005-0000-0000-0000C1A70000}"/>
    <cellStyle name="Percent 11 3 2" xfId="5599" xr:uid="{00000000-0005-0000-0000-0000C2A70000}"/>
    <cellStyle name="Percent 11 3 2 2" xfId="14672" xr:uid="{00000000-0005-0000-0000-0000C3A70000}"/>
    <cellStyle name="Percent 11 3 2 3" xfId="36153" xr:uid="{00000000-0005-0000-0000-0000C4A70000}"/>
    <cellStyle name="Percent 11 3 2 4" xfId="11051" xr:uid="{00000000-0005-0000-0000-0000C5A70000}"/>
    <cellStyle name="Percent 11 3 3" xfId="27781" xr:uid="{00000000-0005-0000-0000-0000C6A70000}"/>
    <cellStyle name="Percent 11 3 3 2" xfId="38594" xr:uid="{00000000-0005-0000-0000-0000C7A70000}"/>
    <cellStyle name="Percent 11 3 4" xfId="27782" xr:uid="{00000000-0005-0000-0000-0000C8A70000}"/>
    <cellStyle name="Percent 11 3 5" xfId="27783" xr:uid="{00000000-0005-0000-0000-0000C9A70000}"/>
    <cellStyle name="Percent 11 3 6" xfId="27784" xr:uid="{00000000-0005-0000-0000-0000CAA70000}"/>
    <cellStyle name="Percent 11 4" xfId="5597" xr:uid="{00000000-0005-0000-0000-0000CBA70000}"/>
    <cellStyle name="Percent 11 4 2" xfId="14670" xr:uid="{00000000-0005-0000-0000-0000CCA70000}"/>
    <cellStyle name="Percent 11 4 3" xfId="36151" xr:uid="{00000000-0005-0000-0000-0000CDA70000}"/>
    <cellStyle name="Percent 11 4 4" xfId="11049" xr:uid="{00000000-0005-0000-0000-0000CEA70000}"/>
    <cellStyle name="Percent 11 5" xfId="11579" xr:uid="{00000000-0005-0000-0000-0000CFA70000}"/>
    <cellStyle name="Percent 11 5 2" xfId="15203" xr:uid="{00000000-0005-0000-0000-0000D0A70000}"/>
    <cellStyle name="Percent 11 5 2 2" xfId="27786" xr:uid="{00000000-0005-0000-0000-0000D1A70000}"/>
    <cellStyle name="Percent 11 5 3" xfId="27787" xr:uid="{00000000-0005-0000-0000-0000D2A70000}"/>
    <cellStyle name="Percent 11 5 4" xfId="27788" xr:uid="{00000000-0005-0000-0000-0000D3A70000}"/>
    <cellStyle name="Percent 11 5 5" xfId="27789" xr:uid="{00000000-0005-0000-0000-0000D4A70000}"/>
    <cellStyle name="Percent 11 5 6" xfId="27790" xr:uid="{00000000-0005-0000-0000-0000D5A70000}"/>
    <cellStyle name="Percent 11 5 7" xfId="27785" xr:uid="{00000000-0005-0000-0000-0000D6A70000}"/>
    <cellStyle name="Percent 11 6" xfId="27791" xr:uid="{00000000-0005-0000-0000-0000D7A70000}"/>
    <cellStyle name="Percent 11 7" xfId="27792" xr:uid="{00000000-0005-0000-0000-0000D8A70000}"/>
    <cellStyle name="Percent 11 8" xfId="27793" xr:uid="{00000000-0005-0000-0000-0000D9A70000}"/>
    <cellStyle name="Percent 11 9" xfId="27794" xr:uid="{00000000-0005-0000-0000-0000DAA70000}"/>
    <cellStyle name="Percent 12" xfId="4203" xr:uid="{00000000-0005-0000-0000-0000DBA70000}"/>
    <cellStyle name="Percent 12 2" xfId="5600" xr:uid="{00000000-0005-0000-0000-0000DCA70000}"/>
    <cellStyle name="Percent 12 2 2" xfId="11053" xr:uid="{00000000-0005-0000-0000-0000DDA70000}"/>
    <cellStyle name="Percent 12 2 2 2" xfId="14674" xr:uid="{00000000-0005-0000-0000-0000DEA70000}"/>
    <cellStyle name="Percent 12 2 3" xfId="27795" xr:uid="{00000000-0005-0000-0000-0000DFA70000}"/>
    <cellStyle name="Percent 12 2 4" xfId="27796" xr:uid="{00000000-0005-0000-0000-0000E0A70000}"/>
    <cellStyle name="Percent 12 2 5" xfId="27797" xr:uid="{00000000-0005-0000-0000-0000E1A70000}"/>
    <cellStyle name="Percent 12 2 6" xfId="27798" xr:uid="{00000000-0005-0000-0000-0000E2A70000}"/>
    <cellStyle name="Percent 12 3" xfId="8506" xr:uid="{00000000-0005-0000-0000-0000E3A70000}"/>
    <cellStyle name="Percent 12 3 2" xfId="11054" xr:uid="{00000000-0005-0000-0000-0000E4A70000}"/>
    <cellStyle name="Percent 12 3 2 2" xfId="14675" xr:uid="{00000000-0005-0000-0000-0000E5A70000}"/>
    <cellStyle name="Percent 12 3 3" xfId="27799" xr:uid="{00000000-0005-0000-0000-0000E6A70000}"/>
    <cellStyle name="Percent 12 3 4" xfId="27800" xr:uid="{00000000-0005-0000-0000-0000E7A70000}"/>
    <cellStyle name="Percent 12 3 5" xfId="27801" xr:uid="{00000000-0005-0000-0000-0000E8A70000}"/>
    <cellStyle name="Percent 12 3 6" xfId="27802" xr:uid="{00000000-0005-0000-0000-0000E9A70000}"/>
    <cellStyle name="Percent 12 4" xfId="11052" xr:uid="{00000000-0005-0000-0000-0000EAA70000}"/>
    <cellStyle name="Percent 12 4 2" xfId="14673" xr:uid="{00000000-0005-0000-0000-0000EBA70000}"/>
    <cellStyle name="Percent 12 5" xfId="27803" xr:uid="{00000000-0005-0000-0000-0000ECA70000}"/>
    <cellStyle name="Percent 12 6" xfId="27804" xr:uid="{00000000-0005-0000-0000-0000EDA70000}"/>
    <cellStyle name="Percent 12 7" xfId="27805" xr:uid="{00000000-0005-0000-0000-0000EEA70000}"/>
    <cellStyle name="Percent 12 8" xfId="27806" xr:uid="{00000000-0005-0000-0000-0000EFA70000}"/>
    <cellStyle name="Percent 13" xfId="4204" xr:uid="{00000000-0005-0000-0000-0000F0A70000}"/>
    <cellStyle name="Percent 13 2" xfId="5601" xr:uid="{00000000-0005-0000-0000-0000F1A70000}"/>
    <cellStyle name="Percent 13 2 2" xfId="11056" xr:uid="{00000000-0005-0000-0000-0000F2A70000}"/>
    <cellStyle name="Percent 13 2 2 2" xfId="14677" xr:uid="{00000000-0005-0000-0000-0000F3A70000}"/>
    <cellStyle name="Percent 13 2 3" xfId="27807" xr:uid="{00000000-0005-0000-0000-0000F4A70000}"/>
    <cellStyle name="Percent 13 2 4" xfId="27808" xr:uid="{00000000-0005-0000-0000-0000F5A70000}"/>
    <cellStyle name="Percent 13 2 5" xfId="27809" xr:uid="{00000000-0005-0000-0000-0000F6A70000}"/>
    <cellStyle name="Percent 13 2 6" xfId="27810" xr:uid="{00000000-0005-0000-0000-0000F7A70000}"/>
    <cellStyle name="Percent 13 3" xfId="8507" xr:uid="{00000000-0005-0000-0000-0000F8A70000}"/>
    <cellStyle name="Percent 13 3 2" xfId="11057" xr:uid="{00000000-0005-0000-0000-0000F9A70000}"/>
    <cellStyle name="Percent 13 3 2 2" xfId="14678" xr:uid="{00000000-0005-0000-0000-0000FAA70000}"/>
    <cellStyle name="Percent 13 3 3" xfId="27811" xr:uid="{00000000-0005-0000-0000-0000FBA70000}"/>
    <cellStyle name="Percent 13 3 4" xfId="27812" xr:uid="{00000000-0005-0000-0000-0000FCA70000}"/>
    <cellStyle name="Percent 13 3 5" xfId="27813" xr:uid="{00000000-0005-0000-0000-0000FDA70000}"/>
    <cellStyle name="Percent 13 3 6" xfId="27814" xr:uid="{00000000-0005-0000-0000-0000FEA70000}"/>
    <cellStyle name="Percent 13 4" xfId="11055" xr:uid="{00000000-0005-0000-0000-0000FFA70000}"/>
    <cellStyle name="Percent 13 4 2" xfId="14676" xr:uid="{00000000-0005-0000-0000-000000A80000}"/>
    <cellStyle name="Percent 13 5" xfId="27815" xr:uid="{00000000-0005-0000-0000-000001A80000}"/>
    <cellStyle name="Percent 13 6" xfId="27816" xr:uid="{00000000-0005-0000-0000-000002A80000}"/>
    <cellStyle name="Percent 13 7" xfId="27817" xr:uid="{00000000-0005-0000-0000-000003A80000}"/>
    <cellStyle name="Percent 13 8" xfId="27818" xr:uid="{00000000-0005-0000-0000-000004A80000}"/>
    <cellStyle name="Percent 14" xfId="4205" xr:uid="{00000000-0005-0000-0000-000005A80000}"/>
    <cellStyle name="Percent 14 2" xfId="5602" xr:uid="{00000000-0005-0000-0000-000006A80000}"/>
    <cellStyle name="Percent 14 2 2" xfId="11059" xr:uid="{00000000-0005-0000-0000-000007A80000}"/>
    <cellStyle name="Percent 14 2 2 2" xfId="14680" xr:uid="{00000000-0005-0000-0000-000008A80000}"/>
    <cellStyle name="Percent 14 2 3" xfId="27819" xr:uid="{00000000-0005-0000-0000-000009A80000}"/>
    <cellStyle name="Percent 14 2 4" xfId="27820" xr:uid="{00000000-0005-0000-0000-00000AA80000}"/>
    <cellStyle name="Percent 14 2 5" xfId="27821" xr:uid="{00000000-0005-0000-0000-00000BA80000}"/>
    <cellStyle name="Percent 14 2 6" xfId="27822" xr:uid="{00000000-0005-0000-0000-00000CA80000}"/>
    <cellStyle name="Percent 14 3" xfId="8508" xr:uid="{00000000-0005-0000-0000-00000DA80000}"/>
    <cellStyle name="Percent 14 3 2" xfId="11060" xr:uid="{00000000-0005-0000-0000-00000EA80000}"/>
    <cellStyle name="Percent 14 3 2 2" xfId="14681" xr:uid="{00000000-0005-0000-0000-00000FA80000}"/>
    <cellStyle name="Percent 14 3 3" xfId="27823" xr:uid="{00000000-0005-0000-0000-000010A80000}"/>
    <cellStyle name="Percent 14 3 4" xfId="27824" xr:uid="{00000000-0005-0000-0000-000011A80000}"/>
    <cellStyle name="Percent 14 3 5" xfId="27825" xr:uid="{00000000-0005-0000-0000-000012A80000}"/>
    <cellStyle name="Percent 14 3 6" xfId="27826" xr:uid="{00000000-0005-0000-0000-000013A80000}"/>
    <cellStyle name="Percent 14 4" xfId="11058" xr:uid="{00000000-0005-0000-0000-000014A80000}"/>
    <cellStyle name="Percent 14 4 2" xfId="14679" xr:uid="{00000000-0005-0000-0000-000015A80000}"/>
    <cellStyle name="Percent 14 5" xfId="27827" xr:uid="{00000000-0005-0000-0000-000016A80000}"/>
    <cellStyle name="Percent 14 6" xfId="27828" xr:uid="{00000000-0005-0000-0000-000017A80000}"/>
    <cellStyle name="Percent 14 7" xfId="27829" xr:uid="{00000000-0005-0000-0000-000018A80000}"/>
    <cellStyle name="Percent 14 8" xfId="27830" xr:uid="{00000000-0005-0000-0000-000019A80000}"/>
    <cellStyle name="Percent 15" xfId="4206" xr:uid="{00000000-0005-0000-0000-00001AA80000}"/>
    <cellStyle name="Percent 15 2" xfId="5603" xr:uid="{00000000-0005-0000-0000-00001BA80000}"/>
    <cellStyle name="Percent 15 2 2" xfId="11062" xr:uid="{00000000-0005-0000-0000-00001CA80000}"/>
    <cellStyle name="Percent 15 2 2 2" xfId="14683" xr:uid="{00000000-0005-0000-0000-00001DA80000}"/>
    <cellStyle name="Percent 15 2 3" xfId="27831" xr:uid="{00000000-0005-0000-0000-00001EA80000}"/>
    <cellStyle name="Percent 15 2 4" xfId="27832" xr:uid="{00000000-0005-0000-0000-00001FA80000}"/>
    <cellStyle name="Percent 15 2 5" xfId="27833" xr:uid="{00000000-0005-0000-0000-000020A80000}"/>
    <cellStyle name="Percent 15 2 6" xfId="27834" xr:uid="{00000000-0005-0000-0000-000021A80000}"/>
    <cellStyle name="Percent 15 3" xfId="8509" xr:uid="{00000000-0005-0000-0000-000022A80000}"/>
    <cellStyle name="Percent 15 3 2" xfId="11063" xr:uid="{00000000-0005-0000-0000-000023A80000}"/>
    <cellStyle name="Percent 15 3 2 2" xfId="14684" xr:uid="{00000000-0005-0000-0000-000024A80000}"/>
    <cellStyle name="Percent 15 3 3" xfId="27835" xr:uid="{00000000-0005-0000-0000-000025A80000}"/>
    <cellStyle name="Percent 15 3 4" xfId="27836" xr:uid="{00000000-0005-0000-0000-000026A80000}"/>
    <cellStyle name="Percent 15 3 5" xfId="27837" xr:uid="{00000000-0005-0000-0000-000027A80000}"/>
    <cellStyle name="Percent 15 3 6" xfId="27838" xr:uid="{00000000-0005-0000-0000-000028A80000}"/>
    <cellStyle name="Percent 15 4" xfId="11061" xr:uid="{00000000-0005-0000-0000-000029A80000}"/>
    <cellStyle name="Percent 15 4 2" xfId="14682" xr:uid="{00000000-0005-0000-0000-00002AA80000}"/>
    <cellStyle name="Percent 15 5" xfId="27839" xr:uid="{00000000-0005-0000-0000-00002BA80000}"/>
    <cellStyle name="Percent 15 6" xfId="27840" xr:uid="{00000000-0005-0000-0000-00002CA80000}"/>
    <cellStyle name="Percent 15 7" xfId="27841" xr:uid="{00000000-0005-0000-0000-00002DA80000}"/>
    <cellStyle name="Percent 15 8" xfId="27842" xr:uid="{00000000-0005-0000-0000-00002EA80000}"/>
    <cellStyle name="Percent 16" xfId="4207" xr:uid="{00000000-0005-0000-0000-00002FA80000}"/>
    <cellStyle name="Percent 16 2" xfId="5604" xr:uid="{00000000-0005-0000-0000-000030A80000}"/>
    <cellStyle name="Percent 16 2 2" xfId="11065" xr:uid="{00000000-0005-0000-0000-000031A80000}"/>
    <cellStyle name="Percent 16 2 2 2" xfId="14686" xr:uid="{00000000-0005-0000-0000-000032A80000}"/>
    <cellStyle name="Percent 16 2 3" xfId="27843" xr:uid="{00000000-0005-0000-0000-000033A80000}"/>
    <cellStyle name="Percent 16 2 4" xfId="27844" xr:uid="{00000000-0005-0000-0000-000034A80000}"/>
    <cellStyle name="Percent 16 2 5" xfId="27845" xr:uid="{00000000-0005-0000-0000-000035A80000}"/>
    <cellStyle name="Percent 16 2 6" xfId="27846" xr:uid="{00000000-0005-0000-0000-000036A80000}"/>
    <cellStyle name="Percent 16 3" xfId="8510" xr:uid="{00000000-0005-0000-0000-000037A80000}"/>
    <cellStyle name="Percent 16 3 2" xfId="11066" xr:uid="{00000000-0005-0000-0000-000038A80000}"/>
    <cellStyle name="Percent 16 3 2 2" xfId="14687" xr:uid="{00000000-0005-0000-0000-000039A80000}"/>
    <cellStyle name="Percent 16 3 3" xfId="27847" xr:uid="{00000000-0005-0000-0000-00003AA80000}"/>
    <cellStyle name="Percent 16 3 4" xfId="27848" xr:uid="{00000000-0005-0000-0000-00003BA80000}"/>
    <cellStyle name="Percent 16 3 5" xfId="27849" xr:uid="{00000000-0005-0000-0000-00003CA80000}"/>
    <cellStyle name="Percent 16 3 6" xfId="27850" xr:uid="{00000000-0005-0000-0000-00003DA80000}"/>
    <cellStyle name="Percent 16 4" xfId="11064" xr:uid="{00000000-0005-0000-0000-00003EA80000}"/>
    <cellStyle name="Percent 16 4 2" xfId="14685" xr:uid="{00000000-0005-0000-0000-00003FA80000}"/>
    <cellStyle name="Percent 16 5" xfId="27851" xr:uid="{00000000-0005-0000-0000-000040A80000}"/>
    <cellStyle name="Percent 16 6" xfId="27852" xr:uid="{00000000-0005-0000-0000-000041A80000}"/>
    <cellStyle name="Percent 16 7" xfId="27853" xr:uid="{00000000-0005-0000-0000-000042A80000}"/>
    <cellStyle name="Percent 16 8" xfId="27854" xr:uid="{00000000-0005-0000-0000-000043A80000}"/>
    <cellStyle name="Percent 17" xfId="4208" xr:uid="{00000000-0005-0000-0000-000044A80000}"/>
    <cellStyle name="Percent 17 2" xfId="5605" xr:uid="{00000000-0005-0000-0000-000045A80000}"/>
    <cellStyle name="Percent 17 2 2" xfId="11068" xr:uid="{00000000-0005-0000-0000-000046A80000}"/>
    <cellStyle name="Percent 17 2 2 2" xfId="14689" xr:uid="{00000000-0005-0000-0000-000047A80000}"/>
    <cellStyle name="Percent 17 2 3" xfId="27855" xr:uid="{00000000-0005-0000-0000-000048A80000}"/>
    <cellStyle name="Percent 17 2 4" xfId="27856" xr:uid="{00000000-0005-0000-0000-000049A80000}"/>
    <cellStyle name="Percent 17 2 5" xfId="27857" xr:uid="{00000000-0005-0000-0000-00004AA80000}"/>
    <cellStyle name="Percent 17 2 6" xfId="27858" xr:uid="{00000000-0005-0000-0000-00004BA80000}"/>
    <cellStyle name="Percent 17 3" xfId="11067" xr:uid="{00000000-0005-0000-0000-00004CA80000}"/>
    <cellStyle name="Percent 17 3 2" xfId="14688" xr:uid="{00000000-0005-0000-0000-00004DA80000}"/>
    <cellStyle name="Percent 17 3 3" xfId="38595" xr:uid="{00000000-0005-0000-0000-00004EA80000}"/>
    <cellStyle name="Percent 17 4" xfId="27859" xr:uid="{00000000-0005-0000-0000-00004FA80000}"/>
    <cellStyle name="Percent 17 5" xfId="27860" xr:uid="{00000000-0005-0000-0000-000050A80000}"/>
    <cellStyle name="Percent 17 6" xfId="27861" xr:uid="{00000000-0005-0000-0000-000051A80000}"/>
    <cellStyle name="Percent 17 7" xfId="27862" xr:uid="{00000000-0005-0000-0000-000052A80000}"/>
    <cellStyle name="Percent 18" xfId="4209" xr:uid="{00000000-0005-0000-0000-000053A80000}"/>
    <cellStyle name="Percent 18 2" xfId="5606" xr:uid="{00000000-0005-0000-0000-000054A80000}"/>
    <cellStyle name="Percent 18 2 2" xfId="11070" xr:uid="{00000000-0005-0000-0000-000055A80000}"/>
    <cellStyle name="Percent 18 2 2 2" xfId="14691" xr:uid="{00000000-0005-0000-0000-000056A80000}"/>
    <cellStyle name="Percent 18 2 3" xfId="27863" xr:uid="{00000000-0005-0000-0000-000057A80000}"/>
    <cellStyle name="Percent 18 2 4" xfId="27864" xr:uid="{00000000-0005-0000-0000-000058A80000}"/>
    <cellStyle name="Percent 18 2 5" xfId="27865" xr:uid="{00000000-0005-0000-0000-000059A80000}"/>
    <cellStyle name="Percent 18 2 6" xfId="27866" xr:uid="{00000000-0005-0000-0000-00005AA80000}"/>
    <cellStyle name="Percent 18 3" xfId="11069" xr:uid="{00000000-0005-0000-0000-00005BA80000}"/>
    <cellStyle name="Percent 18 3 2" xfId="14690" xr:uid="{00000000-0005-0000-0000-00005CA80000}"/>
    <cellStyle name="Percent 18 3 3" xfId="38596" xr:uid="{00000000-0005-0000-0000-00005DA80000}"/>
    <cellStyle name="Percent 18 4" xfId="27867" xr:uid="{00000000-0005-0000-0000-00005EA80000}"/>
    <cellStyle name="Percent 18 5" xfId="27868" xr:uid="{00000000-0005-0000-0000-00005FA80000}"/>
    <cellStyle name="Percent 18 6" xfId="27869" xr:uid="{00000000-0005-0000-0000-000060A80000}"/>
    <cellStyle name="Percent 18 7" xfId="27870" xr:uid="{00000000-0005-0000-0000-000061A80000}"/>
    <cellStyle name="Percent 19" xfId="4210" xr:uid="{00000000-0005-0000-0000-000062A80000}"/>
    <cellStyle name="Percent 19 2" xfId="5607" xr:uid="{00000000-0005-0000-0000-000063A80000}"/>
    <cellStyle name="Percent 19 2 2" xfId="11072" xr:uid="{00000000-0005-0000-0000-000064A80000}"/>
    <cellStyle name="Percent 19 2 2 2" xfId="14693" xr:uid="{00000000-0005-0000-0000-000065A80000}"/>
    <cellStyle name="Percent 19 2 3" xfId="27871" xr:uid="{00000000-0005-0000-0000-000066A80000}"/>
    <cellStyle name="Percent 19 2 4" xfId="27872" xr:uid="{00000000-0005-0000-0000-000067A80000}"/>
    <cellStyle name="Percent 19 2 5" xfId="27873" xr:uid="{00000000-0005-0000-0000-000068A80000}"/>
    <cellStyle name="Percent 19 2 6" xfId="27874" xr:uid="{00000000-0005-0000-0000-000069A80000}"/>
    <cellStyle name="Percent 19 3" xfId="11071" xr:uid="{00000000-0005-0000-0000-00006AA80000}"/>
    <cellStyle name="Percent 19 3 2" xfId="14692" xr:uid="{00000000-0005-0000-0000-00006BA80000}"/>
    <cellStyle name="Percent 19 3 3" xfId="38597" xr:uid="{00000000-0005-0000-0000-00006CA80000}"/>
    <cellStyle name="Percent 19 4" xfId="27875" xr:uid="{00000000-0005-0000-0000-00006DA80000}"/>
    <cellStyle name="Percent 19 5" xfId="27876" xr:uid="{00000000-0005-0000-0000-00006EA80000}"/>
    <cellStyle name="Percent 19 6" xfId="27877" xr:uid="{00000000-0005-0000-0000-00006FA80000}"/>
    <cellStyle name="Percent 19 7" xfId="27878" xr:uid="{00000000-0005-0000-0000-000070A80000}"/>
    <cellStyle name="Percent 2" xfId="4991" xr:uid="{00000000-0005-0000-0000-000071A80000}"/>
    <cellStyle name="Percent 2 10" xfId="1862" xr:uid="{00000000-0005-0000-0000-000072A80000}"/>
    <cellStyle name="Percent 2 10 2" xfId="11074" xr:uid="{00000000-0005-0000-0000-000073A80000}"/>
    <cellStyle name="Percent 2 10 2 2" xfId="14695" xr:uid="{00000000-0005-0000-0000-000074A80000}"/>
    <cellStyle name="Percent 2 10 3" xfId="27879" xr:uid="{00000000-0005-0000-0000-000075A80000}"/>
    <cellStyle name="Percent 2 10 4" xfId="27880" xr:uid="{00000000-0005-0000-0000-000076A80000}"/>
    <cellStyle name="Percent 2 10 5" xfId="27881" xr:uid="{00000000-0005-0000-0000-000077A80000}"/>
    <cellStyle name="Percent 2 10 6" xfId="27882" xr:uid="{00000000-0005-0000-0000-000078A80000}"/>
    <cellStyle name="Percent 2 10 7" xfId="27883" xr:uid="{00000000-0005-0000-0000-000079A80000}"/>
    <cellStyle name="Percent 2 11" xfId="1863" xr:uid="{00000000-0005-0000-0000-00007AA80000}"/>
    <cellStyle name="Percent 2 11 2" xfId="1864" xr:uid="{00000000-0005-0000-0000-00007BA80000}"/>
    <cellStyle name="Percent 2 11 2 2" xfId="11076" xr:uid="{00000000-0005-0000-0000-00007CA80000}"/>
    <cellStyle name="Percent 2 11 2 2 2" xfId="14697" xr:uid="{00000000-0005-0000-0000-00007DA80000}"/>
    <cellStyle name="Percent 2 11 2 3" xfId="27884" xr:uid="{00000000-0005-0000-0000-00007EA80000}"/>
    <cellStyle name="Percent 2 11 2 4" xfId="27885" xr:uid="{00000000-0005-0000-0000-00007FA80000}"/>
    <cellStyle name="Percent 2 11 2 5" xfId="27886" xr:uid="{00000000-0005-0000-0000-000080A80000}"/>
    <cellStyle name="Percent 2 11 2 6" xfId="27887" xr:uid="{00000000-0005-0000-0000-000081A80000}"/>
    <cellStyle name="Percent 2 11 2 7" xfId="27888" xr:uid="{00000000-0005-0000-0000-000082A80000}"/>
    <cellStyle name="Percent 2 11 3" xfId="1865" xr:uid="{00000000-0005-0000-0000-000083A80000}"/>
    <cellStyle name="Percent 2 11 3 2" xfId="4211" xr:uid="{00000000-0005-0000-0000-000084A80000}"/>
    <cellStyle name="Percent 2 11 3 2 2" xfId="14698" xr:uid="{00000000-0005-0000-0000-000085A80000}"/>
    <cellStyle name="Percent 2 11 3 2 3" xfId="35531" xr:uid="{00000000-0005-0000-0000-000086A80000}"/>
    <cellStyle name="Percent 2 11 3 2 4" xfId="11077" xr:uid="{00000000-0005-0000-0000-000087A80000}"/>
    <cellStyle name="Percent 2 11 3 3" xfId="4996" xr:uid="{00000000-0005-0000-0000-000088A80000}"/>
    <cellStyle name="Percent 2 11 3 3 2" xfId="35952" xr:uid="{00000000-0005-0000-0000-000089A80000}"/>
    <cellStyle name="Percent 2 11 3 3 3" xfId="27889" xr:uid="{00000000-0005-0000-0000-00008AA80000}"/>
    <cellStyle name="Percent 2 11 3 4" xfId="27890" xr:uid="{00000000-0005-0000-0000-00008BA80000}"/>
    <cellStyle name="Percent 2 11 3 4 2" xfId="38019" xr:uid="{00000000-0005-0000-0000-00008CA80000}"/>
    <cellStyle name="Percent 2 11 3 5" xfId="27891" xr:uid="{00000000-0005-0000-0000-00008DA80000}"/>
    <cellStyle name="Percent 2 11 3 6" xfId="27892" xr:uid="{00000000-0005-0000-0000-00008EA80000}"/>
    <cellStyle name="Percent 2 11 3 7" xfId="27893" xr:uid="{00000000-0005-0000-0000-00008FA80000}"/>
    <cellStyle name="Percent 2 11 4" xfId="4995" xr:uid="{00000000-0005-0000-0000-000090A80000}"/>
    <cellStyle name="Percent 2 11 4 2" xfId="14696" xr:uid="{00000000-0005-0000-0000-000091A80000}"/>
    <cellStyle name="Percent 2 11 4 3" xfId="35951" xr:uid="{00000000-0005-0000-0000-000092A80000}"/>
    <cellStyle name="Percent 2 11 4 4" xfId="11075" xr:uid="{00000000-0005-0000-0000-000093A80000}"/>
    <cellStyle name="Percent 2 11 5" xfId="27894" xr:uid="{00000000-0005-0000-0000-000094A80000}"/>
    <cellStyle name="Percent 2 11 5 2" xfId="38018" xr:uid="{00000000-0005-0000-0000-000095A80000}"/>
    <cellStyle name="Percent 2 11 6" xfId="27895" xr:uid="{00000000-0005-0000-0000-000096A80000}"/>
    <cellStyle name="Percent 2 11 7" xfId="27896" xr:uid="{00000000-0005-0000-0000-000097A80000}"/>
    <cellStyle name="Percent 2 11 8" xfId="27897" xr:uid="{00000000-0005-0000-0000-000098A80000}"/>
    <cellStyle name="Percent 2 11 9" xfId="27898" xr:uid="{00000000-0005-0000-0000-000099A80000}"/>
    <cellStyle name="Percent 2 12" xfId="1866" xr:uid="{00000000-0005-0000-0000-00009AA80000}"/>
    <cellStyle name="Percent 2 12 2" xfId="11078" xr:uid="{00000000-0005-0000-0000-00009BA80000}"/>
    <cellStyle name="Percent 2 12 2 2" xfId="14699" xr:uid="{00000000-0005-0000-0000-00009CA80000}"/>
    <cellStyle name="Percent 2 12 3" xfId="27899" xr:uid="{00000000-0005-0000-0000-00009DA80000}"/>
    <cellStyle name="Percent 2 12 4" xfId="27900" xr:uid="{00000000-0005-0000-0000-00009EA80000}"/>
    <cellStyle name="Percent 2 12 5" xfId="27901" xr:uid="{00000000-0005-0000-0000-00009FA80000}"/>
    <cellStyle name="Percent 2 12 6" xfId="27902" xr:uid="{00000000-0005-0000-0000-0000A0A80000}"/>
    <cellStyle name="Percent 2 12 7" xfId="27903" xr:uid="{00000000-0005-0000-0000-0000A1A80000}"/>
    <cellStyle name="Percent 2 13" xfId="1867" xr:uid="{00000000-0005-0000-0000-0000A2A80000}"/>
    <cellStyle name="Percent 2 13 2" xfId="1868" xr:uid="{00000000-0005-0000-0000-0000A3A80000}"/>
    <cellStyle name="Percent 2 13 2 2" xfId="4213" xr:uid="{00000000-0005-0000-0000-0000A4A80000}"/>
    <cellStyle name="Percent 2 13 2 2 2" xfId="14701" xr:uid="{00000000-0005-0000-0000-0000A5A80000}"/>
    <cellStyle name="Percent 2 13 2 2 3" xfId="35533" xr:uid="{00000000-0005-0000-0000-0000A6A80000}"/>
    <cellStyle name="Percent 2 13 2 2 4" xfId="11080" xr:uid="{00000000-0005-0000-0000-0000A7A80000}"/>
    <cellStyle name="Percent 2 13 2 3" xfId="4998" xr:uid="{00000000-0005-0000-0000-0000A8A80000}"/>
    <cellStyle name="Percent 2 13 2 3 2" xfId="35954" xr:uid="{00000000-0005-0000-0000-0000A9A80000}"/>
    <cellStyle name="Percent 2 13 2 3 3" xfId="27904" xr:uid="{00000000-0005-0000-0000-0000AAA80000}"/>
    <cellStyle name="Percent 2 13 2 4" xfId="27905" xr:uid="{00000000-0005-0000-0000-0000ABA80000}"/>
    <cellStyle name="Percent 2 13 2 4 2" xfId="38021" xr:uid="{00000000-0005-0000-0000-0000ACA80000}"/>
    <cellStyle name="Percent 2 13 2 5" xfId="27906" xr:uid="{00000000-0005-0000-0000-0000ADA80000}"/>
    <cellStyle name="Percent 2 13 2 6" xfId="27907" xr:uid="{00000000-0005-0000-0000-0000AEA80000}"/>
    <cellStyle name="Percent 2 13 2 7" xfId="27908" xr:uid="{00000000-0005-0000-0000-0000AFA80000}"/>
    <cellStyle name="Percent 2 13 3" xfId="4212" xr:uid="{00000000-0005-0000-0000-0000B0A80000}"/>
    <cellStyle name="Percent 2 13 3 2" xfId="14700" xr:uid="{00000000-0005-0000-0000-0000B1A80000}"/>
    <cellStyle name="Percent 2 13 3 3" xfId="35532" xr:uid="{00000000-0005-0000-0000-0000B2A80000}"/>
    <cellStyle name="Percent 2 13 3 4" xfId="11079" xr:uid="{00000000-0005-0000-0000-0000B3A80000}"/>
    <cellStyle name="Percent 2 13 4" xfId="4997" xr:uid="{00000000-0005-0000-0000-0000B4A80000}"/>
    <cellStyle name="Percent 2 13 4 2" xfId="35953" xr:uid="{00000000-0005-0000-0000-0000B5A80000}"/>
    <cellStyle name="Percent 2 13 4 3" xfId="27909" xr:uid="{00000000-0005-0000-0000-0000B6A80000}"/>
    <cellStyle name="Percent 2 13 5" xfId="27910" xr:uid="{00000000-0005-0000-0000-0000B7A80000}"/>
    <cellStyle name="Percent 2 13 5 2" xfId="38020" xr:uid="{00000000-0005-0000-0000-0000B8A80000}"/>
    <cellStyle name="Percent 2 13 6" xfId="27911" xr:uid="{00000000-0005-0000-0000-0000B9A80000}"/>
    <cellStyle name="Percent 2 13 7" xfId="27912" xr:uid="{00000000-0005-0000-0000-0000BAA80000}"/>
    <cellStyle name="Percent 2 13 8" xfId="27913" xr:uid="{00000000-0005-0000-0000-0000BBA80000}"/>
    <cellStyle name="Percent 2 13 9" xfId="7744" xr:uid="{00000000-0005-0000-0000-0000BCA80000}"/>
    <cellStyle name="Percent 2 14" xfId="6022" xr:uid="{00000000-0005-0000-0000-0000BDA80000}"/>
    <cellStyle name="Percent 2 14 2" xfId="11081" xr:uid="{00000000-0005-0000-0000-0000BEA80000}"/>
    <cellStyle name="Percent 2 14 2 2" xfId="14702" xr:uid="{00000000-0005-0000-0000-0000BFA80000}"/>
    <cellStyle name="Percent 2 14 3" xfId="27914" xr:uid="{00000000-0005-0000-0000-0000C0A80000}"/>
    <cellStyle name="Percent 2 14 4" xfId="27915" xr:uid="{00000000-0005-0000-0000-0000C1A80000}"/>
    <cellStyle name="Percent 2 14 5" xfId="27916" xr:uid="{00000000-0005-0000-0000-0000C2A80000}"/>
    <cellStyle name="Percent 2 14 6" xfId="27917" xr:uid="{00000000-0005-0000-0000-0000C3A80000}"/>
    <cellStyle name="Percent 2 14 7" xfId="38787" xr:uid="{00000000-0005-0000-0000-0000C4A80000}"/>
    <cellStyle name="Percent 2 14 8" xfId="7745" xr:uid="{00000000-0005-0000-0000-0000C5A80000}"/>
    <cellStyle name="Percent 2 15" xfId="5663" xr:uid="{00000000-0005-0000-0000-0000C6A80000}"/>
    <cellStyle name="Percent 2 15 2" xfId="14694" xr:uid="{00000000-0005-0000-0000-0000C7A80000}"/>
    <cellStyle name="Percent 2 15 2 2" xfId="39997" xr:uid="{00000000-0005-0000-0000-0000C8A80000}"/>
    <cellStyle name="Percent 2 15 3" xfId="37606" xr:uid="{00000000-0005-0000-0000-0000C9A80000}"/>
    <cellStyle name="Percent 2 15 4" xfId="11073" xr:uid="{00000000-0005-0000-0000-0000CAA80000}"/>
    <cellStyle name="Percent 2 16" xfId="27918" xr:uid="{00000000-0005-0000-0000-0000CBA80000}"/>
    <cellStyle name="Percent 2 16 2" xfId="40848" xr:uid="{00000000-0005-0000-0000-0000CCA80000}"/>
    <cellStyle name="Percent 2 16 3" xfId="39283" xr:uid="{00000000-0005-0000-0000-0000CDA80000}"/>
    <cellStyle name="Percent 2 17" xfId="27919" xr:uid="{00000000-0005-0000-0000-0000CEA80000}"/>
    <cellStyle name="Percent 2 17 2" xfId="39995" xr:uid="{00000000-0005-0000-0000-0000CFA80000}"/>
    <cellStyle name="Percent 2 18" xfId="27920" xr:uid="{00000000-0005-0000-0000-0000D0A80000}"/>
    <cellStyle name="Percent 2 19" xfId="27921" xr:uid="{00000000-0005-0000-0000-0000D1A80000}"/>
    <cellStyle name="Percent 2 2" xfId="1869" xr:uid="{00000000-0005-0000-0000-0000D2A80000}"/>
    <cellStyle name="Percent 2 2 10" xfId="7746" xr:uid="{00000000-0005-0000-0000-0000D3A80000}"/>
    <cellStyle name="Percent 2 2 10 2" xfId="11083" xr:uid="{00000000-0005-0000-0000-0000D4A80000}"/>
    <cellStyle name="Percent 2 2 10 2 2" xfId="14704" xr:uid="{00000000-0005-0000-0000-0000D5A80000}"/>
    <cellStyle name="Percent 2 2 10 3" xfId="27922" xr:uid="{00000000-0005-0000-0000-0000D6A80000}"/>
    <cellStyle name="Percent 2 2 10 4" xfId="27923" xr:uid="{00000000-0005-0000-0000-0000D7A80000}"/>
    <cellStyle name="Percent 2 2 10 5" xfId="27924" xr:uid="{00000000-0005-0000-0000-0000D8A80000}"/>
    <cellStyle name="Percent 2 2 10 6" xfId="27925" xr:uid="{00000000-0005-0000-0000-0000D9A80000}"/>
    <cellStyle name="Percent 2 2 11" xfId="7747" xr:uid="{00000000-0005-0000-0000-0000DAA80000}"/>
    <cellStyle name="Percent 2 2 11 2" xfId="11084" xr:uid="{00000000-0005-0000-0000-0000DBA80000}"/>
    <cellStyle name="Percent 2 2 11 2 2" xfId="14705" xr:uid="{00000000-0005-0000-0000-0000DCA80000}"/>
    <cellStyle name="Percent 2 2 11 3" xfId="27926" xr:uid="{00000000-0005-0000-0000-0000DDA80000}"/>
    <cellStyle name="Percent 2 2 11 4" xfId="27927" xr:uid="{00000000-0005-0000-0000-0000DEA80000}"/>
    <cellStyle name="Percent 2 2 11 5" xfId="27928" xr:uid="{00000000-0005-0000-0000-0000DFA80000}"/>
    <cellStyle name="Percent 2 2 11 6" xfId="27929" xr:uid="{00000000-0005-0000-0000-0000E0A80000}"/>
    <cellStyle name="Percent 2 2 12" xfId="7748" xr:uid="{00000000-0005-0000-0000-0000E1A80000}"/>
    <cellStyle name="Percent 2 2 12 2" xfId="11085" xr:uid="{00000000-0005-0000-0000-0000E2A80000}"/>
    <cellStyle name="Percent 2 2 12 2 2" xfId="14706" xr:uid="{00000000-0005-0000-0000-0000E3A80000}"/>
    <cellStyle name="Percent 2 2 12 3" xfId="27930" xr:uid="{00000000-0005-0000-0000-0000E4A80000}"/>
    <cellStyle name="Percent 2 2 12 4" xfId="27931" xr:uid="{00000000-0005-0000-0000-0000E5A80000}"/>
    <cellStyle name="Percent 2 2 12 5" xfId="27932" xr:uid="{00000000-0005-0000-0000-0000E6A80000}"/>
    <cellStyle name="Percent 2 2 12 6" xfId="27933" xr:uid="{00000000-0005-0000-0000-0000E7A80000}"/>
    <cellStyle name="Percent 2 2 13" xfId="7749" xr:uid="{00000000-0005-0000-0000-0000E8A80000}"/>
    <cellStyle name="Percent 2 2 13 2" xfId="11086" xr:uid="{00000000-0005-0000-0000-0000E9A80000}"/>
    <cellStyle name="Percent 2 2 13 2 2" xfId="14707" xr:uid="{00000000-0005-0000-0000-0000EAA80000}"/>
    <cellStyle name="Percent 2 2 13 3" xfId="27934" xr:uid="{00000000-0005-0000-0000-0000EBA80000}"/>
    <cellStyle name="Percent 2 2 13 4" xfId="27935" xr:uid="{00000000-0005-0000-0000-0000ECA80000}"/>
    <cellStyle name="Percent 2 2 13 5" xfId="27936" xr:uid="{00000000-0005-0000-0000-0000EDA80000}"/>
    <cellStyle name="Percent 2 2 13 6" xfId="27937" xr:uid="{00000000-0005-0000-0000-0000EEA80000}"/>
    <cellStyle name="Percent 2 2 14" xfId="7750" xr:uid="{00000000-0005-0000-0000-0000EFA80000}"/>
    <cellStyle name="Percent 2 2 14 2" xfId="11087" xr:uid="{00000000-0005-0000-0000-0000F0A80000}"/>
    <cellStyle name="Percent 2 2 14 2 2" xfId="14708" xr:uid="{00000000-0005-0000-0000-0000F1A80000}"/>
    <cellStyle name="Percent 2 2 14 3" xfId="27938" xr:uid="{00000000-0005-0000-0000-0000F2A80000}"/>
    <cellStyle name="Percent 2 2 14 4" xfId="27939" xr:uid="{00000000-0005-0000-0000-0000F3A80000}"/>
    <cellStyle name="Percent 2 2 14 5" xfId="27940" xr:uid="{00000000-0005-0000-0000-0000F4A80000}"/>
    <cellStyle name="Percent 2 2 14 6" xfId="27941" xr:uid="{00000000-0005-0000-0000-0000F5A80000}"/>
    <cellStyle name="Percent 2 2 15" xfId="11082" xr:uid="{00000000-0005-0000-0000-0000F6A80000}"/>
    <cellStyle name="Percent 2 2 15 2" xfId="14703" xr:uid="{00000000-0005-0000-0000-0000F7A80000}"/>
    <cellStyle name="Percent 2 2 16" xfId="27942" xr:uid="{00000000-0005-0000-0000-0000F8A80000}"/>
    <cellStyle name="Percent 2 2 17" xfId="27943" xr:uid="{00000000-0005-0000-0000-0000F9A80000}"/>
    <cellStyle name="Percent 2 2 18" xfId="27944" xr:uid="{00000000-0005-0000-0000-0000FAA80000}"/>
    <cellStyle name="Percent 2 2 19" xfId="27945" xr:uid="{00000000-0005-0000-0000-0000FBA80000}"/>
    <cellStyle name="Percent 2 2 2" xfId="1870" xr:uid="{00000000-0005-0000-0000-0000FCA80000}"/>
    <cellStyle name="Percent 2 2 2 2" xfId="11088" xr:uid="{00000000-0005-0000-0000-0000FDA80000}"/>
    <cellStyle name="Percent 2 2 2 2 2" xfId="14709" xr:uid="{00000000-0005-0000-0000-0000FEA80000}"/>
    <cellStyle name="Percent 2 2 2 3" xfId="27946" xr:uid="{00000000-0005-0000-0000-0000FFA80000}"/>
    <cellStyle name="Percent 2 2 2 4" xfId="27947" xr:uid="{00000000-0005-0000-0000-000000A90000}"/>
    <cellStyle name="Percent 2 2 2 5" xfId="27948" xr:uid="{00000000-0005-0000-0000-000001A90000}"/>
    <cellStyle name="Percent 2 2 2 6" xfId="27949" xr:uid="{00000000-0005-0000-0000-000002A90000}"/>
    <cellStyle name="Percent 2 2 2 7" xfId="27950" xr:uid="{00000000-0005-0000-0000-000003A90000}"/>
    <cellStyle name="Percent 2 2 20" xfId="27951" xr:uid="{00000000-0005-0000-0000-000004A90000}"/>
    <cellStyle name="Percent 2 2 3" xfId="1871" xr:uid="{00000000-0005-0000-0000-000005A90000}"/>
    <cellStyle name="Percent 2 2 3 2" xfId="11089" xr:uid="{00000000-0005-0000-0000-000006A90000}"/>
    <cellStyle name="Percent 2 2 3 2 2" xfId="14710" xr:uid="{00000000-0005-0000-0000-000007A90000}"/>
    <cellStyle name="Percent 2 2 3 3" xfId="27952" xr:uid="{00000000-0005-0000-0000-000008A90000}"/>
    <cellStyle name="Percent 2 2 3 4" xfId="27953" xr:uid="{00000000-0005-0000-0000-000009A90000}"/>
    <cellStyle name="Percent 2 2 3 5" xfId="27954" xr:uid="{00000000-0005-0000-0000-00000AA90000}"/>
    <cellStyle name="Percent 2 2 3 6" xfId="27955" xr:uid="{00000000-0005-0000-0000-00000BA90000}"/>
    <cellStyle name="Percent 2 2 3 7" xfId="27956" xr:uid="{00000000-0005-0000-0000-00000CA90000}"/>
    <cellStyle name="Percent 2 2 4" xfId="4214" xr:uid="{00000000-0005-0000-0000-00000DA90000}"/>
    <cellStyle name="Percent 2 2 4 2" xfId="11090" xr:uid="{00000000-0005-0000-0000-00000EA90000}"/>
    <cellStyle name="Percent 2 2 4 2 2" xfId="14711" xr:uid="{00000000-0005-0000-0000-00000FA90000}"/>
    <cellStyle name="Percent 2 2 4 3" xfId="27957" xr:uid="{00000000-0005-0000-0000-000010A90000}"/>
    <cellStyle name="Percent 2 2 4 4" xfId="27958" xr:uid="{00000000-0005-0000-0000-000011A90000}"/>
    <cellStyle name="Percent 2 2 4 5" xfId="27959" xr:uid="{00000000-0005-0000-0000-000012A90000}"/>
    <cellStyle name="Percent 2 2 4 6" xfId="27960" xr:uid="{00000000-0005-0000-0000-000013A90000}"/>
    <cellStyle name="Percent 2 2 5" xfId="7751" xr:uid="{00000000-0005-0000-0000-000014A90000}"/>
    <cellStyle name="Percent 2 2 5 2" xfId="11091" xr:uid="{00000000-0005-0000-0000-000015A90000}"/>
    <cellStyle name="Percent 2 2 5 2 2" xfId="14712" xr:uid="{00000000-0005-0000-0000-000016A90000}"/>
    <cellStyle name="Percent 2 2 5 3" xfId="27961" xr:uid="{00000000-0005-0000-0000-000017A90000}"/>
    <cellStyle name="Percent 2 2 5 4" xfId="27962" xr:uid="{00000000-0005-0000-0000-000018A90000}"/>
    <cellStyle name="Percent 2 2 5 5" xfId="27963" xr:uid="{00000000-0005-0000-0000-000019A90000}"/>
    <cellStyle name="Percent 2 2 5 6" xfId="27964" xr:uid="{00000000-0005-0000-0000-00001AA90000}"/>
    <cellStyle name="Percent 2 2 6" xfId="7752" xr:uid="{00000000-0005-0000-0000-00001BA90000}"/>
    <cellStyle name="Percent 2 2 6 2" xfId="11092" xr:uid="{00000000-0005-0000-0000-00001CA90000}"/>
    <cellStyle name="Percent 2 2 6 2 2" xfId="14713" xr:uid="{00000000-0005-0000-0000-00001DA90000}"/>
    <cellStyle name="Percent 2 2 6 3" xfId="27965" xr:uid="{00000000-0005-0000-0000-00001EA90000}"/>
    <cellStyle name="Percent 2 2 6 4" xfId="27966" xr:uid="{00000000-0005-0000-0000-00001FA90000}"/>
    <cellStyle name="Percent 2 2 6 5" xfId="27967" xr:uid="{00000000-0005-0000-0000-000020A90000}"/>
    <cellStyle name="Percent 2 2 6 6" xfId="27968" xr:uid="{00000000-0005-0000-0000-000021A90000}"/>
    <cellStyle name="Percent 2 2 7" xfId="7753" xr:uid="{00000000-0005-0000-0000-000022A90000}"/>
    <cellStyle name="Percent 2 2 7 2" xfId="11093" xr:uid="{00000000-0005-0000-0000-000023A90000}"/>
    <cellStyle name="Percent 2 2 7 2 2" xfId="14714" xr:uid="{00000000-0005-0000-0000-000024A90000}"/>
    <cellStyle name="Percent 2 2 7 3" xfId="27969" xr:uid="{00000000-0005-0000-0000-000025A90000}"/>
    <cellStyle name="Percent 2 2 7 4" xfId="27970" xr:uid="{00000000-0005-0000-0000-000026A90000}"/>
    <cellStyle name="Percent 2 2 7 5" xfId="27971" xr:uid="{00000000-0005-0000-0000-000027A90000}"/>
    <cellStyle name="Percent 2 2 7 6" xfId="27972" xr:uid="{00000000-0005-0000-0000-000028A90000}"/>
    <cellStyle name="Percent 2 2 8" xfId="7754" xr:uid="{00000000-0005-0000-0000-000029A90000}"/>
    <cellStyle name="Percent 2 2 8 2" xfId="11094" xr:uid="{00000000-0005-0000-0000-00002AA90000}"/>
    <cellStyle name="Percent 2 2 8 2 2" xfId="14715" xr:uid="{00000000-0005-0000-0000-00002BA90000}"/>
    <cellStyle name="Percent 2 2 8 3" xfId="27973" xr:uid="{00000000-0005-0000-0000-00002CA90000}"/>
    <cellStyle name="Percent 2 2 8 4" xfId="27974" xr:uid="{00000000-0005-0000-0000-00002DA90000}"/>
    <cellStyle name="Percent 2 2 8 5" xfId="27975" xr:uid="{00000000-0005-0000-0000-00002EA90000}"/>
    <cellStyle name="Percent 2 2 8 6" xfId="27976" xr:uid="{00000000-0005-0000-0000-00002FA90000}"/>
    <cellStyle name="Percent 2 2 9" xfId="7755" xr:uid="{00000000-0005-0000-0000-000030A90000}"/>
    <cellStyle name="Percent 2 2 9 2" xfId="11095" xr:uid="{00000000-0005-0000-0000-000031A90000}"/>
    <cellStyle name="Percent 2 2 9 2 2" xfId="14716" xr:uid="{00000000-0005-0000-0000-000032A90000}"/>
    <cellStyle name="Percent 2 2 9 3" xfId="27977" xr:uid="{00000000-0005-0000-0000-000033A90000}"/>
    <cellStyle name="Percent 2 2 9 4" xfId="27978" xr:uid="{00000000-0005-0000-0000-000034A90000}"/>
    <cellStyle name="Percent 2 2 9 5" xfId="27979" xr:uid="{00000000-0005-0000-0000-000035A90000}"/>
    <cellStyle name="Percent 2 2 9 6" xfId="27980" xr:uid="{00000000-0005-0000-0000-000036A90000}"/>
    <cellStyle name="Percent 2 20" xfId="37602" xr:uid="{00000000-0005-0000-0000-000037A90000}"/>
    <cellStyle name="Percent 2 3" xfId="1872" xr:uid="{00000000-0005-0000-0000-000038A90000}"/>
    <cellStyle name="Percent 2 3 10" xfId="4999" xr:uid="{00000000-0005-0000-0000-000039A90000}"/>
    <cellStyle name="Percent 2 3 10 2" xfId="14717" xr:uid="{00000000-0005-0000-0000-00003AA90000}"/>
    <cellStyle name="Percent 2 3 10 3" xfId="35955" xr:uid="{00000000-0005-0000-0000-00003BA90000}"/>
    <cellStyle name="Percent 2 3 10 4" xfId="11096" xr:uid="{00000000-0005-0000-0000-00003CA90000}"/>
    <cellStyle name="Percent 2 3 11" xfId="27981" xr:uid="{00000000-0005-0000-0000-00003DA90000}"/>
    <cellStyle name="Percent 2 3 11 2" xfId="38022" xr:uid="{00000000-0005-0000-0000-00003EA90000}"/>
    <cellStyle name="Percent 2 3 12" xfId="27982" xr:uid="{00000000-0005-0000-0000-00003FA90000}"/>
    <cellStyle name="Percent 2 3 13" xfId="27983" xr:uid="{00000000-0005-0000-0000-000040A90000}"/>
    <cellStyle name="Percent 2 3 14" xfId="27984" xr:uid="{00000000-0005-0000-0000-000041A90000}"/>
    <cellStyle name="Percent 2 3 15" xfId="27985" xr:uid="{00000000-0005-0000-0000-000042A90000}"/>
    <cellStyle name="Percent 2 3 2" xfId="1873" xr:uid="{00000000-0005-0000-0000-000043A90000}"/>
    <cellStyle name="Percent 2 3 2 10" xfId="27986" xr:uid="{00000000-0005-0000-0000-000044A90000}"/>
    <cellStyle name="Percent 2 3 2 2" xfId="4217" xr:uid="{00000000-0005-0000-0000-000045A90000}"/>
    <cellStyle name="Percent 2 3 2 2 2" xfId="5608" xr:uid="{00000000-0005-0000-0000-000046A90000}"/>
    <cellStyle name="Percent 2 3 2 2 2 2" xfId="11099" xr:uid="{00000000-0005-0000-0000-000047A90000}"/>
    <cellStyle name="Percent 2 3 2 2 2 2 2" xfId="14720" xr:uid="{00000000-0005-0000-0000-000048A90000}"/>
    <cellStyle name="Percent 2 3 2 2 2 3" xfId="27987" xr:uid="{00000000-0005-0000-0000-000049A90000}"/>
    <cellStyle name="Percent 2 3 2 2 2 4" xfId="27988" xr:uid="{00000000-0005-0000-0000-00004AA90000}"/>
    <cellStyle name="Percent 2 3 2 2 2 5" xfId="27989" xr:uid="{00000000-0005-0000-0000-00004BA90000}"/>
    <cellStyle name="Percent 2 3 2 2 2 6" xfId="27990" xr:uid="{00000000-0005-0000-0000-00004CA90000}"/>
    <cellStyle name="Percent 2 3 2 2 3" xfId="11098" xr:uid="{00000000-0005-0000-0000-00004DA90000}"/>
    <cellStyle name="Percent 2 3 2 2 3 2" xfId="14719" xr:uid="{00000000-0005-0000-0000-00004EA90000}"/>
    <cellStyle name="Percent 2 3 2 2 3 3" xfId="38598" xr:uid="{00000000-0005-0000-0000-00004FA90000}"/>
    <cellStyle name="Percent 2 3 2 2 4" xfId="27991" xr:uid="{00000000-0005-0000-0000-000050A90000}"/>
    <cellStyle name="Percent 2 3 2 2 5" xfId="27992" xr:uid="{00000000-0005-0000-0000-000051A90000}"/>
    <cellStyle name="Percent 2 3 2 2 6" xfId="27993" xr:uid="{00000000-0005-0000-0000-000052A90000}"/>
    <cellStyle name="Percent 2 3 2 2 7" xfId="27994" xr:uid="{00000000-0005-0000-0000-000053A90000}"/>
    <cellStyle name="Percent 2 3 2 3" xfId="4218" xr:uid="{00000000-0005-0000-0000-000054A90000}"/>
    <cellStyle name="Percent 2 3 2 3 2" xfId="5609" xr:uid="{00000000-0005-0000-0000-000055A90000}"/>
    <cellStyle name="Percent 2 3 2 3 2 2" xfId="11101" xr:uid="{00000000-0005-0000-0000-000056A90000}"/>
    <cellStyle name="Percent 2 3 2 3 2 2 2" xfId="14722" xr:uid="{00000000-0005-0000-0000-000057A90000}"/>
    <cellStyle name="Percent 2 3 2 3 2 3" xfId="27995" xr:uid="{00000000-0005-0000-0000-000058A90000}"/>
    <cellStyle name="Percent 2 3 2 3 2 4" xfId="27996" xr:uid="{00000000-0005-0000-0000-000059A90000}"/>
    <cellStyle name="Percent 2 3 2 3 2 5" xfId="27997" xr:uid="{00000000-0005-0000-0000-00005AA90000}"/>
    <cellStyle name="Percent 2 3 2 3 2 6" xfId="27998" xr:uid="{00000000-0005-0000-0000-00005BA90000}"/>
    <cellStyle name="Percent 2 3 2 3 3" xfId="11100" xr:uid="{00000000-0005-0000-0000-00005CA90000}"/>
    <cellStyle name="Percent 2 3 2 3 3 2" xfId="14721" xr:uid="{00000000-0005-0000-0000-00005DA90000}"/>
    <cellStyle name="Percent 2 3 2 3 3 3" xfId="38599" xr:uid="{00000000-0005-0000-0000-00005EA90000}"/>
    <cellStyle name="Percent 2 3 2 3 4" xfId="27999" xr:uid="{00000000-0005-0000-0000-00005FA90000}"/>
    <cellStyle name="Percent 2 3 2 3 5" xfId="28000" xr:uid="{00000000-0005-0000-0000-000060A90000}"/>
    <cellStyle name="Percent 2 3 2 3 6" xfId="28001" xr:uid="{00000000-0005-0000-0000-000061A90000}"/>
    <cellStyle name="Percent 2 3 2 3 7" xfId="28002" xr:uid="{00000000-0005-0000-0000-000062A90000}"/>
    <cellStyle name="Percent 2 3 2 4" xfId="4216" xr:uid="{00000000-0005-0000-0000-000063A90000}"/>
    <cellStyle name="Percent 2 3 2 4 2" xfId="11102" xr:uid="{00000000-0005-0000-0000-000064A90000}"/>
    <cellStyle name="Percent 2 3 2 4 2 2" xfId="14723" xr:uid="{00000000-0005-0000-0000-000065A90000}"/>
    <cellStyle name="Percent 2 3 2 4 3" xfId="28003" xr:uid="{00000000-0005-0000-0000-000066A90000}"/>
    <cellStyle name="Percent 2 3 2 4 4" xfId="28004" xr:uid="{00000000-0005-0000-0000-000067A90000}"/>
    <cellStyle name="Percent 2 3 2 4 5" xfId="28005" xr:uid="{00000000-0005-0000-0000-000068A90000}"/>
    <cellStyle name="Percent 2 3 2 4 6" xfId="28006" xr:uid="{00000000-0005-0000-0000-000069A90000}"/>
    <cellStyle name="Percent 2 3 2 5" xfId="5000" xr:uid="{00000000-0005-0000-0000-00006AA90000}"/>
    <cellStyle name="Percent 2 3 2 5 2" xfId="14718" xr:uid="{00000000-0005-0000-0000-00006BA90000}"/>
    <cellStyle name="Percent 2 3 2 5 3" xfId="35956" xr:uid="{00000000-0005-0000-0000-00006CA90000}"/>
    <cellStyle name="Percent 2 3 2 5 4" xfId="11097" xr:uid="{00000000-0005-0000-0000-00006DA90000}"/>
    <cellStyle name="Percent 2 3 2 6" xfId="28007" xr:uid="{00000000-0005-0000-0000-00006EA90000}"/>
    <cellStyle name="Percent 2 3 2 6 2" xfId="38023" xr:uid="{00000000-0005-0000-0000-00006FA90000}"/>
    <cellStyle name="Percent 2 3 2 7" xfId="28008" xr:uid="{00000000-0005-0000-0000-000070A90000}"/>
    <cellStyle name="Percent 2 3 2 8" xfId="28009" xr:uid="{00000000-0005-0000-0000-000071A90000}"/>
    <cellStyle name="Percent 2 3 2 9" xfId="28010" xr:uid="{00000000-0005-0000-0000-000072A90000}"/>
    <cellStyle name="Percent 2 3 3" xfId="1874" xr:uid="{00000000-0005-0000-0000-000073A90000}"/>
    <cellStyle name="Percent 2 3 3 10" xfId="28011" xr:uid="{00000000-0005-0000-0000-000074A90000}"/>
    <cellStyle name="Percent 2 3 3 2" xfId="4220" xr:uid="{00000000-0005-0000-0000-000075A90000}"/>
    <cellStyle name="Percent 2 3 3 2 2" xfId="5610" xr:uid="{00000000-0005-0000-0000-000076A90000}"/>
    <cellStyle name="Percent 2 3 3 2 2 2" xfId="11105" xr:uid="{00000000-0005-0000-0000-000077A90000}"/>
    <cellStyle name="Percent 2 3 3 2 2 2 2" xfId="14726" xr:uid="{00000000-0005-0000-0000-000078A90000}"/>
    <cellStyle name="Percent 2 3 3 2 2 3" xfId="28012" xr:uid="{00000000-0005-0000-0000-000079A90000}"/>
    <cellStyle name="Percent 2 3 3 2 2 4" xfId="28013" xr:uid="{00000000-0005-0000-0000-00007AA90000}"/>
    <cellStyle name="Percent 2 3 3 2 2 5" xfId="28014" xr:uid="{00000000-0005-0000-0000-00007BA90000}"/>
    <cellStyle name="Percent 2 3 3 2 2 6" xfId="28015" xr:uid="{00000000-0005-0000-0000-00007CA90000}"/>
    <cellStyle name="Percent 2 3 3 2 3" xfId="11104" xr:uid="{00000000-0005-0000-0000-00007DA90000}"/>
    <cellStyle name="Percent 2 3 3 2 3 2" xfId="14725" xr:uid="{00000000-0005-0000-0000-00007EA90000}"/>
    <cellStyle name="Percent 2 3 3 2 3 3" xfId="38600" xr:uid="{00000000-0005-0000-0000-00007FA90000}"/>
    <cellStyle name="Percent 2 3 3 2 4" xfId="28016" xr:uid="{00000000-0005-0000-0000-000080A90000}"/>
    <cellStyle name="Percent 2 3 3 2 5" xfId="28017" xr:uid="{00000000-0005-0000-0000-000081A90000}"/>
    <cellStyle name="Percent 2 3 3 2 6" xfId="28018" xr:uid="{00000000-0005-0000-0000-000082A90000}"/>
    <cellStyle name="Percent 2 3 3 2 7" xfId="28019" xr:uid="{00000000-0005-0000-0000-000083A90000}"/>
    <cellStyle name="Percent 2 3 3 3" xfId="4221" xr:uid="{00000000-0005-0000-0000-000084A90000}"/>
    <cellStyle name="Percent 2 3 3 3 2" xfId="5611" xr:uid="{00000000-0005-0000-0000-000085A90000}"/>
    <cellStyle name="Percent 2 3 3 3 2 2" xfId="11107" xr:uid="{00000000-0005-0000-0000-000086A90000}"/>
    <cellStyle name="Percent 2 3 3 3 2 2 2" xfId="14728" xr:uid="{00000000-0005-0000-0000-000087A90000}"/>
    <cellStyle name="Percent 2 3 3 3 2 3" xfId="28020" xr:uid="{00000000-0005-0000-0000-000088A90000}"/>
    <cellStyle name="Percent 2 3 3 3 2 4" xfId="28021" xr:uid="{00000000-0005-0000-0000-000089A90000}"/>
    <cellStyle name="Percent 2 3 3 3 2 5" xfId="28022" xr:uid="{00000000-0005-0000-0000-00008AA90000}"/>
    <cellStyle name="Percent 2 3 3 3 2 6" xfId="28023" xr:uid="{00000000-0005-0000-0000-00008BA90000}"/>
    <cellStyle name="Percent 2 3 3 3 3" xfId="11106" xr:uid="{00000000-0005-0000-0000-00008CA90000}"/>
    <cellStyle name="Percent 2 3 3 3 3 2" xfId="14727" xr:uid="{00000000-0005-0000-0000-00008DA90000}"/>
    <cellStyle name="Percent 2 3 3 3 3 3" xfId="38601" xr:uid="{00000000-0005-0000-0000-00008EA90000}"/>
    <cellStyle name="Percent 2 3 3 3 4" xfId="28024" xr:uid="{00000000-0005-0000-0000-00008FA90000}"/>
    <cellStyle name="Percent 2 3 3 3 5" xfId="28025" xr:uid="{00000000-0005-0000-0000-000090A90000}"/>
    <cellStyle name="Percent 2 3 3 3 6" xfId="28026" xr:uid="{00000000-0005-0000-0000-000091A90000}"/>
    <cellStyle name="Percent 2 3 3 3 7" xfId="28027" xr:uid="{00000000-0005-0000-0000-000092A90000}"/>
    <cellStyle name="Percent 2 3 3 4" xfId="4219" xr:uid="{00000000-0005-0000-0000-000093A90000}"/>
    <cellStyle name="Percent 2 3 3 4 2" xfId="11108" xr:uid="{00000000-0005-0000-0000-000094A90000}"/>
    <cellStyle name="Percent 2 3 3 4 2 2" xfId="14729" xr:uid="{00000000-0005-0000-0000-000095A90000}"/>
    <cellStyle name="Percent 2 3 3 4 3" xfId="28028" xr:uid="{00000000-0005-0000-0000-000096A90000}"/>
    <cellStyle name="Percent 2 3 3 4 4" xfId="28029" xr:uid="{00000000-0005-0000-0000-000097A90000}"/>
    <cellStyle name="Percent 2 3 3 4 5" xfId="28030" xr:uid="{00000000-0005-0000-0000-000098A90000}"/>
    <cellStyle name="Percent 2 3 3 4 6" xfId="28031" xr:uid="{00000000-0005-0000-0000-000099A90000}"/>
    <cellStyle name="Percent 2 3 3 5" xfId="5001" xr:uid="{00000000-0005-0000-0000-00009AA90000}"/>
    <cellStyle name="Percent 2 3 3 5 2" xfId="14724" xr:uid="{00000000-0005-0000-0000-00009BA90000}"/>
    <cellStyle name="Percent 2 3 3 5 3" xfId="35957" xr:uid="{00000000-0005-0000-0000-00009CA90000}"/>
    <cellStyle name="Percent 2 3 3 5 4" xfId="11103" xr:uid="{00000000-0005-0000-0000-00009DA90000}"/>
    <cellStyle name="Percent 2 3 3 6" xfId="28032" xr:uid="{00000000-0005-0000-0000-00009EA90000}"/>
    <cellStyle name="Percent 2 3 3 6 2" xfId="38024" xr:uid="{00000000-0005-0000-0000-00009FA90000}"/>
    <cellStyle name="Percent 2 3 3 7" xfId="28033" xr:uid="{00000000-0005-0000-0000-0000A0A90000}"/>
    <cellStyle name="Percent 2 3 3 8" xfId="28034" xr:uid="{00000000-0005-0000-0000-0000A1A90000}"/>
    <cellStyle name="Percent 2 3 3 9" xfId="28035" xr:uid="{00000000-0005-0000-0000-0000A2A90000}"/>
    <cellStyle name="Percent 2 3 4" xfId="1875" xr:uid="{00000000-0005-0000-0000-0000A3A90000}"/>
    <cellStyle name="Percent 2 3 4 2" xfId="4222" xr:uid="{00000000-0005-0000-0000-0000A4A90000}"/>
    <cellStyle name="Percent 2 3 4 2 2" xfId="11110" xr:uid="{00000000-0005-0000-0000-0000A5A90000}"/>
    <cellStyle name="Percent 2 3 4 2 2 2" xfId="14731" xr:uid="{00000000-0005-0000-0000-0000A6A90000}"/>
    <cellStyle name="Percent 2 3 4 2 3" xfId="28036" xr:uid="{00000000-0005-0000-0000-0000A7A90000}"/>
    <cellStyle name="Percent 2 3 4 2 4" xfId="28037" xr:uid="{00000000-0005-0000-0000-0000A8A90000}"/>
    <cellStyle name="Percent 2 3 4 2 5" xfId="28038" xr:uid="{00000000-0005-0000-0000-0000A9A90000}"/>
    <cellStyle name="Percent 2 3 4 2 6" xfId="28039" xr:uid="{00000000-0005-0000-0000-0000AAA90000}"/>
    <cellStyle name="Percent 2 3 4 3" xfId="5002" xr:uid="{00000000-0005-0000-0000-0000ABA90000}"/>
    <cellStyle name="Percent 2 3 4 3 2" xfId="14730" xr:uid="{00000000-0005-0000-0000-0000ACA90000}"/>
    <cellStyle name="Percent 2 3 4 3 3" xfId="35958" xr:uid="{00000000-0005-0000-0000-0000ADA90000}"/>
    <cellStyle name="Percent 2 3 4 3 4" xfId="11109" xr:uid="{00000000-0005-0000-0000-0000AEA90000}"/>
    <cellStyle name="Percent 2 3 4 4" xfId="28040" xr:uid="{00000000-0005-0000-0000-0000AFA90000}"/>
    <cellStyle name="Percent 2 3 4 4 2" xfId="38025" xr:uid="{00000000-0005-0000-0000-0000B0A90000}"/>
    <cellStyle name="Percent 2 3 4 5" xfId="28041" xr:uid="{00000000-0005-0000-0000-0000B1A90000}"/>
    <cellStyle name="Percent 2 3 4 6" xfId="28042" xr:uid="{00000000-0005-0000-0000-0000B2A90000}"/>
    <cellStyle name="Percent 2 3 4 7" xfId="28043" xr:uid="{00000000-0005-0000-0000-0000B3A90000}"/>
    <cellStyle name="Percent 2 3 4 8" xfId="28044" xr:uid="{00000000-0005-0000-0000-0000B4A90000}"/>
    <cellStyle name="Percent 2 3 5" xfId="4223" xr:uid="{00000000-0005-0000-0000-0000B5A90000}"/>
    <cellStyle name="Percent 2 3 5 2" xfId="5612" xr:uid="{00000000-0005-0000-0000-0000B6A90000}"/>
    <cellStyle name="Percent 2 3 5 2 2" xfId="11112" xr:uid="{00000000-0005-0000-0000-0000B7A90000}"/>
    <cellStyle name="Percent 2 3 5 2 2 2" xfId="14733" xr:uid="{00000000-0005-0000-0000-0000B8A90000}"/>
    <cellStyle name="Percent 2 3 5 2 3" xfId="28045" xr:uid="{00000000-0005-0000-0000-0000B9A90000}"/>
    <cellStyle name="Percent 2 3 5 2 4" xfId="28046" xr:uid="{00000000-0005-0000-0000-0000BAA90000}"/>
    <cellStyle name="Percent 2 3 5 2 5" xfId="28047" xr:uid="{00000000-0005-0000-0000-0000BBA90000}"/>
    <cellStyle name="Percent 2 3 5 2 6" xfId="28048" xr:uid="{00000000-0005-0000-0000-0000BCA90000}"/>
    <cellStyle name="Percent 2 3 5 3" xfId="11111" xr:uid="{00000000-0005-0000-0000-0000BDA90000}"/>
    <cellStyle name="Percent 2 3 5 3 2" xfId="14732" xr:uid="{00000000-0005-0000-0000-0000BEA90000}"/>
    <cellStyle name="Percent 2 3 5 3 3" xfId="38602" xr:uid="{00000000-0005-0000-0000-0000BFA90000}"/>
    <cellStyle name="Percent 2 3 5 4" xfId="28049" xr:uid="{00000000-0005-0000-0000-0000C0A90000}"/>
    <cellStyle name="Percent 2 3 5 5" xfId="28050" xr:uid="{00000000-0005-0000-0000-0000C1A90000}"/>
    <cellStyle name="Percent 2 3 5 6" xfId="28051" xr:uid="{00000000-0005-0000-0000-0000C2A90000}"/>
    <cellStyle name="Percent 2 3 5 7" xfId="28052" xr:uid="{00000000-0005-0000-0000-0000C3A90000}"/>
    <cellStyle name="Percent 2 3 6" xfId="4224" xr:uid="{00000000-0005-0000-0000-0000C4A90000}"/>
    <cellStyle name="Percent 2 3 6 2" xfId="5613" xr:uid="{00000000-0005-0000-0000-0000C5A90000}"/>
    <cellStyle name="Percent 2 3 6 2 2" xfId="11114" xr:uid="{00000000-0005-0000-0000-0000C6A90000}"/>
    <cellStyle name="Percent 2 3 6 2 2 2" xfId="14735" xr:uid="{00000000-0005-0000-0000-0000C7A90000}"/>
    <cellStyle name="Percent 2 3 6 2 3" xfId="28053" xr:uid="{00000000-0005-0000-0000-0000C8A90000}"/>
    <cellStyle name="Percent 2 3 6 2 4" xfId="28054" xr:uid="{00000000-0005-0000-0000-0000C9A90000}"/>
    <cellStyle name="Percent 2 3 6 2 5" xfId="28055" xr:uid="{00000000-0005-0000-0000-0000CAA90000}"/>
    <cellStyle name="Percent 2 3 6 2 6" xfId="28056" xr:uid="{00000000-0005-0000-0000-0000CBA90000}"/>
    <cellStyle name="Percent 2 3 6 3" xfId="11113" xr:uid="{00000000-0005-0000-0000-0000CCA90000}"/>
    <cellStyle name="Percent 2 3 6 3 2" xfId="14734" xr:uid="{00000000-0005-0000-0000-0000CDA90000}"/>
    <cellStyle name="Percent 2 3 6 3 3" xfId="38603" xr:uid="{00000000-0005-0000-0000-0000CEA90000}"/>
    <cellStyle name="Percent 2 3 6 4" xfId="28057" xr:uid="{00000000-0005-0000-0000-0000CFA90000}"/>
    <cellStyle name="Percent 2 3 6 5" xfId="28058" xr:uid="{00000000-0005-0000-0000-0000D0A90000}"/>
    <cellStyle name="Percent 2 3 6 6" xfId="28059" xr:uid="{00000000-0005-0000-0000-0000D1A90000}"/>
    <cellStyle name="Percent 2 3 6 7" xfId="28060" xr:uid="{00000000-0005-0000-0000-0000D2A90000}"/>
    <cellStyle name="Percent 2 3 7" xfId="4225" xr:uid="{00000000-0005-0000-0000-0000D3A90000}"/>
    <cellStyle name="Percent 2 3 7 2" xfId="5614" xr:uid="{00000000-0005-0000-0000-0000D4A90000}"/>
    <cellStyle name="Percent 2 3 7 2 2" xfId="11116" xr:uid="{00000000-0005-0000-0000-0000D5A90000}"/>
    <cellStyle name="Percent 2 3 7 2 2 2" xfId="14737" xr:uid="{00000000-0005-0000-0000-0000D6A90000}"/>
    <cellStyle name="Percent 2 3 7 2 3" xfId="28061" xr:uid="{00000000-0005-0000-0000-0000D7A90000}"/>
    <cellStyle name="Percent 2 3 7 2 4" xfId="28062" xr:uid="{00000000-0005-0000-0000-0000D8A90000}"/>
    <cellStyle name="Percent 2 3 7 2 5" xfId="28063" xr:uid="{00000000-0005-0000-0000-0000D9A90000}"/>
    <cellStyle name="Percent 2 3 7 2 6" xfId="28064" xr:uid="{00000000-0005-0000-0000-0000DAA90000}"/>
    <cellStyle name="Percent 2 3 7 3" xfId="11115" xr:uid="{00000000-0005-0000-0000-0000DBA90000}"/>
    <cellStyle name="Percent 2 3 7 3 2" xfId="14736" xr:uid="{00000000-0005-0000-0000-0000DCA90000}"/>
    <cellStyle name="Percent 2 3 7 3 3" xfId="38604" xr:uid="{00000000-0005-0000-0000-0000DDA90000}"/>
    <cellStyle name="Percent 2 3 7 4" xfId="28065" xr:uid="{00000000-0005-0000-0000-0000DEA90000}"/>
    <cellStyle name="Percent 2 3 7 5" xfId="28066" xr:uid="{00000000-0005-0000-0000-0000DFA90000}"/>
    <cellStyle name="Percent 2 3 7 6" xfId="28067" xr:uid="{00000000-0005-0000-0000-0000E0A90000}"/>
    <cellStyle name="Percent 2 3 7 7" xfId="28068" xr:uid="{00000000-0005-0000-0000-0000E1A90000}"/>
    <cellStyle name="Percent 2 3 8" xfId="4226" xr:uid="{00000000-0005-0000-0000-0000E2A90000}"/>
    <cellStyle name="Percent 2 3 8 2" xfId="5615" xr:uid="{00000000-0005-0000-0000-0000E3A90000}"/>
    <cellStyle name="Percent 2 3 8 2 2" xfId="11118" xr:uid="{00000000-0005-0000-0000-0000E4A90000}"/>
    <cellStyle name="Percent 2 3 8 2 2 2" xfId="14739" xr:uid="{00000000-0005-0000-0000-0000E5A90000}"/>
    <cellStyle name="Percent 2 3 8 2 3" xfId="28069" xr:uid="{00000000-0005-0000-0000-0000E6A90000}"/>
    <cellStyle name="Percent 2 3 8 2 4" xfId="28070" xr:uid="{00000000-0005-0000-0000-0000E7A90000}"/>
    <cellStyle name="Percent 2 3 8 2 5" xfId="28071" xr:uid="{00000000-0005-0000-0000-0000E8A90000}"/>
    <cellStyle name="Percent 2 3 8 2 6" xfId="28072" xr:uid="{00000000-0005-0000-0000-0000E9A90000}"/>
    <cellStyle name="Percent 2 3 8 3" xfId="11117" xr:uid="{00000000-0005-0000-0000-0000EAA90000}"/>
    <cellStyle name="Percent 2 3 8 3 2" xfId="14738" xr:uid="{00000000-0005-0000-0000-0000EBA90000}"/>
    <cellStyle name="Percent 2 3 8 3 3" xfId="38605" xr:uid="{00000000-0005-0000-0000-0000ECA90000}"/>
    <cellStyle name="Percent 2 3 8 4" xfId="28073" xr:uid="{00000000-0005-0000-0000-0000EDA90000}"/>
    <cellStyle name="Percent 2 3 8 5" xfId="28074" xr:uid="{00000000-0005-0000-0000-0000EEA90000}"/>
    <cellStyle name="Percent 2 3 8 6" xfId="28075" xr:uid="{00000000-0005-0000-0000-0000EFA90000}"/>
    <cellStyle name="Percent 2 3 8 7" xfId="28076" xr:uid="{00000000-0005-0000-0000-0000F0A90000}"/>
    <cellStyle name="Percent 2 3 9" xfId="4215" xr:uid="{00000000-0005-0000-0000-0000F1A90000}"/>
    <cellStyle name="Percent 2 3 9 2" xfId="11119" xr:uid="{00000000-0005-0000-0000-0000F2A90000}"/>
    <cellStyle name="Percent 2 3 9 2 2" xfId="14740" xr:uid="{00000000-0005-0000-0000-0000F3A90000}"/>
    <cellStyle name="Percent 2 3 9 3" xfId="28077" xr:uid="{00000000-0005-0000-0000-0000F4A90000}"/>
    <cellStyle name="Percent 2 3 9 4" xfId="28078" xr:uid="{00000000-0005-0000-0000-0000F5A90000}"/>
    <cellStyle name="Percent 2 3 9 5" xfId="28079" xr:uid="{00000000-0005-0000-0000-0000F6A90000}"/>
    <cellStyle name="Percent 2 3 9 6" xfId="28080" xr:uid="{00000000-0005-0000-0000-0000F7A90000}"/>
    <cellStyle name="Percent 2 4" xfId="1876" xr:uid="{00000000-0005-0000-0000-0000F8A90000}"/>
    <cellStyle name="Percent 2 4 10" xfId="28081" xr:uid="{00000000-0005-0000-0000-0000F9A90000}"/>
    <cellStyle name="Percent 2 4 2" xfId="1877" xr:uid="{00000000-0005-0000-0000-0000FAA90000}"/>
    <cellStyle name="Percent 2 4 2 2" xfId="4228" xr:uid="{00000000-0005-0000-0000-0000FBA90000}"/>
    <cellStyle name="Percent 2 4 2 2 2" xfId="14742" xr:uid="{00000000-0005-0000-0000-0000FCA90000}"/>
    <cellStyle name="Percent 2 4 2 2 3" xfId="35535" xr:uid="{00000000-0005-0000-0000-0000FDA90000}"/>
    <cellStyle name="Percent 2 4 2 2 4" xfId="11121" xr:uid="{00000000-0005-0000-0000-0000FEA90000}"/>
    <cellStyle name="Percent 2 4 2 3" xfId="5004" xr:uid="{00000000-0005-0000-0000-0000FFA90000}"/>
    <cellStyle name="Percent 2 4 2 3 2" xfId="35960" xr:uid="{00000000-0005-0000-0000-000000AA0000}"/>
    <cellStyle name="Percent 2 4 2 3 3" xfId="28082" xr:uid="{00000000-0005-0000-0000-000001AA0000}"/>
    <cellStyle name="Percent 2 4 2 4" xfId="28083" xr:uid="{00000000-0005-0000-0000-000002AA0000}"/>
    <cellStyle name="Percent 2 4 2 4 2" xfId="38027" xr:uid="{00000000-0005-0000-0000-000003AA0000}"/>
    <cellStyle name="Percent 2 4 2 5" xfId="28084" xr:uid="{00000000-0005-0000-0000-000004AA0000}"/>
    <cellStyle name="Percent 2 4 2 6" xfId="28085" xr:uid="{00000000-0005-0000-0000-000005AA0000}"/>
    <cellStyle name="Percent 2 4 2 7" xfId="28086" xr:uid="{00000000-0005-0000-0000-000006AA0000}"/>
    <cellStyle name="Percent 2 4 3" xfId="1878" xr:uid="{00000000-0005-0000-0000-000007AA0000}"/>
    <cellStyle name="Percent 2 4 3 2" xfId="4229" xr:uid="{00000000-0005-0000-0000-000008AA0000}"/>
    <cellStyle name="Percent 2 4 3 2 2" xfId="14743" xr:uid="{00000000-0005-0000-0000-000009AA0000}"/>
    <cellStyle name="Percent 2 4 3 2 3" xfId="35536" xr:uid="{00000000-0005-0000-0000-00000AAA0000}"/>
    <cellStyle name="Percent 2 4 3 2 4" xfId="11122" xr:uid="{00000000-0005-0000-0000-00000BAA0000}"/>
    <cellStyle name="Percent 2 4 3 3" xfId="5005" xr:uid="{00000000-0005-0000-0000-00000CAA0000}"/>
    <cellStyle name="Percent 2 4 3 3 2" xfId="35961" xr:uid="{00000000-0005-0000-0000-00000DAA0000}"/>
    <cellStyle name="Percent 2 4 3 3 3" xfId="28087" xr:uid="{00000000-0005-0000-0000-00000EAA0000}"/>
    <cellStyle name="Percent 2 4 3 4" xfId="28088" xr:uid="{00000000-0005-0000-0000-00000FAA0000}"/>
    <cellStyle name="Percent 2 4 3 4 2" xfId="38028" xr:uid="{00000000-0005-0000-0000-000010AA0000}"/>
    <cellStyle name="Percent 2 4 3 5" xfId="28089" xr:uid="{00000000-0005-0000-0000-000011AA0000}"/>
    <cellStyle name="Percent 2 4 3 6" xfId="28090" xr:uid="{00000000-0005-0000-0000-000012AA0000}"/>
    <cellStyle name="Percent 2 4 3 7" xfId="28091" xr:uid="{00000000-0005-0000-0000-000013AA0000}"/>
    <cellStyle name="Percent 2 4 4" xfId="1879" xr:uid="{00000000-0005-0000-0000-000014AA0000}"/>
    <cellStyle name="Percent 2 4 4 2" xfId="4230" xr:uid="{00000000-0005-0000-0000-000015AA0000}"/>
    <cellStyle name="Percent 2 4 4 2 2" xfId="14744" xr:uid="{00000000-0005-0000-0000-000016AA0000}"/>
    <cellStyle name="Percent 2 4 4 2 3" xfId="35537" xr:uid="{00000000-0005-0000-0000-000017AA0000}"/>
    <cellStyle name="Percent 2 4 4 2 4" xfId="11123" xr:uid="{00000000-0005-0000-0000-000018AA0000}"/>
    <cellStyle name="Percent 2 4 4 3" xfId="5006" xr:uid="{00000000-0005-0000-0000-000019AA0000}"/>
    <cellStyle name="Percent 2 4 4 3 2" xfId="35962" xr:uid="{00000000-0005-0000-0000-00001AAA0000}"/>
    <cellStyle name="Percent 2 4 4 3 3" xfId="28092" xr:uid="{00000000-0005-0000-0000-00001BAA0000}"/>
    <cellStyle name="Percent 2 4 4 4" xfId="28093" xr:uid="{00000000-0005-0000-0000-00001CAA0000}"/>
    <cellStyle name="Percent 2 4 4 4 2" xfId="38029" xr:uid="{00000000-0005-0000-0000-00001DAA0000}"/>
    <cellStyle name="Percent 2 4 4 5" xfId="28094" xr:uid="{00000000-0005-0000-0000-00001EAA0000}"/>
    <cellStyle name="Percent 2 4 4 6" xfId="28095" xr:uid="{00000000-0005-0000-0000-00001FAA0000}"/>
    <cellStyle name="Percent 2 4 4 7" xfId="28096" xr:uid="{00000000-0005-0000-0000-000020AA0000}"/>
    <cellStyle name="Percent 2 4 5" xfId="4227" xr:uid="{00000000-0005-0000-0000-000021AA0000}"/>
    <cellStyle name="Percent 2 4 5 2" xfId="14741" xr:uid="{00000000-0005-0000-0000-000022AA0000}"/>
    <cellStyle name="Percent 2 4 5 3" xfId="35534" xr:uid="{00000000-0005-0000-0000-000023AA0000}"/>
    <cellStyle name="Percent 2 4 5 4" xfId="11120" xr:uid="{00000000-0005-0000-0000-000024AA0000}"/>
    <cellStyle name="Percent 2 4 6" xfId="5003" xr:uid="{00000000-0005-0000-0000-000025AA0000}"/>
    <cellStyle name="Percent 2 4 6 2" xfId="35959" xr:uid="{00000000-0005-0000-0000-000026AA0000}"/>
    <cellStyle name="Percent 2 4 6 3" xfId="28097" xr:uid="{00000000-0005-0000-0000-000027AA0000}"/>
    <cellStyle name="Percent 2 4 7" xfId="28098" xr:uid="{00000000-0005-0000-0000-000028AA0000}"/>
    <cellStyle name="Percent 2 4 7 2" xfId="38026" xr:uid="{00000000-0005-0000-0000-000029AA0000}"/>
    <cellStyle name="Percent 2 4 8" xfId="28099" xr:uid="{00000000-0005-0000-0000-00002AAA0000}"/>
    <cellStyle name="Percent 2 4 9" xfId="28100" xr:uid="{00000000-0005-0000-0000-00002BAA0000}"/>
    <cellStyle name="Percent 2 5" xfId="1880" xr:uid="{00000000-0005-0000-0000-00002CAA0000}"/>
    <cellStyle name="Percent 2 5 10" xfId="28101" xr:uid="{00000000-0005-0000-0000-00002DAA0000}"/>
    <cellStyle name="Percent 2 5 2" xfId="1881" xr:uid="{00000000-0005-0000-0000-00002EAA0000}"/>
    <cellStyle name="Percent 2 5 2 2" xfId="4232" xr:uid="{00000000-0005-0000-0000-00002FAA0000}"/>
    <cellStyle name="Percent 2 5 2 2 2" xfId="14746" xr:uid="{00000000-0005-0000-0000-000030AA0000}"/>
    <cellStyle name="Percent 2 5 2 2 3" xfId="35539" xr:uid="{00000000-0005-0000-0000-000031AA0000}"/>
    <cellStyle name="Percent 2 5 2 2 4" xfId="11125" xr:uid="{00000000-0005-0000-0000-000032AA0000}"/>
    <cellStyle name="Percent 2 5 2 3" xfId="5008" xr:uid="{00000000-0005-0000-0000-000033AA0000}"/>
    <cellStyle name="Percent 2 5 2 3 2" xfId="35964" xr:uid="{00000000-0005-0000-0000-000034AA0000}"/>
    <cellStyle name="Percent 2 5 2 3 3" xfId="28102" xr:uid="{00000000-0005-0000-0000-000035AA0000}"/>
    <cellStyle name="Percent 2 5 2 4" xfId="28103" xr:uid="{00000000-0005-0000-0000-000036AA0000}"/>
    <cellStyle name="Percent 2 5 2 4 2" xfId="38031" xr:uid="{00000000-0005-0000-0000-000037AA0000}"/>
    <cellStyle name="Percent 2 5 2 5" xfId="28104" xr:uid="{00000000-0005-0000-0000-000038AA0000}"/>
    <cellStyle name="Percent 2 5 2 6" xfId="28105" xr:uid="{00000000-0005-0000-0000-000039AA0000}"/>
    <cellStyle name="Percent 2 5 2 7" xfId="28106" xr:uid="{00000000-0005-0000-0000-00003AAA0000}"/>
    <cellStyle name="Percent 2 5 3" xfId="1882" xr:uid="{00000000-0005-0000-0000-00003BAA0000}"/>
    <cellStyle name="Percent 2 5 3 2" xfId="4233" xr:uid="{00000000-0005-0000-0000-00003CAA0000}"/>
    <cellStyle name="Percent 2 5 3 2 2" xfId="14747" xr:uid="{00000000-0005-0000-0000-00003DAA0000}"/>
    <cellStyle name="Percent 2 5 3 2 3" xfId="35540" xr:uid="{00000000-0005-0000-0000-00003EAA0000}"/>
    <cellStyle name="Percent 2 5 3 2 4" xfId="11126" xr:uid="{00000000-0005-0000-0000-00003FAA0000}"/>
    <cellStyle name="Percent 2 5 3 3" xfId="5009" xr:uid="{00000000-0005-0000-0000-000040AA0000}"/>
    <cellStyle name="Percent 2 5 3 3 2" xfId="35965" xr:uid="{00000000-0005-0000-0000-000041AA0000}"/>
    <cellStyle name="Percent 2 5 3 3 3" xfId="28107" xr:uid="{00000000-0005-0000-0000-000042AA0000}"/>
    <cellStyle name="Percent 2 5 3 4" xfId="28108" xr:uid="{00000000-0005-0000-0000-000043AA0000}"/>
    <cellStyle name="Percent 2 5 3 4 2" xfId="38032" xr:uid="{00000000-0005-0000-0000-000044AA0000}"/>
    <cellStyle name="Percent 2 5 3 5" xfId="28109" xr:uid="{00000000-0005-0000-0000-000045AA0000}"/>
    <cellStyle name="Percent 2 5 3 6" xfId="28110" xr:uid="{00000000-0005-0000-0000-000046AA0000}"/>
    <cellStyle name="Percent 2 5 3 7" xfId="28111" xr:uid="{00000000-0005-0000-0000-000047AA0000}"/>
    <cellStyle name="Percent 2 5 4" xfId="1883" xr:uid="{00000000-0005-0000-0000-000048AA0000}"/>
    <cellStyle name="Percent 2 5 4 2" xfId="4234" xr:uid="{00000000-0005-0000-0000-000049AA0000}"/>
    <cellStyle name="Percent 2 5 4 2 2" xfId="14748" xr:uid="{00000000-0005-0000-0000-00004AAA0000}"/>
    <cellStyle name="Percent 2 5 4 2 3" xfId="35541" xr:uid="{00000000-0005-0000-0000-00004BAA0000}"/>
    <cellStyle name="Percent 2 5 4 2 4" xfId="11127" xr:uid="{00000000-0005-0000-0000-00004CAA0000}"/>
    <cellStyle name="Percent 2 5 4 3" xfId="5010" xr:uid="{00000000-0005-0000-0000-00004DAA0000}"/>
    <cellStyle name="Percent 2 5 4 3 2" xfId="35966" xr:uid="{00000000-0005-0000-0000-00004EAA0000}"/>
    <cellStyle name="Percent 2 5 4 3 3" xfId="28112" xr:uid="{00000000-0005-0000-0000-00004FAA0000}"/>
    <cellStyle name="Percent 2 5 4 4" xfId="28113" xr:uid="{00000000-0005-0000-0000-000050AA0000}"/>
    <cellStyle name="Percent 2 5 4 4 2" xfId="38033" xr:uid="{00000000-0005-0000-0000-000051AA0000}"/>
    <cellStyle name="Percent 2 5 4 5" xfId="28114" xr:uid="{00000000-0005-0000-0000-000052AA0000}"/>
    <cellStyle name="Percent 2 5 4 6" xfId="28115" xr:uid="{00000000-0005-0000-0000-000053AA0000}"/>
    <cellStyle name="Percent 2 5 4 7" xfId="28116" xr:uid="{00000000-0005-0000-0000-000054AA0000}"/>
    <cellStyle name="Percent 2 5 5" xfId="4231" xr:uid="{00000000-0005-0000-0000-000055AA0000}"/>
    <cellStyle name="Percent 2 5 5 2" xfId="14745" xr:uid="{00000000-0005-0000-0000-000056AA0000}"/>
    <cellStyle name="Percent 2 5 5 3" xfId="35538" xr:uid="{00000000-0005-0000-0000-000057AA0000}"/>
    <cellStyle name="Percent 2 5 5 4" xfId="11124" xr:uid="{00000000-0005-0000-0000-000058AA0000}"/>
    <cellStyle name="Percent 2 5 6" xfId="5007" xr:uid="{00000000-0005-0000-0000-000059AA0000}"/>
    <cellStyle name="Percent 2 5 6 2" xfId="35963" xr:uid="{00000000-0005-0000-0000-00005AAA0000}"/>
    <cellStyle name="Percent 2 5 6 3" xfId="28117" xr:uid="{00000000-0005-0000-0000-00005BAA0000}"/>
    <cellStyle name="Percent 2 5 7" xfId="28118" xr:uid="{00000000-0005-0000-0000-00005CAA0000}"/>
    <cellStyle name="Percent 2 5 7 2" xfId="38030" xr:uid="{00000000-0005-0000-0000-00005DAA0000}"/>
    <cellStyle name="Percent 2 5 8" xfId="28119" xr:uid="{00000000-0005-0000-0000-00005EAA0000}"/>
    <cellStyle name="Percent 2 5 9" xfId="28120" xr:uid="{00000000-0005-0000-0000-00005FAA0000}"/>
    <cellStyle name="Percent 2 6" xfId="1884" xr:uid="{00000000-0005-0000-0000-000060AA0000}"/>
    <cellStyle name="Percent 2 6 10" xfId="28121" xr:uid="{00000000-0005-0000-0000-000061AA0000}"/>
    <cellStyle name="Percent 2 6 2" xfId="1885" xr:uid="{00000000-0005-0000-0000-000062AA0000}"/>
    <cellStyle name="Percent 2 6 2 2" xfId="4236" xr:uid="{00000000-0005-0000-0000-000063AA0000}"/>
    <cellStyle name="Percent 2 6 2 2 2" xfId="14750" xr:uid="{00000000-0005-0000-0000-000064AA0000}"/>
    <cellStyle name="Percent 2 6 2 2 3" xfId="35543" xr:uid="{00000000-0005-0000-0000-000065AA0000}"/>
    <cellStyle name="Percent 2 6 2 2 4" xfId="11129" xr:uid="{00000000-0005-0000-0000-000066AA0000}"/>
    <cellStyle name="Percent 2 6 2 3" xfId="5012" xr:uid="{00000000-0005-0000-0000-000067AA0000}"/>
    <cellStyle name="Percent 2 6 2 3 2" xfId="35968" xr:uid="{00000000-0005-0000-0000-000068AA0000}"/>
    <cellStyle name="Percent 2 6 2 3 3" xfId="28122" xr:uid="{00000000-0005-0000-0000-000069AA0000}"/>
    <cellStyle name="Percent 2 6 2 4" xfId="28123" xr:uid="{00000000-0005-0000-0000-00006AAA0000}"/>
    <cellStyle name="Percent 2 6 2 4 2" xfId="38035" xr:uid="{00000000-0005-0000-0000-00006BAA0000}"/>
    <cellStyle name="Percent 2 6 2 5" xfId="28124" xr:uid="{00000000-0005-0000-0000-00006CAA0000}"/>
    <cellStyle name="Percent 2 6 2 6" xfId="28125" xr:uid="{00000000-0005-0000-0000-00006DAA0000}"/>
    <cellStyle name="Percent 2 6 2 7" xfId="28126" xr:uid="{00000000-0005-0000-0000-00006EAA0000}"/>
    <cellStyle name="Percent 2 6 3" xfId="1886" xr:uid="{00000000-0005-0000-0000-00006FAA0000}"/>
    <cellStyle name="Percent 2 6 3 2" xfId="4237" xr:uid="{00000000-0005-0000-0000-000070AA0000}"/>
    <cellStyle name="Percent 2 6 3 2 2" xfId="14751" xr:uid="{00000000-0005-0000-0000-000071AA0000}"/>
    <cellStyle name="Percent 2 6 3 2 3" xfId="35544" xr:uid="{00000000-0005-0000-0000-000072AA0000}"/>
    <cellStyle name="Percent 2 6 3 2 4" xfId="11130" xr:uid="{00000000-0005-0000-0000-000073AA0000}"/>
    <cellStyle name="Percent 2 6 3 3" xfId="5013" xr:uid="{00000000-0005-0000-0000-000074AA0000}"/>
    <cellStyle name="Percent 2 6 3 3 2" xfId="35969" xr:uid="{00000000-0005-0000-0000-000075AA0000}"/>
    <cellStyle name="Percent 2 6 3 3 3" xfId="28127" xr:uid="{00000000-0005-0000-0000-000076AA0000}"/>
    <cellStyle name="Percent 2 6 3 4" xfId="28128" xr:uid="{00000000-0005-0000-0000-000077AA0000}"/>
    <cellStyle name="Percent 2 6 3 4 2" xfId="38036" xr:uid="{00000000-0005-0000-0000-000078AA0000}"/>
    <cellStyle name="Percent 2 6 3 5" xfId="28129" xr:uid="{00000000-0005-0000-0000-000079AA0000}"/>
    <cellStyle name="Percent 2 6 3 6" xfId="28130" xr:uid="{00000000-0005-0000-0000-00007AAA0000}"/>
    <cellStyle name="Percent 2 6 3 7" xfId="28131" xr:uid="{00000000-0005-0000-0000-00007BAA0000}"/>
    <cellStyle name="Percent 2 6 4" xfId="1887" xr:uid="{00000000-0005-0000-0000-00007CAA0000}"/>
    <cellStyle name="Percent 2 6 4 2" xfId="4238" xr:uid="{00000000-0005-0000-0000-00007DAA0000}"/>
    <cellStyle name="Percent 2 6 4 2 2" xfId="14752" xr:uid="{00000000-0005-0000-0000-00007EAA0000}"/>
    <cellStyle name="Percent 2 6 4 2 3" xfId="35545" xr:uid="{00000000-0005-0000-0000-00007FAA0000}"/>
    <cellStyle name="Percent 2 6 4 2 4" xfId="11131" xr:uid="{00000000-0005-0000-0000-000080AA0000}"/>
    <cellStyle name="Percent 2 6 4 3" xfId="5014" xr:uid="{00000000-0005-0000-0000-000081AA0000}"/>
    <cellStyle name="Percent 2 6 4 3 2" xfId="35970" xr:uid="{00000000-0005-0000-0000-000082AA0000}"/>
    <cellStyle name="Percent 2 6 4 3 3" xfId="28132" xr:uid="{00000000-0005-0000-0000-000083AA0000}"/>
    <cellStyle name="Percent 2 6 4 4" xfId="28133" xr:uid="{00000000-0005-0000-0000-000084AA0000}"/>
    <cellStyle name="Percent 2 6 4 4 2" xfId="38037" xr:uid="{00000000-0005-0000-0000-000085AA0000}"/>
    <cellStyle name="Percent 2 6 4 5" xfId="28134" xr:uid="{00000000-0005-0000-0000-000086AA0000}"/>
    <cellStyle name="Percent 2 6 4 6" xfId="28135" xr:uid="{00000000-0005-0000-0000-000087AA0000}"/>
    <cellStyle name="Percent 2 6 4 7" xfId="28136" xr:uid="{00000000-0005-0000-0000-000088AA0000}"/>
    <cellStyle name="Percent 2 6 5" xfId="4235" xr:uid="{00000000-0005-0000-0000-000089AA0000}"/>
    <cellStyle name="Percent 2 6 5 2" xfId="14749" xr:uid="{00000000-0005-0000-0000-00008AAA0000}"/>
    <cellStyle name="Percent 2 6 5 3" xfId="35542" xr:uid="{00000000-0005-0000-0000-00008BAA0000}"/>
    <cellStyle name="Percent 2 6 5 4" xfId="11128" xr:uid="{00000000-0005-0000-0000-00008CAA0000}"/>
    <cellStyle name="Percent 2 6 6" xfId="5011" xr:uid="{00000000-0005-0000-0000-00008DAA0000}"/>
    <cellStyle name="Percent 2 6 6 2" xfId="35967" xr:uid="{00000000-0005-0000-0000-00008EAA0000}"/>
    <cellStyle name="Percent 2 6 6 3" xfId="28137" xr:uid="{00000000-0005-0000-0000-00008FAA0000}"/>
    <cellStyle name="Percent 2 6 7" xfId="28138" xr:uid="{00000000-0005-0000-0000-000090AA0000}"/>
    <cellStyle name="Percent 2 6 7 2" xfId="38034" xr:uid="{00000000-0005-0000-0000-000091AA0000}"/>
    <cellStyle name="Percent 2 6 8" xfId="28139" xr:uid="{00000000-0005-0000-0000-000092AA0000}"/>
    <cellStyle name="Percent 2 6 9" xfId="28140" xr:uid="{00000000-0005-0000-0000-000093AA0000}"/>
    <cellStyle name="Percent 2 7" xfId="1888" xr:uid="{00000000-0005-0000-0000-000094AA0000}"/>
    <cellStyle name="Percent 2 7 10" xfId="28141" xr:uid="{00000000-0005-0000-0000-000095AA0000}"/>
    <cellStyle name="Percent 2 7 2" xfId="1889" xr:uid="{00000000-0005-0000-0000-000096AA0000}"/>
    <cellStyle name="Percent 2 7 2 2" xfId="4240" xr:uid="{00000000-0005-0000-0000-000097AA0000}"/>
    <cellStyle name="Percent 2 7 2 2 2" xfId="14754" xr:uid="{00000000-0005-0000-0000-000098AA0000}"/>
    <cellStyle name="Percent 2 7 2 2 3" xfId="35547" xr:uid="{00000000-0005-0000-0000-000099AA0000}"/>
    <cellStyle name="Percent 2 7 2 2 4" xfId="11133" xr:uid="{00000000-0005-0000-0000-00009AAA0000}"/>
    <cellStyle name="Percent 2 7 2 3" xfId="5016" xr:uid="{00000000-0005-0000-0000-00009BAA0000}"/>
    <cellStyle name="Percent 2 7 2 3 2" xfId="35972" xr:uid="{00000000-0005-0000-0000-00009CAA0000}"/>
    <cellStyle name="Percent 2 7 2 3 3" xfId="28142" xr:uid="{00000000-0005-0000-0000-00009DAA0000}"/>
    <cellStyle name="Percent 2 7 2 4" xfId="28143" xr:uid="{00000000-0005-0000-0000-00009EAA0000}"/>
    <cellStyle name="Percent 2 7 2 4 2" xfId="38039" xr:uid="{00000000-0005-0000-0000-00009FAA0000}"/>
    <cellStyle name="Percent 2 7 2 5" xfId="28144" xr:uid="{00000000-0005-0000-0000-0000A0AA0000}"/>
    <cellStyle name="Percent 2 7 2 6" xfId="28145" xr:uid="{00000000-0005-0000-0000-0000A1AA0000}"/>
    <cellStyle name="Percent 2 7 2 7" xfId="28146" xr:uid="{00000000-0005-0000-0000-0000A2AA0000}"/>
    <cellStyle name="Percent 2 7 3" xfId="1890" xr:uid="{00000000-0005-0000-0000-0000A3AA0000}"/>
    <cellStyle name="Percent 2 7 3 2" xfId="4241" xr:uid="{00000000-0005-0000-0000-0000A4AA0000}"/>
    <cellStyle name="Percent 2 7 3 2 2" xfId="14755" xr:uid="{00000000-0005-0000-0000-0000A5AA0000}"/>
    <cellStyle name="Percent 2 7 3 2 3" xfId="35548" xr:uid="{00000000-0005-0000-0000-0000A6AA0000}"/>
    <cellStyle name="Percent 2 7 3 2 4" xfId="11134" xr:uid="{00000000-0005-0000-0000-0000A7AA0000}"/>
    <cellStyle name="Percent 2 7 3 3" xfId="5017" xr:uid="{00000000-0005-0000-0000-0000A8AA0000}"/>
    <cellStyle name="Percent 2 7 3 3 2" xfId="35973" xr:uid="{00000000-0005-0000-0000-0000A9AA0000}"/>
    <cellStyle name="Percent 2 7 3 3 3" xfId="28147" xr:uid="{00000000-0005-0000-0000-0000AAAA0000}"/>
    <cellStyle name="Percent 2 7 3 4" xfId="28148" xr:uid="{00000000-0005-0000-0000-0000ABAA0000}"/>
    <cellStyle name="Percent 2 7 3 4 2" xfId="38040" xr:uid="{00000000-0005-0000-0000-0000ACAA0000}"/>
    <cellStyle name="Percent 2 7 3 5" xfId="28149" xr:uid="{00000000-0005-0000-0000-0000ADAA0000}"/>
    <cellStyle name="Percent 2 7 3 6" xfId="28150" xr:uid="{00000000-0005-0000-0000-0000AEAA0000}"/>
    <cellStyle name="Percent 2 7 3 7" xfId="28151" xr:uid="{00000000-0005-0000-0000-0000AFAA0000}"/>
    <cellStyle name="Percent 2 7 4" xfId="1891" xr:uid="{00000000-0005-0000-0000-0000B0AA0000}"/>
    <cellStyle name="Percent 2 7 4 2" xfId="4242" xr:uid="{00000000-0005-0000-0000-0000B1AA0000}"/>
    <cellStyle name="Percent 2 7 4 2 2" xfId="14756" xr:uid="{00000000-0005-0000-0000-0000B2AA0000}"/>
    <cellStyle name="Percent 2 7 4 2 3" xfId="35549" xr:uid="{00000000-0005-0000-0000-0000B3AA0000}"/>
    <cellStyle name="Percent 2 7 4 2 4" xfId="11135" xr:uid="{00000000-0005-0000-0000-0000B4AA0000}"/>
    <cellStyle name="Percent 2 7 4 3" xfId="5018" xr:uid="{00000000-0005-0000-0000-0000B5AA0000}"/>
    <cellStyle name="Percent 2 7 4 3 2" xfId="35974" xr:uid="{00000000-0005-0000-0000-0000B6AA0000}"/>
    <cellStyle name="Percent 2 7 4 3 3" xfId="28152" xr:uid="{00000000-0005-0000-0000-0000B7AA0000}"/>
    <cellStyle name="Percent 2 7 4 4" xfId="28153" xr:uid="{00000000-0005-0000-0000-0000B8AA0000}"/>
    <cellStyle name="Percent 2 7 4 4 2" xfId="38041" xr:uid="{00000000-0005-0000-0000-0000B9AA0000}"/>
    <cellStyle name="Percent 2 7 4 5" xfId="28154" xr:uid="{00000000-0005-0000-0000-0000BAAA0000}"/>
    <cellStyle name="Percent 2 7 4 6" xfId="28155" xr:uid="{00000000-0005-0000-0000-0000BBAA0000}"/>
    <cellStyle name="Percent 2 7 4 7" xfId="28156" xr:uid="{00000000-0005-0000-0000-0000BCAA0000}"/>
    <cellStyle name="Percent 2 7 5" xfId="4239" xr:uid="{00000000-0005-0000-0000-0000BDAA0000}"/>
    <cellStyle name="Percent 2 7 5 2" xfId="14753" xr:uid="{00000000-0005-0000-0000-0000BEAA0000}"/>
    <cellStyle name="Percent 2 7 5 3" xfId="35546" xr:uid="{00000000-0005-0000-0000-0000BFAA0000}"/>
    <cellStyle name="Percent 2 7 5 4" xfId="11132" xr:uid="{00000000-0005-0000-0000-0000C0AA0000}"/>
    <cellStyle name="Percent 2 7 6" xfId="5015" xr:uid="{00000000-0005-0000-0000-0000C1AA0000}"/>
    <cellStyle name="Percent 2 7 6 2" xfId="35971" xr:uid="{00000000-0005-0000-0000-0000C2AA0000}"/>
    <cellStyle name="Percent 2 7 6 3" xfId="28157" xr:uid="{00000000-0005-0000-0000-0000C3AA0000}"/>
    <cellStyle name="Percent 2 7 7" xfId="28158" xr:uid="{00000000-0005-0000-0000-0000C4AA0000}"/>
    <cellStyle name="Percent 2 7 7 2" xfId="38038" xr:uid="{00000000-0005-0000-0000-0000C5AA0000}"/>
    <cellStyle name="Percent 2 7 8" xfId="28159" xr:uid="{00000000-0005-0000-0000-0000C6AA0000}"/>
    <cellStyle name="Percent 2 7 9" xfId="28160" xr:uid="{00000000-0005-0000-0000-0000C7AA0000}"/>
    <cellStyle name="Percent 2 8" xfId="1892" xr:uid="{00000000-0005-0000-0000-0000C8AA0000}"/>
    <cellStyle name="Percent 2 8 2" xfId="11136" xr:uid="{00000000-0005-0000-0000-0000C9AA0000}"/>
    <cellStyle name="Percent 2 8 2 2" xfId="14757" xr:uid="{00000000-0005-0000-0000-0000CAAA0000}"/>
    <cellStyle name="Percent 2 8 3" xfId="28161" xr:uid="{00000000-0005-0000-0000-0000CBAA0000}"/>
    <cellStyle name="Percent 2 8 4" xfId="28162" xr:uid="{00000000-0005-0000-0000-0000CCAA0000}"/>
    <cellStyle name="Percent 2 8 5" xfId="28163" xr:uid="{00000000-0005-0000-0000-0000CDAA0000}"/>
    <cellStyle name="Percent 2 8 6" xfId="28164" xr:uid="{00000000-0005-0000-0000-0000CEAA0000}"/>
    <cellStyle name="Percent 2 8 7" xfId="28165" xr:uid="{00000000-0005-0000-0000-0000CFAA0000}"/>
    <cellStyle name="Percent 2 9" xfId="1893" xr:uid="{00000000-0005-0000-0000-0000D0AA0000}"/>
    <cellStyle name="Percent 2 9 2" xfId="11137" xr:uid="{00000000-0005-0000-0000-0000D1AA0000}"/>
    <cellStyle name="Percent 2 9 2 2" xfId="14758" xr:uid="{00000000-0005-0000-0000-0000D2AA0000}"/>
    <cellStyle name="Percent 2 9 3" xfId="28166" xr:uid="{00000000-0005-0000-0000-0000D3AA0000}"/>
    <cellStyle name="Percent 2 9 4" xfId="28167" xr:uid="{00000000-0005-0000-0000-0000D4AA0000}"/>
    <cellStyle name="Percent 2 9 5" xfId="28168" xr:uid="{00000000-0005-0000-0000-0000D5AA0000}"/>
    <cellStyle name="Percent 2 9 6" xfId="28169" xr:uid="{00000000-0005-0000-0000-0000D6AA0000}"/>
    <cellStyle name="Percent 2 9 7" xfId="28170" xr:uid="{00000000-0005-0000-0000-0000D7AA0000}"/>
    <cellStyle name="Percent 20" xfId="4243" xr:uid="{00000000-0005-0000-0000-0000D8AA0000}"/>
    <cellStyle name="Percent 20 2" xfId="5616" xr:uid="{00000000-0005-0000-0000-0000D9AA0000}"/>
    <cellStyle name="Percent 20 2 2" xfId="11139" xr:uid="{00000000-0005-0000-0000-0000DAAA0000}"/>
    <cellStyle name="Percent 20 2 2 2" xfId="14760" xr:uid="{00000000-0005-0000-0000-0000DBAA0000}"/>
    <cellStyle name="Percent 20 2 3" xfId="28171" xr:uid="{00000000-0005-0000-0000-0000DCAA0000}"/>
    <cellStyle name="Percent 20 2 4" xfId="28172" xr:uid="{00000000-0005-0000-0000-0000DDAA0000}"/>
    <cellStyle name="Percent 20 2 5" xfId="28173" xr:uid="{00000000-0005-0000-0000-0000DEAA0000}"/>
    <cellStyle name="Percent 20 2 6" xfId="28174" xr:uid="{00000000-0005-0000-0000-0000DFAA0000}"/>
    <cellStyle name="Percent 20 3" xfId="11138" xr:uid="{00000000-0005-0000-0000-0000E0AA0000}"/>
    <cellStyle name="Percent 20 3 2" xfId="14759" xr:uid="{00000000-0005-0000-0000-0000E1AA0000}"/>
    <cellStyle name="Percent 20 3 3" xfId="38606" xr:uid="{00000000-0005-0000-0000-0000E2AA0000}"/>
    <cellStyle name="Percent 20 4" xfId="28175" xr:uid="{00000000-0005-0000-0000-0000E3AA0000}"/>
    <cellStyle name="Percent 20 5" xfId="28176" xr:uid="{00000000-0005-0000-0000-0000E4AA0000}"/>
    <cellStyle name="Percent 20 6" xfId="28177" xr:uid="{00000000-0005-0000-0000-0000E5AA0000}"/>
    <cellStyle name="Percent 20 7" xfId="28178" xr:uid="{00000000-0005-0000-0000-0000E6AA0000}"/>
    <cellStyle name="Percent 21" xfId="4244" xr:uid="{00000000-0005-0000-0000-0000E7AA0000}"/>
    <cellStyle name="Percent 21 2" xfId="5617" xr:uid="{00000000-0005-0000-0000-0000E8AA0000}"/>
    <cellStyle name="Percent 21 2 2" xfId="11141" xr:uid="{00000000-0005-0000-0000-0000E9AA0000}"/>
    <cellStyle name="Percent 21 2 2 2" xfId="14762" xr:uid="{00000000-0005-0000-0000-0000EAAA0000}"/>
    <cellStyle name="Percent 21 2 3" xfId="28179" xr:uid="{00000000-0005-0000-0000-0000EBAA0000}"/>
    <cellStyle name="Percent 21 2 4" xfId="28180" xr:uid="{00000000-0005-0000-0000-0000ECAA0000}"/>
    <cellStyle name="Percent 21 2 5" xfId="28181" xr:uid="{00000000-0005-0000-0000-0000EDAA0000}"/>
    <cellStyle name="Percent 21 2 6" xfId="28182" xr:uid="{00000000-0005-0000-0000-0000EEAA0000}"/>
    <cellStyle name="Percent 21 3" xfId="11140" xr:uid="{00000000-0005-0000-0000-0000EFAA0000}"/>
    <cellStyle name="Percent 21 3 2" xfId="14761" xr:uid="{00000000-0005-0000-0000-0000F0AA0000}"/>
    <cellStyle name="Percent 21 3 3" xfId="38607" xr:uid="{00000000-0005-0000-0000-0000F1AA0000}"/>
    <cellStyle name="Percent 21 4" xfId="28183" xr:uid="{00000000-0005-0000-0000-0000F2AA0000}"/>
    <cellStyle name="Percent 21 5" xfId="28184" xr:uid="{00000000-0005-0000-0000-0000F3AA0000}"/>
    <cellStyle name="Percent 21 6" xfId="28185" xr:uid="{00000000-0005-0000-0000-0000F4AA0000}"/>
    <cellStyle name="Percent 21 7" xfId="28186" xr:uid="{00000000-0005-0000-0000-0000F5AA0000}"/>
    <cellStyle name="Percent 22" xfId="4245" xr:uid="{00000000-0005-0000-0000-0000F6AA0000}"/>
    <cellStyle name="Percent 22 2" xfId="5618" xr:uid="{00000000-0005-0000-0000-0000F7AA0000}"/>
    <cellStyle name="Percent 22 2 2" xfId="11143" xr:uid="{00000000-0005-0000-0000-0000F8AA0000}"/>
    <cellStyle name="Percent 22 2 2 2" xfId="14764" xr:uid="{00000000-0005-0000-0000-0000F9AA0000}"/>
    <cellStyle name="Percent 22 2 3" xfId="28187" xr:uid="{00000000-0005-0000-0000-0000FAAA0000}"/>
    <cellStyle name="Percent 22 2 4" xfId="28188" xr:uid="{00000000-0005-0000-0000-0000FBAA0000}"/>
    <cellStyle name="Percent 22 2 5" xfId="28189" xr:uid="{00000000-0005-0000-0000-0000FCAA0000}"/>
    <cellStyle name="Percent 22 2 6" xfId="28190" xr:uid="{00000000-0005-0000-0000-0000FDAA0000}"/>
    <cellStyle name="Percent 22 3" xfId="11142" xr:uid="{00000000-0005-0000-0000-0000FEAA0000}"/>
    <cellStyle name="Percent 22 3 2" xfId="14763" xr:uid="{00000000-0005-0000-0000-0000FFAA0000}"/>
    <cellStyle name="Percent 22 3 3" xfId="38608" xr:uid="{00000000-0005-0000-0000-000000AB0000}"/>
    <cellStyle name="Percent 22 4" xfId="28191" xr:uid="{00000000-0005-0000-0000-000001AB0000}"/>
    <cellStyle name="Percent 22 5" xfId="28192" xr:uid="{00000000-0005-0000-0000-000002AB0000}"/>
    <cellStyle name="Percent 22 6" xfId="28193" xr:uid="{00000000-0005-0000-0000-000003AB0000}"/>
    <cellStyle name="Percent 22 7" xfId="28194" xr:uid="{00000000-0005-0000-0000-000004AB0000}"/>
    <cellStyle name="Percent 23" xfId="4246" xr:uid="{00000000-0005-0000-0000-000005AB0000}"/>
    <cellStyle name="Percent 23 2" xfId="5619" xr:uid="{00000000-0005-0000-0000-000006AB0000}"/>
    <cellStyle name="Percent 23 2 2" xfId="11145" xr:uid="{00000000-0005-0000-0000-000007AB0000}"/>
    <cellStyle name="Percent 23 2 2 2" xfId="14766" xr:uid="{00000000-0005-0000-0000-000008AB0000}"/>
    <cellStyle name="Percent 23 2 3" xfId="28195" xr:uid="{00000000-0005-0000-0000-000009AB0000}"/>
    <cellStyle name="Percent 23 2 4" xfId="28196" xr:uid="{00000000-0005-0000-0000-00000AAB0000}"/>
    <cellStyle name="Percent 23 2 5" xfId="28197" xr:uid="{00000000-0005-0000-0000-00000BAB0000}"/>
    <cellStyle name="Percent 23 2 6" xfId="28198" xr:uid="{00000000-0005-0000-0000-00000CAB0000}"/>
    <cellStyle name="Percent 23 3" xfId="11144" xr:uid="{00000000-0005-0000-0000-00000DAB0000}"/>
    <cellStyle name="Percent 23 3 2" xfId="14765" xr:uid="{00000000-0005-0000-0000-00000EAB0000}"/>
    <cellStyle name="Percent 23 3 3" xfId="38609" xr:uid="{00000000-0005-0000-0000-00000FAB0000}"/>
    <cellStyle name="Percent 23 4" xfId="28199" xr:uid="{00000000-0005-0000-0000-000010AB0000}"/>
    <cellStyle name="Percent 23 5" xfId="28200" xr:uid="{00000000-0005-0000-0000-000011AB0000}"/>
    <cellStyle name="Percent 23 6" xfId="28201" xr:uid="{00000000-0005-0000-0000-000012AB0000}"/>
    <cellStyle name="Percent 23 7" xfId="28202" xr:uid="{00000000-0005-0000-0000-000013AB0000}"/>
    <cellStyle name="Percent 24" xfId="4247" xr:uid="{00000000-0005-0000-0000-000014AB0000}"/>
    <cellStyle name="Percent 24 2" xfId="5620" xr:uid="{00000000-0005-0000-0000-000015AB0000}"/>
    <cellStyle name="Percent 24 2 2" xfId="11147" xr:uid="{00000000-0005-0000-0000-000016AB0000}"/>
    <cellStyle name="Percent 24 2 2 2" xfId="14768" xr:uid="{00000000-0005-0000-0000-000017AB0000}"/>
    <cellStyle name="Percent 24 2 3" xfId="28203" xr:uid="{00000000-0005-0000-0000-000018AB0000}"/>
    <cellStyle name="Percent 24 2 4" xfId="28204" xr:uid="{00000000-0005-0000-0000-000019AB0000}"/>
    <cellStyle name="Percent 24 2 5" xfId="28205" xr:uid="{00000000-0005-0000-0000-00001AAB0000}"/>
    <cellStyle name="Percent 24 2 6" xfId="28206" xr:uid="{00000000-0005-0000-0000-00001BAB0000}"/>
    <cellStyle name="Percent 24 3" xfId="11146" xr:uid="{00000000-0005-0000-0000-00001CAB0000}"/>
    <cellStyle name="Percent 24 3 2" xfId="14767" xr:uid="{00000000-0005-0000-0000-00001DAB0000}"/>
    <cellStyle name="Percent 24 3 3" xfId="38610" xr:uid="{00000000-0005-0000-0000-00001EAB0000}"/>
    <cellStyle name="Percent 24 4" xfId="28207" xr:uid="{00000000-0005-0000-0000-00001FAB0000}"/>
    <cellStyle name="Percent 24 5" xfId="28208" xr:uid="{00000000-0005-0000-0000-000020AB0000}"/>
    <cellStyle name="Percent 24 6" xfId="28209" xr:uid="{00000000-0005-0000-0000-000021AB0000}"/>
    <cellStyle name="Percent 24 7" xfId="28210" xr:uid="{00000000-0005-0000-0000-000022AB0000}"/>
    <cellStyle name="Percent 25" xfId="4248" xr:uid="{00000000-0005-0000-0000-000023AB0000}"/>
    <cellStyle name="Percent 25 2" xfId="5621" xr:uid="{00000000-0005-0000-0000-000024AB0000}"/>
    <cellStyle name="Percent 25 2 2" xfId="11149" xr:uid="{00000000-0005-0000-0000-000025AB0000}"/>
    <cellStyle name="Percent 25 2 2 2" xfId="14770" xr:uid="{00000000-0005-0000-0000-000026AB0000}"/>
    <cellStyle name="Percent 25 2 3" xfId="28211" xr:uid="{00000000-0005-0000-0000-000027AB0000}"/>
    <cellStyle name="Percent 25 2 4" xfId="28212" xr:uid="{00000000-0005-0000-0000-000028AB0000}"/>
    <cellStyle name="Percent 25 2 5" xfId="28213" xr:uid="{00000000-0005-0000-0000-000029AB0000}"/>
    <cellStyle name="Percent 25 2 6" xfId="28214" xr:uid="{00000000-0005-0000-0000-00002AAB0000}"/>
    <cellStyle name="Percent 25 3" xfId="11148" xr:uid="{00000000-0005-0000-0000-00002BAB0000}"/>
    <cellStyle name="Percent 25 3 2" xfId="14769" xr:uid="{00000000-0005-0000-0000-00002CAB0000}"/>
    <cellStyle name="Percent 25 3 3" xfId="38611" xr:uid="{00000000-0005-0000-0000-00002DAB0000}"/>
    <cellStyle name="Percent 25 4" xfId="28215" xr:uid="{00000000-0005-0000-0000-00002EAB0000}"/>
    <cellStyle name="Percent 25 5" xfId="28216" xr:uid="{00000000-0005-0000-0000-00002FAB0000}"/>
    <cellStyle name="Percent 25 6" xfId="28217" xr:uid="{00000000-0005-0000-0000-000030AB0000}"/>
    <cellStyle name="Percent 25 7" xfId="28218" xr:uid="{00000000-0005-0000-0000-000031AB0000}"/>
    <cellStyle name="Percent 26" xfId="4249" xr:uid="{00000000-0005-0000-0000-000032AB0000}"/>
    <cellStyle name="Percent 26 2" xfId="5622" xr:uid="{00000000-0005-0000-0000-000033AB0000}"/>
    <cellStyle name="Percent 26 2 2" xfId="11151" xr:uid="{00000000-0005-0000-0000-000034AB0000}"/>
    <cellStyle name="Percent 26 2 2 2" xfId="14772" xr:uid="{00000000-0005-0000-0000-000035AB0000}"/>
    <cellStyle name="Percent 26 2 3" xfId="28219" xr:uid="{00000000-0005-0000-0000-000036AB0000}"/>
    <cellStyle name="Percent 26 2 4" xfId="28220" xr:uid="{00000000-0005-0000-0000-000037AB0000}"/>
    <cellStyle name="Percent 26 2 5" xfId="28221" xr:uid="{00000000-0005-0000-0000-000038AB0000}"/>
    <cellStyle name="Percent 26 2 6" xfId="28222" xr:uid="{00000000-0005-0000-0000-000039AB0000}"/>
    <cellStyle name="Percent 26 3" xfId="11150" xr:uid="{00000000-0005-0000-0000-00003AAB0000}"/>
    <cellStyle name="Percent 26 3 2" xfId="14771" xr:uid="{00000000-0005-0000-0000-00003BAB0000}"/>
    <cellStyle name="Percent 26 3 3" xfId="38612" xr:uid="{00000000-0005-0000-0000-00003CAB0000}"/>
    <cellStyle name="Percent 26 4" xfId="28223" xr:uid="{00000000-0005-0000-0000-00003DAB0000}"/>
    <cellStyle name="Percent 26 5" xfId="28224" xr:uid="{00000000-0005-0000-0000-00003EAB0000}"/>
    <cellStyle name="Percent 26 6" xfId="28225" xr:uid="{00000000-0005-0000-0000-00003FAB0000}"/>
    <cellStyle name="Percent 26 7" xfId="28226" xr:uid="{00000000-0005-0000-0000-000040AB0000}"/>
    <cellStyle name="Percent 27" xfId="4250" xr:uid="{00000000-0005-0000-0000-000041AB0000}"/>
    <cellStyle name="Percent 27 2" xfId="5623" xr:uid="{00000000-0005-0000-0000-000042AB0000}"/>
    <cellStyle name="Percent 27 2 2" xfId="11153" xr:uid="{00000000-0005-0000-0000-000043AB0000}"/>
    <cellStyle name="Percent 27 2 2 2" xfId="14774" xr:uid="{00000000-0005-0000-0000-000044AB0000}"/>
    <cellStyle name="Percent 27 2 3" xfId="28227" xr:uid="{00000000-0005-0000-0000-000045AB0000}"/>
    <cellStyle name="Percent 27 2 4" xfId="28228" xr:uid="{00000000-0005-0000-0000-000046AB0000}"/>
    <cellStyle name="Percent 27 2 5" xfId="28229" xr:uid="{00000000-0005-0000-0000-000047AB0000}"/>
    <cellStyle name="Percent 27 2 6" xfId="28230" xr:uid="{00000000-0005-0000-0000-000048AB0000}"/>
    <cellStyle name="Percent 27 3" xfId="11152" xr:uid="{00000000-0005-0000-0000-000049AB0000}"/>
    <cellStyle name="Percent 27 3 2" xfId="14773" xr:uid="{00000000-0005-0000-0000-00004AAB0000}"/>
    <cellStyle name="Percent 27 3 3" xfId="38613" xr:uid="{00000000-0005-0000-0000-00004BAB0000}"/>
    <cellStyle name="Percent 27 4" xfId="28231" xr:uid="{00000000-0005-0000-0000-00004CAB0000}"/>
    <cellStyle name="Percent 27 5" xfId="28232" xr:uid="{00000000-0005-0000-0000-00004DAB0000}"/>
    <cellStyle name="Percent 27 6" xfId="28233" xr:uid="{00000000-0005-0000-0000-00004EAB0000}"/>
    <cellStyle name="Percent 27 7" xfId="28234" xr:uid="{00000000-0005-0000-0000-00004FAB0000}"/>
    <cellStyle name="Percent 28" xfId="4251" xr:uid="{00000000-0005-0000-0000-000050AB0000}"/>
    <cellStyle name="Percent 28 2" xfId="5624" xr:uid="{00000000-0005-0000-0000-000051AB0000}"/>
    <cellStyle name="Percent 28 2 2" xfId="11155" xr:uid="{00000000-0005-0000-0000-000052AB0000}"/>
    <cellStyle name="Percent 28 2 2 2" xfId="14776" xr:uid="{00000000-0005-0000-0000-000053AB0000}"/>
    <cellStyle name="Percent 28 2 3" xfId="28235" xr:uid="{00000000-0005-0000-0000-000054AB0000}"/>
    <cellStyle name="Percent 28 2 4" xfId="28236" xr:uid="{00000000-0005-0000-0000-000055AB0000}"/>
    <cellStyle name="Percent 28 2 5" xfId="28237" xr:uid="{00000000-0005-0000-0000-000056AB0000}"/>
    <cellStyle name="Percent 28 2 6" xfId="28238" xr:uid="{00000000-0005-0000-0000-000057AB0000}"/>
    <cellStyle name="Percent 28 3" xfId="11154" xr:uid="{00000000-0005-0000-0000-000058AB0000}"/>
    <cellStyle name="Percent 28 3 2" xfId="14775" xr:uid="{00000000-0005-0000-0000-000059AB0000}"/>
    <cellStyle name="Percent 28 3 3" xfId="38614" xr:uid="{00000000-0005-0000-0000-00005AAB0000}"/>
    <cellStyle name="Percent 28 4" xfId="28239" xr:uid="{00000000-0005-0000-0000-00005BAB0000}"/>
    <cellStyle name="Percent 28 5" xfId="28240" xr:uid="{00000000-0005-0000-0000-00005CAB0000}"/>
    <cellStyle name="Percent 28 6" xfId="28241" xr:uid="{00000000-0005-0000-0000-00005DAB0000}"/>
    <cellStyle name="Percent 28 7" xfId="28242" xr:uid="{00000000-0005-0000-0000-00005EAB0000}"/>
    <cellStyle name="Percent 29" xfId="4252" xr:uid="{00000000-0005-0000-0000-00005FAB0000}"/>
    <cellStyle name="Percent 29 2" xfId="5625" xr:uid="{00000000-0005-0000-0000-000060AB0000}"/>
    <cellStyle name="Percent 29 2 2" xfId="11157" xr:uid="{00000000-0005-0000-0000-000061AB0000}"/>
    <cellStyle name="Percent 29 2 2 2" xfId="14778" xr:uid="{00000000-0005-0000-0000-000062AB0000}"/>
    <cellStyle name="Percent 29 2 3" xfId="28243" xr:uid="{00000000-0005-0000-0000-000063AB0000}"/>
    <cellStyle name="Percent 29 2 4" xfId="28244" xr:uid="{00000000-0005-0000-0000-000064AB0000}"/>
    <cellStyle name="Percent 29 2 5" xfId="28245" xr:uid="{00000000-0005-0000-0000-000065AB0000}"/>
    <cellStyle name="Percent 29 2 6" xfId="28246" xr:uid="{00000000-0005-0000-0000-000066AB0000}"/>
    <cellStyle name="Percent 29 3" xfId="11156" xr:uid="{00000000-0005-0000-0000-000067AB0000}"/>
    <cellStyle name="Percent 29 3 2" xfId="14777" xr:uid="{00000000-0005-0000-0000-000068AB0000}"/>
    <cellStyle name="Percent 29 3 3" xfId="38615" xr:uid="{00000000-0005-0000-0000-000069AB0000}"/>
    <cellStyle name="Percent 29 4" xfId="28247" xr:uid="{00000000-0005-0000-0000-00006AAB0000}"/>
    <cellStyle name="Percent 29 5" xfId="28248" xr:uid="{00000000-0005-0000-0000-00006BAB0000}"/>
    <cellStyle name="Percent 29 6" xfId="28249" xr:uid="{00000000-0005-0000-0000-00006CAB0000}"/>
    <cellStyle name="Percent 29 7" xfId="28250" xr:uid="{00000000-0005-0000-0000-00006DAB0000}"/>
    <cellStyle name="Percent 3" xfId="6616" xr:uid="{00000000-0005-0000-0000-00006EAB0000}"/>
    <cellStyle name="Percent 3 10" xfId="4253" xr:uid="{00000000-0005-0000-0000-00006FAB0000}"/>
    <cellStyle name="Percent 3 10 2" xfId="5626" xr:uid="{00000000-0005-0000-0000-000070AB0000}"/>
    <cellStyle name="Percent 3 10 2 2" xfId="14780" xr:uid="{00000000-0005-0000-0000-000071AB0000}"/>
    <cellStyle name="Percent 3 10 2 3" xfId="36154" xr:uid="{00000000-0005-0000-0000-000072AB0000}"/>
    <cellStyle name="Percent 3 10 2 4" xfId="11159" xr:uid="{00000000-0005-0000-0000-000073AB0000}"/>
    <cellStyle name="Percent 3 10 3" xfId="12597" xr:uid="{00000000-0005-0000-0000-000074AB0000}"/>
    <cellStyle name="Percent 3 10 3 2" xfId="28251" xr:uid="{00000000-0005-0000-0000-000075AB0000}"/>
    <cellStyle name="Percent 3 10 4" xfId="28252" xr:uid="{00000000-0005-0000-0000-000076AB0000}"/>
    <cellStyle name="Percent 3 10 5" xfId="28253" xr:uid="{00000000-0005-0000-0000-000077AB0000}"/>
    <cellStyle name="Percent 3 10 6" xfId="28254" xr:uid="{00000000-0005-0000-0000-000078AB0000}"/>
    <cellStyle name="Percent 3 10 7" xfId="28255" xr:uid="{00000000-0005-0000-0000-000079AB0000}"/>
    <cellStyle name="Percent 3 11" xfId="11158" xr:uid="{00000000-0005-0000-0000-00007AAB0000}"/>
    <cellStyle name="Percent 3 11 2" xfId="14779" xr:uid="{00000000-0005-0000-0000-00007BAB0000}"/>
    <cellStyle name="Percent 3 12" xfId="28256" xr:uid="{00000000-0005-0000-0000-00007CAB0000}"/>
    <cellStyle name="Percent 3 13" xfId="28257" xr:uid="{00000000-0005-0000-0000-00007DAB0000}"/>
    <cellStyle name="Percent 3 14" xfId="28258" xr:uid="{00000000-0005-0000-0000-00007EAB0000}"/>
    <cellStyle name="Percent 3 15" xfId="28259" xr:uid="{00000000-0005-0000-0000-00007FAB0000}"/>
    <cellStyle name="Percent 3 2" xfId="1894" xr:uid="{00000000-0005-0000-0000-000080AB0000}"/>
    <cellStyle name="Percent 3 2 10" xfId="5019" xr:uid="{00000000-0005-0000-0000-000081AB0000}"/>
    <cellStyle name="Percent 3 2 10 2" xfId="14781" xr:uid="{00000000-0005-0000-0000-000082AB0000}"/>
    <cellStyle name="Percent 3 2 10 3" xfId="35975" xr:uid="{00000000-0005-0000-0000-000083AB0000}"/>
    <cellStyle name="Percent 3 2 10 4" xfId="11160" xr:uid="{00000000-0005-0000-0000-000084AB0000}"/>
    <cellStyle name="Percent 3 2 11" xfId="28260" xr:uid="{00000000-0005-0000-0000-000085AB0000}"/>
    <cellStyle name="Percent 3 2 11 2" xfId="38042" xr:uid="{00000000-0005-0000-0000-000086AB0000}"/>
    <cellStyle name="Percent 3 2 12" xfId="28261" xr:uid="{00000000-0005-0000-0000-000087AB0000}"/>
    <cellStyle name="Percent 3 2 13" xfId="28262" xr:uid="{00000000-0005-0000-0000-000088AB0000}"/>
    <cellStyle name="Percent 3 2 14" xfId="28263" xr:uid="{00000000-0005-0000-0000-000089AB0000}"/>
    <cellStyle name="Percent 3 2 15" xfId="28264" xr:uid="{00000000-0005-0000-0000-00008AAB0000}"/>
    <cellStyle name="Percent 3 2 2" xfId="1895" xr:uid="{00000000-0005-0000-0000-00008BAB0000}"/>
    <cellStyle name="Percent 3 2 2 2" xfId="4256" xr:uid="{00000000-0005-0000-0000-00008CAB0000}"/>
    <cellStyle name="Percent 3 2 2 2 2" xfId="4257" xr:uid="{00000000-0005-0000-0000-00008DAB0000}"/>
    <cellStyle name="Percent 3 2 2 2 2 2" xfId="5627" xr:uid="{00000000-0005-0000-0000-00008EAB0000}"/>
    <cellStyle name="Percent 3 2 2 2 2 2 2" xfId="11164" xr:uid="{00000000-0005-0000-0000-00008FAB0000}"/>
    <cellStyle name="Percent 3 2 2 2 2 2 2 2" xfId="14785" xr:uid="{00000000-0005-0000-0000-000090AB0000}"/>
    <cellStyle name="Percent 3 2 2 2 2 2 3" xfId="28265" xr:uid="{00000000-0005-0000-0000-000091AB0000}"/>
    <cellStyle name="Percent 3 2 2 2 2 2 4" xfId="28266" xr:uid="{00000000-0005-0000-0000-000092AB0000}"/>
    <cellStyle name="Percent 3 2 2 2 2 2 5" xfId="28267" xr:uid="{00000000-0005-0000-0000-000093AB0000}"/>
    <cellStyle name="Percent 3 2 2 2 2 2 6" xfId="28268" xr:uid="{00000000-0005-0000-0000-000094AB0000}"/>
    <cellStyle name="Percent 3 2 2 2 2 3" xfId="11163" xr:uid="{00000000-0005-0000-0000-000095AB0000}"/>
    <cellStyle name="Percent 3 2 2 2 2 3 2" xfId="14784" xr:uid="{00000000-0005-0000-0000-000096AB0000}"/>
    <cellStyle name="Percent 3 2 2 2 2 3 3" xfId="38616" xr:uid="{00000000-0005-0000-0000-000097AB0000}"/>
    <cellStyle name="Percent 3 2 2 2 2 4" xfId="28269" xr:uid="{00000000-0005-0000-0000-000098AB0000}"/>
    <cellStyle name="Percent 3 2 2 2 2 5" xfId="28270" xr:uid="{00000000-0005-0000-0000-000099AB0000}"/>
    <cellStyle name="Percent 3 2 2 2 2 6" xfId="28271" xr:uid="{00000000-0005-0000-0000-00009AAB0000}"/>
    <cellStyle name="Percent 3 2 2 2 2 7" xfId="28272" xr:uid="{00000000-0005-0000-0000-00009BAB0000}"/>
    <cellStyle name="Percent 3 2 2 2 3" xfId="8399" xr:uid="{00000000-0005-0000-0000-00009CAB0000}"/>
    <cellStyle name="Percent 3 2 2 2 3 2" xfId="11165" xr:uid="{00000000-0005-0000-0000-00009DAB0000}"/>
    <cellStyle name="Percent 3 2 2 2 3 2 2" xfId="14786" xr:uid="{00000000-0005-0000-0000-00009EAB0000}"/>
    <cellStyle name="Percent 3 2 2 2 3 3" xfId="28273" xr:uid="{00000000-0005-0000-0000-00009FAB0000}"/>
    <cellStyle name="Percent 3 2 2 2 3 4" xfId="28274" xr:uid="{00000000-0005-0000-0000-0000A0AB0000}"/>
    <cellStyle name="Percent 3 2 2 2 3 5" xfId="28275" xr:uid="{00000000-0005-0000-0000-0000A1AB0000}"/>
    <cellStyle name="Percent 3 2 2 2 3 6" xfId="28276" xr:uid="{00000000-0005-0000-0000-0000A2AB0000}"/>
    <cellStyle name="Percent 3 2 2 2 4" xfId="11162" xr:uid="{00000000-0005-0000-0000-0000A3AB0000}"/>
    <cellStyle name="Percent 3 2 2 2 4 2" xfId="14783" xr:uid="{00000000-0005-0000-0000-0000A4AB0000}"/>
    <cellStyle name="Percent 3 2 2 2 5" xfId="28277" xr:uid="{00000000-0005-0000-0000-0000A5AB0000}"/>
    <cellStyle name="Percent 3 2 2 2 6" xfId="28278" xr:uid="{00000000-0005-0000-0000-0000A6AB0000}"/>
    <cellStyle name="Percent 3 2 2 2 7" xfId="28279" xr:uid="{00000000-0005-0000-0000-0000A7AB0000}"/>
    <cellStyle name="Percent 3 2 2 2 8" xfId="28280" xr:uid="{00000000-0005-0000-0000-0000A8AB0000}"/>
    <cellStyle name="Percent 3 2 2 3" xfId="4255" xr:uid="{00000000-0005-0000-0000-0000A9AB0000}"/>
    <cellStyle name="Percent 3 2 2 3 2" xfId="11166" xr:uid="{00000000-0005-0000-0000-0000AAAB0000}"/>
    <cellStyle name="Percent 3 2 2 3 2 2" xfId="14787" xr:uid="{00000000-0005-0000-0000-0000ABAB0000}"/>
    <cellStyle name="Percent 3 2 2 3 3" xfId="28281" xr:uid="{00000000-0005-0000-0000-0000ACAB0000}"/>
    <cellStyle name="Percent 3 2 2 3 4" xfId="28282" xr:uid="{00000000-0005-0000-0000-0000ADAB0000}"/>
    <cellStyle name="Percent 3 2 2 3 5" xfId="28283" xr:uid="{00000000-0005-0000-0000-0000AEAB0000}"/>
    <cellStyle name="Percent 3 2 2 3 6" xfId="28284" xr:uid="{00000000-0005-0000-0000-0000AFAB0000}"/>
    <cellStyle name="Percent 3 2 2 4" xfId="5020" xr:uid="{00000000-0005-0000-0000-0000B0AB0000}"/>
    <cellStyle name="Percent 3 2 2 4 2" xfId="14782" xr:uid="{00000000-0005-0000-0000-0000B1AB0000}"/>
    <cellStyle name="Percent 3 2 2 4 3" xfId="35976" xr:uid="{00000000-0005-0000-0000-0000B2AB0000}"/>
    <cellStyle name="Percent 3 2 2 4 4" xfId="11161" xr:uid="{00000000-0005-0000-0000-0000B3AB0000}"/>
    <cellStyle name="Percent 3 2 2 5" xfId="28285" xr:uid="{00000000-0005-0000-0000-0000B4AB0000}"/>
    <cellStyle name="Percent 3 2 2 5 2" xfId="38043" xr:uid="{00000000-0005-0000-0000-0000B5AB0000}"/>
    <cellStyle name="Percent 3 2 2 6" xfId="28286" xr:uid="{00000000-0005-0000-0000-0000B6AB0000}"/>
    <cellStyle name="Percent 3 2 2 7" xfId="28287" xr:uid="{00000000-0005-0000-0000-0000B7AB0000}"/>
    <cellStyle name="Percent 3 2 2 8" xfId="28288" xr:uid="{00000000-0005-0000-0000-0000B8AB0000}"/>
    <cellStyle name="Percent 3 2 2 9" xfId="28289" xr:uid="{00000000-0005-0000-0000-0000B9AB0000}"/>
    <cellStyle name="Percent 3 2 3" xfId="1896" xr:uid="{00000000-0005-0000-0000-0000BAAB0000}"/>
    <cellStyle name="Percent 3 2 3 10" xfId="28290" xr:uid="{00000000-0005-0000-0000-0000BBAB0000}"/>
    <cellStyle name="Percent 3 2 3 2" xfId="4259" xr:uid="{00000000-0005-0000-0000-0000BCAB0000}"/>
    <cellStyle name="Percent 3 2 3 2 2" xfId="5628" xr:uid="{00000000-0005-0000-0000-0000BDAB0000}"/>
    <cellStyle name="Percent 3 2 3 2 2 2" xfId="11169" xr:uid="{00000000-0005-0000-0000-0000BEAB0000}"/>
    <cellStyle name="Percent 3 2 3 2 2 2 2" xfId="14790" xr:uid="{00000000-0005-0000-0000-0000BFAB0000}"/>
    <cellStyle name="Percent 3 2 3 2 2 3" xfId="28291" xr:uid="{00000000-0005-0000-0000-0000C0AB0000}"/>
    <cellStyle name="Percent 3 2 3 2 2 4" xfId="28292" xr:uid="{00000000-0005-0000-0000-0000C1AB0000}"/>
    <cellStyle name="Percent 3 2 3 2 2 5" xfId="28293" xr:uid="{00000000-0005-0000-0000-0000C2AB0000}"/>
    <cellStyle name="Percent 3 2 3 2 2 6" xfId="28294" xr:uid="{00000000-0005-0000-0000-0000C3AB0000}"/>
    <cellStyle name="Percent 3 2 3 2 3" xfId="11168" xr:uid="{00000000-0005-0000-0000-0000C4AB0000}"/>
    <cellStyle name="Percent 3 2 3 2 3 2" xfId="14789" xr:uid="{00000000-0005-0000-0000-0000C5AB0000}"/>
    <cellStyle name="Percent 3 2 3 2 3 3" xfId="38617" xr:uid="{00000000-0005-0000-0000-0000C6AB0000}"/>
    <cellStyle name="Percent 3 2 3 2 4" xfId="28295" xr:uid="{00000000-0005-0000-0000-0000C7AB0000}"/>
    <cellStyle name="Percent 3 2 3 2 5" xfId="28296" xr:uid="{00000000-0005-0000-0000-0000C8AB0000}"/>
    <cellStyle name="Percent 3 2 3 2 6" xfId="28297" xr:uid="{00000000-0005-0000-0000-0000C9AB0000}"/>
    <cellStyle name="Percent 3 2 3 2 7" xfId="28298" xr:uid="{00000000-0005-0000-0000-0000CAAB0000}"/>
    <cellStyle name="Percent 3 2 3 3" xfId="4260" xr:uid="{00000000-0005-0000-0000-0000CBAB0000}"/>
    <cellStyle name="Percent 3 2 3 3 2" xfId="5629" xr:uid="{00000000-0005-0000-0000-0000CCAB0000}"/>
    <cellStyle name="Percent 3 2 3 3 2 2" xfId="11171" xr:uid="{00000000-0005-0000-0000-0000CDAB0000}"/>
    <cellStyle name="Percent 3 2 3 3 2 2 2" xfId="14792" xr:uid="{00000000-0005-0000-0000-0000CEAB0000}"/>
    <cellStyle name="Percent 3 2 3 3 2 3" xfId="28299" xr:uid="{00000000-0005-0000-0000-0000CFAB0000}"/>
    <cellStyle name="Percent 3 2 3 3 2 4" xfId="28300" xr:uid="{00000000-0005-0000-0000-0000D0AB0000}"/>
    <cellStyle name="Percent 3 2 3 3 2 5" xfId="28301" xr:uid="{00000000-0005-0000-0000-0000D1AB0000}"/>
    <cellStyle name="Percent 3 2 3 3 2 6" xfId="28302" xr:uid="{00000000-0005-0000-0000-0000D2AB0000}"/>
    <cellStyle name="Percent 3 2 3 3 3" xfId="11170" xr:uid="{00000000-0005-0000-0000-0000D3AB0000}"/>
    <cellStyle name="Percent 3 2 3 3 3 2" xfId="14791" xr:uid="{00000000-0005-0000-0000-0000D4AB0000}"/>
    <cellStyle name="Percent 3 2 3 3 3 3" xfId="38618" xr:uid="{00000000-0005-0000-0000-0000D5AB0000}"/>
    <cellStyle name="Percent 3 2 3 3 4" xfId="28303" xr:uid="{00000000-0005-0000-0000-0000D6AB0000}"/>
    <cellStyle name="Percent 3 2 3 3 5" xfId="28304" xr:uid="{00000000-0005-0000-0000-0000D7AB0000}"/>
    <cellStyle name="Percent 3 2 3 3 6" xfId="28305" xr:uid="{00000000-0005-0000-0000-0000D8AB0000}"/>
    <cellStyle name="Percent 3 2 3 3 7" xfId="28306" xr:uid="{00000000-0005-0000-0000-0000D9AB0000}"/>
    <cellStyle name="Percent 3 2 3 4" xfId="4258" xr:uid="{00000000-0005-0000-0000-0000DAAB0000}"/>
    <cellStyle name="Percent 3 2 3 4 2" xfId="11172" xr:uid="{00000000-0005-0000-0000-0000DBAB0000}"/>
    <cellStyle name="Percent 3 2 3 4 2 2" xfId="14793" xr:uid="{00000000-0005-0000-0000-0000DCAB0000}"/>
    <cellStyle name="Percent 3 2 3 4 3" xfId="28307" xr:uid="{00000000-0005-0000-0000-0000DDAB0000}"/>
    <cellStyle name="Percent 3 2 3 4 4" xfId="28308" xr:uid="{00000000-0005-0000-0000-0000DEAB0000}"/>
    <cellStyle name="Percent 3 2 3 4 5" xfId="28309" xr:uid="{00000000-0005-0000-0000-0000DFAB0000}"/>
    <cellStyle name="Percent 3 2 3 4 6" xfId="28310" xr:uid="{00000000-0005-0000-0000-0000E0AB0000}"/>
    <cellStyle name="Percent 3 2 3 5" xfId="5021" xr:uid="{00000000-0005-0000-0000-0000E1AB0000}"/>
    <cellStyle name="Percent 3 2 3 5 2" xfId="14788" xr:uid="{00000000-0005-0000-0000-0000E2AB0000}"/>
    <cellStyle name="Percent 3 2 3 5 3" xfId="35977" xr:uid="{00000000-0005-0000-0000-0000E3AB0000}"/>
    <cellStyle name="Percent 3 2 3 5 4" xfId="11167" xr:uid="{00000000-0005-0000-0000-0000E4AB0000}"/>
    <cellStyle name="Percent 3 2 3 6" xfId="28311" xr:uid="{00000000-0005-0000-0000-0000E5AB0000}"/>
    <cellStyle name="Percent 3 2 3 6 2" xfId="38044" xr:uid="{00000000-0005-0000-0000-0000E6AB0000}"/>
    <cellStyle name="Percent 3 2 3 7" xfId="28312" xr:uid="{00000000-0005-0000-0000-0000E7AB0000}"/>
    <cellStyle name="Percent 3 2 3 8" xfId="28313" xr:uid="{00000000-0005-0000-0000-0000E8AB0000}"/>
    <cellStyle name="Percent 3 2 3 9" xfId="28314" xr:uid="{00000000-0005-0000-0000-0000E9AB0000}"/>
    <cellStyle name="Percent 3 2 4" xfId="1897" xr:uid="{00000000-0005-0000-0000-0000EAAB0000}"/>
    <cellStyle name="Percent 3 2 4 10" xfId="28315" xr:uid="{00000000-0005-0000-0000-0000EBAB0000}"/>
    <cellStyle name="Percent 3 2 4 2" xfId="4262" xr:uid="{00000000-0005-0000-0000-0000ECAB0000}"/>
    <cellStyle name="Percent 3 2 4 2 2" xfId="5630" xr:uid="{00000000-0005-0000-0000-0000EDAB0000}"/>
    <cellStyle name="Percent 3 2 4 2 2 2" xfId="11175" xr:uid="{00000000-0005-0000-0000-0000EEAB0000}"/>
    <cellStyle name="Percent 3 2 4 2 2 2 2" xfId="14796" xr:uid="{00000000-0005-0000-0000-0000EFAB0000}"/>
    <cellStyle name="Percent 3 2 4 2 2 3" xfId="28316" xr:uid="{00000000-0005-0000-0000-0000F0AB0000}"/>
    <cellStyle name="Percent 3 2 4 2 2 4" xfId="28317" xr:uid="{00000000-0005-0000-0000-0000F1AB0000}"/>
    <cellStyle name="Percent 3 2 4 2 2 5" xfId="28318" xr:uid="{00000000-0005-0000-0000-0000F2AB0000}"/>
    <cellStyle name="Percent 3 2 4 2 2 6" xfId="28319" xr:uid="{00000000-0005-0000-0000-0000F3AB0000}"/>
    <cellStyle name="Percent 3 2 4 2 3" xfId="11174" xr:uid="{00000000-0005-0000-0000-0000F4AB0000}"/>
    <cellStyle name="Percent 3 2 4 2 3 2" xfId="14795" xr:uid="{00000000-0005-0000-0000-0000F5AB0000}"/>
    <cellStyle name="Percent 3 2 4 2 3 3" xfId="38619" xr:uid="{00000000-0005-0000-0000-0000F6AB0000}"/>
    <cellStyle name="Percent 3 2 4 2 4" xfId="28320" xr:uid="{00000000-0005-0000-0000-0000F7AB0000}"/>
    <cellStyle name="Percent 3 2 4 2 5" xfId="28321" xr:uid="{00000000-0005-0000-0000-0000F8AB0000}"/>
    <cellStyle name="Percent 3 2 4 2 6" xfId="28322" xr:uid="{00000000-0005-0000-0000-0000F9AB0000}"/>
    <cellStyle name="Percent 3 2 4 2 7" xfId="28323" xr:uid="{00000000-0005-0000-0000-0000FAAB0000}"/>
    <cellStyle name="Percent 3 2 4 3" xfId="4263" xr:uid="{00000000-0005-0000-0000-0000FBAB0000}"/>
    <cellStyle name="Percent 3 2 4 3 2" xfId="5631" xr:uid="{00000000-0005-0000-0000-0000FCAB0000}"/>
    <cellStyle name="Percent 3 2 4 3 2 2" xfId="11177" xr:uid="{00000000-0005-0000-0000-0000FDAB0000}"/>
    <cellStyle name="Percent 3 2 4 3 2 2 2" xfId="14798" xr:uid="{00000000-0005-0000-0000-0000FEAB0000}"/>
    <cellStyle name="Percent 3 2 4 3 2 3" xfId="28324" xr:uid="{00000000-0005-0000-0000-0000FFAB0000}"/>
    <cellStyle name="Percent 3 2 4 3 2 4" xfId="28325" xr:uid="{00000000-0005-0000-0000-000000AC0000}"/>
    <cellStyle name="Percent 3 2 4 3 2 5" xfId="28326" xr:uid="{00000000-0005-0000-0000-000001AC0000}"/>
    <cellStyle name="Percent 3 2 4 3 2 6" xfId="28327" xr:uid="{00000000-0005-0000-0000-000002AC0000}"/>
    <cellStyle name="Percent 3 2 4 3 3" xfId="11176" xr:uid="{00000000-0005-0000-0000-000003AC0000}"/>
    <cellStyle name="Percent 3 2 4 3 3 2" xfId="14797" xr:uid="{00000000-0005-0000-0000-000004AC0000}"/>
    <cellStyle name="Percent 3 2 4 3 3 3" xfId="38620" xr:uid="{00000000-0005-0000-0000-000005AC0000}"/>
    <cellStyle name="Percent 3 2 4 3 4" xfId="28328" xr:uid="{00000000-0005-0000-0000-000006AC0000}"/>
    <cellStyle name="Percent 3 2 4 3 5" xfId="28329" xr:uid="{00000000-0005-0000-0000-000007AC0000}"/>
    <cellStyle name="Percent 3 2 4 3 6" xfId="28330" xr:uid="{00000000-0005-0000-0000-000008AC0000}"/>
    <cellStyle name="Percent 3 2 4 3 7" xfId="28331" xr:uid="{00000000-0005-0000-0000-000009AC0000}"/>
    <cellStyle name="Percent 3 2 4 4" xfId="4261" xr:uid="{00000000-0005-0000-0000-00000AAC0000}"/>
    <cellStyle name="Percent 3 2 4 4 2" xfId="11178" xr:uid="{00000000-0005-0000-0000-00000BAC0000}"/>
    <cellStyle name="Percent 3 2 4 4 2 2" xfId="14799" xr:uid="{00000000-0005-0000-0000-00000CAC0000}"/>
    <cellStyle name="Percent 3 2 4 4 3" xfId="28332" xr:uid="{00000000-0005-0000-0000-00000DAC0000}"/>
    <cellStyle name="Percent 3 2 4 4 4" xfId="28333" xr:uid="{00000000-0005-0000-0000-00000EAC0000}"/>
    <cellStyle name="Percent 3 2 4 4 5" xfId="28334" xr:uid="{00000000-0005-0000-0000-00000FAC0000}"/>
    <cellStyle name="Percent 3 2 4 4 6" xfId="28335" xr:uid="{00000000-0005-0000-0000-000010AC0000}"/>
    <cellStyle name="Percent 3 2 4 5" xfId="5022" xr:uid="{00000000-0005-0000-0000-000011AC0000}"/>
    <cellStyle name="Percent 3 2 4 5 2" xfId="14794" xr:uid="{00000000-0005-0000-0000-000012AC0000}"/>
    <cellStyle name="Percent 3 2 4 5 3" xfId="35978" xr:uid="{00000000-0005-0000-0000-000013AC0000}"/>
    <cellStyle name="Percent 3 2 4 5 4" xfId="11173" xr:uid="{00000000-0005-0000-0000-000014AC0000}"/>
    <cellStyle name="Percent 3 2 4 6" xfId="28336" xr:uid="{00000000-0005-0000-0000-000015AC0000}"/>
    <cellStyle name="Percent 3 2 4 6 2" xfId="38045" xr:uid="{00000000-0005-0000-0000-000016AC0000}"/>
    <cellStyle name="Percent 3 2 4 7" xfId="28337" xr:uid="{00000000-0005-0000-0000-000017AC0000}"/>
    <cellStyle name="Percent 3 2 4 8" xfId="28338" xr:uid="{00000000-0005-0000-0000-000018AC0000}"/>
    <cellStyle name="Percent 3 2 4 9" xfId="28339" xr:uid="{00000000-0005-0000-0000-000019AC0000}"/>
    <cellStyle name="Percent 3 2 5" xfId="4264" xr:uid="{00000000-0005-0000-0000-00001AAC0000}"/>
    <cellStyle name="Percent 3 2 5 2" xfId="5632" xr:uid="{00000000-0005-0000-0000-00001BAC0000}"/>
    <cellStyle name="Percent 3 2 5 2 2" xfId="11180" xr:uid="{00000000-0005-0000-0000-00001CAC0000}"/>
    <cellStyle name="Percent 3 2 5 2 2 2" xfId="14801" xr:uid="{00000000-0005-0000-0000-00001DAC0000}"/>
    <cellStyle name="Percent 3 2 5 2 3" xfId="28340" xr:uid="{00000000-0005-0000-0000-00001EAC0000}"/>
    <cellStyle name="Percent 3 2 5 2 4" xfId="28341" xr:uid="{00000000-0005-0000-0000-00001FAC0000}"/>
    <cellStyle name="Percent 3 2 5 2 5" xfId="28342" xr:uid="{00000000-0005-0000-0000-000020AC0000}"/>
    <cellStyle name="Percent 3 2 5 2 6" xfId="28343" xr:uid="{00000000-0005-0000-0000-000021AC0000}"/>
    <cellStyle name="Percent 3 2 5 3" xfId="11179" xr:uid="{00000000-0005-0000-0000-000022AC0000}"/>
    <cellStyle name="Percent 3 2 5 3 2" xfId="14800" xr:uid="{00000000-0005-0000-0000-000023AC0000}"/>
    <cellStyle name="Percent 3 2 5 3 3" xfId="38621" xr:uid="{00000000-0005-0000-0000-000024AC0000}"/>
    <cellStyle name="Percent 3 2 5 4" xfId="28344" xr:uid="{00000000-0005-0000-0000-000025AC0000}"/>
    <cellStyle name="Percent 3 2 5 5" xfId="28345" xr:uid="{00000000-0005-0000-0000-000026AC0000}"/>
    <cellStyle name="Percent 3 2 5 6" xfId="28346" xr:uid="{00000000-0005-0000-0000-000027AC0000}"/>
    <cellStyle name="Percent 3 2 5 7" xfId="28347" xr:uid="{00000000-0005-0000-0000-000028AC0000}"/>
    <cellStyle name="Percent 3 2 6" xfId="4265" xr:uid="{00000000-0005-0000-0000-000029AC0000}"/>
    <cellStyle name="Percent 3 2 6 2" xfId="5633" xr:uid="{00000000-0005-0000-0000-00002AAC0000}"/>
    <cellStyle name="Percent 3 2 6 2 2" xfId="11182" xr:uid="{00000000-0005-0000-0000-00002BAC0000}"/>
    <cellStyle name="Percent 3 2 6 2 2 2" xfId="14803" xr:uid="{00000000-0005-0000-0000-00002CAC0000}"/>
    <cellStyle name="Percent 3 2 6 2 3" xfId="28348" xr:uid="{00000000-0005-0000-0000-00002DAC0000}"/>
    <cellStyle name="Percent 3 2 6 2 4" xfId="28349" xr:uid="{00000000-0005-0000-0000-00002EAC0000}"/>
    <cellStyle name="Percent 3 2 6 2 5" xfId="28350" xr:uid="{00000000-0005-0000-0000-00002FAC0000}"/>
    <cellStyle name="Percent 3 2 6 2 6" xfId="28351" xr:uid="{00000000-0005-0000-0000-000030AC0000}"/>
    <cellStyle name="Percent 3 2 6 3" xfId="11181" xr:uid="{00000000-0005-0000-0000-000031AC0000}"/>
    <cellStyle name="Percent 3 2 6 3 2" xfId="14802" xr:uid="{00000000-0005-0000-0000-000032AC0000}"/>
    <cellStyle name="Percent 3 2 6 3 3" xfId="38622" xr:uid="{00000000-0005-0000-0000-000033AC0000}"/>
    <cellStyle name="Percent 3 2 6 4" xfId="28352" xr:uid="{00000000-0005-0000-0000-000034AC0000}"/>
    <cellStyle name="Percent 3 2 6 5" xfId="28353" xr:uid="{00000000-0005-0000-0000-000035AC0000}"/>
    <cellStyle name="Percent 3 2 6 6" xfId="28354" xr:uid="{00000000-0005-0000-0000-000036AC0000}"/>
    <cellStyle name="Percent 3 2 6 7" xfId="28355" xr:uid="{00000000-0005-0000-0000-000037AC0000}"/>
    <cellStyle name="Percent 3 2 7" xfId="4266" xr:uid="{00000000-0005-0000-0000-000038AC0000}"/>
    <cellStyle name="Percent 3 2 7 2" xfId="11183" xr:uid="{00000000-0005-0000-0000-000039AC0000}"/>
    <cellStyle name="Percent 3 2 7 2 2" xfId="14804" xr:uid="{00000000-0005-0000-0000-00003AAC0000}"/>
    <cellStyle name="Percent 3 2 7 3" xfId="28356" xr:uid="{00000000-0005-0000-0000-00003BAC0000}"/>
    <cellStyle name="Percent 3 2 7 4" xfId="28357" xr:uid="{00000000-0005-0000-0000-00003CAC0000}"/>
    <cellStyle name="Percent 3 2 7 5" xfId="28358" xr:uid="{00000000-0005-0000-0000-00003DAC0000}"/>
    <cellStyle name="Percent 3 2 7 6" xfId="28359" xr:uid="{00000000-0005-0000-0000-00003EAC0000}"/>
    <cellStyle name="Percent 3 2 8" xfId="4267" xr:uid="{00000000-0005-0000-0000-00003FAC0000}"/>
    <cellStyle name="Percent 3 2 8 2" xfId="11184" xr:uid="{00000000-0005-0000-0000-000040AC0000}"/>
    <cellStyle name="Percent 3 2 8 2 2" xfId="14805" xr:uid="{00000000-0005-0000-0000-000041AC0000}"/>
    <cellStyle name="Percent 3 2 8 3" xfId="28360" xr:uid="{00000000-0005-0000-0000-000042AC0000}"/>
    <cellStyle name="Percent 3 2 8 4" xfId="28361" xr:uid="{00000000-0005-0000-0000-000043AC0000}"/>
    <cellStyle name="Percent 3 2 8 5" xfId="28362" xr:uid="{00000000-0005-0000-0000-000044AC0000}"/>
    <cellStyle name="Percent 3 2 8 6" xfId="28363" xr:uid="{00000000-0005-0000-0000-000045AC0000}"/>
    <cellStyle name="Percent 3 2 9" xfId="4254" xr:uid="{00000000-0005-0000-0000-000046AC0000}"/>
    <cellStyle name="Percent 3 2 9 2" xfId="11185" xr:uid="{00000000-0005-0000-0000-000047AC0000}"/>
    <cellStyle name="Percent 3 2 9 2 2" xfId="14806" xr:uid="{00000000-0005-0000-0000-000048AC0000}"/>
    <cellStyle name="Percent 3 2 9 3" xfId="28364" xr:uid="{00000000-0005-0000-0000-000049AC0000}"/>
    <cellStyle name="Percent 3 2 9 4" xfId="28365" xr:uid="{00000000-0005-0000-0000-00004AAC0000}"/>
    <cellStyle name="Percent 3 2 9 5" xfId="28366" xr:uid="{00000000-0005-0000-0000-00004BAC0000}"/>
    <cellStyle name="Percent 3 2 9 6" xfId="28367" xr:uid="{00000000-0005-0000-0000-00004CAC0000}"/>
    <cellStyle name="Percent 3 3" xfId="1898" xr:uid="{00000000-0005-0000-0000-00004DAC0000}"/>
    <cellStyle name="Percent 3 3 10" xfId="28368" xr:uid="{00000000-0005-0000-0000-00004EAC0000}"/>
    <cellStyle name="Percent 3 3 2" xfId="1899" xr:uid="{00000000-0005-0000-0000-00004FAC0000}"/>
    <cellStyle name="Percent 3 3 2 2" xfId="4269" xr:uid="{00000000-0005-0000-0000-000050AC0000}"/>
    <cellStyle name="Percent 3 3 2 2 2" xfId="14808" xr:uid="{00000000-0005-0000-0000-000051AC0000}"/>
    <cellStyle name="Percent 3 3 2 2 3" xfId="35551" xr:uid="{00000000-0005-0000-0000-000052AC0000}"/>
    <cellStyle name="Percent 3 3 2 2 4" xfId="11187" xr:uid="{00000000-0005-0000-0000-000053AC0000}"/>
    <cellStyle name="Percent 3 3 2 3" xfId="5024" xr:uid="{00000000-0005-0000-0000-000054AC0000}"/>
    <cellStyle name="Percent 3 3 2 3 2" xfId="35980" xr:uid="{00000000-0005-0000-0000-000055AC0000}"/>
    <cellStyle name="Percent 3 3 2 3 3" xfId="28369" xr:uid="{00000000-0005-0000-0000-000056AC0000}"/>
    <cellStyle name="Percent 3 3 2 4" xfId="28370" xr:uid="{00000000-0005-0000-0000-000057AC0000}"/>
    <cellStyle name="Percent 3 3 2 4 2" xfId="38047" xr:uid="{00000000-0005-0000-0000-000058AC0000}"/>
    <cellStyle name="Percent 3 3 2 5" xfId="28371" xr:uid="{00000000-0005-0000-0000-000059AC0000}"/>
    <cellStyle name="Percent 3 3 2 6" xfId="28372" xr:uid="{00000000-0005-0000-0000-00005AAC0000}"/>
    <cellStyle name="Percent 3 3 2 7" xfId="28373" xr:uid="{00000000-0005-0000-0000-00005BAC0000}"/>
    <cellStyle name="Percent 3 3 3" xfId="1900" xr:uid="{00000000-0005-0000-0000-00005CAC0000}"/>
    <cellStyle name="Percent 3 3 3 2" xfId="4270" xr:uid="{00000000-0005-0000-0000-00005DAC0000}"/>
    <cellStyle name="Percent 3 3 3 2 2" xfId="14809" xr:uid="{00000000-0005-0000-0000-00005EAC0000}"/>
    <cellStyle name="Percent 3 3 3 2 3" xfId="35552" xr:uid="{00000000-0005-0000-0000-00005FAC0000}"/>
    <cellStyle name="Percent 3 3 3 2 4" xfId="11188" xr:uid="{00000000-0005-0000-0000-000060AC0000}"/>
    <cellStyle name="Percent 3 3 3 3" xfId="5025" xr:uid="{00000000-0005-0000-0000-000061AC0000}"/>
    <cellStyle name="Percent 3 3 3 3 2" xfId="35981" xr:uid="{00000000-0005-0000-0000-000062AC0000}"/>
    <cellStyle name="Percent 3 3 3 3 3" xfId="28374" xr:uid="{00000000-0005-0000-0000-000063AC0000}"/>
    <cellStyle name="Percent 3 3 3 4" xfId="28375" xr:uid="{00000000-0005-0000-0000-000064AC0000}"/>
    <cellStyle name="Percent 3 3 3 4 2" xfId="38048" xr:uid="{00000000-0005-0000-0000-000065AC0000}"/>
    <cellStyle name="Percent 3 3 3 5" xfId="28376" xr:uid="{00000000-0005-0000-0000-000066AC0000}"/>
    <cellStyle name="Percent 3 3 3 6" xfId="28377" xr:uid="{00000000-0005-0000-0000-000067AC0000}"/>
    <cellStyle name="Percent 3 3 3 7" xfId="28378" xr:uid="{00000000-0005-0000-0000-000068AC0000}"/>
    <cellStyle name="Percent 3 3 4" xfId="1901" xr:uid="{00000000-0005-0000-0000-000069AC0000}"/>
    <cellStyle name="Percent 3 3 4 2" xfId="4271" xr:uid="{00000000-0005-0000-0000-00006AAC0000}"/>
    <cellStyle name="Percent 3 3 4 2 2" xfId="14810" xr:uid="{00000000-0005-0000-0000-00006BAC0000}"/>
    <cellStyle name="Percent 3 3 4 2 3" xfId="35553" xr:uid="{00000000-0005-0000-0000-00006CAC0000}"/>
    <cellStyle name="Percent 3 3 4 2 4" xfId="11189" xr:uid="{00000000-0005-0000-0000-00006DAC0000}"/>
    <cellStyle name="Percent 3 3 4 3" xfId="5026" xr:uid="{00000000-0005-0000-0000-00006EAC0000}"/>
    <cellStyle name="Percent 3 3 4 3 2" xfId="35982" xr:uid="{00000000-0005-0000-0000-00006FAC0000}"/>
    <cellStyle name="Percent 3 3 4 3 3" xfId="28379" xr:uid="{00000000-0005-0000-0000-000070AC0000}"/>
    <cellStyle name="Percent 3 3 4 4" xfId="28380" xr:uid="{00000000-0005-0000-0000-000071AC0000}"/>
    <cellStyle name="Percent 3 3 4 4 2" xfId="38049" xr:uid="{00000000-0005-0000-0000-000072AC0000}"/>
    <cellStyle name="Percent 3 3 4 5" xfId="28381" xr:uid="{00000000-0005-0000-0000-000073AC0000}"/>
    <cellStyle name="Percent 3 3 4 6" xfId="28382" xr:uid="{00000000-0005-0000-0000-000074AC0000}"/>
    <cellStyle name="Percent 3 3 4 7" xfId="28383" xr:uid="{00000000-0005-0000-0000-000075AC0000}"/>
    <cellStyle name="Percent 3 3 5" xfId="4268" xr:uid="{00000000-0005-0000-0000-000076AC0000}"/>
    <cellStyle name="Percent 3 3 5 2" xfId="14807" xr:uid="{00000000-0005-0000-0000-000077AC0000}"/>
    <cellStyle name="Percent 3 3 5 3" xfId="35550" xr:uid="{00000000-0005-0000-0000-000078AC0000}"/>
    <cellStyle name="Percent 3 3 5 4" xfId="11186" xr:uid="{00000000-0005-0000-0000-000079AC0000}"/>
    <cellStyle name="Percent 3 3 6" xfId="5023" xr:uid="{00000000-0005-0000-0000-00007AAC0000}"/>
    <cellStyle name="Percent 3 3 6 2" xfId="35979" xr:uid="{00000000-0005-0000-0000-00007BAC0000}"/>
    <cellStyle name="Percent 3 3 6 3" xfId="28384" xr:uid="{00000000-0005-0000-0000-00007CAC0000}"/>
    <cellStyle name="Percent 3 3 7" xfId="28385" xr:uid="{00000000-0005-0000-0000-00007DAC0000}"/>
    <cellStyle name="Percent 3 3 7 2" xfId="38046" xr:uid="{00000000-0005-0000-0000-00007EAC0000}"/>
    <cellStyle name="Percent 3 3 8" xfId="28386" xr:uid="{00000000-0005-0000-0000-00007FAC0000}"/>
    <cellStyle name="Percent 3 3 9" xfId="28387" xr:uid="{00000000-0005-0000-0000-000080AC0000}"/>
    <cellStyle name="Percent 3 4" xfId="1902" xr:uid="{00000000-0005-0000-0000-000081AC0000}"/>
    <cellStyle name="Percent 3 4 10" xfId="28388" xr:uid="{00000000-0005-0000-0000-000082AC0000}"/>
    <cellStyle name="Percent 3 4 2" xfId="1903" xr:uid="{00000000-0005-0000-0000-000083AC0000}"/>
    <cellStyle name="Percent 3 4 2 2" xfId="4273" xr:uid="{00000000-0005-0000-0000-000084AC0000}"/>
    <cellStyle name="Percent 3 4 2 2 2" xfId="14812" xr:uid="{00000000-0005-0000-0000-000085AC0000}"/>
    <cellStyle name="Percent 3 4 2 2 3" xfId="35555" xr:uid="{00000000-0005-0000-0000-000086AC0000}"/>
    <cellStyle name="Percent 3 4 2 2 4" xfId="11191" xr:uid="{00000000-0005-0000-0000-000087AC0000}"/>
    <cellStyle name="Percent 3 4 2 3" xfId="5028" xr:uid="{00000000-0005-0000-0000-000088AC0000}"/>
    <cellStyle name="Percent 3 4 2 3 2" xfId="35984" xr:uid="{00000000-0005-0000-0000-000089AC0000}"/>
    <cellStyle name="Percent 3 4 2 3 3" xfId="28389" xr:uid="{00000000-0005-0000-0000-00008AAC0000}"/>
    <cellStyle name="Percent 3 4 2 4" xfId="28390" xr:uid="{00000000-0005-0000-0000-00008BAC0000}"/>
    <cellStyle name="Percent 3 4 2 4 2" xfId="38051" xr:uid="{00000000-0005-0000-0000-00008CAC0000}"/>
    <cellStyle name="Percent 3 4 2 5" xfId="28391" xr:uid="{00000000-0005-0000-0000-00008DAC0000}"/>
    <cellStyle name="Percent 3 4 2 6" xfId="28392" xr:uid="{00000000-0005-0000-0000-00008EAC0000}"/>
    <cellStyle name="Percent 3 4 2 7" xfId="28393" xr:uid="{00000000-0005-0000-0000-00008FAC0000}"/>
    <cellStyle name="Percent 3 4 3" xfId="1904" xr:uid="{00000000-0005-0000-0000-000090AC0000}"/>
    <cellStyle name="Percent 3 4 3 2" xfId="4274" xr:uid="{00000000-0005-0000-0000-000091AC0000}"/>
    <cellStyle name="Percent 3 4 3 2 2" xfId="14813" xr:uid="{00000000-0005-0000-0000-000092AC0000}"/>
    <cellStyle name="Percent 3 4 3 2 3" xfId="35556" xr:uid="{00000000-0005-0000-0000-000093AC0000}"/>
    <cellStyle name="Percent 3 4 3 2 4" xfId="11192" xr:uid="{00000000-0005-0000-0000-000094AC0000}"/>
    <cellStyle name="Percent 3 4 3 3" xfId="5029" xr:uid="{00000000-0005-0000-0000-000095AC0000}"/>
    <cellStyle name="Percent 3 4 3 3 2" xfId="35985" xr:uid="{00000000-0005-0000-0000-000096AC0000}"/>
    <cellStyle name="Percent 3 4 3 3 3" xfId="28394" xr:uid="{00000000-0005-0000-0000-000097AC0000}"/>
    <cellStyle name="Percent 3 4 3 4" xfId="28395" xr:uid="{00000000-0005-0000-0000-000098AC0000}"/>
    <cellStyle name="Percent 3 4 3 4 2" xfId="38052" xr:uid="{00000000-0005-0000-0000-000099AC0000}"/>
    <cellStyle name="Percent 3 4 3 5" xfId="28396" xr:uid="{00000000-0005-0000-0000-00009AAC0000}"/>
    <cellStyle name="Percent 3 4 3 6" xfId="28397" xr:uid="{00000000-0005-0000-0000-00009BAC0000}"/>
    <cellStyle name="Percent 3 4 3 7" xfId="28398" xr:uid="{00000000-0005-0000-0000-00009CAC0000}"/>
    <cellStyle name="Percent 3 4 4" xfId="1905" xr:uid="{00000000-0005-0000-0000-00009DAC0000}"/>
    <cellStyle name="Percent 3 4 4 2" xfId="4275" xr:uid="{00000000-0005-0000-0000-00009EAC0000}"/>
    <cellStyle name="Percent 3 4 4 2 2" xfId="14814" xr:uid="{00000000-0005-0000-0000-00009FAC0000}"/>
    <cellStyle name="Percent 3 4 4 2 3" xfId="35557" xr:uid="{00000000-0005-0000-0000-0000A0AC0000}"/>
    <cellStyle name="Percent 3 4 4 2 4" xfId="11193" xr:uid="{00000000-0005-0000-0000-0000A1AC0000}"/>
    <cellStyle name="Percent 3 4 4 3" xfId="5030" xr:uid="{00000000-0005-0000-0000-0000A2AC0000}"/>
    <cellStyle name="Percent 3 4 4 3 2" xfId="35986" xr:uid="{00000000-0005-0000-0000-0000A3AC0000}"/>
    <cellStyle name="Percent 3 4 4 3 3" xfId="28399" xr:uid="{00000000-0005-0000-0000-0000A4AC0000}"/>
    <cellStyle name="Percent 3 4 4 4" xfId="28400" xr:uid="{00000000-0005-0000-0000-0000A5AC0000}"/>
    <cellStyle name="Percent 3 4 4 4 2" xfId="38053" xr:uid="{00000000-0005-0000-0000-0000A6AC0000}"/>
    <cellStyle name="Percent 3 4 4 5" xfId="28401" xr:uid="{00000000-0005-0000-0000-0000A7AC0000}"/>
    <cellStyle name="Percent 3 4 4 6" xfId="28402" xr:uid="{00000000-0005-0000-0000-0000A8AC0000}"/>
    <cellStyle name="Percent 3 4 4 7" xfId="28403" xr:uid="{00000000-0005-0000-0000-0000A9AC0000}"/>
    <cellStyle name="Percent 3 4 5" xfId="4272" xr:uid="{00000000-0005-0000-0000-0000AAAC0000}"/>
    <cellStyle name="Percent 3 4 5 2" xfId="14811" xr:uid="{00000000-0005-0000-0000-0000ABAC0000}"/>
    <cellStyle name="Percent 3 4 5 3" xfId="35554" xr:uid="{00000000-0005-0000-0000-0000ACAC0000}"/>
    <cellStyle name="Percent 3 4 5 4" xfId="11190" xr:uid="{00000000-0005-0000-0000-0000ADAC0000}"/>
    <cellStyle name="Percent 3 4 6" xfId="5027" xr:uid="{00000000-0005-0000-0000-0000AEAC0000}"/>
    <cellStyle name="Percent 3 4 6 2" xfId="35983" xr:uid="{00000000-0005-0000-0000-0000AFAC0000}"/>
    <cellStyle name="Percent 3 4 6 3" xfId="28404" xr:uid="{00000000-0005-0000-0000-0000B0AC0000}"/>
    <cellStyle name="Percent 3 4 7" xfId="28405" xr:uid="{00000000-0005-0000-0000-0000B1AC0000}"/>
    <cellStyle name="Percent 3 4 7 2" xfId="38050" xr:uid="{00000000-0005-0000-0000-0000B2AC0000}"/>
    <cellStyle name="Percent 3 4 8" xfId="28406" xr:uid="{00000000-0005-0000-0000-0000B3AC0000}"/>
    <cellStyle name="Percent 3 4 9" xfId="28407" xr:uid="{00000000-0005-0000-0000-0000B4AC0000}"/>
    <cellStyle name="Percent 3 5" xfId="1906" xr:uid="{00000000-0005-0000-0000-0000B5AC0000}"/>
    <cellStyle name="Percent 3 5 10" xfId="28408" xr:uid="{00000000-0005-0000-0000-0000B6AC0000}"/>
    <cellStyle name="Percent 3 5 2" xfId="1907" xr:uid="{00000000-0005-0000-0000-0000B7AC0000}"/>
    <cellStyle name="Percent 3 5 2 2" xfId="4277" xr:uid="{00000000-0005-0000-0000-0000B8AC0000}"/>
    <cellStyle name="Percent 3 5 2 2 2" xfId="14816" xr:uid="{00000000-0005-0000-0000-0000B9AC0000}"/>
    <cellStyle name="Percent 3 5 2 2 3" xfId="35559" xr:uid="{00000000-0005-0000-0000-0000BAAC0000}"/>
    <cellStyle name="Percent 3 5 2 2 4" xfId="11195" xr:uid="{00000000-0005-0000-0000-0000BBAC0000}"/>
    <cellStyle name="Percent 3 5 2 3" xfId="5032" xr:uid="{00000000-0005-0000-0000-0000BCAC0000}"/>
    <cellStyle name="Percent 3 5 2 3 2" xfId="35988" xr:uid="{00000000-0005-0000-0000-0000BDAC0000}"/>
    <cellStyle name="Percent 3 5 2 3 3" xfId="28409" xr:uid="{00000000-0005-0000-0000-0000BEAC0000}"/>
    <cellStyle name="Percent 3 5 2 4" xfId="28410" xr:uid="{00000000-0005-0000-0000-0000BFAC0000}"/>
    <cellStyle name="Percent 3 5 2 4 2" xfId="38055" xr:uid="{00000000-0005-0000-0000-0000C0AC0000}"/>
    <cellStyle name="Percent 3 5 2 5" xfId="28411" xr:uid="{00000000-0005-0000-0000-0000C1AC0000}"/>
    <cellStyle name="Percent 3 5 2 6" xfId="28412" xr:uid="{00000000-0005-0000-0000-0000C2AC0000}"/>
    <cellStyle name="Percent 3 5 2 7" xfId="28413" xr:uid="{00000000-0005-0000-0000-0000C3AC0000}"/>
    <cellStyle name="Percent 3 5 3" xfId="1908" xr:uid="{00000000-0005-0000-0000-0000C4AC0000}"/>
    <cellStyle name="Percent 3 5 3 2" xfId="4278" xr:uid="{00000000-0005-0000-0000-0000C5AC0000}"/>
    <cellStyle name="Percent 3 5 3 2 2" xfId="14817" xr:uid="{00000000-0005-0000-0000-0000C6AC0000}"/>
    <cellStyle name="Percent 3 5 3 2 3" xfId="35560" xr:uid="{00000000-0005-0000-0000-0000C7AC0000}"/>
    <cellStyle name="Percent 3 5 3 2 4" xfId="11196" xr:uid="{00000000-0005-0000-0000-0000C8AC0000}"/>
    <cellStyle name="Percent 3 5 3 3" xfId="5033" xr:uid="{00000000-0005-0000-0000-0000C9AC0000}"/>
    <cellStyle name="Percent 3 5 3 3 2" xfId="35989" xr:uid="{00000000-0005-0000-0000-0000CAAC0000}"/>
    <cellStyle name="Percent 3 5 3 3 3" xfId="28414" xr:uid="{00000000-0005-0000-0000-0000CBAC0000}"/>
    <cellStyle name="Percent 3 5 3 4" xfId="28415" xr:uid="{00000000-0005-0000-0000-0000CCAC0000}"/>
    <cellStyle name="Percent 3 5 3 4 2" xfId="38056" xr:uid="{00000000-0005-0000-0000-0000CDAC0000}"/>
    <cellStyle name="Percent 3 5 3 5" xfId="28416" xr:uid="{00000000-0005-0000-0000-0000CEAC0000}"/>
    <cellStyle name="Percent 3 5 3 6" xfId="28417" xr:uid="{00000000-0005-0000-0000-0000CFAC0000}"/>
    <cellStyle name="Percent 3 5 3 7" xfId="28418" xr:uid="{00000000-0005-0000-0000-0000D0AC0000}"/>
    <cellStyle name="Percent 3 5 4" xfId="1909" xr:uid="{00000000-0005-0000-0000-0000D1AC0000}"/>
    <cellStyle name="Percent 3 5 4 2" xfId="4279" xr:uid="{00000000-0005-0000-0000-0000D2AC0000}"/>
    <cellStyle name="Percent 3 5 4 2 2" xfId="14818" xr:uid="{00000000-0005-0000-0000-0000D3AC0000}"/>
    <cellStyle name="Percent 3 5 4 2 3" xfId="35561" xr:uid="{00000000-0005-0000-0000-0000D4AC0000}"/>
    <cellStyle name="Percent 3 5 4 2 4" xfId="11197" xr:uid="{00000000-0005-0000-0000-0000D5AC0000}"/>
    <cellStyle name="Percent 3 5 4 3" xfId="5034" xr:uid="{00000000-0005-0000-0000-0000D6AC0000}"/>
    <cellStyle name="Percent 3 5 4 3 2" xfId="35990" xr:uid="{00000000-0005-0000-0000-0000D7AC0000}"/>
    <cellStyle name="Percent 3 5 4 3 3" xfId="28419" xr:uid="{00000000-0005-0000-0000-0000D8AC0000}"/>
    <cellStyle name="Percent 3 5 4 4" xfId="28420" xr:uid="{00000000-0005-0000-0000-0000D9AC0000}"/>
    <cellStyle name="Percent 3 5 4 4 2" xfId="38057" xr:uid="{00000000-0005-0000-0000-0000DAAC0000}"/>
    <cellStyle name="Percent 3 5 4 5" xfId="28421" xr:uid="{00000000-0005-0000-0000-0000DBAC0000}"/>
    <cellStyle name="Percent 3 5 4 6" xfId="28422" xr:uid="{00000000-0005-0000-0000-0000DCAC0000}"/>
    <cellStyle name="Percent 3 5 4 7" xfId="28423" xr:uid="{00000000-0005-0000-0000-0000DDAC0000}"/>
    <cellStyle name="Percent 3 5 5" xfId="4276" xr:uid="{00000000-0005-0000-0000-0000DEAC0000}"/>
    <cellStyle name="Percent 3 5 5 2" xfId="14815" xr:uid="{00000000-0005-0000-0000-0000DFAC0000}"/>
    <cellStyle name="Percent 3 5 5 3" xfId="35558" xr:uid="{00000000-0005-0000-0000-0000E0AC0000}"/>
    <cellStyle name="Percent 3 5 5 4" xfId="11194" xr:uid="{00000000-0005-0000-0000-0000E1AC0000}"/>
    <cellStyle name="Percent 3 5 6" xfId="5031" xr:uid="{00000000-0005-0000-0000-0000E2AC0000}"/>
    <cellStyle name="Percent 3 5 6 2" xfId="35987" xr:uid="{00000000-0005-0000-0000-0000E3AC0000}"/>
    <cellStyle name="Percent 3 5 6 3" xfId="28424" xr:uid="{00000000-0005-0000-0000-0000E4AC0000}"/>
    <cellStyle name="Percent 3 5 7" xfId="28425" xr:uid="{00000000-0005-0000-0000-0000E5AC0000}"/>
    <cellStyle name="Percent 3 5 7 2" xfId="38054" xr:uid="{00000000-0005-0000-0000-0000E6AC0000}"/>
    <cellStyle name="Percent 3 5 8" xfId="28426" xr:uid="{00000000-0005-0000-0000-0000E7AC0000}"/>
    <cellStyle name="Percent 3 5 9" xfId="28427" xr:uid="{00000000-0005-0000-0000-0000E8AC0000}"/>
    <cellStyle name="Percent 3 6" xfId="1910" xr:uid="{00000000-0005-0000-0000-0000E9AC0000}"/>
    <cellStyle name="Percent 3 6 10" xfId="28428" xr:uid="{00000000-0005-0000-0000-0000EAAC0000}"/>
    <cellStyle name="Percent 3 6 2" xfId="1911" xr:uid="{00000000-0005-0000-0000-0000EBAC0000}"/>
    <cellStyle name="Percent 3 6 2 2" xfId="4281" xr:uid="{00000000-0005-0000-0000-0000ECAC0000}"/>
    <cellStyle name="Percent 3 6 2 2 2" xfId="14820" xr:uid="{00000000-0005-0000-0000-0000EDAC0000}"/>
    <cellStyle name="Percent 3 6 2 2 3" xfId="35563" xr:uid="{00000000-0005-0000-0000-0000EEAC0000}"/>
    <cellStyle name="Percent 3 6 2 2 4" xfId="11199" xr:uid="{00000000-0005-0000-0000-0000EFAC0000}"/>
    <cellStyle name="Percent 3 6 2 3" xfId="5036" xr:uid="{00000000-0005-0000-0000-0000F0AC0000}"/>
    <cellStyle name="Percent 3 6 2 3 2" xfId="35992" xr:uid="{00000000-0005-0000-0000-0000F1AC0000}"/>
    <cellStyle name="Percent 3 6 2 3 3" xfId="28429" xr:uid="{00000000-0005-0000-0000-0000F2AC0000}"/>
    <cellStyle name="Percent 3 6 2 4" xfId="28430" xr:uid="{00000000-0005-0000-0000-0000F3AC0000}"/>
    <cellStyle name="Percent 3 6 2 4 2" xfId="38059" xr:uid="{00000000-0005-0000-0000-0000F4AC0000}"/>
    <cellStyle name="Percent 3 6 2 5" xfId="28431" xr:uid="{00000000-0005-0000-0000-0000F5AC0000}"/>
    <cellStyle name="Percent 3 6 2 6" xfId="28432" xr:uid="{00000000-0005-0000-0000-0000F6AC0000}"/>
    <cellStyle name="Percent 3 6 2 7" xfId="28433" xr:uid="{00000000-0005-0000-0000-0000F7AC0000}"/>
    <cellStyle name="Percent 3 6 3" xfId="1912" xr:uid="{00000000-0005-0000-0000-0000F8AC0000}"/>
    <cellStyle name="Percent 3 6 3 2" xfId="4282" xr:uid="{00000000-0005-0000-0000-0000F9AC0000}"/>
    <cellStyle name="Percent 3 6 3 2 2" xfId="14821" xr:uid="{00000000-0005-0000-0000-0000FAAC0000}"/>
    <cellStyle name="Percent 3 6 3 2 3" xfId="35564" xr:uid="{00000000-0005-0000-0000-0000FBAC0000}"/>
    <cellStyle name="Percent 3 6 3 2 4" xfId="11200" xr:uid="{00000000-0005-0000-0000-0000FCAC0000}"/>
    <cellStyle name="Percent 3 6 3 3" xfId="5037" xr:uid="{00000000-0005-0000-0000-0000FDAC0000}"/>
    <cellStyle name="Percent 3 6 3 3 2" xfId="35993" xr:uid="{00000000-0005-0000-0000-0000FEAC0000}"/>
    <cellStyle name="Percent 3 6 3 3 3" xfId="28434" xr:uid="{00000000-0005-0000-0000-0000FFAC0000}"/>
    <cellStyle name="Percent 3 6 3 4" xfId="28435" xr:uid="{00000000-0005-0000-0000-000000AD0000}"/>
    <cellStyle name="Percent 3 6 3 4 2" xfId="38060" xr:uid="{00000000-0005-0000-0000-000001AD0000}"/>
    <cellStyle name="Percent 3 6 3 5" xfId="28436" xr:uid="{00000000-0005-0000-0000-000002AD0000}"/>
    <cellStyle name="Percent 3 6 3 6" xfId="28437" xr:uid="{00000000-0005-0000-0000-000003AD0000}"/>
    <cellStyle name="Percent 3 6 3 7" xfId="28438" xr:uid="{00000000-0005-0000-0000-000004AD0000}"/>
    <cellStyle name="Percent 3 6 4" xfId="1913" xr:uid="{00000000-0005-0000-0000-000005AD0000}"/>
    <cellStyle name="Percent 3 6 4 2" xfId="4283" xr:uid="{00000000-0005-0000-0000-000006AD0000}"/>
    <cellStyle name="Percent 3 6 4 2 2" xfId="14822" xr:uid="{00000000-0005-0000-0000-000007AD0000}"/>
    <cellStyle name="Percent 3 6 4 2 3" xfId="35565" xr:uid="{00000000-0005-0000-0000-000008AD0000}"/>
    <cellStyle name="Percent 3 6 4 2 4" xfId="11201" xr:uid="{00000000-0005-0000-0000-000009AD0000}"/>
    <cellStyle name="Percent 3 6 4 3" xfId="5038" xr:uid="{00000000-0005-0000-0000-00000AAD0000}"/>
    <cellStyle name="Percent 3 6 4 3 2" xfId="35994" xr:uid="{00000000-0005-0000-0000-00000BAD0000}"/>
    <cellStyle name="Percent 3 6 4 3 3" xfId="28439" xr:uid="{00000000-0005-0000-0000-00000CAD0000}"/>
    <cellStyle name="Percent 3 6 4 4" xfId="28440" xr:uid="{00000000-0005-0000-0000-00000DAD0000}"/>
    <cellStyle name="Percent 3 6 4 4 2" xfId="38061" xr:uid="{00000000-0005-0000-0000-00000EAD0000}"/>
    <cellStyle name="Percent 3 6 4 5" xfId="28441" xr:uid="{00000000-0005-0000-0000-00000FAD0000}"/>
    <cellStyle name="Percent 3 6 4 6" xfId="28442" xr:uid="{00000000-0005-0000-0000-000010AD0000}"/>
    <cellStyle name="Percent 3 6 4 7" xfId="28443" xr:uid="{00000000-0005-0000-0000-000011AD0000}"/>
    <cellStyle name="Percent 3 6 5" xfId="4280" xr:uid="{00000000-0005-0000-0000-000012AD0000}"/>
    <cellStyle name="Percent 3 6 5 2" xfId="14819" xr:uid="{00000000-0005-0000-0000-000013AD0000}"/>
    <cellStyle name="Percent 3 6 5 3" xfId="35562" xr:uid="{00000000-0005-0000-0000-000014AD0000}"/>
    <cellStyle name="Percent 3 6 5 4" xfId="11198" xr:uid="{00000000-0005-0000-0000-000015AD0000}"/>
    <cellStyle name="Percent 3 6 6" xfId="5035" xr:uid="{00000000-0005-0000-0000-000016AD0000}"/>
    <cellStyle name="Percent 3 6 6 2" xfId="35991" xr:uid="{00000000-0005-0000-0000-000017AD0000}"/>
    <cellStyle name="Percent 3 6 6 3" xfId="28444" xr:uid="{00000000-0005-0000-0000-000018AD0000}"/>
    <cellStyle name="Percent 3 6 7" xfId="28445" xr:uid="{00000000-0005-0000-0000-000019AD0000}"/>
    <cellStyle name="Percent 3 6 7 2" xfId="38058" xr:uid="{00000000-0005-0000-0000-00001AAD0000}"/>
    <cellStyle name="Percent 3 6 8" xfId="28446" xr:uid="{00000000-0005-0000-0000-00001BAD0000}"/>
    <cellStyle name="Percent 3 6 9" xfId="28447" xr:uid="{00000000-0005-0000-0000-00001CAD0000}"/>
    <cellStyle name="Percent 3 7" xfId="1914" xr:uid="{00000000-0005-0000-0000-00001DAD0000}"/>
    <cellStyle name="Percent 3 7 2" xfId="4285" xr:uid="{00000000-0005-0000-0000-00001EAD0000}"/>
    <cellStyle name="Percent 3 7 2 2" xfId="7899" xr:uid="{00000000-0005-0000-0000-00001FAD0000}"/>
    <cellStyle name="Percent 3 7 2 2 2" xfId="11204" xr:uid="{00000000-0005-0000-0000-000020AD0000}"/>
    <cellStyle name="Percent 3 7 2 2 2 2" xfId="14825" xr:uid="{00000000-0005-0000-0000-000021AD0000}"/>
    <cellStyle name="Percent 3 7 2 2 3" xfId="28448" xr:uid="{00000000-0005-0000-0000-000022AD0000}"/>
    <cellStyle name="Percent 3 7 2 2 4" xfId="28449" xr:uid="{00000000-0005-0000-0000-000023AD0000}"/>
    <cellStyle name="Percent 3 7 2 2 5" xfId="28450" xr:uid="{00000000-0005-0000-0000-000024AD0000}"/>
    <cellStyle name="Percent 3 7 2 2 6" xfId="28451" xr:uid="{00000000-0005-0000-0000-000025AD0000}"/>
    <cellStyle name="Percent 3 7 2 3" xfId="11203" xr:uid="{00000000-0005-0000-0000-000026AD0000}"/>
    <cellStyle name="Percent 3 7 2 3 2" xfId="14824" xr:uid="{00000000-0005-0000-0000-000027AD0000}"/>
    <cellStyle name="Percent 3 7 2 4" xfId="28452" xr:uid="{00000000-0005-0000-0000-000028AD0000}"/>
    <cellStyle name="Percent 3 7 2 5" xfId="28453" xr:uid="{00000000-0005-0000-0000-000029AD0000}"/>
    <cellStyle name="Percent 3 7 2 6" xfId="28454" xr:uid="{00000000-0005-0000-0000-00002AAD0000}"/>
    <cellStyle name="Percent 3 7 2 7" xfId="28455" xr:uid="{00000000-0005-0000-0000-00002BAD0000}"/>
    <cellStyle name="Percent 3 7 2 8" xfId="8337" xr:uid="{00000000-0005-0000-0000-00002CAD0000}"/>
    <cellStyle name="Percent 3 7 3" xfId="4284" xr:uid="{00000000-0005-0000-0000-00002DAD0000}"/>
    <cellStyle name="Percent 3 7 3 2" xfId="14823" xr:uid="{00000000-0005-0000-0000-00002EAD0000}"/>
    <cellStyle name="Percent 3 7 3 3" xfId="35566" xr:uid="{00000000-0005-0000-0000-00002FAD0000}"/>
    <cellStyle name="Percent 3 7 3 4" xfId="11202" xr:uid="{00000000-0005-0000-0000-000030AD0000}"/>
    <cellStyle name="Percent 3 7 4" xfId="5039" xr:uid="{00000000-0005-0000-0000-000031AD0000}"/>
    <cellStyle name="Percent 3 7 4 2" xfId="35995" xr:uid="{00000000-0005-0000-0000-000032AD0000}"/>
    <cellStyle name="Percent 3 7 4 3" xfId="28456" xr:uid="{00000000-0005-0000-0000-000033AD0000}"/>
    <cellStyle name="Percent 3 7 5" xfId="28457" xr:uid="{00000000-0005-0000-0000-000034AD0000}"/>
    <cellStyle name="Percent 3 7 5 2" xfId="38062" xr:uid="{00000000-0005-0000-0000-000035AD0000}"/>
    <cellStyle name="Percent 3 7 6" xfId="28458" xr:uid="{00000000-0005-0000-0000-000036AD0000}"/>
    <cellStyle name="Percent 3 7 7" xfId="28459" xr:uid="{00000000-0005-0000-0000-000037AD0000}"/>
    <cellStyle name="Percent 3 7 8" xfId="28460" xr:uid="{00000000-0005-0000-0000-000038AD0000}"/>
    <cellStyle name="Percent 3 8" xfId="1915" xr:uid="{00000000-0005-0000-0000-000039AD0000}"/>
    <cellStyle name="Percent 3 8 2" xfId="11205" xr:uid="{00000000-0005-0000-0000-00003AAD0000}"/>
    <cellStyle name="Percent 3 8 2 2" xfId="14826" xr:uid="{00000000-0005-0000-0000-00003BAD0000}"/>
    <cellStyle name="Percent 3 8 3" xfId="28461" xr:uid="{00000000-0005-0000-0000-00003CAD0000}"/>
    <cellStyle name="Percent 3 8 4" xfId="28462" xr:uid="{00000000-0005-0000-0000-00003DAD0000}"/>
    <cellStyle name="Percent 3 8 5" xfId="28463" xr:uid="{00000000-0005-0000-0000-00003EAD0000}"/>
    <cellStyle name="Percent 3 8 6" xfId="28464" xr:uid="{00000000-0005-0000-0000-00003FAD0000}"/>
    <cellStyle name="Percent 3 8 7" xfId="28465" xr:uid="{00000000-0005-0000-0000-000040AD0000}"/>
    <cellStyle name="Percent 3 9" xfId="1916" xr:uid="{00000000-0005-0000-0000-000041AD0000}"/>
    <cellStyle name="Percent 3 9 2" xfId="1917" xr:uid="{00000000-0005-0000-0000-000042AD0000}"/>
    <cellStyle name="Percent 3 9 2 2" xfId="4287" xr:uid="{00000000-0005-0000-0000-000043AD0000}"/>
    <cellStyle name="Percent 3 9 2 2 2" xfId="28467" xr:uid="{00000000-0005-0000-0000-000044AD0000}"/>
    <cellStyle name="Percent 3 9 2 2 3" xfId="28468" xr:uid="{00000000-0005-0000-0000-000045AD0000}"/>
    <cellStyle name="Percent 3 9 2 2 4" xfId="28469" xr:uid="{00000000-0005-0000-0000-000046AD0000}"/>
    <cellStyle name="Percent 3 9 2 2 5" xfId="28470" xr:uid="{00000000-0005-0000-0000-000047AD0000}"/>
    <cellStyle name="Percent 3 9 2 2 6" xfId="28466" xr:uid="{00000000-0005-0000-0000-000048AD0000}"/>
    <cellStyle name="Percent 3 9 2 3" xfId="5041" xr:uid="{00000000-0005-0000-0000-000049AD0000}"/>
    <cellStyle name="Percent 3 9 2 3 2" xfId="35997" xr:uid="{00000000-0005-0000-0000-00004AAD0000}"/>
    <cellStyle name="Percent 3 9 2 3 3" xfId="14827" xr:uid="{00000000-0005-0000-0000-00004BAD0000}"/>
    <cellStyle name="Percent 3 9 2 4" xfId="38064" xr:uid="{00000000-0005-0000-0000-00004CAD0000}"/>
    <cellStyle name="Percent 3 9 2 5" xfId="11206" xr:uid="{00000000-0005-0000-0000-00004DAD0000}"/>
    <cellStyle name="Percent 3 9 3" xfId="4286" xr:uid="{00000000-0005-0000-0000-00004EAD0000}"/>
    <cellStyle name="Percent 3 9 3 2" xfId="35567" xr:uid="{00000000-0005-0000-0000-00004FAD0000}"/>
    <cellStyle name="Percent 3 9 3 3" xfId="28471" xr:uid="{00000000-0005-0000-0000-000050AD0000}"/>
    <cellStyle name="Percent 3 9 4" xfId="5040" xr:uid="{00000000-0005-0000-0000-000051AD0000}"/>
    <cellStyle name="Percent 3 9 4 2" xfId="35996" xr:uid="{00000000-0005-0000-0000-000052AD0000}"/>
    <cellStyle name="Percent 3 9 4 3" xfId="28472" xr:uid="{00000000-0005-0000-0000-000053AD0000}"/>
    <cellStyle name="Percent 3 9 5" xfId="28473" xr:uid="{00000000-0005-0000-0000-000054AD0000}"/>
    <cellStyle name="Percent 3 9 5 2" xfId="38063" xr:uid="{00000000-0005-0000-0000-000055AD0000}"/>
    <cellStyle name="Percent 3 9 6" xfId="28474" xr:uid="{00000000-0005-0000-0000-000056AD0000}"/>
    <cellStyle name="Percent 3 9 7" xfId="28475" xr:uid="{00000000-0005-0000-0000-000057AD0000}"/>
    <cellStyle name="Percent 30" xfId="4288" xr:uid="{00000000-0005-0000-0000-000058AD0000}"/>
    <cellStyle name="Percent 30 2" xfId="5634" xr:uid="{00000000-0005-0000-0000-000059AD0000}"/>
    <cellStyle name="Percent 30 2 2" xfId="11208" xr:uid="{00000000-0005-0000-0000-00005AAD0000}"/>
    <cellStyle name="Percent 30 2 2 2" xfId="14829" xr:uid="{00000000-0005-0000-0000-00005BAD0000}"/>
    <cellStyle name="Percent 30 2 3" xfId="28476" xr:uid="{00000000-0005-0000-0000-00005CAD0000}"/>
    <cellStyle name="Percent 30 2 4" xfId="28477" xr:uid="{00000000-0005-0000-0000-00005DAD0000}"/>
    <cellStyle name="Percent 30 2 5" xfId="28478" xr:uid="{00000000-0005-0000-0000-00005EAD0000}"/>
    <cellStyle name="Percent 30 2 6" xfId="28479" xr:uid="{00000000-0005-0000-0000-00005FAD0000}"/>
    <cellStyle name="Percent 30 3" xfId="11207" xr:uid="{00000000-0005-0000-0000-000060AD0000}"/>
    <cellStyle name="Percent 30 3 2" xfId="14828" xr:uid="{00000000-0005-0000-0000-000061AD0000}"/>
    <cellStyle name="Percent 30 3 3" xfId="38623" xr:uid="{00000000-0005-0000-0000-000062AD0000}"/>
    <cellStyle name="Percent 30 4" xfId="28480" xr:uid="{00000000-0005-0000-0000-000063AD0000}"/>
    <cellStyle name="Percent 30 5" xfId="28481" xr:uid="{00000000-0005-0000-0000-000064AD0000}"/>
    <cellStyle name="Percent 30 6" xfId="28482" xr:uid="{00000000-0005-0000-0000-000065AD0000}"/>
    <cellStyle name="Percent 30 7" xfId="28483" xr:uid="{00000000-0005-0000-0000-000066AD0000}"/>
    <cellStyle name="Percent 31" xfId="4289" xr:uid="{00000000-0005-0000-0000-000067AD0000}"/>
    <cellStyle name="Percent 31 2" xfId="5635" xr:uid="{00000000-0005-0000-0000-000068AD0000}"/>
    <cellStyle name="Percent 31 2 2" xfId="11210" xr:uid="{00000000-0005-0000-0000-000069AD0000}"/>
    <cellStyle name="Percent 31 2 2 2" xfId="14831" xr:uid="{00000000-0005-0000-0000-00006AAD0000}"/>
    <cellStyle name="Percent 31 2 3" xfId="28484" xr:uid="{00000000-0005-0000-0000-00006BAD0000}"/>
    <cellStyle name="Percent 31 2 4" xfId="28485" xr:uid="{00000000-0005-0000-0000-00006CAD0000}"/>
    <cellStyle name="Percent 31 2 5" xfId="28486" xr:uid="{00000000-0005-0000-0000-00006DAD0000}"/>
    <cellStyle name="Percent 31 2 6" xfId="28487" xr:uid="{00000000-0005-0000-0000-00006EAD0000}"/>
    <cellStyle name="Percent 31 3" xfId="11209" xr:uid="{00000000-0005-0000-0000-00006FAD0000}"/>
    <cellStyle name="Percent 31 3 2" xfId="14830" xr:uid="{00000000-0005-0000-0000-000070AD0000}"/>
    <cellStyle name="Percent 31 3 3" xfId="38624" xr:uid="{00000000-0005-0000-0000-000071AD0000}"/>
    <cellStyle name="Percent 31 4" xfId="28488" xr:uid="{00000000-0005-0000-0000-000072AD0000}"/>
    <cellStyle name="Percent 31 5" xfId="28489" xr:uid="{00000000-0005-0000-0000-000073AD0000}"/>
    <cellStyle name="Percent 31 6" xfId="28490" xr:uid="{00000000-0005-0000-0000-000074AD0000}"/>
    <cellStyle name="Percent 31 7" xfId="28491" xr:uid="{00000000-0005-0000-0000-000075AD0000}"/>
    <cellStyle name="Percent 32" xfId="4290" xr:uid="{00000000-0005-0000-0000-000076AD0000}"/>
    <cellStyle name="Percent 32 2" xfId="5636" xr:uid="{00000000-0005-0000-0000-000077AD0000}"/>
    <cellStyle name="Percent 32 2 2" xfId="11212" xr:uid="{00000000-0005-0000-0000-000078AD0000}"/>
    <cellStyle name="Percent 32 2 2 2" xfId="14833" xr:uid="{00000000-0005-0000-0000-000079AD0000}"/>
    <cellStyle name="Percent 32 2 3" xfId="28492" xr:uid="{00000000-0005-0000-0000-00007AAD0000}"/>
    <cellStyle name="Percent 32 2 4" xfId="28493" xr:uid="{00000000-0005-0000-0000-00007BAD0000}"/>
    <cellStyle name="Percent 32 2 5" xfId="28494" xr:uid="{00000000-0005-0000-0000-00007CAD0000}"/>
    <cellStyle name="Percent 32 2 6" xfId="28495" xr:uid="{00000000-0005-0000-0000-00007DAD0000}"/>
    <cellStyle name="Percent 32 3" xfId="11211" xr:uid="{00000000-0005-0000-0000-00007EAD0000}"/>
    <cellStyle name="Percent 32 3 2" xfId="14832" xr:uid="{00000000-0005-0000-0000-00007FAD0000}"/>
    <cellStyle name="Percent 32 3 3" xfId="38625" xr:uid="{00000000-0005-0000-0000-000080AD0000}"/>
    <cellStyle name="Percent 32 4" xfId="28496" xr:uid="{00000000-0005-0000-0000-000081AD0000}"/>
    <cellStyle name="Percent 32 5" xfId="28497" xr:uid="{00000000-0005-0000-0000-000082AD0000}"/>
    <cellStyle name="Percent 32 6" xfId="28498" xr:uid="{00000000-0005-0000-0000-000083AD0000}"/>
    <cellStyle name="Percent 32 7" xfId="28499" xr:uid="{00000000-0005-0000-0000-000084AD0000}"/>
    <cellStyle name="Percent 33" xfId="4291" xr:uid="{00000000-0005-0000-0000-000085AD0000}"/>
    <cellStyle name="Percent 33 2" xfId="5637" xr:uid="{00000000-0005-0000-0000-000086AD0000}"/>
    <cellStyle name="Percent 33 2 2" xfId="11214" xr:uid="{00000000-0005-0000-0000-000087AD0000}"/>
    <cellStyle name="Percent 33 2 2 2" xfId="14835" xr:uid="{00000000-0005-0000-0000-000088AD0000}"/>
    <cellStyle name="Percent 33 2 3" xfId="28500" xr:uid="{00000000-0005-0000-0000-000089AD0000}"/>
    <cellStyle name="Percent 33 2 4" xfId="28501" xr:uid="{00000000-0005-0000-0000-00008AAD0000}"/>
    <cellStyle name="Percent 33 2 5" xfId="28502" xr:uid="{00000000-0005-0000-0000-00008BAD0000}"/>
    <cellStyle name="Percent 33 2 6" xfId="28503" xr:uid="{00000000-0005-0000-0000-00008CAD0000}"/>
    <cellStyle name="Percent 33 3" xfId="11213" xr:uid="{00000000-0005-0000-0000-00008DAD0000}"/>
    <cellStyle name="Percent 33 3 2" xfId="14834" xr:uid="{00000000-0005-0000-0000-00008EAD0000}"/>
    <cellStyle name="Percent 33 3 3" xfId="38626" xr:uid="{00000000-0005-0000-0000-00008FAD0000}"/>
    <cellStyle name="Percent 33 4" xfId="28504" xr:uid="{00000000-0005-0000-0000-000090AD0000}"/>
    <cellStyle name="Percent 33 5" xfId="28505" xr:uid="{00000000-0005-0000-0000-000091AD0000}"/>
    <cellStyle name="Percent 33 6" xfId="28506" xr:uid="{00000000-0005-0000-0000-000092AD0000}"/>
    <cellStyle name="Percent 33 7" xfId="28507" xr:uid="{00000000-0005-0000-0000-000093AD0000}"/>
    <cellStyle name="Percent 34" xfId="4292" xr:uid="{00000000-0005-0000-0000-000094AD0000}"/>
    <cellStyle name="Percent 34 2" xfId="5638" xr:uid="{00000000-0005-0000-0000-000095AD0000}"/>
    <cellStyle name="Percent 34 2 2" xfId="11216" xr:uid="{00000000-0005-0000-0000-000096AD0000}"/>
    <cellStyle name="Percent 34 2 2 2" xfId="14837" xr:uid="{00000000-0005-0000-0000-000097AD0000}"/>
    <cellStyle name="Percent 34 2 3" xfId="28508" xr:uid="{00000000-0005-0000-0000-000098AD0000}"/>
    <cellStyle name="Percent 34 2 4" xfId="28509" xr:uid="{00000000-0005-0000-0000-000099AD0000}"/>
    <cellStyle name="Percent 34 2 5" xfId="28510" xr:uid="{00000000-0005-0000-0000-00009AAD0000}"/>
    <cellStyle name="Percent 34 2 6" xfId="28511" xr:uid="{00000000-0005-0000-0000-00009BAD0000}"/>
    <cellStyle name="Percent 34 3" xfId="11215" xr:uid="{00000000-0005-0000-0000-00009CAD0000}"/>
    <cellStyle name="Percent 34 3 2" xfId="14836" xr:uid="{00000000-0005-0000-0000-00009DAD0000}"/>
    <cellStyle name="Percent 34 3 3" xfId="38627" xr:uid="{00000000-0005-0000-0000-00009EAD0000}"/>
    <cellStyle name="Percent 34 4" xfId="28512" xr:uid="{00000000-0005-0000-0000-00009FAD0000}"/>
    <cellStyle name="Percent 34 5" xfId="28513" xr:uid="{00000000-0005-0000-0000-0000A0AD0000}"/>
    <cellStyle name="Percent 34 6" xfId="28514" xr:uid="{00000000-0005-0000-0000-0000A1AD0000}"/>
    <cellStyle name="Percent 34 7" xfId="28515" xr:uid="{00000000-0005-0000-0000-0000A2AD0000}"/>
    <cellStyle name="Percent 35" xfId="4293" xr:uid="{00000000-0005-0000-0000-0000A3AD0000}"/>
    <cellStyle name="Percent 35 2" xfId="5639" xr:uid="{00000000-0005-0000-0000-0000A4AD0000}"/>
    <cellStyle name="Percent 35 2 2" xfId="11218" xr:uid="{00000000-0005-0000-0000-0000A5AD0000}"/>
    <cellStyle name="Percent 35 2 2 2" xfId="14839" xr:uid="{00000000-0005-0000-0000-0000A6AD0000}"/>
    <cellStyle name="Percent 35 2 3" xfId="28516" xr:uid="{00000000-0005-0000-0000-0000A7AD0000}"/>
    <cellStyle name="Percent 35 2 4" xfId="28517" xr:uid="{00000000-0005-0000-0000-0000A8AD0000}"/>
    <cellStyle name="Percent 35 2 5" xfId="28518" xr:uid="{00000000-0005-0000-0000-0000A9AD0000}"/>
    <cellStyle name="Percent 35 2 6" xfId="28519" xr:uid="{00000000-0005-0000-0000-0000AAAD0000}"/>
    <cellStyle name="Percent 35 3" xfId="11217" xr:uid="{00000000-0005-0000-0000-0000ABAD0000}"/>
    <cellStyle name="Percent 35 3 2" xfId="14838" xr:uid="{00000000-0005-0000-0000-0000ACAD0000}"/>
    <cellStyle name="Percent 35 3 3" xfId="38628" xr:uid="{00000000-0005-0000-0000-0000ADAD0000}"/>
    <cellStyle name="Percent 35 4" xfId="28520" xr:uid="{00000000-0005-0000-0000-0000AEAD0000}"/>
    <cellStyle name="Percent 35 5" xfId="28521" xr:uid="{00000000-0005-0000-0000-0000AFAD0000}"/>
    <cellStyle name="Percent 35 6" xfId="28522" xr:uid="{00000000-0005-0000-0000-0000B0AD0000}"/>
    <cellStyle name="Percent 35 7" xfId="28523" xr:uid="{00000000-0005-0000-0000-0000B1AD0000}"/>
    <cellStyle name="Percent 36" xfId="4294" xr:uid="{00000000-0005-0000-0000-0000B2AD0000}"/>
    <cellStyle name="Percent 36 2" xfId="5640" xr:uid="{00000000-0005-0000-0000-0000B3AD0000}"/>
    <cellStyle name="Percent 36 2 2" xfId="11220" xr:uid="{00000000-0005-0000-0000-0000B4AD0000}"/>
    <cellStyle name="Percent 36 2 2 2" xfId="14841" xr:uid="{00000000-0005-0000-0000-0000B5AD0000}"/>
    <cellStyle name="Percent 36 2 3" xfId="28524" xr:uid="{00000000-0005-0000-0000-0000B6AD0000}"/>
    <cellStyle name="Percent 36 2 4" xfId="28525" xr:uid="{00000000-0005-0000-0000-0000B7AD0000}"/>
    <cellStyle name="Percent 36 2 5" xfId="28526" xr:uid="{00000000-0005-0000-0000-0000B8AD0000}"/>
    <cellStyle name="Percent 36 2 6" xfId="28527" xr:uid="{00000000-0005-0000-0000-0000B9AD0000}"/>
    <cellStyle name="Percent 36 3" xfId="11219" xr:uid="{00000000-0005-0000-0000-0000BAAD0000}"/>
    <cellStyle name="Percent 36 3 2" xfId="14840" xr:uid="{00000000-0005-0000-0000-0000BBAD0000}"/>
    <cellStyle name="Percent 36 3 3" xfId="38629" xr:uid="{00000000-0005-0000-0000-0000BCAD0000}"/>
    <cellStyle name="Percent 36 4" xfId="28528" xr:uid="{00000000-0005-0000-0000-0000BDAD0000}"/>
    <cellStyle name="Percent 36 5" xfId="28529" xr:uid="{00000000-0005-0000-0000-0000BEAD0000}"/>
    <cellStyle name="Percent 36 6" xfId="28530" xr:uid="{00000000-0005-0000-0000-0000BFAD0000}"/>
    <cellStyle name="Percent 36 7" xfId="28531" xr:uid="{00000000-0005-0000-0000-0000C0AD0000}"/>
    <cellStyle name="Percent 37" xfId="4295" xr:uid="{00000000-0005-0000-0000-0000C1AD0000}"/>
    <cellStyle name="Percent 37 2" xfId="5641" xr:uid="{00000000-0005-0000-0000-0000C2AD0000}"/>
    <cellStyle name="Percent 37 2 2" xfId="11222" xr:uid="{00000000-0005-0000-0000-0000C3AD0000}"/>
    <cellStyle name="Percent 37 2 2 2" xfId="14843" xr:uid="{00000000-0005-0000-0000-0000C4AD0000}"/>
    <cellStyle name="Percent 37 2 3" xfId="28532" xr:uid="{00000000-0005-0000-0000-0000C5AD0000}"/>
    <cellStyle name="Percent 37 2 4" xfId="28533" xr:uid="{00000000-0005-0000-0000-0000C6AD0000}"/>
    <cellStyle name="Percent 37 2 5" xfId="28534" xr:uid="{00000000-0005-0000-0000-0000C7AD0000}"/>
    <cellStyle name="Percent 37 2 6" xfId="28535" xr:uid="{00000000-0005-0000-0000-0000C8AD0000}"/>
    <cellStyle name="Percent 37 3" xfId="11221" xr:uid="{00000000-0005-0000-0000-0000C9AD0000}"/>
    <cellStyle name="Percent 37 3 2" xfId="14842" xr:uid="{00000000-0005-0000-0000-0000CAAD0000}"/>
    <cellStyle name="Percent 37 3 3" xfId="38630" xr:uid="{00000000-0005-0000-0000-0000CBAD0000}"/>
    <cellStyle name="Percent 37 4" xfId="28536" xr:uid="{00000000-0005-0000-0000-0000CCAD0000}"/>
    <cellStyle name="Percent 37 5" xfId="28537" xr:uid="{00000000-0005-0000-0000-0000CDAD0000}"/>
    <cellStyle name="Percent 37 6" xfId="28538" xr:uid="{00000000-0005-0000-0000-0000CEAD0000}"/>
    <cellStyle name="Percent 37 7" xfId="28539" xr:uid="{00000000-0005-0000-0000-0000CFAD0000}"/>
    <cellStyle name="Percent 38" xfId="4296" xr:uid="{00000000-0005-0000-0000-0000D0AD0000}"/>
    <cellStyle name="Percent 38 2" xfId="5642" xr:uid="{00000000-0005-0000-0000-0000D1AD0000}"/>
    <cellStyle name="Percent 38 2 2" xfId="11224" xr:uid="{00000000-0005-0000-0000-0000D2AD0000}"/>
    <cellStyle name="Percent 38 2 2 2" xfId="14845" xr:uid="{00000000-0005-0000-0000-0000D3AD0000}"/>
    <cellStyle name="Percent 38 2 3" xfId="28540" xr:uid="{00000000-0005-0000-0000-0000D4AD0000}"/>
    <cellStyle name="Percent 38 2 4" xfId="28541" xr:uid="{00000000-0005-0000-0000-0000D5AD0000}"/>
    <cellStyle name="Percent 38 2 5" xfId="28542" xr:uid="{00000000-0005-0000-0000-0000D6AD0000}"/>
    <cellStyle name="Percent 38 2 6" xfId="28543" xr:uid="{00000000-0005-0000-0000-0000D7AD0000}"/>
    <cellStyle name="Percent 38 3" xfId="11223" xr:uid="{00000000-0005-0000-0000-0000D8AD0000}"/>
    <cellStyle name="Percent 38 3 2" xfId="14844" xr:uid="{00000000-0005-0000-0000-0000D9AD0000}"/>
    <cellStyle name="Percent 38 3 3" xfId="38631" xr:uid="{00000000-0005-0000-0000-0000DAAD0000}"/>
    <cellStyle name="Percent 38 4" xfId="28544" xr:uid="{00000000-0005-0000-0000-0000DBAD0000}"/>
    <cellStyle name="Percent 38 5" xfId="28545" xr:uid="{00000000-0005-0000-0000-0000DCAD0000}"/>
    <cellStyle name="Percent 38 6" xfId="28546" xr:uid="{00000000-0005-0000-0000-0000DDAD0000}"/>
    <cellStyle name="Percent 38 7" xfId="28547" xr:uid="{00000000-0005-0000-0000-0000DEAD0000}"/>
    <cellStyle name="Percent 39" xfId="4297" xr:uid="{00000000-0005-0000-0000-0000DFAD0000}"/>
    <cellStyle name="Percent 39 2" xfId="5643" xr:uid="{00000000-0005-0000-0000-0000E0AD0000}"/>
    <cellStyle name="Percent 39 2 2" xfId="11226" xr:uid="{00000000-0005-0000-0000-0000E1AD0000}"/>
    <cellStyle name="Percent 39 2 2 2" xfId="14847" xr:uid="{00000000-0005-0000-0000-0000E2AD0000}"/>
    <cellStyle name="Percent 39 2 3" xfId="28548" xr:uid="{00000000-0005-0000-0000-0000E3AD0000}"/>
    <cellStyle name="Percent 39 2 4" xfId="28549" xr:uid="{00000000-0005-0000-0000-0000E4AD0000}"/>
    <cellStyle name="Percent 39 2 5" xfId="28550" xr:uid="{00000000-0005-0000-0000-0000E5AD0000}"/>
    <cellStyle name="Percent 39 2 6" xfId="28551" xr:uid="{00000000-0005-0000-0000-0000E6AD0000}"/>
    <cellStyle name="Percent 39 3" xfId="11225" xr:uid="{00000000-0005-0000-0000-0000E7AD0000}"/>
    <cellStyle name="Percent 39 3 2" xfId="14846" xr:uid="{00000000-0005-0000-0000-0000E8AD0000}"/>
    <cellStyle name="Percent 39 3 3" xfId="38632" xr:uid="{00000000-0005-0000-0000-0000E9AD0000}"/>
    <cellStyle name="Percent 39 4" xfId="28552" xr:uid="{00000000-0005-0000-0000-0000EAAD0000}"/>
    <cellStyle name="Percent 39 5" xfId="28553" xr:uid="{00000000-0005-0000-0000-0000EBAD0000}"/>
    <cellStyle name="Percent 39 6" xfId="28554" xr:uid="{00000000-0005-0000-0000-0000ECAD0000}"/>
    <cellStyle name="Percent 39 7" xfId="28555" xr:uid="{00000000-0005-0000-0000-0000EDAD0000}"/>
    <cellStyle name="Percent 4" xfId="6617" xr:uid="{00000000-0005-0000-0000-0000EEAD0000}"/>
    <cellStyle name="Percent 4 10" xfId="28556" xr:uid="{00000000-0005-0000-0000-0000EFAD0000}"/>
    <cellStyle name="Percent 4 11" xfId="28557" xr:uid="{00000000-0005-0000-0000-0000F0AD0000}"/>
    <cellStyle name="Percent 4 12" xfId="39747" xr:uid="{00000000-0005-0000-0000-0000F1AD0000}"/>
    <cellStyle name="Percent 4 2" xfId="4298" xr:uid="{00000000-0005-0000-0000-0000F2AD0000}"/>
    <cellStyle name="Percent 4 2 2" xfId="6737" xr:uid="{00000000-0005-0000-0000-0000F3AD0000}"/>
    <cellStyle name="Percent 4 2 2 2" xfId="11229" xr:uid="{00000000-0005-0000-0000-0000F4AD0000}"/>
    <cellStyle name="Percent 4 2 2 2 2" xfId="14850" xr:uid="{00000000-0005-0000-0000-0000F5AD0000}"/>
    <cellStyle name="Percent 4 2 2 3" xfId="28558" xr:uid="{00000000-0005-0000-0000-0000F6AD0000}"/>
    <cellStyle name="Percent 4 2 2 4" xfId="28559" xr:uid="{00000000-0005-0000-0000-0000F7AD0000}"/>
    <cellStyle name="Percent 4 2 2 5" xfId="28560" xr:uid="{00000000-0005-0000-0000-0000F8AD0000}"/>
    <cellStyle name="Percent 4 2 2 6" xfId="28561" xr:uid="{00000000-0005-0000-0000-0000F9AD0000}"/>
    <cellStyle name="Percent 4 2 3" xfId="11228" xr:uid="{00000000-0005-0000-0000-0000FAAD0000}"/>
    <cellStyle name="Percent 4 2 3 2" xfId="14849" xr:uid="{00000000-0005-0000-0000-0000FBAD0000}"/>
    <cellStyle name="Percent 4 2 4" xfId="28562" xr:uid="{00000000-0005-0000-0000-0000FCAD0000}"/>
    <cellStyle name="Percent 4 2 5" xfId="28563" xr:uid="{00000000-0005-0000-0000-0000FDAD0000}"/>
    <cellStyle name="Percent 4 2 6" xfId="28564" xr:uid="{00000000-0005-0000-0000-0000FEAD0000}"/>
    <cellStyle name="Percent 4 2 7" xfId="28565" xr:uid="{00000000-0005-0000-0000-0000FFAD0000}"/>
    <cellStyle name="Percent 4 3" xfId="4299" xr:uid="{00000000-0005-0000-0000-000000AE0000}"/>
    <cellStyle name="Percent 4 3 2" xfId="6738" xr:uid="{00000000-0005-0000-0000-000001AE0000}"/>
    <cellStyle name="Percent 4 3 2 2" xfId="11231" xr:uid="{00000000-0005-0000-0000-000002AE0000}"/>
    <cellStyle name="Percent 4 3 2 2 2" xfId="14852" xr:uid="{00000000-0005-0000-0000-000003AE0000}"/>
    <cellStyle name="Percent 4 3 2 3" xfId="28566" xr:uid="{00000000-0005-0000-0000-000004AE0000}"/>
    <cellStyle name="Percent 4 3 2 4" xfId="28567" xr:uid="{00000000-0005-0000-0000-000005AE0000}"/>
    <cellStyle name="Percent 4 3 2 5" xfId="28568" xr:uid="{00000000-0005-0000-0000-000006AE0000}"/>
    <cellStyle name="Percent 4 3 2 6" xfId="28569" xr:uid="{00000000-0005-0000-0000-000007AE0000}"/>
    <cellStyle name="Percent 4 3 3" xfId="11230" xr:uid="{00000000-0005-0000-0000-000008AE0000}"/>
    <cellStyle name="Percent 4 3 3 2" xfId="14851" xr:uid="{00000000-0005-0000-0000-000009AE0000}"/>
    <cellStyle name="Percent 4 3 4" xfId="28570" xr:uid="{00000000-0005-0000-0000-00000AAE0000}"/>
    <cellStyle name="Percent 4 3 5" xfId="28571" xr:uid="{00000000-0005-0000-0000-00000BAE0000}"/>
    <cellStyle name="Percent 4 3 6" xfId="28572" xr:uid="{00000000-0005-0000-0000-00000CAE0000}"/>
    <cellStyle name="Percent 4 3 7" xfId="28573" xr:uid="{00000000-0005-0000-0000-00000DAE0000}"/>
    <cellStyle name="Percent 4 4" xfId="4300" xr:uid="{00000000-0005-0000-0000-00000EAE0000}"/>
    <cellStyle name="Percent 4 4 2" xfId="5644" xr:uid="{00000000-0005-0000-0000-00000FAE0000}"/>
    <cellStyle name="Percent 4 4 2 2" xfId="14853" xr:uid="{00000000-0005-0000-0000-000010AE0000}"/>
    <cellStyle name="Percent 4 4 2 3" xfId="36155" xr:uid="{00000000-0005-0000-0000-000011AE0000}"/>
    <cellStyle name="Percent 4 4 2 4" xfId="11232" xr:uid="{00000000-0005-0000-0000-000012AE0000}"/>
    <cellStyle name="Percent 4 4 3" xfId="28574" xr:uid="{00000000-0005-0000-0000-000013AE0000}"/>
    <cellStyle name="Percent 4 4 3 2" xfId="38633" xr:uid="{00000000-0005-0000-0000-000014AE0000}"/>
    <cellStyle name="Percent 4 4 4" xfId="28575" xr:uid="{00000000-0005-0000-0000-000015AE0000}"/>
    <cellStyle name="Percent 4 4 5" xfId="28576" xr:uid="{00000000-0005-0000-0000-000016AE0000}"/>
    <cellStyle name="Percent 4 4 6" xfId="28577" xr:uid="{00000000-0005-0000-0000-000017AE0000}"/>
    <cellStyle name="Percent 4 5" xfId="8511" xr:uid="{00000000-0005-0000-0000-000018AE0000}"/>
    <cellStyle name="Percent 4 5 2" xfId="11233" xr:uid="{00000000-0005-0000-0000-000019AE0000}"/>
    <cellStyle name="Percent 4 5 2 2" xfId="14854" xr:uid="{00000000-0005-0000-0000-00001AAE0000}"/>
    <cellStyle name="Percent 4 5 3" xfId="28578" xr:uid="{00000000-0005-0000-0000-00001BAE0000}"/>
    <cellStyle name="Percent 4 5 4" xfId="28579" xr:uid="{00000000-0005-0000-0000-00001CAE0000}"/>
    <cellStyle name="Percent 4 5 5" xfId="28580" xr:uid="{00000000-0005-0000-0000-00001DAE0000}"/>
    <cellStyle name="Percent 4 5 6" xfId="28581" xr:uid="{00000000-0005-0000-0000-00001EAE0000}"/>
    <cellStyle name="Percent 4 5 7" xfId="41331" xr:uid="{00000000-0005-0000-0000-00001FAE0000}"/>
    <cellStyle name="Percent 4 6" xfId="11234" xr:uid="{00000000-0005-0000-0000-000020AE0000}"/>
    <cellStyle name="Percent 4 6 2" xfId="14855" xr:uid="{00000000-0005-0000-0000-000021AE0000}"/>
    <cellStyle name="Percent 4 7" xfId="11227" xr:uid="{00000000-0005-0000-0000-000022AE0000}"/>
    <cellStyle name="Percent 4 7 2" xfId="14848" xr:uid="{00000000-0005-0000-0000-000023AE0000}"/>
    <cellStyle name="Percent 4 8" xfId="28582" xr:uid="{00000000-0005-0000-0000-000024AE0000}"/>
    <cellStyle name="Percent 4 9" xfId="28583" xr:uid="{00000000-0005-0000-0000-000025AE0000}"/>
    <cellStyle name="Percent 40" xfId="4301" xr:uid="{00000000-0005-0000-0000-000026AE0000}"/>
    <cellStyle name="Percent 40 2" xfId="5645" xr:uid="{00000000-0005-0000-0000-000027AE0000}"/>
    <cellStyle name="Percent 40 2 2" xfId="11236" xr:uid="{00000000-0005-0000-0000-000028AE0000}"/>
    <cellStyle name="Percent 40 2 2 2" xfId="14857" xr:uid="{00000000-0005-0000-0000-000029AE0000}"/>
    <cellStyle name="Percent 40 2 3" xfId="28584" xr:uid="{00000000-0005-0000-0000-00002AAE0000}"/>
    <cellStyle name="Percent 40 2 4" xfId="28585" xr:uid="{00000000-0005-0000-0000-00002BAE0000}"/>
    <cellStyle name="Percent 40 2 5" xfId="28586" xr:uid="{00000000-0005-0000-0000-00002CAE0000}"/>
    <cellStyle name="Percent 40 2 6" xfId="28587" xr:uid="{00000000-0005-0000-0000-00002DAE0000}"/>
    <cellStyle name="Percent 40 3" xfId="11235" xr:uid="{00000000-0005-0000-0000-00002EAE0000}"/>
    <cellStyle name="Percent 40 3 2" xfId="14856" xr:uid="{00000000-0005-0000-0000-00002FAE0000}"/>
    <cellStyle name="Percent 40 3 3" xfId="38634" xr:uid="{00000000-0005-0000-0000-000030AE0000}"/>
    <cellStyle name="Percent 40 4" xfId="28588" xr:uid="{00000000-0005-0000-0000-000031AE0000}"/>
    <cellStyle name="Percent 40 5" xfId="28589" xr:uid="{00000000-0005-0000-0000-000032AE0000}"/>
    <cellStyle name="Percent 40 6" xfId="28590" xr:uid="{00000000-0005-0000-0000-000033AE0000}"/>
    <cellStyle name="Percent 40 7" xfId="28591" xr:uid="{00000000-0005-0000-0000-000034AE0000}"/>
    <cellStyle name="Percent 41" xfId="4302" xr:uid="{00000000-0005-0000-0000-000035AE0000}"/>
    <cellStyle name="Percent 41 2" xfId="5646" xr:uid="{00000000-0005-0000-0000-000036AE0000}"/>
    <cellStyle name="Percent 41 2 2" xfId="11238" xr:uid="{00000000-0005-0000-0000-000037AE0000}"/>
    <cellStyle name="Percent 41 2 2 2" xfId="14859" xr:uid="{00000000-0005-0000-0000-000038AE0000}"/>
    <cellStyle name="Percent 41 2 3" xfId="28592" xr:uid="{00000000-0005-0000-0000-000039AE0000}"/>
    <cellStyle name="Percent 41 2 4" xfId="28593" xr:uid="{00000000-0005-0000-0000-00003AAE0000}"/>
    <cellStyle name="Percent 41 2 5" xfId="28594" xr:uid="{00000000-0005-0000-0000-00003BAE0000}"/>
    <cellStyle name="Percent 41 2 6" xfId="28595" xr:uid="{00000000-0005-0000-0000-00003CAE0000}"/>
    <cellStyle name="Percent 41 3" xfId="11237" xr:uid="{00000000-0005-0000-0000-00003DAE0000}"/>
    <cellStyle name="Percent 41 3 2" xfId="14858" xr:uid="{00000000-0005-0000-0000-00003EAE0000}"/>
    <cellStyle name="Percent 41 3 3" xfId="38635" xr:uid="{00000000-0005-0000-0000-00003FAE0000}"/>
    <cellStyle name="Percent 41 4" xfId="28596" xr:uid="{00000000-0005-0000-0000-000040AE0000}"/>
    <cellStyle name="Percent 41 5" xfId="28597" xr:uid="{00000000-0005-0000-0000-000041AE0000}"/>
    <cellStyle name="Percent 41 6" xfId="28598" xr:uid="{00000000-0005-0000-0000-000042AE0000}"/>
    <cellStyle name="Percent 41 7" xfId="28599" xr:uid="{00000000-0005-0000-0000-000043AE0000}"/>
    <cellStyle name="Percent 42" xfId="4303" xr:uid="{00000000-0005-0000-0000-000044AE0000}"/>
    <cellStyle name="Percent 42 2" xfId="5647" xr:uid="{00000000-0005-0000-0000-000045AE0000}"/>
    <cellStyle name="Percent 42 2 2" xfId="11240" xr:uid="{00000000-0005-0000-0000-000046AE0000}"/>
    <cellStyle name="Percent 42 2 2 2" xfId="14861" xr:uid="{00000000-0005-0000-0000-000047AE0000}"/>
    <cellStyle name="Percent 42 2 3" xfId="28600" xr:uid="{00000000-0005-0000-0000-000048AE0000}"/>
    <cellStyle name="Percent 42 2 4" xfId="28601" xr:uid="{00000000-0005-0000-0000-000049AE0000}"/>
    <cellStyle name="Percent 42 2 5" xfId="28602" xr:uid="{00000000-0005-0000-0000-00004AAE0000}"/>
    <cellStyle name="Percent 42 2 6" xfId="28603" xr:uid="{00000000-0005-0000-0000-00004BAE0000}"/>
    <cellStyle name="Percent 42 3" xfId="11239" xr:uid="{00000000-0005-0000-0000-00004CAE0000}"/>
    <cellStyle name="Percent 42 3 2" xfId="14860" xr:uid="{00000000-0005-0000-0000-00004DAE0000}"/>
    <cellStyle name="Percent 42 3 3" xfId="38636" xr:uid="{00000000-0005-0000-0000-00004EAE0000}"/>
    <cellStyle name="Percent 42 4" xfId="28604" xr:uid="{00000000-0005-0000-0000-00004FAE0000}"/>
    <cellStyle name="Percent 42 5" xfId="28605" xr:uid="{00000000-0005-0000-0000-000050AE0000}"/>
    <cellStyle name="Percent 42 6" xfId="28606" xr:uid="{00000000-0005-0000-0000-000051AE0000}"/>
    <cellStyle name="Percent 42 7" xfId="28607" xr:uid="{00000000-0005-0000-0000-000052AE0000}"/>
    <cellStyle name="Percent 43" xfId="4304" xr:uid="{00000000-0005-0000-0000-000053AE0000}"/>
    <cellStyle name="Percent 43 2" xfId="5648" xr:uid="{00000000-0005-0000-0000-000054AE0000}"/>
    <cellStyle name="Percent 43 2 2" xfId="11242" xr:uid="{00000000-0005-0000-0000-000055AE0000}"/>
    <cellStyle name="Percent 43 2 2 2" xfId="14863" xr:uid="{00000000-0005-0000-0000-000056AE0000}"/>
    <cellStyle name="Percent 43 2 3" xfId="28608" xr:uid="{00000000-0005-0000-0000-000057AE0000}"/>
    <cellStyle name="Percent 43 2 4" xfId="28609" xr:uid="{00000000-0005-0000-0000-000058AE0000}"/>
    <cellStyle name="Percent 43 2 5" xfId="28610" xr:uid="{00000000-0005-0000-0000-000059AE0000}"/>
    <cellStyle name="Percent 43 2 6" xfId="28611" xr:uid="{00000000-0005-0000-0000-00005AAE0000}"/>
    <cellStyle name="Percent 43 3" xfId="11241" xr:uid="{00000000-0005-0000-0000-00005BAE0000}"/>
    <cellStyle name="Percent 43 3 2" xfId="14862" xr:uid="{00000000-0005-0000-0000-00005CAE0000}"/>
    <cellStyle name="Percent 43 3 3" xfId="38637" xr:uid="{00000000-0005-0000-0000-00005DAE0000}"/>
    <cellStyle name="Percent 43 4" xfId="28612" xr:uid="{00000000-0005-0000-0000-00005EAE0000}"/>
    <cellStyle name="Percent 43 5" xfId="28613" xr:uid="{00000000-0005-0000-0000-00005FAE0000}"/>
    <cellStyle name="Percent 43 6" xfId="28614" xr:uid="{00000000-0005-0000-0000-000060AE0000}"/>
    <cellStyle name="Percent 43 7" xfId="28615" xr:uid="{00000000-0005-0000-0000-000061AE0000}"/>
    <cellStyle name="Percent 44" xfId="4305" xr:uid="{00000000-0005-0000-0000-000062AE0000}"/>
    <cellStyle name="Percent 44 2" xfId="5649" xr:uid="{00000000-0005-0000-0000-000063AE0000}"/>
    <cellStyle name="Percent 44 2 2" xfId="11244" xr:uid="{00000000-0005-0000-0000-000064AE0000}"/>
    <cellStyle name="Percent 44 2 2 2" xfId="14865" xr:uid="{00000000-0005-0000-0000-000065AE0000}"/>
    <cellStyle name="Percent 44 2 3" xfId="28616" xr:uid="{00000000-0005-0000-0000-000066AE0000}"/>
    <cellStyle name="Percent 44 2 4" xfId="28617" xr:uid="{00000000-0005-0000-0000-000067AE0000}"/>
    <cellStyle name="Percent 44 2 5" xfId="28618" xr:uid="{00000000-0005-0000-0000-000068AE0000}"/>
    <cellStyle name="Percent 44 2 6" xfId="28619" xr:uid="{00000000-0005-0000-0000-000069AE0000}"/>
    <cellStyle name="Percent 44 3" xfId="11243" xr:uid="{00000000-0005-0000-0000-00006AAE0000}"/>
    <cellStyle name="Percent 44 3 2" xfId="14864" xr:uid="{00000000-0005-0000-0000-00006BAE0000}"/>
    <cellStyle name="Percent 44 3 3" xfId="38638" xr:uid="{00000000-0005-0000-0000-00006CAE0000}"/>
    <cellStyle name="Percent 44 4" xfId="28620" xr:uid="{00000000-0005-0000-0000-00006DAE0000}"/>
    <cellStyle name="Percent 44 5" xfId="28621" xr:uid="{00000000-0005-0000-0000-00006EAE0000}"/>
    <cellStyle name="Percent 44 6" xfId="28622" xr:uid="{00000000-0005-0000-0000-00006FAE0000}"/>
    <cellStyle name="Percent 44 7" xfId="28623" xr:uid="{00000000-0005-0000-0000-000070AE0000}"/>
    <cellStyle name="Percent 45" xfId="4306" xr:uid="{00000000-0005-0000-0000-000071AE0000}"/>
    <cellStyle name="Percent 45 2" xfId="5650" xr:uid="{00000000-0005-0000-0000-000072AE0000}"/>
    <cellStyle name="Percent 45 2 2" xfId="11246" xr:uid="{00000000-0005-0000-0000-000073AE0000}"/>
    <cellStyle name="Percent 45 2 2 2" xfId="14867" xr:uid="{00000000-0005-0000-0000-000074AE0000}"/>
    <cellStyle name="Percent 45 2 3" xfId="28624" xr:uid="{00000000-0005-0000-0000-000075AE0000}"/>
    <cellStyle name="Percent 45 2 4" xfId="28625" xr:uid="{00000000-0005-0000-0000-000076AE0000}"/>
    <cellStyle name="Percent 45 2 5" xfId="28626" xr:uid="{00000000-0005-0000-0000-000077AE0000}"/>
    <cellStyle name="Percent 45 2 6" xfId="28627" xr:uid="{00000000-0005-0000-0000-000078AE0000}"/>
    <cellStyle name="Percent 45 3" xfId="11245" xr:uid="{00000000-0005-0000-0000-000079AE0000}"/>
    <cellStyle name="Percent 45 3 2" xfId="14866" xr:uid="{00000000-0005-0000-0000-00007AAE0000}"/>
    <cellStyle name="Percent 45 3 3" xfId="38639" xr:uid="{00000000-0005-0000-0000-00007BAE0000}"/>
    <cellStyle name="Percent 45 4" xfId="28628" xr:uid="{00000000-0005-0000-0000-00007CAE0000}"/>
    <cellStyle name="Percent 45 5" xfId="28629" xr:uid="{00000000-0005-0000-0000-00007DAE0000}"/>
    <cellStyle name="Percent 45 6" xfId="28630" xr:uid="{00000000-0005-0000-0000-00007EAE0000}"/>
    <cellStyle name="Percent 45 7" xfId="28631" xr:uid="{00000000-0005-0000-0000-00007FAE0000}"/>
    <cellStyle name="Percent 46" xfId="4307" xr:uid="{00000000-0005-0000-0000-000080AE0000}"/>
    <cellStyle name="Percent 46 2" xfId="5651" xr:uid="{00000000-0005-0000-0000-000081AE0000}"/>
    <cellStyle name="Percent 46 2 2" xfId="11248" xr:uid="{00000000-0005-0000-0000-000082AE0000}"/>
    <cellStyle name="Percent 46 2 2 2" xfId="14869" xr:uid="{00000000-0005-0000-0000-000083AE0000}"/>
    <cellStyle name="Percent 46 2 3" xfId="28632" xr:uid="{00000000-0005-0000-0000-000084AE0000}"/>
    <cellStyle name="Percent 46 2 4" xfId="28633" xr:uid="{00000000-0005-0000-0000-000085AE0000}"/>
    <cellStyle name="Percent 46 2 5" xfId="28634" xr:uid="{00000000-0005-0000-0000-000086AE0000}"/>
    <cellStyle name="Percent 46 2 6" xfId="28635" xr:uid="{00000000-0005-0000-0000-000087AE0000}"/>
    <cellStyle name="Percent 46 3" xfId="11247" xr:uid="{00000000-0005-0000-0000-000088AE0000}"/>
    <cellStyle name="Percent 46 3 2" xfId="14868" xr:uid="{00000000-0005-0000-0000-000089AE0000}"/>
    <cellStyle name="Percent 46 3 3" xfId="38640" xr:uid="{00000000-0005-0000-0000-00008AAE0000}"/>
    <cellStyle name="Percent 46 4" xfId="28636" xr:uid="{00000000-0005-0000-0000-00008BAE0000}"/>
    <cellStyle name="Percent 46 5" xfId="28637" xr:uid="{00000000-0005-0000-0000-00008CAE0000}"/>
    <cellStyle name="Percent 46 6" xfId="28638" xr:uid="{00000000-0005-0000-0000-00008DAE0000}"/>
    <cellStyle name="Percent 46 7" xfId="28639" xr:uid="{00000000-0005-0000-0000-00008EAE0000}"/>
    <cellStyle name="Percent 47" xfId="4308" xr:uid="{00000000-0005-0000-0000-00008FAE0000}"/>
    <cellStyle name="Percent 47 2" xfId="5652" xr:uid="{00000000-0005-0000-0000-000090AE0000}"/>
    <cellStyle name="Percent 47 2 2" xfId="11250" xr:uid="{00000000-0005-0000-0000-000091AE0000}"/>
    <cellStyle name="Percent 47 2 2 2" xfId="14871" xr:uid="{00000000-0005-0000-0000-000092AE0000}"/>
    <cellStyle name="Percent 47 2 3" xfId="28640" xr:uid="{00000000-0005-0000-0000-000093AE0000}"/>
    <cellStyle name="Percent 47 2 4" xfId="28641" xr:uid="{00000000-0005-0000-0000-000094AE0000}"/>
    <cellStyle name="Percent 47 2 5" xfId="28642" xr:uid="{00000000-0005-0000-0000-000095AE0000}"/>
    <cellStyle name="Percent 47 2 6" xfId="28643" xr:uid="{00000000-0005-0000-0000-000096AE0000}"/>
    <cellStyle name="Percent 47 3" xfId="11249" xr:uid="{00000000-0005-0000-0000-000097AE0000}"/>
    <cellStyle name="Percent 47 3 2" xfId="14870" xr:uid="{00000000-0005-0000-0000-000098AE0000}"/>
    <cellStyle name="Percent 47 3 3" xfId="38641" xr:uid="{00000000-0005-0000-0000-000099AE0000}"/>
    <cellStyle name="Percent 47 4" xfId="28644" xr:uid="{00000000-0005-0000-0000-00009AAE0000}"/>
    <cellStyle name="Percent 47 5" xfId="28645" xr:uid="{00000000-0005-0000-0000-00009BAE0000}"/>
    <cellStyle name="Percent 47 6" xfId="28646" xr:uid="{00000000-0005-0000-0000-00009CAE0000}"/>
    <cellStyle name="Percent 47 7" xfId="28647" xr:uid="{00000000-0005-0000-0000-00009DAE0000}"/>
    <cellStyle name="Percent 48" xfId="11584" xr:uid="{00000000-0005-0000-0000-00009EAE0000}"/>
    <cellStyle name="Percent 48 2" xfId="15205" xr:uid="{00000000-0005-0000-0000-00009FAE0000}"/>
    <cellStyle name="Percent 48 2 2" xfId="28649" xr:uid="{00000000-0005-0000-0000-0000A0AE0000}"/>
    <cellStyle name="Percent 48 3" xfId="28650" xr:uid="{00000000-0005-0000-0000-0000A1AE0000}"/>
    <cellStyle name="Percent 48 4" xfId="28648" xr:uid="{00000000-0005-0000-0000-0000A2AE0000}"/>
    <cellStyle name="Percent 49" xfId="11613" xr:uid="{00000000-0005-0000-0000-0000A3AE0000}"/>
    <cellStyle name="Percent 49 2" xfId="15226" xr:uid="{00000000-0005-0000-0000-0000A4AE0000}"/>
    <cellStyle name="Percent 49 3" xfId="28651" xr:uid="{00000000-0005-0000-0000-0000A5AE0000}"/>
    <cellStyle name="Percent 5" xfId="5661" xr:uid="{00000000-0005-0000-0000-0000A6AE0000}"/>
    <cellStyle name="Percent 5 10" xfId="37601" xr:uid="{00000000-0005-0000-0000-0000A7AE0000}"/>
    <cellStyle name="Percent 5 2" xfId="4309" xr:uid="{00000000-0005-0000-0000-0000A8AE0000}"/>
    <cellStyle name="Percent 5 2 2" xfId="5653" xr:uid="{00000000-0005-0000-0000-0000A9AE0000}"/>
    <cellStyle name="Percent 5 2 2 2" xfId="11253" xr:uid="{00000000-0005-0000-0000-0000AAAE0000}"/>
    <cellStyle name="Percent 5 2 2 2 2" xfId="14874" xr:uid="{00000000-0005-0000-0000-0000ABAE0000}"/>
    <cellStyle name="Percent 5 2 2 3" xfId="28652" xr:uid="{00000000-0005-0000-0000-0000ACAE0000}"/>
    <cellStyle name="Percent 5 2 2 4" xfId="28653" xr:uid="{00000000-0005-0000-0000-0000ADAE0000}"/>
    <cellStyle name="Percent 5 2 2 5" xfId="28654" xr:uid="{00000000-0005-0000-0000-0000AEAE0000}"/>
    <cellStyle name="Percent 5 2 2 6" xfId="28655" xr:uid="{00000000-0005-0000-0000-0000AFAE0000}"/>
    <cellStyle name="Percent 5 2 3" xfId="8400" xr:uid="{00000000-0005-0000-0000-0000B0AE0000}"/>
    <cellStyle name="Percent 5 2 3 2" xfId="11254" xr:uid="{00000000-0005-0000-0000-0000B1AE0000}"/>
    <cellStyle name="Percent 5 2 3 2 2" xfId="14875" xr:uid="{00000000-0005-0000-0000-0000B2AE0000}"/>
    <cellStyle name="Percent 5 2 3 3" xfId="28656" xr:uid="{00000000-0005-0000-0000-0000B3AE0000}"/>
    <cellStyle name="Percent 5 2 3 4" xfId="28657" xr:uid="{00000000-0005-0000-0000-0000B4AE0000}"/>
    <cellStyle name="Percent 5 2 3 5" xfId="28658" xr:uid="{00000000-0005-0000-0000-0000B5AE0000}"/>
    <cellStyle name="Percent 5 2 3 6" xfId="28659" xr:uid="{00000000-0005-0000-0000-0000B6AE0000}"/>
    <cellStyle name="Percent 5 2 3 7" xfId="38642" xr:uid="{00000000-0005-0000-0000-0000B7AE0000}"/>
    <cellStyle name="Percent 5 2 4" xfId="11252" xr:uid="{00000000-0005-0000-0000-0000B8AE0000}"/>
    <cellStyle name="Percent 5 2 4 2" xfId="14873" xr:uid="{00000000-0005-0000-0000-0000B9AE0000}"/>
    <cellStyle name="Percent 5 2 5" xfId="28660" xr:uid="{00000000-0005-0000-0000-0000BAAE0000}"/>
    <cellStyle name="Percent 5 2 6" xfId="28661" xr:uid="{00000000-0005-0000-0000-0000BBAE0000}"/>
    <cellStyle name="Percent 5 2 7" xfId="28662" xr:uid="{00000000-0005-0000-0000-0000BCAE0000}"/>
    <cellStyle name="Percent 5 2 8" xfId="28663" xr:uid="{00000000-0005-0000-0000-0000BDAE0000}"/>
    <cellStyle name="Percent 5 3" xfId="6166" xr:uid="{00000000-0005-0000-0000-0000BEAE0000}"/>
    <cellStyle name="Percent 5 3 2" xfId="11255" xr:uid="{00000000-0005-0000-0000-0000BFAE0000}"/>
    <cellStyle name="Percent 5 3 2 2" xfId="14876" xr:uid="{00000000-0005-0000-0000-0000C0AE0000}"/>
    <cellStyle name="Percent 5 3 3" xfId="28664" xr:uid="{00000000-0005-0000-0000-0000C1AE0000}"/>
    <cellStyle name="Percent 5 3 4" xfId="28665" xr:uid="{00000000-0005-0000-0000-0000C2AE0000}"/>
    <cellStyle name="Percent 5 3 5" xfId="28666" xr:uid="{00000000-0005-0000-0000-0000C3AE0000}"/>
    <cellStyle name="Percent 5 3 6" xfId="28667" xr:uid="{00000000-0005-0000-0000-0000C4AE0000}"/>
    <cellStyle name="Percent 5 3 7" xfId="38911" xr:uid="{00000000-0005-0000-0000-0000C5AE0000}"/>
    <cellStyle name="Percent 5 3 8" xfId="8512" xr:uid="{00000000-0005-0000-0000-0000C6AE0000}"/>
    <cellStyle name="Percent 5 4" xfId="11256" xr:uid="{00000000-0005-0000-0000-0000C7AE0000}"/>
    <cellStyle name="Percent 5 4 2" xfId="14877" xr:uid="{00000000-0005-0000-0000-0000C8AE0000}"/>
    <cellStyle name="Percent 5 5" xfId="11251" xr:uid="{00000000-0005-0000-0000-0000C9AE0000}"/>
    <cellStyle name="Percent 5 5 2" xfId="14872" xr:uid="{00000000-0005-0000-0000-0000CAAE0000}"/>
    <cellStyle name="Percent 5 6" xfId="28668" xr:uid="{00000000-0005-0000-0000-0000CBAE0000}"/>
    <cellStyle name="Percent 5 7" xfId="28669" xr:uid="{00000000-0005-0000-0000-0000CCAE0000}"/>
    <cellStyle name="Percent 5 8" xfId="28670" xr:uid="{00000000-0005-0000-0000-0000CDAE0000}"/>
    <cellStyle name="Percent 5 9" xfId="28671" xr:uid="{00000000-0005-0000-0000-0000CEAE0000}"/>
    <cellStyle name="Percent 50" xfId="11634" xr:uid="{00000000-0005-0000-0000-0000CFAE0000}"/>
    <cellStyle name="Percent 50 2" xfId="28672" xr:uid="{00000000-0005-0000-0000-0000D0AE0000}"/>
    <cellStyle name="Percent 51" xfId="6615" xr:uid="{00000000-0005-0000-0000-0000D1AE0000}"/>
    <cellStyle name="Percent 51 2" xfId="28673" xr:uid="{00000000-0005-0000-0000-0000D2AE0000}"/>
    <cellStyle name="Percent 51 3" xfId="37357" xr:uid="{00000000-0005-0000-0000-0000D3AE0000}"/>
    <cellStyle name="Percent 52" xfId="28674" xr:uid="{00000000-0005-0000-0000-0000D4AE0000}"/>
    <cellStyle name="Percent 52 2" xfId="37378" xr:uid="{00000000-0005-0000-0000-0000D5AE0000}"/>
    <cellStyle name="Percent 53" xfId="1858" xr:uid="{00000000-0005-0000-0000-0000D6AE0000}"/>
    <cellStyle name="Percent 54" xfId="46649" xr:uid="{00000000-0005-0000-0000-0000D7AE0000}"/>
    <cellStyle name="Percent 55" xfId="46652" xr:uid="{00000000-0005-0000-0000-0000D8AE0000}"/>
    <cellStyle name="Percent 6" xfId="6618" xr:uid="{00000000-0005-0000-0000-0000D9AE0000}"/>
    <cellStyle name="Percent 6 2" xfId="1918" xr:uid="{00000000-0005-0000-0000-0000DAAE0000}"/>
    <cellStyle name="Percent 6 2 2" xfId="4311" xr:uid="{00000000-0005-0000-0000-0000DBAE0000}"/>
    <cellStyle name="Percent 6 2 2 2" xfId="5654" xr:uid="{00000000-0005-0000-0000-0000DCAE0000}"/>
    <cellStyle name="Percent 6 2 2 2 2" xfId="14880" xr:uid="{00000000-0005-0000-0000-0000DDAE0000}"/>
    <cellStyle name="Percent 6 2 2 2 3" xfId="36156" xr:uid="{00000000-0005-0000-0000-0000DEAE0000}"/>
    <cellStyle name="Percent 6 2 2 2 4" xfId="11259" xr:uid="{00000000-0005-0000-0000-0000DFAE0000}"/>
    <cellStyle name="Percent 6 2 2 3" xfId="28675" xr:uid="{00000000-0005-0000-0000-0000E0AE0000}"/>
    <cellStyle name="Percent 6 2 2 3 2" xfId="38643" xr:uid="{00000000-0005-0000-0000-0000E1AE0000}"/>
    <cellStyle name="Percent 6 2 2 4" xfId="28676" xr:uid="{00000000-0005-0000-0000-0000E2AE0000}"/>
    <cellStyle name="Percent 6 2 2 5" xfId="28677" xr:uid="{00000000-0005-0000-0000-0000E3AE0000}"/>
    <cellStyle name="Percent 6 2 2 6" xfId="28678" xr:uid="{00000000-0005-0000-0000-0000E4AE0000}"/>
    <cellStyle name="Percent 6 2 3" xfId="4310" xr:uid="{00000000-0005-0000-0000-0000E5AE0000}"/>
    <cellStyle name="Percent 6 2 3 2" xfId="14879" xr:uid="{00000000-0005-0000-0000-0000E6AE0000}"/>
    <cellStyle name="Percent 6 2 3 3" xfId="35568" xr:uid="{00000000-0005-0000-0000-0000E7AE0000}"/>
    <cellStyle name="Percent 6 2 3 4" xfId="11258" xr:uid="{00000000-0005-0000-0000-0000E8AE0000}"/>
    <cellStyle name="Percent 6 2 4" xfId="5042" xr:uid="{00000000-0005-0000-0000-0000E9AE0000}"/>
    <cellStyle name="Percent 6 2 4 2" xfId="35998" xr:uid="{00000000-0005-0000-0000-0000EAAE0000}"/>
    <cellStyle name="Percent 6 2 4 3" xfId="28679" xr:uid="{00000000-0005-0000-0000-0000EBAE0000}"/>
    <cellStyle name="Percent 6 2 5" xfId="28680" xr:uid="{00000000-0005-0000-0000-0000ECAE0000}"/>
    <cellStyle name="Percent 6 2 5 2" xfId="38065" xr:uid="{00000000-0005-0000-0000-0000EDAE0000}"/>
    <cellStyle name="Percent 6 2 6" xfId="28681" xr:uid="{00000000-0005-0000-0000-0000EEAE0000}"/>
    <cellStyle name="Percent 6 2 7" xfId="28682" xr:uid="{00000000-0005-0000-0000-0000EFAE0000}"/>
    <cellStyle name="Percent 6 2 8" xfId="28683" xr:uid="{00000000-0005-0000-0000-0000F0AE0000}"/>
    <cellStyle name="Percent 6 3" xfId="1919" xr:uid="{00000000-0005-0000-0000-0000F1AE0000}"/>
    <cellStyle name="Percent 6 3 2" xfId="4312" xr:uid="{00000000-0005-0000-0000-0000F2AE0000}"/>
    <cellStyle name="Percent 6 3 2 2" xfId="14881" xr:uid="{00000000-0005-0000-0000-0000F3AE0000}"/>
    <cellStyle name="Percent 6 3 2 3" xfId="35569" xr:uid="{00000000-0005-0000-0000-0000F4AE0000}"/>
    <cellStyle name="Percent 6 3 2 4" xfId="11260" xr:uid="{00000000-0005-0000-0000-0000F5AE0000}"/>
    <cellStyle name="Percent 6 3 3" xfId="5043" xr:uid="{00000000-0005-0000-0000-0000F6AE0000}"/>
    <cellStyle name="Percent 6 3 3 2" xfId="35999" xr:uid="{00000000-0005-0000-0000-0000F7AE0000}"/>
    <cellStyle name="Percent 6 3 3 3" xfId="28684" xr:uid="{00000000-0005-0000-0000-0000F8AE0000}"/>
    <cellStyle name="Percent 6 3 4" xfId="28685" xr:uid="{00000000-0005-0000-0000-0000F9AE0000}"/>
    <cellStyle name="Percent 6 3 4 2" xfId="38066" xr:uid="{00000000-0005-0000-0000-0000FAAE0000}"/>
    <cellStyle name="Percent 6 3 5" xfId="28686" xr:uid="{00000000-0005-0000-0000-0000FBAE0000}"/>
    <cellStyle name="Percent 6 3 6" xfId="28687" xr:uid="{00000000-0005-0000-0000-0000FCAE0000}"/>
    <cellStyle name="Percent 6 3 7" xfId="28688" xr:uid="{00000000-0005-0000-0000-0000FDAE0000}"/>
    <cellStyle name="Percent 6 4" xfId="1920" xr:uid="{00000000-0005-0000-0000-0000FEAE0000}"/>
    <cellStyle name="Percent 6 4 2" xfId="5044" xr:uid="{00000000-0005-0000-0000-0000FFAE0000}"/>
    <cellStyle name="Percent 6 4 2 2" xfId="36000" xr:uid="{00000000-0005-0000-0000-000000AF0000}"/>
    <cellStyle name="Percent 6 4 2 3" xfId="14882" xr:uid="{00000000-0005-0000-0000-000001AF0000}"/>
    <cellStyle name="Percent 6 4 3" xfId="35304" xr:uid="{00000000-0005-0000-0000-000002AF0000}"/>
    <cellStyle name="Percent 6 4 4" xfId="11261" xr:uid="{00000000-0005-0000-0000-000003AF0000}"/>
    <cellStyle name="Percent 6 5" xfId="11257" xr:uid="{00000000-0005-0000-0000-000004AF0000}"/>
    <cellStyle name="Percent 6 5 2" xfId="14878" xr:uid="{00000000-0005-0000-0000-000005AF0000}"/>
    <cellStyle name="Percent 6 6" xfId="28689" xr:uid="{00000000-0005-0000-0000-000006AF0000}"/>
    <cellStyle name="Percent 6 7" xfId="28690" xr:uid="{00000000-0005-0000-0000-000007AF0000}"/>
    <cellStyle name="Percent 6 8" xfId="28691" xr:uid="{00000000-0005-0000-0000-000008AF0000}"/>
    <cellStyle name="Percent 6 9" xfId="28692" xr:uid="{00000000-0005-0000-0000-000009AF0000}"/>
    <cellStyle name="Percent 7" xfId="6619" xr:uid="{00000000-0005-0000-0000-00000AAF0000}"/>
    <cellStyle name="Percent 7 2" xfId="1921" xr:uid="{00000000-0005-0000-0000-00000BAF0000}"/>
    <cellStyle name="Percent 7 2 2" xfId="4313" xr:uid="{00000000-0005-0000-0000-00000CAF0000}"/>
    <cellStyle name="Percent 7 2 2 2" xfId="5655" xr:uid="{00000000-0005-0000-0000-00000DAF0000}"/>
    <cellStyle name="Percent 7 2 2 2 2" xfId="28694" xr:uid="{00000000-0005-0000-0000-00000EAF0000}"/>
    <cellStyle name="Percent 7 2 2 2 3" xfId="28695" xr:uid="{00000000-0005-0000-0000-00000FAF0000}"/>
    <cellStyle name="Percent 7 2 2 2 4" xfId="28696" xr:uid="{00000000-0005-0000-0000-000010AF0000}"/>
    <cellStyle name="Percent 7 2 2 2 5" xfId="28697" xr:uid="{00000000-0005-0000-0000-000011AF0000}"/>
    <cellStyle name="Percent 7 2 2 2 6" xfId="28693" xr:uid="{00000000-0005-0000-0000-000012AF0000}"/>
    <cellStyle name="Percent 7 2 2 3" xfId="14884" xr:uid="{00000000-0005-0000-0000-000013AF0000}"/>
    <cellStyle name="Percent 7 2 2 3 2" xfId="38644" xr:uid="{00000000-0005-0000-0000-000014AF0000}"/>
    <cellStyle name="Percent 7 2 2 4" xfId="11263" xr:uid="{00000000-0005-0000-0000-000015AF0000}"/>
    <cellStyle name="Percent 7 2 3" xfId="11580" xr:uid="{00000000-0005-0000-0000-000016AF0000}"/>
    <cellStyle name="Percent 7 2 3 2" xfId="28699" xr:uid="{00000000-0005-0000-0000-000017AF0000}"/>
    <cellStyle name="Percent 7 2 3 3" xfId="28700" xr:uid="{00000000-0005-0000-0000-000018AF0000}"/>
    <cellStyle name="Percent 7 2 3 4" xfId="28701" xr:uid="{00000000-0005-0000-0000-000019AF0000}"/>
    <cellStyle name="Percent 7 2 3 5" xfId="28702" xr:uid="{00000000-0005-0000-0000-00001AAF0000}"/>
    <cellStyle name="Percent 7 2 3 6" xfId="28698" xr:uid="{00000000-0005-0000-0000-00001BAF0000}"/>
    <cellStyle name="Percent 7 2 4" xfId="28703" xr:uid="{00000000-0005-0000-0000-00001CAF0000}"/>
    <cellStyle name="Percent 7 2 4 2" xfId="39224" xr:uid="{00000000-0005-0000-0000-00001DAF0000}"/>
    <cellStyle name="Percent 7 2 5" xfId="28704" xr:uid="{00000000-0005-0000-0000-00001EAF0000}"/>
    <cellStyle name="Percent 7 2 6" xfId="28705" xr:uid="{00000000-0005-0000-0000-00001FAF0000}"/>
    <cellStyle name="Percent 7 2 7" xfId="28706" xr:uid="{00000000-0005-0000-0000-000020AF0000}"/>
    <cellStyle name="Percent 7 2 8" xfId="28707" xr:uid="{00000000-0005-0000-0000-000021AF0000}"/>
    <cellStyle name="Percent 7 3" xfId="11264" xr:uid="{00000000-0005-0000-0000-000022AF0000}"/>
    <cellStyle name="Percent 7 3 2" xfId="14885" xr:uid="{00000000-0005-0000-0000-000023AF0000}"/>
    <cellStyle name="Percent 7 4" xfId="11262" xr:uid="{00000000-0005-0000-0000-000024AF0000}"/>
    <cellStyle name="Percent 7 4 2" xfId="14883" xr:uid="{00000000-0005-0000-0000-000025AF0000}"/>
    <cellStyle name="Percent 7 5" xfId="28708" xr:uid="{00000000-0005-0000-0000-000026AF0000}"/>
    <cellStyle name="Percent 7 6" xfId="28709" xr:uid="{00000000-0005-0000-0000-000027AF0000}"/>
    <cellStyle name="Percent 7 7" xfId="28710" xr:uid="{00000000-0005-0000-0000-000028AF0000}"/>
    <cellStyle name="Percent 7 8" xfId="28711" xr:uid="{00000000-0005-0000-0000-000029AF0000}"/>
    <cellStyle name="Percent 8" xfId="6620" xr:uid="{00000000-0005-0000-0000-00002AAF0000}"/>
    <cellStyle name="Percent 8 2" xfId="4314" xr:uid="{00000000-0005-0000-0000-00002BAF0000}"/>
    <cellStyle name="Percent 8 2 2" xfId="5656" xr:uid="{00000000-0005-0000-0000-00002CAF0000}"/>
    <cellStyle name="Percent 8 2 2 2" xfId="14887" xr:uid="{00000000-0005-0000-0000-00002DAF0000}"/>
    <cellStyle name="Percent 8 2 2 3" xfId="36157" xr:uid="{00000000-0005-0000-0000-00002EAF0000}"/>
    <cellStyle name="Percent 8 2 2 4" xfId="11266" xr:uid="{00000000-0005-0000-0000-00002FAF0000}"/>
    <cellStyle name="Percent 8 2 3" xfId="28712" xr:uid="{00000000-0005-0000-0000-000030AF0000}"/>
    <cellStyle name="Percent 8 2 3 2" xfId="38645" xr:uid="{00000000-0005-0000-0000-000031AF0000}"/>
    <cellStyle name="Percent 8 2 4" xfId="28713" xr:uid="{00000000-0005-0000-0000-000032AF0000}"/>
    <cellStyle name="Percent 8 2 5" xfId="28714" xr:uid="{00000000-0005-0000-0000-000033AF0000}"/>
    <cellStyle name="Percent 8 2 6" xfId="28715" xr:uid="{00000000-0005-0000-0000-000034AF0000}"/>
    <cellStyle name="Percent 8 3" xfId="11267" xr:uid="{00000000-0005-0000-0000-000035AF0000}"/>
    <cellStyle name="Percent 8 3 2" xfId="14888" xr:uid="{00000000-0005-0000-0000-000036AF0000}"/>
    <cellStyle name="Percent 8 4" xfId="11265" xr:uid="{00000000-0005-0000-0000-000037AF0000}"/>
    <cellStyle name="Percent 8 4 2" xfId="14886" xr:uid="{00000000-0005-0000-0000-000038AF0000}"/>
    <cellStyle name="Percent 8 5" xfId="28716" xr:uid="{00000000-0005-0000-0000-000039AF0000}"/>
    <cellStyle name="Percent 8 6" xfId="28717" xr:uid="{00000000-0005-0000-0000-00003AAF0000}"/>
    <cellStyle name="Percent 8 7" xfId="28718" xr:uid="{00000000-0005-0000-0000-00003BAF0000}"/>
    <cellStyle name="Percent 8 8" xfId="28719" xr:uid="{00000000-0005-0000-0000-00003CAF0000}"/>
    <cellStyle name="Percent 9" xfId="1922" xr:uid="{00000000-0005-0000-0000-00003DAF0000}"/>
    <cellStyle name="Percent 9 2" xfId="4315" xr:uid="{00000000-0005-0000-0000-00003EAF0000}"/>
    <cellStyle name="Percent 9 2 2" xfId="5657" xr:uid="{00000000-0005-0000-0000-00003FAF0000}"/>
    <cellStyle name="Percent 9 2 2 2" xfId="14890" xr:uid="{00000000-0005-0000-0000-000040AF0000}"/>
    <cellStyle name="Percent 9 2 2 3" xfId="36158" xr:uid="{00000000-0005-0000-0000-000041AF0000}"/>
    <cellStyle name="Percent 9 2 2 4" xfId="11269" xr:uid="{00000000-0005-0000-0000-000042AF0000}"/>
    <cellStyle name="Percent 9 2 3" xfId="28720" xr:uid="{00000000-0005-0000-0000-000043AF0000}"/>
    <cellStyle name="Percent 9 2 3 2" xfId="38646" xr:uid="{00000000-0005-0000-0000-000044AF0000}"/>
    <cellStyle name="Percent 9 2 4" xfId="28721" xr:uid="{00000000-0005-0000-0000-000045AF0000}"/>
    <cellStyle name="Percent 9 2 5" xfId="28722" xr:uid="{00000000-0005-0000-0000-000046AF0000}"/>
    <cellStyle name="Percent 9 2 6" xfId="28723" xr:uid="{00000000-0005-0000-0000-000047AF0000}"/>
    <cellStyle name="Percent 9 3" xfId="11270" xr:uid="{00000000-0005-0000-0000-000048AF0000}"/>
    <cellStyle name="Percent 9 3 2" xfId="14891" xr:uid="{00000000-0005-0000-0000-000049AF0000}"/>
    <cellStyle name="Percent 9 4" xfId="11268" xr:uid="{00000000-0005-0000-0000-00004AAF0000}"/>
    <cellStyle name="Percent 9 4 2" xfId="14889" xr:uid="{00000000-0005-0000-0000-00004BAF0000}"/>
    <cellStyle name="Percent 9 5" xfId="28724" xr:uid="{00000000-0005-0000-0000-00004CAF0000}"/>
    <cellStyle name="Percent 9 6" xfId="28725" xr:uid="{00000000-0005-0000-0000-00004DAF0000}"/>
    <cellStyle name="Percent 9 7" xfId="28726" xr:uid="{00000000-0005-0000-0000-00004EAF0000}"/>
    <cellStyle name="Percent 9 8" xfId="28727" xr:uid="{00000000-0005-0000-0000-00004FAF0000}"/>
    <cellStyle name="Percent 9 9" xfId="28728" xr:uid="{00000000-0005-0000-0000-000050AF0000}"/>
    <cellStyle name="Percentagem 2" xfId="1923" xr:uid="{00000000-0005-0000-0000-000051AF0000}"/>
    <cellStyle name="Percentagem 2 2" xfId="4316" xr:uid="{00000000-0005-0000-0000-000052AF0000}"/>
    <cellStyle name="Percentagem 2 2 2" xfId="11272" xr:uid="{00000000-0005-0000-0000-000053AF0000}"/>
    <cellStyle name="Percentagem 2 2 2 2" xfId="14893" xr:uid="{00000000-0005-0000-0000-000054AF0000}"/>
    <cellStyle name="Percentagem 2 2 3" xfId="28729" xr:uid="{00000000-0005-0000-0000-000055AF0000}"/>
    <cellStyle name="Percentagem 2 2 4" xfId="28730" xr:uid="{00000000-0005-0000-0000-000056AF0000}"/>
    <cellStyle name="Percentagem 2 2 5" xfId="28731" xr:uid="{00000000-0005-0000-0000-000057AF0000}"/>
    <cellStyle name="Percentagem 2 2 6" xfId="28732" xr:uid="{00000000-0005-0000-0000-000058AF0000}"/>
    <cellStyle name="Percentagem 2 3" xfId="11271" xr:uid="{00000000-0005-0000-0000-000059AF0000}"/>
    <cellStyle name="Percentagem 2 3 2" xfId="14892" xr:uid="{00000000-0005-0000-0000-00005AAF0000}"/>
    <cellStyle name="Percentagem 2 4" xfId="28733" xr:uid="{00000000-0005-0000-0000-00005BAF0000}"/>
    <cellStyle name="Percentagem 2 5" xfId="28734" xr:uid="{00000000-0005-0000-0000-00005CAF0000}"/>
    <cellStyle name="Percentagem 2 6" xfId="28735" xr:uid="{00000000-0005-0000-0000-00005DAF0000}"/>
    <cellStyle name="Percentagem 2 7" xfId="28736" xr:uid="{00000000-0005-0000-0000-00005EAF0000}"/>
    <cellStyle name="Percentagem 2 8" xfId="28737" xr:uid="{00000000-0005-0000-0000-00005FAF0000}"/>
    <cellStyle name="Percentagem 2 9" xfId="28738" xr:uid="{00000000-0005-0000-0000-000060AF0000}"/>
    <cellStyle name="Percentagem 3" xfId="1924" xr:uid="{00000000-0005-0000-0000-000061AF0000}"/>
    <cellStyle name="Percentagem 3 10" xfId="28739" xr:uid="{00000000-0005-0000-0000-000062AF0000}"/>
    <cellStyle name="Percentagem 3 11" xfId="28740" xr:uid="{00000000-0005-0000-0000-000063AF0000}"/>
    <cellStyle name="Percentagem 3 2" xfId="1925" xr:uid="{00000000-0005-0000-0000-000064AF0000}"/>
    <cellStyle name="Percentagem 3 2 2" xfId="4318" xr:uid="{00000000-0005-0000-0000-000065AF0000}"/>
    <cellStyle name="Percentagem 3 2 2 2" xfId="14895" xr:uid="{00000000-0005-0000-0000-000066AF0000}"/>
    <cellStyle name="Percentagem 3 2 2 3" xfId="35571" xr:uid="{00000000-0005-0000-0000-000067AF0000}"/>
    <cellStyle name="Percentagem 3 2 2 4" xfId="11274" xr:uid="{00000000-0005-0000-0000-000068AF0000}"/>
    <cellStyle name="Percentagem 3 2 3" xfId="5046" xr:uid="{00000000-0005-0000-0000-000069AF0000}"/>
    <cellStyle name="Percentagem 3 2 3 2" xfId="36002" xr:uid="{00000000-0005-0000-0000-00006AAF0000}"/>
    <cellStyle name="Percentagem 3 2 3 3" xfId="28741" xr:uid="{00000000-0005-0000-0000-00006BAF0000}"/>
    <cellStyle name="Percentagem 3 2 4" xfId="28742" xr:uid="{00000000-0005-0000-0000-00006CAF0000}"/>
    <cellStyle name="Percentagem 3 2 4 2" xfId="38068" xr:uid="{00000000-0005-0000-0000-00006DAF0000}"/>
    <cellStyle name="Percentagem 3 2 5" xfId="28743" xr:uid="{00000000-0005-0000-0000-00006EAF0000}"/>
    <cellStyle name="Percentagem 3 2 6" xfId="28744" xr:uid="{00000000-0005-0000-0000-00006FAF0000}"/>
    <cellStyle name="Percentagem 3 2 7" xfId="28745" xr:uid="{00000000-0005-0000-0000-000070AF0000}"/>
    <cellStyle name="Percentagem 3 3" xfId="1926" xr:uid="{00000000-0005-0000-0000-000071AF0000}"/>
    <cellStyle name="Percentagem 3 3 2" xfId="4319" xr:uid="{00000000-0005-0000-0000-000072AF0000}"/>
    <cellStyle name="Percentagem 3 3 2 2" xfId="14896" xr:uid="{00000000-0005-0000-0000-000073AF0000}"/>
    <cellStyle name="Percentagem 3 3 2 3" xfId="35572" xr:uid="{00000000-0005-0000-0000-000074AF0000}"/>
    <cellStyle name="Percentagem 3 3 2 4" xfId="11275" xr:uid="{00000000-0005-0000-0000-000075AF0000}"/>
    <cellStyle name="Percentagem 3 3 3" xfId="5047" xr:uid="{00000000-0005-0000-0000-000076AF0000}"/>
    <cellStyle name="Percentagem 3 3 3 2" xfId="36003" xr:uid="{00000000-0005-0000-0000-000077AF0000}"/>
    <cellStyle name="Percentagem 3 3 3 3" xfId="28746" xr:uid="{00000000-0005-0000-0000-000078AF0000}"/>
    <cellStyle name="Percentagem 3 3 4" xfId="28747" xr:uid="{00000000-0005-0000-0000-000079AF0000}"/>
    <cellStyle name="Percentagem 3 3 4 2" xfId="38069" xr:uid="{00000000-0005-0000-0000-00007AAF0000}"/>
    <cellStyle name="Percentagem 3 3 5" xfId="28748" xr:uid="{00000000-0005-0000-0000-00007BAF0000}"/>
    <cellStyle name="Percentagem 3 3 6" xfId="28749" xr:uid="{00000000-0005-0000-0000-00007CAF0000}"/>
    <cellStyle name="Percentagem 3 3 7" xfId="28750" xr:uid="{00000000-0005-0000-0000-00007DAF0000}"/>
    <cellStyle name="Percentagem 3 4" xfId="1927" xr:uid="{00000000-0005-0000-0000-00007EAF0000}"/>
    <cellStyle name="Percentagem 3 4 2" xfId="4320" xr:uid="{00000000-0005-0000-0000-00007FAF0000}"/>
    <cellStyle name="Percentagem 3 4 2 2" xfId="14897" xr:uid="{00000000-0005-0000-0000-000080AF0000}"/>
    <cellStyle name="Percentagem 3 4 2 3" xfId="35573" xr:uid="{00000000-0005-0000-0000-000081AF0000}"/>
    <cellStyle name="Percentagem 3 4 2 4" xfId="11276" xr:uid="{00000000-0005-0000-0000-000082AF0000}"/>
    <cellStyle name="Percentagem 3 4 3" xfId="5048" xr:uid="{00000000-0005-0000-0000-000083AF0000}"/>
    <cellStyle name="Percentagem 3 4 3 2" xfId="36004" xr:uid="{00000000-0005-0000-0000-000084AF0000}"/>
    <cellStyle name="Percentagem 3 4 3 3" xfId="28751" xr:uid="{00000000-0005-0000-0000-000085AF0000}"/>
    <cellStyle name="Percentagem 3 4 4" xfId="28752" xr:uid="{00000000-0005-0000-0000-000086AF0000}"/>
    <cellStyle name="Percentagem 3 4 4 2" xfId="38070" xr:uid="{00000000-0005-0000-0000-000087AF0000}"/>
    <cellStyle name="Percentagem 3 4 5" xfId="28753" xr:uid="{00000000-0005-0000-0000-000088AF0000}"/>
    <cellStyle name="Percentagem 3 4 6" xfId="28754" xr:uid="{00000000-0005-0000-0000-000089AF0000}"/>
    <cellStyle name="Percentagem 3 4 7" xfId="28755" xr:uid="{00000000-0005-0000-0000-00008AAF0000}"/>
    <cellStyle name="Percentagem 3 5" xfId="4317" xr:uid="{00000000-0005-0000-0000-00008BAF0000}"/>
    <cellStyle name="Percentagem 3 5 2" xfId="14894" xr:uid="{00000000-0005-0000-0000-00008CAF0000}"/>
    <cellStyle name="Percentagem 3 5 3" xfId="35570" xr:uid="{00000000-0005-0000-0000-00008DAF0000}"/>
    <cellStyle name="Percentagem 3 5 4" xfId="11273" xr:uid="{00000000-0005-0000-0000-00008EAF0000}"/>
    <cellStyle name="Percentagem 3 6" xfId="5045" xr:uid="{00000000-0005-0000-0000-00008FAF0000}"/>
    <cellStyle name="Percentagem 3 6 2" xfId="36001" xr:uid="{00000000-0005-0000-0000-000090AF0000}"/>
    <cellStyle name="Percentagem 3 6 3" xfId="28756" xr:uid="{00000000-0005-0000-0000-000091AF0000}"/>
    <cellStyle name="Percentagem 3 7" xfId="28757" xr:uid="{00000000-0005-0000-0000-000092AF0000}"/>
    <cellStyle name="Percentagem 3 7 2" xfId="38067" xr:uid="{00000000-0005-0000-0000-000093AF0000}"/>
    <cellStyle name="Percentagem 3 8" xfId="28758" xr:uid="{00000000-0005-0000-0000-000094AF0000}"/>
    <cellStyle name="Percentagem 3 9" xfId="28759" xr:uid="{00000000-0005-0000-0000-000095AF0000}"/>
    <cellStyle name="Percentagem 4" xfId="1928" xr:uid="{00000000-0005-0000-0000-000096AF0000}"/>
    <cellStyle name="Percentagem 4 10" xfId="7756" xr:uid="{00000000-0005-0000-0000-000097AF0000}"/>
    <cellStyle name="Percentagem 4 10 2" xfId="11278" xr:uid="{00000000-0005-0000-0000-000098AF0000}"/>
    <cellStyle name="Percentagem 4 10 2 2" xfId="14899" xr:uid="{00000000-0005-0000-0000-000099AF0000}"/>
    <cellStyle name="Percentagem 4 10 3" xfId="28760" xr:uid="{00000000-0005-0000-0000-00009AAF0000}"/>
    <cellStyle name="Percentagem 4 10 4" xfId="28761" xr:uid="{00000000-0005-0000-0000-00009BAF0000}"/>
    <cellStyle name="Percentagem 4 10 5" xfId="28762" xr:uid="{00000000-0005-0000-0000-00009CAF0000}"/>
    <cellStyle name="Percentagem 4 10 6" xfId="28763" xr:uid="{00000000-0005-0000-0000-00009DAF0000}"/>
    <cellStyle name="Percentagem 4 11" xfId="7757" xr:uid="{00000000-0005-0000-0000-00009EAF0000}"/>
    <cellStyle name="Percentagem 4 11 2" xfId="11279" xr:uid="{00000000-0005-0000-0000-00009FAF0000}"/>
    <cellStyle name="Percentagem 4 11 2 2" xfId="14900" xr:uid="{00000000-0005-0000-0000-0000A0AF0000}"/>
    <cellStyle name="Percentagem 4 11 3" xfId="28764" xr:uid="{00000000-0005-0000-0000-0000A1AF0000}"/>
    <cellStyle name="Percentagem 4 11 4" xfId="28765" xr:uid="{00000000-0005-0000-0000-0000A2AF0000}"/>
    <cellStyle name="Percentagem 4 11 5" xfId="28766" xr:uid="{00000000-0005-0000-0000-0000A3AF0000}"/>
    <cellStyle name="Percentagem 4 11 6" xfId="28767" xr:uid="{00000000-0005-0000-0000-0000A4AF0000}"/>
    <cellStyle name="Percentagem 4 12" xfId="7758" xr:uid="{00000000-0005-0000-0000-0000A5AF0000}"/>
    <cellStyle name="Percentagem 4 12 2" xfId="11280" xr:uid="{00000000-0005-0000-0000-0000A6AF0000}"/>
    <cellStyle name="Percentagem 4 12 2 2" xfId="14901" xr:uid="{00000000-0005-0000-0000-0000A7AF0000}"/>
    <cellStyle name="Percentagem 4 12 3" xfId="28768" xr:uid="{00000000-0005-0000-0000-0000A8AF0000}"/>
    <cellStyle name="Percentagem 4 12 4" xfId="28769" xr:uid="{00000000-0005-0000-0000-0000A9AF0000}"/>
    <cellStyle name="Percentagem 4 12 5" xfId="28770" xr:uid="{00000000-0005-0000-0000-0000AAAF0000}"/>
    <cellStyle name="Percentagem 4 12 6" xfId="28771" xr:uid="{00000000-0005-0000-0000-0000ABAF0000}"/>
    <cellStyle name="Percentagem 4 13" xfId="7759" xr:uid="{00000000-0005-0000-0000-0000ACAF0000}"/>
    <cellStyle name="Percentagem 4 13 2" xfId="11281" xr:uid="{00000000-0005-0000-0000-0000ADAF0000}"/>
    <cellStyle name="Percentagem 4 13 2 2" xfId="14902" xr:uid="{00000000-0005-0000-0000-0000AEAF0000}"/>
    <cellStyle name="Percentagem 4 13 3" xfId="28772" xr:uid="{00000000-0005-0000-0000-0000AFAF0000}"/>
    <cellStyle name="Percentagem 4 13 4" xfId="28773" xr:uid="{00000000-0005-0000-0000-0000B0AF0000}"/>
    <cellStyle name="Percentagem 4 13 5" xfId="28774" xr:uid="{00000000-0005-0000-0000-0000B1AF0000}"/>
    <cellStyle name="Percentagem 4 13 6" xfId="28775" xr:uid="{00000000-0005-0000-0000-0000B2AF0000}"/>
    <cellStyle name="Percentagem 4 14" xfId="7760" xr:uid="{00000000-0005-0000-0000-0000B3AF0000}"/>
    <cellStyle name="Percentagem 4 14 2" xfId="11282" xr:uid="{00000000-0005-0000-0000-0000B4AF0000}"/>
    <cellStyle name="Percentagem 4 14 2 2" xfId="14903" xr:uid="{00000000-0005-0000-0000-0000B5AF0000}"/>
    <cellStyle name="Percentagem 4 14 3" xfId="28776" xr:uid="{00000000-0005-0000-0000-0000B6AF0000}"/>
    <cellStyle name="Percentagem 4 14 4" xfId="28777" xr:uid="{00000000-0005-0000-0000-0000B7AF0000}"/>
    <cellStyle name="Percentagem 4 14 5" xfId="28778" xr:uid="{00000000-0005-0000-0000-0000B8AF0000}"/>
    <cellStyle name="Percentagem 4 14 6" xfId="28779" xr:uid="{00000000-0005-0000-0000-0000B9AF0000}"/>
    <cellStyle name="Percentagem 4 15" xfId="7761" xr:uid="{00000000-0005-0000-0000-0000BAAF0000}"/>
    <cellStyle name="Percentagem 4 15 2" xfId="11283" xr:uid="{00000000-0005-0000-0000-0000BBAF0000}"/>
    <cellStyle name="Percentagem 4 15 2 2" xfId="14904" xr:uid="{00000000-0005-0000-0000-0000BCAF0000}"/>
    <cellStyle name="Percentagem 4 15 3" xfId="28780" xr:uid="{00000000-0005-0000-0000-0000BDAF0000}"/>
    <cellStyle name="Percentagem 4 15 4" xfId="28781" xr:uid="{00000000-0005-0000-0000-0000BEAF0000}"/>
    <cellStyle name="Percentagem 4 15 5" xfId="28782" xr:uid="{00000000-0005-0000-0000-0000BFAF0000}"/>
    <cellStyle name="Percentagem 4 15 6" xfId="28783" xr:uid="{00000000-0005-0000-0000-0000C0AF0000}"/>
    <cellStyle name="Percentagem 4 16" xfId="7762" xr:uid="{00000000-0005-0000-0000-0000C1AF0000}"/>
    <cellStyle name="Percentagem 4 16 2" xfId="11284" xr:uid="{00000000-0005-0000-0000-0000C2AF0000}"/>
    <cellStyle name="Percentagem 4 16 2 2" xfId="14905" xr:uid="{00000000-0005-0000-0000-0000C3AF0000}"/>
    <cellStyle name="Percentagem 4 16 3" xfId="28784" xr:uid="{00000000-0005-0000-0000-0000C4AF0000}"/>
    <cellStyle name="Percentagem 4 16 4" xfId="28785" xr:uid="{00000000-0005-0000-0000-0000C5AF0000}"/>
    <cellStyle name="Percentagem 4 16 5" xfId="28786" xr:uid="{00000000-0005-0000-0000-0000C6AF0000}"/>
    <cellStyle name="Percentagem 4 16 6" xfId="28787" xr:uid="{00000000-0005-0000-0000-0000C7AF0000}"/>
    <cellStyle name="Percentagem 4 17" xfId="7763" xr:uid="{00000000-0005-0000-0000-0000C8AF0000}"/>
    <cellStyle name="Percentagem 4 17 2" xfId="11285" xr:uid="{00000000-0005-0000-0000-0000C9AF0000}"/>
    <cellStyle name="Percentagem 4 17 2 2" xfId="14906" xr:uid="{00000000-0005-0000-0000-0000CAAF0000}"/>
    <cellStyle name="Percentagem 4 17 3" xfId="28788" xr:uid="{00000000-0005-0000-0000-0000CBAF0000}"/>
    <cellStyle name="Percentagem 4 17 4" xfId="28789" xr:uid="{00000000-0005-0000-0000-0000CCAF0000}"/>
    <cellStyle name="Percentagem 4 17 5" xfId="28790" xr:uid="{00000000-0005-0000-0000-0000CDAF0000}"/>
    <cellStyle name="Percentagem 4 17 6" xfId="28791" xr:uid="{00000000-0005-0000-0000-0000CEAF0000}"/>
    <cellStyle name="Percentagem 4 18" xfId="11277" xr:uid="{00000000-0005-0000-0000-0000CFAF0000}"/>
    <cellStyle name="Percentagem 4 18 2" xfId="14898" xr:uid="{00000000-0005-0000-0000-0000D0AF0000}"/>
    <cellStyle name="Percentagem 4 19" xfId="28792" xr:uid="{00000000-0005-0000-0000-0000D1AF0000}"/>
    <cellStyle name="Percentagem 4 2" xfId="1929" xr:uid="{00000000-0005-0000-0000-0000D2AF0000}"/>
    <cellStyle name="Percentagem 4 2 2" xfId="11286" xr:uid="{00000000-0005-0000-0000-0000D3AF0000}"/>
    <cellStyle name="Percentagem 4 2 2 2" xfId="14907" xr:uid="{00000000-0005-0000-0000-0000D4AF0000}"/>
    <cellStyle name="Percentagem 4 2 3" xfId="28793" xr:uid="{00000000-0005-0000-0000-0000D5AF0000}"/>
    <cellStyle name="Percentagem 4 2 4" xfId="28794" xr:uid="{00000000-0005-0000-0000-0000D6AF0000}"/>
    <cellStyle name="Percentagem 4 2 5" xfId="28795" xr:uid="{00000000-0005-0000-0000-0000D7AF0000}"/>
    <cellStyle name="Percentagem 4 2 6" xfId="28796" xr:uid="{00000000-0005-0000-0000-0000D8AF0000}"/>
    <cellStyle name="Percentagem 4 2 7" xfId="28797" xr:uid="{00000000-0005-0000-0000-0000D9AF0000}"/>
    <cellStyle name="Percentagem 4 20" xfId="28798" xr:uid="{00000000-0005-0000-0000-0000DAAF0000}"/>
    <cellStyle name="Percentagem 4 21" xfId="28799" xr:uid="{00000000-0005-0000-0000-0000DBAF0000}"/>
    <cellStyle name="Percentagem 4 22" xfId="28800" xr:uid="{00000000-0005-0000-0000-0000DCAF0000}"/>
    <cellStyle name="Percentagem 4 23" xfId="28801" xr:uid="{00000000-0005-0000-0000-0000DDAF0000}"/>
    <cellStyle name="Percentagem 4 24" xfId="28802" xr:uid="{00000000-0005-0000-0000-0000DEAF0000}"/>
    <cellStyle name="Percentagem 4 3" xfId="1930" xr:uid="{00000000-0005-0000-0000-0000DFAF0000}"/>
    <cellStyle name="Percentagem 4 3 2" xfId="11287" xr:uid="{00000000-0005-0000-0000-0000E0AF0000}"/>
    <cellStyle name="Percentagem 4 3 2 2" xfId="14908" xr:uid="{00000000-0005-0000-0000-0000E1AF0000}"/>
    <cellStyle name="Percentagem 4 3 3" xfId="28803" xr:uid="{00000000-0005-0000-0000-0000E2AF0000}"/>
    <cellStyle name="Percentagem 4 3 4" xfId="28804" xr:uid="{00000000-0005-0000-0000-0000E3AF0000}"/>
    <cellStyle name="Percentagem 4 3 5" xfId="28805" xr:uid="{00000000-0005-0000-0000-0000E4AF0000}"/>
    <cellStyle name="Percentagem 4 3 6" xfId="28806" xr:uid="{00000000-0005-0000-0000-0000E5AF0000}"/>
    <cellStyle name="Percentagem 4 3 7" xfId="28807" xr:uid="{00000000-0005-0000-0000-0000E6AF0000}"/>
    <cellStyle name="Percentagem 4 4" xfId="1931" xr:uid="{00000000-0005-0000-0000-0000E7AF0000}"/>
    <cellStyle name="Percentagem 4 4 2" xfId="11288" xr:uid="{00000000-0005-0000-0000-0000E8AF0000}"/>
    <cellStyle name="Percentagem 4 4 2 2" xfId="14909" xr:uid="{00000000-0005-0000-0000-0000E9AF0000}"/>
    <cellStyle name="Percentagem 4 4 3" xfId="28808" xr:uid="{00000000-0005-0000-0000-0000EAAF0000}"/>
    <cellStyle name="Percentagem 4 4 4" xfId="28809" xr:uid="{00000000-0005-0000-0000-0000EBAF0000}"/>
    <cellStyle name="Percentagem 4 4 5" xfId="28810" xr:uid="{00000000-0005-0000-0000-0000ECAF0000}"/>
    <cellStyle name="Percentagem 4 4 6" xfId="28811" xr:uid="{00000000-0005-0000-0000-0000EDAF0000}"/>
    <cellStyle name="Percentagem 4 4 7" xfId="28812" xr:uid="{00000000-0005-0000-0000-0000EEAF0000}"/>
    <cellStyle name="Percentagem 4 5" xfId="1932" xr:uid="{00000000-0005-0000-0000-0000EFAF0000}"/>
    <cellStyle name="Percentagem 4 5 2" xfId="11289" xr:uid="{00000000-0005-0000-0000-0000F0AF0000}"/>
    <cellStyle name="Percentagem 4 5 2 2" xfId="14910" xr:uid="{00000000-0005-0000-0000-0000F1AF0000}"/>
    <cellStyle name="Percentagem 4 5 3" xfId="28813" xr:uid="{00000000-0005-0000-0000-0000F2AF0000}"/>
    <cellStyle name="Percentagem 4 5 4" xfId="28814" xr:uid="{00000000-0005-0000-0000-0000F3AF0000}"/>
    <cellStyle name="Percentagem 4 5 5" xfId="28815" xr:uid="{00000000-0005-0000-0000-0000F4AF0000}"/>
    <cellStyle name="Percentagem 4 5 6" xfId="28816" xr:uid="{00000000-0005-0000-0000-0000F5AF0000}"/>
    <cellStyle name="Percentagem 4 5 7" xfId="28817" xr:uid="{00000000-0005-0000-0000-0000F6AF0000}"/>
    <cellStyle name="Percentagem 4 6" xfId="1933" xr:uid="{00000000-0005-0000-0000-0000F7AF0000}"/>
    <cellStyle name="Percentagem 4 6 2" xfId="11290" xr:uid="{00000000-0005-0000-0000-0000F8AF0000}"/>
    <cellStyle name="Percentagem 4 6 2 2" xfId="14911" xr:uid="{00000000-0005-0000-0000-0000F9AF0000}"/>
    <cellStyle name="Percentagem 4 6 3" xfId="28818" xr:uid="{00000000-0005-0000-0000-0000FAAF0000}"/>
    <cellStyle name="Percentagem 4 6 4" xfId="28819" xr:uid="{00000000-0005-0000-0000-0000FBAF0000}"/>
    <cellStyle name="Percentagem 4 6 5" xfId="28820" xr:uid="{00000000-0005-0000-0000-0000FCAF0000}"/>
    <cellStyle name="Percentagem 4 6 6" xfId="28821" xr:uid="{00000000-0005-0000-0000-0000FDAF0000}"/>
    <cellStyle name="Percentagem 4 6 7" xfId="28822" xr:uid="{00000000-0005-0000-0000-0000FEAF0000}"/>
    <cellStyle name="Percentagem 4 7" xfId="1934" xr:uid="{00000000-0005-0000-0000-0000FFAF0000}"/>
    <cellStyle name="Percentagem 4 7 2" xfId="11291" xr:uid="{00000000-0005-0000-0000-000000B00000}"/>
    <cellStyle name="Percentagem 4 7 2 2" xfId="14912" xr:uid="{00000000-0005-0000-0000-000001B00000}"/>
    <cellStyle name="Percentagem 4 7 3" xfId="28823" xr:uid="{00000000-0005-0000-0000-000002B00000}"/>
    <cellStyle name="Percentagem 4 7 4" xfId="28824" xr:uid="{00000000-0005-0000-0000-000003B00000}"/>
    <cellStyle name="Percentagem 4 7 5" xfId="28825" xr:uid="{00000000-0005-0000-0000-000004B00000}"/>
    <cellStyle name="Percentagem 4 7 6" xfId="28826" xr:uid="{00000000-0005-0000-0000-000005B00000}"/>
    <cellStyle name="Percentagem 4 7 7" xfId="28827" xr:uid="{00000000-0005-0000-0000-000006B00000}"/>
    <cellStyle name="Percentagem 4 8" xfId="4321" xr:uid="{00000000-0005-0000-0000-000007B00000}"/>
    <cellStyle name="Percentagem 4 8 2" xfId="11292" xr:uid="{00000000-0005-0000-0000-000008B00000}"/>
    <cellStyle name="Percentagem 4 8 2 2" xfId="14913" xr:uid="{00000000-0005-0000-0000-000009B00000}"/>
    <cellStyle name="Percentagem 4 8 3" xfId="28828" xr:uid="{00000000-0005-0000-0000-00000AB00000}"/>
    <cellStyle name="Percentagem 4 8 4" xfId="28829" xr:uid="{00000000-0005-0000-0000-00000BB00000}"/>
    <cellStyle name="Percentagem 4 8 5" xfId="28830" xr:uid="{00000000-0005-0000-0000-00000CB00000}"/>
    <cellStyle name="Percentagem 4 8 6" xfId="28831" xr:uid="{00000000-0005-0000-0000-00000DB00000}"/>
    <cellStyle name="Percentagem 4 9" xfId="7764" xr:uid="{00000000-0005-0000-0000-00000EB00000}"/>
    <cellStyle name="Percentagem 4 9 2" xfId="11293" xr:uid="{00000000-0005-0000-0000-00000FB00000}"/>
    <cellStyle name="Percentagem 4 9 2 2" xfId="14914" xr:uid="{00000000-0005-0000-0000-000010B00000}"/>
    <cellStyle name="Percentagem 4 9 3" xfId="28832" xr:uid="{00000000-0005-0000-0000-000011B00000}"/>
    <cellStyle name="Percentagem 4 9 4" xfId="28833" xr:uid="{00000000-0005-0000-0000-000012B00000}"/>
    <cellStyle name="Percentagem 4 9 5" xfId="28834" xr:uid="{00000000-0005-0000-0000-000013B00000}"/>
    <cellStyle name="Percentagem 4 9 6" xfId="28835" xr:uid="{00000000-0005-0000-0000-000014B00000}"/>
    <cellStyle name="Pilkku_Layo9704" xfId="1935" xr:uid="{00000000-0005-0000-0000-000015B00000}"/>
    <cellStyle name="Procent" xfId="1" builtinId="5"/>
    <cellStyle name="Pyör. luku_Layo9704" xfId="1936" xr:uid="{00000000-0005-0000-0000-000016B00000}"/>
    <cellStyle name="Pyör. valuutta_Layo9704" xfId="1937" xr:uid="{00000000-0005-0000-0000-000017B00000}"/>
    <cellStyle name="QDTITULO" xfId="1938" xr:uid="{00000000-0005-0000-0000-000018B00000}"/>
    <cellStyle name="QDTITULO 2" xfId="11294" xr:uid="{00000000-0005-0000-0000-000019B00000}"/>
    <cellStyle name="QDTITULO 2 2" xfId="14915" xr:uid="{00000000-0005-0000-0000-00001AB00000}"/>
    <cellStyle name="QDTITULO 3" xfId="28836" xr:uid="{00000000-0005-0000-0000-00001BB00000}"/>
    <cellStyle name="QDTITULO 4" xfId="28837" xr:uid="{00000000-0005-0000-0000-00001CB00000}"/>
    <cellStyle name="QDTITULO 5" xfId="28838" xr:uid="{00000000-0005-0000-0000-00001DB00000}"/>
    <cellStyle name="QDTITULO 6" xfId="28839" xr:uid="{00000000-0005-0000-0000-00001EB00000}"/>
    <cellStyle name="QDTITULO 7" xfId="28840" xr:uid="{00000000-0005-0000-0000-00001FB00000}"/>
    <cellStyle name="QDTITULO 8" xfId="28841" xr:uid="{00000000-0005-0000-0000-000020B00000}"/>
    <cellStyle name="Saída" xfId="1939" xr:uid="{00000000-0005-0000-0000-000021B00000}"/>
    <cellStyle name="Saída 2" xfId="11295" xr:uid="{00000000-0005-0000-0000-000022B00000}"/>
    <cellStyle name="Saída 2 2" xfId="14916" xr:uid="{00000000-0005-0000-0000-000023B00000}"/>
    <cellStyle name="Saída 3" xfId="28842" xr:uid="{00000000-0005-0000-0000-000024B00000}"/>
    <cellStyle name="Saída 4" xfId="28843" xr:uid="{00000000-0005-0000-0000-000025B00000}"/>
    <cellStyle name="Saída 5" xfId="28844" xr:uid="{00000000-0005-0000-0000-000026B00000}"/>
    <cellStyle name="Saída 6" xfId="28845" xr:uid="{00000000-0005-0000-0000-000027B00000}"/>
    <cellStyle name="Saída 7" xfId="28846" xr:uid="{00000000-0005-0000-0000-000028B00000}"/>
    <cellStyle name="Saída 8" xfId="28847" xr:uid="{00000000-0005-0000-0000-000029B00000}"/>
    <cellStyle name="Shade_R_border" xfId="1940" xr:uid="{00000000-0005-0000-0000-00002AB00000}"/>
    <cellStyle name="Standard_E00seit45" xfId="1941" xr:uid="{00000000-0005-0000-0000-00002BB00000}"/>
    <cellStyle name="Style 1" xfId="1942" xr:uid="{00000000-0005-0000-0000-00002CB00000}"/>
    <cellStyle name="Style 1 2" xfId="1943" xr:uid="{00000000-0005-0000-0000-00002DB00000}"/>
    <cellStyle name="Style 1 2 2" xfId="11297" xr:uid="{00000000-0005-0000-0000-00002EB00000}"/>
    <cellStyle name="Style 1 2 2 2" xfId="14918" xr:uid="{00000000-0005-0000-0000-00002FB00000}"/>
    <cellStyle name="Style 1 2 3" xfId="28848" xr:uid="{00000000-0005-0000-0000-000030B00000}"/>
    <cellStyle name="Style 1 2 4" xfId="28849" xr:uid="{00000000-0005-0000-0000-000031B00000}"/>
    <cellStyle name="Style 1 2 5" xfId="28850" xr:uid="{00000000-0005-0000-0000-000032B00000}"/>
    <cellStyle name="Style 1 2 6" xfId="28851" xr:uid="{00000000-0005-0000-0000-000033B00000}"/>
    <cellStyle name="Style 1 2 7" xfId="28852" xr:uid="{00000000-0005-0000-0000-000034B00000}"/>
    <cellStyle name="Style 1 3" xfId="11296" xr:uid="{00000000-0005-0000-0000-000035B00000}"/>
    <cellStyle name="Style 1 3 2" xfId="14917" xr:uid="{00000000-0005-0000-0000-000036B00000}"/>
    <cellStyle name="Style 1 4" xfId="28853" xr:uid="{00000000-0005-0000-0000-000037B00000}"/>
    <cellStyle name="Style 1 5" xfId="28854" xr:uid="{00000000-0005-0000-0000-000038B00000}"/>
    <cellStyle name="Style 1 6" xfId="28855" xr:uid="{00000000-0005-0000-0000-000039B00000}"/>
    <cellStyle name="Style 1 7" xfId="28856" xr:uid="{00000000-0005-0000-0000-00003AB00000}"/>
    <cellStyle name="Style 1 8" xfId="28857" xr:uid="{00000000-0005-0000-0000-00003BB00000}"/>
    <cellStyle name="Style 1 9" xfId="28858" xr:uid="{00000000-0005-0000-0000-00003CB00000}"/>
    <cellStyle name="Texto de Aviso" xfId="1944" xr:uid="{00000000-0005-0000-0000-00003DB00000}"/>
    <cellStyle name="Texto de Aviso 2" xfId="11298" xr:uid="{00000000-0005-0000-0000-00003EB00000}"/>
    <cellStyle name="Texto de Aviso 2 2" xfId="14919" xr:uid="{00000000-0005-0000-0000-00003FB00000}"/>
    <cellStyle name="Texto de Aviso 3" xfId="28859" xr:uid="{00000000-0005-0000-0000-000040B00000}"/>
    <cellStyle name="Texto de Aviso 4" xfId="28860" xr:uid="{00000000-0005-0000-0000-000041B00000}"/>
    <cellStyle name="Texto de Aviso 5" xfId="28861" xr:uid="{00000000-0005-0000-0000-000042B00000}"/>
    <cellStyle name="Texto de Aviso 6" xfId="28862" xr:uid="{00000000-0005-0000-0000-000043B00000}"/>
    <cellStyle name="Texto de Aviso 7" xfId="28863" xr:uid="{00000000-0005-0000-0000-000044B00000}"/>
    <cellStyle name="Texto de Aviso 8" xfId="28864" xr:uid="{00000000-0005-0000-0000-000045B00000}"/>
    <cellStyle name="Texto Explicativo" xfId="1945" xr:uid="{00000000-0005-0000-0000-000046B00000}"/>
    <cellStyle name="Texto Explicativo 2" xfId="1946" xr:uid="{00000000-0005-0000-0000-000047B00000}"/>
    <cellStyle name="Texto Explicativo 2 2" xfId="11581" xr:uid="{00000000-0005-0000-0000-000048B00000}"/>
    <cellStyle name="Texto Explicativo 2 2 2" xfId="28866" xr:uid="{00000000-0005-0000-0000-000049B00000}"/>
    <cellStyle name="Texto Explicativo 2 2 3" xfId="28867" xr:uid="{00000000-0005-0000-0000-00004AB00000}"/>
    <cellStyle name="Texto Explicativo 2 2 4" xfId="28868" xr:uid="{00000000-0005-0000-0000-00004BB00000}"/>
    <cellStyle name="Texto Explicativo 2 2 5" xfId="28869" xr:uid="{00000000-0005-0000-0000-00004CB00000}"/>
    <cellStyle name="Texto Explicativo 2 2 6" xfId="28865" xr:uid="{00000000-0005-0000-0000-00004DB00000}"/>
    <cellStyle name="Texto Explicativo 2 3" xfId="14920" xr:uid="{00000000-0005-0000-0000-00004EB00000}"/>
    <cellStyle name="Texto Explicativo 2 4" xfId="11299" xr:uid="{00000000-0005-0000-0000-00004FB00000}"/>
    <cellStyle name="Texto Explicativo 3" xfId="28870" xr:uid="{00000000-0005-0000-0000-000050B00000}"/>
    <cellStyle name="Texto Explicativo 4" xfId="28871" xr:uid="{00000000-0005-0000-0000-000051B00000}"/>
    <cellStyle name="Texto Explicativo 5" xfId="28872" xr:uid="{00000000-0005-0000-0000-000052B00000}"/>
    <cellStyle name="Texto Explicativo 6" xfId="28873" xr:uid="{00000000-0005-0000-0000-000053B00000}"/>
    <cellStyle name="Texto Explicativo 7" xfId="28874" xr:uid="{00000000-0005-0000-0000-000054B00000}"/>
    <cellStyle name="Texto Explicativo 8" xfId="28875" xr:uid="{00000000-0005-0000-0000-000055B00000}"/>
    <cellStyle name="TITCOLUNA" xfId="1947" xr:uid="{00000000-0005-0000-0000-000056B00000}"/>
    <cellStyle name="TITCOLUNA 2" xfId="11300" xr:uid="{00000000-0005-0000-0000-000057B00000}"/>
    <cellStyle name="TITCOLUNA 2 2" xfId="14921" xr:uid="{00000000-0005-0000-0000-000058B00000}"/>
    <cellStyle name="TITCOLUNA 3" xfId="28876" xr:uid="{00000000-0005-0000-0000-000059B00000}"/>
    <cellStyle name="TITCOLUNA 4" xfId="28877" xr:uid="{00000000-0005-0000-0000-00005AB00000}"/>
    <cellStyle name="TITCOLUNA 5" xfId="28878" xr:uid="{00000000-0005-0000-0000-00005BB00000}"/>
    <cellStyle name="TITCOLUNA 6" xfId="28879" xr:uid="{00000000-0005-0000-0000-00005CB00000}"/>
    <cellStyle name="TITCOLUNA 7" xfId="28880" xr:uid="{00000000-0005-0000-0000-00005DB00000}"/>
    <cellStyle name="TITCOLUNA 8" xfId="28881" xr:uid="{00000000-0005-0000-0000-00005EB00000}"/>
    <cellStyle name="Title 10" xfId="1948" xr:uid="{00000000-0005-0000-0000-00005FB00000}"/>
    <cellStyle name="Title 10 2" xfId="4322" xr:uid="{00000000-0005-0000-0000-000060B00000}"/>
    <cellStyle name="Title 10 2 2" xfId="11302" xr:uid="{00000000-0005-0000-0000-000061B00000}"/>
    <cellStyle name="Title 10 2 2 2" xfId="14923" xr:uid="{00000000-0005-0000-0000-000062B00000}"/>
    <cellStyle name="Title 10 2 3" xfId="28882" xr:uid="{00000000-0005-0000-0000-000063B00000}"/>
    <cellStyle name="Title 10 2 4" xfId="28883" xr:uid="{00000000-0005-0000-0000-000064B00000}"/>
    <cellStyle name="Title 10 2 5" xfId="28884" xr:uid="{00000000-0005-0000-0000-000065B00000}"/>
    <cellStyle name="Title 10 2 6" xfId="28885" xr:uid="{00000000-0005-0000-0000-000066B00000}"/>
    <cellStyle name="Title 10 3" xfId="11301" xr:uid="{00000000-0005-0000-0000-000067B00000}"/>
    <cellStyle name="Title 10 3 2" xfId="14922" xr:uid="{00000000-0005-0000-0000-000068B00000}"/>
    <cellStyle name="Title 10 4" xfId="28886" xr:uid="{00000000-0005-0000-0000-000069B00000}"/>
    <cellStyle name="Title 10 5" xfId="28887" xr:uid="{00000000-0005-0000-0000-00006AB00000}"/>
    <cellStyle name="Title 10 6" xfId="28888" xr:uid="{00000000-0005-0000-0000-00006BB00000}"/>
    <cellStyle name="Title 10 7" xfId="28889" xr:uid="{00000000-0005-0000-0000-00006CB00000}"/>
    <cellStyle name="Title 10 8" xfId="28890" xr:uid="{00000000-0005-0000-0000-00006DB00000}"/>
    <cellStyle name="Title 11" xfId="1949" xr:uid="{00000000-0005-0000-0000-00006EB00000}"/>
    <cellStyle name="Title 11 2" xfId="8338" xr:uid="{00000000-0005-0000-0000-00006FB00000}"/>
    <cellStyle name="Title 11 2 2" xfId="11304" xr:uid="{00000000-0005-0000-0000-000070B00000}"/>
    <cellStyle name="Title 11 2 2 2" xfId="14925" xr:uid="{00000000-0005-0000-0000-000071B00000}"/>
    <cellStyle name="Title 11 2 3" xfId="28891" xr:uid="{00000000-0005-0000-0000-000072B00000}"/>
    <cellStyle name="Title 11 2 4" xfId="28892" xr:uid="{00000000-0005-0000-0000-000073B00000}"/>
    <cellStyle name="Title 11 2 5" xfId="28893" xr:uid="{00000000-0005-0000-0000-000074B00000}"/>
    <cellStyle name="Title 11 2 6" xfId="28894" xr:uid="{00000000-0005-0000-0000-000075B00000}"/>
    <cellStyle name="Title 11 3" xfId="11303" xr:uid="{00000000-0005-0000-0000-000076B00000}"/>
    <cellStyle name="Title 11 3 2" xfId="14924" xr:uid="{00000000-0005-0000-0000-000077B00000}"/>
    <cellStyle name="Title 11 4" xfId="28895" xr:uid="{00000000-0005-0000-0000-000078B00000}"/>
    <cellStyle name="Title 11 5" xfId="28896" xr:uid="{00000000-0005-0000-0000-000079B00000}"/>
    <cellStyle name="Title 11 6" xfId="28897" xr:uid="{00000000-0005-0000-0000-00007AB00000}"/>
    <cellStyle name="Title 11 7" xfId="28898" xr:uid="{00000000-0005-0000-0000-00007BB00000}"/>
    <cellStyle name="Title 11 8" xfId="28899" xr:uid="{00000000-0005-0000-0000-00007CB00000}"/>
    <cellStyle name="Title 12" xfId="1950" xr:uid="{00000000-0005-0000-0000-00007DB00000}"/>
    <cellStyle name="Title 12 2" xfId="8339" xr:uid="{00000000-0005-0000-0000-00007EB00000}"/>
    <cellStyle name="Title 12 2 2" xfId="11306" xr:uid="{00000000-0005-0000-0000-00007FB00000}"/>
    <cellStyle name="Title 12 2 2 2" xfId="14927" xr:uid="{00000000-0005-0000-0000-000080B00000}"/>
    <cellStyle name="Title 12 2 3" xfId="28900" xr:uid="{00000000-0005-0000-0000-000081B00000}"/>
    <cellStyle name="Title 12 2 4" xfId="28901" xr:uid="{00000000-0005-0000-0000-000082B00000}"/>
    <cellStyle name="Title 12 2 5" xfId="28902" xr:uid="{00000000-0005-0000-0000-000083B00000}"/>
    <cellStyle name="Title 12 2 6" xfId="28903" xr:uid="{00000000-0005-0000-0000-000084B00000}"/>
    <cellStyle name="Title 12 3" xfId="11305" xr:uid="{00000000-0005-0000-0000-000085B00000}"/>
    <cellStyle name="Title 12 3 2" xfId="14926" xr:uid="{00000000-0005-0000-0000-000086B00000}"/>
    <cellStyle name="Title 12 4" xfId="28904" xr:uid="{00000000-0005-0000-0000-000087B00000}"/>
    <cellStyle name="Title 12 5" xfId="28905" xr:uid="{00000000-0005-0000-0000-000088B00000}"/>
    <cellStyle name="Title 12 6" xfId="28906" xr:uid="{00000000-0005-0000-0000-000089B00000}"/>
    <cellStyle name="Title 12 7" xfId="28907" xr:uid="{00000000-0005-0000-0000-00008AB00000}"/>
    <cellStyle name="Title 12 8" xfId="28908" xr:uid="{00000000-0005-0000-0000-00008BB00000}"/>
    <cellStyle name="Title 13" xfId="1951" xr:uid="{00000000-0005-0000-0000-00008CB00000}"/>
    <cellStyle name="Title 13 2" xfId="8340" xr:uid="{00000000-0005-0000-0000-00008DB00000}"/>
    <cellStyle name="Title 13 2 2" xfId="11308" xr:uid="{00000000-0005-0000-0000-00008EB00000}"/>
    <cellStyle name="Title 13 2 2 2" xfId="14929" xr:uid="{00000000-0005-0000-0000-00008FB00000}"/>
    <cellStyle name="Title 13 2 3" xfId="28909" xr:uid="{00000000-0005-0000-0000-000090B00000}"/>
    <cellStyle name="Title 13 2 4" xfId="28910" xr:uid="{00000000-0005-0000-0000-000091B00000}"/>
    <cellStyle name="Title 13 2 5" xfId="28911" xr:uid="{00000000-0005-0000-0000-000092B00000}"/>
    <cellStyle name="Title 13 2 6" xfId="28912" xr:uid="{00000000-0005-0000-0000-000093B00000}"/>
    <cellStyle name="Title 13 3" xfId="11307" xr:uid="{00000000-0005-0000-0000-000094B00000}"/>
    <cellStyle name="Title 13 3 2" xfId="14928" xr:uid="{00000000-0005-0000-0000-000095B00000}"/>
    <cellStyle name="Title 13 4" xfId="28913" xr:uid="{00000000-0005-0000-0000-000096B00000}"/>
    <cellStyle name="Title 13 5" xfId="28914" xr:uid="{00000000-0005-0000-0000-000097B00000}"/>
    <cellStyle name="Title 13 6" xfId="28915" xr:uid="{00000000-0005-0000-0000-000098B00000}"/>
    <cellStyle name="Title 13 7" xfId="28916" xr:uid="{00000000-0005-0000-0000-000099B00000}"/>
    <cellStyle name="Title 13 8" xfId="28917" xr:uid="{00000000-0005-0000-0000-00009AB00000}"/>
    <cellStyle name="Title 14" xfId="1952" xr:uid="{00000000-0005-0000-0000-00009BB00000}"/>
    <cellStyle name="Title 14 2" xfId="8341" xr:uid="{00000000-0005-0000-0000-00009CB00000}"/>
    <cellStyle name="Title 14 2 2" xfId="11310" xr:uid="{00000000-0005-0000-0000-00009DB00000}"/>
    <cellStyle name="Title 14 2 2 2" xfId="14931" xr:uid="{00000000-0005-0000-0000-00009EB00000}"/>
    <cellStyle name="Title 14 2 3" xfId="28918" xr:uid="{00000000-0005-0000-0000-00009FB00000}"/>
    <cellStyle name="Title 14 2 4" xfId="28919" xr:uid="{00000000-0005-0000-0000-0000A0B00000}"/>
    <cellStyle name="Title 14 2 5" xfId="28920" xr:uid="{00000000-0005-0000-0000-0000A1B00000}"/>
    <cellStyle name="Title 14 2 6" xfId="28921" xr:uid="{00000000-0005-0000-0000-0000A2B00000}"/>
    <cellStyle name="Title 14 3" xfId="11309" xr:uid="{00000000-0005-0000-0000-0000A3B00000}"/>
    <cellStyle name="Title 14 3 2" xfId="14930" xr:uid="{00000000-0005-0000-0000-0000A4B00000}"/>
    <cellStyle name="Title 14 4" xfId="28922" xr:uid="{00000000-0005-0000-0000-0000A5B00000}"/>
    <cellStyle name="Title 14 5" xfId="28923" xr:uid="{00000000-0005-0000-0000-0000A6B00000}"/>
    <cellStyle name="Title 14 6" xfId="28924" xr:uid="{00000000-0005-0000-0000-0000A7B00000}"/>
    <cellStyle name="Title 14 7" xfId="28925" xr:uid="{00000000-0005-0000-0000-0000A8B00000}"/>
    <cellStyle name="Title 14 8" xfId="28926" xr:uid="{00000000-0005-0000-0000-0000A9B00000}"/>
    <cellStyle name="Title 15" xfId="4323" xr:uid="{00000000-0005-0000-0000-0000AAB00000}"/>
    <cellStyle name="Title 15 2" xfId="8342" xr:uid="{00000000-0005-0000-0000-0000ABB00000}"/>
    <cellStyle name="Title 15 2 2" xfId="11312" xr:uid="{00000000-0005-0000-0000-0000ACB00000}"/>
    <cellStyle name="Title 15 2 2 2" xfId="14933" xr:uid="{00000000-0005-0000-0000-0000ADB00000}"/>
    <cellStyle name="Title 15 2 3" xfId="28927" xr:uid="{00000000-0005-0000-0000-0000AEB00000}"/>
    <cellStyle name="Title 15 2 4" xfId="28928" xr:uid="{00000000-0005-0000-0000-0000AFB00000}"/>
    <cellStyle name="Title 15 2 5" xfId="28929" xr:uid="{00000000-0005-0000-0000-0000B0B00000}"/>
    <cellStyle name="Title 15 2 6" xfId="28930" xr:uid="{00000000-0005-0000-0000-0000B1B00000}"/>
    <cellStyle name="Title 15 3" xfId="11311" xr:uid="{00000000-0005-0000-0000-0000B2B00000}"/>
    <cellStyle name="Title 15 3 2" xfId="14932" xr:uid="{00000000-0005-0000-0000-0000B3B00000}"/>
    <cellStyle name="Title 15 4" xfId="28931" xr:uid="{00000000-0005-0000-0000-0000B4B00000}"/>
    <cellStyle name="Title 15 5" xfId="28932" xr:uid="{00000000-0005-0000-0000-0000B5B00000}"/>
    <cellStyle name="Title 15 6" xfId="28933" xr:uid="{00000000-0005-0000-0000-0000B6B00000}"/>
    <cellStyle name="Title 15 7" xfId="28934" xr:uid="{00000000-0005-0000-0000-0000B7B00000}"/>
    <cellStyle name="Title 16" xfId="4324" xr:uid="{00000000-0005-0000-0000-0000B8B00000}"/>
    <cellStyle name="Title 16 2" xfId="8343" xr:uid="{00000000-0005-0000-0000-0000B9B00000}"/>
    <cellStyle name="Title 16 2 2" xfId="11314" xr:uid="{00000000-0005-0000-0000-0000BAB00000}"/>
    <cellStyle name="Title 16 2 2 2" xfId="14935" xr:uid="{00000000-0005-0000-0000-0000BBB00000}"/>
    <cellStyle name="Title 16 2 3" xfId="28935" xr:uid="{00000000-0005-0000-0000-0000BCB00000}"/>
    <cellStyle name="Title 16 2 4" xfId="28936" xr:uid="{00000000-0005-0000-0000-0000BDB00000}"/>
    <cellStyle name="Title 16 2 5" xfId="28937" xr:uid="{00000000-0005-0000-0000-0000BEB00000}"/>
    <cellStyle name="Title 16 2 6" xfId="28938" xr:uid="{00000000-0005-0000-0000-0000BFB00000}"/>
    <cellStyle name="Title 16 3" xfId="11313" xr:uid="{00000000-0005-0000-0000-0000C0B00000}"/>
    <cellStyle name="Title 16 3 2" xfId="14934" xr:uid="{00000000-0005-0000-0000-0000C1B00000}"/>
    <cellStyle name="Title 16 4" xfId="28939" xr:uid="{00000000-0005-0000-0000-0000C2B00000}"/>
    <cellStyle name="Title 16 5" xfId="28940" xr:uid="{00000000-0005-0000-0000-0000C3B00000}"/>
    <cellStyle name="Title 16 6" xfId="28941" xr:uid="{00000000-0005-0000-0000-0000C4B00000}"/>
    <cellStyle name="Title 16 7" xfId="28942" xr:uid="{00000000-0005-0000-0000-0000C5B00000}"/>
    <cellStyle name="Title 17" xfId="4325" xr:uid="{00000000-0005-0000-0000-0000C6B00000}"/>
    <cellStyle name="Title 17 2" xfId="8344" xr:uid="{00000000-0005-0000-0000-0000C7B00000}"/>
    <cellStyle name="Title 17 2 2" xfId="11316" xr:uid="{00000000-0005-0000-0000-0000C8B00000}"/>
    <cellStyle name="Title 17 2 2 2" xfId="14937" xr:uid="{00000000-0005-0000-0000-0000C9B00000}"/>
    <cellStyle name="Title 17 2 3" xfId="28943" xr:uid="{00000000-0005-0000-0000-0000CAB00000}"/>
    <cellStyle name="Title 17 2 4" xfId="28944" xr:uid="{00000000-0005-0000-0000-0000CBB00000}"/>
    <cellStyle name="Title 17 2 5" xfId="28945" xr:uid="{00000000-0005-0000-0000-0000CCB00000}"/>
    <cellStyle name="Title 17 2 6" xfId="28946" xr:uid="{00000000-0005-0000-0000-0000CDB00000}"/>
    <cellStyle name="Title 17 3" xfId="11315" xr:uid="{00000000-0005-0000-0000-0000CEB00000}"/>
    <cellStyle name="Title 17 3 2" xfId="14936" xr:uid="{00000000-0005-0000-0000-0000CFB00000}"/>
    <cellStyle name="Title 17 4" xfId="28947" xr:uid="{00000000-0005-0000-0000-0000D0B00000}"/>
    <cellStyle name="Title 17 5" xfId="28948" xr:uid="{00000000-0005-0000-0000-0000D1B00000}"/>
    <cellStyle name="Title 17 6" xfId="28949" xr:uid="{00000000-0005-0000-0000-0000D2B00000}"/>
    <cellStyle name="Title 17 7" xfId="28950" xr:uid="{00000000-0005-0000-0000-0000D3B00000}"/>
    <cellStyle name="Title 18" xfId="4326" xr:uid="{00000000-0005-0000-0000-0000D4B00000}"/>
    <cellStyle name="Title 18 2" xfId="8345" xr:uid="{00000000-0005-0000-0000-0000D5B00000}"/>
    <cellStyle name="Title 18 2 2" xfId="11318" xr:uid="{00000000-0005-0000-0000-0000D6B00000}"/>
    <cellStyle name="Title 18 2 2 2" xfId="14939" xr:uid="{00000000-0005-0000-0000-0000D7B00000}"/>
    <cellStyle name="Title 18 2 3" xfId="28951" xr:uid="{00000000-0005-0000-0000-0000D8B00000}"/>
    <cellStyle name="Title 18 2 4" xfId="28952" xr:uid="{00000000-0005-0000-0000-0000D9B00000}"/>
    <cellStyle name="Title 18 2 5" xfId="28953" xr:uid="{00000000-0005-0000-0000-0000DAB00000}"/>
    <cellStyle name="Title 18 2 6" xfId="28954" xr:uid="{00000000-0005-0000-0000-0000DBB00000}"/>
    <cellStyle name="Title 18 3" xfId="11317" xr:uid="{00000000-0005-0000-0000-0000DCB00000}"/>
    <cellStyle name="Title 18 3 2" xfId="14938" xr:uid="{00000000-0005-0000-0000-0000DDB00000}"/>
    <cellStyle name="Title 18 4" xfId="28955" xr:uid="{00000000-0005-0000-0000-0000DEB00000}"/>
    <cellStyle name="Title 18 5" xfId="28956" xr:uid="{00000000-0005-0000-0000-0000DFB00000}"/>
    <cellStyle name="Title 18 6" xfId="28957" xr:uid="{00000000-0005-0000-0000-0000E0B00000}"/>
    <cellStyle name="Title 18 7" xfId="28958" xr:uid="{00000000-0005-0000-0000-0000E1B00000}"/>
    <cellStyle name="Title 19" xfId="4327" xr:uid="{00000000-0005-0000-0000-0000E2B00000}"/>
    <cellStyle name="Title 19 2" xfId="8346" xr:uid="{00000000-0005-0000-0000-0000E3B00000}"/>
    <cellStyle name="Title 19 2 2" xfId="11320" xr:uid="{00000000-0005-0000-0000-0000E4B00000}"/>
    <cellStyle name="Title 19 2 2 2" xfId="14941" xr:uid="{00000000-0005-0000-0000-0000E5B00000}"/>
    <cellStyle name="Title 19 2 3" xfId="28959" xr:uid="{00000000-0005-0000-0000-0000E6B00000}"/>
    <cellStyle name="Title 19 2 4" xfId="28960" xr:uid="{00000000-0005-0000-0000-0000E7B00000}"/>
    <cellStyle name="Title 19 2 5" xfId="28961" xr:uid="{00000000-0005-0000-0000-0000E8B00000}"/>
    <cellStyle name="Title 19 2 6" xfId="28962" xr:uid="{00000000-0005-0000-0000-0000E9B00000}"/>
    <cellStyle name="Title 19 3" xfId="11319" xr:uid="{00000000-0005-0000-0000-0000EAB00000}"/>
    <cellStyle name="Title 19 3 2" xfId="14940" xr:uid="{00000000-0005-0000-0000-0000EBB00000}"/>
    <cellStyle name="Title 19 4" xfId="28963" xr:uid="{00000000-0005-0000-0000-0000ECB00000}"/>
    <cellStyle name="Title 19 5" xfId="28964" xr:uid="{00000000-0005-0000-0000-0000EDB00000}"/>
    <cellStyle name="Title 19 6" xfId="28965" xr:uid="{00000000-0005-0000-0000-0000EEB00000}"/>
    <cellStyle name="Title 19 7" xfId="28966" xr:uid="{00000000-0005-0000-0000-0000EFB00000}"/>
    <cellStyle name="Title 2" xfId="1953" xr:uid="{00000000-0005-0000-0000-0000F0B00000}"/>
    <cellStyle name="Title 2 10" xfId="11321" xr:uid="{00000000-0005-0000-0000-0000F1B00000}"/>
    <cellStyle name="Title 2 10 2" xfId="14942" xr:uid="{00000000-0005-0000-0000-0000F2B00000}"/>
    <cellStyle name="Title 2 11" xfId="28967" xr:uid="{00000000-0005-0000-0000-0000F3B00000}"/>
    <cellStyle name="Title 2 12" xfId="28968" xr:uid="{00000000-0005-0000-0000-0000F4B00000}"/>
    <cellStyle name="Title 2 13" xfId="28969" xr:uid="{00000000-0005-0000-0000-0000F5B00000}"/>
    <cellStyle name="Title 2 14" xfId="28970" xr:uid="{00000000-0005-0000-0000-0000F6B00000}"/>
    <cellStyle name="Title 2 15" xfId="28971" xr:uid="{00000000-0005-0000-0000-0000F7B00000}"/>
    <cellStyle name="Title 2 16" xfId="28972" xr:uid="{00000000-0005-0000-0000-0000F8B00000}"/>
    <cellStyle name="Title 2 2" xfId="1954" xr:uid="{00000000-0005-0000-0000-0000F9B00000}"/>
    <cellStyle name="Title 2 2 2" xfId="11322" xr:uid="{00000000-0005-0000-0000-0000FAB00000}"/>
    <cellStyle name="Title 2 2 2 2" xfId="14943" xr:uid="{00000000-0005-0000-0000-0000FBB00000}"/>
    <cellStyle name="Title 2 2 3" xfId="28973" xr:uid="{00000000-0005-0000-0000-0000FCB00000}"/>
    <cellStyle name="Title 2 2 4" xfId="28974" xr:uid="{00000000-0005-0000-0000-0000FDB00000}"/>
    <cellStyle name="Title 2 2 5" xfId="28975" xr:uid="{00000000-0005-0000-0000-0000FEB00000}"/>
    <cellStyle name="Title 2 2 6" xfId="28976" xr:uid="{00000000-0005-0000-0000-0000FFB00000}"/>
    <cellStyle name="Title 2 2 7" xfId="28977" xr:uid="{00000000-0005-0000-0000-000000B10000}"/>
    <cellStyle name="Title 2 3" xfId="1955" xr:uid="{00000000-0005-0000-0000-000001B10000}"/>
    <cellStyle name="Title 2 3 2" xfId="11323" xr:uid="{00000000-0005-0000-0000-000002B10000}"/>
    <cellStyle name="Title 2 3 2 2" xfId="14944" xr:uid="{00000000-0005-0000-0000-000003B10000}"/>
    <cellStyle name="Title 2 3 3" xfId="28978" xr:uid="{00000000-0005-0000-0000-000004B10000}"/>
    <cellStyle name="Title 2 3 4" xfId="28979" xr:uid="{00000000-0005-0000-0000-000005B10000}"/>
    <cellStyle name="Title 2 3 5" xfId="28980" xr:uid="{00000000-0005-0000-0000-000006B10000}"/>
    <cellStyle name="Title 2 3 6" xfId="28981" xr:uid="{00000000-0005-0000-0000-000007B10000}"/>
    <cellStyle name="Title 2 3 7" xfId="28982" xr:uid="{00000000-0005-0000-0000-000008B10000}"/>
    <cellStyle name="Title 2 4" xfId="1956" xr:uid="{00000000-0005-0000-0000-000009B10000}"/>
    <cellStyle name="Title 2 4 2" xfId="11324" xr:uid="{00000000-0005-0000-0000-00000AB10000}"/>
    <cellStyle name="Title 2 4 2 2" xfId="14945" xr:uid="{00000000-0005-0000-0000-00000BB10000}"/>
    <cellStyle name="Title 2 4 3" xfId="28983" xr:uid="{00000000-0005-0000-0000-00000CB10000}"/>
    <cellStyle name="Title 2 4 4" xfId="28984" xr:uid="{00000000-0005-0000-0000-00000DB10000}"/>
    <cellStyle name="Title 2 4 5" xfId="28985" xr:uid="{00000000-0005-0000-0000-00000EB10000}"/>
    <cellStyle name="Title 2 4 6" xfId="28986" xr:uid="{00000000-0005-0000-0000-00000FB10000}"/>
    <cellStyle name="Title 2 4 7" xfId="28987" xr:uid="{00000000-0005-0000-0000-000010B10000}"/>
    <cellStyle name="Title 2 5" xfId="1957" xr:uid="{00000000-0005-0000-0000-000011B10000}"/>
    <cellStyle name="Title 2 5 2" xfId="11325" xr:uid="{00000000-0005-0000-0000-000012B10000}"/>
    <cellStyle name="Title 2 5 2 2" xfId="14946" xr:uid="{00000000-0005-0000-0000-000013B10000}"/>
    <cellStyle name="Title 2 5 3" xfId="28988" xr:uid="{00000000-0005-0000-0000-000014B10000}"/>
    <cellStyle name="Title 2 5 4" xfId="28989" xr:uid="{00000000-0005-0000-0000-000015B10000}"/>
    <cellStyle name="Title 2 5 5" xfId="28990" xr:uid="{00000000-0005-0000-0000-000016B10000}"/>
    <cellStyle name="Title 2 5 6" xfId="28991" xr:uid="{00000000-0005-0000-0000-000017B10000}"/>
    <cellStyle name="Title 2 5 7" xfId="28992" xr:uid="{00000000-0005-0000-0000-000018B10000}"/>
    <cellStyle name="Title 2 6" xfId="1958" xr:uid="{00000000-0005-0000-0000-000019B10000}"/>
    <cellStyle name="Title 2 6 2" xfId="11326" xr:uid="{00000000-0005-0000-0000-00001AB10000}"/>
    <cellStyle name="Title 2 6 2 2" xfId="14947" xr:uid="{00000000-0005-0000-0000-00001BB10000}"/>
    <cellStyle name="Title 2 6 3" xfId="28993" xr:uid="{00000000-0005-0000-0000-00001CB10000}"/>
    <cellStyle name="Title 2 6 4" xfId="28994" xr:uid="{00000000-0005-0000-0000-00001DB10000}"/>
    <cellStyle name="Title 2 6 5" xfId="28995" xr:uid="{00000000-0005-0000-0000-00001EB10000}"/>
    <cellStyle name="Title 2 6 6" xfId="28996" xr:uid="{00000000-0005-0000-0000-00001FB10000}"/>
    <cellStyle name="Title 2 6 7" xfId="28997" xr:uid="{00000000-0005-0000-0000-000020B10000}"/>
    <cellStyle name="Title 2 7" xfId="1959" xr:uid="{00000000-0005-0000-0000-000021B10000}"/>
    <cellStyle name="Title 2 7 2" xfId="11327" xr:uid="{00000000-0005-0000-0000-000022B10000}"/>
    <cellStyle name="Title 2 7 2 2" xfId="14948" xr:uid="{00000000-0005-0000-0000-000023B10000}"/>
    <cellStyle name="Title 2 7 3" xfId="28998" xr:uid="{00000000-0005-0000-0000-000024B10000}"/>
    <cellStyle name="Title 2 7 4" xfId="28999" xr:uid="{00000000-0005-0000-0000-000025B10000}"/>
    <cellStyle name="Title 2 7 5" xfId="29000" xr:uid="{00000000-0005-0000-0000-000026B10000}"/>
    <cellStyle name="Title 2 7 6" xfId="29001" xr:uid="{00000000-0005-0000-0000-000027B10000}"/>
    <cellStyle name="Title 2 7 7" xfId="29002" xr:uid="{00000000-0005-0000-0000-000028B10000}"/>
    <cellStyle name="Title 2 8" xfId="1960" xr:uid="{00000000-0005-0000-0000-000029B10000}"/>
    <cellStyle name="Title 2 8 2" xfId="11328" xr:uid="{00000000-0005-0000-0000-00002AB10000}"/>
    <cellStyle name="Title 2 8 2 2" xfId="14949" xr:uid="{00000000-0005-0000-0000-00002BB10000}"/>
    <cellStyle name="Title 2 8 3" xfId="29003" xr:uid="{00000000-0005-0000-0000-00002CB10000}"/>
    <cellStyle name="Title 2 8 4" xfId="29004" xr:uid="{00000000-0005-0000-0000-00002DB10000}"/>
    <cellStyle name="Title 2 8 5" xfId="29005" xr:uid="{00000000-0005-0000-0000-00002EB10000}"/>
    <cellStyle name="Title 2 8 6" xfId="29006" xr:uid="{00000000-0005-0000-0000-00002FB10000}"/>
    <cellStyle name="Title 2 8 7" xfId="29007" xr:uid="{00000000-0005-0000-0000-000030B10000}"/>
    <cellStyle name="Title 2 9" xfId="1961" xr:uid="{00000000-0005-0000-0000-000031B10000}"/>
    <cellStyle name="Title 2 9 2" xfId="11329" xr:uid="{00000000-0005-0000-0000-000032B10000}"/>
    <cellStyle name="Title 2 9 2 2" xfId="14950" xr:uid="{00000000-0005-0000-0000-000033B10000}"/>
    <cellStyle name="Title 2 9 3" xfId="29008" xr:uid="{00000000-0005-0000-0000-000034B10000}"/>
    <cellStyle name="Title 2 9 4" xfId="29009" xr:uid="{00000000-0005-0000-0000-000035B10000}"/>
    <cellStyle name="Title 2 9 5" xfId="29010" xr:uid="{00000000-0005-0000-0000-000036B10000}"/>
    <cellStyle name="Title 2 9 6" xfId="29011" xr:uid="{00000000-0005-0000-0000-000037B10000}"/>
    <cellStyle name="Title 2 9 7" xfId="29012" xr:uid="{00000000-0005-0000-0000-000038B10000}"/>
    <cellStyle name="Title 20" xfId="4328" xr:uid="{00000000-0005-0000-0000-000039B10000}"/>
    <cellStyle name="Title 20 2" xfId="8347" xr:uid="{00000000-0005-0000-0000-00003AB10000}"/>
    <cellStyle name="Title 20 2 2" xfId="11331" xr:uid="{00000000-0005-0000-0000-00003BB10000}"/>
    <cellStyle name="Title 20 2 2 2" xfId="14952" xr:uid="{00000000-0005-0000-0000-00003CB10000}"/>
    <cellStyle name="Title 20 2 3" xfId="29013" xr:uid="{00000000-0005-0000-0000-00003DB10000}"/>
    <cellStyle name="Title 20 2 4" xfId="29014" xr:uid="{00000000-0005-0000-0000-00003EB10000}"/>
    <cellStyle name="Title 20 2 5" xfId="29015" xr:uid="{00000000-0005-0000-0000-00003FB10000}"/>
    <cellStyle name="Title 20 2 6" xfId="29016" xr:uid="{00000000-0005-0000-0000-000040B10000}"/>
    <cellStyle name="Title 20 3" xfId="11330" xr:uid="{00000000-0005-0000-0000-000041B10000}"/>
    <cellStyle name="Title 20 3 2" xfId="14951" xr:uid="{00000000-0005-0000-0000-000042B10000}"/>
    <cellStyle name="Title 20 4" xfId="29017" xr:uid="{00000000-0005-0000-0000-000043B10000}"/>
    <cellStyle name="Title 20 5" xfId="29018" xr:uid="{00000000-0005-0000-0000-000044B10000}"/>
    <cellStyle name="Title 20 6" xfId="29019" xr:uid="{00000000-0005-0000-0000-000045B10000}"/>
    <cellStyle name="Title 20 7" xfId="29020" xr:uid="{00000000-0005-0000-0000-000046B10000}"/>
    <cellStyle name="Title 21" xfId="8348" xr:uid="{00000000-0005-0000-0000-000047B10000}"/>
    <cellStyle name="Title 21 2" xfId="11332" xr:uid="{00000000-0005-0000-0000-000048B10000}"/>
    <cellStyle name="Title 21 2 2" xfId="14953" xr:uid="{00000000-0005-0000-0000-000049B10000}"/>
    <cellStyle name="Title 21 3" xfId="29021" xr:uid="{00000000-0005-0000-0000-00004AB10000}"/>
    <cellStyle name="Title 21 4" xfId="29022" xr:uid="{00000000-0005-0000-0000-00004BB10000}"/>
    <cellStyle name="Title 21 5" xfId="29023" xr:uid="{00000000-0005-0000-0000-00004CB10000}"/>
    <cellStyle name="Title 21 6" xfId="29024" xr:uid="{00000000-0005-0000-0000-00004DB10000}"/>
    <cellStyle name="Title 22" xfId="6621" xr:uid="{00000000-0005-0000-0000-00004EB10000}"/>
    <cellStyle name="Title 22 2" xfId="29026" xr:uid="{00000000-0005-0000-0000-00004FB10000}"/>
    <cellStyle name="Title 22 3" xfId="29025" xr:uid="{00000000-0005-0000-0000-000050B10000}"/>
    <cellStyle name="Title 23" xfId="29027" xr:uid="{00000000-0005-0000-0000-000051B10000}"/>
    <cellStyle name="Title 24" xfId="29028" xr:uid="{00000000-0005-0000-0000-000052B10000}"/>
    <cellStyle name="Title 25" xfId="29029" xr:uid="{00000000-0005-0000-0000-000053B10000}"/>
    <cellStyle name="Title 3" xfId="1962" xr:uid="{00000000-0005-0000-0000-000054B10000}"/>
    <cellStyle name="Title 3 10" xfId="4329" xr:uid="{00000000-0005-0000-0000-000055B10000}"/>
    <cellStyle name="Title 3 10 2" xfId="11334" xr:uid="{00000000-0005-0000-0000-000056B10000}"/>
    <cellStyle name="Title 3 10 2 2" xfId="14955" xr:uid="{00000000-0005-0000-0000-000057B10000}"/>
    <cellStyle name="Title 3 10 3" xfId="29030" xr:uid="{00000000-0005-0000-0000-000058B10000}"/>
    <cellStyle name="Title 3 10 4" xfId="29031" xr:uid="{00000000-0005-0000-0000-000059B10000}"/>
    <cellStyle name="Title 3 10 5" xfId="29032" xr:uid="{00000000-0005-0000-0000-00005AB10000}"/>
    <cellStyle name="Title 3 10 6" xfId="29033" xr:uid="{00000000-0005-0000-0000-00005BB10000}"/>
    <cellStyle name="Title 3 11" xfId="4330" xr:uid="{00000000-0005-0000-0000-00005CB10000}"/>
    <cellStyle name="Title 3 11 2" xfId="11335" xr:uid="{00000000-0005-0000-0000-00005DB10000}"/>
    <cellStyle name="Title 3 11 2 2" xfId="14956" xr:uid="{00000000-0005-0000-0000-00005EB10000}"/>
    <cellStyle name="Title 3 11 3" xfId="29034" xr:uid="{00000000-0005-0000-0000-00005FB10000}"/>
    <cellStyle name="Title 3 11 4" xfId="29035" xr:uid="{00000000-0005-0000-0000-000060B10000}"/>
    <cellStyle name="Title 3 11 5" xfId="29036" xr:uid="{00000000-0005-0000-0000-000061B10000}"/>
    <cellStyle name="Title 3 11 6" xfId="29037" xr:uid="{00000000-0005-0000-0000-000062B10000}"/>
    <cellStyle name="Title 3 12" xfId="4331" xr:uid="{00000000-0005-0000-0000-000063B10000}"/>
    <cellStyle name="Title 3 12 2" xfId="11336" xr:uid="{00000000-0005-0000-0000-000064B10000}"/>
    <cellStyle name="Title 3 12 2 2" xfId="14957" xr:uid="{00000000-0005-0000-0000-000065B10000}"/>
    <cellStyle name="Title 3 12 3" xfId="29038" xr:uid="{00000000-0005-0000-0000-000066B10000}"/>
    <cellStyle name="Title 3 12 4" xfId="29039" xr:uid="{00000000-0005-0000-0000-000067B10000}"/>
    <cellStyle name="Title 3 12 5" xfId="29040" xr:uid="{00000000-0005-0000-0000-000068B10000}"/>
    <cellStyle name="Title 3 12 6" xfId="29041" xr:uid="{00000000-0005-0000-0000-000069B10000}"/>
    <cellStyle name="Title 3 13" xfId="4332" xr:uid="{00000000-0005-0000-0000-00006AB10000}"/>
    <cellStyle name="Title 3 13 2" xfId="11337" xr:uid="{00000000-0005-0000-0000-00006BB10000}"/>
    <cellStyle name="Title 3 13 2 2" xfId="14958" xr:uid="{00000000-0005-0000-0000-00006CB10000}"/>
    <cellStyle name="Title 3 13 3" xfId="29042" xr:uid="{00000000-0005-0000-0000-00006DB10000}"/>
    <cellStyle name="Title 3 13 4" xfId="29043" xr:uid="{00000000-0005-0000-0000-00006EB10000}"/>
    <cellStyle name="Title 3 13 5" xfId="29044" xr:uid="{00000000-0005-0000-0000-00006FB10000}"/>
    <cellStyle name="Title 3 13 6" xfId="29045" xr:uid="{00000000-0005-0000-0000-000070B10000}"/>
    <cellStyle name="Title 3 14" xfId="4333" xr:uid="{00000000-0005-0000-0000-000071B10000}"/>
    <cellStyle name="Title 3 14 2" xfId="11338" xr:uid="{00000000-0005-0000-0000-000072B10000}"/>
    <cellStyle name="Title 3 14 2 2" xfId="14959" xr:uid="{00000000-0005-0000-0000-000073B10000}"/>
    <cellStyle name="Title 3 14 3" xfId="29046" xr:uid="{00000000-0005-0000-0000-000074B10000}"/>
    <cellStyle name="Title 3 14 4" xfId="29047" xr:uid="{00000000-0005-0000-0000-000075B10000}"/>
    <cellStyle name="Title 3 14 5" xfId="29048" xr:uid="{00000000-0005-0000-0000-000076B10000}"/>
    <cellStyle name="Title 3 14 6" xfId="29049" xr:uid="{00000000-0005-0000-0000-000077B10000}"/>
    <cellStyle name="Title 3 15" xfId="8349" xr:uid="{00000000-0005-0000-0000-000078B10000}"/>
    <cellStyle name="Title 3 15 2" xfId="11339" xr:uid="{00000000-0005-0000-0000-000079B10000}"/>
    <cellStyle name="Title 3 15 2 2" xfId="14960" xr:uid="{00000000-0005-0000-0000-00007AB10000}"/>
    <cellStyle name="Title 3 15 3" xfId="29050" xr:uid="{00000000-0005-0000-0000-00007BB10000}"/>
    <cellStyle name="Title 3 15 4" xfId="29051" xr:uid="{00000000-0005-0000-0000-00007CB10000}"/>
    <cellStyle name="Title 3 15 5" xfId="29052" xr:uid="{00000000-0005-0000-0000-00007DB10000}"/>
    <cellStyle name="Title 3 15 6" xfId="29053" xr:uid="{00000000-0005-0000-0000-00007EB10000}"/>
    <cellStyle name="Title 3 16" xfId="11333" xr:uid="{00000000-0005-0000-0000-00007FB10000}"/>
    <cellStyle name="Title 3 16 2" xfId="14954" xr:uid="{00000000-0005-0000-0000-000080B10000}"/>
    <cellStyle name="Title 3 17" xfId="29054" xr:uid="{00000000-0005-0000-0000-000081B10000}"/>
    <cellStyle name="Title 3 18" xfId="29055" xr:uid="{00000000-0005-0000-0000-000082B10000}"/>
    <cellStyle name="Title 3 19" xfId="29056" xr:uid="{00000000-0005-0000-0000-000083B10000}"/>
    <cellStyle name="Title 3 2" xfId="1963" xr:uid="{00000000-0005-0000-0000-000084B10000}"/>
    <cellStyle name="Title 3 2 2" xfId="11340" xr:uid="{00000000-0005-0000-0000-000085B10000}"/>
    <cellStyle name="Title 3 2 2 2" xfId="14961" xr:uid="{00000000-0005-0000-0000-000086B10000}"/>
    <cellStyle name="Title 3 2 3" xfId="29057" xr:uid="{00000000-0005-0000-0000-000087B10000}"/>
    <cellStyle name="Title 3 2 4" xfId="29058" xr:uid="{00000000-0005-0000-0000-000088B10000}"/>
    <cellStyle name="Title 3 2 5" xfId="29059" xr:uid="{00000000-0005-0000-0000-000089B10000}"/>
    <cellStyle name="Title 3 2 6" xfId="29060" xr:uid="{00000000-0005-0000-0000-00008AB10000}"/>
    <cellStyle name="Title 3 2 7" xfId="29061" xr:uid="{00000000-0005-0000-0000-00008BB10000}"/>
    <cellStyle name="Title 3 20" xfId="29062" xr:uid="{00000000-0005-0000-0000-00008CB10000}"/>
    <cellStyle name="Title 3 21" xfId="29063" xr:uid="{00000000-0005-0000-0000-00008DB10000}"/>
    <cellStyle name="Title 3 3" xfId="4334" xr:uid="{00000000-0005-0000-0000-00008EB10000}"/>
    <cellStyle name="Title 3 3 2" xfId="11341" xr:uid="{00000000-0005-0000-0000-00008FB10000}"/>
    <cellStyle name="Title 3 3 2 2" xfId="14962" xr:uid="{00000000-0005-0000-0000-000090B10000}"/>
    <cellStyle name="Title 3 3 3" xfId="29064" xr:uid="{00000000-0005-0000-0000-000091B10000}"/>
    <cellStyle name="Title 3 3 4" xfId="29065" xr:uid="{00000000-0005-0000-0000-000092B10000}"/>
    <cellStyle name="Title 3 3 5" xfId="29066" xr:uid="{00000000-0005-0000-0000-000093B10000}"/>
    <cellStyle name="Title 3 3 6" xfId="29067" xr:uid="{00000000-0005-0000-0000-000094B10000}"/>
    <cellStyle name="Title 3 4" xfId="4335" xr:uid="{00000000-0005-0000-0000-000095B10000}"/>
    <cellStyle name="Title 3 4 2" xfId="11342" xr:uid="{00000000-0005-0000-0000-000096B10000}"/>
    <cellStyle name="Title 3 4 2 2" xfId="14963" xr:uid="{00000000-0005-0000-0000-000097B10000}"/>
    <cellStyle name="Title 3 4 3" xfId="29068" xr:uid="{00000000-0005-0000-0000-000098B10000}"/>
    <cellStyle name="Title 3 4 4" xfId="29069" xr:uid="{00000000-0005-0000-0000-000099B10000}"/>
    <cellStyle name="Title 3 4 5" xfId="29070" xr:uid="{00000000-0005-0000-0000-00009AB10000}"/>
    <cellStyle name="Title 3 4 6" xfId="29071" xr:uid="{00000000-0005-0000-0000-00009BB10000}"/>
    <cellStyle name="Title 3 5" xfId="4336" xr:uid="{00000000-0005-0000-0000-00009CB10000}"/>
    <cellStyle name="Title 3 5 2" xfId="11343" xr:uid="{00000000-0005-0000-0000-00009DB10000}"/>
    <cellStyle name="Title 3 5 2 2" xfId="14964" xr:uid="{00000000-0005-0000-0000-00009EB10000}"/>
    <cellStyle name="Title 3 5 3" xfId="29072" xr:uid="{00000000-0005-0000-0000-00009FB10000}"/>
    <cellStyle name="Title 3 5 4" xfId="29073" xr:uid="{00000000-0005-0000-0000-0000A0B10000}"/>
    <cellStyle name="Title 3 5 5" xfId="29074" xr:uid="{00000000-0005-0000-0000-0000A1B10000}"/>
    <cellStyle name="Title 3 5 6" xfId="29075" xr:uid="{00000000-0005-0000-0000-0000A2B10000}"/>
    <cellStyle name="Title 3 6" xfId="4337" xr:uid="{00000000-0005-0000-0000-0000A3B10000}"/>
    <cellStyle name="Title 3 6 2" xfId="11344" xr:uid="{00000000-0005-0000-0000-0000A4B10000}"/>
    <cellStyle name="Title 3 6 2 2" xfId="14965" xr:uid="{00000000-0005-0000-0000-0000A5B10000}"/>
    <cellStyle name="Title 3 6 3" xfId="29076" xr:uid="{00000000-0005-0000-0000-0000A6B10000}"/>
    <cellStyle name="Title 3 6 4" xfId="29077" xr:uid="{00000000-0005-0000-0000-0000A7B10000}"/>
    <cellStyle name="Title 3 6 5" xfId="29078" xr:uid="{00000000-0005-0000-0000-0000A8B10000}"/>
    <cellStyle name="Title 3 6 6" xfId="29079" xr:uid="{00000000-0005-0000-0000-0000A9B10000}"/>
    <cellStyle name="Title 3 7" xfId="4338" xr:uid="{00000000-0005-0000-0000-0000AAB10000}"/>
    <cellStyle name="Title 3 7 2" xfId="11345" xr:uid="{00000000-0005-0000-0000-0000ABB10000}"/>
    <cellStyle name="Title 3 7 2 2" xfId="14966" xr:uid="{00000000-0005-0000-0000-0000ACB10000}"/>
    <cellStyle name="Title 3 7 3" xfId="29080" xr:uid="{00000000-0005-0000-0000-0000ADB10000}"/>
    <cellStyle name="Title 3 7 4" xfId="29081" xr:uid="{00000000-0005-0000-0000-0000AEB10000}"/>
    <cellStyle name="Title 3 7 5" xfId="29082" xr:uid="{00000000-0005-0000-0000-0000AFB10000}"/>
    <cellStyle name="Title 3 7 6" xfId="29083" xr:uid="{00000000-0005-0000-0000-0000B0B10000}"/>
    <cellStyle name="Title 3 8" xfId="4339" xr:uid="{00000000-0005-0000-0000-0000B1B10000}"/>
    <cellStyle name="Title 3 8 2" xfId="11346" xr:uid="{00000000-0005-0000-0000-0000B2B10000}"/>
    <cellStyle name="Title 3 8 2 2" xfId="14967" xr:uid="{00000000-0005-0000-0000-0000B3B10000}"/>
    <cellStyle name="Title 3 8 3" xfId="29084" xr:uid="{00000000-0005-0000-0000-0000B4B10000}"/>
    <cellStyle name="Title 3 8 4" xfId="29085" xr:uid="{00000000-0005-0000-0000-0000B5B10000}"/>
    <cellStyle name="Title 3 8 5" xfId="29086" xr:uid="{00000000-0005-0000-0000-0000B6B10000}"/>
    <cellStyle name="Title 3 8 6" xfId="29087" xr:uid="{00000000-0005-0000-0000-0000B7B10000}"/>
    <cellStyle name="Title 3 9" xfId="4340" xr:uid="{00000000-0005-0000-0000-0000B8B10000}"/>
    <cellStyle name="Title 3 9 2" xfId="11347" xr:uid="{00000000-0005-0000-0000-0000B9B10000}"/>
    <cellStyle name="Title 3 9 2 2" xfId="14968" xr:uid="{00000000-0005-0000-0000-0000BAB10000}"/>
    <cellStyle name="Title 3 9 3" xfId="29088" xr:uid="{00000000-0005-0000-0000-0000BBB10000}"/>
    <cellStyle name="Title 3 9 4" xfId="29089" xr:uid="{00000000-0005-0000-0000-0000BCB10000}"/>
    <cellStyle name="Title 3 9 5" xfId="29090" xr:uid="{00000000-0005-0000-0000-0000BDB10000}"/>
    <cellStyle name="Title 3 9 6" xfId="29091" xr:uid="{00000000-0005-0000-0000-0000BEB10000}"/>
    <cellStyle name="Title 4" xfId="1964" xr:uid="{00000000-0005-0000-0000-0000BFB10000}"/>
    <cellStyle name="Title 4 2" xfId="1965" xr:uid="{00000000-0005-0000-0000-0000C0B10000}"/>
    <cellStyle name="Title 4 2 2" xfId="11349" xr:uid="{00000000-0005-0000-0000-0000C1B10000}"/>
    <cellStyle name="Title 4 2 2 2" xfId="14970" xr:uid="{00000000-0005-0000-0000-0000C2B10000}"/>
    <cellStyle name="Title 4 2 3" xfId="29092" xr:uid="{00000000-0005-0000-0000-0000C3B10000}"/>
    <cellStyle name="Title 4 2 4" xfId="29093" xr:uid="{00000000-0005-0000-0000-0000C4B10000}"/>
    <cellStyle name="Title 4 2 5" xfId="29094" xr:uid="{00000000-0005-0000-0000-0000C5B10000}"/>
    <cellStyle name="Title 4 2 6" xfId="29095" xr:uid="{00000000-0005-0000-0000-0000C6B10000}"/>
    <cellStyle name="Title 4 2 7" xfId="29096" xr:uid="{00000000-0005-0000-0000-0000C7B10000}"/>
    <cellStyle name="Title 4 3" xfId="11348" xr:uid="{00000000-0005-0000-0000-0000C8B10000}"/>
    <cellStyle name="Title 4 3 2" xfId="14969" xr:uid="{00000000-0005-0000-0000-0000C9B10000}"/>
    <cellStyle name="Title 4 4" xfId="29097" xr:uid="{00000000-0005-0000-0000-0000CAB10000}"/>
    <cellStyle name="Title 4 5" xfId="29098" xr:uid="{00000000-0005-0000-0000-0000CBB10000}"/>
    <cellStyle name="Title 4 6" xfId="29099" xr:uid="{00000000-0005-0000-0000-0000CCB10000}"/>
    <cellStyle name="Title 4 7" xfId="29100" xr:uid="{00000000-0005-0000-0000-0000CDB10000}"/>
    <cellStyle name="Title 4 8" xfId="29101" xr:uid="{00000000-0005-0000-0000-0000CEB10000}"/>
    <cellStyle name="Title 5" xfId="1966" xr:uid="{00000000-0005-0000-0000-0000CFB10000}"/>
    <cellStyle name="Title 5 2" xfId="1967" xr:uid="{00000000-0005-0000-0000-0000D0B10000}"/>
    <cellStyle name="Title 5 2 2" xfId="11351" xr:uid="{00000000-0005-0000-0000-0000D1B10000}"/>
    <cellStyle name="Title 5 2 2 2" xfId="14972" xr:uid="{00000000-0005-0000-0000-0000D2B10000}"/>
    <cellStyle name="Title 5 2 3" xfId="29102" xr:uid="{00000000-0005-0000-0000-0000D3B10000}"/>
    <cellStyle name="Title 5 2 4" xfId="29103" xr:uid="{00000000-0005-0000-0000-0000D4B10000}"/>
    <cellStyle name="Title 5 2 5" xfId="29104" xr:uid="{00000000-0005-0000-0000-0000D5B10000}"/>
    <cellStyle name="Title 5 2 6" xfId="29105" xr:uid="{00000000-0005-0000-0000-0000D6B10000}"/>
    <cellStyle name="Title 5 2 7" xfId="29106" xr:uid="{00000000-0005-0000-0000-0000D7B10000}"/>
    <cellStyle name="Title 5 3" xfId="11350" xr:uid="{00000000-0005-0000-0000-0000D8B10000}"/>
    <cellStyle name="Title 5 3 2" xfId="14971" xr:uid="{00000000-0005-0000-0000-0000D9B10000}"/>
    <cellStyle name="Title 5 4" xfId="29107" xr:uid="{00000000-0005-0000-0000-0000DAB10000}"/>
    <cellStyle name="Title 5 5" xfId="29108" xr:uid="{00000000-0005-0000-0000-0000DBB10000}"/>
    <cellStyle name="Title 5 6" xfId="29109" xr:uid="{00000000-0005-0000-0000-0000DCB10000}"/>
    <cellStyle name="Title 5 7" xfId="29110" xr:uid="{00000000-0005-0000-0000-0000DDB10000}"/>
    <cellStyle name="Title 5 8" xfId="29111" xr:uid="{00000000-0005-0000-0000-0000DEB10000}"/>
    <cellStyle name="Title 6" xfId="1968" xr:uid="{00000000-0005-0000-0000-0000DFB10000}"/>
    <cellStyle name="Title 6 2" xfId="1969" xr:uid="{00000000-0005-0000-0000-0000E0B10000}"/>
    <cellStyle name="Title 6 2 2" xfId="11353" xr:uid="{00000000-0005-0000-0000-0000E1B10000}"/>
    <cellStyle name="Title 6 2 2 2" xfId="14974" xr:uid="{00000000-0005-0000-0000-0000E2B10000}"/>
    <cellStyle name="Title 6 2 3" xfId="29112" xr:uid="{00000000-0005-0000-0000-0000E3B10000}"/>
    <cellStyle name="Title 6 2 4" xfId="29113" xr:uid="{00000000-0005-0000-0000-0000E4B10000}"/>
    <cellStyle name="Title 6 2 5" xfId="29114" xr:uid="{00000000-0005-0000-0000-0000E5B10000}"/>
    <cellStyle name="Title 6 2 6" xfId="29115" xr:uid="{00000000-0005-0000-0000-0000E6B10000}"/>
    <cellStyle name="Title 6 2 7" xfId="29116" xr:uid="{00000000-0005-0000-0000-0000E7B10000}"/>
    <cellStyle name="Title 6 3" xfId="4341" xr:uid="{00000000-0005-0000-0000-0000E8B10000}"/>
    <cellStyle name="Title 6 3 2" xfId="11354" xr:uid="{00000000-0005-0000-0000-0000E9B10000}"/>
    <cellStyle name="Title 6 3 2 2" xfId="14975" xr:uid="{00000000-0005-0000-0000-0000EAB10000}"/>
    <cellStyle name="Title 6 3 3" xfId="29117" xr:uid="{00000000-0005-0000-0000-0000EBB10000}"/>
    <cellStyle name="Title 6 3 4" xfId="29118" xr:uid="{00000000-0005-0000-0000-0000ECB10000}"/>
    <cellStyle name="Title 6 3 5" xfId="29119" xr:uid="{00000000-0005-0000-0000-0000EDB10000}"/>
    <cellStyle name="Title 6 3 6" xfId="29120" xr:uid="{00000000-0005-0000-0000-0000EEB10000}"/>
    <cellStyle name="Title 6 4" xfId="11352" xr:uid="{00000000-0005-0000-0000-0000EFB10000}"/>
    <cellStyle name="Title 6 4 2" xfId="14973" xr:uid="{00000000-0005-0000-0000-0000F0B10000}"/>
    <cellStyle name="Title 6 5" xfId="29121" xr:uid="{00000000-0005-0000-0000-0000F1B10000}"/>
    <cellStyle name="Title 6 6" xfId="29122" xr:uid="{00000000-0005-0000-0000-0000F2B10000}"/>
    <cellStyle name="Title 6 7" xfId="29123" xr:uid="{00000000-0005-0000-0000-0000F3B10000}"/>
    <cellStyle name="Title 6 8" xfId="29124" xr:uid="{00000000-0005-0000-0000-0000F4B10000}"/>
    <cellStyle name="Title 6 9" xfId="29125" xr:uid="{00000000-0005-0000-0000-0000F5B10000}"/>
    <cellStyle name="Title 7" xfId="1970" xr:uid="{00000000-0005-0000-0000-0000F6B10000}"/>
    <cellStyle name="Title 7 2" xfId="1971" xr:uid="{00000000-0005-0000-0000-0000F7B10000}"/>
    <cellStyle name="Title 7 2 2" xfId="11356" xr:uid="{00000000-0005-0000-0000-0000F8B10000}"/>
    <cellStyle name="Title 7 2 2 2" xfId="14977" xr:uid="{00000000-0005-0000-0000-0000F9B10000}"/>
    <cellStyle name="Title 7 2 3" xfId="29126" xr:uid="{00000000-0005-0000-0000-0000FAB10000}"/>
    <cellStyle name="Title 7 2 4" xfId="29127" xr:uid="{00000000-0005-0000-0000-0000FBB10000}"/>
    <cellStyle name="Title 7 2 5" xfId="29128" xr:uid="{00000000-0005-0000-0000-0000FCB10000}"/>
    <cellStyle name="Title 7 2 6" xfId="29129" xr:uid="{00000000-0005-0000-0000-0000FDB10000}"/>
    <cellStyle name="Title 7 2 7" xfId="29130" xr:uid="{00000000-0005-0000-0000-0000FEB10000}"/>
    <cellStyle name="Title 7 3" xfId="4342" xr:uid="{00000000-0005-0000-0000-0000FFB10000}"/>
    <cellStyle name="Title 7 3 2" xfId="11357" xr:uid="{00000000-0005-0000-0000-000000B20000}"/>
    <cellStyle name="Title 7 3 2 2" xfId="14978" xr:uid="{00000000-0005-0000-0000-000001B20000}"/>
    <cellStyle name="Title 7 3 3" xfId="29131" xr:uid="{00000000-0005-0000-0000-000002B20000}"/>
    <cellStyle name="Title 7 3 4" xfId="29132" xr:uid="{00000000-0005-0000-0000-000003B20000}"/>
    <cellStyle name="Title 7 3 5" xfId="29133" xr:uid="{00000000-0005-0000-0000-000004B20000}"/>
    <cellStyle name="Title 7 3 6" xfId="29134" xr:uid="{00000000-0005-0000-0000-000005B20000}"/>
    <cellStyle name="Title 7 4" xfId="11355" xr:uid="{00000000-0005-0000-0000-000006B20000}"/>
    <cellStyle name="Title 7 4 2" xfId="14976" xr:uid="{00000000-0005-0000-0000-000007B20000}"/>
    <cellStyle name="Title 7 5" xfId="29135" xr:uid="{00000000-0005-0000-0000-000008B20000}"/>
    <cellStyle name="Title 7 6" xfId="29136" xr:uid="{00000000-0005-0000-0000-000009B20000}"/>
    <cellStyle name="Title 7 7" xfId="29137" xr:uid="{00000000-0005-0000-0000-00000AB20000}"/>
    <cellStyle name="Title 7 8" xfId="29138" xr:uid="{00000000-0005-0000-0000-00000BB20000}"/>
    <cellStyle name="Title 7 9" xfId="29139" xr:uid="{00000000-0005-0000-0000-00000CB20000}"/>
    <cellStyle name="Title 8" xfId="1972" xr:uid="{00000000-0005-0000-0000-00000DB20000}"/>
    <cellStyle name="Title 8 2" xfId="1973" xr:uid="{00000000-0005-0000-0000-00000EB20000}"/>
    <cellStyle name="Title 8 2 2" xfId="11359" xr:uid="{00000000-0005-0000-0000-00000FB20000}"/>
    <cellStyle name="Title 8 2 2 2" xfId="14980" xr:uid="{00000000-0005-0000-0000-000010B20000}"/>
    <cellStyle name="Title 8 2 3" xfId="29140" xr:uid="{00000000-0005-0000-0000-000011B20000}"/>
    <cellStyle name="Title 8 2 4" xfId="29141" xr:uid="{00000000-0005-0000-0000-000012B20000}"/>
    <cellStyle name="Title 8 2 5" xfId="29142" xr:uid="{00000000-0005-0000-0000-000013B20000}"/>
    <cellStyle name="Title 8 2 6" xfId="29143" xr:uid="{00000000-0005-0000-0000-000014B20000}"/>
    <cellStyle name="Title 8 2 7" xfId="29144" xr:uid="{00000000-0005-0000-0000-000015B20000}"/>
    <cellStyle name="Title 8 3" xfId="4343" xr:uid="{00000000-0005-0000-0000-000016B20000}"/>
    <cellStyle name="Title 8 3 2" xfId="11360" xr:uid="{00000000-0005-0000-0000-000017B20000}"/>
    <cellStyle name="Title 8 3 2 2" xfId="14981" xr:uid="{00000000-0005-0000-0000-000018B20000}"/>
    <cellStyle name="Title 8 3 3" xfId="29145" xr:uid="{00000000-0005-0000-0000-000019B20000}"/>
    <cellStyle name="Title 8 3 4" xfId="29146" xr:uid="{00000000-0005-0000-0000-00001AB20000}"/>
    <cellStyle name="Title 8 3 5" xfId="29147" xr:uid="{00000000-0005-0000-0000-00001BB20000}"/>
    <cellStyle name="Title 8 3 6" xfId="29148" xr:uid="{00000000-0005-0000-0000-00001CB20000}"/>
    <cellStyle name="Title 8 4" xfId="11358" xr:uid="{00000000-0005-0000-0000-00001DB20000}"/>
    <cellStyle name="Title 8 4 2" xfId="14979" xr:uid="{00000000-0005-0000-0000-00001EB20000}"/>
    <cellStyle name="Title 8 5" xfId="29149" xr:uid="{00000000-0005-0000-0000-00001FB20000}"/>
    <cellStyle name="Title 8 6" xfId="29150" xr:uid="{00000000-0005-0000-0000-000020B20000}"/>
    <cellStyle name="Title 8 7" xfId="29151" xr:uid="{00000000-0005-0000-0000-000021B20000}"/>
    <cellStyle name="Title 8 8" xfId="29152" xr:uid="{00000000-0005-0000-0000-000022B20000}"/>
    <cellStyle name="Title 8 9" xfId="29153" xr:uid="{00000000-0005-0000-0000-000023B20000}"/>
    <cellStyle name="Title 9" xfId="1974" xr:uid="{00000000-0005-0000-0000-000024B20000}"/>
    <cellStyle name="Title 9 2" xfId="4344" xr:uid="{00000000-0005-0000-0000-000025B20000}"/>
    <cellStyle name="Title 9 2 2" xfId="11362" xr:uid="{00000000-0005-0000-0000-000026B20000}"/>
    <cellStyle name="Title 9 2 2 2" xfId="14983" xr:uid="{00000000-0005-0000-0000-000027B20000}"/>
    <cellStyle name="Title 9 2 3" xfId="29154" xr:uid="{00000000-0005-0000-0000-000028B20000}"/>
    <cellStyle name="Title 9 2 4" xfId="29155" xr:uid="{00000000-0005-0000-0000-000029B20000}"/>
    <cellStyle name="Title 9 2 5" xfId="29156" xr:uid="{00000000-0005-0000-0000-00002AB20000}"/>
    <cellStyle name="Title 9 2 6" xfId="29157" xr:uid="{00000000-0005-0000-0000-00002BB20000}"/>
    <cellStyle name="Title 9 3" xfId="11361" xr:uid="{00000000-0005-0000-0000-00002CB20000}"/>
    <cellStyle name="Title 9 3 2" xfId="14982" xr:uid="{00000000-0005-0000-0000-00002DB20000}"/>
    <cellStyle name="Title 9 4" xfId="29158" xr:uid="{00000000-0005-0000-0000-00002EB20000}"/>
    <cellStyle name="Title 9 5" xfId="29159" xr:uid="{00000000-0005-0000-0000-00002FB20000}"/>
    <cellStyle name="Title 9 6" xfId="29160" xr:uid="{00000000-0005-0000-0000-000030B20000}"/>
    <cellStyle name="Title 9 7" xfId="29161" xr:uid="{00000000-0005-0000-0000-000031B20000}"/>
    <cellStyle name="Title 9 8" xfId="29162" xr:uid="{00000000-0005-0000-0000-000032B20000}"/>
    <cellStyle name="Titre ligne" xfId="1975" xr:uid="{00000000-0005-0000-0000-000033B20000}"/>
    <cellStyle name="Titre ligne 2" xfId="11363" xr:uid="{00000000-0005-0000-0000-000034B20000}"/>
    <cellStyle name="Titre ligne 2 2" xfId="14984" xr:uid="{00000000-0005-0000-0000-000035B20000}"/>
    <cellStyle name="Titre ligne 3" xfId="29163" xr:uid="{00000000-0005-0000-0000-000036B20000}"/>
    <cellStyle name="Titre ligne 4" xfId="29164" xr:uid="{00000000-0005-0000-0000-000037B20000}"/>
    <cellStyle name="Titre ligne 5" xfId="29165" xr:uid="{00000000-0005-0000-0000-000038B20000}"/>
    <cellStyle name="Titre ligne 6" xfId="29166" xr:uid="{00000000-0005-0000-0000-000039B20000}"/>
    <cellStyle name="Titre ligne 7" xfId="29167" xr:uid="{00000000-0005-0000-0000-00003AB20000}"/>
    <cellStyle name="Titre ligne 8" xfId="29168" xr:uid="{00000000-0005-0000-0000-00003BB20000}"/>
    <cellStyle name="Título" xfId="1976" xr:uid="{00000000-0005-0000-0000-00003CB20000}"/>
    <cellStyle name="Título 2" xfId="11364" xr:uid="{00000000-0005-0000-0000-00003DB20000}"/>
    <cellStyle name="Título 2 2" xfId="14985" xr:uid="{00000000-0005-0000-0000-00003EB20000}"/>
    <cellStyle name="Título 3" xfId="29169" xr:uid="{00000000-0005-0000-0000-00003FB20000}"/>
    <cellStyle name="Título 4" xfId="1977" xr:uid="{00000000-0005-0000-0000-000040B20000}"/>
    <cellStyle name="Título 4 2" xfId="29171" xr:uid="{00000000-0005-0000-0000-000041B20000}"/>
    <cellStyle name="Título 4 3" xfId="29172" xr:uid="{00000000-0005-0000-0000-000042B20000}"/>
    <cellStyle name="Título 4 4" xfId="29173" xr:uid="{00000000-0005-0000-0000-000043B20000}"/>
    <cellStyle name="Título 4 5" xfId="29174" xr:uid="{00000000-0005-0000-0000-000044B20000}"/>
    <cellStyle name="Título 4 6" xfId="29175" xr:uid="{00000000-0005-0000-0000-000045B20000}"/>
    <cellStyle name="Título 4 7" xfId="29170" xr:uid="{00000000-0005-0000-0000-000046B20000}"/>
    <cellStyle name="Título 5" xfId="29176" xr:uid="{00000000-0005-0000-0000-000047B20000}"/>
    <cellStyle name="Título 6" xfId="29177" xr:uid="{00000000-0005-0000-0000-000048B20000}"/>
    <cellStyle name="Título 7" xfId="29178" xr:uid="{00000000-0005-0000-0000-000049B20000}"/>
    <cellStyle name="Título 8" xfId="29179" xr:uid="{00000000-0005-0000-0000-00004AB20000}"/>
    <cellStyle name="Título 9" xfId="29180" xr:uid="{00000000-0005-0000-0000-00004BB20000}"/>
    <cellStyle name="Total 10" xfId="1978" xr:uid="{00000000-0005-0000-0000-00004CB20000}"/>
    <cellStyle name="Total 10 2" xfId="4345" xr:uid="{00000000-0005-0000-0000-00004DB20000}"/>
    <cellStyle name="Total 10 2 2" xfId="11366" xr:uid="{00000000-0005-0000-0000-00004EB20000}"/>
    <cellStyle name="Total 10 2 2 2" xfId="14987" xr:uid="{00000000-0005-0000-0000-00004FB20000}"/>
    <cellStyle name="Total 10 2 3" xfId="29181" xr:uid="{00000000-0005-0000-0000-000050B20000}"/>
    <cellStyle name="Total 10 2 4" xfId="29182" xr:uid="{00000000-0005-0000-0000-000051B20000}"/>
    <cellStyle name="Total 10 2 5" xfId="29183" xr:uid="{00000000-0005-0000-0000-000052B20000}"/>
    <cellStyle name="Total 10 2 6" xfId="29184" xr:uid="{00000000-0005-0000-0000-000053B20000}"/>
    <cellStyle name="Total 10 3" xfId="11365" xr:uid="{00000000-0005-0000-0000-000054B20000}"/>
    <cellStyle name="Total 10 3 2" xfId="14986" xr:uid="{00000000-0005-0000-0000-000055B20000}"/>
    <cellStyle name="Total 10 4" xfId="29185" xr:uid="{00000000-0005-0000-0000-000056B20000}"/>
    <cellStyle name="Total 10 5" xfId="29186" xr:uid="{00000000-0005-0000-0000-000057B20000}"/>
    <cellStyle name="Total 10 6" xfId="29187" xr:uid="{00000000-0005-0000-0000-000058B20000}"/>
    <cellStyle name="Total 10 7" xfId="29188" xr:uid="{00000000-0005-0000-0000-000059B20000}"/>
    <cellStyle name="Total 10 8" xfId="29189" xr:uid="{00000000-0005-0000-0000-00005AB20000}"/>
    <cellStyle name="Total 11" xfId="1979" xr:uid="{00000000-0005-0000-0000-00005BB20000}"/>
    <cellStyle name="Total 11 2" xfId="8350" xr:uid="{00000000-0005-0000-0000-00005CB20000}"/>
    <cellStyle name="Total 11 2 2" xfId="11368" xr:uid="{00000000-0005-0000-0000-00005DB20000}"/>
    <cellStyle name="Total 11 2 2 2" xfId="14989" xr:uid="{00000000-0005-0000-0000-00005EB20000}"/>
    <cellStyle name="Total 11 2 3" xfId="29190" xr:uid="{00000000-0005-0000-0000-00005FB20000}"/>
    <cellStyle name="Total 11 2 4" xfId="29191" xr:uid="{00000000-0005-0000-0000-000060B20000}"/>
    <cellStyle name="Total 11 2 5" xfId="29192" xr:uid="{00000000-0005-0000-0000-000061B20000}"/>
    <cellStyle name="Total 11 2 6" xfId="29193" xr:uid="{00000000-0005-0000-0000-000062B20000}"/>
    <cellStyle name="Total 11 3" xfId="11367" xr:uid="{00000000-0005-0000-0000-000063B20000}"/>
    <cellStyle name="Total 11 3 2" xfId="14988" xr:uid="{00000000-0005-0000-0000-000064B20000}"/>
    <cellStyle name="Total 11 4" xfId="29194" xr:uid="{00000000-0005-0000-0000-000065B20000}"/>
    <cellStyle name="Total 11 5" xfId="29195" xr:uid="{00000000-0005-0000-0000-000066B20000}"/>
    <cellStyle name="Total 11 6" xfId="29196" xr:uid="{00000000-0005-0000-0000-000067B20000}"/>
    <cellStyle name="Total 11 7" xfId="29197" xr:uid="{00000000-0005-0000-0000-000068B20000}"/>
    <cellStyle name="Total 11 8" xfId="29198" xr:uid="{00000000-0005-0000-0000-000069B20000}"/>
    <cellStyle name="Total 12" xfId="1980" xr:uid="{00000000-0005-0000-0000-00006AB20000}"/>
    <cellStyle name="Total 12 2" xfId="8351" xr:uid="{00000000-0005-0000-0000-00006BB20000}"/>
    <cellStyle name="Total 12 2 2" xfId="11370" xr:uid="{00000000-0005-0000-0000-00006CB20000}"/>
    <cellStyle name="Total 12 2 2 2" xfId="14991" xr:uid="{00000000-0005-0000-0000-00006DB20000}"/>
    <cellStyle name="Total 12 2 3" xfId="29199" xr:uid="{00000000-0005-0000-0000-00006EB20000}"/>
    <cellStyle name="Total 12 2 4" xfId="29200" xr:uid="{00000000-0005-0000-0000-00006FB20000}"/>
    <cellStyle name="Total 12 2 5" xfId="29201" xr:uid="{00000000-0005-0000-0000-000070B20000}"/>
    <cellStyle name="Total 12 2 6" xfId="29202" xr:uid="{00000000-0005-0000-0000-000071B20000}"/>
    <cellStyle name="Total 12 3" xfId="11369" xr:uid="{00000000-0005-0000-0000-000072B20000}"/>
    <cellStyle name="Total 12 3 2" xfId="14990" xr:uid="{00000000-0005-0000-0000-000073B20000}"/>
    <cellStyle name="Total 12 4" xfId="29203" xr:uid="{00000000-0005-0000-0000-000074B20000}"/>
    <cellStyle name="Total 12 5" xfId="29204" xr:uid="{00000000-0005-0000-0000-000075B20000}"/>
    <cellStyle name="Total 12 6" xfId="29205" xr:uid="{00000000-0005-0000-0000-000076B20000}"/>
    <cellStyle name="Total 12 7" xfId="29206" xr:uid="{00000000-0005-0000-0000-000077B20000}"/>
    <cellStyle name="Total 12 8" xfId="29207" xr:uid="{00000000-0005-0000-0000-000078B20000}"/>
    <cellStyle name="Total 13" xfId="1981" xr:uid="{00000000-0005-0000-0000-000079B20000}"/>
    <cellStyle name="Total 13 2" xfId="8352" xr:uid="{00000000-0005-0000-0000-00007AB20000}"/>
    <cellStyle name="Total 13 2 2" xfId="11372" xr:uid="{00000000-0005-0000-0000-00007BB20000}"/>
    <cellStyle name="Total 13 2 2 2" xfId="14993" xr:uid="{00000000-0005-0000-0000-00007CB20000}"/>
    <cellStyle name="Total 13 2 3" xfId="29208" xr:uid="{00000000-0005-0000-0000-00007DB20000}"/>
    <cellStyle name="Total 13 2 4" xfId="29209" xr:uid="{00000000-0005-0000-0000-00007EB20000}"/>
    <cellStyle name="Total 13 2 5" xfId="29210" xr:uid="{00000000-0005-0000-0000-00007FB20000}"/>
    <cellStyle name="Total 13 2 6" xfId="29211" xr:uid="{00000000-0005-0000-0000-000080B20000}"/>
    <cellStyle name="Total 13 3" xfId="11371" xr:uid="{00000000-0005-0000-0000-000081B20000}"/>
    <cellStyle name="Total 13 3 2" xfId="14992" xr:uid="{00000000-0005-0000-0000-000082B20000}"/>
    <cellStyle name="Total 13 4" xfId="29212" xr:uid="{00000000-0005-0000-0000-000083B20000}"/>
    <cellStyle name="Total 13 5" xfId="29213" xr:uid="{00000000-0005-0000-0000-000084B20000}"/>
    <cellStyle name="Total 13 6" xfId="29214" xr:uid="{00000000-0005-0000-0000-000085B20000}"/>
    <cellStyle name="Total 13 7" xfId="29215" xr:uid="{00000000-0005-0000-0000-000086B20000}"/>
    <cellStyle name="Total 13 8" xfId="29216" xr:uid="{00000000-0005-0000-0000-000087B20000}"/>
    <cellStyle name="Total 14" xfId="1982" xr:uid="{00000000-0005-0000-0000-000088B20000}"/>
    <cellStyle name="Total 14 2" xfId="8353" xr:uid="{00000000-0005-0000-0000-000089B20000}"/>
    <cellStyle name="Total 14 2 2" xfId="11374" xr:uid="{00000000-0005-0000-0000-00008AB20000}"/>
    <cellStyle name="Total 14 2 2 2" xfId="14995" xr:uid="{00000000-0005-0000-0000-00008BB20000}"/>
    <cellStyle name="Total 14 2 3" xfId="29217" xr:uid="{00000000-0005-0000-0000-00008CB20000}"/>
    <cellStyle name="Total 14 2 4" xfId="29218" xr:uid="{00000000-0005-0000-0000-00008DB20000}"/>
    <cellStyle name="Total 14 2 5" xfId="29219" xr:uid="{00000000-0005-0000-0000-00008EB20000}"/>
    <cellStyle name="Total 14 2 6" xfId="29220" xr:uid="{00000000-0005-0000-0000-00008FB20000}"/>
    <cellStyle name="Total 14 3" xfId="11373" xr:uid="{00000000-0005-0000-0000-000090B20000}"/>
    <cellStyle name="Total 14 3 2" xfId="14994" xr:uid="{00000000-0005-0000-0000-000091B20000}"/>
    <cellStyle name="Total 14 4" xfId="29221" xr:uid="{00000000-0005-0000-0000-000092B20000}"/>
    <cellStyle name="Total 14 5" xfId="29222" xr:uid="{00000000-0005-0000-0000-000093B20000}"/>
    <cellStyle name="Total 14 6" xfId="29223" xr:uid="{00000000-0005-0000-0000-000094B20000}"/>
    <cellStyle name="Total 14 7" xfId="29224" xr:uid="{00000000-0005-0000-0000-000095B20000}"/>
    <cellStyle name="Total 14 8" xfId="29225" xr:uid="{00000000-0005-0000-0000-000096B20000}"/>
    <cellStyle name="Total 15" xfId="4346" xr:uid="{00000000-0005-0000-0000-000097B20000}"/>
    <cellStyle name="Total 15 2" xfId="8354" xr:uid="{00000000-0005-0000-0000-000098B20000}"/>
    <cellStyle name="Total 15 2 2" xfId="11376" xr:uid="{00000000-0005-0000-0000-000099B20000}"/>
    <cellStyle name="Total 15 2 2 2" xfId="14997" xr:uid="{00000000-0005-0000-0000-00009AB20000}"/>
    <cellStyle name="Total 15 2 3" xfId="29226" xr:uid="{00000000-0005-0000-0000-00009BB20000}"/>
    <cellStyle name="Total 15 2 4" xfId="29227" xr:uid="{00000000-0005-0000-0000-00009CB20000}"/>
    <cellStyle name="Total 15 2 5" xfId="29228" xr:uid="{00000000-0005-0000-0000-00009DB20000}"/>
    <cellStyle name="Total 15 2 6" xfId="29229" xr:uid="{00000000-0005-0000-0000-00009EB20000}"/>
    <cellStyle name="Total 15 3" xfId="11375" xr:uid="{00000000-0005-0000-0000-00009FB20000}"/>
    <cellStyle name="Total 15 3 2" xfId="14996" xr:uid="{00000000-0005-0000-0000-0000A0B20000}"/>
    <cellStyle name="Total 15 4" xfId="29230" xr:uid="{00000000-0005-0000-0000-0000A1B20000}"/>
    <cellStyle name="Total 15 5" xfId="29231" xr:uid="{00000000-0005-0000-0000-0000A2B20000}"/>
    <cellStyle name="Total 15 6" xfId="29232" xr:uid="{00000000-0005-0000-0000-0000A3B20000}"/>
    <cellStyle name="Total 15 7" xfId="29233" xr:uid="{00000000-0005-0000-0000-0000A4B20000}"/>
    <cellStyle name="Total 16" xfId="4347" xr:uid="{00000000-0005-0000-0000-0000A5B20000}"/>
    <cellStyle name="Total 16 2" xfId="8355" xr:uid="{00000000-0005-0000-0000-0000A6B20000}"/>
    <cellStyle name="Total 16 2 2" xfId="11378" xr:uid="{00000000-0005-0000-0000-0000A7B20000}"/>
    <cellStyle name="Total 16 2 2 2" xfId="14999" xr:uid="{00000000-0005-0000-0000-0000A8B20000}"/>
    <cellStyle name="Total 16 2 3" xfId="29234" xr:uid="{00000000-0005-0000-0000-0000A9B20000}"/>
    <cellStyle name="Total 16 2 4" xfId="29235" xr:uid="{00000000-0005-0000-0000-0000AAB20000}"/>
    <cellStyle name="Total 16 2 5" xfId="29236" xr:uid="{00000000-0005-0000-0000-0000ABB20000}"/>
    <cellStyle name="Total 16 2 6" xfId="29237" xr:uid="{00000000-0005-0000-0000-0000ACB20000}"/>
    <cellStyle name="Total 16 3" xfId="11377" xr:uid="{00000000-0005-0000-0000-0000ADB20000}"/>
    <cellStyle name="Total 16 3 2" xfId="14998" xr:uid="{00000000-0005-0000-0000-0000AEB20000}"/>
    <cellStyle name="Total 16 4" xfId="29238" xr:uid="{00000000-0005-0000-0000-0000AFB20000}"/>
    <cellStyle name="Total 16 5" xfId="29239" xr:uid="{00000000-0005-0000-0000-0000B0B20000}"/>
    <cellStyle name="Total 16 6" xfId="29240" xr:uid="{00000000-0005-0000-0000-0000B1B20000}"/>
    <cellStyle name="Total 16 7" xfId="29241" xr:uid="{00000000-0005-0000-0000-0000B2B20000}"/>
    <cellStyle name="Total 17" xfId="4348" xr:uid="{00000000-0005-0000-0000-0000B3B20000}"/>
    <cellStyle name="Total 17 2" xfId="8356" xr:uid="{00000000-0005-0000-0000-0000B4B20000}"/>
    <cellStyle name="Total 17 2 2" xfId="11380" xr:uid="{00000000-0005-0000-0000-0000B5B20000}"/>
    <cellStyle name="Total 17 2 2 2" xfId="15001" xr:uid="{00000000-0005-0000-0000-0000B6B20000}"/>
    <cellStyle name="Total 17 2 3" xfId="29242" xr:uid="{00000000-0005-0000-0000-0000B7B20000}"/>
    <cellStyle name="Total 17 2 4" xfId="29243" xr:uid="{00000000-0005-0000-0000-0000B8B20000}"/>
    <cellStyle name="Total 17 2 5" xfId="29244" xr:uid="{00000000-0005-0000-0000-0000B9B20000}"/>
    <cellStyle name="Total 17 2 6" xfId="29245" xr:uid="{00000000-0005-0000-0000-0000BAB20000}"/>
    <cellStyle name="Total 17 3" xfId="11379" xr:uid="{00000000-0005-0000-0000-0000BBB20000}"/>
    <cellStyle name="Total 17 3 2" xfId="15000" xr:uid="{00000000-0005-0000-0000-0000BCB20000}"/>
    <cellStyle name="Total 17 4" xfId="29246" xr:uid="{00000000-0005-0000-0000-0000BDB20000}"/>
    <cellStyle name="Total 17 5" xfId="29247" xr:uid="{00000000-0005-0000-0000-0000BEB20000}"/>
    <cellStyle name="Total 17 6" xfId="29248" xr:uid="{00000000-0005-0000-0000-0000BFB20000}"/>
    <cellStyle name="Total 17 7" xfId="29249" xr:uid="{00000000-0005-0000-0000-0000C0B20000}"/>
    <cellStyle name="Total 18" xfId="4349" xr:uid="{00000000-0005-0000-0000-0000C1B20000}"/>
    <cellStyle name="Total 18 2" xfId="8357" xr:uid="{00000000-0005-0000-0000-0000C2B20000}"/>
    <cellStyle name="Total 18 2 2" xfId="11382" xr:uid="{00000000-0005-0000-0000-0000C3B20000}"/>
    <cellStyle name="Total 18 2 2 2" xfId="15003" xr:uid="{00000000-0005-0000-0000-0000C4B20000}"/>
    <cellStyle name="Total 18 2 3" xfId="29250" xr:uid="{00000000-0005-0000-0000-0000C5B20000}"/>
    <cellStyle name="Total 18 2 4" xfId="29251" xr:uid="{00000000-0005-0000-0000-0000C6B20000}"/>
    <cellStyle name="Total 18 2 5" xfId="29252" xr:uid="{00000000-0005-0000-0000-0000C7B20000}"/>
    <cellStyle name="Total 18 2 6" xfId="29253" xr:uid="{00000000-0005-0000-0000-0000C8B20000}"/>
    <cellStyle name="Total 18 3" xfId="11381" xr:uid="{00000000-0005-0000-0000-0000C9B20000}"/>
    <cellStyle name="Total 18 3 2" xfId="15002" xr:uid="{00000000-0005-0000-0000-0000CAB20000}"/>
    <cellStyle name="Total 18 4" xfId="29254" xr:uid="{00000000-0005-0000-0000-0000CBB20000}"/>
    <cellStyle name="Total 18 5" xfId="29255" xr:uid="{00000000-0005-0000-0000-0000CCB20000}"/>
    <cellStyle name="Total 18 6" xfId="29256" xr:uid="{00000000-0005-0000-0000-0000CDB20000}"/>
    <cellStyle name="Total 18 7" xfId="29257" xr:uid="{00000000-0005-0000-0000-0000CEB20000}"/>
    <cellStyle name="Total 19" xfId="4350" xr:uid="{00000000-0005-0000-0000-0000CFB20000}"/>
    <cellStyle name="Total 19 2" xfId="8358" xr:uid="{00000000-0005-0000-0000-0000D0B20000}"/>
    <cellStyle name="Total 19 2 2" xfId="11384" xr:uid="{00000000-0005-0000-0000-0000D1B20000}"/>
    <cellStyle name="Total 19 2 2 2" xfId="15005" xr:uid="{00000000-0005-0000-0000-0000D2B20000}"/>
    <cellStyle name="Total 19 2 3" xfId="29258" xr:uid="{00000000-0005-0000-0000-0000D3B20000}"/>
    <cellStyle name="Total 19 2 4" xfId="29259" xr:uid="{00000000-0005-0000-0000-0000D4B20000}"/>
    <cellStyle name="Total 19 2 5" xfId="29260" xr:uid="{00000000-0005-0000-0000-0000D5B20000}"/>
    <cellStyle name="Total 19 2 6" xfId="29261" xr:uid="{00000000-0005-0000-0000-0000D6B20000}"/>
    <cellStyle name="Total 19 3" xfId="11383" xr:uid="{00000000-0005-0000-0000-0000D7B20000}"/>
    <cellStyle name="Total 19 3 2" xfId="15004" xr:uid="{00000000-0005-0000-0000-0000D8B20000}"/>
    <cellStyle name="Total 19 4" xfId="29262" xr:uid="{00000000-0005-0000-0000-0000D9B20000}"/>
    <cellStyle name="Total 19 5" xfId="29263" xr:uid="{00000000-0005-0000-0000-0000DAB20000}"/>
    <cellStyle name="Total 19 6" xfId="29264" xr:uid="{00000000-0005-0000-0000-0000DBB20000}"/>
    <cellStyle name="Total 19 7" xfId="29265" xr:uid="{00000000-0005-0000-0000-0000DCB20000}"/>
    <cellStyle name="Total 2" xfId="1983" xr:uid="{00000000-0005-0000-0000-0000DDB20000}"/>
    <cellStyle name="Total 2 10" xfId="11385" xr:uid="{00000000-0005-0000-0000-0000DEB20000}"/>
    <cellStyle name="Total 2 10 2" xfId="15006" xr:uid="{00000000-0005-0000-0000-0000DFB20000}"/>
    <cellStyle name="Total 2 11" xfId="29266" xr:uid="{00000000-0005-0000-0000-0000E0B20000}"/>
    <cellStyle name="Total 2 12" xfId="29267" xr:uid="{00000000-0005-0000-0000-0000E1B20000}"/>
    <cellStyle name="Total 2 13" xfId="29268" xr:uid="{00000000-0005-0000-0000-0000E2B20000}"/>
    <cellStyle name="Total 2 14" xfId="29269" xr:uid="{00000000-0005-0000-0000-0000E3B20000}"/>
    <cellStyle name="Total 2 15" xfId="29270" xr:uid="{00000000-0005-0000-0000-0000E4B20000}"/>
    <cellStyle name="Total 2 16" xfId="29271" xr:uid="{00000000-0005-0000-0000-0000E5B20000}"/>
    <cellStyle name="Total 2 2" xfId="1984" xr:uid="{00000000-0005-0000-0000-0000E6B20000}"/>
    <cellStyle name="Total 2 2 2" xfId="11386" xr:uid="{00000000-0005-0000-0000-0000E7B20000}"/>
    <cellStyle name="Total 2 2 2 2" xfId="15007" xr:uid="{00000000-0005-0000-0000-0000E8B20000}"/>
    <cellStyle name="Total 2 2 3" xfId="29272" xr:uid="{00000000-0005-0000-0000-0000E9B20000}"/>
    <cellStyle name="Total 2 2 4" xfId="29273" xr:uid="{00000000-0005-0000-0000-0000EAB20000}"/>
    <cellStyle name="Total 2 2 5" xfId="29274" xr:uid="{00000000-0005-0000-0000-0000EBB20000}"/>
    <cellStyle name="Total 2 2 6" xfId="29275" xr:uid="{00000000-0005-0000-0000-0000ECB20000}"/>
    <cellStyle name="Total 2 2 7" xfId="29276" xr:uid="{00000000-0005-0000-0000-0000EDB20000}"/>
    <cellStyle name="Total 2 3" xfId="1985" xr:uid="{00000000-0005-0000-0000-0000EEB20000}"/>
    <cellStyle name="Total 2 3 2" xfId="11387" xr:uid="{00000000-0005-0000-0000-0000EFB20000}"/>
    <cellStyle name="Total 2 3 2 2" xfId="15008" xr:uid="{00000000-0005-0000-0000-0000F0B20000}"/>
    <cellStyle name="Total 2 3 3" xfId="29277" xr:uid="{00000000-0005-0000-0000-0000F1B20000}"/>
    <cellStyle name="Total 2 3 4" xfId="29278" xr:uid="{00000000-0005-0000-0000-0000F2B20000}"/>
    <cellStyle name="Total 2 3 5" xfId="29279" xr:uid="{00000000-0005-0000-0000-0000F3B20000}"/>
    <cellStyle name="Total 2 3 6" xfId="29280" xr:uid="{00000000-0005-0000-0000-0000F4B20000}"/>
    <cellStyle name="Total 2 3 7" xfId="29281" xr:uid="{00000000-0005-0000-0000-0000F5B20000}"/>
    <cellStyle name="Total 2 4" xfId="1986" xr:uid="{00000000-0005-0000-0000-0000F6B20000}"/>
    <cellStyle name="Total 2 4 2" xfId="11388" xr:uid="{00000000-0005-0000-0000-0000F7B20000}"/>
    <cellStyle name="Total 2 4 2 2" xfId="15009" xr:uid="{00000000-0005-0000-0000-0000F8B20000}"/>
    <cellStyle name="Total 2 4 3" xfId="29282" xr:uid="{00000000-0005-0000-0000-0000F9B20000}"/>
    <cellStyle name="Total 2 4 4" xfId="29283" xr:uid="{00000000-0005-0000-0000-0000FAB20000}"/>
    <cellStyle name="Total 2 4 5" xfId="29284" xr:uid="{00000000-0005-0000-0000-0000FBB20000}"/>
    <cellStyle name="Total 2 4 6" xfId="29285" xr:uid="{00000000-0005-0000-0000-0000FCB20000}"/>
    <cellStyle name="Total 2 4 7" xfId="29286" xr:uid="{00000000-0005-0000-0000-0000FDB20000}"/>
    <cellStyle name="Total 2 5" xfId="1987" xr:uid="{00000000-0005-0000-0000-0000FEB20000}"/>
    <cellStyle name="Total 2 5 2" xfId="11389" xr:uid="{00000000-0005-0000-0000-0000FFB20000}"/>
    <cellStyle name="Total 2 5 2 2" xfId="15010" xr:uid="{00000000-0005-0000-0000-000000B30000}"/>
    <cellStyle name="Total 2 5 3" xfId="29287" xr:uid="{00000000-0005-0000-0000-000001B30000}"/>
    <cellStyle name="Total 2 5 4" xfId="29288" xr:uid="{00000000-0005-0000-0000-000002B30000}"/>
    <cellStyle name="Total 2 5 5" xfId="29289" xr:uid="{00000000-0005-0000-0000-000003B30000}"/>
    <cellStyle name="Total 2 5 6" xfId="29290" xr:uid="{00000000-0005-0000-0000-000004B30000}"/>
    <cellStyle name="Total 2 5 7" xfId="29291" xr:uid="{00000000-0005-0000-0000-000005B30000}"/>
    <cellStyle name="Total 2 6" xfId="1988" xr:uid="{00000000-0005-0000-0000-000006B30000}"/>
    <cellStyle name="Total 2 6 2" xfId="11390" xr:uid="{00000000-0005-0000-0000-000007B30000}"/>
    <cellStyle name="Total 2 6 2 2" xfId="15011" xr:uid="{00000000-0005-0000-0000-000008B30000}"/>
    <cellStyle name="Total 2 6 3" xfId="29292" xr:uid="{00000000-0005-0000-0000-000009B30000}"/>
    <cellStyle name="Total 2 6 4" xfId="29293" xr:uid="{00000000-0005-0000-0000-00000AB30000}"/>
    <cellStyle name="Total 2 6 5" xfId="29294" xr:uid="{00000000-0005-0000-0000-00000BB30000}"/>
    <cellStyle name="Total 2 6 6" xfId="29295" xr:uid="{00000000-0005-0000-0000-00000CB30000}"/>
    <cellStyle name="Total 2 6 7" xfId="29296" xr:uid="{00000000-0005-0000-0000-00000DB30000}"/>
    <cellStyle name="Total 2 7" xfId="1989" xr:uid="{00000000-0005-0000-0000-00000EB30000}"/>
    <cellStyle name="Total 2 7 2" xfId="11391" xr:uid="{00000000-0005-0000-0000-00000FB30000}"/>
    <cellStyle name="Total 2 7 2 2" xfId="15012" xr:uid="{00000000-0005-0000-0000-000010B30000}"/>
    <cellStyle name="Total 2 7 3" xfId="29297" xr:uid="{00000000-0005-0000-0000-000011B30000}"/>
    <cellStyle name="Total 2 7 4" xfId="29298" xr:uid="{00000000-0005-0000-0000-000012B30000}"/>
    <cellStyle name="Total 2 7 5" xfId="29299" xr:uid="{00000000-0005-0000-0000-000013B30000}"/>
    <cellStyle name="Total 2 7 6" xfId="29300" xr:uid="{00000000-0005-0000-0000-000014B30000}"/>
    <cellStyle name="Total 2 7 7" xfId="29301" xr:uid="{00000000-0005-0000-0000-000015B30000}"/>
    <cellStyle name="Total 2 8" xfId="1990" xr:uid="{00000000-0005-0000-0000-000016B30000}"/>
    <cellStyle name="Total 2 8 2" xfId="11392" xr:uid="{00000000-0005-0000-0000-000017B30000}"/>
    <cellStyle name="Total 2 8 2 2" xfId="15013" xr:uid="{00000000-0005-0000-0000-000018B30000}"/>
    <cellStyle name="Total 2 8 3" xfId="29302" xr:uid="{00000000-0005-0000-0000-000019B30000}"/>
    <cellStyle name="Total 2 8 4" xfId="29303" xr:uid="{00000000-0005-0000-0000-00001AB30000}"/>
    <cellStyle name="Total 2 8 5" xfId="29304" xr:uid="{00000000-0005-0000-0000-00001BB30000}"/>
    <cellStyle name="Total 2 8 6" xfId="29305" xr:uid="{00000000-0005-0000-0000-00001CB30000}"/>
    <cellStyle name="Total 2 8 7" xfId="29306" xr:uid="{00000000-0005-0000-0000-00001DB30000}"/>
    <cellStyle name="Total 2 9" xfId="1991" xr:uid="{00000000-0005-0000-0000-00001EB30000}"/>
    <cellStyle name="Total 2 9 2" xfId="11393" xr:uid="{00000000-0005-0000-0000-00001FB30000}"/>
    <cellStyle name="Total 2 9 2 2" xfId="15014" xr:uid="{00000000-0005-0000-0000-000020B30000}"/>
    <cellStyle name="Total 2 9 3" xfId="29307" xr:uid="{00000000-0005-0000-0000-000021B30000}"/>
    <cellStyle name="Total 2 9 4" xfId="29308" xr:uid="{00000000-0005-0000-0000-000022B30000}"/>
    <cellStyle name="Total 2 9 5" xfId="29309" xr:uid="{00000000-0005-0000-0000-000023B30000}"/>
    <cellStyle name="Total 2 9 6" xfId="29310" xr:uid="{00000000-0005-0000-0000-000024B30000}"/>
    <cellStyle name="Total 2 9 7" xfId="29311" xr:uid="{00000000-0005-0000-0000-000025B30000}"/>
    <cellStyle name="Total 20" xfId="4351" xr:uid="{00000000-0005-0000-0000-000026B30000}"/>
    <cellStyle name="Total 20 2" xfId="8359" xr:uid="{00000000-0005-0000-0000-000027B30000}"/>
    <cellStyle name="Total 20 2 2" xfId="11395" xr:uid="{00000000-0005-0000-0000-000028B30000}"/>
    <cellStyle name="Total 20 2 2 2" xfId="15016" xr:uid="{00000000-0005-0000-0000-000029B30000}"/>
    <cellStyle name="Total 20 2 3" xfId="29312" xr:uid="{00000000-0005-0000-0000-00002AB30000}"/>
    <cellStyle name="Total 20 2 4" xfId="29313" xr:uid="{00000000-0005-0000-0000-00002BB30000}"/>
    <cellStyle name="Total 20 2 5" xfId="29314" xr:uid="{00000000-0005-0000-0000-00002CB30000}"/>
    <cellStyle name="Total 20 2 6" xfId="29315" xr:uid="{00000000-0005-0000-0000-00002DB30000}"/>
    <cellStyle name="Total 20 3" xfId="11394" xr:uid="{00000000-0005-0000-0000-00002EB30000}"/>
    <cellStyle name="Total 20 3 2" xfId="15015" xr:uid="{00000000-0005-0000-0000-00002FB30000}"/>
    <cellStyle name="Total 20 4" xfId="29316" xr:uid="{00000000-0005-0000-0000-000030B30000}"/>
    <cellStyle name="Total 20 5" xfId="29317" xr:uid="{00000000-0005-0000-0000-000031B30000}"/>
    <cellStyle name="Total 20 6" xfId="29318" xr:uid="{00000000-0005-0000-0000-000032B30000}"/>
    <cellStyle name="Total 20 7" xfId="29319" xr:uid="{00000000-0005-0000-0000-000033B30000}"/>
    <cellStyle name="Total 21" xfId="8360" xr:uid="{00000000-0005-0000-0000-000034B30000}"/>
    <cellStyle name="Total 21 2" xfId="11396" xr:uid="{00000000-0005-0000-0000-000035B30000}"/>
    <cellStyle name="Total 21 2 2" xfId="15017" xr:uid="{00000000-0005-0000-0000-000036B30000}"/>
    <cellStyle name="Total 21 3" xfId="29320" xr:uid="{00000000-0005-0000-0000-000037B30000}"/>
    <cellStyle name="Total 21 4" xfId="29321" xr:uid="{00000000-0005-0000-0000-000038B30000}"/>
    <cellStyle name="Total 21 5" xfId="29322" xr:uid="{00000000-0005-0000-0000-000039B30000}"/>
    <cellStyle name="Total 21 6" xfId="29323" xr:uid="{00000000-0005-0000-0000-00003AB30000}"/>
    <cellStyle name="Total 22" xfId="6622" xr:uid="{00000000-0005-0000-0000-00003BB30000}"/>
    <cellStyle name="Total 22 2" xfId="29325" xr:uid="{00000000-0005-0000-0000-00003CB30000}"/>
    <cellStyle name="Total 22 3" xfId="29324" xr:uid="{00000000-0005-0000-0000-00003DB30000}"/>
    <cellStyle name="Total 23" xfId="29326" xr:uid="{00000000-0005-0000-0000-00003EB30000}"/>
    <cellStyle name="Total 24" xfId="29327" xr:uid="{00000000-0005-0000-0000-00003FB30000}"/>
    <cellStyle name="Total 25" xfId="29328" xr:uid="{00000000-0005-0000-0000-000040B30000}"/>
    <cellStyle name="Total 3" xfId="1992" xr:uid="{00000000-0005-0000-0000-000041B30000}"/>
    <cellStyle name="Total 3 10" xfId="4352" xr:uid="{00000000-0005-0000-0000-000042B30000}"/>
    <cellStyle name="Total 3 10 2" xfId="11398" xr:uid="{00000000-0005-0000-0000-000043B30000}"/>
    <cellStyle name="Total 3 10 2 2" xfId="15019" xr:uid="{00000000-0005-0000-0000-000044B30000}"/>
    <cellStyle name="Total 3 10 3" xfId="29329" xr:uid="{00000000-0005-0000-0000-000045B30000}"/>
    <cellStyle name="Total 3 10 4" xfId="29330" xr:uid="{00000000-0005-0000-0000-000046B30000}"/>
    <cellStyle name="Total 3 10 5" xfId="29331" xr:uid="{00000000-0005-0000-0000-000047B30000}"/>
    <cellStyle name="Total 3 10 6" xfId="29332" xr:uid="{00000000-0005-0000-0000-000048B30000}"/>
    <cellStyle name="Total 3 11" xfId="4353" xr:uid="{00000000-0005-0000-0000-000049B30000}"/>
    <cellStyle name="Total 3 11 2" xfId="11399" xr:uid="{00000000-0005-0000-0000-00004AB30000}"/>
    <cellStyle name="Total 3 11 2 2" xfId="15020" xr:uid="{00000000-0005-0000-0000-00004BB30000}"/>
    <cellStyle name="Total 3 11 3" xfId="29333" xr:uid="{00000000-0005-0000-0000-00004CB30000}"/>
    <cellStyle name="Total 3 11 4" xfId="29334" xr:uid="{00000000-0005-0000-0000-00004DB30000}"/>
    <cellStyle name="Total 3 11 5" xfId="29335" xr:uid="{00000000-0005-0000-0000-00004EB30000}"/>
    <cellStyle name="Total 3 11 6" xfId="29336" xr:uid="{00000000-0005-0000-0000-00004FB30000}"/>
    <cellStyle name="Total 3 12" xfId="4354" xr:uid="{00000000-0005-0000-0000-000050B30000}"/>
    <cellStyle name="Total 3 12 2" xfId="11400" xr:uid="{00000000-0005-0000-0000-000051B30000}"/>
    <cellStyle name="Total 3 12 2 2" xfId="15021" xr:uid="{00000000-0005-0000-0000-000052B30000}"/>
    <cellStyle name="Total 3 12 3" xfId="29337" xr:uid="{00000000-0005-0000-0000-000053B30000}"/>
    <cellStyle name="Total 3 12 4" xfId="29338" xr:uid="{00000000-0005-0000-0000-000054B30000}"/>
    <cellStyle name="Total 3 12 5" xfId="29339" xr:uid="{00000000-0005-0000-0000-000055B30000}"/>
    <cellStyle name="Total 3 12 6" xfId="29340" xr:uid="{00000000-0005-0000-0000-000056B30000}"/>
    <cellStyle name="Total 3 13" xfId="4355" xr:uid="{00000000-0005-0000-0000-000057B30000}"/>
    <cellStyle name="Total 3 13 2" xfId="11401" xr:uid="{00000000-0005-0000-0000-000058B30000}"/>
    <cellStyle name="Total 3 13 2 2" xfId="15022" xr:uid="{00000000-0005-0000-0000-000059B30000}"/>
    <cellStyle name="Total 3 13 3" xfId="29341" xr:uid="{00000000-0005-0000-0000-00005AB30000}"/>
    <cellStyle name="Total 3 13 4" xfId="29342" xr:uid="{00000000-0005-0000-0000-00005BB30000}"/>
    <cellStyle name="Total 3 13 5" xfId="29343" xr:uid="{00000000-0005-0000-0000-00005CB30000}"/>
    <cellStyle name="Total 3 13 6" xfId="29344" xr:uid="{00000000-0005-0000-0000-00005DB30000}"/>
    <cellStyle name="Total 3 14" xfId="4356" xr:uid="{00000000-0005-0000-0000-00005EB30000}"/>
    <cellStyle name="Total 3 14 2" xfId="11402" xr:uid="{00000000-0005-0000-0000-00005FB30000}"/>
    <cellStyle name="Total 3 14 2 2" xfId="15023" xr:uid="{00000000-0005-0000-0000-000060B30000}"/>
    <cellStyle name="Total 3 14 3" xfId="29345" xr:uid="{00000000-0005-0000-0000-000061B30000}"/>
    <cellStyle name="Total 3 14 4" xfId="29346" xr:uid="{00000000-0005-0000-0000-000062B30000}"/>
    <cellStyle name="Total 3 14 5" xfId="29347" xr:uid="{00000000-0005-0000-0000-000063B30000}"/>
    <cellStyle name="Total 3 14 6" xfId="29348" xr:uid="{00000000-0005-0000-0000-000064B30000}"/>
    <cellStyle name="Total 3 15" xfId="8361" xr:uid="{00000000-0005-0000-0000-000065B30000}"/>
    <cellStyle name="Total 3 15 2" xfId="11403" xr:uid="{00000000-0005-0000-0000-000066B30000}"/>
    <cellStyle name="Total 3 15 2 2" xfId="15024" xr:uid="{00000000-0005-0000-0000-000067B30000}"/>
    <cellStyle name="Total 3 15 3" xfId="29349" xr:uid="{00000000-0005-0000-0000-000068B30000}"/>
    <cellStyle name="Total 3 15 4" xfId="29350" xr:uid="{00000000-0005-0000-0000-000069B30000}"/>
    <cellStyle name="Total 3 15 5" xfId="29351" xr:uid="{00000000-0005-0000-0000-00006AB30000}"/>
    <cellStyle name="Total 3 15 6" xfId="29352" xr:uid="{00000000-0005-0000-0000-00006BB30000}"/>
    <cellStyle name="Total 3 16" xfId="11397" xr:uid="{00000000-0005-0000-0000-00006CB30000}"/>
    <cellStyle name="Total 3 16 2" xfId="15018" xr:uid="{00000000-0005-0000-0000-00006DB30000}"/>
    <cellStyle name="Total 3 17" xfId="29353" xr:uid="{00000000-0005-0000-0000-00006EB30000}"/>
    <cellStyle name="Total 3 18" xfId="29354" xr:uid="{00000000-0005-0000-0000-00006FB30000}"/>
    <cellStyle name="Total 3 19" xfId="29355" xr:uid="{00000000-0005-0000-0000-000070B30000}"/>
    <cellStyle name="Total 3 2" xfId="1993" xr:uid="{00000000-0005-0000-0000-000071B30000}"/>
    <cellStyle name="Total 3 2 2" xfId="11404" xr:uid="{00000000-0005-0000-0000-000072B30000}"/>
    <cellStyle name="Total 3 2 2 2" xfId="15025" xr:uid="{00000000-0005-0000-0000-000073B30000}"/>
    <cellStyle name="Total 3 2 3" xfId="29356" xr:uid="{00000000-0005-0000-0000-000074B30000}"/>
    <cellStyle name="Total 3 2 4" xfId="29357" xr:uid="{00000000-0005-0000-0000-000075B30000}"/>
    <cellStyle name="Total 3 2 5" xfId="29358" xr:uid="{00000000-0005-0000-0000-000076B30000}"/>
    <cellStyle name="Total 3 2 6" xfId="29359" xr:uid="{00000000-0005-0000-0000-000077B30000}"/>
    <cellStyle name="Total 3 2 7" xfId="29360" xr:uid="{00000000-0005-0000-0000-000078B30000}"/>
    <cellStyle name="Total 3 20" xfId="29361" xr:uid="{00000000-0005-0000-0000-000079B30000}"/>
    <cellStyle name="Total 3 21" xfId="29362" xr:uid="{00000000-0005-0000-0000-00007AB30000}"/>
    <cellStyle name="Total 3 3" xfId="4357" xr:uid="{00000000-0005-0000-0000-00007BB30000}"/>
    <cellStyle name="Total 3 3 2" xfId="11405" xr:uid="{00000000-0005-0000-0000-00007CB30000}"/>
    <cellStyle name="Total 3 3 2 2" xfId="15026" xr:uid="{00000000-0005-0000-0000-00007DB30000}"/>
    <cellStyle name="Total 3 3 3" xfId="29363" xr:uid="{00000000-0005-0000-0000-00007EB30000}"/>
    <cellStyle name="Total 3 3 4" xfId="29364" xr:uid="{00000000-0005-0000-0000-00007FB30000}"/>
    <cellStyle name="Total 3 3 5" xfId="29365" xr:uid="{00000000-0005-0000-0000-000080B30000}"/>
    <cellStyle name="Total 3 3 6" xfId="29366" xr:uid="{00000000-0005-0000-0000-000081B30000}"/>
    <cellStyle name="Total 3 4" xfId="4358" xr:uid="{00000000-0005-0000-0000-000082B30000}"/>
    <cellStyle name="Total 3 4 2" xfId="11406" xr:uid="{00000000-0005-0000-0000-000083B30000}"/>
    <cellStyle name="Total 3 4 2 2" xfId="15027" xr:uid="{00000000-0005-0000-0000-000084B30000}"/>
    <cellStyle name="Total 3 4 3" xfId="29367" xr:uid="{00000000-0005-0000-0000-000085B30000}"/>
    <cellStyle name="Total 3 4 4" xfId="29368" xr:uid="{00000000-0005-0000-0000-000086B30000}"/>
    <cellStyle name="Total 3 4 5" xfId="29369" xr:uid="{00000000-0005-0000-0000-000087B30000}"/>
    <cellStyle name="Total 3 4 6" xfId="29370" xr:uid="{00000000-0005-0000-0000-000088B30000}"/>
    <cellStyle name="Total 3 5" xfId="4359" xr:uid="{00000000-0005-0000-0000-000089B30000}"/>
    <cellStyle name="Total 3 5 2" xfId="11407" xr:uid="{00000000-0005-0000-0000-00008AB30000}"/>
    <cellStyle name="Total 3 5 2 2" xfId="15028" xr:uid="{00000000-0005-0000-0000-00008BB30000}"/>
    <cellStyle name="Total 3 5 3" xfId="29371" xr:uid="{00000000-0005-0000-0000-00008CB30000}"/>
    <cellStyle name="Total 3 5 4" xfId="29372" xr:uid="{00000000-0005-0000-0000-00008DB30000}"/>
    <cellStyle name="Total 3 5 5" xfId="29373" xr:uid="{00000000-0005-0000-0000-00008EB30000}"/>
    <cellStyle name="Total 3 5 6" xfId="29374" xr:uid="{00000000-0005-0000-0000-00008FB30000}"/>
    <cellStyle name="Total 3 6" xfId="4360" xr:uid="{00000000-0005-0000-0000-000090B30000}"/>
    <cellStyle name="Total 3 6 2" xfId="11408" xr:uid="{00000000-0005-0000-0000-000091B30000}"/>
    <cellStyle name="Total 3 6 2 2" xfId="15029" xr:uid="{00000000-0005-0000-0000-000092B30000}"/>
    <cellStyle name="Total 3 6 3" xfId="29375" xr:uid="{00000000-0005-0000-0000-000093B30000}"/>
    <cellStyle name="Total 3 6 4" xfId="29376" xr:uid="{00000000-0005-0000-0000-000094B30000}"/>
    <cellStyle name="Total 3 6 5" xfId="29377" xr:uid="{00000000-0005-0000-0000-000095B30000}"/>
    <cellStyle name="Total 3 6 6" xfId="29378" xr:uid="{00000000-0005-0000-0000-000096B30000}"/>
    <cellStyle name="Total 3 7" xfId="4361" xr:uid="{00000000-0005-0000-0000-000097B30000}"/>
    <cellStyle name="Total 3 7 2" xfId="11409" xr:uid="{00000000-0005-0000-0000-000098B30000}"/>
    <cellStyle name="Total 3 7 2 2" xfId="15030" xr:uid="{00000000-0005-0000-0000-000099B30000}"/>
    <cellStyle name="Total 3 7 3" xfId="29379" xr:uid="{00000000-0005-0000-0000-00009AB30000}"/>
    <cellStyle name="Total 3 7 4" xfId="29380" xr:uid="{00000000-0005-0000-0000-00009BB30000}"/>
    <cellStyle name="Total 3 7 5" xfId="29381" xr:uid="{00000000-0005-0000-0000-00009CB30000}"/>
    <cellStyle name="Total 3 7 6" xfId="29382" xr:uid="{00000000-0005-0000-0000-00009DB30000}"/>
    <cellStyle name="Total 3 8" xfId="4362" xr:uid="{00000000-0005-0000-0000-00009EB30000}"/>
    <cellStyle name="Total 3 8 2" xfId="11410" xr:uid="{00000000-0005-0000-0000-00009FB30000}"/>
    <cellStyle name="Total 3 8 2 2" xfId="15031" xr:uid="{00000000-0005-0000-0000-0000A0B30000}"/>
    <cellStyle name="Total 3 8 3" xfId="29383" xr:uid="{00000000-0005-0000-0000-0000A1B30000}"/>
    <cellStyle name="Total 3 8 4" xfId="29384" xr:uid="{00000000-0005-0000-0000-0000A2B30000}"/>
    <cellStyle name="Total 3 8 5" xfId="29385" xr:uid="{00000000-0005-0000-0000-0000A3B30000}"/>
    <cellStyle name="Total 3 8 6" xfId="29386" xr:uid="{00000000-0005-0000-0000-0000A4B30000}"/>
    <cellStyle name="Total 3 9" xfId="4363" xr:uid="{00000000-0005-0000-0000-0000A5B30000}"/>
    <cellStyle name="Total 3 9 2" xfId="11411" xr:uid="{00000000-0005-0000-0000-0000A6B30000}"/>
    <cellStyle name="Total 3 9 2 2" xfId="15032" xr:uid="{00000000-0005-0000-0000-0000A7B30000}"/>
    <cellStyle name="Total 3 9 3" xfId="29387" xr:uid="{00000000-0005-0000-0000-0000A8B30000}"/>
    <cellStyle name="Total 3 9 4" xfId="29388" xr:uid="{00000000-0005-0000-0000-0000A9B30000}"/>
    <cellStyle name="Total 3 9 5" xfId="29389" xr:uid="{00000000-0005-0000-0000-0000AAB30000}"/>
    <cellStyle name="Total 3 9 6" xfId="29390" xr:uid="{00000000-0005-0000-0000-0000ABB30000}"/>
    <cellStyle name="Total 4" xfId="1994" xr:uid="{00000000-0005-0000-0000-0000ACB30000}"/>
    <cellStyle name="Total 4 2" xfId="1995" xr:uid="{00000000-0005-0000-0000-0000ADB30000}"/>
    <cellStyle name="Total 4 2 2" xfId="11413" xr:uid="{00000000-0005-0000-0000-0000AEB30000}"/>
    <cellStyle name="Total 4 2 2 2" xfId="15034" xr:uid="{00000000-0005-0000-0000-0000AFB30000}"/>
    <cellStyle name="Total 4 2 3" xfId="29391" xr:uid="{00000000-0005-0000-0000-0000B0B30000}"/>
    <cellStyle name="Total 4 2 4" xfId="29392" xr:uid="{00000000-0005-0000-0000-0000B1B30000}"/>
    <cellStyle name="Total 4 2 5" xfId="29393" xr:uid="{00000000-0005-0000-0000-0000B2B30000}"/>
    <cellStyle name="Total 4 2 6" xfId="29394" xr:uid="{00000000-0005-0000-0000-0000B3B30000}"/>
    <cellStyle name="Total 4 2 7" xfId="29395" xr:uid="{00000000-0005-0000-0000-0000B4B30000}"/>
    <cellStyle name="Total 4 3" xfId="11412" xr:uid="{00000000-0005-0000-0000-0000B5B30000}"/>
    <cellStyle name="Total 4 3 2" xfId="15033" xr:uid="{00000000-0005-0000-0000-0000B6B30000}"/>
    <cellStyle name="Total 4 4" xfId="29396" xr:uid="{00000000-0005-0000-0000-0000B7B30000}"/>
    <cellStyle name="Total 4 5" xfId="29397" xr:uid="{00000000-0005-0000-0000-0000B8B30000}"/>
    <cellStyle name="Total 4 6" xfId="29398" xr:uid="{00000000-0005-0000-0000-0000B9B30000}"/>
    <cellStyle name="Total 4 7" xfId="29399" xr:uid="{00000000-0005-0000-0000-0000BAB30000}"/>
    <cellStyle name="Total 4 8" xfId="29400" xr:uid="{00000000-0005-0000-0000-0000BBB30000}"/>
    <cellStyle name="Total 5" xfId="1996" xr:uid="{00000000-0005-0000-0000-0000BCB30000}"/>
    <cellStyle name="Total 5 2" xfId="1997" xr:uid="{00000000-0005-0000-0000-0000BDB30000}"/>
    <cellStyle name="Total 5 2 2" xfId="11415" xr:uid="{00000000-0005-0000-0000-0000BEB30000}"/>
    <cellStyle name="Total 5 2 2 2" xfId="15036" xr:uid="{00000000-0005-0000-0000-0000BFB30000}"/>
    <cellStyle name="Total 5 2 3" xfId="29401" xr:uid="{00000000-0005-0000-0000-0000C0B30000}"/>
    <cellStyle name="Total 5 2 4" xfId="29402" xr:uid="{00000000-0005-0000-0000-0000C1B30000}"/>
    <cellStyle name="Total 5 2 5" xfId="29403" xr:uid="{00000000-0005-0000-0000-0000C2B30000}"/>
    <cellStyle name="Total 5 2 6" xfId="29404" xr:uid="{00000000-0005-0000-0000-0000C3B30000}"/>
    <cellStyle name="Total 5 2 7" xfId="29405" xr:uid="{00000000-0005-0000-0000-0000C4B30000}"/>
    <cellStyle name="Total 5 3" xfId="11414" xr:uid="{00000000-0005-0000-0000-0000C5B30000}"/>
    <cellStyle name="Total 5 3 2" xfId="15035" xr:uid="{00000000-0005-0000-0000-0000C6B30000}"/>
    <cellStyle name="Total 5 4" xfId="29406" xr:uid="{00000000-0005-0000-0000-0000C7B30000}"/>
    <cellStyle name="Total 5 5" xfId="29407" xr:uid="{00000000-0005-0000-0000-0000C8B30000}"/>
    <cellStyle name="Total 5 6" xfId="29408" xr:uid="{00000000-0005-0000-0000-0000C9B30000}"/>
    <cellStyle name="Total 5 7" xfId="29409" xr:uid="{00000000-0005-0000-0000-0000CAB30000}"/>
    <cellStyle name="Total 5 8" xfId="29410" xr:uid="{00000000-0005-0000-0000-0000CBB30000}"/>
    <cellStyle name="Total 6" xfId="1998" xr:uid="{00000000-0005-0000-0000-0000CCB30000}"/>
    <cellStyle name="Total 6 2" xfId="1999" xr:uid="{00000000-0005-0000-0000-0000CDB30000}"/>
    <cellStyle name="Total 6 2 2" xfId="11417" xr:uid="{00000000-0005-0000-0000-0000CEB30000}"/>
    <cellStyle name="Total 6 2 2 2" xfId="15038" xr:uid="{00000000-0005-0000-0000-0000CFB30000}"/>
    <cellStyle name="Total 6 2 3" xfId="29411" xr:uid="{00000000-0005-0000-0000-0000D0B30000}"/>
    <cellStyle name="Total 6 2 4" xfId="29412" xr:uid="{00000000-0005-0000-0000-0000D1B30000}"/>
    <cellStyle name="Total 6 2 5" xfId="29413" xr:uid="{00000000-0005-0000-0000-0000D2B30000}"/>
    <cellStyle name="Total 6 2 6" xfId="29414" xr:uid="{00000000-0005-0000-0000-0000D3B30000}"/>
    <cellStyle name="Total 6 2 7" xfId="29415" xr:uid="{00000000-0005-0000-0000-0000D4B30000}"/>
    <cellStyle name="Total 6 3" xfId="4364" xr:uid="{00000000-0005-0000-0000-0000D5B30000}"/>
    <cellStyle name="Total 6 3 2" xfId="11418" xr:uid="{00000000-0005-0000-0000-0000D6B30000}"/>
    <cellStyle name="Total 6 3 2 2" xfId="15039" xr:uid="{00000000-0005-0000-0000-0000D7B30000}"/>
    <cellStyle name="Total 6 3 3" xfId="29416" xr:uid="{00000000-0005-0000-0000-0000D8B30000}"/>
    <cellStyle name="Total 6 3 4" xfId="29417" xr:uid="{00000000-0005-0000-0000-0000D9B30000}"/>
    <cellStyle name="Total 6 3 5" xfId="29418" xr:uid="{00000000-0005-0000-0000-0000DAB30000}"/>
    <cellStyle name="Total 6 3 6" xfId="29419" xr:uid="{00000000-0005-0000-0000-0000DBB30000}"/>
    <cellStyle name="Total 6 4" xfId="11416" xr:uid="{00000000-0005-0000-0000-0000DCB30000}"/>
    <cellStyle name="Total 6 4 2" xfId="15037" xr:uid="{00000000-0005-0000-0000-0000DDB30000}"/>
    <cellStyle name="Total 6 5" xfId="29420" xr:uid="{00000000-0005-0000-0000-0000DEB30000}"/>
    <cellStyle name="Total 6 6" xfId="29421" xr:uid="{00000000-0005-0000-0000-0000DFB30000}"/>
    <cellStyle name="Total 6 7" xfId="29422" xr:uid="{00000000-0005-0000-0000-0000E0B30000}"/>
    <cellStyle name="Total 6 8" xfId="29423" xr:uid="{00000000-0005-0000-0000-0000E1B30000}"/>
    <cellStyle name="Total 6 9" xfId="29424" xr:uid="{00000000-0005-0000-0000-0000E2B30000}"/>
    <cellStyle name="Total 7" xfId="2000" xr:uid="{00000000-0005-0000-0000-0000E3B30000}"/>
    <cellStyle name="Total 7 2" xfId="2001" xr:uid="{00000000-0005-0000-0000-0000E4B30000}"/>
    <cellStyle name="Total 7 2 2" xfId="11420" xr:uid="{00000000-0005-0000-0000-0000E5B30000}"/>
    <cellStyle name="Total 7 2 2 2" xfId="15041" xr:uid="{00000000-0005-0000-0000-0000E6B30000}"/>
    <cellStyle name="Total 7 2 3" xfId="29425" xr:uid="{00000000-0005-0000-0000-0000E7B30000}"/>
    <cellStyle name="Total 7 2 4" xfId="29426" xr:uid="{00000000-0005-0000-0000-0000E8B30000}"/>
    <cellStyle name="Total 7 2 5" xfId="29427" xr:uid="{00000000-0005-0000-0000-0000E9B30000}"/>
    <cellStyle name="Total 7 2 6" xfId="29428" xr:uid="{00000000-0005-0000-0000-0000EAB30000}"/>
    <cellStyle name="Total 7 2 7" xfId="29429" xr:uid="{00000000-0005-0000-0000-0000EBB30000}"/>
    <cellStyle name="Total 7 3" xfId="4365" xr:uid="{00000000-0005-0000-0000-0000ECB30000}"/>
    <cellStyle name="Total 7 3 2" xfId="11421" xr:uid="{00000000-0005-0000-0000-0000EDB30000}"/>
    <cellStyle name="Total 7 3 2 2" xfId="15042" xr:uid="{00000000-0005-0000-0000-0000EEB30000}"/>
    <cellStyle name="Total 7 3 3" xfId="29430" xr:uid="{00000000-0005-0000-0000-0000EFB30000}"/>
    <cellStyle name="Total 7 3 4" xfId="29431" xr:uid="{00000000-0005-0000-0000-0000F0B30000}"/>
    <cellStyle name="Total 7 3 5" xfId="29432" xr:uid="{00000000-0005-0000-0000-0000F1B30000}"/>
    <cellStyle name="Total 7 3 6" xfId="29433" xr:uid="{00000000-0005-0000-0000-0000F2B30000}"/>
    <cellStyle name="Total 7 4" xfId="11419" xr:uid="{00000000-0005-0000-0000-0000F3B30000}"/>
    <cellStyle name="Total 7 4 2" xfId="15040" xr:uid="{00000000-0005-0000-0000-0000F4B30000}"/>
    <cellStyle name="Total 7 5" xfId="29434" xr:uid="{00000000-0005-0000-0000-0000F5B30000}"/>
    <cellStyle name="Total 7 6" xfId="29435" xr:uid="{00000000-0005-0000-0000-0000F6B30000}"/>
    <cellStyle name="Total 7 7" xfId="29436" xr:uid="{00000000-0005-0000-0000-0000F7B30000}"/>
    <cellStyle name="Total 7 8" xfId="29437" xr:uid="{00000000-0005-0000-0000-0000F8B30000}"/>
    <cellStyle name="Total 7 9" xfId="29438" xr:uid="{00000000-0005-0000-0000-0000F9B30000}"/>
    <cellStyle name="Total 8" xfId="2002" xr:uid="{00000000-0005-0000-0000-0000FAB30000}"/>
    <cellStyle name="Total 8 2" xfId="2003" xr:uid="{00000000-0005-0000-0000-0000FBB30000}"/>
    <cellStyle name="Total 8 2 2" xfId="11423" xr:uid="{00000000-0005-0000-0000-0000FCB30000}"/>
    <cellStyle name="Total 8 2 2 2" xfId="15044" xr:uid="{00000000-0005-0000-0000-0000FDB30000}"/>
    <cellStyle name="Total 8 2 3" xfId="29439" xr:uid="{00000000-0005-0000-0000-0000FEB30000}"/>
    <cellStyle name="Total 8 2 4" xfId="29440" xr:uid="{00000000-0005-0000-0000-0000FFB30000}"/>
    <cellStyle name="Total 8 2 5" xfId="29441" xr:uid="{00000000-0005-0000-0000-000000B40000}"/>
    <cellStyle name="Total 8 2 6" xfId="29442" xr:uid="{00000000-0005-0000-0000-000001B40000}"/>
    <cellStyle name="Total 8 2 7" xfId="29443" xr:uid="{00000000-0005-0000-0000-000002B40000}"/>
    <cellStyle name="Total 8 3" xfId="4366" xr:uid="{00000000-0005-0000-0000-000003B40000}"/>
    <cellStyle name="Total 8 3 2" xfId="11424" xr:uid="{00000000-0005-0000-0000-000004B40000}"/>
    <cellStyle name="Total 8 3 2 2" xfId="15045" xr:uid="{00000000-0005-0000-0000-000005B40000}"/>
    <cellStyle name="Total 8 3 3" xfId="29444" xr:uid="{00000000-0005-0000-0000-000006B40000}"/>
    <cellStyle name="Total 8 3 4" xfId="29445" xr:uid="{00000000-0005-0000-0000-000007B40000}"/>
    <cellStyle name="Total 8 3 5" xfId="29446" xr:uid="{00000000-0005-0000-0000-000008B40000}"/>
    <cellStyle name="Total 8 3 6" xfId="29447" xr:uid="{00000000-0005-0000-0000-000009B40000}"/>
    <cellStyle name="Total 8 4" xfId="11422" xr:uid="{00000000-0005-0000-0000-00000AB40000}"/>
    <cellStyle name="Total 8 4 2" xfId="15043" xr:uid="{00000000-0005-0000-0000-00000BB40000}"/>
    <cellStyle name="Total 8 5" xfId="29448" xr:uid="{00000000-0005-0000-0000-00000CB40000}"/>
    <cellStyle name="Total 8 6" xfId="29449" xr:uid="{00000000-0005-0000-0000-00000DB40000}"/>
    <cellStyle name="Total 8 7" xfId="29450" xr:uid="{00000000-0005-0000-0000-00000EB40000}"/>
    <cellStyle name="Total 8 8" xfId="29451" xr:uid="{00000000-0005-0000-0000-00000FB40000}"/>
    <cellStyle name="Total 8 9" xfId="29452" xr:uid="{00000000-0005-0000-0000-000010B40000}"/>
    <cellStyle name="Total 9" xfId="2004" xr:uid="{00000000-0005-0000-0000-000011B40000}"/>
    <cellStyle name="Total 9 2" xfId="4367" xr:uid="{00000000-0005-0000-0000-000012B40000}"/>
    <cellStyle name="Total 9 2 2" xfId="11426" xr:uid="{00000000-0005-0000-0000-000013B40000}"/>
    <cellStyle name="Total 9 2 2 2" xfId="15047" xr:uid="{00000000-0005-0000-0000-000014B40000}"/>
    <cellStyle name="Total 9 2 3" xfId="29453" xr:uid="{00000000-0005-0000-0000-000015B40000}"/>
    <cellStyle name="Total 9 2 4" xfId="29454" xr:uid="{00000000-0005-0000-0000-000016B40000}"/>
    <cellStyle name="Total 9 2 5" xfId="29455" xr:uid="{00000000-0005-0000-0000-000017B40000}"/>
    <cellStyle name="Total 9 2 6" xfId="29456" xr:uid="{00000000-0005-0000-0000-000018B40000}"/>
    <cellStyle name="Total 9 3" xfId="11425" xr:uid="{00000000-0005-0000-0000-000019B40000}"/>
    <cellStyle name="Total 9 3 2" xfId="15046" xr:uid="{00000000-0005-0000-0000-00001AB40000}"/>
    <cellStyle name="Total 9 4" xfId="29457" xr:uid="{00000000-0005-0000-0000-00001BB40000}"/>
    <cellStyle name="Total 9 5" xfId="29458" xr:uid="{00000000-0005-0000-0000-00001CB40000}"/>
    <cellStyle name="Total 9 6" xfId="29459" xr:uid="{00000000-0005-0000-0000-00001DB40000}"/>
    <cellStyle name="Total 9 7" xfId="29460" xr:uid="{00000000-0005-0000-0000-00001EB40000}"/>
    <cellStyle name="Total 9 8" xfId="29461" xr:uid="{00000000-0005-0000-0000-00001FB40000}"/>
    <cellStyle name="Total intermediaire" xfId="2005" xr:uid="{00000000-0005-0000-0000-000020B40000}"/>
    <cellStyle name="Total intermediaire 2" xfId="11427" xr:uid="{00000000-0005-0000-0000-000021B40000}"/>
    <cellStyle name="Total intermediaire 2 2" xfId="15048" xr:uid="{00000000-0005-0000-0000-000022B40000}"/>
    <cellStyle name="Total intermediaire 3" xfId="29462" xr:uid="{00000000-0005-0000-0000-000023B40000}"/>
    <cellStyle name="Total intermediaire 4" xfId="29463" xr:uid="{00000000-0005-0000-0000-000024B40000}"/>
    <cellStyle name="Total intermediaire 5" xfId="29464" xr:uid="{00000000-0005-0000-0000-000025B40000}"/>
    <cellStyle name="Total intermediaire 6" xfId="29465" xr:uid="{00000000-0005-0000-0000-000026B40000}"/>
    <cellStyle name="Total intermediaire 7" xfId="29466" xr:uid="{00000000-0005-0000-0000-000027B40000}"/>
    <cellStyle name="Total intermediaire 8" xfId="29467" xr:uid="{00000000-0005-0000-0000-000028B40000}"/>
    <cellStyle name="Tusental (0)_SNI 23" xfId="2006" xr:uid="{00000000-0005-0000-0000-000029B40000}"/>
    <cellStyle name="Valuta (0)_SNI 23" xfId="2007" xr:uid="{00000000-0005-0000-0000-00002AB40000}"/>
    <cellStyle name="Valuutta_Layo9704" xfId="2008" xr:uid="{00000000-0005-0000-0000-00002BB40000}"/>
    <cellStyle name="Verificar Célula" xfId="2009" xr:uid="{00000000-0005-0000-0000-000000B60000}"/>
    <cellStyle name="Verificar Célula 2" xfId="11428" xr:uid="{00000000-0005-0000-0000-000001B60000}"/>
    <cellStyle name="Verificar Célula 2 2" xfId="15049" xr:uid="{00000000-0005-0000-0000-000002B60000}"/>
    <cellStyle name="Verificar Célula 3" xfId="29468" xr:uid="{00000000-0005-0000-0000-000003B60000}"/>
    <cellStyle name="Verificar Célula 4" xfId="29469" xr:uid="{00000000-0005-0000-0000-000004B60000}"/>
    <cellStyle name="Verificar Célula 5" xfId="29470" xr:uid="{00000000-0005-0000-0000-000005B60000}"/>
    <cellStyle name="Verificar Célula 6" xfId="29471" xr:uid="{00000000-0005-0000-0000-000006B60000}"/>
    <cellStyle name="Verificar Célula 7" xfId="29472" xr:uid="{00000000-0005-0000-0000-000007B60000}"/>
    <cellStyle name="Verificar Célula 8" xfId="29473" xr:uid="{00000000-0005-0000-0000-000008B60000}"/>
    <cellStyle name="Vírgula 2" xfId="2010" xr:uid="{00000000-0005-0000-0000-000009B60000}"/>
    <cellStyle name="Vírgula 2 10" xfId="29474" xr:uid="{00000000-0005-0000-0000-00000AB60000}"/>
    <cellStyle name="Vírgula 2 11" xfId="29475" xr:uid="{00000000-0005-0000-0000-00000BB60000}"/>
    <cellStyle name="Vírgula 2 2" xfId="2011" xr:uid="{00000000-0005-0000-0000-00000CB60000}"/>
    <cellStyle name="Vírgula 2 2 2" xfId="4369" xr:uid="{00000000-0005-0000-0000-00000DB60000}"/>
    <cellStyle name="Vírgula 2 2 2 2" xfId="15051" xr:uid="{00000000-0005-0000-0000-00000EB60000}"/>
    <cellStyle name="Vírgula 2 2 2 3" xfId="35575" xr:uid="{00000000-0005-0000-0000-00000FB60000}"/>
    <cellStyle name="Vírgula 2 2 2 4" xfId="11430" xr:uid="{00000000-0005-0000-0000-000010B60000}"/>
    <cellStyle name="Vírgula 2 2 3" xfId="5050" xr:uid="{00000000-0005-0000-0000-000011B60000}"/>
    <cellStyle name="Vírgula 2 2 3 2" xfId="36006" xr:uid="{00000000-0005-0000-0000-000012B60000}"/>
    <cellStyle name="Vírgula 2 2 3 3" xfId="29476" xr:uid="{00000000-0005-0000-0000-000013B60000}"/>
    <cellStyle name="Vírgula 2 2 4" xfId="29477" xr:uid="{00000000-0005-0000-0000-000014B60000}"/>
    <cellStyle name="Vírgula 2 2 4 2" xfId="38072" xr:uid="{00000000-0005-0000-0000-000015B60000}"/>
    <cellStyle name="Vírgula 2 2 5" xfId="29478" xr:uid="{00000000-0005-0000-0000-000016B60000}"/>
    <cellStyle name="Vírgula 2 2 6" xfId="29479" xr:uid="{00000000-0005-0000-0000-000017B60000}"/>
    <cellStyle name="Vírgula 2 2 7" xfId="29480" xr:uid="{00000000-0005-0000-0000-000018B60000}"/>
    <cellStyle name="Vírgula 2 3" xfId="2012" xr:uid="{00000000-0005-0000-0000-000019B60000}"/>
    <cellStyle name="Vírgula 2 3 2" xfId="4370" xr:uid="{00000000-0005-0000-0000-00001AB60000}"/>
    <cellStyle name="Vírgula 2 3 2 2" xfId="15052" xr:uid="{00000000-0005-0000-0000-00001BB60000}"/>
    <cellStyle name="Vírgula 2 3 2 3" xfId="35576" xr:uid="{00000000-0005-0000-0000-00001CB60000}"/>
    <cellStyle name="Vírgula 2 3 2 4" xfId="11431" xr:uid="{00000000-0005-0000-0000-00001DB60000}"/>
    <cellStyle name="Vírgula 2 3 3" xfId="5051" xr:uid="{00000000-0005-0000-0000-00001EB60000}"/>
    <cellStyle name="Vírgula 2 3 3 2" xfId="36007" xr:uid="{00000000-0005-0000-0000-00001FB60000}"/>
    <cellStyle name="Vírgula 2 3 3 3" xfId="29481" xr:uid="{00000000-0005-0000-0000-000020B60000}"/>
    <cellStyle name="Vírgula 2 3 4" xfId="29482" xr:uid="{00000000-0005-0000-0000-000021B60000}"/>
    <cellStyle name="Vírgula 2 3 4 2" xfId="38073" xr:uid="{00000000-0005-0000-0000-000022B60000}"/>
    <cellStyle name="Vírgula 2 3 5" xfId="29483" xr:uid="{00000000-0005-0000-0000-000023B60000}"/>
    <cellStyle name="Vírgula 2 3 6" xfId="29484" xr:uid="{00000000-0005-0000-0000-000024B60000}"/>
    <cellStyle name="Vírgula 2 3 7" xfId="29485" xr:uid="{00000000-0005-0000-0000-000025B60000}"/>
    <cellStyle name="Vírgula 2 4" xfId="2013" xr:uid="{00000000-0005-0000-0000-000026B60000}"/>
    <cellStyle name="Vírgula 2 4 2" xfId="4371" xr:uid="{00000000-0005-0000-0000-000027B60000}"/>
    <cellStyle name="Vírgula 2 4 2 2" xfId="15053" xr:uid="{00000000-0005-0000-0000-000028B60000}"/>
    <cellStyle name="Vírgula 2 4 2 3" xfId="35577" xr:uid="{00000000-0005-0000-0000-000029B60000}"/>
    <cellStyle name="Vírgula 2 4 2 4" xfId="11432" xr:uid="{00000000-0005-0000-0000-00002AB60000}"/>
    <cellStyle name="Vírgula 2 4 3" xfId="5052" xr:uid="{00000000-0005-0000-0000-00002BB60000}"/>
    <cellStyle name="Vírgula 2 4 3 2" xfId="36008" xr:uid="{00000000-0005-0000-0000-00002CB60000}"/>
    <cellStyle name="Vírgula 2 4 3 3" xfId="29486" xr:uid="{00000000-0005-0000-0000-00002DB60000}"/>
    <cellStyle name="Vírgula 2 4 4" xfId="29487" xr:uid="{00000000-0005-0000-0000-00002EB60000}"/>
    <cellStyle name="Vírgula 2 4 4 2" xfId="38074" xr:uid="{00000000-0005-0000-0000-00002FB60000}"/>
    <cellStyle name="Vírgula 2 4 5" xfId="29488" xr:uid="{00000000-0005-0000-0000-000030B60000}"/>
    <cellStyle name="Vírgula 2 4 6" xfId="29489" xr:uid="{00000000-0005-0000-0000-000031B60000}"/>
    <cellStyle name="Vírgula 2 4 7" xfId="29490" xr:uid="{00000000-0005-0000-0000-000032B60000}"/>
    <cellStyle name="Vírgula 2 5" xfId="4368" xr:uid="{00000000-0005-0000-0000-000033B60000}"/>
    <cellStyle name="Vírgula 2 5 2" xfId="15050" xr:uid="{00000000-0005-0000-0000-000034B60000}"/>
    <cellStyle name="Vírgula 2 5 3" xfId="35574" xr:uid="{00000000-0005-0000-0000-000035B60000}"/>
    <cellStyle name="Vírgula 2 5 4" xfId="11429" xr:uid="{00000000-0005-0000-0000-000036B60000}"/>
    <cellStyle name="Vírgula 2 6" xfId="5049" xr:uid="{00000000-0005-0000-0000-000037B60000}"/>
    <cellStyle name="Vírgula 2 6 2" xfId="36005" xr:uid="{00000000-0005-0000-0000-000038B60000}"/>
    <cellStyle name="Vírgula 2 6 3" xfId="29491" xr:uid="{00000000-0005-0000-0000-000039B60000}"/>
    <cellStyle name="Vírgula 2 7" xfId="29492" xr:uid="{00000000-0005-0000-0000-00003AB60000}"/>
    <cellStyle name="Vírgula 2 7 2" xfId="38071" xr:uid="{00000000-0005-0000-0000-00003BB60000}"/>
    <cellStyle name="Vírgula 2 8" xfId="29493" xr:uid="{00000000-0005-0000-0000-00003CB60000}"/>
    <cellStyle name="Vírgula 2 9" xfId="29494" xr:uid="{00000000-0005-0000-0000-00003DB60000}"/>
    <cellStyle name="Warning Text 10" xfId="2014" xr:uid="{00000000-0005-0000-0000-00002CB40000}"/>
    <cellStyle name="Warning Text 10 2" xfId="4372" xr:uid="{00000000-0005-0000-0000-00002DB40000}"/>
    <cellStyle name="Warning Text 10 2 2" xfId="11434" xr:uid="{00000000-0005-0000-0000-00002EB40000}"/>
    <cellStyle name="Warning Text 10 2 2 2" xfId="15055" xr:uid="{00000000-0005-0000-0000-00002FB40000}"/>
    <cellStyle name="Warning Text 10 2 3" xfId="29495" xr:uid="{00000000-0005-0000-0000-000030B40000}"/>
    <cellStyle name="Warning Text 10 2 4" xfId="29496" xr:uid="{00000000-0005-0000-0000-000031B40000}"/>
    <cellStyle name="Warning Text 10 2 5" xfId="29497" xr:uid="{00000000-0005-0000-0000-000032B40000}"/>
    <cellStyle name="Warning Text 10 2 6" xfId="29498" xr:uid="{00000000-0005-0000-0000-000033B40000}"/>
    <cellStyle name="Warning Text 10 3" xfId="11433" xr:uid="{00000000-0005-0000-0000-000034B40000}"/>
    <cellStyle name="Warning Text 10 3 2" xfId="15054" xr:uid="{00000000-0005-0000-0000-000035B40000}"/>
    <cellStyle name="Warning Text 10 4" xfId="29499" xr:uid="{00000000-0005-0000-0000-000036B40000}"/>
    <cellStyle name="Warning Text 10 5" xfId="29500" xr:uid="{00000000-0005-0000-0000-000037B40000}"/>
    <cellStyle name="Warning Text 10 6" xfId="29501" xr:uid="{00000000-0005-0000-0000-000038B40000}"/>
    <cellStyle name="Warning Text 10 7" xfId="29502" xr:uid="{00000000-0005-0000-0000-000039B40000}"/>
    <cellStyle name="Warning Text 10 8" xfId="29503" xr:uid="{00000000-0005-0000-0000-00003AB40000}"/>
    <cellStyle name="Warning Text 11" xfId="2015" xr:uid="{00000000-0005-0000-0000-00003BB40000}"/>
    <cellStyle name="Warning Text 11 2" xfId="8362" xr:uid="{00000000-0005-0000-0000-00003CB40000}"/>
    <cellStyle name="Warning Text 11 2 2" xfId="11436" xr:uid="{00000000-0005-0000-0000-00003DB40000}"/>
    <cellStyle name="Warning Text 11 2 2 2" xfId="15057" xr:uid="{00000000-0005-0000-0000-00003EB40000}"/>
    <cellStyle name="Warning Text 11 2 3" xfId="29504" xr:uid="{00000000-0005-0000-0000-00003FB40000}"/>
    <cellStyle name="Warning Text 11 2 4" xfId="29505" xr:uid="{00000000-0005-0000-0000-000040B40000}"/>
    <cellStyle name="Warning Text 11 2 5" xfId="29506" xr:uid="{00000000-0005-0000-0000-000041B40000}"/>
    <cellStyle name="Warning Text 11 2 6" xfId="29507" xr:uid="{00000000-0005-0000-0000-000042B40000}"/>
    <cellStyle name="Warning Text 11 3" xfId="11435" xr:uid="{00000000-0005-0000-0000-000043B40000}"/>
    <cellStyle name="Warning Text 11 3 2" xfId="15056" xr:uid="{00000000-0005-0000-0000-000044B40000}"/>
    <cellStyle name="Warning Text 11 4" xfId="29508" xr:uid="{00000000-0005-0000-0000-000045B40000}"/>
    <cellStyle name="Warning Text 11 5" xfId="29509" xr:uid="{00000000-0005-0000-0000-000046B40000}"/>
    <cellStyle name="Warning Text 11 6" xfId="29510" xr:uid="{00000000-0005-0000-0000-000047B40000}"/>
    <cellStyle name="Warning Text 11 7" xfId="29511" xr:uid="{00000000-0005-0000-0000-000048B40000}"/>
    <cellStyle name="Warning Text 11 8" xfId="29512" xr:uid="{00000000-0005-0000-0000-000049B40000}"/>
    <cellStyle name="Warning Text 12" xfId="2016" xr:uid="{00000000-0005-0000-0000-00004AB40000}"/>
    <cellStyle name="Warning Text 12 2" xfId="8363" xr:uid="{00000000-0005-0000-0000-00004BB40000}"/>
    <cellStyle name="Warning Text 12 2 2" xfId="11438" xr:uid="{00000000-0005-0000-0000-00004CB40000}"/>
    <cellStyle name="Warning Text 12 2 2 2" xfId="15059" xr:uid="{00000000-0005-0000-0000-00004DB40000}"/>
    <cellStyle name="Warning Text 12 2 3" xfId="29513" xr:uid="{00000000-0005-0000-0000-00004EB40000}"/>
    <cellStyle name="Warning Text 12 2 4" xfId="29514" xr:uid="{00000000-0005-0000-0000-00004FB40000}"/>
    <cellStyle name="Warning Text 12 2 5" xfId="29515" xr:uid="{00000000-0005-0000-0000-000050B40000}"/>
    <cellStyle name="Warning Text 12 2 6" xfId="29516" xr:uid="{00000000-0005-0000-0000-000051B40000}"/>
    <cellStyle name="Warning Text 12 3" xfId="11437" xr:uid="{00000000-0005-0000-0000-000052B40000}"/>
    <cellStyle name="Warning Text 12 3 2" xfId="15058" xr:uid="{00000000-0005-0000-0000-000053B40000}"/>
    <cellStyle name="Warning Text 12 4" xfId="29517" xr:uid="{00000000-0005-0000-0000-000054B40000}"/>
    <cellStyle name="Warning Text 12 5" xfId="29518" xr:uid="{00000000-0005-0000-0000-000055B40000}"/>
    <cellStyle name="Warning Text 12 6" xfId="29519" xr:uid="{00000000-0005-0000-0000-000056B40000}"/>
    <cellStyle name="Warning Text 12 7" xfId="29520" xr:uid="{00000000-0005-0000-0000-000057B40000}"/>
    <cellStyle name="Warning Text 12 8" xfId="29521" xr:uid="{00000000-0005-0000-0000-000058B40000}"/>
    <cellStyle name="Warning Text 13" xfId="2017" xr:uid="{00000000-0005-0000-0000-000059B40000}"/>
    <cellStyle name="Warning Text 13 2" xfId="8364" xr:uid="{00000000-0005-0000-0000-00005AB40000}"/>
    <cellStyle name="Warning Text 13 2 2" xfId="11440" xr:uid="{00000000-0005-0000-0000-00005BB40000}"/>
    <cellStyle name="Warning Text 13 2 2 2" xfId="15061" xr:uid="{00000000-0005-0000-0000-00005CB40000}"/>
    <cellStyle name="Warning Text 13 2 3" xfId="29522" xr:uid="{00000000-0005-0000-0000-00005DB40000}"/>
    <cellStyle name="Warning Text 13 2 4" xfId="29523" xr:uid="{00000000-0005-0000-0000-00005EB40000}"/>
    <cellStyle name="Warning Text 13 2 5" xfId="29524" xr:uid="{00000000-0005-0000-0000-00005FB40000}"/>
    <cellStyle name="Warning Text 13 2 6" xfId="29525" xr:uid="{00000000-0005-0000-0000-000060B40000}"/>
    <cellStyle name="Warning Text 13 3" xfId="11439" xr:uid="{00000000-0005-0000-0000-000061B40000}"/>
    <cellStyle name="Warning Text 13 3 2" xfId="15060" xr:uid="{00000000-0005-0000-0000-000062B40000}"/>
    <cellStyle name="Warning Text 13 4" xfId="29526" xr:uid="{00000000-0005-0000-0000-000063B40000}"/>
    <cellStyle name="Warning Text 13 5" xfId="29527" xr:uid="{00000000-0005-0000-0000-000064B40000}"/>
    <cellStyle name="Warning Text 13 6" xfId="29528" xr:uid="{00000000-0005-0000-0000-000065B40000}"/>
    <cellStyle name="Warning Text 13 7" xfId="29529" xr:uid="{00000000-0005-0000-0000-000066B40000}"/>
    <cellStyle name="Warning Text 13 8" xfId="29530" xr:uid="{00000000-0005-0000-0000-000067B40000}"/>
    <cellStyle name="Warning Text 14" xfId="2018" xr:uid="{00000000-0005-0000-0000-000068B40000}"/>
    <cellStyle name="Warning Text 14 2" xfId="8365" xr:uid="{00000000-0005-0000-0000-000069B40000}"/>
    <cellStyle name="Warning Text 14 2 2" xfId="11442" xr:uid="{00000000-0005-0000-0000-00006AB40000}"/>
    <cellStyle name="Warning Text 14 2 2 2" xfId="15063" xr:uid="{00000000-0005-0000-0000-00006BB40000}"/>
    <cellStyle name="Warning Text 14 2 3" xfId="29531" xr:uid="{00000000-0005-0000-0000-00006CB40000}"/>
    <cellStyle name="Warning Text 14 2 4" xfId="29532" xr:uid="{00000000-0005-0000-0000-00006DB40000}"/>
    <cellStyle name="Warning Text 14 2 5" xfId="29533" xr:uid="{00000000-0005-0000-0000-00006EB40000}"/>
    <cellStyle name="Warning Text 14 2 6" xfId="29534" xr:uid="{00000000-0005-0000-0000-00006FB40000}"/>
    <cellStyle name="Warning Text 14 3" xfId="11441" xr:uid="{00000000-0005-0000-0000-000070B40000}"/>
    <cellStyle name="Warning Text 14 3 2" xfId="15062" xr:uid="{00000000-0005-0000-0000-000071B40000}"/>
    <cellStyle name="Warning Text 14 4" xfId="29535" xr:uid="{00000000-0005-0000-0000-000072B40000}"/>
    <cellStyle name="Warning Text 14 5" xfId="29536" xr:uid="{00000000-0005-0000-0000-000073B40000}"/>
    <cellStyle name="Warning Text 14 6" xfId="29537" xr:uid="{00000000-0005-0000-0000-000074B40000}"/>
    <cellStyle name="Warning Text 14 7" xfId="29538" xr:uid="{00000000-0005-0000-0000-000075B40000}"/>
    <cellStyle name="Warning Text 14 8" xfId="29539" xr:uid="{00000000-0005-0000-0000-000076B40000}"/>
    <cellStyle name="Warning Text 15" xfId="4373" xr:uid="{00000000-0005-0000-0000-000077B40000}"/>
    <cellStyle name="Warning Text 15 2" xfId="8366" xr:uid="{00000000-0005-0000-0000-000078B40000}"/>
    <cellStyle name="Warning Text 15 2 2" xfId="11444" xr:uid="{00000000-0005-0000-0000-000079B40000}"/>
    <cellStyle name="Warning Text 15 2 2 2" xfId="15065" xr:uid="{00000000-0005-0000-0000-00007AB40000}"/>
    <cellStyle name="Warning Text 15 2 3" xfId="29540" xr:uid="{00000000-0005-0000-0000-00007BB40000}"/>
    <cellStyle name="Warning Text 15 2 4" xfId="29541" xr:uid="{00000000-0005-0000-0000-00007CB40000}"/>
    <cellStyle name="Warning Text 15 2 5" xfId="29542" xr:uid="{00000000-0005-0000-0000-00007DB40000}"/>
    <cellStyle name="Warning Text 15 2 6" xfId="29543" xr:uid="{00000000-0005-0000-0000-00007EB40000}"/>
    <cellStyle name="Warning Text 15 3" xfId="11443" xr:uid="{00000000-0005-0000-0000-00007FB40000}"/>
    <cellStyle name="Warning Text 15 3 2" xfId="15064" xr:uid="{00000000-0005-0000-0000-000080B40000}"/>
    <cellStyle name="Warning Text 15 4" xfId="29544" xr:uid="{00000000-0005-0000-0000-000081B40000}"/>
    <cellStyle name="Warning Text 15 5" xfId="29545" xr:uid="{00000000-0005-0000-0000-000082B40000}"/>
    <cellStyle name="Warning Text 15 6" xfId="29546" xr:uid="{00000000-0005-0000-0000-000083B40000}"/>
    <cellStyle name="Warning Text 15 7" xfId="29547" xr:uid="{00000000-0005-0000-0000-000084B40000}"/>
    <cellStyle name="Warning Text 16" xfId="4374" xr:uid="{00000000-0005-0000-0000-000085B40000}"/>
    <cellStyle name="Warning Text 16 2" xfId="8367" xr:uid="{00000000-0005-0000-0000-000086B40000}"/>
    <cellStyle name="Warning Text 16 2 2" xfId="11446" xr:uid="{00000000-0005-0000-0000-000087B40000}"/>
    <cellStyle name="Warning Text 16 2 2 2" xfId="15067" xr:uid="{00000000-0005-0000-0000-000088B40000}"/>
    <cellStyle name="Warning Text 16 2 3" xfId="29548" xr:uid="{00000000-0005-0000-0000-000089B40000}"/>
    <cellStyle name="Warning Text 16 2 4" xfId="29549" xr:uid="{00000000-0005-0000-0000-00008AB40000}"/>
    <cellStyle name="Warning Text 16 2 5" xfId="29550" xr:uid="{00000000-0005-0000-0000-00008BB40000}"/>
    <cellStyle name="Warning Text 16 2 6" xfId="29551" xr:uid="{00000000-0005-0000-0000-00008CB40000}"/>
    <cellStyle name="Warning Text 16 3" xfId="11445" xr:uid="{00000000-0005-0000-0000-00008DB40000}"/>
    <cellStyle name="Warning Text 16 3 2" xfId="15066" xr:uid="{00000000-0005-0000-0000-00008EB40000}"/>
    <cellStyle name="Warning Text 16 4" xfId="29552" xr:uid="{00000000-0005-0000-0000-00008FB40000}"/>
    <cellStyle name="Warning Text 16 5" xfId="29553" xr:uid="{00000000-0005-0000-0000-000090B40000}"/>
    <cellStyle name="Warning Text 16 6" xfId="29554" xr:uid="{00000000-0005-0000-0000-000091B40000}"/>
    <cellStyle name="Warning Text 16 7" xfId="29555" xr:uid="{00000000-0005-0000-0000-000092B40000}"/>
    <cellStyle name="Warning Text 17" xfId="4375" xr:uid="{00000000-0005-0000-0000-000093B40000}"/>
    <cellStyle name="Warning Text 17 2" xfId="8368" xr:uid="{00000000-0005-0000-0000-000094B40000}"/>
    <cellStyle name="Warning Text 17 2 2" xfId="11448" xr:uid="{00000000-0005-0000-0000-000095B40000}"/>
    <cellStyle name="Warning Text 17 2 2 2" xfId="15069" xr:uid="{00000000-0005-0000-0000-000096B40000}"/>
    <cellStyle name="Warning Text 17 2 3" xfId="29556" xr:uid="{00000000-0005-0000-0000-000097B40000}"/>
    <cellStyle name="Warning Text 17 2 4" xfId="29557" xr:uid="{00000000-0005-0000-0000-000098B40000}"/>
    <cellStyle name="Warning Text 17 2 5" xfId="29558" xr:uid="{00000000-0005-0000-0000-000099B40000}"/>
    <cellStyle name="Warning Text 17 2 6" xfId="29559" xr:uid="{00000000-0005-0000-0000-00009AB40000}"/>
    <cellStyle name="Warning Text 17 3" xfId="11447" xr:uid="{00000000-0005-0000-0000-00009BB40000}"/>
    <cellStyle name="Warning Text 17 3 2" xfId="15068" xr:uid="{00000000-0005-0000-0000-00009CB40000}"/>
    <cellStyle name="Warning Text 17 4" xfId="29560" xr:uid="{00000000-0005-0000-0000-00009DB40000}"/>
    <cellStyle name="Warning Text 17 5" xfId="29561" xr:uid="{00000000-0005-0000-0000-00009EB40000}"/>
    <cellStyle name="Warning Text 17 6" xfId="29562" xr:uid="{00000000-0005-0000-0000-00009FB40000}"/>
    <cellStyle name="Warning Text 17 7" xfId="29563" xr:uid="{00000000-0005-0000-0000-0000A0B40000}"/>
    <cellStyle name="Warning Text 18" xfId="4376" xr:uid="{00000000-0005-0000-0000-0000A1B40000}"/>
    <cellStyle name="Warning Text 18 2" xfId="8369" xr:uid="{00000000-0005-0000-0000-0000A2B40000}"/>
    <cellStyle name="Warning Text 18 2 2" xfId="11450" xr:uid="{00000000-0005-0000-0000-0000A3B40000}"/>
    <cellStyle name="Warning Text 18 2 2 2" xfId="15071" xr:uid="{00000000-0005-0000-0000-0000A4B40000}"/>
    <cellStyle name="Warning Text 18 2 3" xfId="29564" xr:uid="{00000000-0005-0000-0000-0000A5B40000}"/>
    <cellStyle name="Warning Text 18 2 4" xfId="29565" xr:uid="{00000000-0005-0000-0000-0000A6B40000}"/>
    <cellStyle name="Warning Text 18 2 5" xfId="29566" xr:uid="{00000000-0005-0000-0000-0000A7B40000}"/>
    <cellStyle name="Warning Text 18 2 6" xfId="29567" xr:uid="{00000000-0005-0000-0000-0000A8B40000}"/>
    <cellStyle name="Warning Text 18 3" xfId="11449" xr:uid="{00000000-0005-0000-0000-0000A9B40000}"/>
    <cellStyle name="Warning Text 18 3 2" xfId="15070" xr:uid="{00000000-0005-0000-0000-0000AAB40000}"/>
    <cellStyle name="Warning Text 18 4" xfId="29568" xr:uid="{00000000-0005-0000-0000-0000ABB40000}"/>
    <cellStyle name="Warning Text 18 5" xfId="29569" xr:uid="{00000000-0005-0000-0000-0000ACB40000}"/>
    <cellStyle name="Warning Text 18 6" xfId="29570" xr:uid="{00000000-0005-0000-0000-0000ADB40000}"/>
    <cellStyle name="Warning Text 18 7" xfId="29571" xr:uid="{00000000-0005-0000-0000-0000AEB40000}"/>
    <cellStyle name="Warning Text 19" xfId="4377" xr:uid="{00000000-0005-0000-0000-0000AFB40000}"/>
    <cellStyle name="Warning Text 19 2" xfId="8370" xr:uid="{00000000-0005-0000-0000-0000B0B40000}"/>
    <cellStyle name="Warning Text 19 2 2" xfId="11452" xr:uid="{00000000-0005-0000-0000-0000B1B40000}"/>
    <cellStyle name="Warning Text 19 2 2 2" xfId="15073" xr:uid="{00000000-0005-0000-0000-0000B2B40000}"/>
    <cellStyle name="Warning Text 19 2 3" xfId="29572" xr:uid="{00000000-0005-0000-0000-0000B3B40000}"/>
    <cellStyle name="Warning Text 19 2 4" xfId="29573" xr:uid="{00000000-0005-0000-0000-0000B4B40000}"/>
    <cellStyle name="Warning Text 19 2 5" xfId="29574" xr:uid="{00000000-0005-0000-0000-0000B5B40000}"/>
    <cellStyle name="Warning Text 19 2 6" xfId="29575" xr:uid="{00000000-0005-0000-0000-0000B6B40000}"/>
    <cellStyle name="Warning Text 19 3" xfId="11451" xr:uid="{00000000-0005-0000-0000-0000B7B40000}"/>
    <cellStyle name="Warning Text 19 3 2" xfId="15072" xr:uid="{00000000-0005-0000-0000-0000B8B40000}"/>
    <cellStyle name="Warning Text 19 4" xfId="29576" xr:uid="{00000000-0005-0000-0000-0000B9B40000}"/>
    <cellStyle name="Warning Text 19 5" xfId="29577" xr:uid="{00000000-0005-0000-0000-0000BAB40000}"/>
    <cellStyle name="Warning Text 19 6" xfId="29578" xr:uid="{00000000-0005-0000-0000-0000BBB40000}"/>
    <cellStyle name="Warning Text 19 7" xfId="29579" xr:uid="{00000000-0005-0000-0000-0000BCB40000}"/>
    <cellStyle name="Warning Text 2" xfId="2019" xr:uid="{00000000-0005-0000-0000-0000BDB40000}"/>
    <cellStyle name="Warning Text 2 10" xfId="11453" xr:uid="{00000000-0005-0000-0000-0000BEB40000}"/>
    <cellStyle name="Warning Text 2 10 2" xfId="15074" xr:uid="{00000000-0005-0000-0000-0000BFB40000}"/>
    <cellStyle name="Warning Text 2 11" xfId="29580" xr:uid="{00000000-0005-0000-0000-0000C0B40000}"/>
    <cellStyle name="Warning Text 2 12" xfId="29581" xr:uid="{00000000-0005-0000-0000-0000C1B40000}"/>
    <cellStyle name="Warning Text 2 13" xfId="29582" xr:uid="{00000000-0005-0000-0000-0000C2B40000}"/>
    <cellStyle name="Warning Text 2 14" xfId="29583" xr:uid="{00000000-0005-0000-0000-0000C3B40000}"/>
    <cellStyle name="Warning Text 2 15" xfId="29584" xr:uid="{00000000-0005-0000-0000-0000C4B40000}"/>
    <cellStyle name="Warning Text 2 16" xfId="29585" xr:uid="{00000000-0005-0000-0000-0000C5B40000}"/>
    <cellStyle name="Warning Text 2 2" xfId="2020" xr:uid="{00000000-0005-0000-0000-0000C6B40000}"/>
    <cellStyle name="Warning Text 2 2 2" xfId="11454" xr:uid="{00000000-0005-0000-0000-0000C7B40000}"/>
    <cellStyle name="Warning Text 2 2 2 2" xfId="15075" xr:uid="{00000000-0005-0000-0000-0000C8B40000}"/>
    <cellStyle name="Warning Text 2 2 3" xfId="29586" xr:uid="{00000000-0005-0000-0000-0000C9B40000}"/>
    <cellStyle name="Warning Text 2 2 4" xfId="29587" xr:uid="{00000000-0005-0000-0000-0000CAB40000}"/>
    <cellStyle name="Warning Text 2 2 5" xfId="29588" xr:uid="{00000000-0005-0000-0000-0000CBB40000}"/>
    <cellStyle name="Warning Text 2 2 6" xfId="29589" xr:uid="{00000000-0005-0000-0000-0000CCB40000}"/>
    <cellStyle name="Warning Text 2 2 7" xfId="29590" xr:uid="{00000000-0005-0000-0000-0000CDB40000}"/>
    <cellStyle name="Warning Text 2 3" xfId="2021" xr:uid="{00000000-0005-0000-0000-0000CEB40000}"/>
    <cellStyle name="Warning Text 2 3 2" xfId="11455" xr:uid="{00000000-0005-0000-0000-0000CFB40000}"/>
    <cellStyle name="Warning Text 2 3 2 2" xfId="15076" xr:uid="{00000000-0005-0000-0000-0000D0B40000}"/>
    <cellStyle name="Warning Text 2 3 3" xfId="29591" xr:uid="{00000000-0005-0000-0000-0000D1B40000}"/>
    <cellStyle name="Warning Text 2 3 4" xfId="29592" xr:uid="{00000000-0005-0000-0000-0000D2B40000}"/>
    <cellStyle name="Warning Text 2 3 5" xfId="29593" xr:uid="{00000000-0005-0000-0000-0000D3B40000}"/>
    <cellStyle name="Warning Text 2 3 6" xfId="29594" xr:uid="{00000000-0005-0000-0000-0000D4B40000}"/>
    <cellStyle name="Warning Text 2 3 7" xfId="29595" xr:uid="{00000000-0005-0000-0000-0000D5B40000}"/>
    <cellStyle name="Warning Text 2 4" xfId="2022" xr:uid="{00000000-0005-0000-0000-0000D6B40000}"/>
    <cellStyle name="Warning Text 2 4 2" xfId="11456" xr:uid="{00000000-0005-0000-0000-0000D7B40000}"/>
    <cellStyle name="Warning Text 2 4 2 2" xfId="15077" xr:uid="{00000000-0005-0000-0000-0000D8B40000}"/>
    <cellStyle name="Warning Text 2 4 3" xfId="29596" xr:uid="{00000000-0005-0000-0000-0000D9B40000}"/>
    <cellStyle name="Warning Text 2 4 4" xfId="29597" xr:uid="{00000000-0005-0000-0000-0000DAB40000}"/>
    <cellStyle name="Warning Text 2 4 5" xfId="29598" xr:uid="{00000000-0005-0000-0000-0000DBB40000}"/>
    <cellStyle name="Warning Text 2 4 6" xfId="29599" xr:uid="{00000000-0005-0000-0000-0000DCB40000}"/>
    <cellStyle name="Warning Text 2 4 7" xfId="29600" xr:uid="{00000000-0005-0000-0000-0000DDB40000}"/>
    <cellStyle name="Warning Text 2 5" xfId="2023" xr:uid="{00000000-0005-0000-0000-0000DEB40000}"/>
    <cellStyle name="Warning Text 2 5 2" xfId="11457" xr:uid="{00000000-0005-0000-0000-0000DFB40000}"/>
    <cellStyle name="Warning Text 2 5 2 2" xfId="15078" xr:uid="{00000000-0005-0000-0000-0000E0B40000}"/>
    <cellStyle name="Warning Text 2 5 3" xfId="29601" xr:uid="{00000000-0005-0000-0000-0000E1B40000}"/>
    <cellStyle name="Warning Text 2 5 4" xfId="29602" xr:uid="{00000000-0005-0000-0000-0000E2B40000}"/>
    <cellStyle name="Warning Text 2 5 5" xfId="29603" xr:uid="{00000000-0005-0000-0000-0000E3B40000}"/>
    <cellStyle name="Warning Text 2 5 6" xfId="29604" xr:uid="{00000000-0005-0000-0000-0000E4B40000}"/>
    <cellStyle name="Warning Text 2 5 7" xfId="29605" xr:uid="{00000000-0005-0000-0000-0000E5B40000}"/>
    <cellStyle name="Warning Text 2 6" xfId="2024" xr:uid="{00000000-0005-0000-0000-0000E6B40000}"/>
    <cellStyle name="Warning Text 2 6 2" xfId="11458" xr:uid="{00000000-0005-0000-0000-0000E7B40000}"/>
    <cellStyle name="Warning Text 2 6 2 2" xfId="15079" xr:uid="{00000000-0005-0000-0000-0000E8B40000}"/>
    <cellStyle name="Warning Text 2 6 3" xfId="29606" xr:uid="{00000000-0005-0000-0000-0000E9B40000}"/>
    <cellStyle name="Warning Text 2 6 4" xfId="29607" xr:uid="{00000000-0005-0000-0000-0000EAB40000}"/>
    <cellStyle name="Warning Text 2 6 5" xfId="29608" xr:uid="{00000000-0005-0000-0000-0000EBB40000}"/>
    <cellStyle name="Warning Text 2 6 6" xfId="29609" xr:uid="{00000000-0005-0000-0000-0000ECB40000}"/>
    <cellStyle name="Warning Text 2 6 7" xfId="29610" xr:uid="{00000000-0005-0000-0000-0000EDB40000}"/>
    <cellStyle name="Warning Text 2 7" xfId="2025" xr:uid="{00000000-0005-0000-0000-0000EEB40000}"/>
    <cellStyle name="Warning Text 2 7 2" xfId="11459" xr:uid="{00000000-0005-0000-0000-0000EFB40000}"/>
    <cellStyle name="Warning Text 2 7 2 2" xfId="15080" xr:uid="{00000000-0005-0000-0000-0000F0B40000}"/>
    <cellStyle name="Warning Text 2 7 3" xfId="29611" xr:uid="{00000000-0005-0000-0000-0000F1B40000}"/>
    <cellStyle name="Warning Text 2 7 4" xfId="29612" xr:uid="{00000000-0005-0000-0000-0000F2B40000}"/>
    <cellStyle name="Warning Text 2 7 5" xfId="29613" xr:uid="{00000000-0005-0000-0000-0000F3B40000}"/>
    <cellStyle name="Warning Text 2 7 6" xfId="29614" xr:uid="{00000000-0005-0000-0000-0000F4B40000}"/>
    <cellStyle name="Warning Text 2 7 7" xfId="29615" xr:uid="{00000000-0005-0000-0000-0000F5B40000}"/>
    <cellStyle name="Warning Text 2 8" xfId="2026" xr:uid="{00000000-0005-0000-0000-0000F6B40000}"/>
    <cellStyle name="Warning Text 2 8 2" xfId="11460" xr:uid="{00000000-0005-0000-0000-0000F7B40000}"/>
    <cellStyle name="Warning Text 2 8 2 2" xfId="15081" xr:uid="{00000000-0005-0000-0000-0000F8B40000}"/>
    <cellStyle name="Warning Text 2 8 3" xfId="29616" xr:uid="{00000000-0005-0000-0000-0000F9B40000}"/>
    <cellStyle name="Warning Text 2 8 4" xfId="29617" xr:uid="{00000000-0005-0000-0000-0000FAB40000}"/>
    <cellStyle name="Warning Text 2 8 5" xfId="29618" xr:uid="{00000000-0005-0000-0000-0000FBB40000}"/>
    <cellStyle name="Warning Text 2 8 6" xfId="29619" xr:uid="{00000000-0005-0000-0000-0000FCB40000}"/>
    <cellStyle name="Warning Text 2 8 7" xfId="29620" xr:uid="{00000000-0005-0000-0000-0000FDB40000}"/>
    <cellStyle name="Warning Text 2 9" xfId="2027" xr:uid="{00000000-0005-0000-0000-0000FEB40000}"/>
    <cellStyle name="Warning Text 2 9 2" xfId="11461" xr:uid="{00000000-0005-0000-0000-0000FFB40000}"/>
    <cellStyle name="Warning Text 2 9 2 2" xfId="15082" xr:uid="{00000000-0005-0000-0000-000000B50000}"/>
    <cellStyle name="Warning Text 2 9 3" xfId="29621" xr:uid="{00000000-0005-0000-0000-000001B50000}"/>
    <cellStyle name="Warning Text 2 9 4" xfId="29622" xr:uid="{00000000-0005-0000-0000-000002B50000}"/>
    <cellStyle name="Warning Text 2 9 5" xfId="29623" xr:uid="{00000000-0005-0000-0000-000003B50000}"/>
    <cellStyle name="Warning Text 2 9 6" xfId="29624" xr:uid="{00000000-0005-0000-0000-000004B50000}"/>
    <cellStyle name="Warning Text 2 9 7" xfId="29625" xr:uid="{00000000-0005-0000-0000-000005B50000}"/>
    <cellStyle name="Warning Text 20" xfId="4378" xr:uid="{00000000-0005-0000-0000-000006B50000}"/>
    <cellStyle name="Warning Text 20 2" xfId="8371" xr:uid="{00000000-0005-0000-0000-000007B50000}"/>
    <cellStyle name="Warning Text 20 2 2" xfId="11463" xr:uid="{00000000-0005-0000-0000-000008B50000}"/>
    <cellStyle name="Warning Text 20 2 2 2" xfId="15084" xr:uid="{00000000-0005-0000-0000-000009B50000}"/>
    <cellStyle name="Warning Text 20 2 3" xfId="29626" xr:uid="{00000000-0005-0000-0000-00000AB50000}"/>
    <cellStyle name="Warning Text 20 2 4" xfId="29627" xr:uid="{00000000-0005-0000-0000-00000BB50000}"/>
    <cellStyle name="Warning Text 20 2 5" xfId="29628" xr:uid="{00000000-0005-0000-0000-00000CB50000}"/>
    <cellStyle name="Warning Text 20 2 6" xfId="29629" xr:uid="{00000000-0005-0000-0000-00000DB50000}"/>
    <cellStyle name="Warning Text 20 3" xfId="11462" xr:uid="{00000000-0005-0000-0000-00000EB50000}"/>
    <cellStyle name="Warning Text 20 3 2" xfId="15083" xr:uid="{00000000-0005-0000-0000-00000FB50000}"/>
    <cellStyle name="Warning Text 20 4" xfId="29630" xr:uid="{00000000-0005-0000-0000-000010B50000}"/>
    <cellStyle name="Warning Text 20 5" xfId="29631" xr:uid="{00000000-0005-0000-0000-000011B50000}"/>
    <cellStyle name="Warning Text 20 6" xfId="29632" xr:uid="{00000000-0005-0000-0000-000012B50000}"/>
    <cellStyle name="Warning Text 20 7" xfId="29633" xr:uid="{00000000-0005-0000-0000-000013B50000}"/>
    <cellStyle name="Warning Text 21" xfId="8372" xr:uid="{00000000-0005-0000-0000-000014B50000}"/>
    <cellStyle name="Warning Text 21 2" xfId="11464" xr:uid="{00000000-0005-0000-0000-000015B50000}"/>
    <cellStyle name="Warning Text 21 2 2" xfId="15085" xr:uid="{00000000-0005-0000-0000-000016B50000}"/>
    <cellStyle name="Warning Text 21 3" xfId="29634" xr:uid="{00000000-0005-0000-0000-000017B50000}"/>
    <cellStyle name="Warning Text 21 4" xfId="29635" xr:uid="{00000000-0005-0000-0000-000018B50000}"/>
    <cellStyle name="Warning Text 21 5" xfId="29636" xr:uid="{00000000-0005-0000-0000-000019B50000}"/>
    <cellStyle name="Warning Text 21 6" xfId="29637" xr:uid="{00000000-0005-0000-0000-00001AB50000}"/>
    <cellStyle name="Warning Text 22" xfId="6623" xr:uid="{00000000-0005-0000-0000-00001BB50000}"/>
    <cellStyle name="Warning Text 22 2" xfId="29639" xr:uid="{00000000-0005-0000-0000-00001CB50000}"/>
    <cellStyle name="Warning Text 22 3" xfId="29638" xr:uid="{00000000-0005-0000-0000-00001DB50000}"/>
    <cellStyle name="Warning Text 23" xfId="29640" xr:uid="{00000000-0005-0000-0000-00001EB50000}"/>
    <cellStyle name="Warning Text 24" xfId="29641" xr:uid="{00000000-0005-0000-0000-00001FB50000}"/>
    <cellStyle name="Warning Text 25" xfId="29642" xr:uid="{00000000-0005-0000-0000-000020B50000}"/>
    <cellStyle name="Warning Text 3" xfId="2028" xr:uid="{00000000-0005-0000-0000-000021B50000}"/>
    <cellStyle name="Warning Text 3 10" xfId="4379" xr:uid="{00000000-0005-0000-0000-000022B50000}"/>
    <cellStyle name="Warning Text 3 10 2" xfId="11466" xr:uid="{00000000-0005-0000-0000-000023B50000}"/>
    <cellStyle name="Warning Text 3 10 2 2" xfId="15087" xr:uid="{00000000-0005-0000-0000-000024B50000}"/>
    <cellStyle name="Warning Text 3 10 3" xfId="29643" xr:uid="{00000000-0005-0000-0000-000025B50000}"/>
    <cellStyle name="Warning Text 3 10 4" xfId="29644" xr:uid="{00000000-0005-0000-0000-000026B50000}"/>
    <cellStyle name="Warning Text 3 10 5" xfId="29645" xr:uid="{00000000-0005-0000-0000-000027B50000}"/>
    <cellStyle name="Warning Text 3 10 6" xfId="29646" xr:uid="{00000000-0005-0000-0000-000028B50000}"/>
    <cellStyle name="Warning Text 3 11" xfId="4380" xr:uid="{00000000-0005-0000-0000-000029B50000}"/>
    <cellStyle name="Warning Text 3 11 2" xfId="11467" xr:uid="{00000000-0005-0000-0000-00002AB50000}"/>
    <cellStyle name="Warning Text 3 11 2 2" xfId="15088" xr:uid="{00000000-0005-0000-0000-00002BB50000}"/>
    <cellStyle name="Warning Text 3 11 3" xfId="29647" xr:uid="{00000000-0005-0000-0000-00002CB50000}"/>
    <cellStyle name="Warning Text 3 11 4" xfId="29648" xr:uid="{00000000-0005-0000-0000-00002DB50000}"/>
    <cellStyle name="Warning Text 3 11 5" xfId="29649" xr:uid="{00000000-0005-0000-0000-00002EB50000}"/>
    <cellStyle name="Warning Text 3 11 6" xfId="29650" xr:uid="{00000000-0005-0000-0000-00002FB50000}"/>
    <cellStyle name="Warning Text 3 12" xfId="4381" xr:uid="{00000000-0005-0000-0000-000030B50000}"/>
    <cellStyle name="Warning Text 3 12 2" xfId="11468" xr:uid="{00000000-0005-0000-0000-000031B50000}"/>
    <cellStyle name="Warning Text 3 12 2 2" xfId="15089" xr:uid="{00000000-0005-0000-0000-000032B50000}"/>
    <cellStyle name="Warning Text 3 12 3" xfId="29651" xr:uid="{00000000-0005-0000-0000-000033B50000}"/>
    <cellStyle name="Warning Text 3 12 4" xfId="29652" xr:uid="{00000000-0005-0000-0000-000034B50000}"/>
    <cellStyle name="Warning Text 3 12 5" xfId="29653" xr:uid="{00000000-0005-0000-0000-000035B50000}"/>
    <cellStyle name="Warning Text 3 12 6" xfId="29654" xr:uid="{00000000-0005-0000-0000-000036B50000}"/>
    <cellStyle name="Warning Text 3 13" xfId="4382" xr:uid="{00000000-0005-0000-0000-000037B50000}"/>
    <cellStyle name="Warning Text 3 13 2" xfId="11469" xr:uid="{00000000-0005-0000-0000-000038B50000}"/>
    <cellStyle name="Warning Text 3 13 2 2" xfId="15090" xr:uid="{00000000-0005-0000-0000-000039B50000}"/>
    <cellStyle name="Warning Text 3 13 3" xfId="29655" xr:uid="{00000000-0005-0000-0000-00003AB50000}"/>
    <cellStyle name="Warning Text 3 13 4" xfId="29656" xr:uid="{00000000-0005-0000-0000-00003BB50000}"/>
    <cellStyle name="Warning Text 3 13 5" xfId="29657" xr:uid="{00000000-0005-0000-0000-00003CB50000}"/>
    <cellStyle name="Warning Text 3 13 6" xfId="29658" xr:uid="{00000000-0005-0000-0000-00003DB50000}"/>
    <cellStyle name="Warning Text 3 14" xfId="4383" xr:uid="{00000000-0005-0000-0000-00003EB50000}"/>
    <cellStyle name="Warning Text 3 14 2" xfId="11470" xr:uid="{00000000-0005-0000-0000-00003FB50000}"/>
    <cellStyle name="Warning Text 3 14 2 2" xfId="15091" xr:uid="{00000000-0005-0000-0000-000040B50000}"/>
    <cellStyle name="Warning Text 3 14 3" xfId="29659" xr:uid="{00000000-0005-0000-0000-000041B50000}"/>
    <cellStyle name="Warning Text 3 14 4" xfId="29660" xr:uid="{00000000-0005-0000-0000-000042B50000}"/>
    <cellStyle name="Warning Text 3 14 5" xfId="29661" xr:uid="{00000000-0005-0000-0000-000043B50000}"/>
    <cellStyle name="Warning Text 3 14 6" xfId="29662" xr:uid="{00000000-0005-0000-0000-000044B50000}"/>
    <cellStyle name="Warning Text 3 15" xfId="8373" xr:uid="{00000000-0005-0000-0000-000045B50000}"/>
    <cellStyle name="Warning Text 3 15 2" xfId="11471" xr:uid="{00000000-0005-0000-0000-000046B50000}"/>
    <cellStyle name="Warning Text 3 15 2 2" xfId="15092" xr:uid="{00000000-0005-0000-0000-000047B50000}"/>
    <cellStyle name="Warning Text 3 15 3" xfId="29663" xr:uid="{00000000-0005-0000-0000-000048B50000}"/>
    <cellStyle name="Warning Text 3 15 4" xfId="29664" xr:uid="{00000000-0005-0000-0000-000049B50000}"/>
    <cellStyle name="Warning Text 3 15 5" xfId="29665" xr:uid="{00000000-0005-0000-0000-00004AB50000}"/>
    <cellStyle name="Warning Text 3 15 6" xfId="29666" xr:uid="{00000000-0005-0000-0000-00004BB50000}"/>
    <cellStyle name="Warning Text 3 16" xfId="11465" xr:uid="{00000000-0005-0000-0000-00004CB50000}"/>
    <cellStyle name="Warning Text 3 16 2" xfId="15086" xr:uid="{00000000-0005-0000-0000-00004DB50000}"/>
    <cellStyle name="Warning Text 3 17" xfId="29667" xr:uid="{00000000-0005-0000-0000-00004EB50000}"/>
    <cellStyle name="Warning Text 3 18" xfId="29668" xr:uid="{00000000-0005-0000-0000-00004FB50000}"/>
    <cellStyle name="Warning Text 3 19" xfId="29669" xr:uid="{00000000-0005-0000-0000-000050B50000}"/>
    <cellStyle name="Warning Text 3 2" xfId="2029" xr:uid="{00000000-0005-0000-0000-000051B50000}"/>
    <cellStyle name="Warning Text 3 2 2" xfId="11472" xr:uid="{00000000-0005-0000-0000-000052B50000}"/>
    <cellStyle name="Warning Text 3 2 2 2" xfId="15093" xr:uid="{00000000-0005-0000-0000-000053B50000}"/>
    <cellStyle name="Warning Text 3 2 3" xfId="29670" xr:uid="{00000000-0005-0000-0000-000054B50000}"/>
    <cellStyle name="Warning Text 3 2 4" xfId="29671" xr:uid="{00000000-0005-0000-0000-000055B50000}"/>
    <cellStyle name="Warning Text 3 2 5" xfId="29672" xr:uid="{00000000-0005-0000-0000-000056B50000}"/>
    <cellStyle name="Warning Text 3 2 6" xfId="29673" xr:uid="{00000000-0005-0000-0000-000057B50000}"/>
    <cellStyle name="Warning Text 3 2 7" xfId="29674" xr:uid="{00000000-0005-0000-0000-000058B50000}"/>
    <cellStyle name="Warning Text 3 20" xfId="29675" xr:uid="{00000000-0005-0000-0000-000059B50000}"/>
    <cellStyle name="Warning Text 3 21" xfId="29676" xr:uid="{00000000-0005-0000-0000-00005AB50000}"/>
    <cellStyle name="Warning Text 3 3" xfId="4384" xr:uid="{00000000-0005-0000-0000-00005BB50000}"/>
    <cellStyle name="Warning Text 3 3 2" xfId="11473" xr:uid="{00000000-0005-0000-0000-00005CB50000}"/>
    <cellStyle name="Warning Text 3 3 2 2" xfId="15094" xr:uid="{00000000-0005-0000-0000-00005DB50000}"/>
    <cellStyle name="Warning Text 3 3 3" xfId="29677" xr:uid="{00000000-0005-0000-0000-00005EB50000}"/>
    <cellStyle name="Warning Text 3 3 4" xfId="29678" xr:uid="{00000000-0005-0000-0000-00005FB50000}"/>
    <cellStyle name="Warning Text 3 3 5" xfId="29679" xr:uid="{00000000-0005-0000-0000-000060B50000}"/>
    <cellStyle name="Warning Text 3 3 6" xfId="29680" xr:uid="{00000000-0005-0000-0000-000061B50000}"/>
    <cellStyle name="Warning Text 3 4" xfId="4385" xr:uid="{00000000-0005-0000-0000-000062B50000}"/>
    <cellStyle name="Warning Text 3 4 2" xfId="11474" xr:uid="{00000000-0005-0000-0000-000063B50000}"/>
    <cellStyle name="Warning Text 3 4 2 2" xfId="15095" xr:uid="{00000000-0005-0000-0000-000064B50000}"/>
    <cellStyle name="Warning Text 3 4 3" xfId="29681" xr:uid="{00000000-0005-0000-0000-000065B50000}"/>
    <cellStyle name="Warning Text 3 4 4" xfId="29682" xr:uid="{00000000-0005-0000-0000-000066B50000}"/>
    <cellStyle name="Warning Text 3 4 5" xfId="29683" xr:uid="{00000000-0005-0000-0000-000067B50000}"/>
    <cellStyle name="Warning Text 3 4 6" xfId="29684" xr:uid="{00000000-0005-0000-0000-000068B50000}"/>
    <cellStyle name="Warning Text 3 5" xfId="4386" xr:uid="{00000000-0005-0000-0000-000069B50000}"/>
    <cellStyle name="Warning Text 3 5 2" xfId="11475" xr:uid="{00000000-0005-0000-0000-00006AB50000}"/>
    <cellStyle name="Warning Text 3 5 2 2" xfId="15096" xr:uid="{00000000-0005-0000-0000-00006BB50000}"/>
    <cellStyle name="Warning Text 3 5 3" xfId="29685" xr:uid="{00000000-0005-0000-0000-00006CB50000}"/>
    <cellStyle name="Warning Text 3 5 4" xfId="29686" xr:uid="{00000000-0005-0000-0000-00006DB50000}"/>
    <cellStyle name="Warning Text 3 5 5" xfId="29687" xr:uid="{00000000-0005-0000-0000-00006EB50000}"/>
    <cellStyle name="Warning Text 3 5 6" xfId="29688" xr:uid="{00000000-0005-0000-0000-00006FB50000}"/>
    <cellStyle name="Warning Text 3 6" xfId="4387" xr:uid="{00000000-0005-0000-0000-000070B50000}"/>
    <cellStyle name="Warning Text 3 6 2" xfId="11476" xr:uid="{00000000-0005-0000-0000-000071B50000}"/>
    <cellStyle name="Warning Text 3 6 2 2" xfId="15097" xr:uid="{00000000-0005-0000-0000-000072B50000}"/>
    <cellStyle name="Warning Text 3 6 3" xfId="29689" xr:uid="{00000000-0005-0000-0000-000073B50000}"/>
    <cellStyle name="Warning Text 3 6 4" xfId="29690" xr:uid="{00000000-0005-0000-0000-000074B50000}"/>
    <cellStyle name="Warning Text 3 6 5" xfId="29691" xr:uid="{00000000-0005-0000-0000-000075B50000}"/>
    <cellStyle name="Warning Text 3 6 6" xfId="29692" xr:uid="{00000000-0005-0000-0000-000076B50000}"/>
    <cellStyle name="Warning Text 3 7" xfId="4388" xr:uid="{00000000-0005-0000-0000-000077B50000}"/>
    <cellStyle name="Warning Text 3 7 2" xfId="11477" xr:uid="{00000000-0005-0000-0000-000078B50000}"/>
    <cellStyle name="Warning Text 3 7 2 2" xfId="15098" xr:uid="{00000000-0005-0000-0000-000079B50000}"/>
    <cellStyle name="Warning Text 3 7 3" xfId="29693" xr:uid="{00000000-0005-0000-0000-00007AB50000}"/>
    <cellStyle name="Warning Text 3 7 4" xfId="29694" xr:uid="{00000000-0005-0000-0000-00007BB50000}"/>
    <cellStyle name="Warning Text 3 7 5" xfId="29695" xr:uid="{00000000-0005-0000-0000-00007CB50000}"/>
    <cellStyle name="Warning Text 3 7 6" xfId="29696" xr:uid="{00000000-0005-0000-0000-00007DB50000}"/>
    <cellStyle name="Warning Text 3 8" xfId="4389" xr:uid="{00000000-0005-0000-0000-00007EB50000}"/>
    <cellStyle name="Warning Text 3 8 2" xfId="11478" xr:uid="{00000000-0005-0000-0000-00007FB50000}"/>
    <cellStyle name="Warning Text 3 8 2 2" xfId="15099" xr:uid="{00000000-0005-0000-0000-000080B50000}"/>
    <cellStyle name="Warning Text 3 8 3" xfId="29697" xr:uid="{00000000-0005-0000-0000-000081B50000}"/>
    <cellStyle name="Warning Text 3 8 4" xfId="29698" xr:uid="{00000000-0005-0000-0000-000082B50000}"/>
    <cellStyle name="Warning Text 3 8 5" xfId="29699" xr:uid="{00000000-0005-0000-0000-000083B50000}"/>
    <cellStyle name="Warning Text 3 8 6" xfId="29700" xr:uid="{00000000-0005-0000-0000-000084B50000}"/>
    <cellStyle name="Warning Text 3 9" xfId="4390" xr:uid="{00000000-0005-0000-0000-000085B50000}"/>
    <cellStyle name="Warning Text 3 9 2" xfId="11479" xr:uid="{00000000-0005-0000-0000-000086B50000}"/>
    <cellStyle name="Warning Text 3 9 2 2" xfId="15100" xr:uid="{00000000-0005-0000-0000-000087B50000}"/>
    <cellStyle name="Warning Text 3 9 3" xfId="29701" xr:uid="{00000000-0005-0000-0000-000088B50000}"/>
    <cellStyle name="Warning Text 3 9 4" xfId="29702" xr:uid="{00000000-0005-0000-0000-000089B50000}"/>
    <cellStyle name="Warning Text 3 9 5" xfId="29703" xr:uid="{00000000-0005-0000-0000-00008AB50000}"/>
    <cellStyle name="Warning Text 3 9 6" xfId="29704" xr:uid="{00000000-0005-0000-0000-00008BB50000}"/>
    <cellStyle name="Warning Text 4" xfId="2030" xr:uid="{00000000-0005-0000-0000-00008CB50000}"/>
    <cellStyle name="Warning Text 4 2" xfId="2031" xr:uid="{00000000-0005-0000-0000-00008DB50000}"/>
    <cellStyle name="Warning Text 4 2 2" xfId="11481" xr:uid="{00000000-0005-0000-0000-00008EB50000}"/>
    <cellStyle name="Warning Text 4 2 2 2" xfId="15102" xr:uid="{00000000-0005-0000-0000-00008FB50000}"/>
    <cellStyle name="Warning Text 4 2 3" xfId="29705" xr:uid="{00000000-0005-0000-0000-000090B50000}"/>
    <cellStyle name="Warning Text 4 2 4" xfId="29706" xr:uid="{00000000-0005-0000-0000-000091B50000}"/>
    <cellStyle name="Warning Text 4 2 5" xfId="29707" xr:uid="{00000000-0005-0000-0000-000092B50000}"/>
    <cellStyle name="Warning Text 4 2 6" xfId="29708" xr:uid="{00000000-0005-0000-0000-000093B50000}"/>
    <cellStyle name="Warning Text 4 2 7" xfId="29709" xr:uid="{00000000-0005-0000-0000-000094B50000}"/>
    <cellStyle name="Warning Text 4 3" xfId="11480" xr:uid="{00000000-0005-0000-0000-000095B50000}"/>
    <cellStyle name="Warning Text 4 3 2" xfId="15101" xr:uid="{00000000-0005-0000-0000-000096B50000}"/>
    <cellStyle name="Warning Text 4 4" xfId="29710" xr:uid="{00000000-0005-0000-0000-000097B50000}"/>
    <cellStyle name="Warning Text 4 5" xfId="29711" xr:uid="{00000000-0005-0000-0000-000098B50000}"/>
    <cellStyle name="Warning Text 4 6" xfId="29712" xr:uid="{00000000-0005-0000-0000-000099B50000}"/>
    <cellStyle name="Warning Text 4 7" xfId="29713" xr:uid="{00000000-0005-0000-0000-00009AB50000}"/>
    <cellStyle name="Warning Text 4 8" xfId="29714" xr:uid="{00000000-0005-0000-0000-00009BB50000}"/>
    <cellStyle name="Warning Text 5" xfId="2032" xr:uid="{00000000-0005-0000-0000-00009CB50000}"/>
    <cellStyle name="Warning Text 5 2" xfId="2033" xr:uid="{00000000-0005-0000-0000-00009DB50000}"/>
    <cellStyle name="Warning Text 5 2 2" xfId="11483" xr:uid="{00000000-0005-0000-0000-00009EB50000}"/>
    <cellStyle name="Warning Text 5 2 2 2" xfId="15104" xr:uid="{00000000-0005-0000-0000-00009FB50000}"/>
    <cellStyle name="Warning Text 5 2 3" xfId="29715" xr:uid="{00000000-0005-0000-0000-0000A0B50000}"/>
    <cellStyle name="Warning Text 5 2 4" xfId="29716" xr:uid="{00000000-0005-0000-0000-0000A1B50000}"/>
    <cellStyle name="Warning Text 5 2 5" xfId="29717" xr:uid="{00000000-0005-0000-0000-0000A2B50000}"/>
    <cellStyle name="Warning Text 5 2 6" xfId="29718" xr:uid="{00000000-0005-0000-0000-0000A3B50000}"/>
    <cellStyle name="Warning Text 5 2 7" xfId="29719" xr:uid="{00000000-0005-0000-0000-0000A4B50000}"/>
    <cellStyle name="Warning Text 5 3" xfId="11482" xr:uid="{00000000-0005-0000-0000-0000A5B50000}"/>
    <cellStyle name="Warning Text 5 3 2" xfId="15103" xr:uid="{00000000-0005-0000-0000-0000A6B50000}"/>
    <cellStyle name="Warning Text 5 4" xfId="29720" xr:uid="{00000000-0005-0000-0000-0000A7B50000}"/>
    <cellStyle name="Warning Text 5 5" xfId="29721" xr:uid="{00000000-0005-0000-0000-0000A8B50000}"/>
    <cellStyle name="Warning Text 5 6" xfId="29722" xr:uid="{00000000-0005-0000-0000-0000A9B50000}"/>
    <cellStyle name="Warning Text 5 7" xfId="29723" xr:uid="{00000000-0005-0000-0000-0000AAB50000}"/>
    <cellStyle name="Warning Text 5 8" xfId="29724" xr:uid="{00000000-0005-0000-0000-0000ABB50000}"/>
    <cellStyle name="Warning Text 6" xfId="2034" xr:uid="{00000000-0005-0000-0000-0000ACB50000}"/>
    <cellStyle name="Warning Text 6 2" xfId="2035" xr:uid="{00000000-0005-0000-0000-0000ADB50000}"/>
    <cellStyle name="Warning Text 6 2 2" xfId="11485" xr:uid="{00000000-0005-0000-0000-0000AEB50000}"/>
    <cellStyle name="Warning Text 6 2 2 2" xfId="15106" xr:uid="{00000000-0005-0000-0000-0000AFB50000}"/>
    <cellStyle name="Warning Text 6 2 3" xfId="29725" xr:uid="{00000000-0005-0000-0000-0000B0B50000}"/>
    <cellStyle name="Warning Text 6 2 4" xfId="29726" xr:uid="{00000000-0005-0000-0000-0000B1B50000}"/>
    <cellStyle name="Warning Text 6 2 5" xfId="29727" xr:uid="{00000000-0005-0000-0000-0000B2B50000}"/>
    <cellStyle name="Warning Text 6 2 6" xfId="29728" xr:uid="{00000000-0005-0000-0000-0000B3B50000}"/>
    <cellStyle name="Warning Text 6 2 7" xfId="29729" xr:uid="{00000000-0005-0000-0000-0000B4B50000}"/>
    <cellStyle name="Warning Text 6 3" xfId="4391" xr:uid="{00000000-0005-0000-0000-0000B5B50000}"/>
    <cellStyle name="Warning Text 6 3 2" xfId="11486" xr:uid="{00000000-0005-0000-0000-0000B6B50000}"/>
    <cellStyle name="Warning Text 6 3 2 2" xfId="15107" xr:uid="{00000000-0005-0000-0000-0000B7B50000}"/>
    <cellStyle name="Warning Text 6 3 3" xfId="29730" xr:uid="{00000000-0005-0000-0000-0000B8B50000}"/>
    <cellStyle name="Warning Text 6 3 4" xfId="29731" xr:uid="{00000000-0005-0000-0000-0000B9B50000}"/>
    <cellStyle name="Warning Text 6 3 5" xfId="29732" xr:uid="{00000000-0005-0000-0000-0000BAB50000}"/>
    <cellStyle name="Warning Text 6 3 6" xfId="29733" xr:uid="{00000000-0005-0000-0000-0000BBB50000}"/>
    <cellStyle name="Warning Text 6 4" xfId="11484" xr:uid="{00000000-0005-0000-0000-0000BCB50000}"/>
    <cellStyle name="Warning Text 6 4 2" xfId="15105" xr:uid="{00000000-0005-0000-0000-0000BDB50000}"/>
    <cellStyle name="Warning Text 6 5" xfId="29734" xr:uid="{00000000-0005-0000-0000-0000BEB50000}"/>
    <cellStyle name="Warning Text 6 6" xfId="29735" xr:uid="{00000000-0005-0000-0000-0000BFB50000}"/>
    <cellStyle name="Warning Text 6 7" xfId="29736" xr:uid="{00000000-0005-0000-0000-0000C0B50000}"/>
    <cellStyle name="Warning Text 6 8" xfId="29737" xr:uid="{00000000-0005-0000-0000-0000C1B50000}"/>
    <cellStyle name="Warning Text 6 9" xfId="29738" xr:uid="{00000000-0005-0000-0000-0000C2B50000}"/>
    <cellStyle name="Warning Text 7" xfId="2036" xr:uid="{00000000-0005-0000-0000-0000C3B50000}"/>
    <cellStyle name="Warning Text 7 2" xfId="2037" xr:uid="{00000000-0005-0000-0000-0000C4B50000}"/>
    <cellStyle name="Warning Text 7 2 2" xfId="11488" xr:uid="{00000000-0005-0000-0000-0000C5B50000}"/>
    <cellStyle name="Warning Text 7 2 2 2" xfId="15109" xr:uid="{00000000-0005-0000-0000-0000C6B50000}"/>
    <cellStyle name="Warning Text 7 2 3" xfId="29739" xr:uid="{00000000-0005-0000-0000-0000C7B50000}"/>
    <cellStyle name="Warning Text 7 2 4" xfId="29740" xr:uid="{00000000-0005-0000-0000-0000C8B50000}"/>
    <cellStyle name="Warning Text 7 2 5" xfId="29741" xr:uid="{00000000-0005-0000-0000-0000C9B50000}"/>
    <cellStyle name="Warning Text 7 2 6" xfId="29742" xr:uid="{00000000-0005-0000-0000-0000CAB50000}"/>
    <cellStyle name="Warning Text 7 2 7" xfId="29743" xr:uid="{00000000-0005-0000-0000-0000CBB50000}"/>
    <cellStyle name="Warning Text 7 3" xfId="4392" xr:uid="{00000000-0005-0000-0000-0000CCB50000}"/>
    <cellStyle name="Warning Text 7 3 2" xfId="11489" xr:uid="{00000000-0005-0000-0000-0000CDB50000}"/>
    <cellStyle name="Warning Text 7 3 2 2" xfId="15110" xr:uid="{00000000-0005-0000-0000-0000CEB50000}"/>
    <cellStyle name="Warning Text 7 3 3" xfId="29744" xr:uid="{00000000-0005-0000-0000-0000CFB50000}"/>
    <cellStyle name="Warning Text 7 3 4" xfId="29745" xr:uid="{00000000-0005-0000-0000-0000D0B50000}"/>
    <cellStyle name="Warning Text 7 3 5" xfId="29746" xr:uid="{00000000-0005-0000-0000-0000D1B50000}"/>
    <cellStyle name="Warning Text 7 3 6" xfId="29747" xr:uid="{00000000-0005-0000-0000-0000D2B50000}"/>
    <cellStyle name="Warning Text 7 4" xfId="11487" xr:uid="{00000000-0005-0000-0000-0000D3B50000}"/>
    <cellStyle name="Warning Text 7 4 2" xfId="15108" xr:uid="{00000000-0005-0000-0000-0000D4B50000}"/>
    <cellStyle name="Warning Text 7 5" xfId="29748" xr:uid="{00000000-0005-0000-0000-0000D5B50000}"/>
    <cellStyle name="Warning Text 7 6" xfId="29749" xr:uid="{00000000-0005-0000-0000-0000D6B50000}"/>
    <cellStyle name="Warning Text 7 7" xfId="29750" xr:uid="{00000000-0005-0000-0000-0000D7B50000}"/>
    <cellStyle name="Warning Text 7 8" xfId="29751" xr:uid="{00000000-0005-0000-0000-0000D8B50000}"/>
    <cellStyle name="Warning Text 7 9" xfId="29752" xr:uid="{00000000-0005-0000-0000-0000D9B50000}"/>
    <cellStyle name="Warning Text 8" xfId="2038" xr:uid="{00000000-0005-0000-0000-0000DAB50000}"/>
    <cellStyle name="Warning Text 8 2" xfId="2039" xr:uid="{00000000-0005-0000-0000-0000DBB50000}"/>
    <cellStyle name="Warning Text 8 2 2" xfId="11491" xr:uid="{00000000-0005-0000-0000-0000DCB50000}"/>
    <cellStyle name="Warning Text 8 2 2 2" xfId="15112" xr:uid="{00000000-0005-0000-0000-0000DDB50000}"/>
    <cellStyle name="Warning Text 8 2 3" xfId="29753" xr:uid="{00000000-0005-0000-0000-0000DEB50000}"/>
    <cellStyle name="Warning Text 8 2 4" xfId="29754" xr:uid="{00000000-0005-0000-0000-0000DFB50000}"/>
    <cellStyle name="Warning Text 8 2 5" xfId="29755" xr:uid="{00000000-0005-0000-0000-0000E0B50000}"/>
    <cellStyle name="Warning Text 8 2 6" xfId="29756" xr:uid="{00000000-0005-0000-0000-0000E1B50000}"/>
    <cellStyle name="Warning Text 8 2 7" xfId="29757" xr:uid="{00000000-0005-0000-0000-0000E2B50000}"/>
    <cellStyle name="Warning Text 8 3" xfId="4393" xr:uid="{00000000-0005-0000-0000-0000E3B50000}"/>
    <cellStyle name="Warning Text 8 3 2" xfId="11492" xr:uid="{00000000-0005-0000-0000-0000E4B50000}"/>
    <cellStyle name="Warning Text 8 3 2 2" xfId="15113" xr:uid="{00000000-0005-0000-0000-0000E5B50000}"/>
    <cellStyle name="Warning Text 8 3 3" xfId="29758" xr:uid="{00000000-0005-0000-0000-0000E6B50000}"/>
    <cellStyle name="Warning Text 8 3 4" xfId="29759" xr:uid="{00000000-0005-0000-0000-0000E7B50000}"/>
    <cellStyle name="Warning Text 8 3 5" xfId="29760" xr:uid="{00000000-0005-0000-0000-0000E8B50000}"/>
    <cellStyle name="Warning Text 8 3 6" xfId="29761" xr:uid="{00000000-0005-0000-0000-0000E9B50000}"/>
    <cellStyle name="Warning Text 8 4" xfId="11490" xr:uid="{00000000-0005-0000-0000-0000EAB50000}"/>
    <cellStyle name="Warning Text 8 4 2" xfId="15111" xr:uid="{00000000-0005-0000-0000-0000EBB50000}"/>
    <cellStyle name="Warning Text 8 5" xfId="29762" xr:uid="{00000000-0005-0000-0000-0000ECB50000}"/>
    <cellStyle name="Warning Text 8 6" xfId="29763" xr:uid="{00000000-0005-0000-0000-0000EDB50000}"/>
    <cellStyle name="Warning Text 8 7" xfId="29764" xr:uid="{00000000-0005-0000-0000-0000EEB50000}"/>
    <cellStyle name="Warning Text 8 8" xfId="29765" xr:uid="{00000000-0005-0000-0000-0000EFB50000}"/>
    <cellStyle name="Warning Text 8 9" xfId="29766" xr:uid="{00000000-0005-0000-0000-0000F0B50000}"/>
    <cellStyle name="Warning Text 9" xfId="2040" xr:uid="{00000000-0005-0000-0000-0000F1B50000}"/>
    <cellStyle name="Warning Text 9 2" xfId="4394" xr:uid="{00000000-0005-0000-0000-0000F2B50000}"/>
    <cellStyle name="Warning Text 9 2 2" xfId="11494" xr:uid="{00000000-0005-0000-0000-0000F3B50000}"/>
    <cellStyle name="Warning Text 9 2 2 2" xfId="15115" xr:uid="{00000000-0005-0000-0000-0000F4B50000}"/>
    <cellStyle name="Warning Text 9 2 3" xfId="29767" xr:uid="{00000000-0005-0000-0000-0000F5B50000}"/>
    <cellStyle name="Warning Text 9 2 4" xfId="29768" xr:uid="{00000000-0005-0000-0000-0000F6B50000}"/>
    <cellStyle name="Warning Text 9 2 5" xfId="29769" xr:uid="{00000000-0005-0000-0000-0000F7B50000}"/>
    <cellStyle name="Warning Text 9 2 6" xfId="29770" xr:uid="{00000000-0005-0000-0000-0000F8B50000}"/>
    <cellStyle name="Warning Text 9 3" xfId="11493" xr:uid="{00000000-0005-0000-0000-0000F9B50000}"/>
    <cellStyle name="Warning Text 9 3 2" xfId="15114" xr:uid="{00000000-0005-0000-0000-0000FAB50000}"/>
    <cellStyle name="Warning Text 9 4" xfId="29771" xr:uid="{00000000-0005-0000-0000-0000FBB50000}"/>
    <cellStyle name="Warning Text 9 5" xfId="29772" xr:uid="{00000000-0005-0000-0000-0000FCB50000}"/>
    <cellStyle name="Warning Text 9 6" xfId="29773" xr:uid="{00000000-0005-0000-0000-0000FDB50000}"/>
    <cellStyle name="Warning Text 9 7" xfId="29774" xr:uid="{00000000-0005-0000-0000-0000FEB50000}"/>
    <cellStyle name="Warning Text 9 8" xfId="29775" xr:uid="{00000000-0005-0000-0000-0000FFB50000}"/>
    <cellStyle name="Обычный_CRF2002 (1)" xfId="2041" xr:uid="{00000000-0005-0000-0000-00003EB60000}"/>
  </cellStyles>
  <dxfs count="0"/>
  <tableStyles count="0" defaultTableStyle="TableStyleMedium2" defaultPivotStyle="PivotStyleLight16"/>
  <colors>
    <mruColors>
      <color rgb="FFFF66CC"/>
      <color rgb="FFDDE6F5"/>
      <color rgb="FFFFF0C1"/>
      <color rgb="FFD1E6C4"/>
      <color rgb="FFC7DDF1"/>
      <color rgb="FFC9E2B8"/>
      <color rgb="FFFF7C80"/>
      <color rgb="FF799979"/>
      <color rgb="FFCC5606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GE\saic_technology\ResCOM\New%20Microsoft%20Excel%20Workshe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EDA_Models\NEEDS_SE\SUBRES_TMPL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ityofmalmo-my.sharepoint.com/Documents%20and%20Settings/kathleen/Desktop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malmo.se/Stadsplanering--trafik/Trafik--hallbart-resande/Trafikmangder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99979"/>
  </sheetPr>
  <dimension ref="B3:S38"/>
  <sheetViews>
    <sheetView zoomScale="75" zoomScaleNormal="75" workbookViewId="0">
      <selection activeCell="C8" sqref="C8"/>
    </sheetView>
  </sheetViews>
  <sheetFormatPr defaultColWidth="9.28515625" defaultRowHeight="15" x14ac:dyDescent="0.25"/>
  <cols>
    <col min="2" max="2" width="24.42578125" bestFit="1" customWidth="1"/>
    <col min="3" max="3" width="26.5703125" customWidth="1"/>
    <col min="4" max="17" width="11.5703125" customWidth="1"/>
  </cols>
  <sheetData>
    <row r="3" spans="2:19" x14ac:dyDescent="0.25">
      <c r="B3" s="266" t="s">
        <v>0</v>
      </c>
      <c r="C3" s="275" t="s">
        <v>1</v>
      </c>
      <c r="F3" s="7"/>
      <c r="G3" t="s">
        <v>2</v>
      </c>
      <c r="K3" s="4"/>
      <c r="L3" s="4"/>
      <c r="M3" s="4"/>
      <c r="N3" s="4"/>
      <c r="O3" s="4"/>
      <c r="P3" s="4"/>
      <c r="Q3" s="4"/>
      <c r="R3" s="4"/>
      <c r="S3" s="4"/>
    </row>
    <row r="4" spans="2:19" x14ac:dyDescent="0.25">
      <c r="B4" s="266" t="s">
        <v>3</v>
      </c>
      <c r="C4" s="275" t="s">
        <v>4</v>
      </c>
      <c r="F4" s="8"/>
      <c r="G4" t="s">
        <v>5</v>
      </c>
      <c r="K4" s="4"/>
      <c r="L4" s="4"/>
      <c r="M4" s="4"/>
      <c r="N4" s="4"/>
      <c r="O4" s="4"/>
      <c r="P4" s="4"/>
      <c r="Q4" s="4"/>
      <c r="R4" s="4"/>
      <c r="S4" s="4"/>
    </row>
    <row r="5" spans="2:19" x14ac:dyDescent="0.25">
      <c r="B5" s="266" t="s">
        <v>6</v>
      </c>
      <c r="C5" s="275">
        <v>2019</v>
      </c>
      <c r="F5" s="10"/>
      <c r="G5" t="s">
        <v>7</v>
      </c>
      <c r="K5" s="4"/>
      <c r="L5" s="4"/>
      <c r="M5" s="4"/>
      <c r="N5" s="4"/>
      <c r="O5" s="4"/>
      <c r="P5" s="4"/>
      <c r="Q5" s="4"/>
      <c r="R5" s="4"/>
      <c r="S5" s="4"/>
    </row>
    <row r="6" spans="2:19" x14ac:dyDescent="0.25">
      <c r="B6" s="275" t="s">
        <v>8</v>
      </c>
      <c r="C6" s="314" t="s">
        <v>9</v>
      </c>
      <c r="F6" s="9"/>
      <c r="G6" t="s">
        <v>10</v>
      </c>
    </row>
    <row r="7" spans="2:19" x14ac:dyDescent="0.25">
      <c r="B7" s="275" t="s">
        <v>11</v>
      </c>
      <c r="C7" s="314" t="s">
        <v>1241</v>
      </c>
      <c r="F7" s="313"/>
      <c r="G7" t="s">
        <v>13</v>
      </c>
    </row>
    <row r="8" spans="2:19" x14ac:dyDescent="0.25">
      <c r="B8" s="275" t="s">
        <v>14</v>
      </c>
      <c r="C8" s="314" t="s">
        <v>15</v>
      </c>
      <c r="F8" s="11"/>
      <c r="G8" t="s">
        <v>16</v>
      </c>
    </row>
    <row r="9" spans="2:19" x14ac:dyDescent="0.25">
      <c r="B9" s="315"/>
      <c r="C9" s="316"/>
    </row>
    <row r="10" spans="2:19" x14ac:dyDescent="0.25">
      <c r="B10" s="125" t="s">
        <v>17</v>
      </c>
      <c r="C10" s="125" t="s">
        <v>18</v>
      </c>
      <c r="D10" s="125" t="s">
        <v>19</v>
      </c>
      <c r="E10" s="125" t="s">
        <v>20</v>
      </c>
      <c r="F10" s="125" t="s">
        <v>21</v>
      </c>
      <c r="G10" s="125" t="s">
        <v>22</v>
      </c>
      <c r="H10" s="125" t="s">
        <v>23</v>
      </c>
      <c r="I10" s="125" t="s">
        <v>24</v>
      </c>
      <c r="J10" s="125" t="s">
        <v>25</v>
      </c>
      <c r="K10" s="125" t="s">
        <v>26</v>
      </c>
      <c r="L10" s="125" t="s">
        <v>27</v>
      </c>
      <c r="M10" s="125" t="s">
        <v>28</v>
      </c>
      <c r="N10" s="125" t="s">
        <v>29</v>
      </c>
      <c r="O10" s="125" t="s">
        <v>30</v>
      </c>
      <c r="P10" s="125" t="s">
        <v>31</v>
      </c>
      <c r="Q10" s="125" t="s">
        <v>32</v>
      </c>
    </row>
    <row r="12" spans="2:19" x14ac:dyDescent="0.25">
      <c r="B12" s="317" t="s">
        <v>33</v>
      </c>
      <c r="C12" s="317"/>
      <c r="D12" s="317"/>
      <c r="E12" s="317"/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</row>
    <row r="13" spans="2:19" x14ac:dyDescent="0.25">
      <c r="B13" s="317" t="s">
        <v>34</v>
      </c>
      <c r="C13" s="317" t="s">
        <v>35</v>
      </c>
      <c r="D13" s="317" t="s">
        <v>36</v>
      </c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</row>
    <row r="14" spans="2:19" s="19" customFormat="1" x14ac:dyDescent="0.25">
      <c r="B14" s="426" t="s">
        <v>37</v>
      </c>
      <c r="C14" s="427" t="s">
        <v>38</v>
      </c>
      <c r="D14" s="428" t="s">
        <v>39</v>
      </c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</row>
    <row r="15" spans="2:19" x14ac:dyDescent="0.25">
      <c r="B15" s="429" t="s">
        <v>40</v>
      </c>
      <c r="C15" s="427" t="s">
        <v>38</v>
      </c>
      <c r="D15" s="427" t="s">
        <v>41</v>
      </c>
      <c r="E15" s="429"/>
      <c r="F15" s="429"/>
      <c r="G15" s="429"/>
      <c r="H15" s="429"/>
      <c r="I15" s="429"/>
      <c r="J15" s="429"/>
      <c r="K15" s="429"/>
      <c r="L15" s="429"/>
      <c r="M15" s="429"/>
      <c r="N15" s="429"/>
      <c r="O15" s="429"/>
      <c r="P15" s="394"/>
      <c r="Q15" s="394"/>
    </row>
    <row r="16" spans="2:19" x14ac:dyDescent="0.25">
      <c r="B16" s="432" t="s">
        <v>42</v>
      </c>
      <c r="C16" s="432" t="s">
        <v>43</v>
      </c>
      <c r="D16" s="432" t="s">
        <v>44</v>
      </c>
      <c r="E16" s="430"/>
      <c r="F16" s="430"/>
      <c r="G16" s="430"/>
      <c r="H16" s="430"/>
      <c r="I16" s="430"/>
      <c r="J16" s="430"/>
      <c r="K16" s="430"/>
      <c r="L16" s="430"/>
      <c r="M16" s="430"/>
      <c r="N16" s="430"/>
      <c r="O16" s="430"/>
      <c r="P16" s="430"/>
      <c r="Q16" s="430"/>
    </row>
    <row r="17" spans="2:17" x14ac:dyDescent="0.25">
      <c r="B17" s="432" t="s">
        <v>45</v>
      </c>
      <c r="C17" s="432" t="s">
        <v>43</v>
      </c>
      <c r="D17" s="432" t="s">
        <v>46</v>
      </c>
      <c r="E17" s="430"/>
      <c r="F17" s="430"/>
      <c r="G17" s="430"/>
      <c r="H17" s="430"/>
      <c r="I17" s="430"/>
      <c r="J17" s="430"/>
      <c r="K17" s="430"/>
      <c r="L17" s="430"/>
      <c r="M17" s="430"/>
      <c r="N17" s="430"/>
      <c r="O17" s="430"/>
      <c r="P17" s="430"/>
      <c r="Q17" s="430"/>
    </row>
    <row r="18" spans="2:17" s="303" customFormat="1" x14ac:dyDescent="0.25">
      <c r="B18" s="432" t="s">
        <v>47</v>
      </c>
      <c r="C18" s="432" t="s">
        <v>43</v>
      </c>
      <c r="D18" s="940" t="s">
        <v>48</v>
      </c>
      <c r="E18" s="941"/>
      <c r="F18" s="941"/>
      <c r="G18" s="941"/>
      <c r="H18" s="941"/>
      <c r="I18" s="941"/>
      <c r="J18" s="941"/>
      <c r="K18" s="941"/>
      <c r="L18" s="941"/>
      <c r="M18" s="941"/>
      <c r="N18" s="941"/>
      <c r="O18" s="941"/>
      <c r="P18" s="941"/>
      <c r="Q18" s="941"/>
    </row>
    <row r="19" spans="2:17" s="303" customFormat="1" x14ac:dyDescent="0.25">
      <c r="B19" s="432" t="s">
        <v>49</v>
      </c>
      <c r="C19" s="432" t="s">
        <v>43</v>
      </c>
      <c r="D19" s="940" t="s">
        <v>50</v>
      </c>
      <c r="E19" s="941"/>
      <c r="F19" s="941"/>
      <c r="G19" s="941"/>
      <c r="H19" s="941"/>
      <c r="I19" s="941"/>
      <c r="J19" s="941"/>
      <c r="K19" s="941"/>
      <c r="L19" s="941"/>
      <c r="M19" s="941"/>
      <c r="N19" s="941"/>
      <c r="O19" s="941"/>
      <c r="P19" s="941"/>
      <c r="Q19" s="941"/>
    </row>
    <row r="20" spans="2:17" s="303" customFormat="1" x14ac:dyDescent="0.25">
      <c r="B20" s="432" t="s">
        <v>51</v>
      </c>
      <c r="C20" s="432" t="s">
        <v>43</v>
      </c>
      <c r="D20" s="431" t="s">
        <v>52</v>
      </c>
      <c r="E20" s="433"/>
      <c r="F20" s="433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</row>
    <row r="21" spans="2:17" s="303" customFormat="1" x14ac:dyDescent="0.25">
      <c r="B21" s="432" t="s">
        <v>53</v>
      </c>
      <c r="C21" s="432" t="s">
        <v>43</v>
      </c>
      <c r="D21" s="431" t="s">
        <v>54</v>
      </c>
      <c r="E21" s="433"/>
      <c r="F21" s="433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</row>
    <row r="22" spans="2:17" x14ac:dyDescent="0.25">
      <c r="B22" s="430" t="s">
        <v>55</v>
      </c>
      <c r="C22" s="432" t="s">
        <v>43</v>
      </c>
      <c r="D22" s="430" t="s">
        <v>56</v>
      </c>
      <c r="E22" s="430"/>
      <c r="F22" s="430"/>
      <c r="G22" s="430"/>
      <c r="H22" s="430"/>
      <c r="I22" s="430"/>
      <c r="J22" s="430"/>
      <c r="K22" s="430"/>
      <c r="L22" s="430"/>
      <c r="M22" s="430"/>
      <c r="N22" s="430"/>
      <c r="O22" s="430"/>
      <c r="P22" s="430"/>
      <c r="Q22" s="430"/>
    </row>
    <row r="23" spans="2:17" x14ac:dyDescent="0.25">
      <c r="B23" s="304" t="s">
        <v>57</v>
      </c>
      <c r="C23" s="305" t="s">
        <v>58</v>
      </c>
      <c r="D23" s="305" t="s">
        <v>59</v>
      </c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</row>
    <row r="24" spans="2:17" x14ac:dyDescent="0.25">
      <c r="B24" s="496" t="s">
        <v>60</v>
      </c>
      <c r="C24" s="496" t="s">
        <v>61</v>
      </c>
      <c r="D24" s="496" t="s">
        <v>62</v>
      </c>
      <c r="E24" s="495"/>
      <c r="F24" s="495"/>
      <c r="G24" s="495"/>
      <c r="H24" s="495"/>
      <c r="I24" s="495"/>
      <c r="J24" s="495"/>
      <c r="K24" s="495"/>
      <c r="L24" s="495"/>
      <c r="M24" s="495"/>
      <c r="N24" s="495"/>
      <c r="O24" s="495"/>
      <c r="P24" s="495"/>
      <c r="Q24" s="495"/>
    </row>
    <row r="25" spans="2:17" x14ac:dyDescent="0.25">
      <c r="B25" s="495" t="s">
        <v>63</v>
      </c>
      <c r="C25" s="496" t="s">
        <v>61</v>
      </c>
      <c r="D25" s="496" t="s">
        <v>64</v>
      </c>
      <c r="E25" s="495"/>
      <c r="F25" s="495"/>
      <c r="G25" s="495"/>
      <c r="H25" s="495"/>
      <c r="I25" s="495"/>
      <c r="J25" s="495"/>
      <c r="K25" s="495"/>
      <c r="L25" s="495"/>
      <c r="M25" s="495"/>
      <c r="N25" s="495"/>
      <c r="O25" s="495"/>
      <c r="P25" s="495"/>
      <c r="Q25" s="495"/>
    </row>
    <row r="26" spans="2:17" s="303" customFormat="1" x14ac:dyDescent="0.25">
      <c r="B26" s="6" t="s">
        <v>65</v>
      </c>
      <c r="C26" s="943" t="s">
        <v>66</v>
      </c>
      <c r="D26" s="303" t="s">
        <v>67</v>
      </c>
    </row>
    <row r="27" spans="2:17" s="303" customFormat="1" x14ac:dyDescent="0.25">
      <c r="B27" s="4" t="s">
        <v>68</v>
      </c>
      <c r="C27" s="943"/>
      <c r="D27" s="303" t="s">
        <v>69</v>
      </c>
    </row>
    <row r="28" spans="2:17" s="303" customFormat="1" x14ac:dyDescent="0.25">
      <c r="B28" s="4" t="s">
        <v>70</v>
      </c>
      <c r="C28" s="943"/>
      <c r="D28" s="303" t="s">
        <v>71</v>
      </c>
    </row>
    <row r="29" spans="2:17" x14ac:dyDescent="0.25">
      <c r="B29" s="4" t="s">
        <v>72</v>
      </c>
      <c r="C29" s="943"/>
      <c r="D29" s="942" t="s">
        <v>73</v>
      </c>
      <c r="E29" s="942"/>
      <c r="F29" s="942"/>
      <c r="G29" s="942"/>
      <c r="H29" s="942"/>
      <c r="I29" s="942"/>
      <c r="J29" s="942"/>
      <c r="K29" s="942"/>
    </row>
    <row r="30" spans="2:17" x14ac:dyDescent="0.25">
      <c r="B30" s="4" t="s">
        <v>74</v>
      </c>
      <c r="C30" s="943"/>
      <c r="D30" s="942"/>
      <c r="E30" s="942"/>
      <c r="F30" s="942"/>
      <c r="G30" s="942"/>
      <c r="H30" s="942"/>
      <c r="I30" s="942"/>
      <c r="J30" s="942"/>
      <c r="K30" s="942"/>
    </row>
    <row r="31" spans="2:17" x14ac:dyDescent="0.25">
      <c r="B31" s="4" t="s">
        <v>75</v>
      </c>
      <c r="C31" s="943"/>
      <c r="D31" s="942"/>
      <c r="E31" s="942"/>
      <c r="F31" s="942"/>
      <c r="G31" s="942"/>
      <c r="H31" s="942"/>
      <c r="I31" s="942"/>
      <c r="J31" s="942"/>
      <c r="K31" s="942"/>
    </row>
    <row r="32" spans="2:17" x14ac:dyDescent="0.25">
      <c r="B32" s="4" t="s">
        <v>76</v>
      </c>
      <c r="C32" s="943"/>
      <c r="D32" s="942"/>
      <c r="E32" s="942"/>
      <c r="F32" s="942"/>
      <c r="G32" s="942"/>
      <c r="H32" s="942"/>
      <c r="I32" s="942"/>
      <c r="J32" s="942"/>
      <c r="K32" s="942"/>
    </row>
    <row r="33" spans="2:11" x14ac:dyDescent="0.25">
      <c r="B33" s="4" t="s">
        <v>77</v>
      </c>
      <c r="C33" s="943"/>
      <c r="D33" s="942"/>
      <c r="E33" s="942"/>
      <c r="F33" s="942"/>
      <c r="G33" s="942"/>
      <c r="H33" s="942"/>
      <c r="I33" s="942"/>
      <c r="J33" s="942"/>
      <c r="K33" s="942"/>
    </row>
    <row r="34" spans="2:11" x14ac:dyDescent="0.25">
      <c r="B34" s="4" t="s">
        <v>78</v>
      </c>
      <c r="C34" s="943"/>
      <c r="D34" s="942"/>
      <c r="E34" s="942"/>
      <c r="F34" s="942"/>
      <c r="G34" s="942"/>
      <c r="H34" s="942"/>
      <c r="I34" s="942"/>
      <c r="J34" s="942"/>
      <c r="K34" s="942"/>
    </row>
    <row r="35" spans="2:11" x14ac:dyDescent="0.25">
      <c r="B35" s="4" t="s">
        <v>79</v>
      </c>
      <c r="C35" s="943"/>
      <c r="D35" s="942"/>
      <c r="E35" s="942"/>
      <c r="F35" s="942"/>
      <c r="G35" s="942"/>
      <c r="H35" s="942"/>
      <c r="I35" s="942"/>
      <c r="J35" s="942"/>
      <c r="K35" s="942"/>
    </row>
    <row r="36" spans="2:11" x14ac:dyDescent="0.25">
      <c r="B36" s="4" t="s">
        <v>80</v>
      </c>
      <c r="C36" s="943"/>
      <c r="D36" s="942"/>
      <c r="E36" s="942"/>
      <c r="F36" s="942"/>
      <c r="G36" s="942"/>
      <c r="H36" s="942"/>
      <c r="I36" s="942"/>
      <c r="J36" s="942"/>
      <c r="K36" s="942"/>
    </row>
    <row r="37" spans="2:11" x14ac:dyDescent="0.25">
      <c r="B37" s="4" t="s">
        <v>81</v>
      </c>
      <c r="C37" s="943"/>
      <c r="D37" s="942"/>
      <c r="E37" s="942"/>
      <c r="F37" s="942"/>
      <c r="G37" s="942"/>
      <c r="H37" s="942"/>
      <c r="I37" s="942"/>
      <c r="J37" s="942"/>
      <c r="K37" s="942"/>
    </row>
    <row r="38" spans="2:11" x14ac:dyDescent="0.25">
      <c r="B38" s="4" t="s">
        <v>82</v>
      </c>
      <c r="C38" s="943"/>
      <c r="D38" s="942"/>
      <c r="E38" s="942"/>
      <c r="F38" s="942"/>
      <c r="G38" s="942"/>
      <c r="H38" s="942"/>
      <c r="I38" s="942"/>
      <c r="J38" s="942"/>
      <c r="K38" s="942"/>
    </row>
  </sheetData>
  <mergeCells count="4">
    <mergeCell ref="D19:Q19"/>
    <mergeCell ref="D18:Q18"/>
    <mergeCell ref="D29:K38"/>
    <mergeCell ref="C26:C38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9E2B8"/>
  </sheetPr>
  <dimension ref="A4:E25"/>
  <sheetViews>
    <sheetView zoomScale="80" zoomScaleNormal="80" workbookViewId="0">
      <selection activeCell="G30" sqref="G30"/>
    </sheetView>
  </sheetViews>
  <sheetFormatPr defaultColWidth="8.7109375" defaultRowHeight="12.75" x14ac:dyDescent="0.25"/>
  <cols>
    <col min="1" max="3" width="8.7109375" style="288"/>
    <col min="4" max="4" width="12.5703125" style="288" customWidth="1"/>
    <col min="5" max="5" width="11.5703125" style="288" bestFit="1" customWidth="1"/>
    <col min="6" max="16384" width="8.7109375" style="288"/>
  </cols>
  <sheetData>
    <row r="4" spans="1:5" ht="16.5" customHeight="1" x14ac:dyDescent="0.25">
      <c r="A4" s="287"/>
      <c r="B4" s="287"/>
      <c r="C4" s="287"/>
      <c r="D4" s="944" t="s">
        <v>83</v>
      </c>
      <c r="E4" s="944"/>
    </row>
    <row r="5" spans="1:5" ht="15" x14ac:dyDescent="0.25">
      <c r="D5" s="280" t="s">
        <v>84</v>
      </c>
      <c r="E5" s="280" t="s">
        <v>85</v>
      </c>
    </row>
    <row r="6" spans="1:5" ht="16.149999999999999" customHeight="1" x14ac:dyDescent="0.25">
      <c r="D6" s="281">
        <v>1</v>
      </c>
      <c r="E6" s="281">
        <v>3.6</v>
      </c>
    </row>
    <row r="9" spans="1:5" ht="15" x14ac:dyDescent="0.25">
      <c r="D9" s="281" t="s">
        <v>86</v>
      </c>
      <c r="E9" s="281" t="s">
        <v>86</v>
      </c>
    </row>
    <row r="10" spans="1:5" ht="15" x14ac:dyDescent="0.25">
      <c r="D10" s="280" t="s">
        <v>84</v>
      </c>
      <c r="E10" s="280" t="s">
        <v>85</v>
      </c>
    </row>
    <row r="11" spans="1:5" ht="15" x14ac:dyDescent="0.25">
      <c r="D11" s="289">
        <v>0</v>
      </c>
      <c r="E11" s="282">
        <f>D11*$E$6</f>
        <v>0</v>
      </c>
    </row>
    <row r="12" spans="1:5" ht="15" x14ac:dyDescent="0.25">
      <c r="D12" s="289">
        <v>0</v>
      </c>
      <c r="E12" s="282">
        <f t="shared" ref="E12:E24" si="0">D12*$E$6</f>
        <v>0</v>
      </c>
    </row>
    <row r="13" spans="1:5" ht="15" x14ac:dyDescent="0.25">
      <c r="D13" s="289">
        <v>0</v>
      </c>
      <c r="E13" s="282">
        <f t="shared" si="0"/>
        <v>0</v>
      </c>
    </row>
    <row r="14" spans="1:5" ht="15" x14ac:dyDescent="0.25">
      <c r="D14" s="289">
        <v>0</v>
      </c>
      <c r="E14" s="282">
        <f t="shared" si="0"/>
        <v>0</v>
      </c>
    </row>
    <row r="15" spans="1:5" ht="15" x14ac:dyDescent="0.25">
      <c r="D15" s="289">
        <v>0</v>
      </c>
      <c r="E15" s="282">
        <f t="shared" si="0"/>
        <v>0</v>
      </c>
    </row>
    <row r="16" spans="1:5" ht="15" x14ac:dyDescent="0.25">
      <c r="D16" s="289">
        <v>0.27777777777777779</v>
      </c>
      <c r="E16" s="282">
        <f t="shared" si="0"/>
        <v>1</v>
      </c>
    </row>
    <row r="17" spans="4:5" ht="15" x14ac:dyDescent="0.25">
      <c r="D17" s="289">
        <v>7.3805555555555555</v>
      </c>
      <c r="E17" s="282">
        <f t="shared" si="0"/>
        <v>26.57</v>
      </c>
    </row>
    <row r="18" spans="4:5" ht="15" x14ac:dyDescent="0.25">
      <c r="D18" s="289">
        <v>1.4166666666666665</v>
      </c>
      <c r="E18" s="282">
        <f t="shared" si="0"/>
        <v>5.0999999999999996</v>
      </c>
    </row>
    <row r="19" spans="4:5" ht="15" x14ac:dyDescent="0.25">
      <c r="D19" s="289">
        <v>0</v>
      </c>
      <c r="E19" s="282">
        <f t="shared" si="0"/>
        <v>0</v>
      </c>
    </row>
    <row r="20" spans="4:5" ht="15" x14ac:dyDescent="0.25">
      <c r="D20" s="289">
        <v>0</v>
      </c>
      <c r="E20" s="282">
        <f t="shared" si="0"/>
        <v>0</v>
      </c>
    </row>
    <row r="21" spans="4:5" ht="15" x14ac:dyDescent="0.25">
      <c r="D21" s="289">
        <v>0.15277777777777779</v>
      </c>
      <c r="E21" s="282">
        <f t="shared" si="0"/>
        <v>0.55000000000000004</v>
      </c>
    </row>
    <row r="22" spans="4:5" ht="15" x14ac:dyDescent="0.25">
      <c r="D22" s="289">
        <v>0</v>
      </c>
      <c r="E22" s="282">
        <f t="shared" si="0"/>
        <v>0</v>
      </c>
    </row>
    <row r="23" spans="4:5" ht="15" x14ac:dyDescent="0.25">
      <c r="D23" s="289">
        <v>0</v>
      </c>
      <c r="E23" s="282">
        <f t="shared" si="0"/>
        <v>0</v>
      </c>
    </row>
    <row r="24" spans="4:5" ht="15" x14ac:dyDescent="0.25">
      <c r="D24" s="289">
        <v>0</v>
      </c>
      <c r="E24" s="282">
        <f t="shared" si="0"/>
        <v>0</v>
      </c>
    </row>
    <row r="25" spans="4:5" ht="15" x14ac:dyDescent="0.25">
      <c r="D25" s="290">
        <f>SUM(D11:D24)</f>
        <v>9.2277777777777779</v>
      </c>
      <c r="E25" s="290">
        <f>SUM(E11:E24)</f>
        <v>33.22</v>
      </c>
    </row>
  </sheetData>
  <mergeCells count="1">
    <mergeCell ref="D4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C9E2B8"/>
  </sheetPr>
  <dimension ref="B5:F7"/>
  <sheetViews>
    <sheetView workbookViewId="0">
      <selection activeCell="G30" sqref="G30"/>
    </sheetView>
  </sheetViews>
  <sheetFormatPr defaultRowHeight="15" x14ac:dyDescent="0.25"/>
  <cols>
    <col min="3" max="3" width="47.7109375" bestFit="1" customWidth="1"/>
    <col min="4" max="4" width="7.28515625" bestFit="1" customWidth="1"/>
    <col min="5" max="5" width="79.5703125" bestFit="1" customWidth="1"/>
    <col min="6" max="6" width="18.5703125" bestFit="1" customWidth="1"/>
  </cols>
  <sheetData>
    <row r="5" spans="2:6" ht="15.75" thickBot="1" x14ac:dyDescent="0.3">
      <c r="B5" s="168" t="s">
        <v>87</v>
      </c>
      <c r="C5" s="168" t="s">
        <v>88</v>
      </c>
      <c r="D5" s="168" t="s">
        <v>11</v>
      </c>
      <c r="E5" s="168" t="s">
        <v>89</v>
      </c>
      <c r="F5" s="168" t="s">
        <v>90</v>
      </c>
    </row>
    <row r="6" spans="2:6" x14ac:dyDescent="0.25">
      <c r="C6" t="s">
        <v>91</v>
      </c>
      <c r="D6" t="s">
        <v>12</v>
      </c>
      <c r="E6" s="319" t="s">
        <v>92</v>
      </c>
      <c r="F6" t="s">
        <v>93</v>
      </c>
    </row>
    <row r="7" spans="2:6" x14ac:dyDescent="0.25">
      <c r="E7" t="s">
        <v>94</v>
      </c>
      <c r="F7" t="s">
        <v>57</v>
      </c>
    </row>
  </sheetData>
  <hyperlinks>
    <hyperlink ref="E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>
    <tabColor theme="7" tint="0.79998168889431442"/>
  </sheetPr>
  <dimension ref="B1:AM186"/>
  <sheetViews>
    <sheetView zoomScale="75" zoomScaleNormal="75" workbookViewId="0">
      <selection activeCell="H45" sqref="H45"/>
    </sheetView>
  </sheetViews>
  <sheetFormatPr defaultColWidth="9.28515625" defaultRowHeight="15" x14ac:dyDescent="0.25"/>
  <cols>
    <col min="2" max="2" width="30" customWidth="1"/>
    <col min="3" max="3" width="13.42578125" style="309" customWidth="1"/>
    <col min="4" max="19" width="9.7109375" customWidth="1"/>
    <col min="20" max="20" width="10.5703125" customWidth="1"/>
    <col min="21" max="21" width="19" style="760" customWidth="1"/>
    <col min="22" max="22" width="19" style="759" customWidth="1"/>
    <col min="23" max="23" width="11.28515625" style="760" customWidth="1"/>
    <col min="24" max="39" width="9.28515625" style="760" bestFit="1" customWidth="1"/>
  </cols>
  <sheetData>
    <row r="1" spans="2:39" x14ac:dyDescent="0.25">
      <c r="U1" s="758"/>
    </row>
    <row r="2" spans="2:39" x14ac:dyDescent="0.25">
      <c r="B2" s="481" t="s">
        <v>95</v>
      </c>
      <c r="T2" s="481"/>
      <c r="U2" s="758"/>
      <c r="W2" s="761" t="s">
        <v>96</v>
      </c>
      <c r="Y2" s="762"/>
      <c r="Z2" s="762"/>
      <c r="AA2" s="763"/>
      <c r="AB2" s="763"/>
      <c r="AC2" s="763"/>
      <c r="AD2" s="763"/>
      <c r="AE2" s="763"/>
      <c r="AF2" s="763"/>
      <c r="AG2" s="763"/>
      <c r="AH2" s="763"/>
      <c r="AI2" s="763"/>
      <c r="AJ2" s="763"/>
      <c r="AK2" s="763"/>
      <c r="AL2" s="763"/>
    </row>
    <row r="3" spans="2:39" x14ac:dyDescent="0.25">
      <c r="B3" s="481" t="s">
        <v>97</v>
      </c>
      <c r="T3" s="481"/>
      <c r="U3" s="758"/>
      <c r="W3" s="761" t="s">
        <v>98</v>
      </c>
      <c r="Y3" s="762"/>
      <c r="Z3" s="762"/>
      <c r="AA3" s="763"/>
      <c r="AB3" s="763"/>
      <c r="AC3" s="763"/>
      <c r="AD3" s="763"/>
      <c r="AE3" s="763"/>
      <c r="AF3" s="763"/>
      <c r="AG3" s="763"/>
      <c r="AH3" s="763"/>
      <c r="AI3" s="763"/>
      <c r="AJ3" s="763"/>
      <c r="AK3" s="763"/>
      <c r="AL3" s="763"/>
    </row>
    <row r="4" spans="2:39" x14ac:dyDescent="0.25">
      <c r="C4" s="522"/>
      <c r="U4" s="758"/>
      <c r="W4" s="764" t="s">
        <v>99</v>
      </c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</row>
    <row r="5" spans="2:39" x14ac:dyDescent="0.25">
      <c r="B5" s="481"/>
      <c r="C5" s="522"/>
      <c r="U5" s="758"/>
      <c r="W5" s="765"/>
      <c r="X5" s="766" t="str">
        <f t="shared" ref="X5:AL5" si="0">X9</f>
        <v>Z01</v>
      </c>
      <c r="Y5" s="766" t="str">
        <f t="shared" si="0"/>
        <v>Z02</v>
      </c>
      <c r="Z5" s="766" t="str">
        <f t="shared" si="0"/>
        <v>Z03</v>
      </c>
      <c r="AA5" s="766" t="str">
        <f t="shared" si="0"/>
        <v>Z04</v>
      </c>
      <c r="AB5" s="766" t="str">
        <f t="shared" si="0"/>
        <v>Z05</v>
      </c>
      <c r="AC5" s="766" t="str">
        <f t="shared" si="0"/>
        <v>Z06</v>
      </c>
      <c r="AD5" s="766" t="str">
        <f t="shared" si="0"/>
        <v>Z07</v>
      </c>
      <c r="AE5" s="766" t="str">
        <f t="shared" si="0"/>
        <v>Z08</v>
      </c>
      <c r="AF5" s="766" t="str">
        <f t="shared" si="0"/>
        <v>Z09</v>
      </c>
      <c r="AG5" s="766" t="str">
        <f t="shared" si="0"/>
        <v>Z10</v>
      </c>
      <c r="AH5" s="766" t="str">
        <f t="shared" si="0"/>
        <v>Z11</v>
      </c>
      <c r="AI5" s="766" t="str">
        <f t="shared" si="0"/>
        <v>Z12</v>
      </c>
      <c r="AJ5" s="766" t="str">
        <f t="shared" si="0"/>
        <v>Z13</v>
      </c>
      <c r="AK5" s="766" t="str">
        <f t="shared" si="0"/>
        <v>Z14</v>
      </c>
      <c r="AL5" s="766" t="str">
        <f t="shared" si="0"/>
        <v>Z15</v>
      </c>
      <c r="AM5" s="766" t="s">
        <v>100</v>
      </c>
    </row>
    <row r="6" spans="2:39" x14ac:dyDescent="0.25">
      <c r="B6" s="481"/>
      <c r="C6" s="522"/>
      <c r="U6" s="758"/>
      <c r="W6" s="765" t="s">
        <v>101</v>
      </c>
      <c r="X6" s="767">
        <v>1</v>
      </c>
      <c r="Y6" s="767">
        <v>0</v>
      </c>
      <c r="Z6" s="767">
        <v>0</v>
      </c>
      <c r="AA6" s="767">
        <v>0</v>
      </c>
      <c r="AB6" s="767">
        <v>0</v>
      </c>
      <c r="AC6" s="767">
        <v>0</v>
      </c>
      <c r="AD6" s="767">
        <v>0</v>
      </c>
      <c r="AE6" s="767">
        <v>0</v>
      </c>
      <c r="AF6" s="767">
        <v>0</v>
      </c>
      <c r="AG6" s="767">
        <v>0</v>
      </c>
      <c r="AH6" s="767">
        <v>0</v>
      </c>
      <c r="AI6" s="767">
        <v>0</v>
      </c>
      <c r="AJ6" s="767">
        <v>0</v>
      </c>
      <c r="AK6" s="767">
        <v>0</v>
      </c>
      <c r="AL6" s="767">
        <v>0</v>
      </c>
      <c r="AM6" s="768">
        <f>SUM(X6:AL6)</f>
        <v>1</v>
      </c>
    </row>
    <row r="7" spans="2:39" x14ac:dyDescent="0.25">
      <c r="X7" s="758"/>
    </row>
    <row r="8" spans="2:39" x14ac:dyDescent="0.25">
      <c r="B8" s="476" t="s">
        <v>102</v>
      </c>
      <c r="C8" s="523"/>
      <c r="X8" s="764" t="s">
        <v>99</v>
      </c>
    </row>
    <row r="9" spans="2:39" x14ac:dyDescent="0.25">
      <c r="B9" s="476" t="s">
        <v>103</v>
      </c>
      <c r="C9" s="441" t="s">
        <v>104</v>
      </c>
      <c r="D9" s="121" t="str">
        <f>INFO!C10</f>
        <v>Z01</v>
      </c>
      <c r="E9" s="121" t="str">
        <f>INFO!D10</f>
        <v>Z02</v>
      </c>
      <c r="F9" s="121" t="str">
        <f>INFO!E10</f>
        <v>Z03</v>
      </c>
      <c r="G9" s="121" t="str">
        <f>INFO!F10</f>
        <v>Z04</v>
      </c>
      <c r="H9" s="121" t="str">
        <f>INFO!G10</f>
        <v>Z05</v>
      </c>
      <c r="I9" s="121" t="str">
        <f>INFO!H10</f>
        <v>Z06</v>
      </c>
      <c r="J9" s="121" t="str">
        <f>INFO!I10</f>
        <v>Z07</v>
      </c>
      <c r="K9" s="121" t="str">
        <f>INFO!J10</f>
        <v>Z08</v>
      </c>
      <c r="L9" s="121" t="str">
        <f>INFO!K10</f>
        <v>Z09</v>
      </c>
      <c r="M9" s="121" t="str">
        <f>INFO!L10</f>
        <v>Z10</v>
      </c>
      <c r="N9" s="121" t="str">
        <f>INFO!M10</f>
        <v>Z11</v>
      </c>
      <c r="O9" s="121" t="str">
        <f>INFO!N10</f>
        <v>Z12</v>
      </c>
      <c r="P9" s="121" t="str">
        <f>INFO!O10</f>
        <v>Z13</v>
      </c>
      <c r="Q9" s="121" t="str">
        <f>INFO!P10</f>
        <v>Z14</v>
      </c>
      <c r="R9" s="121" t="str">
        <f>INFO!Q10</f>
        <v>Z15</v>
      </c>
      <c r="S9" s="121" t="s">
        <v>100</v>
      </c>
      <c r="U9" s="769" t="s">
        <v>105</v>
      </c>
      <c r="V9" s="769" t="s">
        <v>106</v>
      </c>
      <c r="X9" s="766" t="str">
        <f t="shared" ref="X9:AL9" si="1">D9</f>
        <v>Z01</v>
      </c>
      <c r="Y9" s="766" t="str">
        <f t="shared" si="1"/>
        <v>Z02</v>
      </c>
      <c r="Z9" s="766" t="str">
        <f t="shared" si="1"/>
        <v>Z03</v>
      </c>
      <c r="AA9" s="766" t="str">
        <f t="shared" si="1"/>
        <v>Z04</v>
      </c>
      <c r="AB9" s="766" t="str">
        <f t="shared" si="1"/>
        <v>Z05</v>
      </c>
      <c r="AC9" s="766" t="str">
        <f t="shared" si="1"/>
        <v>Z06</v>
      </c>
      <c r="AD9" s="766" t="str">
        <f t="shared" si="1"/>
        <v>Z07</v>
      </c>
      <c r="AE9" s="766" t="str">
        <f t="shared" si="1"/>
        <v>Z08</v>
      </c>
      <c r="AF9" s="766" t="str">
        <f t="shared" si="1"/>
        <v>Z09</v>
      </c>
      <c r="AG9" s="766" t="str">
        <f t="shared" si="1"/>
        <v>Z10</v>
      </c>
      <c r="AH9" s="766" t="str">
        <f t="shared" si="1"/>
        <v>Z11</v>
      </c>
      <c r="AI9" s="766" t="str">
        <f t="shared" si="1"/>
        <v>Z12</v>
      </c>
      <c r="AJ9" s="766" t="str">
        <f t="shared" si="1"/>
        <v>Z13</v>
      </c>
      <c r="AK9" s="766" t="str">
        <f t="shared" si="1"/>
        <v>Z14</v>
      </c>
      <c r="AL9" s="766" t="str">
        <f t="shared" si="1"/>
        <v>Z15</v>
      </c>
      <c r="AM9" s="766" t="s">
        <v>100</v>
      </c>
    </row>
    <row r="10" spans="2:39" x14ac:dyDescent="0.25">
      <c r="B10" s="245" t="s">
        <v>107</v>
      </c>
      <c r="C10" s="286"/>
      <c r="D10" s="680">
        <f>$V10*X10</f>
        <v>0</v>
      </c>
      <c r="E10" s="680">
        <f t="shared" ref="E10:E21" si="2">$V10*Y10</f>
        <v>0</v>
      </c>
      <c r="F10" s="680">
        <f t="shared" ref="F10:F21" si="3">$V10*Z10</f>
        <v>0</v>
      </c>
      <c r="G10" s="680">
        <f t="shared" ref="G10:G21" si="4">$V10*AA10</f>
        <v>0</v>
      </c>
      <c r="H10" s="680">
        <f t="shared" ref="H10:H21" si="5">$V10*AB10</f>
        <v>0</v>
      </c>
      <c r="I10" s="680">
        <f t="shared" ref="I10:I21" si="6">$V10*AC10</f>
        <v>0</v>
      </c>
      <c r="J10" s="680">
        <f t="shared" ref="J10:J21" si="7">$V10*AD10</f>
        <v>0</v>
      </c>
      <c r="K10" s="680">
        <f t="shared" ref="K10:K21" si="8">$V10*AE10</f>
        <v>0</v>
      </c>
      <c r="L10" s="680">
        <f t="shared" ref="L10:L21" si="9">$V10*AF10</f>
        <v>0</v>
      </c>
      <c r="M10" s="680">
        <f t="shared" ref="M10:M21" si="10">$V10*AG10</f>
        <v>0</v>
      </c>
      <c r="N10" s="680">
        <f t="shared" ref="N10:N21" si="11">$V10*AH10</f>
        <v>0</v>
      </c>
      <c r="O10" s="680">
        <f t="shared" ref="O10:O21" si="12">$V10*AI10</f>
        <v>0</v>
      </c>
      <c r="P10" s="680">
        <f t="shared" ref="P10:P21" si="13">$V10*AJ10</f>
        <v>0</v>
      </c>
      <c r="Q10" s="680">
        <f t="shared" ref="Q10:Q21" si="14">$V10*AK10</f>
        <v>0</v>
      </c>
      <c r="R10" s="680">
        <f t="shared" ref="R10:R21" si="15">$V10*AL10</f>
        <v>0</v>
      </c>
      <c r="S10" s="680">
        <f>$V10*AM10</f>
        <v>0</v>
      </c>
      <c r="U10" s="770"/>
      <c r="V10" s="771"/>
      <c r="X10" s="772">
        <f>X$6</f>
        <v>1</v>
      </c>
      <c r="Y10" s="772">
        <f t="shared" ref="Y10:AL10" si="16">Y$6</f>
        <v>0</v>
      </c>
      <c r="Z10" s="772">
        <f t="shared" si="16"/>
        <v>0</v>
      </c>
      <c r="AA10" s="772">
        <f t="shared" si="16"/>
        <v>0</v>
      </c>
      <c r="AB10" s="772">
        <f t="shared" si="16"/>
        <v>0</v>
      </c>
      <c r="AC10" s="772">
        <f t="shared" si="16"/>
        <v>0</v>
      </c>
      <c r="AD10" s="772">
        <f t="shared" si="16"/>
        <v>0</v>
      </c>
      <c r="AE10" s="772">
        <f t="shared" si="16"/>
        <v>0</v>
      </c>
      <c r="AF10" s="772">
        <f t="shared" si="16"/>
        <v>0</v>
      </c>
      <c r="AG10" s="772">
        <f t="shared" si="16"/>
        <v>0</v>
      </c>
      <c r="AH10" s="772">
        <f t="shared" si="16"/>
        <v>0</v>
      </c>
      <c r="AI10" s="772">
        <f t="shared" si="16"/>
        <v>0</v>
      </c>
      <c r="AJ10" s="772">
        <f t="shared" si="16"/>
        <v>0</v>
      </c>
      <c r="AK10" s="772">
        <f t="shared" si="16"/>
        <v>0</v>
      </c>
      <c r="AL10" s="772">
        <f t="shared" si="16"/>
        <v>0</v>
      </c>
      <c r="AM10" s="773">
        <f>SUM(X10:AI10)</f>
        <v>1</v>
      </c>
    </row>
    <row r="11" spans="2:39" x14ac:dyDescent="0.25">
      <c r="B11" s="245" t="s">
        <v>108</v>
      </c>
      <c r="C11" s="286" t="str">
        <f>T_NCAP_AF!C21</f>
        <v>TCARDST900</v>
      </c>
      <c r="D11" s="680">
        <f t="shared" ref="D11:D14" si="17">$V11*X11</f>
        <v>0</v>
      </c>
      <c r="E11" s="680">
        <f t="shared" si="2"/>
        <v>0</v>
      </c>
      <c r="F11" s="680">
        <f t="shared" si="3"/>
        <v>0</v>
      </c>
      <c r="G11" s="680">
        <f t="shared" si="4"/>
        <v>0</v>
      </c>
      <c r="H11" s="680">
        <f t="shared" si="5"/>
        <v>0</v>
      </c>
      <c r="I11" s="680">
        <f t="shared" si="6"/>
        <v>0</v>
      </c>
      <c r="J11" s="680">
        <f t="shared" si="7"/>
        <v>0</v>
      </c>
      <c r="K11" s="680">
        <f t="shared" si="8"/>
        <v>0</v>
      </c>
      <c r="L11" s="680">
        <f t="shared" si="9"/>
        <v>0</v>
      </c>
      <c r="M11" s="680">
        <f t="shared" si="10"/>
        <v>0</v>
      </c>
      <c r="N11" s="680">
        <f t="shared" si="11"/>
        <v>0</v>
      </c>
      <c r="O11" s="680">
        <f t="shared" si="12"/>
        <v>0</v>
      </c>
      <c r="P11" s="680">
        <f t="shared" si="13"/>
        <v>0</v>
      </c>
      <c r="Q11" s="680">
        <f t="shared" si="14"/>
        <v>0</v>
      </c>
      <c r="R11" s="680">
        <f t="shared" si="15"/>
        <v>0</v>
      </c>
      <c r="S11" s="680">
        <f>SUM(D11:R11)</f>
        <v>0</v>
      </c>
      <c r="U11" s="770"/>
      <c r="V11" s="771"/>
      <c r="X11" s="772">
        <f t="shared" ref="X11:AL21" si="18">X$6</f>
        <v>1</v>
      </c>
      <c r="Y11" s="772">
        <f t="shared" si="18"/>
        <v>0</v>
      </c>
      <c r="Z11" s="772">
        <f t="shared" si="18"/>
        <v>0</v>
      </c>
      <c r="AA11" s="772">
        <f t="shared" si="18"/>
        <v>0</v>
      </c>
      <c r="AB11" s="772">
        <f t="shared" si="18"/>
        <v>0</v>
      </c>
      <c r="AC11" s="772">
        <f t="shared" si="18"/>
        <v>0</v>
      </c>
      <c r="AD11" s="772">
        <f t="shared" si="18"/>
        <v>0</v>
      </c>
      <c r="AE11" s="772">
        <f t="shared" si="18"/>
        <v>0</v>
      </c>
      <c r="AF11" s="772">
        <f t="shared" si="18"/>
        <v>0</v>
      </c>
      <c r="AG11" s="772">
        <f t="shared" si="18"/>
        <v>0</v>
      </c>
      <c r="AH11" s="772">
        <f t="shared" si="18"/>
        <v>0</v>
      </c>
      <c r="AI11" s="772">
        <f t="shared" si="18"/>
        <v>0</v>
      </c>
      <c r="AJ11" s="772">
        <f t="shared" si="18"/>
        <v>0</v>
      </c>
      <c r="AK11" s="772">
        <f t="shared" si="18"/>
        <v>0</v>
      </c>
      <c r="AL11" s="772">
        <f t="shared" si="18"/>
        <v>0</v>
      </c>
      <c r="AM11" s="773">
        <f>SUM(X11:AI11)</f>
        <v>1</v>
      </c>
    </row>
    <row r="12" spans="2:39" x14ac:dyDescent="0.25">
      <c r="B12" s="245" t="s">
        <v>109</v>
      </c>
      <c r="C12" s="286" t="str">
        <f>T_NCAP_AF!C22</f>
        <v>TCARELC900</v>
      </c>
      <c r="D12" s="680">
        <f t="shared" si="17"/>
        <v>0</v>
      </c>
      <c r="E12" s="680">
        <f t="shared" si="2"/>
        <v>0</v>
      </c>
      <c r="F12" s="680">
        <f t="shared" si="3"/>
        <v>0</v>
      </c>
      <c r="G12" s="680">
        <f t="shared" si="4"/>
        <v>0</v>
      </c>
      <c r="H12" s="680">
        <f t="shared" si="5"/>
        <v>0</v>
      </c>
      <c r="I12" s="680">
        <f t="shared" si="6"/>
        <v>0</v>
      </c>
      <c r="J12" s="680">
        <f t="shared" si="7"/>
        <v>0</v>
      </c>
      <c r="K12" s="680">
        <f t="shared" si="8"/>
        <v>0</v>
      </c>
      <c r="L12" s="680">
        <f t="shared" si="9"/>
        <v>0</v>
      </c>
      <c r="M12" s="680">
        <f t="shared" si="10"/>
        <v>0</v>
      </c>
      <c r="N12" s="680">
        <f t="shared" si="11"/>
        <v>0</v>
      </c>
      <c r="O12" s="680">
        <f t="shared" si="12"/>
        <v>0</v>
      </c>
      <c r="P12" s="680">
        <f t="shared" si="13"/>
        <v>0</v>
      </c>
      <c r="Q12" s="680">
        <f t="shared" si="14"/>
        <v>0</v>
      </c>
      <c r="R12" s="680">
        <f t="shared" si="15"/>
        <v>0</v>
      </c>
      <c r="S12" s="680">
        <f t="shared" ref="S12:S20" si="19">SUM(D12:R12)</f>
        <v>0</v>
      </c>
      <c r="U12" s="770"/>
      <c r="V12" s="771"/>
      <c r="X12" s="772">
        <f t="shared" si="18"/>
        <v>1</v>
      </c>
      <c r="Y12" s="772">
        <f t="shared" si="18"/>
        <v>0</v>
      </c>
      <c r="Z12" s="772">
        <f t="shared" si="18"/>
        <v>0</v>
      </c>
      <c r="AA12" s="772">
        <f t="shared" si="18"/>
        <v>0</v>
      </c>
      <c r="AB12" s="772">
        <f t="shared" si="18"/>
        <v>0</v>
      </c>
      <c r="AC12" s="772">
        <f t="shared" si="18"/>
        <v>0</v>
      </c>
      <c r="AD12" s="772">
        <f t="shared" si="18"/>
        <v>0</v>
      </c>
      <c r="AE12" s="772">
        <f t="shared" si="18"/>
        <v>0</v>
      </c>
      <c r="AF12" s="772">
        <f t="shared" si="18"/>
        <v>0</v>
      </c>
      <c r="AG12" s="772">
        <f t="shared" si="18"/>
        <v>0</v>
      </c>
      <c r="AH12" s="772">
        <f t="shared" si="18"/>
        <v>0</v>
      </c>
      <c r="AI12" s="772">
        <f t="shared" si="18"/>
        <v>0</v>
      </c>
      <c r="AJ12" s="772">
        <f t="shared" si="18"/>
        <v>0</v>
      </c>
      <c r="AK12" s="772">
        <f t="shared" si="18"/>
        <v>0</v>
      </c>
      <c r="AL12" s="772">
        <f t="shared" si="18"/>
        <v>0</v>
      </c>
      <c r="AM12" s="773">
        <f t="shared" ref="AM12:AM20" si="20">SUM(X12:AI12)</f>
        <v>1</v>
      </c>
    </row>
    <row r="13" spans="2:39" x14ac:dyDescent="0.25">
      <c r="B13" s="245" t="s">
        <v>110</v>
      </c>
      <c r="C13" s="286" t="str">
        <f>T_NCAP_AF!C23</f>
        <v>TCARETH900</v>
      </c>
      <c r="D13" s="680">
        <f t="shared" si="17"/>
        <v>0</v>
      </c>
      <c r="E13" s="680">
        <f t="shared" si="2"/>
        <v>0</v>
      </c>
      <c r="F13" s="680">
        <f t="shared" si="3"/>
        <v>0</v>
      </c>
      <c r="G13" s="680">
        <f t="shared" si="4"/>
        <v>0</v>
      </c>
      <c r="H13" s="680">
        <f t="shared" si="5"/>
        <v>0</v>
      </c>
      <c r="I13" s="680">
        <f t="shared" si="6"/>
        <v>0</v>
      </c>
      <c r="J13" s="680">
        <f t="shared" si="7"/>
        <v>0</v>
      </c>
      <c r="K13" s="680">
        <f t="shared" si="8"/>
        <v>0</v>
      </c>
      <c r="L13" s="680">
        <f t="shared" si="9"/>
        <v>0</v>
      </c>
      <c r="M13" s="680">
        <f t="shared" si="10"/>
        <v>0</v>
      </c>
      <c r="N13" s="680">
        <f t="shared" si="11"/>
        <v>0</v>
      </c>
      <c r="O13" s="680">
        <f t="shared" si="12"/>
        <v>0</v>
      </c>
      <c r="P13" s="680">
        <f t="shared" si="13"/>
        <v>0</v>
      </c>
      <c r="Q13" s="680">
        <f t="shared" si="14"/>
        <v>0</v>
      </c>
      <c r="R13" s="680">
        <f t="shared" si="15"/>
        <v>0</v>
      </c>
      <c r="S13" s="680">
        <f t="shared" si="19"/>
        <v>0</v>
      </c>
      <c r="U13" s="770"/>
      <c r="V13" s="771"/>
      <c r="X13" s="772">
        <f t="shared" si="18"/>
        <v>1</v>
      </c>
      <c r="Y13" s="772">
        <f t="shared" si="18"/>
        <v>0</v>
      </c>
      <c r="Z13" s="772">
        <f t="shared" si="18"/>
        <v>0</v>
      </c>
      <c r="AA13" s="772">
        <f t="shared" si="18"/>
        <v>0</v>
      </c>
      <c r="AB13" s="772">
        <f t="shared" si="18"/>
        <v>0</v>
      </c>
      <c r="AC13" s="772">
        <f t="shared" si="18"/>
        <v>0</v>
      </c>
      <c r="AD13" s="772">
        <f t="shared" si="18"/>
        <v>0</v>
      </c>
      <c r="AE13" s="772">
        <f t="shared" si="18"/>
        <v>0</v>
      </c>
      <c r="AF13" s="772">
        <f t="shared" si="18"/>
        <v>0</v>
      </c>
      <c r="AG13" s="772">
        <f t="shared" si="18"/>
        <v>0</v>
      </c>
      <c r="AH13" s="772">
        <f t="shared" si="18"/>
        <v>0</v>
      </c>
      <c r="AI13" s="772">
        <f t="shared" si="18"/>
        <v>0</v>
      </c>
      <c r="AJ13" s="772">
        <f t="shared" si="18"/>
        <v>0</v>
      </c>
      <c r="AK13" s="772">
        <f t="shared" si="18"/>
        <v>0</v>
      </c>
      <c r="AL13" s="772">
        <f t="shared" si="18"/>
        <v>0</v>
      </c>
      <c r="AM13" s="773">
        <f t="shared" si="20"/>
        <v>1</v>
      </c>
    </row>
    <row r="14" spans="2:39" x14ac:dyDescent="0.25">
      <c r="B14" s="245" t="s">
        <v>111</v>
      </c>
      <c r="C14" s="286" t="str">
        <f>T_NCAP_AF!C24</f>
        <v>TCARGAS900</v>
      </c>
      <c r="D14" s="680">
        <f t="shared" si="17"/>
        <v>0</v>
      </c>
      <c r="E14" s="680">
        <f t="shared" si="2"/>
        <v>0</v>
      </c>
      <c r="F14" s="680">
        <f t="shared" si="3"/>
        <v>0</v>
      </c>
      <c r="G14" s="680">
        <f t="shared" si="4"/>
        <v>0</v>
      </c>
      <c r="H14" s="680">
        <f t="shared" si="5"/>
        <v>0</v>
      </c>
      <c r="I14" s="680">
        <f t="shared" si="6"/>
        <v>0</v>
      </c>
      <c r="J14" s="680">
        <f t="shared" si="7"/>
        <v>0</v>
      </c>
      <c r="K14" s="680">
        <f t="shared" si="8"/>
        <v>0</v>
      </c>
      <c r="L14" s="680">
        <f t="shared" si="9"/>
        <v>0</v>
      </c>
      <c r="M14" s="680">
        <f t="shared" si="10"/>
        <v>0</v>
      </c>
      <c r="N14" s="680">
        <f t="shared" si="11"/>
        <v>0</v>
      </c>
      <c r="O14" s="680">
        <f t="shared" si="12"/>
        <v>0</v>
      </c>
      <c r="P14" s="680">
        <f t="shared" si="13"/>
        <v>0</v>
      </c>
      <c r="Q14" s="680">
        <f t="shared" si="14"/>
        <v>0</v>
      </c>
      <c r="R14" s="680">
        <f t="shared" si="15"/>
        <v>0</v>
      </c>
      <c r="S14" s="680">
        <f t="shared" si="19"/>
        <v>0</v>
      </c>
      <c r="U14" s="770"/>
      <c r="V14" s="771"/>
      <c r="X14" s="772">
        <f t="shared" si="18"/>
        <v>1</v>
      </c>
      <c r="Y14" s="772">
        <f t="shared" si="18"/>
        <v>0</v>
      </c>
      <c r="Z14" s="772">
        <f t="shared" si="18"/>
        <v>0</v>
      </c>
      <c r="AA14" s="772">
        <f t="shared" si="18"/>
        <v>0</v>
      </c>
      <c r="AB14" s="772">
        <f t="shared" si="18"/>
        <v>0</v>
      </c>
      <c r="AC14" s="772">
        <f t="shared" si="18"/>
        <v>0</v>
      </c>
      <c r="AD14" s="772">
        <f t="shared" si="18"/>
        <v>0</v>
      </c>
      <c r="AE14" s="772">
        <f t="shared" si="18"/>
        <v>0</v>
      </c>
      <c r="AF14" s="772">
        <f t="shared" si="18"/>
        <v>0</v>
      </c>
      <c r="AG14" s="772">
        <f t="shared" si="18"/>
        <v>0</v>
      </c>
      <c r="AH14" s="772">
        <f t="shared" si="18"/>
        <v>0</v>
      </c>
      <c r="AI14" s="772">
        <f t="shared" si="18"/>
        <v>0</v>
      </c>
      <c r="AJ14" s="772">
        <f t="shared" si="18"/>
        <v>0</v>
      </c>
      <c r="AK14" s="772">
        <f t="shared" si="18"/>
        <v>0</v>
      </c>
      <c r="AL14" s="772">
        <f t="shared" si="18"/>
        <v>0</v>
      </c>
      <c r="AM14" s="773">
        <f t="shared" si="20"/>
        <v>1</v>
      </c>
    </row>
    <row r="15" spans="2:39" x14ac:dyDescent="0.25">
      <c r="B15" s="245" t="s">
        <v>112</v>
      </c>
      <c r="C15" s="286" t="str">
        <f>T_NCAP_AF!C25</f>
        <v>TCARGSL900</v>
      </c>
      <c r="D15" s="680">
        <f>$V15*X15</f>
        <v>0</v>
      </c>
      <c r="E15" s="680">
        <f t="shared" si="2"/>
        <v>0</v>
      </c>
      <c r="F15" s="680">
        <f t="shared" si="3"/>
        <v>0</v>
      </c>
      <c r="G15" s="680">
        <f t="shared" si="4"/>
        <v>0</v>
      </c>
      <c r="H15" s="680">
        <f t="shared" si="5"/>
        <v>0</v>
      </c>
      <c r="I15" s="680">
        <f t="shared" si="6"/>
        <v>0</v>
      </c>
      <c r="J15" s="680">
        <f t="shared" si="7"/>
        <v>0</v>
      </c>
      <c r="K15" s="680">
        <f t="shared" si="8"/>
        <v>0</v>
      </c>
      <c r="L15" s="680">
        <f t="shared" si="9"/>
        <v>0</v>
      </c>
      <c r="M15" s="680">
        <f t="shared" si="10"/>
        <v>0</v>
      </c>
      <c r="N15" s="680">
        <f t="shared" si="11"/>
        <v>0</v>
      </c>
      <c r="O15" s="680">
        <f t="shared" si="12"/>
        <v>0</v>
      </c>
      <c r="P15" s="680">
        <f t="shared" si="13"/>
        <v>0</v>
      </c>
      <c r="Q15" s="680">
        <f t="shared" si="14"/>
        <v>0</v>
      </c>
      <c r="R15" s="680">
        <f t="shared" si="15"/>
        <v>0</v>
      </c>
      <c r="S15" s="680">
        <f t="shared" si="19"/>
        <v>0</v>
      </c>
      <c r="U15" s="770"/>
      <c r="V15" s="771"/>
      <c r="X15" s="772">
        <f t="shared" si="18"/>
        <v>1</v>
      </c>
      <c r="Y15" s="772">
        <f t="shared" si="18"/>
        <v>0</v>
      </c>
      <c r="Z15" s="772">
        <f t="shared" si="18"/>
        <v>0</v>
      </c>
      <c r="AA15" s="772">
        <f t="shared" si="18"/>
        <v>0</v>
      </c>
      <c r="AB15" s="772">
        <f t="shared" si="18"/>
        <v>0</v>
      </c>
      <c r="AC15" s="772">
        <f t="shared" si="18"/>
        <v>0</v>
      </c>
      <c r="AD15" s="772">
        <f t="shared" si="18"/>
        <v>0</v>
      </c>
      <c r="AE15" s="772">
        <f t="shared" si="18"/>
        <v>0</v>
      </c>
      <c r="AF15" s="772">
        <f t="shared" si="18"/>
        <v>0</v>
      </c>
      <c r="AG15" s="772">
        <f t="shared" si="18"/>
        <v>0</v>
      </c>
      <c r="AH15" s="772">
        <f t="shared" si="18"/>
        <v>0</v>
      </c>
      <c r="AI15" s="772">
        <f t="shared" si="18"/>
        <v>0</v>
      </c>
      <c r="AJ15" s="772">
        <f t="shared" si="18"/>
        <v>0</v>
      </c>
      <c r="AK15" s="772">
        <f t="shared" si="18"/>
        <v>0</v>
      </c>
      <c r="AL15" s="772">
        <f t="shared" si="18"/>
        <v>0</v>
      </c>
      <c r="AM15" s="773">
        <f t="shared" ref="AM15" si="21">SUM(X15:AI15)</f>
        <v>1</v>
      </c>
    </row>
    <row r="16" spans="2:39" x14ac:dyDescent="0.25">
      <c r="B16" s="224" t="s">
        <v>113</v>
      </c>
      <c r="C16" s="286" t="str">
        <f>T_NCAP_AF!C26</f>
        <v>TCARHYD900</v>
      </c>
      <c r="D16" s="680">
        <f t="shared" ref="D16:D20" si="22">$V16*X16</f>
        <v>0</v>
      </c>
      <c r="E16" s="680">
        <f t="shared" si="2"/>
        <v>0</v>
      </c>
      <c r="F16" s="680">
        <f t="shared" si="3"/>
        <v>0</v>
      </c>
      <c r="G16" s="680">
        <f t="shared" si="4"/>
        <v>0</v>
      </c>
      <c r="H16" s="680">
        <f t="shared" si="5"/>
        <v>0</v>
      </c>
      <c r="I16" s="680">
        <f t="shared" si="6"/>
        <v>0</v>
      </c>
      <c r="J16" s="680">
        <f t="shared" si="7"/>
        <v>0</v>
      </c>
      <c r="K16" s="680">
        <f t="shared" si="8"/>
        <v>0</v>
      </c>
      <c r="L16" s="680">
        <f t="shared" si="9"/>
        <v>0</v>
      </c>
      <c r="M16" s="680">
        <f t="shared" si="10"/>
        <v>0</v>
      </c>
      <c r="N16" s="680">
        <f t="shared" si="11"/>
        <v>0</v>
      </c>
      <c r="O16" s="680">
        <f t="shared" si="12"/>
        <v>0</v>
      </c>
      <c r="P16" s="680">
        <f t="shared" si="13"/>
        <v>0</v>
      </c>
      <c r="Q16" s="680">
        <f t="shared" si="14"/>
        <v>0</v>
      </c>
      <c r="R16" s="680">
        <f t="shared" si="15"/>
        <v>0</v>
      </c>
      <c r="S16" s="680">
        <f t="shared" si="19"/>
        <v>0</v>
      </c>
      <c r="U16" s="774"/>
      <c r="V16" s="771"/>
      <c r="X16" s="772">
        <f t="shared" si="18"/>
        <v>1</v>
      </c>
      <c r="Y16" s="772">
        <f t="shared" si="18"/>
        <v>0</v>
      </c>
      <c r="Z16" s="772">
        <f t="shared" si="18"/>
        <v>0</v>
      </c>
      <c r="AA16" s="772">
        <f t="shared" si="18"/>
        <v>0</v>
      </c>
      <c r="AB16" s="772">
        <f t="shared" si="18"/>
        <v>0</v>
      </c>
      <c r="AC16" s="772">
        <f t="shared" si="18"/>
        <v>0</v>
      </c>
      <c r="AD16" s="772">
        <f t="shared" si="18"/>
        <v>0</v>
      </c>
      <c r="AE16" s="772">
        <f t="shared" si="18"/>
        <v>0</v>
      </c>
      <c r="AF16" s="772">
        <f t="shared" si="18"/>
        <v>0</v>
      </c>
      <c r="AG16" s="772">
        <f t="shared" si="18"/>
        <v>0</v>
      </c>
      <c r="AH16" s="772">
        <f t="shared" si="18"/>
        <v>0</v>
      </c>
      <c r="AI16" s="772">
        <f t="shared" si="18"/>
        <v>0</v>
      </c>
      <c r="AJ16" s="772">
        <f t="shared" si="18"/>
        <v>0</v>
      </c>
      <c r="AK16" s="772">
        <f t="shared" si="18"/>
        <v>0</v>
      </c>
      <c r="AL16" s="772">
        <f t="shared" si="18"/>
        <v>0</v>
      </c>
      <c r="AM16" s="773">
        <f t="shared" si="20"/>
        <v>1</v>
      </c>
    </row>
    <row r="17" spans="2:39" x14ac:dyDescent="0.25">
      <c r="B17" s="224" t="s">
        <v>114</v>
      </c>
      <c r="C17" s="286" t="str">
        <f>T_NCAP_AF!C27</f>
        <v>TCARHYG900</v>
      </c>
      <c r="D17" s="680">
        <f t="shared" si="22"/>
        <v>0</v>
      </c>
      <c r="E17" s="680">
        <f t="shared" si="2"/>
        <v>0</v>
      </c>
      <c r="F17" s="680">
        <f t="shared" si="3"/>
        <v>0</v>
      </c>
      <c r="G17" s="680">
        <f t="shared" si="4"/>
        <v>0</v>
      </c>
      <c r="H17" s="680">
        <f t="shared" si="5"/>
        <v>0</v>
      </c>
      <c r="I17" s="680">
        <f t="shared" si="6"/>
        <v>0</v>
      </c>
      <c r="J17" s="680">
        <f t="shared" si="7"/>
        <v>0</v>
      </c>
      <c r="K17" s="680">
        <f t="shared" si="8"/>
        <v>0</v>
      </c>
      <c r="L17" s="680">
        <f t="shared" si="9"/>
        <v>0</v>
      </c>
      <c r="M17" s="680">
        <f t="shared" si="10"/>
        <v>0</v>
      </c>
      <c r="N17" s="680">
        <f t="shared" si="11"/>
        <v>0</v>
      </c>
      <c r="O17" s="680">
        <f t="shared" si="12"/>
        <v>0</v>
      </c>
      <c r="P17" s="680">
        <f t="shared" si="13"/>
        <v>0</v>
      </c>
      <c r="Q17" s="680">
        <f t="shared" si="14"/>
        <v>0</v>
      </c>
      <c r="R17" s="680">
        <f t="shared" si="15"/>
        <v>0</v>
      </c>
      <c r="S17" s="680">
        <f t="shared" si="19"/>
        <v>0</v>
      </c>
      <c r="U17" s="774"/>
      <c r="V17" s="771"/>
      <c r="X17" s="772">
        <f t="shared" si="18"/>
        <v>1</v>
      </c>
      <c r="Y17" s="772">
        <f t="shared" si="18"/>
        <v>0</v>
      </c>
      <c r="Z17" s="772">
        <f t="shared" si="18"/>
        <v>0</v>
      </c>
      <c r="AA17" s="772">
        <f t="shared" si="18"/>
        <v>0</v>
      </c>
      <c r="AB17" s="772">
        <f t="shared" si="18"/>
        <v>0</v>
      </c>
      <c r="AC17" s="772">
        <f t="shared" si="18"/>
        <v>0</v>
      </c>
      <c r="AD17" s="772">
        <f t="shared" si="18"/>
        <v>0</v>
      </c>
      <c r="AE17" s="772">
        <f t="shared" si="18"/>
        <v>0</v>
      </c>
      <c r="AF17" s="772">
        <f t="shared" si="18"/>
        <v>0</v>
      </c>
      <c r="AG17" s="772">
        <f t="shared" si="18"/>
        <v>0</v>
      </c>
      <c r="AH17" s="772">
        <f t="shared" si="18"/>
        <v>0</v>
      </c>
      <c r="AI17" s="772">
        <f t="shared" si="18"/>
        <v>0</v>
      </c>
      <c r="AJ17" s="772">
        <f t="shared" si="18"/>
        <v>0</v>
      </c>
      <c r="AK17" s="772">
        <f t="shared" si="18"/>
        <v>0</v>
      </c>
      <c r="AL17" s="772">
        <f t="shared" si="18"/>
        <v>0</v>
      </c>
      <c r="AM17" s="773">
        <f t="shared" si="20"/>
        <v>1</v>
      </c>
    </row>
    <row r="18" spans="2:39" x14ac:dyDescent="0.25">
      <c r="B18" s="245" t="s">
        <v>115</v>
      </c>
      <c r="C18" s="286" t="str">
        <f>T_NCAP_AF!C28</f>
        <v>TCARLPG900</v>
      </c>
      <c r="D18" s="680">
        <f t="shared" si="22"/>
        <v>0</v>
      </c>
      <c r="E18" s="680">
        <f t="shared" si="2"/>
        <v>0</v>
      </c>
      <c r="F18" s="680">
        <f t="shared" si="3"/>
        <v>0</v>
      </c>
      <c r="G18" s="680">
        <f t="shared" si="4"/>
        <v>0</v>
      </c>
      <c r="H18" s="680">
        <f t="shared" si="5"/>
        <v>0</v>
      </c>
      <c r="I18" s="680">
        <f t="shared" si="6"/>
        <v>0</v>
      </c>
      <c r="J18" s="680">
        <f t="shared" si="7"/>
        <v>0</v>
      </c>
      <c r="K18" s="680">
        <f t="shared" si="8"/>
        <v>0</v>
      </c>
      <c r="L18" s="680">
        <f t="shared" si="9"/>
        <v>0</v>
      </c>
      <c r="M18" s="680">
        <f t="shared" si="10"/>
        <v>0</v>
      </c>
      <c r="N18" s="680">
        <f t="shared" si="11"/>
        <v>0</v>
      </c>
      <c r="O18" s="680">
        <f t="shared" si="12"/>
        <v>0</v>
      </c>
      <c r="P18" s="680">
        <f t="shared" si="13"/>
        <v>0</v>
      </c>
      <c r="Q18" s="680">
        <f t="shared" si="14"/>
        <v>0</v>
      </c>
      <c r="R18" s="680">
        <f t="shared" si="15"/>
        <v>0</v>
      </c>
      <c r="S18" s="680">
        <f t="shared" si="19"/>
        <v>0</v>
      </c>
      <c r="U18" s="770"/>
      <c r="V18" s="771"/>
      <c r="X18" s="772">
        <f t="shared" si="18"/>
        <v>1</v>
      </c>
      <c r="Y18" s="772">
        <f t="shared" si="18"/>
        <v>0</v>
      </c>
      <c r="Z18" s="772">
        <f t="shared" si="18"/>
        <v>0</v>
      </c>
      <c r="AA18" s="772">
        <f t="shared" si="18"/>
        <v>0</v>
      </c>
      <c r="AB18" s="772">
        <f t="shared" si="18"/>
        <v>0</v>
      </c>
      <c r="AC18" s="772">
        <f t="shared" si="18"/>
        <v>0</v>
      </c>
      <c r="AD18" s="772">
        <f t="shared" si="18"/>
        <v>0</v>
      </c>
      <c r="AE18" s="772">
        <f t="shared" si="18"/>
        <v>0</v>
      </c>
      <c r="AF18" s="772">
        <f t="shared" si="18"/>
        <v>0</v>
      </c>
      <c r="AG18" s="772">
        <f t="shared" si="18"/>
        <v>0</v>
      </c>
      <c r="AH18" s="772">
        <f t="shared" si="18"/>
        <v>0</v>
      </c>
      <c r="AI18" s="772">
        <f t="shared" si="18"/>
        <v>0</v>
      </c>
      <c r="AJ18" s="772">
        <f t="shared" si="18"/>
        <v>0</v>
      </c>
      <c r="AK18" s="772">
        <f t="shared" si="18"/>
        <v>0</v>
      </c>
      <c r="AL18" s="772">
        <f t="shared" si="18"/>
        <v>0</v>
      </c>
      <c r="AM18" s="773">
        <f t="shared" si="20"/>
        <v>1</v>
      </c>
    </row>
    <row r="19" spans="2:39" x14ac:dyDescent="0.25">
      <c r="B19" s="224" t="s">
        <v>116</v>
      </c>
      <c r="C19" s="286" t="str">
        <f>T_NCAP_AF!C29</f>
        <v>TCARPYD900</v>
      </c>
      <c r="D19" s="680">
        <f t="shared" si="22"/>
        <v>0</v>
      </c>
      <c r="E19" s="680">
        <f t="shared" si="2"/>
        <v>0</v>
      </c>
      <c r="F19" s="680">
        <f t="shared" si="3"/>
        <v>0</v>
      </c>
      <c r="G19" s="680">
        <f t="shared" si="4"/>
        <v>0</v>
      </c>
      <c r="H19" s="680">
        <f t="shared" si="5"/>
        <v>0</v>
      </c>
      <c r="I19" s="680">
        <f t="shared" si="6"/>
        <v>0</v>
      </c>
      <c r="J19" s="680">
        <f t="shared" si="7"/>
        <v>0</v>
      </c>
      <c r="K19" s="680">
        <f t="shared" si="8"/>
        <v>0</v>
      </c>
      <c r="L19" s="680">
        <f t="shared" si="9"/>
        <v>0</v>
      </c>
      <c r="M19" s="680">
        <f t="shared" si="10"/>
        <v>0</v>
      </c>
      <c r="N19" s="680">
        <f t="shared" si="11"/>
        <v>0</v>
      </c>
      <c r="O19" s="680">
        <f t="shared" si="12"/>
        <v>0</v>
      </c>
      <c r="P19" s="680">
        <f t="shared" si="13"/>
        <v>0</v>
      </c>
      <c r="Q19" s="680">
        <f t="shared" si="14"/>
        <v>0</v>
      </c>
      <c r="R19" s="680">
        <f t="shared" si="15"/>
        <v>0</v>
      </c>
      <c r="S19" s="680">
        <f t="shared" si="19"/>
        <v>0</v>
      </c>
      <c r="U19" s="774"/>
      <c r="V19" s="771"/>
      <c r="X19" s="772">
        <f t="shared" si="18"/>
        <v>1</v>
      </c>
      <c r="Y19" s="772">
        <f t="shared" si="18"/>
        <v>0</v>
      </c>
      <c r="Z19" s="772">
        <f t="shared" si="18"/>
        <v>0</v>
      </c>
      <c r="AA19" s="772">
        <f t="shared" si="18"/>
        <v>0</v>
      </c>
      <c r="AB19" s="772">
        <f t="shared" si="18"/>
        <v>0</v>
      </c>
      <c r="AC19" s="772">
        <f t="shared" si="18"/>
        <v>0</v>
      </c>
      <c r="AD19" s="772">
        <f t="shared" si="18"/>
        <v>0</v>
      </c>
      <c r="AE19" s="772">
        <f t="shared" si="18"/>
        <v>0</v>
      </c>
      <c r="AF19" s="772">
        <f t="shared" si="18"/>
        <v>0</v>
      </c>
      <c r="AG19" s="772">
        <f t="shared" si="18"/>
        <v>0</v>
      </c>
      <c r="AH19" s="772">
        <f t="shared" si="18"/>
        <v>0</v>
      </c>
      <c r="AI19" s="772">
        <f t="shared" si="18"/>
        <v>0</v>
      </c>
      <c r="AJ19" s="772">
        <f t="shared" si="18"/>
        <v>0</v>
      </c>
      <c r="AK19" s="772">
        <f t="shared" si="18"/>
        <v>0</v>
      </c>
      <c r="AL19" s="772">
        <f t="shared" si="18"/>
        <v>0</v>
      </c>
      <c r="AM19" s="773">
        <f t="shared" si="20"/>
        <v>1</v>
      </c>
    </row>
    <row r="20" spans="2:39" x14ac:dyDescent="0.25">
      <c r="B20" s="224" t="s">
        <v>117</v>
      </c>
      <c r="C20" s="286" t="str">
        <f>T_NCAP_AF!C30</f>
        <v>TCARPYG900</v>
      </c>
      <c r="D20" s="680">
        <f t="shared" si="22"/>
        <v>0</v>
      </c>
      <c r="E20" s="680">
        <f t="shared" si="2"/>
        <v>0</v>
      </c>
      <c r="F20" s="680">
        <f t="shared" si="3"/>
        <v>0</v>
      </c>
      <c r="G20" s="680">
        <f t="shared" si="4"/>
        <v>0</v>
      </c>
      <c r="H20" s="680">
        <f t="shared" si="5"/>
        <v>0</v>
      </c>
      <c r="I20" s="680">
        <f t="shared" si="6"/>
        <v>0</v>
      </c>
      <c r="J20" s="680">
        <f t="shared" si="7"/>
        <v>0</v>
      </c>
      <c r="K20" s="680">
        <f t="shared" si="8"/>
        <v>0</v>
      </c>
      <c r="L20" s="680">
        <f t="shared" si="9"/>
        <v>0</v>
      </c>
      <c r="M20" s="680">
        <f t="shared" si="10"/>
        <v>0</v>
      </c>
      <c r="N20" s="680">
        <f t="shared" si="11"/>
        <v>0</v>
      </c>
      <c r="O20" s="680">
        <f t="shared" si="12"/>
        <v>0</v>
      </c>
      <c r="P20" s="680">
        <f t="shared" si="13"/>
        <v>0</v>
      </c>
      <c r="Q20" s="680">
        <f t="shared" si="14"/>
        <v>0</v>
      </c>
      <c r="R20" s="680">
        <f t="shared" si="15"/>
        <v>0</v>
      </c>
      <c r="S20" s="680">
        <f t="shared" si="19"/>
        <v>0</v>
      </c>
      <c r="U20" s="774"/>
      <c r="V20" s="771"/>
      <c r="X20" s="772">
        <f t="shared" si="18"/>
        <v>1</v>
      </c>
      <c r="Y20" s="772">
        <f t="shared" si="18"/>
        <v>0</v>
      </c>
      <c r="Z20" s="772">
        <f t="shared" si="18"/>
        <v>0</v>
      </c>
      <c r="AA20" s="772">
        <f t="shared" si="18"/>
        <v>0</v>
      </c>
      <c r="AB20" s="772">
        <f t="shared" si="18"/>
        <v>0</v>
      </c>
      <c r="AC20" s="772">
        <f t="shared" si="18"/>
        <v>0</v>
      </c>
      <c r="AD20" s="772">
        <f t="shared" si="18"/>
        <v>0</v>
      </c>
      <c r="AE20" s="772">
        <f t="shared" si="18"/>
        <v>0</v>
      </c>
      <c r="AF20" s="772">
        <f t="shared" si="18"/>
        <v>0</v>
      </c>
      <c r="AG20" s="772">
        <f t="shared" si="18"/>
        <v>0</v>
      </c>
      <c r="AH20" s="772">
        <f t="shared" si="18"/>
        <v>0</v>
      </c>
      <c r="AI20" s="772">
        <f t="shared" si="18"/>
        <v>0</v>
      </c>
      <c r="AJ20" s="772">
        <f t="shared" si="18"/>
        <v>0</v>
      </c>
      <c r="AK20" s="772">
        <f t="shared" si="18"/>
        <v>0</v>
      </c>
      <c r="AL20" s="772">
        <f t="shared" si="18"/>
        <v>0</v>
      </c>
      <c r="AM20" s="773">
        <f t="shared" si="20"/>
        <v>1</v>
      </c>
    </row>
    <row r="21" spans="2:39" x14ac:dyDescent="0.25">
      <c r="B21" s="250" t="s">
        <v>118</v>
      </c>
      <c r="C21" s="524"/>
      <c r="D21" s="444">
        <f t="shared" ref="D21" si="23">$V21*X21</f>
        <v>0</v>
      </c>
      <c r="E21" s="444">
        <f t="shared" si="2"/>
        <v>0</v>
      </c>
      <c r="F21" s="444">
        <f t="shared" si="3"/>
        <v>0</v>
      </c>
      <c r="G21" s="444">
        <f t="shared" si="4"/>
        <v>0</v>
      </c>
      <c r="H21" s="444">
        <f t="shared" si="5"/>
        <v>0</v>
      </c>
      <c r="I21" s="444">
        <f t="shared" si="6"/>
        <v>0</v>
      </c>
      <c r="J21" s="444">
        <f t="shared" si="7"/>
        <v>0</v>
      </c>
      <c r="K21" s="444">
        <f t="shared" si="8"/>
        <v>0</v>
      </c>
      <c r="L21" s="444">
        <f t="shared" si="9"/>
        <v>0</v>
      </c>
      <c r="M21" s="444">
        <f t="shared" si="10"/>
        <v>0</v>
      </c>
      <c r="N21" s="444">
        <f t="shared" si="11"/>
        <v>0</v>
      </c>
      <c r="O21" s="444">
        <f t="shared" si="12"/>
        <v>0</v>
      </c>
      <c r="P21" s="444">
        <f t="shared" si="13"/>
        <v>0</v>
      </c>
      <c r="Q21" s="444">
        <f t="shared" si="14"/>
        <v>0</v>
      </c>
      <c r="R21" s="444">
        <f t="shared" si="15"/>
        <v>0</v>
      </c>
      <c r="S21" s="444">
        <f t="shared" ref="S21" si="24">$V21*AM21</f>
        <v>0</v>
      </c>
      <c r="U21" s="775"/>
      <c r="V21" s="775"/>
      <c r="X21" s="772">
        <f t="shared" si="18"/>
        <v>1</v>
      </c>
      <c r="Y21" s="772">
        <f t="shared" si="18"/>
        <v>0</v>
      </c>
      <c r="Z21" s="772">
        <f t="shared" si="18"/>
        <v>0</v>
      </c>
      <c r="AA21" s="772">
        <f t="shared" si="18"/>
        <v>0</v>
      </c>
      <c r="AB21" s="772">
        <f t="shared" si="18"/>
        <v>0</v>
      </c>
      <c r="AC21" s="772">
        <f t="shared" si="18"/>
        <v>0</v>
      </c>
      <c r="AD21" s="772">
        <f t="shared" si="18"/>
        <v>0</v>
      </c>
      <c r="AE21" s="772">
        <f t="shared" si="18"/>
        <v>0</v>
      </c>
      <c r="AF21" s="772">
        <f t="shared" si="18"/>
        <v>0</v>
      </c>
      <c r="AG21" s="772">
        <f t="shared" si="18"/>
        <v>0</v>
      </c>
      <c r="AH21" s="772">
        <f t="shared" si="18"/>
        <v>0</v>
      </c>
      <c r="AI21" s="772">
        <f t="shared" si="18"/>
        <v>0</v>
      </c>
      <c r="AJ21" s="772">
        <f t="shared" si="18"/>
        <v>0</v>
      </c>
      <c r="AK21" s="772">
        <f t="shared" si="18"/>
        <v>0</v>
      </c>
      <c r="AL21" s="772">
        <f t="shared" si="18"/>
        <v>0</v>
      </c>
      <c r="AM21" s="773">
        <f t="shared" ref="AM21" si="25">SUM(X21:AI21)</f>
        <v>1</v>
      </c>
    </row>
    <row r="22" spans="2:39" x14ac:dyDescent="0.25">
      <c r="B22" s="131" t="s">
        <v>119</v>
      </c>
      <c r="C22" s="525"/>
      <c r="D22" s="681">
        <f>SUM(D10:D21)</f>
        <v>0</v>
      </c>
      <c r="E22" s="681">
        <f t="shared" ref="E22:S22" si="26">SUM(E10:E21)</f>
        <v>0</v>
      </c>
      <c r="F22" s="681">
        <f t="shared" si="26"/>
        <v>0</v>
      </c>
      <c r="G22" s="681">
        <f t="shared" si="26"/>
        <v>0</v>
      </c>
      <c r="H22" s="681">
        <f t="shared" si="26"/>
        <v>0</v>
      </c>
      <c r="I22" s="681">
        <f t="shared" si="26"/>
        <v>0</v>
      </c>
      <c r="J22" s="681">
        <f t="shared" si="26"/>
        <v>0</v>
      </c>
      <c r="K22" s="681">
        <f t="shared" si="26"/>
        <v>0</v>
      </c>
      <c r="L22" s="681">
        <f t="shared" si="26"/>
        <v>0</v>
      </c>
      <c r="M22" s="681">
        <f t="shared" si="26"/>
        <v>0</v>
      </c>
      <c r="N22" s="681">
        <f t="shared" si="26"/>
        <v>0</v>
      </c>
      <c r="O22" s="681">
        <f t="shared" si="26"/>
        <v>0</v>
      </c>
      <c r="P22" s="681">
        <f t="shared" si="26"/>
        <v>0</v>
      </c>
      <c r="Q22" s="681">
        <f t="shared" si="26"/>
        <v>0</v>
      </c>
      <c r="R22" s="681">
        <f t="shared" si="26"/>
        <v>0</v>
      </c>
      <c r="S22" s="681">
        <f t="shared" si="26"/>
        <v>0</v>
      </c>
      <c r="U22" s="776">
        <f>SUM(U10:U21)</f>
        <v>0</v>
      </c>
      <c r="V22" s="776">
        <f>SUM(V10:V21)</f>
        <v>0</v>
      </c>
    </row>
    <row r="24" spans="2:39" x14ac:dyDescent="0.25">
      <c r="B24" s="476" t="s">
        <v>120</v>
      </c>
      <c r="C24" s="523"/>
      <c r="X24" s="764" t="s">
        <v>99</v>
      </c>
    </row>
    <row r="25" spans="2:39" x14ac:dyDescent="0.25">
      <c r="B25" s="476" t="s">
        <v>103</v>
      </c>
      <c r="C25" s="441" t="s">
        <v>104</v>
      </c>
      <c r="D25" s="121" t="str">
        <f>INFO!C10</f>
        <v>Z01</v>
      </c>
      <c r="E25" s="121" t="str">
        <f>INFO!D10</f>
        <v>Z02</v>
      </c>
      <c r="F25" s="121" t="str">
        <f>INFO!E10</f>
        <v>Z03</v>
      </c>
      <c r="G25" s="121" t="str">
        <f>INFO!F10</f>
        <v>Z04</v>
      </c>
      <c r="H25" s="121" t="str">
        <f>INFO!G10</f>
        <v>Z05</v>
      </c>
      <c r="I25" s="121" t="str">
        <f>INFO!H10</f>
        <v>Z06</v>
      </c>
      <c r="J25" s="121" t="str">
        <f>INFO!I10</f>
        <v>Z07</v>
      </c>
      <c r="K25" s="121" t="str">
        <f>INFO!J10</f>
        <v>Z08</v>
      </c>
      <c r="L25" s="121" t="str">
        <f>INFO!K10</f>
        <v>Z09</v>
      </c>
      <c r="M25" s="121" t="str">
        <f>INFO!L10</f>
        <v>Z10</v>
      </c>
      <c r="N25" s="121" t="str">
        <f>INFO!M10</f>
        <v>Z11</v>
      </c>
      <c r="O25" s="121" t="str">
        <f>INFO!N10</f>
        <v>Z12</v>
      </c>
      <c r="P25" s="121" t="str">
        <f>INFO!O10</f>
        <v>Z13</v>
      </c>
      <c r="Q25" s="121" t="str">
        <f>INFO!P10</f>
        <v>Z14</v>
      </c>
      <c r="R25" s="121" t="str">
        <f>INFO!Q10</f>
        <v>Z15</v>
      </c>
      <c r="S25" s="121" t="s">
        <v>100</v>
      </c>
      <c r="U25" s="769" t="s">
        <v>105</v>
      </c>
      <c r="V25" s="769" t="s">
        <v>121</v>
      </c>
      <c r="X25" s="766" t="str">
        <f t="shared" ref="X25" si="27">D25</f>
        <v>Z01</v>
      </c>
      <c r="Y25" s="766" t="str">
        <f t="shared" ref="Y25" si="28">E25</f>
        <v>Z02</v>
      </c>
      <c r="Z25" s="766" t="str">
        <f t="shared" ref="Z25" si="29">F25</f>
        <v>Z03</v>
      </c>
      <c r="AA25" s="766" t="str">
        <f t="shared" ref="AA25" si="30">G25</f>
        <v>Z04</v>
      </c>
      <c r="AB25" s="766" t="str">
        <f t="shared" ref="AB25" si="31">H25</f>
        <v>Z05</v>
      </c>
      <c r="AC25" s="766" t="str">
        <f t="shared" ref="AC25" si="32">I25</f>
        <v>Z06</v>
      </c>
      <c r="AD25" s="766" t="str">
        <f t="shared" ref="AD25" si="33">J25</f>
        <v>Z07</v>
      </c>
      <c r="AE25" s="766" t="str">
        <f t="shared" ref="AE25" si="34">K25</f>
        <v>Z08</v>
      </c>
      <c r="AF25" s="766" t="str">
        <f t="shared" ref="AF25" si="35">L25</f>
        <v>Z09</v>
      </c>
      <c r="AG25" s="766" t="str">
        <f t="shared" ref="AG25" si="36">M25</f>
        <v>Z10</v>
      </c>
      <c r="AH25" s="766" t="str">
        <f t="shared" ref="AH25" si="37">N25</f>
        <v>Z11</v>
      </c>
      <c r="AI25" s="766" t="str">
        <f t="shared" ref="AI25" si="38">O25</f>
        <v>Z12</v>
      </c>
      <c r="AJ25" s="766" t="str">
        <f t="shared" ref="AJ25" si="39">P25</f>
        <v>Z13</v>
      </c>
      <c r="AK25" s="766" t="str">
        <f t="shared" ref="AK25" si="40">Q25</f>
        <v>Z14</v>
      </c>
      <c r="AL25" s="766" t="str">
        <f t="shared" ref="AL25" si="41">R25</f>
        <v>Z15</v>
      </c>
      <c r="AM25" s="766" t="s">
        <v>100</v>
      </c>
    </row>
    <row r="26" spans="2:39" x14ac:dyDescent="0.25">
      <c r="B26" s="245" t="str">
        <f>B10</f>
        <v>Biodiesel</v>
      </c>
      <c r="C26" s="286"/>
      <c r="D26" s="684">
        <v>0</v>
      </c>
      <c r="E26" s="684">
        <v>0</v>
      </c>
      <c r="F26" s="684">
        <v>0</v>
      </c>
      <c r="G26" s="684">
        <v>0</v>
      </c>
      <c r="H26" s="684">
        <v>0</v>
      </c>
      <c r="I26" s="684">
        <v>0</v>
      </c>
      <c r="J26" s="684">
        <v>0</v>
      </c>
      <c r="K26" s="684">
        <v>0</v>
      </c>
      <c r="L26" s="684">
        <v>0</v>
      </c>
      <c r="M26" s="684">
        <v>0</v>
      </c>
      <c r="N26" s="684">
        <v>0</v>
      </c>
      <c r="O26" s="684">
        <v>0</v>
      </c>
      <c r="P26" s="684">
        <v>0</v>
      </c>
      <c r="Q26" s="684">
        <v>0</v>
      </c>
      <c r="R26" s="684">
        <v>0</v>
      </c>
      <c r="S26" s="684">
        <v>0</v>
      </c>
      <c r="U26" s="770"/>
      <c r="V26" s="777" t="s">
        <v>122</v>
      </c>
      <c r="X26" s="772">
        <f>X$6</f>
        <v>1</v>
      </c>
      <c r="Y26" s="772">
        <f t="shared" ref="Y26:AL26" si="42">Y$6</f>
        <v>0</v>
      </c>
      <c r="Z26" s="772">
        <f t="shared" si="42"/>
        <v>0</v>
      </c>
      <c r="AA26" s="772">
        <f t="shared" si="42"/>
        <v>0</v>
      </c>
      <c r="AB26" s="772">
        <f t="shared" si="42"/>
        <v>0</v>
      </c>
      <c r="AC26" s="772">
        <f t="shared" si="42"/>
        <v>0</v>
      </c>
      <c r="AD26" s="772">
        <f t="shared" si="42"/>
        <v>0</v>
      </c>
      <c r="AE26" s="772">
        <f t="shared" si="42"/>
        <v>0</v>
      </c>
      <c r="AF26" s="772">
        <f t="shared" si="42"/>
        <v>0</v>
      </c>
      <c r="AG26" s="772">
        <f t="shared" si="42"/>
        <v>0</v>
      </c>
      <c r="AH26" s="772">
        <f t="shared" si="42"/>
        <v>0</v>
      </c>
      <c r="AI26" s="772">
        <f t="shared" si="42"/>
        <v>0</v>
      </c>
      <c r="AJ26" s="772">
        <f t="shared" si="42"/>
        <v>0</v>
      </c>
      <c r="AK26" s="772">
        <f t="shared" si="42"/>
        <v>0</v>
      </c>
      <c r="AL26" s="772">
        <f t="shared" si="42"/>
        <v>0</v>
      </c>
      <c r="AM26" s="773">
        <f>SUM(X26:AI26)</f>
        <v>1</v>
      </c>
    </row>
    <row r="27" spans="2:39" x14ac:dyDescent="0.25">
      <c r="B27" s="245" t="str">
        <f t="shared" ref="B27:B37" si="43">B11</f>
        <v>Diesel</v>
      </c>
      <c r="C27" s="286"/>
      <c r="D27" s="684">
        <v>0</v>
      </c>
      <c r="E27" s="684">
        <v>0</v>
      </c>
      <c r="F27" s="684">
        <v>0</v>
      </c>
      <c r="G27" s="684">
        <v>0</v>
      </c>
      <c r="H27" s="684">
        <v>0</v>
      </c>
      <c r="I27" s="684">
        <v>0</v>
      </c>
      <c r="J27" s="684">
        <v>0</v>
      </c>
      <c r="K27" s="684">
        <v>0</v>
      </c>
      <c r="L27" s="684">
        <v>0</v>
      </c>
      <c r="M27" s="684">
        <v>0</v>
      </c>
      <c r="N27" s="684">
        <v>0</v>
      </c>
      <c r="O27" s="684">
        <v>0</v>
      </c>
      <c r="P27" s="684">
        <v>0</v>
      </c>
      <c r="Q27" s="684">
        <v>0</v>
      </c>
      <c r="R27" s="684">
        <v>0</v>
      </c>
      <c r="S27" s="684">
        <v>0</v>
      </c>
      <c r="U27" s="770"/>
      <c r="V27" s="777" t="s">
        <v>122</v>
      </c>
      <c r="X27" s="772">
        <f t="shared" ref="X27:AL37" si="44">X$6</f>
        <v>1</v>
      </c>
      <c r="Y27" s="772">
        <f t="shared" si="44"/>
        <v>0</v>
      </c>
      <c r="Z27" s="772">
        <f t="shared" si="44"/>
        <v>0</v>
      </c>
      <c r="AA27" s="772">
        <f t="shared" si="44"/>
        <v>0</v>
      </c>
      <c r="AB27" s="772">
        <f t="shared" si="44"/>
        <v>0</v>
      </c>
      <c r="AC27" s="772">
        <f t="shared" si="44"/>
        <v>0</v>
      </c>
      <c r="AD27" s="772">
        <f t="shared" si="44"/>
        <v>0</v>
      </c>
      <c r="AE27" s="772">
        <f t="shared" si="44"/>
        <v>0</v>
      </c>
      <c r="AF27" s="772">
        <f t="shared" si="44"/>
        <v>0</v>
      </c>
      <c r="AG27" s="772">
        <f t="shared" si="44"/>
        <v>0</v>
      </c>
      <c r="AH27" s="772">
        <f t="shared" si="44"/>
        <v>0</v>
      </c>
      <c r="AI27" s="772">
        <f t="shared" si="44"/>
        <v>0</v>
      </c>
      <c r="AJ27" s="772">
        <f t="shared" si="44"/>
        <v>0</v>
      </c>
      <c r="AK27" s="772">
        <f t="shared" si="44"/>
        <v>0</v>
      </c>
      <c r="AL27" s="772">
        <f t="shared" si="44"/>
        <v>0</v>
      </c>
      <c r="AM27" s="773">
        <f>SUM(X27:AI27)</f>
        <v>1</v>
      </c>
    </row>
    <row r="28" spans="2:39" x14ac:dyDescent="0.25">
      <c r="B28" s="245" t="str">
        <f t="shared" si="43"/>
        <v>Battery electric (BEV)</v>
      </c>
      <c r="C28" s="286"/>
      <c r="D28" s="684">
        <v>0</v>
      </c>
      <c r="E28" s="684">
        <v>0</v>
      </c>
      <c r="F28" s="684">
        <v>0</v>
      </c>
      <c r="G28" s="684">
        <v>0</v>
      </c>
      <c r="H28" s="684">
        <v>0</v>
      </c>
      <c r="I28" s="684">
        <v>0</v>
      </c>
      <c r="J28" s="684">
        <v>0</v>
      </c>
      <c r="K28" s="684">
        <v>0</v>
      </c>
      <c r="L28" s="684">
        <v>0</v>
      </c>
      <c r="M28" s="684">
        <v>0</v>
      </c>
      <c r="N28" s="684">
        <v>0</v>
      </c>
      <c r="O28" s="684">
        <v>0</v>
      </c>
      <c r="P28" s="684">
        <v>0</v>
      </c>
      <c r="Q28" s="684">
        <v>0</v>
      </c>
      <c r="R28" s="684">
        <v>0</v>
      </c>
      <c r="S28" s="684">
        <v>0</v>
      </c>
      <c r="U28" s="770"/>
      <c r="V28" s="777" t="s">
        <v>122</v>
      </c>
      <c r="X28" s="772">
        <f t="shared" si="44"/>
        <v>1</v>
      </c>
      <c r="Y28" s="772">
        <f t="shared" si="44"/>
        <v>0</v>
      </c>
      <c r="Z28" s="772">
        <f t="shared" si="44"/>
        <v>0</v>
      </c>
      <c r="AA28" s="772">
        <f t="shared" si="44"/>
        <v>0</v>
      </c>
      <c r="AB28" s="772">
        <f t="shared" si="44"/>
        <v>0</v>
      </c>
      <c r="AC28" s="772">
        <f t="shared" si="44"/>
        <v>0</v>
      </c>
      <c r="AD28" s="772">
        <f t="shared" si="44"/>
        <v>0</v>
      </c>
      <c r="AE28" s="772">
        <f t="shared" si="44"/>
        <v>0</v>
      </c>
      <c r="AF28" s="772">
        <f t="shared" si="44"/>
        <v>0</v>
      </c>
      <c r="AG28" s="772">
        <f t="shared" si="44"/>
        <v>0</v>
      </c>
      <c r="AH28" s="772">
        <f t="shared" si="44"/>
        <v>0</v>
      </c>
      <c r="AI28" s="772">
        <f t="shared" si="44"/>
        <v>0</v>
      </c>
      <c r="AJ28" s="772">
        <f t="shared" si="44"/>
        <v>0</v>
      </c>
      <c r="AK28" s="772">
        <f t="shared" si="44"/>
        <v>0</v>
      </c>
      <c r="AL28" s="772">
        <f t="shared" si="44"/>
        <v>0</v>
      </c>
      <c r="AM28" s="773">
        <f t="shared" ref="AM28:AM36" si="45">SUM(X28:AI28)</f>
        <v>1</v>
      </c>
    </row>
    <row r="29" spans="2:39" x14ac:dyDescent="0.25">
      <c r="B29" s="245" t="str">
        <f t="shared" si="43"/>
        <v>Ethanol</v>
      </c>
      <c r="C29" s="286"/>
      <c r="D29" s="684">
        <v>0</v>
      </c>
      <c r="E29" s="684">
        <v>0</v>
      </c>
      <c r="F29" s="684">
        <v>0</v>
      </c>
      <c r="G29" s="684">
        <v>0</v>
      </c>
      <c r="H29" s="684">
        <v>0</v>
      </c>
      <c r="I29" s="684">
        <v>0</v>
      </c>
      <c r="J29" s="684">
        <v>0</v>
      </c>
      <c r="K29" s="684">
        <v>0</v>
      </c>
      <c r="L29" s="684">
        <v>0</v>
      </c>
      <c r="M29" s="684">
        <v>0</v>
      </c>
      <c r="N29" s="684">
        <v>0</v>
      </c>
      <c r="O29" s="684">
        <v>0</v>
      </c>
      <c r="P29" s="684">
        <v>0</v>
      </c>
      <c r="Q29" s="684">
        <v>0</v>
      </c>
      <c r="R29" s="684">
        <v>0</v>
      </c>
      <c r="S29" s="684">
        <v>0</v>
      </c>
      <c r="U29" s="770"/>
      <c r="V29" s="777" t="s">
        <v>122</v>
      </c>
      <c r="X29" s="772">
        <f t="shared" si="44"/>
        <v>1</v>
      </c>
      <c r="Y29" s="772">
        <f t="shared" si="44"/>
        <v>0</v>
      </c>
      <c r="Z29" s="772">
        <f t="shared" si="44"/>
        <v>0</v>
      </c>
      <c r="AA29" s="772">
        <f t="shared" si="44"/>
        <v>0</v>
      </c>
      <c r="AB29" s="772">
        <f t="shared" si="44"/>
        <v>0</v>
      </c>
      <c r="AC29" s="772">
        <f t="shared" si="44"/>
        <v>0</v>
      </c>
      <c r="AD29" s="772">
        <f t="shared" si="44"/>
        <v>0</v>
      </c>
      <c r="AE29" s="772">
        <f t="shared" si="44"/>
        <v>0</v>
      </c>
      <c r="AF29" s="772">
        <f t="shared" si="44"/>
        <v>0</v>
      </c>
      <c r="AG29" s="772">
        <f t="shared" si="44"/>
        <v>0</v>
      </c>
      <c r="AH29" s="772">
        <f t="shared" si="44"/>
        <v>0</v>
      </c>
      <c r="AI29" s="772">
        <f t="shared" si="44"/>
        <v>0</v>
      </c>
      <c r="AJ29" s="772">
        <f t="shared" si="44"/>
        <v>0</v>
      </c>
      <c r="AK29" s="772">
        <f t="shared" si="44"/>
        <v>0</v>
      </c>
      <c r="AL29" s="772">
        <f t="shared" si="44"/>
        <v>0</v>
      </c>
      <c r="AM29" s="773">
        <f t="shared" si="45"/>
        <v>1</v>
      </c>
    </row>
    <row r="30" spans="2:39" x14ac:dyDescent="0.25">
      <c r="B30" s="245" t="str">
        <f t="shared" si="43"/>
        <v>Gas (CNG)</v>
      </c>
      <c r="C30" s="286"/>
      <c r="D30" s="684">
        <v>0</v>
      </c>
      <c r="E30" s="684">
        <v>0</v>
      </c>
      <c r="F30" s="684">
        <v>0</v>
      </c>
      <c r="G30" s="684">
        <v>0</v>
      </c>
      <c r="H30" s="684">
        <v>0</v>
      </c>
      <c r="I30" s="684">
        <v>0</v>
      </c>
      <c r="J30" s="684">
        <v>0</v>
      </c>
      <c r="K30" s="684">
        <v>0</v>
      </c>
      <c r="L30" s="684">
        <v>0</v>
      </c>
      <c r="M30" s="684">
        <v>0</v>
      </c>
      <c r="N30" s="684">
        <v>0</v>
      </c>
      <c r="O30" s="684">
        <v>0</v>
      </c>
      <c r="P30" s="684">
        <v>0</v>
      </c>
      <c r="Q30" s="684">
        <v>0</v>
      </c>
      <c r="R30" s="684">
        <v>0</v>
      </c>
      <c r="S30" s="684">
        <v>0</v>
      </c>
      <c r="U30" s="770"/>
      <c r="V30" s="777" t="s">
        <v>122</v>
      </c>
      <c r="X30" s="772">
        <f t="shared" si="44"/>
        <v>1</v>
      </c>
      <c r="Y30" s="772">
        <f t="shared" si="44"/>
        <v>0</v>
      </c>
      <c r="Z30" s="772">
        <f t="shared" si="44"/>
        <v>0</v>
      </c>
      <c r="AA30" s="772">
        <f t="shared" si="44"/>
        <v>0</v>
      </c>
      <c r="AB30" s="772">
        <f t="shared" si="44"/>
        <v>0</v>
      </c>
      <c r="AC30" s="772">
        <f t="shared" si="44"/>
        <v>0</v>
      </c>
      <c r="AD30" s="772">
        <f t="shared" si="44"/>
        <v>0</v>
      </c>
      <c r="AE30" s="772">
        <f t="shared" si="44"/>
        <v>0</v>
      </c>
      <c r="AF30" s="772">
        <f t="shared" si="44"/>
        <v>0</v>
      </c>
      <c r="AG30" s="772">
        <f t="shared" si="44"/>
        <v>0</v>
      </c>
      <c r="AH30" s="772">
        <f t="shared" si="44"/>
        <v>0</v>
      </c>
      <c r="AI30" s="772">
        <f t="shared" si="44"/>
        <v>0</v>
      </c>
      <c r="AJ30" s="772">
        <f t="shared" si="44"/>
        <v>0</v>
      </c>
      <c r="AK30" s="772">
        <f t="shared" si="44"/>
        <v>0</v>
      </c>
      <c r="AL30" s="772">
        <f t="shared" si="44"/>
        <v>0</v>
      </c>
      <c r="AM30" s="773">
        <f t="shared" si="45"/>
        <v>1</v>
      </c>
    </row>
    <row r="31" spans="2:39" x14ac:dyDescent="0.25">
      <c r="B31" s="245" t="str">
        <f t="shared" si="43"/>
        <v>Gasoline</v>
      </c>
      <c r="C31" s="286"/>
      <c r="D31" s="684">
        <v>0</v>
      </c>
      <c r="E31" s="684">
        <v>0</v>
      </c>
      <c r="F31" s="684">
        <v>0</v>
      </c>
      <c r="G31" s="684">
        <v>0</v>
      </c>
      <c r="H31" s="684">
        <v>0</v>
      </c>
      <c r="I31" s="684">
        <v>0</v>
      </c>
      <c r="J31" s="684">
        <v>0</v>
      </c>
      <c r="K31" s="684">
        <v>0</v>
      </c>
      <c r="L31" s="684">
        <v>0</v>
      </c>
      <c r="M31" s="684">
        <v>0</v>
      </c>
      <c r="N31" s="684">
        <v>0</v>
      </c>
      <c r="O31" s="684">
        <v>0</v>
      </c>
      <c r="P31" s="684">
        <v>0</v>
      </c>
      <c r="Q31" s="684">
        <v>0</v>
      </c>
      <c r="R31" s="684">
        <v>0</v>
      </c>
      <c r="S31" s="684">
        <v>0</v>
      </c>
      <c r="U31" s="770"/>
      <c r="V31" s="777" t="s">
        <v>122</v>
      </c>
      <c r="X31" s="772">
        <f t="shared" si="44"/>
        <v>1</v>
      </c>
      <c r="Y31" s="772">
        <f t="shared" si="44"/>
        <v>0</v>
      </c>
      <c r="Z31" s="772">
        <f t="shared" si="44"/>
        <v>0</v>
      </c>
      <c r="AA31" s="772">
        <f t="shared" si="44"/>
        <v>0</v>
      </c>
      <c r="AB31" s="772">
        <f t="shared" si="44"/>
        <v>0</v>
      </c>
      <c r="AC31" s="772">
        <f t="shared" si="44"/>
        <v>0</v>
      </c>
      <c r="AD31" s="772">
        <f t="shared" si="44"/>
        <v>0</v>
      </c>
      <c r="AE31" s="772">
        <f t="shared" si="44"/>
        <v>0</v>
      </c>
      <c r="AF31" s="772">
        <f t="shared" si="44"/>
        <v>0</v>
      </c>
      <c r="AG31" s="772">
        <f t="shared" si="44"/>
        <v>0</v>
      </c>
      <c r="AH31" s="772">
        <f t="shared" si="44"/>
        <v>0</v>
      </c>
      <c r="AI31" s="772">
        <f t="shared" si="44"/>
        <v>0</v>
      </c>
      <c r="AJ31" s="772">
        <f t="shared" si="44"/>
        <v>0</v>
      </c>
      <c r="AK31" s="772">
        <f t="shared" si="44"/>
        <v>0</v>
      </c>
      <c r="AL31" s="772">
        <f t="shared" si="44"/>
        <v>0</v>
      </c>
      <c r="AM31" s="773">
        <f t="shared" si="45"/>
        <v>1</v>
      </c>
    </row>
    <row r="32" spans="2:39" x14ac:dyDescent="0.25">
      <c r="B32" s="245" t="str">
        <f t="shared" si="43"/>
        <v>Hybrid Electric - diesel</v>
      </c>
      <c r="C32" s="286"/>
      <c r="D32" s="684">
        <v>0</v>
      </c>
      <c r="E32" s="684">
        <v>0</v>
      </c>
      <c r="F32" s="684">
        <v>0</v>
      </c>
      <c r="G32" s="684">
        <v>0</v>
      </c>
      <c r="H32" s="684">
        <v>0</v>
      </c>
      <c r="I32" s="684">
        <v>0</v>
      </c>
      <c r="J32" s="684">
        <v>0</v>
      </c>
      <c r="K32" s="684">
        <v>0</v>
      </c>
      <c r="L32" s="684">
        <v>0</v>
      </c>
      <c r="M32" s="684">
        <v>0</v>
      </c>
      <c r="N32" s="684">
        <v>0</v>
      </c>
      <c r="O32" s="684">
        <v>0</v>
      </c>
      <c r="P32" s="684">
        <v>0</v>
      </c>
      <c r="Q32" s="684">
        <v>0</v>
      </c>
      <c r="R32" s="684">
        <v>0</v>
      </c>
      <c r="S32" s="684">
        <v>0</v>
      </c>
      <c r="U32" s="774"/>
      <c r="V32" s="777" t="s">
        <v>122</v>
      </c>
      <c r="X32" s="772">
        <f t="shared" si="44"/>
        <v>1</v>
      </c>
      <c r="Y32" s="772">
        <f t="shared" si="44"/>
        <v>0</v>
      </c>
      <c r="Z32" s="772">
        <f t="shared" si="44"/>
        <v>0</v>
      </c>
      <c r="AA32" s="772">
        <f t="shared" si="44"/>
        <v>0</v>
      </c>
      <c r="AB32" s="772">
        <f t="shared" si="44"/>
        <v>0</v>
      </c>
      <c r="AC32" s="772">
        <f t="shared" si="44"/>
        <v>0</v>
      </c>
      <c r="AD32" s="772">
        <f t="shared" si="44"/>
        <v>0</v>
      </c>
      <c r="AE32" s="772">
        <f t="shared" si="44"/>
        <v>0</v>
      </c>
      <c r="AF32" s="772">
        <f t="shared" si="44"/>
        <v>0</v>
      </c>
      <c r="AG32" s="772">
        <f t="shared" si="44"/>
        <v>0</v>
      </c>
      <c r="AH32" s="772">
        <f t="shared" si="44"/>
        <v>0</v>
      </c>
      <c r="AI32" s="772">
        <f t="shared" si="44"/>
        <v>0</v>
      </c>
      <c r="AJ32" s="772">
        <f t="shared" si="44"/>
        <v>0</v>
      </c>
      <c r="AK32" s="772">
        <f t="shared" si="44"/>
        <v>0</v>
      </c>
      <c r="AL32" s="772">
        <f t="shared" si="44"/>
        <v>0</v>
      </c>
      <c r="AM32" s="773">
        <f t="shared" si="45"/>
        <v>1</v>
      </c>
    </row>
    <row r="33" spans="2:39" x14ac:dyDescent="0.25">
      <c r="B33" s="245" t="str">
        <f t="shared" si="43"/>
        <v>Hybrid Electric - gasoline</v>
      </c>
      <c r="C33" s="286"/>
      <c r="D33" s="684">
        <v>0</v>
      </c>
      <c r="E33" s="684">
        <v>0</v>
      </c>
      <c r="F33" s="684">
        <v>0</v>
      </c>
      <c r="G33" s="684">
        <v>0</v>
      </c>
      <c r="H33" s="684">
        <v>0</v>
      </c>
      <c r="I33" s="684">
        <v>0</v>
      </c>
      <c r="J33" s="684">
        <v>0</v>
      </c>
      <c r="K33" s="684">
        <v>0</v>
      </c>
      <c r="L33" s="684">
        <v>0</v>
      </c>
      <c r="M33" s="684">
        <v>0</v>
      </c>
      <c r="N33" s="684">
        <v>0</v>
      </c>
      <c r="O33" s="684">
        <v>0</v>
      </c>
      <c r="P33" s="684">
        <v>0</v>
      </c>
      <c r="Q33" s="684">
        <v>0</v>
      </c>
      <c r="R33" s="684">
        <v>0</v>
      </c>
      <c r="S33" s="684">
        <v>0</v>
      </c>
      <c r="U33" s="774"/>
      <c r="V33" s="777" t="s">
        <v>122</v>
      </c>
      <c r="X33" s="772">
        <f t="shared" si="44"/>
        <v>1</v>
      </c>
      <c r="Y33" s="772">
        <f t="shared" si="44"/>
        <v>0</v>
      </c>
      <c r="Z33" s="772">
        <f t="shared" si="44"/>
        <v>0</v>
      </c>
      <c r="AA33" s="772">
        <f t="shared" si="44"/>
        <v>0</v>
      </c>
      <c r="AB33" s="772">
        <f t="shared" si="44"/>
        <v>0</v>
      </c>
      <c r="AC33" s="772">
        <f t="shared" si="44"/>
        <v>0</v>
      </c>
      <c r="AD33" s="772">
        <f t="shared" si="44"/>
        <v>0</v>
      </c>
      <c r="AE33" s="772">
        <f t="shared" si="44"/>
        <v>0</v>
      </c>
      <c r="AF33" s="772">
        <f t="shared" si="44"/>
        <v>0</v>
      </c>
      <c r="AG33" s="772">
        <f t="shared" si="44"/>
        <v>0</v>
      </c>
      <c r="AH33" s="772">
        <f t="shared" si="44"/>
        <v>0</v>
      </c>
      <c r="AI33" s="772">
        <f t="shared" si="44"/>
        <v>0</v>
      </c>
      <c r="AJ33" s="772">
        <f t="shared" si="44"/>
        <v>0</v>
      </c>
      <c r="AK33" s="772">
        <f t="shared" si="44"/>
        <v>0</v>
      </c>
      <c r="AL33" s="772">
        <f t="shared" si="44"/>
        <v>0</v>
      </c>
      <c r="AM33" s="773">
        <f t="shared" si="45"/>
        <v>1</v>
      </c>
    </row>
    <row r="34" spans="2:39" x14ac:dyDescent="0.25">
      <c r="B34" s="245" t="str">
        <f t="shared" si="43"/>
        <v>LPG</v>
      </c>
      <c r="C34" s="286"/>
      <c r="D34" s="684">
        <v>0</v>
      </c>
      <c r="E34" s="684">
        <v>0</v>
      </c>
      <c r="F34" s="684">
        <v>0</v>
      </c>
      <c r="G34" s="684">
        <v>0</v>
      </c>
      <c r="H34" s="684">
        <v>0</v>
      </c>
      <c r="I34" s="684">
        <v>0</v>
      </c>
      <c r="J34" s="684">
        <v>0</v>
      </c>
      <c r="K34" s="684">
        <v>0</v>
      </c>
      <c r="L34" s="684">
        <v>0</v>
      </c>
      <c r="M34" s="684">
        <v>0</v>
      </c>
      <c r="N34" s="684">
        <v>0</v>
      </c>
      <c r="O34" s="684">
        <v>0</v>
      </c>
      <c r="P34" s="684">
        <v>0</v>
      </c>
      <c r="Q34" s="684">
        <v>0</v>
      </c>
      <c r="R34" s="684">
        <v>0</v>
      </c>
      <c r="S34" s="684">
        <v>0</v>
      </c>
      <c r="U34" s="770"/>
      <c r="V34" s="777" t="s">
        <v>122</v>
      </c>
      <c r="X34" s="772">
        <f t="shared" si="44"/>
        <v>1</v>
      </c>
      <c r="Y34" s="772">
        <f t="shared" si="44"/>
        <v>0</v>
      </c>
      <c r="Z34" s="772">
        <f t="shared" si="44"/>
        <v>0</v>
      </c>
      <c r="AA34" s="772">
        <f t="shared" si="44"/>
        <v>0</v>
      </c>
      <c r="AB34" s="772">
        <f t="shared" si="44"/>
        <v>0</v>
      </c>
      <c r="AC34" s="772">
        <f t="shared" si="44"/>
        <v>0</v>
      </c>
      <c r="AD34" s="772">
        <f t="shared" si="44"/>
        <v>0</v>
      </c>
      <c r="AE34" s="772">
        <f t="shared" si="44"/>
        <v>0</v>
      </c>
      <c r="AF34" s="772">
        <f t="shared" si="44"/>
        <v>0</v>
      </c>
      <c r="AG34" s="772">
        <f t="shared" si="44"/>
        <v>0</v>
      </c>
      <c r="AH34" s="772">
        <f t="shared" si="44"/>
        <v>0</v>
      </c>
      <c r="AI34" s="772">
        <f t="shared" si="44"/>
        <v>0</v>
      </c>
      <c r="AJ34" s="772">
        <f t="shared" si="44"/>
        <v>0</v>
      </c>
      <c r="AK34" s="772">
        <f t="shared" si="44"/>
        <v>0</v>
      </c>
      <c r="AL34" s="772">
        <f t="shared" si="44"/>
        <v>0</v>
      </c>
      <c r="AM34" s="773">
        <f t="shared" si="45"/>
        <v>1</v>
      </c>
    </row>
    <row r="35" spans="2:39" x14ac:dyDescent="0.25">
      <c r="B35" s="245" t="str">
        <f t="shared" si="43"/>
        <v>Plugin Hybrid Electric - diesel</v>
      </c>
      <c r="C35" s="286"/>
      <c r="D35" s="684">
        <v>0</v>
      </c>
      <c r="E35" s="684">
        <v>0</v>
      </c>
      <c r="F35" s="684">
        <v>0</v>
      </c>
      <c r="G35" s="684">
        <v>0</v>
      </c>
      <c r="H35" s="684">
        <v>0</v>
      </c>
      <c r="I35" s="684">
        <v>0</v>
      </c>
      <c r="J35" s="684">
        <v>0</v>
      </c>
      <c r="K35" s="684">
        <v>0</v>
      </c>
      <c r="L35" s="684">
        <v>0</v>
      </c>
      <c r="M35" s="684">
        <v>0</v>
      </c>
      <c r="N35" s="684">
        <v>0</v>
      </c>
      <c r="O35" s="684">
        <v>0</v>
      </c>
      <c r="P35" s="684">
        <v>0</v>
      </c>
      <c r="Q35" s="684">
        <v>0</v>
      </c>
      <c r="R35" s="684">
        <v>0</v>
      </c>
      <c r="S35" s="684">
        <v>0</v>
      </c>
      <c r="U35" s="774"/>
      <c r="V35" s="777" t="s">
        <v>122</v>
      </c>
      <c r="X35" s="772">
        <f t="shared" si="44"/>
        <v>1</v>
      </c>
      <c r="Y35" s="772">
        <f t="shared" si="44"/>
        <v>0</v>
      </c>
      <c r="Z35" s="772">
        <f t="shared" si="44"/>
        <v>0</v>
      </c>
      <c r="AA35" s="772">
        <f t="shared" si="44"/>
        <v>0</v>
      </c>
      <c r="AB35" s="772">
        <f t="shared" si="44"/>
        <v>0</v>
      </c>
      <c r="AC35" s="772">
        <f t="shared" si="44"/>
        <v>0</v>
      </c>
      <c r="AD35" s="772">
        <f t="shared" si="44"/>
        <v>0</v>
      </c>
      <c r="AE35" s="772">
        <f t="shared" si="44"/>
        <v>0</v>
      </c>
      <c r="AF35" s="772">
        <f t="shared" si="44"/>
        <v>0</v>
      </c>
      <c r="AG35" s="772">
        <f t="shared" si="44"/>
        <v>0</v>
      </c>
      <c r="AH35" s="772">
        <f t="shared" si="44"/>
        <v>0</v>
      </c>
      <c r="AI35" s="772">
        <f t="shared" si="44"/>
        <v>0</v>
      </c>
      <c r="AJ35" s="772">
        <f t="shared" si="44"/>
        <v>0</v>
      </c>
      <c r="AK35" s="772">
        <f t="shared" si="44"/>
        <v>0</v>
      </c>
      <c r="AL35" s="772">
        <f t="shared" si="44"/>
        <v>0</v>
      </c>
      <c r="AM35" s="773">
        <f t="shared" si="45"/>
        <v>1</v>
      </c>
    </row>
    <row r="36" spans="2:39" x14ac:dyDescent="0.25">
      <c r="B36" s="245" t="str">
        <f t="shared" si="43"/>
        <v>Plugin Hybrid Electric - gasoline</v>
      </c>
      <c r="C36" s="286"/>
      <c r="D36" s="684">
        <v>0</v>
      </c>
      <c r="E36" s="684">
        <v>0</v>
      </c>
      <c r="F36" s="684">
        <v>0</v>
      </c>
      <c r="G36" s="684">
        <v>0</v>
      </c>
      <c r="H36" s="684">
        <v>0</v>
      </c>
      <c r="I36" s="684">
        <v>0</v>
      </c>
      <c r="J36" s="684">
        <v>0</v>
      </c>
      <c r="K36" s="684">
        <v>0</v>
      </c>
      <c r="L36" s="684">
        <v>0</v>
      </c>
      <c r="M36" s="684">
        <v>0</v>
      </c>
      <c r="N36" s="684">
        <v>0</v>
      </c>
      <c r="O36" s="684">
        <v>0</v>
      </c>
      <c r="P36" s="684">
        <v>0</v>
      </c>
      <c r="Q36" s="684">
        <v>0</v>
      </c>
      <c r="R36" s="684">
        <v>0</v>
      </c>
      <c r="S36" s="684">
        <v>0</v>
      </c>
      <c r="U36" s="774"/>
      <c r="V36" s="777" t="s">
        <v>122</v>
      </c>
      <c r="X36" s="772">
        <f t="shared" si="44"/>
        <v>1</v>
      </c>
      <c r="Y36" s="772">
        <f t="shared" si="44"/>
        <v>0</v>
      </c>
      <c r="Z36" s="772">
        <f t="shared" si="44"/>
        <v>0</v>
      </c>
      <c r="AA36" s="772">
        <f t="shared" si="44"/>
        <v>0</v>
      </c>
      <c r="AB36" s="772">
        <f t="shared" si="44"/>
        <v>0</v>
      </c>
      <c r="AC36" s="772">
        <f t="shared" si="44"/>
        <v>0</v>
      </c>
      <c r="AD36" s="772">
        <f t="shared" si="44"/>
        <v>0</v>
      </c>
      <c r="AE36" s="772">
        <f t="shared" si="44"/>
        <v>0</v>
      </c>
      <c r="AF36" s="772">
        <f t="shared" si="44"/>
        <v>0</v>
      </c>
      <c r="AG36" s="772">
        <f t="shared" si="44"/>
        <v>0</v>
      </c>
      <c r="AH36" s="772">
        <f t="shared" si="44"/>
        <v>0</v>
      </c>
      <c r="AI36" s="772">
        <f t="shared" si="44"/>
        <v>0</v>
      </c>
      <c r="AJ36" s="772">
        <f t="shared" si="44"/>
        <v>0</v>
      </c>
      <c r="AK36" s="772">
        <f t="shared" si="44"/>
        <v>0</v>
      </c>
      <c r="AL36" s="772">
        <f t="shared" si="44"/>
        <v>0</v>
      </c>
      <c r="AM36" s="773">
        <f t="shared" si="45"/>
        <v>1</v>
      </c>
    </row>
    <row r="37" spans="2:39" x14ac:dyDescent="0.25">
      <c r="B37" s="250" t="str">
        <f t="shared" si="43"/>
        <v>Other</v>
      </c>
      <c r="C37" s="524"/>
      <c r="D37" s="685">
        <v>0</v>
      </c>
      <c r="E37" s="685">
        <v>0</v>
      </c>
      <c r="F37" s="685">
        <v>0</v>
      </c>
      <c r="G37" s="685">
        <v>0</v>
      </c>
      <c r="H37" s="685">
        <v>0</v>
      </c>
      <c r="I37" s="685">
        <v>0</v>
      </c>
      <c r="J37" s="685">
        <v>0</v>
      </c>
      <c r="K37" s="685">
        <v>0</v>
      </c>
      <c r="L37" s="685">
        <v>0</v>
      </c>
      <c r="M37" s="685">
        <v>0</v>
      </c>
      <c r="N37" s="685">
        <v>0</v>
      </c>
      <c r="O37" s="685">
        <v>0</v>
      </c>
      <c r="P37" s="685">
        <v>0</v>
      </c>
      <c r="Q37" s="685">
        <v>0</v>
      </c>
      <c r="R37" s="685">
        <v>0</v>
      </c>
      <c r="S37" s="685">
        <v>0</v>
      </c>
      <c r="U37" s="775"/>
      <c r="V37" s="778" t="s">
        <v>122</v>
      </c>
      <c r="X37" s="772">
        <f t="shared" si="44"/>
        <v>1</v>
      </c>
      <c r="Y37" s="772">
        <f t="shared" si="44"/>
        <v>0</v>
      </c>
      <c r="Z37" s="772">
        <f t="shared" si="44"/>
        <v>0</v>
      </c>
      <c r="AA37" s="772">
        <f t="shared" si="44"/>
        <v>0</v>
      </c>
      <c r="AB37" s="772">
        <f t="shared" si="44"/>
        <v>0</v>
      </c>
      <c r="AC37" s="772">
        <f t="shared" si="44"/>
        <v>0</v>
      </c>
      <c r="AD37" s="772">
        <f>AD$6</f>
        <v>0</v>
      </c>
      <c r="AE37" s="772">
        <f t="shared" si="44"/>
        <v>0</v>
      </c>
      <c r="AF37" s="772">
        <f t="shared" si="44"/>
        <v>0</v>
      </c>
      <c r="AG37" s="772">
        <f t="shared" si="44"/>
        <v>0</v>
      </c>
      <c r="AH37" s="772">
        <f t="shared" si="44"/>
        <v>0</v>
      </c>
      <c r="AI37" s="772">
        <f t="shared" si="44"/>
        <v>0</v>
      </c>
      <c r="AJ37" s="772">
        <f t="shared" si="44"/>
        <v>0</v>
      </c>
      <c r="AK37" s="772">
        <f t="shared" si="44"/>
        <v>0</v>
      </c>
      <c r="AL37" s="772">
        <f t="shared" si="44"/>
        <v>0</v>
      </c>
      <c r="AM37" s="773">
        <f t="shared" ref="AM37" si="46">SUM(X37:AI37)</f>
        <v>1</v>
      </c>
    </row>
    <row r="38" spans="2:39" x14ac:dyDescent="0.25">
      <c r="B38" s="131" t="s">
        <v>119</v>
      </c>
      <c r="C38" s="525"/>
      <c r="D38" s="681">
        <f>SUM(D26:D37)</f>
        <v>0</v>
      </c>
      <c r="E38" s="681">
        <f t="shared" ref="E38" si="47">SUM(E26:E37)</f>
        <v>0</v>
      </c>
      <c r="F38" s="681">
        <f t="shared" ref="F38" si="48">SUM(F26:F37)</f>
        <v>0</v>
      </c>
      <c r="G38" s="681">
        <f t="shared" ref="G38" si="49">SUM(G26:G37)</f>
        <v>0</v>
      </c>
      <c r="H38" s="681">
        <f t="shared" ref="H38" si="50">SUM(H26:H37)</f>
        <v>0</v>
      </c>
      <c r="I38" s="681">
        <f t="shared" ref="I38" si="51">SUM(I26:I37)</f>
        <v>0</v>
      </c>
      <c r="J38" s="681">
        <f t="shared" ref="J38" si="52">SUM(J26:J37)</f>
        <v>0</v>
      </c>
      <c r="K38" s="681">
        <f t="shared" ref="K38" si="53">SUM(K26:K37)</f>
        <v>0</v>
      </c>
      <c r="L38" s="681">
        <f t="shared" ref="L38" si="54">SUM(L26:L37)</f>
        <v>0</v>
      </c>
      <c r="M38" s="681">
        <f t="shared" ref="M38" si="55">SUM(M26:M37)</f>
        <v>0</v>
      </c>
      <c r="N38" s="681">
        <f t="shared" ref="N38" si="56">SUM(N26:N37)</f>
        <v>0</v>
      </c>
      <c r="O38" s="681">
        <f t="shared" ref="O38" si="57">SUM(O26:O37)</f>
        <v>0</v>
      </c>
      <c r="P38" s="681">
        <f t="shared" ref="P38" si="58">SUM(P26:P37)</f>
        <v>0</v>
      </c>
      <c r="Q38" s="681">
        <f t="shared" ref="Q38" si="59">SUM(Q26:Q37)</f>
        <v>0</v>
      </c>
      <c r="R38" s="681">
        <f t="shared" ref="R38" si="60">SUM(R26:R37)</f>
        <v>0</v>
      </c>
      <c r="S38" s="681">
        <f t="shared" ref="S38" si="61">SUM(S26:S37)</f>
        <v>0</v>
      </c>
      <c r="U38" s="776">
        <f>SUM(U26:U37)</f>
        <v>0</v>
      </c>
      <c r="V38" s="776">
        <f>SUM(V26:V37)</f>
        <v>0</v>
      </c>
    </row>
    <row r="40" spans="2:39" x14ac:dyDescent="0.25">
      <c r="B40" s="476" t="s">
        <v>123</v>
      </c>
      <c r="C40" s="52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X40" s="764" t="s">
        <v>99</v>
      </c>
    </row>
    <row r="41" spans="2:39" x14ac:dyDescent="0.25">
      <c r="B41" s="476" t="s">
        <v>103</v>
      </c>
      <c r="C41" s="441" t="s">
        <v>104</v>
      </c>
      <c r="D41" s="121" t="str">
        <f>D$9</f>
        <v>Z01</v>
      </c>
      <c r="E41" s="121" t="str">
        <f t="shared" ref="E41:R41" si="62">E$9</f>
        <v>Z02</v>
      </c>
      <c r="F41" s="121" t="str">
        <f t="shared" si="62"/>
        <v>Z03</v>
      </c>
      <c r="G41" s="121" t="str">
        <f t="shared" si="62"/>
        <v>Z04</v>
      </c>
      <c r="H41" s="121" t="str">
        <f t="shared" si="62"/>
        <v>Z05</v>
      </c>
      <c r="I41" s="121" t="str">
        <f t="shared" si="62"/>
        <v>Z06</v>
      </c>
      <c r="J41" s="121" t="str">
        <f t="shared" si="62"/>
        <v>Z07</v>
      </c>
      <c r="K41" s="121" t="str">
        <f t="shared" si="62"/>
        <v>Z08</v>
      </c>
      <c r="L41" s="121" t="str">
        <f t="shared" si="62"/>
        <v>Z09</v>
      </c>
      <c r="M41" s="121" t="str">
        <f t="shared" si="62"/>
        <v>Z10</v>
      </c>
      <c r="N41" s="121" t="str">
        <f t="shared" si="62"/>
        <v>Z11</v>
      </c>
      <c r="O41" s="121" t="str">
        <f t="shared" si="62"/>
        <v>Z12</v>
      </c>
      <c r="P41" s="121" t="str">
        <f t="shared" si="62"/>
        <v>Z13</v>
      </c>
      <c r="Q41" s="121" t="str">
        <f t="shared" si="62"/>
        <v>Z14</v>
      </c>
      <c r="R41" s="121" t="str">
        <f t="shared" si="62"/>
        <v>Z15</v>
      </c>
      <c r="S41" s="121" t="s">
        <v>100</v>
      </c>
      <c r="U41" s="769" t="s">
        <v>105</v>
      </c>
      <c r="V41" s="769" t="s">
        <v>121</v>
      </c>
      <c r="X41" s="766" t="str">
        <f t="shared" ref="X41:AL41" si="63">D41</f>
        <v>Z01</v>
      </c>
      <c r="Y41" s="766" t="str">
        <f t="shared" si="63"/>
        <v>Z02</v>
      </c>
      <c r="Z41" s="766" t="str">
        <f t="shared" si="63"/>
        <v>Z03</v>
      </c>
      <c r="AA41" s="766" t="str">
        <f t="shared" si="63"/>
        <v>Z04</v>
      </c>
      <c r="AB41" s="766" t="str">
        <f t="shared" si="63"/>
        <v>Z05</v>
      </c>
      <c r="AC41" s="766" t="str">
        <f t="shared" si="63"/>
        <v>Z06</v>
      </c>
      <c r="AD41" s="766" t="str">
        <f t="shared" si="63"/>
        <v>Z07</v>
      </c>
      <c r="AE41" s="766" t="str">
        <f t="shared" si="63"/>
        <v>Z08</v>
      </c>
      <c r="AF41" s="766" t="str">
        <f t="shared" si="63"/>
        <v>Z09</v>
      </c>
      <c r="AG41" s="766" t="str">
        <f t="shared" si="63"/>
        <v>Z10</v>
      </c>
      <c r="AH41" s="766" t="str">
        <f t="shared" si="63"/>
        <v>Z11</v>
      </c>
      <c r="AI41" s="766" t="str">
        <f t="shared" si="63"/>
        <v>Z12</v>
      </c>
      <c r="AJ41" s="766" t="str">
        <f t="shared" si="63"/>
        <v>Z13</v>
      </c>
      <c r="AK41" s="766" t="str">
        <f t="shared" si="63"/>
        <v>Z14</v>
      </c>
      <c r="AL41" s="766" t="str">
        <f t="shared" si="63"/>
        <v>Z15</v>
      </c>
      <c r="AM41" s="766" t="s">
        <v>100</v>
      </c>
    </row>
    <row r="42" spans="2:39" x14ac:dyDescent="0.25">
      <c r="B42" s="245" t="str">
        <f>B26</f>
        <v>Biodiesel</v>
      </c>
      <c r="C42" s="286"/>
      <c r="D42" s="680">
        <f>$V42*X42</f>
        <v>0</v>
      </c>
      <c r="E42" s="680">
        <f t="shared" ref="E42:E53" si="64">$V42*Y42</f>
        <v>0</v>
      </c>
      <c r="F42" s="680">
        <f t="shared" ref="F42:F53" si="65">$V42*Z42</f>
        <v>0</v>
      </c>
      <c r="G42" s="680">
        <f t="shared" ref="G42:G53" si="66">$V42*AA42</f>
        <v>0</v>
      </c>
      <c r="H42" s="680">
        <f t="shared" ref="H42:H53" si="67">$V42*AB42</f>
        <v>0</v>
      </c>
      <c r="I42" s="680">
        <f t="shared" ref="I42:I53" si="68">$V42*AC42</f>
        <v>0</v>
      </c>
      <c r="J42" s="680">
        <f t="shared" ref="J42:J53" si="69">$V42*AD42</f>
        <v>0</v>
      </c>
      <c r="K42" s="680">
        <f t="shared" ref="K42:K53" si="70">$V42*AE42</f>
        <v>0</v>
      </c>
      <c r="L42" s="680">
        <f t="shared" ref="L42:L53" si="71">$V42*AF42</f>
        <v>0</v>
      </c>
      <c r="M42" s="680">
        <f t="shared" ref="M42:M53" si="72">$V42*AG42</f>
        <v>0</v>
      </c>
      <c r="N42" s="680">
        <f t="shared" ref="N42:N53" si="73">$V42*AH42</f>
        <v>0</v>
      </c>
      <c r="O42" s="680">
        <f t="shared" ref="O42:O53" si="74">$V42*AI42</f>
        <v>0</v>
      </c>
      <c r="P42" s="680">
        <f t="shared" ref="P42:P53" si="75">$V42*AJ42</f>
        <v>0</v>
      </c>
      <c r="Q42" s="680">
        <f t="shared" ref="Q42:Q53" si="76">$V42*AK42</f>
        <v>0</v>
      </c>
      <c r="R42" s="680">
        <f t="shared" ref="R42:R53" si="77">$V42*AL42</f>
        <v>0</v>
      </c>
      <c r="S42" s="680">
        <f t="shared" ref="S42:S53" si="78">$V42*AM42</f>
        <v>0</v>
      </c>
      <c r="U42" s="770"/>
      <c r="V42" s="779"/>
      <c r="X42" s="772">
        <f>X$6</f>
        <v>1</v>
      </c>
      <c r="Y42" s="772">
        <f t="shared" ref="Y42:AL42" si="79">Y$6</f>
        <v>0</v>
      </c>
      <c r="Z42" s="772">
        <f t="shared" si="79"/>
        <v>0</v>
      </c>
      <c r="AA42" s="772">
        <f t="shared" si="79"/>
        <v>0</v>
      </c>
      <c r="AB42" s="772">
        <f t="shared" si="79"/>
        <v>0</v>
      </c>
      <c r="AC42" s="772">
        <f t="shared" si="79"/>
        <v>0</v>
      </c>
      <c r="AD42" s="772">
        <f t="shared" si="79"/>
        <v>0</v>
      </c>
      <c r="AE42" s="772">
        <f t="shared" si="79"/>
        <v>0</v>
      </c>
      <c r="AF42" s="772">
        <f t="shared" si="79"/>
        <v>0</v>
      </c>
      <c r="AG42" s="772">
        <f t="shared" si="79"/>
        <v>0</v>
      </c>
      <c r="AH42" s="772">
        <f t="shared" si="79"/>
        <v>0</v>
      </c>
      <c r="AI42" s="772">
        <f t="shared" si="79"/>
        <v>0</v>
      </c>
      <c r="AJ42" s="772">
        <f t="shared" si="79"/>
        <v>0</v>
      </c>
      <c r="AK42" s="772">
        <f t="shared" si="79"/>
        <v>0</v>
      </c>
      <c r="AL42" s="772">
        <f t="shared" si="79"/>
        <v>0</v>
      </c>
      <c r="AM42" s="773">
        <f>SUM(X42:AI42)</f>
        <v>1</v>
      </c>
    </row>
    <row r="43" spans="2:39" x14ac:dyDescent="0.25">
      <c r="B43" s="245" t="str">
        <f t="shared" ref="B43:B53" si="80">B27</f>
        <v>Diesel</v>
      </c>
      <c r="C43" s="286"/>
      <c r="D43" s="680">
        <f t="shared" ref="D43:D53" si="81">$V43*X43</f>
        <v>0</v>
      </c>
      <c r="E43" s="680">
        <f t="shared" si="64"/>
        <v>0</v>
      </c>
      <c r="F43" s="680">
        <f t="shared" si="65"/>
        <v>0</v>
      </c>
      <c r="G43" s="680">
        <f t="shared" si="66"/>
        <v>0</v>
      </c>
      <c r="H43" s="680">
        <f t="shared" si="67"/>
        <v>0</v>
      </c>
      <c r="I43" s="680">
        <f t="shared" si="68"/>
        <v>0</v>
      </c>
      <c r="J43" s="680">
        <f t="shared" si="69"/>
        <v>0</v>
      </c>
      <c r="K43" s="680">
        <f t="shared" si="70"/>
        <v>0</v>
      </c>
      <c r="L43" s="680">
        <f t="shared" si="71"/>
        <v>0</v>
      </c>
      <c r="M43" s="680">
        <f t="shared" si="72"/>
        <v>0</v>
      </c>
      <c r="N43" s="680">
        <f t="shared" si="73"/>
        <v>0</v>
      </c>
      <c r="O43" s="680">
        <f t="shared" si="74"/>
        <v>0</v>
      </c>
      <c r="P43" s="680">
        <f t="shared" si="75"/>
        <v>0</v>
      </c>
      <c r="Q43" s="680">
        <f t="shared" si="76"/>
        <v>0</v>
      </c>
      <c r="R43" s="680">
        <f t="shared" si="77"/>
        <v>0</v>
      </c>
      <c r="S43" s="680">
        <f t="shared" si="78"/>
        <v>0</v>
      </c>
      <c r="U43" s="770"/>
      <c r="V43" s="779"/>
      <c r="X43" s="772">
        <f t="shared" ref="X43:AL53" si="82">X$6</f>
        <v>1</v>
      </c>
      <c r="Y43" s="772">
        <f t="shared" si="82"/>
        <v>0</v>
      </c>
      <c r="Z43" s="772">
        <f t="shared" si="82"/>
        <v>0</v>
      </c>
      <c r="AA43" s="772">
        <f t="shared" si="82"/>
        <v>0</v>
      </c>
      <c r="AB43" s="772">
        <f t="shared" si="82"/>
        <v>0</v>
      </c>
      <c r="AC43" s="772">
        <f t="shared" si="82"/>
        <v>0</v>
      </c>
      <c r="AD43" s="772">
        <f t="shared" si="82"/>
        <v>0</v>
      </c>
      <c r="AE43" s="772">
        <f t="shared" si="82"/>
        <v>0</v>
      </c>
      <c r="AF43" s="772">
        <f t="shared" si="82"/>
        <v>0</v>
      </c>
      <c r="AG43" s="772">
        <f t="shared" si="82"/>
        <v>0</v>
      </c>
      <c r="AH43" s="772">
        <f t="shared" si="82"/>
        <v>0</v>
      </c>
      <c r="AI43" s="772">
        <f t="shared" si="82"/>
        <v>0</v>
      </c>
      <c r="AJ43" s="772">
        <f t="shared" si="82"/>
        <v>0</v>
      </c>
      <c r="AK43" s="772">
        <f t="shared" si="82"/>
        <v>0</v>
      </c>
      <c r="AL43" s="772">
        <f t="shared" si="82"/>
        <v>0</v>
      </c>
      <c r="AM43" s="773">
        <f>SUM(X43:AI43)</f>
        <v>1</v>
      </c>
    </row>
    <row r="44" spans="2:39" x14ac:dyDescent="0.25">
      <c r="B44" s="245" t="str">
        <f t="shared" si="80"/>
        <v>Battery electric (BEV)</v>
      </c>
      <c r="C44" s="286" t="str">
        <f>T_NCAP_AF!C82</f>
        <v>TMOTELC900</v>
      </c>
      <c r="D44" s="680">
        <f t="shared" si="81"/>
        <v>0</v>
      </c>
      <c r="E44" s="680">
        <f t="shared" si="64"/>
        <v>0</v>
      </c>
      <c r="F44" s="680">
        <f t="shared" si="65"/>
        <v>0</v>
      </c>
      <c r="G44" s="680">
        <f t="shared" si="66"/>
        <v>0</v>
      </c>
      <c r="H44" s="680">
        <f t="shared" si="67"/>
        <v>0</v>
      </c>
      <c r="I44" s="680">
        <f t="shared" si="68"/>
        <v>0</v>
      </c>
      <c r="J44" s="680">
        <f t="shared" si="69"/>
        <v>0</v>
      </c>
      <c r="K44" s="680">
        <f t="shared" si="70"/>
        <v>0</v>
      </c>
      <c r="L44" s="680">
        <f t="shared" si="71"/>
        <v>0</v>
      </c>
      <c r="M44" s="680">
        <f t="shared" si="72"/>
        <v>0</v>
      </c>
      <c r="N44" s="680">
        <f t="shared" si="73"/>
        <v>0</v>
      </c>
      <c r="O44" s="680">
        <f t="shared" si="74"/>
        <v>0</v>
      </c>
      <c r="P44" s="680">
        <f t="shared" si="75"/>
        <v>0</v>
      </c>
      <c r="Q44" s="680">
        <f t="shared" si="76"/>
        <v>0</v>
      </c>
      <c r="R44" s="680">
        <f t="shared" si="77"/>
        <v>0</v>
      </c>
      <c r="S44" s="680">
        <f t="shared" si="78"/>
        <v>0</v>
      </c>
      <c r="U44" s="770"/>
      <c r="V44" s="779"/>
      <c r="X44" s="772">
        <f t="shared" si="82"/>
        <v>1</v>
      </c>
      <c r="Y44" s="772">
        <f t="shared" si="82"/>
        <v>0</v>
      </c>
      <c r="Z44" s="772">
        <f t="shared" si="82"/>
        <v>0</v>
      </c>
      <c r="AA44" s="772">
        <f t="shared" si="82"/>
        <v>0</v>
      </c>
      <c r="AB44" s="772">
        <f t="shared" si="82"/>
        <v>0</v>
      </c>
      <c r="AC44" s="772">
        <f t="shared" si="82"/>
        <v>0</v>
      </c>
      <c r="AD44" s="772">
        <f t="shared" si="82"/>
        <v>0</v>
      </c>
      <c r="AE44" s="772">
        <f t="shared" si="82"/>
        <v>0</v>
      </c>
      <c r="AF44" s="772">
        <f t="shared" si="82"/>
        <v>0</v>
      </c>
      <c r="AG44" s="772">
        <f t="shared" si="82"/>
        <v>0</v>
      </c>
      <c r="AH44" s="772">
        <f t="shared" si="82"/>
        <v>0</v>
      </c>
      <c r="AI44" s="772">
        <f t="shared" si="82"/>
        <v>0</v>
      </c>
      <c r="AJ44" s="772">
        <f t="shared" si="82"/>
        <v>0</v>
      </c>
      <c r="AK44" s="772">
        <f t="shared" si="82"/>
        <v>0</v>
      </c>
      <c r="AL44" s="772">
        <f t="shared" si="82"/>
        <v>0</v>
      </c>
      <c r="AM44" s="773">
        <f t="shared" ref="AM44:AM52" si="83">SUM(X44:AI44)</f>
        <v>1</v>
      </c>
    </row>
    <row r="45" spans="2:39" x14ac:dyDescent="0.25">
      <c r="B45" s="245" t="str">
        <f t="shared" si="80"/>
        <v>Ethanol</v>
      </c>
      <c r="C45" s="286"/>
      <c r="D45" s="680">
        <f t="shared" si="81"/>
        <v>0</v>
      </c>
      <c r="E45" s="680">
        <f t="shared" si="64"/>
        <v>0</v>
      </c>
      <c r="F45" s="680">
        <f t="shared" si="65"/>
        <v>0</v>
      </c>
      <c r="G45" s="680">
        <f t="shared" si="66"/>
        <v>0</v>
      </c>
      <c r="H45" s="680">
        <f t="shared" si="67"/>
        <v>0</v>
      </c>
      <c r="I45" s="680">
        <f t="shared" si="68"/>
        <v>0</v>
      </c>
      <c r="J45" s="680">
        <f t="shared" si="69"/>
        <v>0</v>
      </c>
      <c r="K45" s="680">
        <f t="shared" si="70"/>
        <v>0</v>
      </c>
      <c r="L45" s="680">
        <f t="shared" si="71"/>
        <v>0</v>
      </c>
      <c r="M45" s="680">
        <f t="shared" si="72"/>
        <v>0</v>
      </c>
      <c r="N45" s="680">
        <f t="shared" si="73"/>
        <v>0</v>
      </c>
      <c r="O45" s="680">
        <f t="shared" si="74"/>
        <v>0</v>
      </c>
      <c r="P45" s="680">
        <f t="shared" si="75"/>
        <v>0</v>
      </c>
      <c r="Q45" s="680">
        <f t="shared" si="76"/>
        <v>0</v>
      </c>
      <c r="R45" s="680">
        <f t="shared" si="77"/>
        <v>0</v>
      </c>
      <c r="S45" s="680">
        <f t="shared" si="78"/>
        <v>0</v>
      </c>
      <c r="U45" s="770"/>
      <c r="V45" s="779"/>
      <c r="X45" s="772">
        <f t="shared" si="82"/>
        <v>1</v>
      </c>
      <c r="Y45" s="772">
        <f t="shared" si="82"/>
        <v>0</v>
      </c>
      <c r="Z45" s="772">
        <f t="shared" si="82"/>
        <v>0</v>
      </c>
      <c r="AA45" s="772">
        <f t="shared" si="82"/>
        <v>0</v>
      </c>
      <c r="AB45" s="772">
        <f t="shared" si="82"/>
        <v>0</v>
      </c>
      <c r="AC45" s="772">
        <f t="shared" si="82"/>
        <v>0</v>
      </c>
      <c r="AD45" s="772">
        <f t="shared" si="82"/>
        <v>0</v>
      </c>
      <c r="AE45" s="772">
        <f t="shared" si="82"/>
        <v>0</v>
      </c>
      <c r="AF45" s="772">
        <f t="shared" si="82"/>
        <v>0</v>
      </c>
      <c r="AG45" s="772">
        <f t="shared" si="82"/>
        <v>0</v>
      </c>
      <c r="AH45" s="772">
        <f t="shared" si="82"/>
        <v>0</v>
      </c>
      <c r="AI45" s="772">
        <f t="shared" si="82"/>
        <v>0</v>
      </c>
      <c r="AJ45" s="772">
        <f t="shared" si="82"/>
        <v>0</v>
      </c>
      <c r="AK45" s="772">
        <f t="shared" si="82"/>
        <v>0</v>
      </c>
      <c r="AL45" s="772">
        <f t="shared" si="82"/>
        <v>0</v>
      </c>
      <c r="AM45" s="773">
        <f t="shared" si="83"/>
        <v>1</v>
      </c>
    </row>
    <row r="46" spans="2:39" x14ac:dyDescent="0.25">
      <c r="B46" s="245" t="str">
        <f t="shared" si="80"/>
        <v>Gas (CNG)</v>
      </c>
      <c r="C46" s="286"/>
      <c r="D46" s="680">
        <f t="shared" si="81"/>
        <v>0</v>
      </c>
      <c r="E46" s="680">
        <f t="shared" si="64"/>
        <v>0</v>
      </c>
      <c r="F46" s="680">
        <f t="shared" si="65"/>
        <v>0</v>
      </c>
      <c r="G46" s="680">
        <f t="shared" si="66"/>
        <v>0</v>
      </c>
      <c r="H46" s="680">
        <f t="shared" si="67"/>
        <v>0</v>
      </c>
      <c r="I46" s="680">
        <f t="shared" si="68"/>
        <v>0</v>
      </c>
      <c r="J46" s="680">
        <f t="shared" si="69"/>
        <v>0</v>
      </c>
      <c r="K46" s="680">
        <f t="shared" si="70"/>
        <v>0</v>
      </c>
      <c r="L46" s="680">
        <f t="shared" si="71"/>
        <v>0</v>
      </c>
      <c r="M46" s="680">
        <f t="shared" si="72"/>
        <v>0</v>
      </c>
      <c r="N46" s="680">
        <f t="shared" si="73"/>
        <v>0</v>
      </c>
      <c r="O46" s="680">
        <f t="shared" si="74"/>
        <v>0</v>
      </c>
      <c r="P46" s="680">
        <f t="shared" si="75"/>
        <v>0</v>
      </c>
      <c r="Q46" s="680">
        <f t="shared" si="76"/>
        <v>0</v>
      </c>
      <c r="R46" s="680">
        <f t="shared" si="77"/>
        <v>0</v>
      </c>
      <c r="S46" s="680">
        <f t="shared" si="78"/>
        <v>0</v>
      </c>
      <c r="U46" s="770"/>
      <c r="V46" s="779"/>
      <c r="X46" s="772">
        <f t="shared" si="82"/>
        <v>1</v>
      </c>
      <c r="Y46" s="772">
        <f t="shared" si="82"/>
        <v>0</v>
      </c>
      <c r="Z46" s="772">
        <f t="shared" si="82"/>
        <v>0</v>
      </c>
      <c r="AA46" s="772">
        <f t="shared" si="82"/>
        <v>0</v>
      </c>
      <c r="AB46" s="772">
        <f t="shared" si="82"/>
        <v>0</v>
      </c>
      <c r="AC46" s="772">
        <f t="shared" si="82"/>
        <v>0</v>
      </c>
      <c r="AD46" s="772">
        <f t="shared" si="82"/>
        <v>0</v>
      </c>
      <c r="AE46" s="772">
        <f t="shared" si="82"/>
        <v>0</v>
      </c>
      <c r="AF46" s="772">
        <f t="shared" si="82"/>
        <v>0</v>
      </c>
      <c r="AG46" s="772">
        <f t="shared" si="82"/>
        <v>0</v>
      </c>
      <c r="AH46" s="772">
        <f t="shared" si="82"/>
        <v>0</v>
      </c>
      <c r="AI46" s="772">
        <f t="shared" si="82"/>
        <v>0</v>
      </c>
      <c r="AJ46" s="772">
        <f t="shared" si="82"/>
        <v>0</v>
      </c>
      <c r="AK46" s="772">
        <f t="shared" si="82"/>
        <v>0</v>
      </c>
      <c r="AL46" s="772">
        <f t="shared" si="82"/>
        <v>0</v>
      </c>
      <c r="AM46" s="773">
        <f t="shared" si="83"/>
        <v>1</v>
      </c>
    </row>
    <row r="47" spans="2:39" x14ac:dyDescent="0.25">
      <c r="B47" s="245" t="str">
        <f t="shared" si="80"/>
        <v>Gasoline</v>
      </c>
      <c r="C47" s="286" t="str">
        <f>T_NCAP_AF!C85</f>
        <v>TMOTGSL900</v>
      </c>
      <c r="D47" s="680">
        <f>$V47*X47</f>
        <v>0</v>
      </c>
      <c r="E47" s="680">
        <f t="shared" si="64"/>
        <v>0</v>
      </c>
      <c r="F47" s="680">
        <f t="shared" si="65"/>
        <v>0</v>
      </c>
      <c r="G47" s="680">
        <f t="shared" si="66"/>
        <v>0</v>
      </c>
      <c r="H47" s="680">
        <f t="shared" si="67"/>
        <v>0</v>
      </c>
      <c r="I47" s="680">
        <f t="shared" si="68"/>
        <v>0</v>
      </c>
      <c r="J47" s="680">
        <f t="shared" si="69"/>
        <v>0</v>
      </c>
      <c r="K47" s="680">
        <f t="shared" si="70"/>
        <v>0</v>
      </c>
      <c r="L47" s="680">
        <f t="shared" si="71"/>
        <v>0</v>
      </c>
      <c r="M47" s="680">
        <f t="shared" si="72"/>
        <v>0</v>
      </c>
      <c r="N47" s="680">
        <f t="shared" si="73"/>
        <v>0</v>
      </c>
      <c r="O47" s="680">
        <f t="shared" si="74"/>
        <v>0</v>
      </c>
      <c r="P47" s="680">
        <f t="shared" si="75"/>
        <v>0</v>
      </c>
      <c r="Q47" s="680">
        <f t="shared" si="76"/>
        <v>0</v>
      </c>
      <c r="R47" s="680">
        <f t="shared" si="77"/>
        <v>0</v>
      </c>
      <c r="S47" s="680">
        <f t="shared" si="78"/>
        <v>0</v>
      </c>
      <c r="U47" s="770"/>
      <c r="V47" s="779"/>
      <c r="X47" s="772">
        <f t="shared" si="82"/>
        <v>1</v>
      </c>
      <c r="Y47" s="772">
        <f t="shared" si="82"/>
        <v>0</v>
      </c>
      <c r="Z47" s="772">
        <f t="shared" si="82"/>
        <v>0</v>
      </c>
      <c r="AA47" s="772">
        <f t="shared" si="82"/>
        <v>0</v>
      </c>
      <c r="AB47" s="772">
        <f t="shared" si="82"/>
        <v>0</v>
      </c>
      <c r="AC47" s="772">
        <f t="shared" si="82"/>
        <v>0</v>
      </c>
      <c r="AD47" s="772">
        <f t="shared" si="82"/>
        <v>0</v>
      </c>
      <c r="AE47" s="772">
        <f t="shared" si="82"/>
        <v>0</v>
      </c>
      <c r="AF47" s="772">
        <f t="shared" si="82"/>
        <v>0</v>
      </c>
      <c r="AG47" s="772">
        <f t="shared" si="82"/>
        <v>0</v>
      </c>
      <c r="AH47" s="772">
        <f t="shared" si="82"/>
        <v>0</v>
      </c>
      <c r="AI47" s="772">
        <f t="shared" si="82"/>
        <v>0</v>
      </c>
      <c r="AJ47" s="772">
        <f t="shared" si="82"/>
        <v>0</v>
      </c>
      <c r="AK47" s="772">
        <f t="shared" si="82"/>
        <v>0</v>
      </c>
      <c r="AL47" s="772">
        <f t="shared" si="82"/>
        <v>0</v>
      </c>
      <c r="AM47" s="773">
        <f t="shared" si="83"/>
        <v>1</v>
      </c>
    </row>
    <row r="48" spans="2:39" x14ac:dyDescent="0.25">
      <c r="B48" s="245" t="str">
        <f t="shared" si="80"/>
        <v>Hybrid Electric - diesel</v>
      </c>
      <c r="C48" s="286"/>
      <c r="D48" s="680">
        <f t="shared" si="81"/>
        <v>0</v>
      </c>
      <c r="E48" s="680">
        <f t="shared" si="64"/>
        <v>0</v>
      </c>
      <c r="F48" s="680">
        <f t="shared" si="65"/>
        <v>0</v>
      </c>
      <c r="G48" s="680">
        <f t="shared" si="66"/>
        <v>0</v>
      </c>
      <c r="H48" s="680">
        <f t="shared" si="67"/>
        <v>0</v>
      </c>
      <c r="I48" s="680">
        <f t="shared" si="68"/>
        <v>0</v>
      </c>
      <c r="J48" s="680">
        <f t="shared" si="69"/>
        <v>0</v>
      </c>
      <c r="K48" s="680">
        <f t="shared" si="70"/>
        <v>0</v>
      </c>
      <c r="L48" s="680">
        <f t="shared" si="71"/>
        <v>0</v>
      </c>
      <c r="M48" s="680">
        <f t="shared" si="72"/>
        <v>0</v>
      </c>
      <c r="N48" s="680">
        <f t="shared" si="73"/>
        <v>0</v>
      </c>
      <c r="O48" s="680">
        <f t="shared" si="74"/>
        <v>0</v>
      </c>
      <c r="P48" s="680">
        <f t="shared" si="75"/>
        <v>0</v>
      </c>
      <c r="Q48" s="680">
        <f t="shared" si="76"/>
        <v>0</v>
      </c>
      <c r="R48" s="680">
        <f t="shared" si="77"/>
        <v>0</v>
      </c>
      <c r="S48" s="680">
        <f t="shared" si="78"/>
        <v>0</v>
      </c>
      <c r="U48" s="770"/>
      <c r="V48" s="779"/>
      <c r="X48" s="772">
        <f t="shared" si="82"/>
        <v>1</v>
      </c>
      <c r="Y48" s="772">
        <f t="shared" si="82"/>
        <v>0</v>
      </c>
      <c r="Z48" s="772">
        <f t="shared" si="82"/>
        <v>0</v>
      </c>
      <c r="AA48" s="772">
        <f t="shared" si="82"/>
        <v>0</v>
      </c>
      <c r="AB48" s="772">
        <f t="shared" si="82"/>
        <v>0</v>
      </c>
      <c r="AC48" s="772">
        <f t="shared" si="82"/>
        <v>0</v>
      </c>
      <c r="AD48" s="772">
        <f t="shared" si="82"/>
        <v>0</v>
      </c>
      <c r="AE48" s="772">
        <f t="shared" si="82"/>
        <v>0</v>
      </c>
      <c r="AF48" s="772">
        <f t="shared" si="82"/>
        <v>0</v>
      </c>
      <c r="AG48" s="772">
        <f t="shared" si="82"/>
        <v>0</v>
      </c>
      <c r="AH48" s="772">
        <f t="shared" si="82"/>
        <v>0</v>
      </c>
      <c r="AI48" s="772">
        <f t="shared" si="82"/>
        <v>0</v>
      </c>
      <c r="AJ48" s="772">
        <f t="shared" si="82"/>
        <v>0</v>
      </c>
      <c r="AK48" s="772">
        <f t="shared" si="82"/>
        <v>0</v>
      </c>
      <c r="AL48" s="772">
        <f t="shared" si="82"/>
        <v>0</v>
      </c>
      <c r="AM48" s="773">
        <f t="shared" si="83"/>
        <v>1</v>
      </c>
    </row>
    <row r="49" spans="2:39" x14ac:dyDescent="0.25">
      <c r="B49" s="245" t="str">
        <f t="shared" si="80"/>
        <v>Hybrid Electric - gasoline</v>
      </c>
      <c r="C49" s="286"/>
      <c r="D49" s="680">
        <f t="shared" si="81"/>
        <v>0</v>
      </c>
      <c r="E49" s="680">
        <f t="shared" si="64"/>
        <v>0</v>
      </c>
      <c r="F49" s="680">
        <f t="shared" si="65"/>
        <v>0</v>
      </c>
      <c r="G49" s="680">
        <f t="shared" si="66"/>
        <v>0</v>
      </c>
      <c r="H49" s="680">
        <f t="shared" si="67"/>
        <v>0</v>
      </c>
      <c r="I49" s="680">
        <f t="shared" si="68"/>
        <v>0</v>
      </c>
      <c r="J49" s="680">
        <f t="shared" si="69"/>
        <v>0</v>
      </c>
      <c r="K49" s="680">
        <f t="shared" si="70"/>
        <v>0</v>
      </c>
      <c r="L49" s="680">
        <f t="shared" si="71"/>
        <v>0</v>
      </c>
      <c r="M49" s="680">
        <f t="shared" si="72"/>
        <v>0</v>
      </c>
      <c r="N49" s="680">
        <f t="shared" si="73"/>
        <v>0</v>
      </c>
      <c r="O49" s="680">
        <f t="shared" si="74"/>
        <v>0</v>
      </c>
      <c r="P49" s="680">
        <f t="shared" si="75"/>
        <v>0</v>
      </c>
      <c r="Q49" s="680">
        <f t="shared" si="76"/>
        <v>0</v>
      </c>
      <c r="R49" s="680">
        <f t="shared" si="77"/>
        <v>0</v>
      </c>
      <c r="S49" s="680">
        <f t="shared" si="78"/>
        <v>0</v>
      </c>
      <c r="U49" s="770"/>
      <c r="V49" s="779"/>
      <c r="X49" s="772">
        <f t="shared" si="82"/>
        <v>1</v>
      </c>
      <c r="Y49" s="772">
        <f t="shared" si="82"/>
        <v>0</v>
      </c>
      <c r="Z49" s="772">
        <f t="shared" si="82"/>
        <v>0</v>
      </c>
      <c r="AA49" s="772">
        <f t="shared" si="82"/>
        <v>0</v>
      </c>
      <c r="AB49" s="772">
        <f t="shared" si="82"/>
        <v>0</v>
      </c>
      <c r="AC49" s="772">
        <f t="shared" si="82"/>
        <v>0</v>
      </c>
      <c r="AD49" s="772">
        <f t="shared" si="82"/>
        <v>0</v>
      </c>
      <c r="AE49" s="772">
        <f t="shared" si="82"/>
        <v>0</v>
      </c>
      <c r="AF49" s="772">
        <f t="shared" si="82"/>
        <v>0</v>
      </c>
      <c r="AG49" s="772">
        <f t="shared" si="82"/>
        <v>0</v>
      </c>
      <c r="AH49" s="772">
        <f t="shared" si="82"/>
        <v>0</v>
      </c>
      <c r="AI49" s="772">
        <f t="shared" si="82"/>
        <v>0</v>
      </c>
      <c r="AJ49" s="772">
        <f t="shared" si="82"/>
        <v>0</v>
      </c>
      <c r="AK49" s="772">
        <f t="shared" si="82"/>
        <v>0</v>
      </c>
      <c r="AL49" s="772">
        <f t="shared" si="82"/>
        <v>0</v>
      </c>
      <c r="AM49" s="773">
        <f t="shared" si="83"/>
        <v>1</v>
      </c>
    </row>
    <row r="50" spans="2:39" x14ac:dyDescent="0.25">
      <c r="B50" s="245" t="str">
        <f t="shared" si="80"/>
        <v>LPG</v>
      </c>
      <c r="C50" s="286"/>
      <c r="D50" s="680">
        <f t="shared" si="81"/>
        <v>0</v>
      </c>
      <c r="E50" s="680">
        <f t="shared" si="64"/>
        <v>0</v>
      </c>
      <c r="F50" s="680">
        <f t="shared" si="65"/>
        <v>0</v>
      </c>
      <c r="G50" s="680">
        <f t="shared" si="66"/>
        <v>0</v>
      </c>
      <c r="H50" s="680">
        <f t="shared" si="67"/>
        <v>0</v>
      </c>
      <c r="I50" s="680">
        <f t="shared" si="68"/>
        <v>0</v>
      </c>
      <c r="J50" s="680">
        <f t="shared" si="69"/>
        <v>0</v>
      </c>
      <c r="K50" s="680">
        <f t="shared" si="70"/>
        <v>0</v>
      </c>
      <c r="L50" s="680">
        <f t="shared" si="71"/>
        <v>0</v>
      </c>
      <c r="M50" s="680">
        <f t="shared" si="72"/>
        <v>0</v>
      </c>
      <c r="N50" s="680">
        <f t="shared" si="73"/>
        <v>0</v>
      </c>
      <c r="O50" s="680">
        <f t="shared" si="74"/>
        <v>0</v>
      </c>
      <c r="P50" s="680">
        <f t="shared" si="75"/>
        <v>0</v>
      </c>
      <c r="Q50" s="680">
        <f t="shared" si="76"/>
        <v>0</v>
      </c>
      <c r="R50" s="680">
        <f t="shared" si="77"/>
        <v>0</v>
      </c>
      <c r="S50" s="680">
        <f t="shared" si="78"/>
        <v>0</v>
      </c>
      <c r="U50" s="770"/>
      <c r="V50" s="779"/>
      <c r="X50" s="772">
        <f t="shared" si="82"/>
        <v>1</v>
      </c>
      <c r="Y50" s="772">
        <f t="shared" si="82"/>
        <v>0</v>
      </c>
      <c r="Z50" s="772">
        <f t="shared" si="82"/>
        <v>0</v>
      </c>
      <c r="AA50" s="772">
        <f t="shared" si="82"/>
        <v>0</v>
      </c>
      <c r="AB50" s="772">
        <f t="shared" si="82"/>
        <v>0</v>
      </c>
      <c r="AC50" s="772">
        <f t="shared" si="82"/>
        <v>0</v>
      </c>
      <c r="AD50" s="772">
        <f t="shared" si="82"/>
        <v>0</v>
      </c>
      <c r="AE50" s="772">
        <f t="shared" si="82"/>
        <v>0</v>
      </c>
      <c r="AF50" s="772">
        <f t="shared" si="82"/>
        <v>0</v>
      </c>
      <c r="AG50" s="772">
        <f t="shared" si="82"/>
        <v>0</v>
      </c>
      <c r="AH50" s="772">
        <f t="shared" si="82"/>
        <v>0</v>
      </c>
      <c r="AI50" s="772">
        <f t="shared" si="82"/>
        <v>0</v>
      </c>
      <c r="AJ50" s="772">
        <f t="shared" si="82"/>
        <v>0</v>
      </c>
      <c r="AK50" s="772">
        <f t="shared" si="82"/>
        <v>0</v>
      </c>
      <c r="AL50" s="772">
        <f t="shared" si="82"/>
        <v>0</v>
      </c>
      <c r="AM50" s="773">
        <f t="shared" si="83"/>
        <v>1</v>
      </c>
    </row>
    <row r="51" spans="2:39" x14ac:dyDescent="0.25">
      <c r="B51" s="245" t="str">
        <f t="shared" si="80"/>
        <v>Plugin Hybrid Electric - diesel</v>
      </c>
      <c r="C51" s="286"/>
      <c r="D51" s="680">
        <f t="shared" si="81"/>
        <v>0</v>
      </c>
      <c r="E51" s="680">
        <f t="shared" si="64"/>
        <v>0</v>
      </c>
      <c r="F51" s="680">
        <f t="shared" si="65"/>
        <v>0</v>
      </c>
      <c r="G51" s="680">
        <f t="shared" si="66"/>
        <v>0</v>
      </c>
      <c r="H51" s="680">
        <f t="shared" si="67"/>
        <v>0</v>
      </c>
      <c r="I51" s="680">
        <f t="shared" si="68"/>
        <v>0</v>
      </c>
      <c r="J51" s="680">
        <f t="shared" si="69"/>
        <v>0</v>
      </c>
      <c r="K51" s="680">
        <f t="shared" si="70"/>
        <v>0</v>
      </c>
      <c r="L51" s="680">
        <f t="shared" si="71"/>
        <v>0</v>
      </c>
      <c r="M51" s="680">
        <f t="shared" si="72"/>
        <v>0</v>
      </c>
      <c r="N51" s="680">
        <f t="shared" si="73"/>
        <v>0</v>
      </c>
      <c r="O51" s="680">
        <f t="shared" si="74"/>
        <v>0</v>
      </c>
      <c r="P51" s="680">
        <f t="shared" si="75"/>
        <v>0</v>
      </c>
      <c r="Q51" s="680">
        <f t="shared" si="76"/>
        <v>0</v>
      </c>
      <c r="R51" s="680">
        <f t="shared" si="77"/>
        <v>0</v>
      </c>
      <c r="S51" s="680">
        <f t="shared" si="78"/>
        <v>0</v>
      </c>
      <c r="U51" s="770"/>
      <c r="V51" s="779"/>
      <c r="X51" s="772">
        <f t="shared" si="82"/>
        <v>1</v>
      </c>
      <c r="Y51" s="772">
        <f t="shared" si="82"/>
        <v>0</v>
      </c>
      <c r="Z51" s="772">
        <f t="shared" si="82"/>
        <v>0</v>
      </c>
      <c r="AA51" s="772">
        <f t="shared" si="82"/>
        <v>0</v>
      </c>
      <c r="AB51" s="772">
        <f t="shared" si="82"/>
        <v>0</v>
      </c>
      <c r="AC51" s="772">
        <f t="shared" si="82"/>
        <v>0</v>
      </c>
      <c r="AD51" s="772">
        <f t="shared" si="82"/>
        <v>0</v>
      </c>
      <c r="AE51" s="772">
        <f t="shared" si="82"/>
        <v>0</v>
      </c>
      <c r="AF51" s="772">
        <f t="shared" si="82"/>
        <v>0</v>
      </c>
      <c r="AG51" s="772">
        <f t="shared" si="82"/>
        <v>0</v>
      </c>
      <c r="AH51" s="772">
        <f t="shared" si="82"/>
        <v>0</v>
      </c>
      <c r="AI51" s="772">
        <f t="shared" si="82"/>
        <v>0</v>
      </c>
      <c r="AJ51" s="772">
        <f t="shared" si="82"/>
        <v>0</v>
      </c>
      <c r="AK51" s="772">
        <f t="shared" si="82"/>
        <v>0</v>
      </c>
      <c r="AL51" s="772">
        <f t="shared" si="82"/>
        <v>0</v>
      </c>
      <c r="AM51" s="773">
        <f t="shared" si="83"/>
        <v>1</v>
      </c>
    </row>
    <row r="52" spans="2:39" x14ac:dyDescent="0.25">
      <c r="B52" s="245" t="str">
        <f t="shared" si="80"/>
        <v>Plugin Hybrid Electric - gasoline</v>
      </c>
      <c r="C52" s="286"/>
      <c r="D52" s="680">
        <f t="shared" si="81"/>
        <v>0</v>
      </c>
      <c r="E52" s="680">
        <f t="shared" si="64"/>
        <v>0</v>
      </c>
      <c r="F52" s="680">
        <f t="shared" si="65"/>
        <v>0</v>
      </c>
      <c r="G52" s="680">
        <f t="shared" si="66"/>
        <v>0</v>
      </c>
      <c r="H52" s="680">
        <f t="shared" si="67"/>
        <v>0</v>
      </c>
      <c r="I52" s="680">
        <f t="shared" si="68"/>
        <v>0</v>
      </c>
      <c r="J52" s="680">
        <f t="shared" si="69"/>
        <v>0</v>
      </c>
      <c r="K52" s="680">
        <f t="shared" si="70"/>
        <v>0</v>
      </c>
      <c r="L52" s="680">
        <f t="shared" si="71"/>
        <v>0</v>
      </c>
      <c r="M52" s="680">
        <f t="shared" si="72"/>
        <v>0</v>
      </c>
      <c r="N52" s="680">
        <f t="shared" si="73"/>
        <v>0</v>
      </c>
      <c r="O52" s="680">
        <f t="shared" si="74"/>
        <v>0</v>
      </c>
      <c r="P52" s="680">
        <f t="shared" si="75"/>
        <v>0</v>
      </c>
      <c r="Q52" s="680">
        <f t="shared" si="76"/>
        <v>0</v>
      </c>
      <c r="R52" s="680">
        <f t="shared" si="77"/>
        <v>0</v>
      </c>
      <c r="S52" s="680">
        <f t="shared" si="78"/>
        <v>0</v>
      </c>
      <c r="U52" s="770"/>
      <c r="V52" s="779"/>
      <c r="X52" s="772">
        <f t="shared" si="82"/>
        <v>1</v>
      </c>
      <c r="Y52" s="772">
        <f t="shared" si="82"/>
        <v>0</v>
      </c>
      <c r="Z52" s="772">
        <f t="shared" si="82"/>
        <v>0</v>
      </c>
      <c r="AA52" s="772">
        <f t="shared" si="82"/>
        <v>0</v>
      </c>
      <c r="AB52" s="772">
        <f t="shared" si="82"/>
        <v>0</v>
      </c>
      <c r="AC52" s="772">
        <f t="shared" si="82"/>
        <v>0</v>
      </c>
      <c r="AD52" s="772">
        <f t="shared" si="82"/>
        <v>0</v>
      </c>
      <c r="AE52" s="772">
        <f t="shared" si="82"/>
        <v>0</v>
      </c>
      <c r="AF52" s="772">
        <f t="shared" si="82"/>
        <v>0</v>
      </c>
      <c r="AG52" s="772">
        <f t="shared" si="82"/>
        <v>0</v>
      </c>
      <c r="AH52" s="772">
        <f t="shared" si="82"/>
        <v>0</v>
      </c>
      <c r="AI52" s="772">
        <f t="shared" si="82"/>
        <v>0</v>
      </c>
      <c r="AJ52" s="772">
        <f t="shared" si="82"/>
        <v>0</v>
      </c>
      <c r="AK52" s="772">
        <f t="shared" si="82"/>
        <v>0</v>
      </c>
      <c r="AL52" s="772">
        <f t="shared" si="82"/>
        <v>0</v>
      </c>
      <c r="AM52" s="773">
        <f t="shared" si="83"/>
        <v>1</v>
      </c>
    </row>
    <row r="53" spans="2:39" x14ac:dyDescent="0.25">
      <c r="B53" s="250" t="str">
        <f t="shared" si="80"/>
        <v>Other</v>
      </c>
      <c r="C53" s="524"/>
      <c r="D53" s="444">
        <f t="shared" si="81"/>
        <v>0</v>
      </c>
      <c r="E53" s="444">
        <f t="shared" si="64"/>
        <v>0</v>
      </c>
      <c r="F53" s="444">
        <f t="shared" si="65"/>
        <v>0</v>
      </c>
      <c r="G53" s="444">
        <f t="shared" si="66"/>
        <v>0</v>
      </c>
      <c r="H53" s="444">
        <f t="shared" si="67"/>
        <v>0</v>
      </c>
      <c r="I53" s="444">
        <f t="shared" si="68"/>
        <v>0</v>
      </c>
      <c r="J53" s="444">
        <f t="shared" si="69"/>
        <v>0</v>
      </c>
      <c r="K53" s="444">
        <f t="shared" si="70"/>
        <v>0</v>
      </c>
      <c r="L53" s="444">
        <f t="shared" si="71"/>
        <v>0</v>
      </c>
      <c r="M53" s="444">
        <f t="shared" si="72"/>
        <v>0</v>
      </c>
      <c r="N53" s="444">
        <f t="shared" si="73"/>
        <v>0</v>
      </c>
      <c r="O53" s="444">
        <f t="shared" si="74"/>
        <v>0</v>
      </c>
      <c r="P53" s="444">
        <f t="shared" si="75"/>
        <v>0</v>
      </c>
      <c r="Q53" s="444">
        <f t="shared" si="76"/>
        <v>0</v>
      </c>
      <c r="R53" s="444">
        <f t="shared" si="77"/>
        <v>0</v>
      </c>
      <c r="S53" s="444">
        <f t="shared" si="78"/>
        <v>0</v>
      </c>
      <c r="U53" s="780"/>
      <c r="V53" s="781"/>
      <c r="X53" s="772">
        <f t="shared" si="82"/>
        <v>1</v>
      </c>
      <c r="Y53" s="772">
        <f t="shared" si="82"/>
        <v>0</v>
      </c>
      <c r="Z53" s="772">
        <f t="shared" si="82"/>
        <v>0</v>
      </c>
      <c r="AA53" s="772">
        <f t="shared" si="82"/>
        <v>0</v>
      </c>
      <c r="AB53" s="772">
        <f t="shared" si="82"/>
        <v>0</v>
      </c>
      <c r="AC53" s="772">
        <f t="shared" si="82"/>
        <v>0</v>
      </c>
      <c r="AD53" s="772">
        <f>AD$6</f>
        <v>0</v>
      </c>
      <c r="AE53" s="772">
        <f t="shared" si="82"/>
        <v>0</v>
      </c>
      <c r="AF53" s="772">
        <f t="shared" si="82"/>
        <v>0</v>
      </c>
      <c r="AG53" s="772">
        <f t="shared" si="82"/>
        <v>0</v>
      </c>
      <c r="AH53" s="772">
        <f t="shared" si="82"/>
        <v>0</v>
      </c>
      <c r="AI53" s="772">
        <f t="shared" si="82"/>
        <v>0</v>
      </c>
      <c r="AJ53" s="772">
        <f t="shared" si="82"/>
        <v>0</v>
      </c>
      <c r="AK53" s="772">
        <f t="shared" si="82"/>
        <v>0</v>
      </c>
      <c r="AL53" s="772">
        <f t="shared" si="82"/>
        <v>0</v>
      </c>
      <c r="AM53" s="773">
        <f t="shared" ref="AM53" si="84">SUM(X53:AI53)</f>
        <v>1</v>
      </c>
    </row>
    <row r="54" spans="2:39" x14ac:dyDescent="0.25">
      <c r="B54" s="131" t="s">
        <v>119</v>
      </c>
      <c r="C54" s="525"/>
      <c r="D54" s="681">
        <f>SUM(D42:D53)</f>
        <v>0</v>
      </c>
      <c r="E54" s="681">
        <f t="shared" ref="E54" si="85">SUM(E42:E53)</f>
        <v>0</v>
      </c>
      <c r="F54" s="681">
        <f t="shared" ref="F54" si="86">SUM(F42:F53)</f>
        <v>0</v>
      </c>
      <c r="G54" s="681">
        <f t="shared" ref="G54" si="87">SUM(G42:G53)</f>
        <v>0</v>
      </c>
      <c r="H54" s="681">
        <f t="shared" ref="H54" si="88">SUM(H42:H53)</f>
        <v>0</v>
      </c>
      <c r="I54" s="681">
        <f t="shared" ref="I54" si="89">SUM(I42:I53)</f>
        <v>0</v>
      </c>
      <c r="J54" s="681">
        <f t="shared" ref="J54" si="90">SUM(J42:J53)</f>
        <v>0</v>
      </c>
      <c r="K54" s="681">
        <f t="shared" ref="K54" si="91">SUM(K42:K53)</f>
        <v>0</v>
      </c>
      <c r="L54" s="681">
        <f t="shared" ref="L54" si="92">SUM(L42:L53)</f>
        <v>0</v>
      </c>
      <c r="M54" s="681">
        <f t="shared" ref="M54" si="93">SUM(M42:M53)</f>
        <v>0</v>
      </c>
      <c r="N54" s="681">
        <f t="shared" ref="N54" si="94">SUM(N42:N53)</f>
        <v>0</v>
      </c>
      <c r="O54" s="681">
        <f t="shared" ref="O54" si="95">SUM(O42:O53)</f>
        <v>0</v>
      </c>
      <c r="P54" s="681">
        <f t="shared" ref="P54" si="96">SUM(P42:P53)</f>
        <v>0</v>
      </c>
      <c r="Q54" s="681">
        <f t="shared" ref="Q54" si="97">SUM(Q42:Q53)</f>
        <v>0</v>
      </c>
      <c r="R54" s="681">
        <f t="shared" ref="R54" si="98">SUM(R42:R53)</f>
        <v>0</v>
      </c>
      <c r="S54" s="681">
        <f t="shared" ref="S54" si="99">SUM(S42:S53)</f>
        <v>0</v>
      </c>
      <c r="U54" s="776">
        <f>SUM(U42:U53)</f>
        <v>0</v>
      </c>
      <c r="V54" s="782">
        <f>SUM(V42:V52)</f>
        <v>0</v>
      </c>
      <c r="X54" s="783"/>
      <c r="Y54" s="783"/>
      <c r="Z54" s="783"/>
      <c r="AA54" s="783"/>
      <c r="AB54" s="783"/>
      <c r="AC54" s="783"/>
      <c r="AD54" s="783"/>
      <c r="AE54" s="783"/>
      <c r="AF54" s="783"/>
      <c r="AG54" s="783"/>
      <c r="AH54" s="783"/>
    </row>
    <row r="56" spans="2:39" s="479" customFormat="1" x14ac:dyDescent="0.25">
      <c r="B56" s="476" t="s">
        <v>124</v>
      </c>
      <c r="C56" s="523"/>
      <c r="U56" s="760"/>
      <c r="V56" s="759"/>
      <c r="W56" s="760"/>
      <c r="X56" s="764" t="s">
        <v>99</v>
      </c>
      <c r="Y56" s="784"/>
      <c r="Z56" s="784"/>
      <c r="AA56" s="784"/>
      <c r="AB56" s="784"/>
      <c r="AC56" s="784"/>
      <c r="AD56" s="784"/>
      <c r="AE56" s="760"/>
      <c r="AF56" s="760"/>
      <c r="AG56" s="760"/>
      <c r="AH56" s="760"/>
      <c r="AI56" s="760"/>
      <c r="AJ56" s="760"/>
      <c r="AK56" s="760"/>
      <c r="AL56" s="760"/>
      <c r="AM56" s="760"/>
    </row>
    <row r="57" spans="2:39" s="479" customFormat="1" x14ac:dyDescent="0.25">
      <c r="B57" s="476" t="s">
        <v>103</v>
      </c>
      <c r="C57" s="441" t="s">
        <v>104</v>
      </c>
      <c r="D57" s="121" t="str">
        <f>D$9</f>
        <v>Z01</v>
      </c>
      <c r="E57" s="121" t="str">
        <f t="shared" ref="E57:R57" si="100">E$9</f>
        <v>Z02</v>
      </c>
      <c r="F57" s="121" t="str">
        <f t="shared" si="100"/>
        <v>Z03</v>
      </c>
      <c r="G57" s="121" t="str">
        <f t="shared" si="100"/>
        <v>Z04</v>
      </c>
      <c r="H57" s="121" t="str">
        <f t="shared" si="100"/>
        <v>Z05</v>
      </c>
      <c r="I57" s="121" t="str">
        <f t="shared" si="100"/>
        <v>Z06</v>
      </c>
      <c r="J57" s="121" t="str">
        <f t="shared" si="100"/>
        <v>Z07</v>
      </c>
      <c r="K57" s="121" t="str">
        <f t="shared" si="100"/>
        <v>Z08</v>
      </c>
      <c r="L57" s="121" t="str">
        <f t="shared" si="100"/>
        <v>Z09</v>
      </c>
      <c r="M57" s="121" t="str">
        <f t="shared" si="100"/>
        <v>Z10</v>
      </c>
      <c r="N57" s="121" t="str">
        <f t="shared" si="100"/>
        <v>Z11</v>
      </c>
      <c r="O57" s="121" t="str">
        <f t="shared" si="100"/>
        <v>Z12</v>
      </c>
      <c r="P57" s="121" t="str">
        <f t="shared" si="100"/>
        <v>Z13</v>
      </c>
      <c r="Q57" s="121" t="str">
        <f t="shared" si="100"/>
        <v>Z14</v>
      </c>
      <c r="R57" s="121" t="str">
        <f t="shared" si="100"/>
        <v>Z15</v>
      </c>
      <c r="S57" s="121" t="s">
        <v>100</v>
      </c>
      <c r="U57" s="769" t="str">
        <f>U$9</f>
        <v>TOTAL stock</v>
      </c>
      <c r="V57" s="769" t="str">
        <f>V$9</f>
        <v>City vehicles</v>
      </c>
      <c r="W57" s="760"/>
      <c r="X57" s="766" t="str">
        <f t="shared" ref="X57:AL57" si="101">D57</f>
        <v>Z01</v>
      </c>
      <c r="Y57" s="766" t="str">
        <f t="shared" si="101"/>
        <v>Z02</v>
      </c>
      <c r="Z57" s="766" t="str">
        <f t="shared" si="101"/>
        <v>Z03</v>
      </c>
      <c r="AA57" s="766" t="str">
        <f t="shared" si="101"/>
        <v>Z04</v>
      </c>
      <c r="AB57" s="766" t="str">
        <f t="shared" si="101"/>
        <v>Z05</v>
      </c>
      <c r="AC57" s="766" t="str">
        <f t="shared" si="101"/>
        <v>Z06</v>
      </c>
      <c r="AD57" s="766" t="str">
        <f t="shared" si="101"/>
        <v>Z07</v>
      </c>
      <c r="AE57" s="766" t="str">
        <f t="shared" si="101"/>
        <v>Z08</v>
      </c>
      <c r="AF57" s="766" t="str">
        <f t="shared" si="101"/>
        <v>Z09</v>
      </c>
      <c r="AG57" s="766" t="str">
        <f t="shared" si="101"/>
        <v>Z10</v>
      </c>
      <c r="AH57" s="766" t="str">
        <f t="shared" si="101"/>
        <v>Z11</v>
      </c>
      <c r="AI57" s="766" t="str">
        <f t="shared" si="101"/>
        <v>Z12</v>
      </c>
      <c r="AJ57" s="766" t="str">
        <f t="shared" si="101"/>
        <v>Z13</v>
      </c>
      <c r="AK57" s="766" t="str">
        <f t="shared" si="101"/>
        <v>Z14</v>
      </c>
      <c r="AL57" s="766" t="str">
        <f t="shared" si="101"/>
        <v>Z15</v>
      </c>
      <c r="AM57" s="766" t="s">
        <v>100</v>
      </c>
    </row>
    <row r="58" spans="2:39" s="19" customFormat="1" x14ac:dyDescent="0.25">
      <c r="B58" s="245" t="str">
        <f>B42</f>
        <v>Biodiesel</v>
      </c>
      <c r="C58" s="324"/>
      <c r="D58" s="682">
        <f>$V58*X58</f>
        <v>0</v>
      </c>
      <c r="E58" s="682">
        <f t="shared" ref="E58:E69" si="102">$V58*Y58</f>
        <v>0</v>
      </c>
      <c r="F58" s="682">
        <f t="shared" ref="F58:F69" si="103">$V58*Z58</f>
        <v>0</v>
      </c>
      <c r="G58" s="682">
        <f t="shared" ref="G58:G69" si="104">$V58*AA58</f>
        <v>0</v>
      </c>
      <c r="H58" s="682">
        <f t="shared" ref="H58:H69" si="105">$V58*AB58</f>
        <v>0</v>
      </c>
      <c r="I58" s="682">
        <f t="shared" ref="I58:I69" si="106">$V58*AC58</f>
        <v>0</v>
      </c>
      <c r="J58" s="682">
        <f t="shared" ref="J58:J69" si="107">$V58*AD58</f>
        <v>0</v>
      </c>
      <c r="K58" s="682">
        <f t="shared" ref="K58:K69" si="108">$V58*AE58</f>
        <v>0</v>
      </c>
      <c r="L58" s="682">
        <f t="shared" ref="L58:L69" si="109">$V58*AF58</f>
        <v>0</v>
      </c>
      <c r="M58" s="682">
        <f t="shared" ref="M58:M69" si="110">$V58*AG58</f>
        <v>0</v>
      </c>
      <c r="N58" s="682">
        <f t="shared" ref="N58:N69" si="111">$V58*AH58</f>
        <v>0</v>
      </c>
      <c r="O58" s="682">
        <f t="shared" ref="O58:O69" si="112">$V58*AI58</f>
        <v>0</v>
      </c>
      <c r="P58" s="682">
        <f t="shared" ref="P58:P69" si="113">$V58*AJ58</f>
        <v>0</v>
      </c>
      <c r="Q58" s="682">
        <f t="shared" ref="Q58:Q69" si="114">$V58*AK58</f>
        <v>0</v>
      </c>
      <c r="R58" s="682">
        <f t="shared" ref="R58:R69" si="115">$V58*AL58</f>
        <v>0</v>
      </c>
      <c r="S58" s="682">
        <f t="shared" ref="S58:S69" si="116">$V58*AM58</f>
        <v>0</v>
      </c>
      <c r="U58" s="770"/>
      <c r="V58" s="779"/>
      <c r="W58" s="760"/>
      <c r="X58" s="772">
        <f>X$6</f>
        <v>1</v>
      </c>
      <c r="Y58" s="772">
        <f t="shared" ref="Y58:AL58" si="117">Y$6</f>
        <v>0</v>
      </c>
      <c r="Z58" s="772">
        <f t="shared" si="117"/>
        <v>0</v>
      </c>
      <c r="AA58" s="772">
        <f t="shared" si="117"/>
        <v>0</v>
      </c>
      <c r="AB58" s="772">
        <f t="shared" si="117"/>
        <v>0</v>
      </c>
      <c r="AC58" s="772">
        <f t="shared" si="117"/>
        <v>0</v>
      </c>
      <c r="AD58" s="772">
        <f t="shared" si="117"/>
        <v>0</v>
      </c>
      <c r="AE58" s="772">
        <f t="shared" si="117"/>
        <v>0</v>
      </c>
      <c r="AF58" s="772">
        <f t="shared" si="117"/>
        <v>0</v>
      </c>
      <c r="AG58" s="772">
        <f t="shared" si="117"/>
        <v>0</v>
      </c>
      <c r="AH58" s="772">
        <f t="shared" si="117"/>
        <v>0</v>
      </c>
      <c r="AI58" s="772">
        <f t="shared" si="117"/>
        <v>0</v>
      </c>
      <c r="AJ58" s="772">
        <f t="shared" si="117"/>
        <v>0</v>
      </c>
      <c r="AK58" s="772">
        <f t="shared" si="117"/>
        <v>0</v>
      </c>
      <c r="AL58" s="772">
        <f t="shared" si="117"/>
        <v>0</v>
      </c>
      <c r="AM58" s="773">
        <f>SUM(X58:AI58)</f>
        <v>1</v>
      </c>
    </row>
    <row r="59" spans="2:39" s="19" customFormat="1" x14ac:dyDescent="0.25">
      <c r="B59" s="245" t="str">
        <f t="shared" ref="B59:B69" si="118">B43</f>
        <v>Diesel</v>
      </c>
      <c r="C59" s="324"/>
      <c r="D59" s="682">
        <f t="shared" ref="D59:D69" si="119">$V59*X59</f>
        <v>0</v>
      </c>
      <c r="E59" s="682">
        <f t="shared" si="102"/>
        <v>0</v>
      </c>
      <c r="F59" s="682">
        <f t="shared" si="103"/>
        <v>0</v>
      </c>
      <c r="G59" s="682">
        <f t="shared" si="104"/>
        <v>0</v>
      </c>
      <c r="H59" s="682">
        <f t="shared" si="105"/>
        <v>0</v>
      </c>
      <c r="I59" s="682">
        <f t="shared" si="106"/>
        <v>0</v>
      </c>
      <c r="J59" s="682">
        <f t="shared" si="107"/>
        <v>0</v>
      </c>
      <c r="K59" s="682">
        <f t="shared" si="108"/>
        <v>0</v>
      </c>
      <c r="L59" s="682">
        <f t="shared" si="109"/>
        <v>0</v>
      </c>
      <c r="M59" s="682">
        <f t="shared" si="110"/>
        <v>0</v>
      </c>
      <c r="N59" s="682">
        <f t="shared" si="111"/>
        <v>0</v>
      </c>
      <c r="O59" s="682">
        <f t="shared" si="112"/>
        <v>0</v>
      </c>
      <c r="P59" s="682">
        <f t="shared" si="113"/>
        <v>0</v>
      </c>
      <c r="Q59" s="682">
        <f t="shared" si="114"/>
        <v>0</v>
      </c>
      <c r="R59" s="682">
        <f t="shared" si="115"/>
        <v>0</v>
      </c>
      <c r="S59" s="682">
        <f t="shared" si="116"/>
        <v>0</v>
      </c>
      <c r="U59" s="770"/>
      <c r="V59" s="779"/>
      <c r="W59" s="760"/>
      <c r="X59" s="772">
        <f t="shared" ref="X59:AL69" si="120">X$6</f>
        <v>1</v>
      </c>
      <c r="Y59" s="772">
        <f t="shared" si="120"/>
        <v>0</v>
      </c>
      <c r="Z59" s="772">
        <f t="shared" si="120"/>
        <v>0</v>
      </c>
      <c r="AA59" s="772">
        <f t="shared" si="120"/>
        <v>0</v>
      </c>
      <c r="AB59" s="772">
        <f t="shared" si="120"/>
        <v>0</v>
      </c>
      <c r="AC59" s="772">
        <f t="shared" si="120"/>
        <v>0</v>
      </c>
      <c r="AD59" s="772">
        <f t="shared" si="120"/>
        <v>0</v>
      </c>
      <c r="AE59" s="772">
        <f t="shared" si="120"/>
        <v>0</v>
      </c>
      <c r="AF59" s="772">
        <f t="shared" si="120"/>
        <v>0</v>
      </c>
      <c r="AG59" s="772">
        <f t="shared" si="120"/>
        <v>0</v>
      </c>
      <c r="AH59" s="772">
        <f t="shared" si="120"/>
        <v>0</v>
      </c>
      <c r="AI59" s="772">
        <f t="shared" si="120"/>
        <v>0</v>
      </c>
      <c r="AJ59" s="772">
        <f t="shared" si="120"/>
        <v>0</v>
      </c>
      <c r="AK59" s="772">
        <f t="shared" si="120"/>
        <v>0</v>
      </c>
      <c r="AL59" s="772">
        <f t="shared" si="120"/>
        <v>0</v>
      </c>
      <c r="AM59" s="773">
        <f>SUM(X59:AI59)</f>
        <v>1</v>
      </c>
    </row>
    <row r="60" spans="2:39" s="19" customFormat="1" x14ac:dyDescent="0.25">
      <c r="B60" s="245" t="str">
        <f t="shared" si="118"/>
        <v>Battery electric (BEV)</v>
      </c>
      <c r="C60" s="324"/>
      <c r="D60" s="682">
        <f t="shared" si="119"/>
        <v>0</v>
      </c>
      <c r="E60" s="682">
        <f t="shared" si="102"/>
        <v>0</v>
      </c>
      <c r="F60" s="682">
        <f t="shared" si="103"/>
        <v>0</v>
      </c>
      <c r="G60" s="682">
        <f t="shared" si="104"/>
        <v>0</v>
      </c>
      <c r="H60" s="682">
        <f t="shared" si="105"/>
        <v>0</v>
      </c>
      <c r="I60" s="682">
        <f t="shared" si="106"/>
        <v>0</v>
      </c>
      <c r="J60" s="682">
        <f t="shared" si="107"/>
        <v>0</v>
      </c>
      <c r="K60" s="682">
        <f t="shared" si="108"/>
        <v>0</v>
      </c>
      <c r="L60" s="682">
        <f t="shared" si="109"/>
        <v>0</v>
      </c>
      <c r="M60" s="682">
        <f t="shared" si="110"/>
        <v>0</v>
      </c>
      <c r="N60" s="682">
        <f t="shared" si="111"/>
        <v>0</v>
      </c>
      <c r="O60" s="682">
        <f t="shared" si="112"/>
        <v>0</v>
      </c>
      <c r="P60" s="682">
        <f t="shared" si="113"/>
        <v>0</v>
      </c>
      <c r="Q60" s="682">
        <f t="shared" si="114"/>
        <v>0</v>
      </c>
      <c r="R60" s="682">
        <f t="shared" si="115"/>
        <v>0</v>
      </c>
      <c r="S60" s="682">
        <f t="shared" si="116"/>
        <v>0</v>
      </c>
      <c r="U60" s="770"/>
      <c r="V60" s="779"/>
      <c r="W60" s="760"/>
      <c r="X60" s="772">
        <f t="shared" si="120"/>
        <v>1</v>
      </c>
      <c r="Y60" s="772">
        <f t="shared" si="120"/>
        <v>0</v>
      </c>
      <c r="Z60" s="772">
        <f t="shared" si="120"/>
        <v>0</v>
      </c>
      <c r="AA60" s="772">
        <f t="shared" si="120"/>
        <v>0</v>
      </c>
      <c r="AB60" s="772">
        <f t="shared" si="120"/>
        <v>0</v>
      </c>
      <c r="AC60" s="772">
        <f t="shared" si="120"/>
        <v>0</v>
      </c>
      <c r="AD60" s="772">
        <f t="shared" si="120"/>
        <v>0</v>
      </c>
      <c r="AE60" s="772">
        <f t="shared" si="120"/>
        <v>0</v>
      </c>
      <c r="AF60" s="772">
        <f t="shared" si="120"/>
        <v>0</v>
      </c>
      <c r="AG60" s="772">
        <f t="shared" si="120"/>
        <v>0</v>
      </c>
      <c r="AH60" s="772">
        <f t="shared" si="120"/>
        <v>0</v>
      </c>
      <c r="AI60" s="772">
        <f t="shared" si="120"/>
        <v>0</v>
      </c>
      <c r="AJ60" s="772">
        <f t="shared" si="120"/>
        <v>0</v>
      </c>
      <c r="AK60" s="772">
        <f t="shared" si="120"/>
        <v>0</v>
      </c>
      <c r="AL60" s="772">
        <f t="shared" si="120"/>
        <v>0</v>
      </c>
      <c r="AM60" s="773">
        <f t="shared" ref="AM60:AM68" si="121">SUM(X60:AI60)</f>
        <v>1</v>
      </c>
    </row>
    <row r="61" spans="2:39" s="19" customFormat="1" x14ac:dyDescent="0.25">
      <c r="B61" s="245" t="str">
        <f t="shared" si="118"/>
        <v>Ethanol</v>
      </c>
      <c r="C61" s="324"/>
      <c r="D61" s="682">
        <f t="shared" si="119"/>
        <v>0</v>
      </c>
      <c r="E61" s="682">
        <f t="shared" si="102"/>
        <v>0</v>
      </c>
      <c r="F61" s="682">
        <f t="shared" si="103"/>
        <v>0</v>
      </c>
      <c r="G61" s="682">
        <f t="shared" si="104"/>
        <v>0</v>
      </c>
      <c r="H61" s="682">
        <f t="shared" si="105"/>
        <v>0</v>
      </c>
      <c r="I61" s="682">
        <f t="shared" si="106"/>
        <v>0</v>
      </c>
      <c r="J61" s="682">
        <f t="shared" si="107"/>
        <v>0</v>
      </c>
      <c r="K61" s="682">
        <f t="shared" si="108"/>
        <v>0</v>
      </c>
      <c r="L61" s="682">
        <f t="shared" si="109"/>
        <v>0</v>
      </c>
      <c r="M61" s="682">
        <f t="shared" si="110"/>
        <v>0</v>
      </c>
      <c r="N61" s="682">
        <f t="shared" si="111"/>
        <v>0</v>
      </c>
      <c r="O61" s="682">
        <f t="shared" si="112"/>
        <v>0</v>
      </c>
      <c r="P61" s="682">
        <f t="shared" si="113"/>
        <v>0</v>
      </c>
      <c r="Q61" s="682">
        <f t="shared" si="114"/>
        <v>0</v>
      </c>
      <c r="R61" s="682">
        <f t="shared" si="115"/>
        <v>0</v>
      </c>
      <c r="S61" s="682">
        <f t="shared" si="116"/>
        <v>0</v>
      </c>
      <c r="U61" s="770"/>
      <c r="V61" s="779"/>
      <c r="W61" s="760"/>
      <c r="X61" s="772">
        <f t="shared" si="120"/>
        <v>1</v>
      </c>
      <c r="Y61" s="772">
        <f t="shared" si="120"/>
        <v>0</v>
      </c>
      <c r="Z61" s="772">
        <f t="shared" si="120"/>
        <v>0</v>
      </c>
      <c r="AA61" s="772">
        <f t="shared" si="120"/>
        <v>0</v>
      </c>
      <c r="AB61" s="772">
        <f t="shared" si="120"/>
        <v>0</v>
      </c>
      <c r="AC61" s="772">
        <f t="shared" si="120"/>
        <v>0</v>
      </c>
      <c r="AD61" s="772">
        <f t="shared" si="120"/>
        <v>0</v>
      </c>
      <c r="AE61" s="772">
        <f t="shared" si="120"/>
        <v>0</v>
      </c>
      <c r="AF61" s="772">
        <f t="shared" si="120"/>
        <v>0</v>
      </c>
      <c r="AG61" s="772">
        <f t="shared" si="120"/>
        <v>0</v>
      </c>
      <c r="AH61" s="772">
        <f t="shared" si="120"/>
        <v>0</v>
      </c>
      <c r="AI61" s="772">
        <f t="shared" si="120"/>
        <v>0</v>
      </c>
      <c r="AJ61" s="772">
        <f t="shared" si="120"/>
        <v>0</v>
      </c>
      <c r="AK61" s="772">
        <f t="shared" si="120"/>
        <v>0</v>
      </c>
      <c r="AL61" s="772">
        <f t="shared" si="120"/>
        <v>0</v>
      </c>
      <c r="AM61" s="773">
        <f t="shared" si="121"/>
        <v>1</v>
      </c>
    </row>
    <row r="62" spans="2:39" s="19" customFormat="1" x14ac:dyDescent="0.25">
      <c r="B62" s="245" t="str">
        <f t="shared" si="118"/>
        <v>Gas (CNG)</v>
      </c>
      <c r="C62" s="324"/>
      <c r="D62" s="682">
        <f t="shared" si="119"/>
        <v>0</v>
      </c>
      <c r="E62" s="682">
        <f t="shared" si="102"/>
        <v>0</v>
      </c>
      <c r="F62" s="682">
        <f t="shared" si="103"/>
        <v>0</v>
      </c>
      <c r="G62" s="682">
        <f t="shared" si="104"/>
        <v>0</v>
      </c>
      <c r="H62" s="682">
        <f t="shared" si="105"/>
        <v>0</v>
      </c>
      <c r="I62" s="682">
        <f t="shared" si="106"/>
        <v>0</v>
      </c>
      <c r="J62" s="682">
        <f t="shared" si="107"/>
        <v>0</v>
      </c>
      <c r="K62" s="682">
        <f t="shared" si="108"/>
        <v>0</v>
      </c>
      <c r="L62" s="682">
        <f t="shared" si="109"/>
        <v>0</v>
      </c>
      <c r="M62" s="682">
        <f t="shared" si="110"/>
        <v>0</v>
      </c>
      <c r="N62" s="682">
        <f t="shared" si="111"/>
        <v>0</v>
      </c>
      <c r="O62" s="682">
        <f t="shared" si="112"/>
        <v>0</v>
      </c>
      <c r="P62" s="682">
        <f t="shared" si="113"/>
        <v>0</v>
      </c>
      <c r="Q62" s="682">
        <f t="shared" si="114"/>
        <v>0</v>
      </c>
      <c r="R62" s="682">
        <f t="shared" si="115"/>
        <v>0</v>
      </c>
      <c r="S62" s="682">
        <f t="shared" si="116"/>
        <v>0</v>
      </c>
      <c r="U62" s="770"/>
      <c r="V62" s="779"/>
      <c r="W62" s="760"/>
      <c r="X62" s="772">
        <f t="shared" si="120"/>
        <v>1</v>
      </c>
      <c r="Y62" s="772">
        <f t="shared" si="120"/>
        <v>0</v>
      </c>
      <c r="Z62" s="772">
        <f t="shared" si="120"/>
        <v>0</v>
      </c>
      <c r="AA62" s="772">
        <f t="shared" si="120"/>
        <v>0</v>
      </c>
      <c r="AB62" s="772">
        <f t="shared" si="120"/>
        <v>0</v>
      </c>
      <c r="AC62" s="772">
        <f t="shared" si="120"/>
        <v>0</v>
      </c>
      <c r="AD62" s="772">
        <f t="shared" si="120"/>
        <v>0</v>
      </c>
      <c r="AE62" s="772">
        <f t="shared" si="120"/>
        <v>0</v>
      </c>
      <c r="AF62" s="772">
        <f t="shared" si="120"/>
        <v>0</v>
      </c>
      <c r="AG62" s="772">
        <f t="shared" si="120"/>
        <v>0</v>
      </c>
      <c r="AH62" s="772">
        <f t="shared" si="120"/>
        <v>0</v>
      </c>
      <c r="AI62" s="772">
        <f t="shared" si="120"/>
        <v>0</v>
      </c>
      <c r="AJ62" s="772">
        <f t="shared" si="120"/>
        <v>0</v>
      </c>
      <c r="AK62" s="772">
        <f t="shared" si="120"/>
        <v>0</v>
      </c>
      <c r="AL62" s="772">
        <f t="shared" si="120"/>
        <v>0</v>
      </c>
      <c r="AM62" s="773">
        <f t="shared" si="121"/>
        <v>1</v>
      </c>
    </row>
    <row r="63" spans="2:39" s="19" customFormat="1" x14ac:dyDescent="0.25">
      <c r="B63" s="245" t="str">
        <f t="shared" si="118"/>
        <v>Gasoline</v>
      </c>
      <c r="C63" s="324"/>
      <c r="D63" s="682">
        <f t="shared" si="119"/>
        <v>0</v>
      </c>
      <c r="E63" s="682">
        <f t="shared" si="102"/>
        <v>0</v>
      </c>
      <c r="F63" s="682">
        <f t="shared" si="103"/>
        <v>0</v>
      </c>
      <c r="G63" s="682">
        <f t="shared" si="104"/>
        <v>0</v>
      </c>
      <c r="H63" s="682">
        <f t="shared" si="105"/>
        <v>0</v>
      </c>
      <c r="I63" s="682">
        <f t="shared" si="106"/>
        <v>0</v>
      </c>
      <c r="J63" s="682">
        <f t="shared" si="107"/>
        <v>0</v>
      </c>
      <c r="K63" s="682">
        <f t="shared" si="108"/>
        <v>0</v>
      </c>
      <c r="L63" s="682">
        <f t="shared" si="109"/>
        <v>0</v>
      </c>
      <c r="M63" s="682">
        <f t="shared" si="110"/>
        <v>0</v>
      </c>
      <c r="N63" s="682">
        <f t="shared" si="111"/>
        <v>0</v>
      </c>
      <c r="O63" s="682">
        <f t="shared" si="112"/>
        <v>0</v>
      </c>
      <c r="P63" s="682">
        <f t="shared" si="113"/>
        <v>0</v>
      </c>
      <c r="Q63" s="682">
        <f t="shared" si="114"/>
        <v>0</v>
      </c>
      <c r="R63" s="682">
        <f t="shared" si="115"/>
        <v>0</v>
      </c>
      <c r="S63" s="682">
        <f t="shared" si="116"/>
        <v>0</v>
      </c>
      <c r="U63" s="770"/>
      <c r="V63" s="779"/>
      <c r="W63" s="760"/>
      <c r="X63" s="772">
        <f t="shared" si="120"/>
        <v>1</v>
      </c>
      <c r="Y63" s="772">
        <f t="shared" si="120"/>
        <v>0</v>
      </c>
      <c r="Z63" s="772">
        <f t="shared" si="120"/>
        <v>0</v>
      </c>
      <c r="AA63" s="772">
        <f t="shared" si="120"/>
        <v>0</v>
      </c>
      <c r="AB63" s="772">
        <f t="shared" si="120"/>
        <v>0</v>
      </c>
      <c r="AC63" s="772">
        <f t="shared" si="120"/>
        <v>0</v>
      </c>
      <c r="AD63" s="772">
        <f t="shared" si="120"/>
        <v>0</v>
      </c>
      <c r="AE63" s="772">
        <f t="shared" si="120"/>
        <v>0</v>
      </c>
      <c r="AF63" s="772">
        <f t="shared" si="120"/>
        <v>0</v>
      </c>
      <c r="AG63" s="772">
        <f t="shared" si="120"/>
        <v>0</v>
      </c>
      <c r="AH63" s="772">
        <f t="shared" si="120"/>
        <v>0</v>
      </c>
      <c r="AI63" s="772">
        <f t="shared" si="120"/>
        <v>0</v>
      </c>
      <c r="AJ63" s="772">
        <f t="shared" si="120"/>
        <v>0</v>
      </c>
      <c r="AK63" s="772">
        <f t="shared" si="120"/>
        <v>0</v>
      </c>
      <c r="AL63" s="772">
        <f t="shared" si="120"/>
        <v>0</v>
      </c>
      <c r="AM63" s="773">
        <f t="shared" si="121"/>
        <v>1</v>
      </c>
    </row>
    <row r="64" spans="2:39" s="19" customFormat="1" x14ac:dyDescent="0.25">
      <c r="B64" s="245" t="str">
        <f t="shared" si="118"/>
        <v>Hybrid Electric - diesel</v>
      </c>
      <c r="C64" s="173"/>
      <c r="D64" s="682">
        <f t="shared" si="119"/>
        <v>0</v>
      </c>
      <c r="E64" s="682">
        <f t="shared" si="102"/>
        <v>0</v>
      </c>
      <c r="F64" s="682">
        <f t="shared" si="103"/>
        <v>0</v>
      </c>
      <c r="G64" s="682">
        <f t="shared" si="104"/>
        <v>0</v>
      </c>
      <c r="H64" s="682">
        <f t="shared" si="105"/>
        <v>0</v>
      </c>
      <c r="I64" s="682">
        <f t="shared" si="106"/>
        <v>0</v>
      </c>
      <c r="J64" s="682">
        <f t="shared" si="107"/>
        <v>0</v>
      </c>
      <c r="K64" s="682">
        <f t="shared" si="108"/>
        <v>0</v>
      </c>
      <c r="L64" s="682">
        <f t="shared" si="109"/>
        <v>0</v>
      </c>
      <c r="M64" s="682">
        <f t="shared" si="110"/>
        <v>0</v>
      </c>
      <c r="N64" s="682">
        <f t="shared" si="111"/>
        <v>0</v>
      </c>
      <c r="O64" s="682">
        <f t="shared" si="112"/>
        <v>0</v>
      </c>
      <c r="P64" s="682">
        <f t="shared" si="113"/>
        <v>0</v>
      </c>
      <c r="Q64" s="682">
        <f t="shared" si="114"/>
        <v>0</v>
      </c>
      <c r="R64" s="682">
        <f t="shared" si="115"/>
        <v>0</v>
      </c>
      <c r="S64" s="682">
        <f t="shared" si="116"/>
        <v>0</v>
      </c>
      <c r="U64" s="770"/>
      <c r="V64" s="779"/>
      <c r="W64" s="760"/>
      <c r="X64" s="772">
        <f t="shared" si="120"/>
        <v>1</v>
      </c>
      <c r="Y64" s="772">
        <f t="shared" si="120"/>
        <v>0</v>
      </c>
      <c r="Z64" s="772">
        <f t="shared" si="120"/>
        <v>0</v>
      </c>
      <c r="AA64" s="772">
        <f t="shared" si="120"/>
        <v>0</v>
      </c>
      <c r="AB64" s="772">
        <f t="shared" si="120"/>
        <v>0</v>
      </c>
      <c r="AC64" s="772">
        <f t="shared" si="120"/>
        <v>0</v>
      </c>
      <c r="AD64" s="772">
        <f t="shared" si="120"/>
        <v>0</v>
      </c>
      <c r="AE64" s="772">
        <f t="shared" si="120"/>
        <v>0</v>
      </c>
      <c r="AF64" s="772">
        <f t="shared" si="120"/>
        <v>0</v>
      </c>
      <c r="AG64" s="772">
        <f t="shared" si="120"/>
        <v>0</v>
      </c>
      <c r="AH64" s="772">
        <f t="shared" si="120"/>
        <v>0</v>
      </c>
      <c r="AI64" s="772">
        <f t="shared" si="120"/>
        <v>0</v>
      </c>
      <c r="AJ64" s="772">
        <f t="shared" si="120"/>
        <v>0</v>
      </c>
      <c r="AK64" s="772">
        <f t="shared" si="120"/>
        <v>0</v>
      </c>
      <c r="AL64" s="772">
        <f t="shared" si="120"/>
        <v>0</v>
      </c>
      <c r="AM64" s="773">
        <f t="shared" si="121"/>
        <v>1</v>
      </c>
    </row>
    <row r="65" spans="2:39" s="19" customFormat="1" x14ac:dyDescent="0.25">
      <c r="B65" s="245" t="str">
        <f t="shared" si="118"/>
        <v>Hybrid Electric - gasoline</v>
      </c>
      <c r="C65" s="173"/>
      <c r="D65" s="682">
        <f t="shared" si="119"/>
        <v>0</v>
      </c>
      <c r="E65" s="682">
        <f t="shared" si="102"/>
        <v>0</v>
      </c>
      <c r="F65" s="682">
        <f t="shared" si="103"/>
        <v>0</v>
      </c>
      <c r="G65" s="682">
        <f t="shared" si="104"/>
        <v>0</v>
      </c>
      <c r="H65" s="682">
        <f t="shared" si="105"/>
        <v>0</v>
      </c>
      <c r="I65" s="682">
        <f t="shared" si="106"/>
        <v>0</v>
      </c>
      <c r="J65" s="682">
        <f t="shared" si="107"/>
        <v>0</v>
      </c>
      <c r="K65" s="682">
        <f t="shared" si="108"/>
        <v>0</v>
      </c>
      <c r="L65" s="682">
        <f t="shared" si="109"/>
        <v>0</v>
      </c>
      <c r="M65" s="682">
        <f t="shared" si="110"/>
        <v>0</v>
      </c>
      <c r="N65" s="682">
        <f t="shared" si="111"/>
        <v>0</v>
      </c>
      <c r="O65" s="682">
        <f t="shared" si="112"/>
        <v>0</v>
      </c>
      <c r="P65" s="682">
        <f t="shared" si="113"/>
        <v>0</v>
      </c>
      <c r="Q65" s="682">
        <f t="shared" si="114"/>
        <v>0</v>
      </c>
      <c r="R65" s="682">
        <f t="shared" si="115"/>
        <v>0</v>
      </c>
      <c r="S65" s="682">
        <f t="shared" si="116"/>
        <v>0</v>
      </c>
      <c r="U65" s="770"/>
      <c r="V65" s="779"/>
      <c r="W65" s="760"/>
      <c r="X65" s="772">
        <f t="shared" si="120"/>
        <v>1</v>
      </c>
      <c r="Y65" s="772">
        <f t="shared" si="120"/>
        <v>0</v>
      </c>
      <c r="Z65" s="772">
        <f t="shared" si="120"/>
        <v>0</v>
      </c>
      <c r="AA65" s="772">
        <f t="shared" si="120"/>
        <v>0</v>
      </c>
      <c r="AB65" s="772">
        <f t="shared" si="120"/>
        <v>0</v>
      </c>
      <c r="AC65" s="772">
        <f t="shared" si="120"/>
        <v>0</v>
      </c>
      <c r="AD65" s="772">
        <f t="shared" si="120"/>
        <v>0</v>
      </c>
      <c r="AE65" s="772">
        <f t="shared" si="120"/>
        <v>0</v>
      </c>
      <c r="AF65" s="772">
        <f t="shared" si="120"/>
        <v>0</v>
      </c>
      <c r="AG65" s="772">
        <f t="shared" si="120"/>
        <v>0</v>
      </c>
      <c r="AH65" s="772">
        <f t="shared" si="120"/>
        <v>0</v>
      </c>
      <c r="AI65" s="772">
        <f t="shared" si="120"/>
        <v>0</v>
      </c>
      <c r="AJ65" s="772">
        <f t="shared" si="120"/>
        <v>0</v>
      </c>
      <c r="AK65" s="772">
        <f t="shared" si="120"/>
        <v>0</v>
      </c>
      <c r="AL65" s="772">
        <f t="shared" si="120"/>
        <v>0</v>
      </c>
      <c r="AM65" s="773">
        <f t="shared" si="121"/>
        <v>1</v>
      </c>
    </row>
    <row r="66" spans="2:39" s="19" customFormat="1" x14ac:dyDescent="0.25">
      <c r="B66" s="245" t="str">
        <f t="shared" si="118"/>
        <v>LPG</v>
      </c>
      <c r="C66" s="324"/>
      <c r="D66" s="682">
        <f t="shared" si="119"/>
        <v>0</v>
      </c>
      <c r="E66" s="682">
        <f t="shared" si="102"/>
        <v>0</v>
      </c>
      <c r="F66" s="682">
        <f t="shared" si="103"/>
        <v>0</v>
      </c>
      <c r="G66" s="682">
        <f t="shared" si="104"/>
        <v>0</v>
      </c>
      <c r="H66" s="682">
        <f t="shared" si="105"/>
        <v>0</v>
      </c>
      <c r="I66" s="682">
        <f t="shared" si="106"/>
        <v>0</v>
      </c>
      <c r="J66" s="682">
        <f t="shared" si="107"/>
        <v>0</v>
      </c>
      <c r="K66" s="682">
        <f t="shared" si="108"/>
        <v>0</v>
      </c>
      <c r="L66" s="682">
        <f t="shared" si="109"/>
        <v>0</v>
      </c>
      <c r="M66" s="682">
        <f t="shared" si="110"/>
        <v>0</v>
      </c>
      <c r="N66" s="682">
        <f t="shared" si="111"/>
        <v>0</v>
      </c>
      <c r="O66" s="682">
        <f t="shared" si="112"/>
        <v>0</v>
      </c>
      <c r="P66" s="682">
        <f t="shared" si="113"/>
        <v>0</v>
      </c>
      <c r="Q66" s="682">
        <f t="shared" si="114"/>
        <v>0</v>
      </c>
      <c r="R66" s="682">
        <f t="shared" si="115"/>
        <v>0</v>
      </c>
      <c r="S66" s="682">
        <f t="shared" si="116"/>
        <v>0</v>
      </c>
      <c r="U66" s="770"/>
      <c r="V66" s="779"/>
      <c r="W66" s="760"/>
      <c r="X66" s="772">
        <f t="shared" si="120"/>
        <v>1</v>
      </c>
      <c r="Y66" s="772">
        <f t="shared" si="120"/>
        <v>0</v>
      </c>
      <c r="Z66" s="772">
        <f t="shared" si="120"/>
        <v>0</v>
      </c>
      <c r="AA66" s="772">
        <f t="shared" si="120"/>
        <v>0</v>
      </c>
      <c r="AB66" s="772">
        <f t="shared" si="120"/>
        <v>0</v>
      </c>
      <c r="AC66" s="772">
        <f t="shared" si="120"/>
        <v>0</v>
      </c>
      <c r="AD66" s="772">
        <f t="shared" si="120"/>
        <v>0</v>
      </c>
      <c r="AE66" s="772">
        <f t="shared" si="120"/>
        <v>0</v>
      </c>
      <c r="AF66" s="772">
        <f t="shared" si="120"/>
        <v>0</v>
      </c>
      <c r="AG66" s="772">
        <f t="shared" si="120"/>
        <v>0</v>
      </c>
      <c r="AH66" s="772">
        <f t="shared" si="120"/>
        <v>0</v>
      </c>
      <c r="AI66" s="772">
        <f t="shared" si="120"/>
        <v>0</v>
      </c>
      <c r="AJ66" s="772">
        <f t="shared" si="120"/>
        <v>0</v>
      </c>
      <c r="AK66" s="772">
        <f t="shared" si="120"/>
        <v>0</v>
      </c>
      <c r="AL66" s="772">
        <f t="shared" si="120"/>
        <v>0</v>
      </c>
      <c r="AM66" s="773">
        <f t="shared" si="121"/>
        <v>1</v>
      </c>
    </row>
    <row r="67" spans="2:39" s="19" customFormat="1" x14ac:dyDescent="0.25">
      <c r="B67" s="245" t="str">
        <f t="shared" si="118"/>
        <v>Plugin Hybrid Electric - diesel</v>
      </c>
      <c r="C67" s="173"/>
      <c r="D67" s="682">
        <f t="shared" si="119"/>
        <v>0</v>
      </c>
      <c r="E67" s="682">
        <f t="shared" si="102"/>
        <v>0</v>
      </c>
      <c r="F67" s="682">
        <f t="shared" si="103"/>
        <v>0</v>
      </c>
      <c r="G67" s="682">
        <f t="shared" si="104"/>
        <v>0</v>
      </c>
      <c r="H67" s="682">
        <f t="shared" si="105"/>
        <v>0</v>
      </c>
      <c r="I67" s="682">
        <f t="shared" si="106"/>
        <v>0</v>
      </c>
      <c r="J67" s="682">
        <f t="shared" si="107"/>
        <v>0</v>
      </c>
      <c r="K67" s="682">
        <f t="shared" si="108"/>
        <v>0</v>
      </c>
      <c r="L67" s="682">
        <f t="shared" si="109"/>
        <v>0</v>
      </c>
      <c r="M67" s="682">
        <f t="shared" si="110"/>
        <v>0</v>
      </c>
      <c r="N67" s="682">
        <f t="shared" si="111"/>
        <v>0</v>
      </c>
      <c r="O67" s="682">
        <f t="shared" si="112"/>
        <v>0</v>
      </c>
      <c r="P67" s="682">
        <f t="shared" si="113"/>
        <v>0</v>
      </c>
      <c r="Q67" s="682">
        <f t="shared" si="114"/>
        <v>0</v>
      </c>
      <c r="R67" s="682">
        <f t="shared" si="115"/>
        <v>0</v>
      </c>
      <c r="S67" s="682">
        <f t="shared" si="116"/>
        <v>0</v>
      </c>
      <c r="U67" s="770"/>
      <c r="V67" s="779"/>
      <c r="W67" s="760"/>
      <c r="X67" s="772">
        <f t="shared" si="120"/>
        <v>1</v>
      </c>
      <c r="Y67" s="772">
        <f t="shared" si="120"/>
        <v>0</v>
      </c>
      <c r="Z67" s="772">
        <f t="shared" si="120"/>
        <v>0</v>
      </c>
      <c r="AA67" s="772">
        <f t="shared" si="120"/>
        <v>0</v>
      </c>
      <c r="AB67" s="772">
        <f t="shared" si="120"/>
        <v>0</v>
      </c>
      <c r="AC67" s="772">
        <f t="shared" si="120"/>
        <v>0</v>
      </c>
      <c r="AD67" s="772">
        <f t="shared" si="120"/>
        <v>0</v>
      </c>
      <c r="AE67" s="772">
        <f t="shared" si="120"/>
        <v>0</v>
      </c>
      <c r="AF67" s="772">
        <f t="shared" si="120"/>
        <v>0</v>
      </c>
      <c r="AG67" s="772">
        <f t="shared" si="120"/>
        <v>0</v>
      </c>
      <c r="AH67" s="772">
        <f t="shared" si="120"/>
        <v>0</v>
      </c>
      <c r="AI67" s="772">
        <f t="shared" si="120"/>
        <v>0</v>
      </c>
      <c r="AJ67" s="772">
        <f t="shared" si="120"/>
        <v>0</v>
      </c>
      <c r="AK67" s="772">
        <f t="shared" si="120"/>
        <v>0</v>
      </c>
      <c r="AL67" s="772">
        <f t="shared" si="120"/>
        <v>0</v>
      </c>
      <c r="AM67" s="773">
        <f t="shared" si="121"/>
        <v>1</v>
      </c>
    </row>
    <row r="68" spans="2:39" s="19" customFormat="1" x14ac:dyDescent="0.25">
      <c r="B68" s="245" t="str">
        <f t="shared" si="118"/>
        <v>Plugin Hybrid Electric - gasoline</v>
      </c>
      <c r="C68" s="173"/>
      <c r="D68" s="682">
        <f t="shared" si="119"/>
        <v>0</v>
      </c>
      <c r="E68" s="682">
        <f t="shared" si="102"/>
        <v>0</v>
      </c>
      <c r="F68" s="682">
        <f t="shared" si="103"/>
        <v>0</v>
      </c>
      <c r="G68" s="682">
        <f t="shared" si="104"/>
        <v>0</v>
      </c>
      <c r="H68" s="682">
        <f t="shared" si="105"/>
        <v>0</v>
      </c>
      <c r="I68" s="682">
        <f t="shared" si="106"/>
        <v>0</v>
      </c>
      <c r="J68" s="682">
        <f t="shared" si="107"/>
        <v>0</v>
      </c>
      <c r="K68" s="682">
        <f t="shared" si="108"/>
        <v>0</v>
      </c>
      <c r="L68" s="682">
        <f t="shared" si="109"/>
        <v>0</v>
      </c>
      <c r="M68" s="682">
        <f t="shared" si="110"/>
        <v>0</v>
      </c>
      <c r="N68" s="682">
        <f t="shared" si="111"/>
        <v>0</v>
      </c>
      <c r="O68" s="682">
        <f t="shared" si="112"/>
        <v>0</v>
      </c>
      <c r="P68" s="682">
        <f t="shared" si="113"/>
        <v>0</v>
      </c>
      <c r="Q68" s="682">
        <f t="shared" si="114"/>
        <v>0</v>
      </c>
      <c r="R68" s="682">
        <f t="shared" si="115"/>
        <v>0</v>
      </c>
      <c r="S68" s="682">
        <f t="shared" si="116"/>
        <v>0</v>
      </c>
      <c r="U68" s="770"/>
      <c r="V68" s="779"/>
      <c r="W68" s="760"/>
      <c r="X68" s="772">
        <f t="shared" si="120"/>
        <v>1</v>
      </c>
      <c r="Y68" s="772">
        <f t="shared" si="120"/>
        <v>0</v>
      </c>
      <c r="Z68" s="772">
        <f t="shared" si="120"/>
        <v>0</v>
      </c>
      <c r="AA68" s="772">
        <f t="shared" si="120"/>
        <v>0</v>
      </c>
      <c r="AB68" s="772">
        <f t="shared" si="120"/>
        <v>0</v>
      </c>
      <c r="AC68" s="772">
        <f t="shared" si="120"/>
        <v>0</v>
      </c>
      <c r="AD68" s="772">
        <f t="shared" si="120"/>
        <v>0</v>
      </c>
      <c r="AE68" s="772">
        <f t="shared" si="120"/>
        <v>0</v>
      </c>
      <c r="AF68" s="772">
        <f t="shared" si="120"/>
        <v>0</v>
      </c>
      <c r="AG68" s="772">
        <f t="shared" si="120"/>
        <v>0</v>
      </c>
      <c r="AH68" s="772">
        <f t="shared" si="120"/>
        <v>0</v>
      </c>
      <c r="AI68" s="772">
        <f t="shared" si="120"/>
        <v>0</v>
      </c>
      <c r="AJ68" s="772">
        <f t="shared" si="120"/>
        <v>0</v>
      </c>
      <c r="AK68" s="772">
        <f t="shared" si="120"/>
        <v>0</v>
      </c>
      <c r="AL68" s="772">
        <f t="shared" si="120"/>
        <v>0</v>
      </c>
      <c r="AM68" s="773">
        <f t="shared" si="121"/>
        <v>1</v>
      </c>
    </row>
    <row r="69" spans="2:39" s="19" customFormat="1" x14ac:dyDescent="0.25">
      <c r="B69" s="250" t="str">
        <f t="shared" si="118"/>
        <v>Other</v>
      </c>
      <c r="C69" s="526"/>
      <c r="D69" s="683">
        <f t="shared" si="119"/>
        <v>0</v>
      </c>
      <c r="E69" s="683">
        <f t="shared" si="102"/>
        <v>0</v>
      </c>
      <c r="F69" s="683">
        <f t="shared" si="103"/>
        <v>0</v>
      </c>
      <c r="G69" s="683">
        <f t="shared" si="104"/>
        <v>0</v>
      </c>
      <c r="H69" s="683">
        <f t="shared" si="105"/>
        <v>0</v>
      </c>
      <c r="I69" s="683">
        <f t="shared" si="106"/>
        <v>0</v>
      </c>
      <c r="J69" s="683">
        <f t="shared" si="107"/>
        <v>0</v>
      </c>
      <c r="K69" s="683">
        <f t="shared" si="108"/>
        <v>0</v>
      </c>
      <c r="L69" s="683">
        <f t="shared" si="109"/>
        <v>0</v>
      </c>
      <c r="M69" s="683">
        <f t="shared" si="110"/>
        <v>0</v>
      </c>
      <c r="N69" s="683">
        <f t="shared" si="111"/>
        <v>0</v>
      </c>
      <c r="O69" s="683">
        <f t="shared" si="112"/>
        <v>0</v>
      </c>
      <c r="P69" s="683">
        <f t="shared" si="113"/>
        <v>0</v>
      </c>
      <c r="Q69" s="683">
        <f t="shared" si="114"/>
        <v>0</v>
      </c>
      <c r="R69" s="683">
        <f t="shared" si="115"/>
        <v>0</v>
      </c>
      <c r="S69" s="683">
        <f t="shared" si="116"/>
        <v>0</v>
      </c>
      <c r="U69" s="780"/>
      <c r="V69" s="781"/>
      <c r="W69" s="760"/>
      <c r="X69" s="772">
        <f t="shared" si="120"/>
        <v>1</v>
      </c>
      <c r="Y69" s="772">
        <f t="shared" si="120"/>
        <v>0</v>
      </c>
      <c r="Z69" s="772">
        <f t="shared" si="120"/>
        <v>0</v>
      </c>
      <c r="AA69" s="772">
        <f t="shared" si="120"/>
        <v>0</v>
      </c>
      <c r="AB69" s="772">
        <f t="shared" si="120"/>
        <v>0</v>
      </c>
      <c r="AC69" s="772">
        <f t="shared" si="120"/>
        <v>0</v>
      </c>
      <c r="AD69" s="772">
        <f>AD$6</f>
        <v>0</v>
      </c>
      <c r="AE69" s="772">
        <f t="shared" si="120"/>
        <v>0</v>
      </c>
      <c r="AF69" s="772">
        <f t="shared" si="120"/>
        <v>0</v>
      </c>
      <c r="AG69" s="772">
        <f t="shared" si="120"/>
        <v>0</v>
      </c>
      <c r="AH69" s="772">
        <f t="shared" si="120"/>
        <v>0</v>
      </c>
      <c r="AI69" s="772">
        <f t="shared" si="120"/>
        <v>0</v>
      </c>
      <c r="AJ69" s="772">
        <f t="shared" si="120"/>
        <v>0</v>
      </c>
      <c r="AK69" s="772">
        <f t="shared" si="120"/>
        <v>0</v>
      </c>
      <c r="AL69" s="772">
        <f t="shared" si="120"/>
        <v>0</v>
      </c>
      <c r="AM69" s="773">
        <f t="shared" ref="AM69" si="122">SUM(X69:AI69)</f>
        <v>1</v>
      </c>
    </row>
    <row r="70" spans="2:39" s="19" customFormat="1" x14ac:dyDescent="0.25">
      <c r="B70" s="478" t="s">
        <v>119</v>
      </c>
      <c r="C70" s="527"/>
      <c r="D70" s="681">
        <f>SUM(D58:D69)</f>
        <v>0</v>
      </c>
      <c r="E70" s="681">
        <f t="shared" ref="E70" si="123">SUM(E58:E69)</f>
        <v>0</v>
      </c>
      <c r="F70" s="681">
        <f t="shared" ref="F70" si="124">SUM(F58:F69)</f>
        <v>0</v>
      </c>
      <c r="G70" s="681">
        <f t="shared" ref="G70" si="125">SUM(G58:G69)</f>
        <v>0</v>
      </c>
      <c r="H70" s="681">
        <f t="shared" ref="H70" si="126">SUM(H58:H69)</f>
        <v>0</v>
      </c>
      <c r="I70" s="681">
        <f t="shared" ref="I70" si="127">SUM(I58:I69)</f>
        <v>0</v>
      </c>
      <c r="J70" s="681">
        <f t="shared" ref="J70" si="128">SUM(J58:J69)</f>
        <v>0</v>
      </c>
      <c r="K70" s="681">
        <f t="shared" ref="K70" si="129">SUM(K58:K69)</f>
        <v>0</v>
      </c>
      <c r="L70" s="681">
        <f t="shared" ref="L70" si="130">SUM(L58:L69)</f>
        <v>0</v>
      </c>
      <c r="M70" s="681">
        <f t="shared" ref="M70" si="131">SUM(M58:M69)</f>
        <v>0</v>
      </c>
      <c r="N70" s="681">
        <f t="shared" ref="N70" si="132">SUM(N58:N69)</f>
        <v>0</v>
      </c>
      <c r="O70" s="681">
        <f t="shared" ref="O70" si="133">SUM(O58:O69)</f>
        <v>0</v>
      </c>
      <c r="P70" s="681">
        <f t="shared" ref="P70" si="134">SUM(P58:P69)</f>
        <v>0</v>
      </c>
      <c r="Q70" s="681">
        <f t="shared" ref="Q70" si="135">SUM(Q58:Q69)</f>
        <v>0</v>
      </c>
      <c r="R70" s="681">
        <f t="shared" ref="R70" si="136">SUM(R58:R69)</f>
        <v>0</v>
      </c>
      <c r="S70" s="681">
        <f t="shared" ref="S70" si="137">SUM(S58:S69)</f>
        <v>0</v>
      </c>
      <c r="U70" s="776">
        <f>SUM(U58:U69)</f>
        <v>0</v>
      </c>
      <c r="V70" s="782">
        <f>SUM(V58:V68)</f>
        <v>0</v>
      </c>
      <c r="W70" s="760"/>
      <c r="X70" s="783"/>
      <c r="Y70" s="783"/>
      <c r="Z70" s="783"/>
      <c r="AA70" s="783"/>
      <c r="AB70" s="783"/>
      <c r="AC70" s="783"/>
      <c r="AD70" s="783"/>
      <c r="AE70" s="783"/>
      <c r="AF70" s="783"/>
      <c r="AG70" s="783"/>
      <c r="AH70" s="783"/>
      <c r="AI70" s="760"/>
      <c r="AJ70" s="760"/>
      <c r="AK70" s="760"/>
      <c r="AL70" s="760"/>
      <c r="AM70" s="760"/>
    </row>
    <row r="71" spans="2:39" s="123" customFormat="1" x14ac:dyDescent="0.25">
      <c r="C71" s="528"/>
      <c r="U71" s="760"/>
      <c r="V71" s="759"/>
      <c r="W71" s="760"/>
      <c r="X71" s="760"/>
      <c r="Y71" s="760"/>
      <c r="Z71" s="760"/>
      <c r="AA71" s="760"/>
      <c r="AB71" s="760"/>
      <c r="AC71" s="760"/>
      <c r="AD71" s="760"/>
      <c r="AE71" s="760"/>
      <c r="AF71" s="760"/>
      <c r="AG71" s="760"/>
      <c r="AH71" s="760"/>
      <c r="AI71" s="760"/>
      <c r="AJ71" s="760"/>
      <c r="AK71" s="760"/>
      <c r="AL71" s="760"/>
      <c r="AM71" s="760"/>
    </row>
    <row r="72" spans="2:39" s="479" customFormat="1" x14ac:dyDescent="0.25">
      <c r="B72" s="476" t="s">
        <v>125</v>
      </c>
      <c r="C72" s="523"/>
      <c r="U72" s="785"/>
      <c r="V72" s="759"/>
      <c r="W72" s="760"/>
      <c r="X72" s="764" t="s">
        <v>99</v>
      </c>
      <c r="Y72" s="760"/>
      <c r="Z72" s="760"/>
      <c r="AA72" s="760"/>
      <c r="AB72" s="760"/>
      <c r="AC72" s="760"/>
      <c r="AD72" s="760"/>
      <c r="AE72" s="760"/>
      <c r="AF72" s="760"/>
      <c r="AG72" s="760"/>
      <c r="AH72" s="760"/>
      <c r="AI72" s="760"/>
      <c r="AJ72" s="760"/>
      <c r="AK72" s="760"/>
      <c r="AL72" s="760"/>
      <c r="AM72" s="760"/>
    </row>
    <row r="73" spans="2:39" s="479" customFormat="1" x14ac:dyDescent="0.25">
      <c r="B73" s="476" t="s">
        <v>103</v>
      </c>
      <c r="C73" s="441" t="s">
        <v>104</v>
      </c>
      <c r="D73" s="121" t="str">
        <f>D$9</f>
        <v>Z01</v>
      </c>
      <c r="E73" s="121" t="str">
        <f t="shared" ref="E73:R73" si="138">E$9</f>
        <v>Z02</v>
      </c>
      <c r="F73" s="121" t="str">
        <f t="shared" si="138"/>
        <v>Z03</v>
      </c>
      <c r="G73" s="121" t="str">
        <f t="shared" si="138"/>
        <v>Z04</v>
      </c>
      <c r="H73" s="121" t="str">
        <f t="shared" si="138"/>
        <v>Z05</v>
      </c>
      <c r="I73" s="121" t="str">
        <f t="shared" si="138"/>
        <v>Z06</v>
      </c>
      <c r="J73" s="121" t="str">
        <f t="shared" si="138"/>
        <v>Z07</v>
      </c>
      <c r="K73" s="121" t="str">
        <f t="shared" si="138"/>
        <v>Z08</v>
      </c>
      <c r="L73" s="121" t="str">
        <f t="shared" si="138"/>
        <v>Z09</v>
      </c>
      <c r="M73" s="121" t="str">
        <f t="shared" si="138"/>
        <v>Z10</v>
      </c>
      <c r="N73" s="121" t="str">
        <f t="shared" si="138"/>
        <v>Z11</v>
      </c>
      <c r="O73" s="121" t="str">
        <f t="shared" si="138"/>
        <v>Z12</v>
      </c>
      <c r="P73" s="121" t="str">
        <f t="shared" si="138"/>
        <v>Z13</v>
      </c>
      <c r="Q73" s="121" t="str">
        <f t="shared" si="138"/>
        <v>Z14</v>
      </c>
      <c r="R73" s="121" t="str">
        <f t="shared" si="138"/>
        <v>Z15</v>
      </c>
      <c r="S73" s="121" t="s">
        <v>100</v>
      </c>
      <c r="U73" s="769" t="str">
        <f>U$9</f>
        <v>TOTAL stock</v>
      </c>
      <c r="V73" s="769" t="str">
        <f>V$9</f>
        <v>City vehicles</v>
      </c>
      <c r="W73" s="760"/>
      <c r="X73" s="766" t="str">
        <f t="shared" ref="X73:AL73" si="139">D73</f>
        <v>Z01</v>
      </c>
      <c r="Y73" s="766" t="str">
        <f t="shared" si="139"/>
        <v>Z02</v>
      </c>
      <c r="Z73" s="766" t="str">
        <f t="shared" si="139"/>
        <v>Z03</v>
      </c>
      <c r="AA73" s="766" t="str">
        <f t="shared" si="139"/>
        <v>Z04</v>
      </c>
      <c r="AB73" s="766" t="str">
        <f t="shared" si="139"/>
        <v>Z05</v>
      </c>
      <c r="AC73" s="766" t="str">
        <f t="shared" si="139"/>
        <v>Z06</v>
      </c>
      <c r="AD73" s="766" t="str">
        <f t="shared" si="139"/>
        <v>Z07</v>
      </c>
      <c r="AE73" s="766" t="str">
        <f t="shared" si="139"/>
        <v>Z08</v>
      </c>
      <c r="AF73" s="766" t="str">
        <f t="shared" si="139"/>
        <v>Z09</v>
      </c>
      <c r="AG73" s="766" t="str">
        <f t="shared" si="139"/>
        <v>Z10</v>
      </c>
      <c r="AH73" s="766" t="str">
        <f t="shared" si="139"/>
        <v>Z11</v>
      </c>
      <c r="AI73" s="766" t="str">
        <f t="shared" si="139"/>
        <v>Z12</v>
      </c>
      <c r="AJ73" s="766" t="str">
        <f t="shared" si="139"/>
        <v>Z13</v>
      </c>
      <c r="AK73" s="766" t="str">
        <f t="shared" si="139"/>
        <v>Z14</v>
      </c>
      <c r="AL73" s="766" t="str">
        <f t="shared" si="139"/>
        <v>Z15</v>
      </c>
      <c r="AM73" s="766" t="s">
        <v>100</v>
      </c>
    </row>
    <row r="74" spans="2:39" s="19" customFormat="1" x14ac:dyDescent="0.25">
      <c r="B74" s="245" t="str">
        <f>B58</f>
        <v>Biodiesel</v>
      </c>
      <c r="C74" s="324"/>
      <c r="D74" s="682">
        <f>$V74*X74</f>
        <v>0</v>
      </c>
      <c r="E74" s="682">
        <f t="shared" ref="E74:E85" si="140">$V74*Y74</f>
        <v>0</v>
      </c>
      <c r="F74" s="682">
        <f t="shared" ref="F74:F85" si="141">$V74*Z74</f>
        <v>0</v>
      </c>
      <c r="G74" s="682">
        <f t="shared" ref="G74:G85" si="142">$V74*AA74</f>
        <v>0</v>
      </c>
      <c r="H74" s="682">
        <f t="shared" ref="H74:H85" si="143">$V74*AB74</f>
        <v>0</v>
      </c>
      <c r="I74" s="682">
        <f t="shared" ref="I74:I85" si="144">$V74*AC74</f>
        <v>0</v>
      </c>
      <c r="J74" s="682">
        <f t="shared" ref="J74:J85" si="145">$V74*AD74</f>
        <v>0</v>
      </c>
      <c r="K74" s="682">
        <f t="shared" ref="K74:K85" si="146">$V74*AE74</f>
        <v>0</v>
      </c>
      <c r="L74" s="682">
        <f t="shared" ref="L74:L85" si="147">$V74*AF74</f>
        <v>0</v>
      </c>
      <c r="M74" s="682">
        <f t="shared" ref="M74:M85" si="148">$V74*AG74</f>
        <v>0</v>
      </c>
      <c r="N74" s="682">
        <f t="shared" ref="N74:N85" si="149">$V74*AH74</f>
        <v>0</v>
      </c>
      <c r="O74" s="682">
        <f t="shared" ref="O74:O85" si="150">$V74*AI74</f>
        <v>0</v>
      </c>
      <c r="P74" s="682">
        <f t="shared" ref="P74:P85" si="151">$V74*AJ74</f>
        <v>0</v>
      </c>
      <c r="Q74" s="682">
        <f t="shared" ref="Q74:Q85" si="152">$V74*AK74</f>
        <v>0</v>
      </c>
      <c r="R74" s="682">
        <f t="shared" ref="R74:R85" si="153">$V74*AL74</f>
        <v>0</v>
      </c>
      <c r="S74" s="682">
        <f t="shared" ref="S74:S85" si="154">$V74*AM74</f>
        <v>0</v>
      </c>
      <c r="U74" s="770"/>
      <c r="V74" s="770"/>
      <c r="W74" s="760"/>
      <c r="X74" s="772">
        <f>X$6</f>
        <v>1</v>
      </c>
      <c r="Y74" s="772">
        <f t="shared" ref="Y74:AL74" si="155">Y$6</f>
        <v>0</v>
      </c>
      <c r="Z74" s="772">
        <f t="shared" si="155"/>
        <v>0</v>
      </c>
      <c r="AA74" s="772">
        <f t="shared" si="155"/>
        <v>0</v>
      </c>
      <c r="AB74" s="772">
        <f t="shared" si="155"/>
        <v>0</v>
      </c>
      <c r="AC74" s="772">
        <f t="shared" si="155"/>
        <v>0</v>
      </c>
      <c r="AD74" s="772">
        <f t="shared" si="155"/>
        <v>0</v>
      </c>
      <c r="AE74" s="772">
        <f t="shared" si="155"/>
        <v>0</v>
      </c>
      <c r="AF74" s="772">
        <f t="shared" si="155"/>
        <v>0</v>
      </c>
      <c r="AG74" s="772">
        <f t="shared" si="155"/>
        <v>0</v>
      </c>
      <c r="AH74" s="772">
        <f t="shared" si="155"/>
        <v>0</v>
      </c>
      <c r="AI74" s="772">
        <f t="shared" si="155"/>
        <v>0</v>
      </c>
      <c r="AJ74" s="772">
        <f t="shared" si="155"/>
        <v>0</v>
      </c>
      <c r="AK74" s="772">
        <f t="shared" si="155"/>
        <v>0</v>
      </c>
      <c r="AL74" s="772">
        <f t="shared" si="155"/>
        <v>0</v>
      </c>
      <c r="AM74" s="773">
        <f>SUM(X74:AI74)</f>
        <v>1</v>
      </c>
    </row>
    <row r="75" spans="2:39" s="19" customFormat="1" x14ac:dyDescent="0.25">
      <c r="B75" s="245" t="str">
        <f t="shared" ref="B75:B85" si="156">B59</f>
        <v>Diesel</v>
      </c>
      <c r="C75" s="324"/>
      <c r="D75" s="682">
        <f t="shared" ref="D75:D85" si="157">$V75*X75</f>
        <v>0</v>
      </c>
      <c r="E75" s="682">
        <f t="shared" si="140"/>
        <v>0</v>
      </c>
      <c r="F75" s="682">
        <f t="shared" si="141"/>
        <v>0</v>
      </c>
      <c r="G75" s="682">
        <f t="shared" si="142"/>
        <v>0</v>
      </c>
      <c r="H75" s="682">
        <f t="shared" si="143"/>
        <v>0</v>
      </c>
      <c r="I75" s="682">
        <f t="shared" si="144"/>
        <v>0</v>
      </c>
      <c r="J75" s="682">
        <f t="shared" si="145"/>
        <v>0</v>
      </c>
      <c r="K75" s="682">
        <f t="shared" si="146"/>
        <v>0</v>
      </c>
      <c r="L75" s="682">
        <f t="shared" si="147"/>
        <v>0</v>
      </c>
      <c r="M75" s="682">
        <f t="shared" si="148"/>
        <v>0</v>
      </c>
      <c r="N75" s="682">
        <f t="shared" si="149"/>
        <v>0</v>
      </c>
      <c r="O75" s="682">
        <f t="shared" si="150"/>
        <v>0</v>
      </c>
      <c r="P75" s="682">
        <f t="shared" si="151"/>
        <v>0</v>
      </c>
      <c r="Q75" s="682">
        <f t="shared" si="152"/>
        <v>0</v>
      </c>
      <c r="R75" s="682">
        <f t="shared" si="153"/>
        <v>0</v>
      </c>
      <c r="S75" s="682">
        <f t="shared" si="154"/>
        <v>0</v>
      </c>
      <c r="U75" s="770"/>
      <c r="V75" s="770"/>
      <c r="W75" s="760"/>
      <c r="X75" s="772">
        <f t="shared" ref="X75:AL85" si="158">X$6</f>
        <v>1</v>
      </c>
      <c r="Y75" s="772">
        <f t="shared" si="158"/>
        <v>0</v>
      </c>
      <c r="Z75" s="772">
        <f t="shared" si="158"/>
        <v>0</v>
      </c>
      <c r="AA75" s="772">
        <f t="shared" si="158"/>
        <v>0</v>
      </c>
      <c r="AB75" s="772">
        <f t="shared" si="158"/>
        <v>0</v>
      </c>
      <c r="AC75" s="772">
        <f t="shared" si="158"/>
        <v>0</v>
      </c>
      <c r="AD75" s="772">
        <f t="shared" si="158"/>
        <v>0</v>
      </c>
      <c r="AE75" s="772">
        <f t="shared" si="158"/>
        <v>0</v>
      </c>
      <c r="AF75" s="772">
        <f t="shared" si="158"/>
        <v>0</v>
      </c>
      <c r="AG75" s="772">
        <f t="shared" si="158"/>
        <v>0</v>
      </c>
      <c r="AH75" s="772">
        <f t="shared" si="158"/>
        <v>0</v>
      </c>
      <c r="AI75" s="772">
        <f t="shared" si="158"/>
        <v>0</v>
      </c>
      <c r="AJ75" s="772">
        <f t="shared" si="158"/>
        <v>0</v>
      </c>
      <c r="AK75" s="772">
        <f t="shared" si="158"/>
        <v>0</v>
      </c>
      <c r="AL75" s="772">
        <f t="shared" si="158"/>
        <v>0</v>
      </c>
      <c r="AM75" s="773">
        <f>SUM(X75:AI75)</f>
        <v>1</v>
      </c>
    </row>
    <row r="76" spans="2:39" s="19" customFormat="1" x14ac:dyDescent="0.25">
      <c r="B76" s="245" t="str">
        <f t="shared" si="156"/>
        <v>Battery electric (BEV)</v>
      </c>
      <c r="C76" s="324"/>
      <c r="D76" s="682">
        <f t="shared" si="157"/>
        <v>0</v>
      </c>
      <c r="E76" s="682">
        <f t="shared" si="140"/>
        <v>0</v>
      </c>
      <c r="F76" s="682">
        <f t="shared" si="141"/>
        <v>0</v>
      </c>
      <c r="G76" s="682">
        <f t="shared" si="142"/>
        <v>0</v>
      </c>
      <c r="H76" s="682">
        <f t="shared" si="143"/>
        <v>0</v>
      </c>
      <c r="I76" s="682">
        <f t="shared" si="144"/>
        <v>0</v>
      </c>
      <c r="J76" s="682">
        <f t="shared" si="145"/>
        <v>0</v>
      </c>
      <c r="K76" s="682">
        <f t="shared" si="146"/>
        <v>0</v>
      </c>
      <c r="L76" s="682">
        <f t="shared" si="147"/>
        <v>0</v>
      </c>
      <c r="M76" s="682">
        <f t="shared" si="148"/>
        <v>0</v>
      </c>
      <c r="N76" s="682">
        <f t="shared" si="149"/>
        <v>0</v>
      </c>
      <c r="O76" s="682">
        <f t="shared" si="150"/>
        <v>0</v>
      </c>
      <c r="P76" s="682">
        <f t="shared" si="151"/>
        <v>0</v>
      </c>
      <c r="Q76" s="682">
        <f t="shared" si="152"/>
        <v>0</v>
      </c>
      <c r="R76" s="682">
        <f t="shared" si="153"/>
        <v>0</v>
      </c>
      <c r="S76" s="682">
        <f t="shared" si="154"/>
        <v>0</v>
      </c>
      <c r="U76" s="770"/>
      <c r="V76" s="770"/>
      <c r="W76" s="760"/>
      <c r="X76" s="772">
        <f t="shared" si="158"/>
        <v>1</v>
      </c>
      <c r="Y76" s="772">
        <f t="shared" si="158"/>
        <v>0</v>
      </c>
      <c r="Z76" s="772">
        <f t="shared" si="158"/>
        <v>0</v>
      </c>
      <c r="AA76" s="772">
        <f t="shared" si="158"/>
        <v>0</v>
      </c>
      <c r="AB76" s="772">
        <f t="shared" si="158"/>
        <v>0</v>
      </c>
      <c r="AC76" s="772">
        <f t="shared" si="158"/>
        <v>0</v>
      </c>
      <c r="AD76" s="772">
        <f t="shared" si="158"/>
        <v>0</v>
      </c>
      <c r="AE76" s="772">
        <f t="shared" si="158"/>
        <v>0</v>
      </c>
      <c r="AF76" s="772">
        <f t="shared" si="158"/>
        <v>0</v>
      </c>
      <c r="AG76" s="772">
        <f t="shared" si="158"/>
        <v>0</v>
      </c>
      <c r="AH76" s="772">
        <f t="shared" si="158"/>
        <v>0</v>
      </c>
      <c r="AI76" s="772">
        <f t="shared" si="158"/>
        <v>0</v>
      </c>
      <c r="AJ76" s="772">
        <f t="shared" si="158"/>
        <v>0</v>
      </c>
      <c r="AK76" s="772">
        <f t="shared" si="158"/>
        <v>0</v>
      </c>
      <c r="AL76" s="772">
        <f t="shared" si="158"/>
        <v>0</v>
      </c>
      <c r="AM76" s="773">
        <f t="shared" ref="AM76:AM84" si="159">SUM(X76:AI76)</f>
        <v>1</v>
      </c>
    </row>
    <row r="77" spans="2:39" s="19" customFormat="1" x14ac:dyDescent="0.25">
      <c r="B77" s="245" t="str">
        <f t="shared" si="156"/>
        <v>Ethanol</v>
      </c>
      <c r="C77" s="324"/>
      <c r="D77" s="682">
        <f t="shared" si="157"/>
        <v>0</v>
      </c>
      <c r="E77" s="682">
        <f t="shared" si="140"/>
        <v>0</v>
      </c>
      <c r="F77" s="682">
        <f t="shared" si="141"/>
        <v>0</v>
      </c>
      <c r="G77" s="682">
        <f t="shared" si="142"/>
        <v>0</v>
      </c>
      <c r="H77" s="682">
        <f t="shared" si="143"/>
        <v>0</v>
      </c>
      <c r="I77" s="682">
        <f t="shared" si="144"/>
        <v>0</v>
      </c>
      <c r="J77" s="682">
        <f t="shared" si="145"/>
        <v>0</v>
      </c>
      <c r="K77" s="682">
        <f t="shared" si="146"/>
        <v>0</v>
      </c>
      <c r="L77" s="682">
        <f t="shared" si="147"/>
        <v>0</v>
      </c>
      <c r="M77" s="682">
        <f t="shared" si="148"/>
        <v>0</v>
      </c>
      <c r="N77" s="682">
        <f t="shared" si="149"/>
        <v>0</v>
      </c>
      <c r="O77" s="682">
        <f t="shared" si="150"/>
        <v>0</v>
      </c>
      <c r="P77" s="682">
        <f t="shared" si="151"/>
        <v>0</v>
      </c>
      <c r="Q77" s="682">
        <f t="shared" si="152"/>
        <v>0</v>
      </c>
      <c r="R77" s="682">
        <f t="shared" si="153"/>
        <v>0</v>
      </c>
      <c r="S77" s="682">
        <f t="shared" si="154"/>
        <v>0</v>
      </c>
      <c r="U77" s="770"/>
      <c r="V77" s="770"/>
      <c r="W77" s="760"/>
      <c r="X77" s="772">
        <f t="shared" si="158"/>
        <v>1</v>
      </c>
      <c r="Y77" s="772">
        <f t="shared" si="158"/>
        <v>0</v>
      </c>
      <c r="Z77" s="772">
        <f t="shared" si="158"/>
        <v>0</v>
      </c>
      <c r="AA77" s="772">
        <f t="shared" si="158"/>
        <v>0</v>
      </c>
      <c r="AB77" s="772">
        <f t="shared" si="158"/>
        <v>0</v>
      </c>
      <c r="AC77" s="772">
        <f t="shared" si="158"/>
        <v>0</v>
      </c>
      <c r="AD77" s="772">
        <f t="shared" si="158"/>
        <v>0</v>
      </c>
      <c r="AE77" s="772">
        <f t="shared" si="158"/>
        <v>0</v>
      </c>
      <c r="AF77" s="772">
        <f t="shared" si="158"/>
        <v>0</v>
      </c>
      <c r="AG77" s="772">
        <f t="shared" si="158"/>
        <v>0</v>
      </c>
      <c r="AH77" s="772">
        <f t="shared" si="158"/>
        <v>0</v>
      </c>
      <c r="AI77" s="772">
        <f t="shared" si="158"/>
        <v>0</v>
      </c>
      <c r="AJ77" s="772">
        <f t="shared" si="158"/>
        <v>0</v>
      </c>
      <c r="AK77" s="772">
        <f t="shared" si="158"/>
        <v>0</v>
      </c>
      <c r="AL77" s="772">
        <f t="shared" si="158"/>
        <v>0</v>
      </c>
      <c r="AM77" s="773">
        <f t="shared" si="159"/>
        <v>1</v>
      </c>
    </row>
    <row r="78" spans="2:39" s="19" customFormat="1" x14ac:dyDescent="0.25">
      <c r="B78" s="245" t="str">
        <f t="shared" si="156"/>
        <v>Gas (CNG)</v>
      </c>
      <c r="C78" s="324"/>
      <c r="D78" s="682">
        <f t="shared" si="157"/>
        <v>0</v>
      </c>
      <c r="E78" s="682">
        <f t="shared" si="140"/>
        <v>0</v>
      </c>
      <c r="F78" s="682">
        <f t="shared" si="141"/>
        <v>0</v>
      </c>
      <c r="G78" s="682">
        <f t="shared" si="142"/>
        <v>0</v>
      </c>
      <c r="H78" s="682">
        <f t="shared" si="143"/>
        <v>0</v>
      </c>
      <c r="I78" s="682">
        <f t="shared" si="144"/>
        <v>0</v>
      </c>
      <c r="J78" s="682">
        <f t="shared" si="145"/>
        <v>0</v>
      </c>
      <c r="K78" s="682">
        <f t="shared" si="146"/>
        <v>0</v>
      </c>
      <c r="L78" s="682">
        <f t="shared" si="147"/>
        <v>0</v>
      </c>
      <c r="M78" s="682">
        <f t="shared" si="148"/>
        <v>0</v>
      </c>
      <c r="N78" s="682">
        <f t="shared" si="149"/>
        <v>0</v>
      </c>
      <c r="O78" s="682">
        <f t="shared" si="150"/>
        <v>0</v>
      </c>
      <c r="P78" s="682">
        <f t="shared" si="151"/>
        <v>0</v>
      </c>
      <c r="Q78" s="682">
        <f t="shared" si="152"/>
        <v>0</v>
      </c>
      <c r="R78" s="682">
        <f t="shared" si="153"/>
        <v>0</v>
      </c>
      <c r="S78" s="682">
        <f t="shared" si="154"/>
        <v>0</v>
      </c>
      <c r="U78" s="770"/>
      <c r="V78" s="770"/>
      <c r="W78" s="760"/>
      <c r="X78" s="772">
        <f t="shared" si="158"/>
        <v>1</v>
      </c>
      <c r="Y78" s="772">
        <f t="shared" si="158"/>
        <v>0</v>
      </c>
      <c r="Z78" s="772">
        <f t="shared" si="158"/>
        <v>0</v>
      </c>
      <c r="AA78" s="772">
        <f t="shared" si="158"/>
        <v>0</v>
      </c>
      <c r="AB78" s="772">
        <f t="shared" si="158"/>
        <v>0</v>
      </c>
      <c r="AC78" s="772">
        <f t="shared" si="158"/>
        <v>0</v>
      </c>
      <c r="AD78" s="772">
        <f t="shared" si="158"/>
        <v>0</v>
      </c>
      <c r="AE78" s="772">
        <f t="shared" si="158"/>
        <v>0</v>
      </c>
      <c r="AF78" s="772">
        <f t="shared" si="158"/>
        <v>0</v>
      </c>
      <c r="AG78" s="772">
        <f t="shared" si="158"/>
        <v>0</v>
      </c>
      <c r="AH78" s="772">
        <f t="shared" si="158"/>
        <v>0</v>
      </c>
      <c r="AI78" s="772">
        <f t="shared" si="158"/>
        <v>0</v>
      </c>
      <c r="AJ78" s="772">
        <f t="shared" si="158"/>
        <v>0</v>
      </c>
      <c r="AK78" s="772">
        <f t="shared" si="158"/>
        <v>0</v>
      </c>
      <c r="AL78" s="772">
        <f t="shared" si="158"/>
        <v>0</v>
      </c>
      <c r="AM78" s="773">
        <f t="shared" si="159"/>
        <v>1</v>
      </c>
    </row>
    <row r="79" spans="2:39" s="19" customFormat="1" x14ac:dyDescent="0.25">
      <c r="B79" s="245" t="str">
        <f t="shared" si="156"/>
        <v>Gasoline</v>
      </c>
      <c r="C79" s="324"/>
      <c r="D79" s="682">
        <f t="shared" si="157"/>
        <v>0</v>
      </c>
      <c r="E79" s="682">
        <f t="shared" si="140"/>
        <v>0</v>
      </c>
      <c r="F79" s="682">
        <f t="shared" si="141"/>
        <v>0</v>
      </c>
      <c r="G79" s="682">
        <f t="shared" si="142"/>
        <v>0</v>
      </c>
      <c r="H79" s="682">
        <f t="shared" si="143"/>
        <v>0</v>
      </c>
      <c r="I79" s="682">
        <f t="shared" si="144"/>
        <v>0</v>
      </c>
      <c r="J79" s="682">
        <f t="shared" si="145"/>
        <v>0</v>
      </c>
      <c r="K79" s="682">
        <f t="shared" si="146"/>
        <v>0</v>
      </c>
      <c r="L79" s="682">
        <f t="shared" si="147"/>
        <v>0</v>
      </c>
      <c r="M79" s="682">
        <f t="shared" si="148"/>
        <v>0</v>
      </c>
      <c r="N79" s="682">
        <f t="shared" si="149"/>
        <v>0</v>
      </c>
      <c r="O79" s="682">
        <f t="shared" si="150"/>
        <v>0</v>
      </c>
      <c r="P79" s="682">
        <f t="shared" si="151"/>
        <v>0</v>
      </c>
      <c r="Q79" s="682">
        <f t="shared" si="152"/>
        <v>0</v>
      </c>
      <c r="R79" s="682">
        <f t="shared" si="153"/>
        <v>0</v>
      </c>
      <c r="S79" s="682">
        <f t="shared" si="154"/>
        <v>0</v>
      </c>
      <c r="U79" s="770"/>
      <c r="V79" s="770"/>
      <c r="W79" s="760"/>
      <c r="X79" s="772">
        <f t="shared" si="158"/>
        <v>1</v>
      </c>
      <c r="Y79" s="772">
        <f t="shared" si="158"/>
        <v>0</v>
      </c>
      <c r="Z79" s="772">
        <f t="shared" si="158"/>
        <v>0</v>
      </c>
      <c r="AA79" s="772">
        <f t="shared" si="158"/>
        <v>0</v>
      </c>
      <c r="AB79" s="772">
        <f t="shared" si="158"/>
        <v>0</v>
      </c>
      <c r="AC79" s="772">
        <f t="shared" si="158"/>
        <v>0</v>
      </c>
      <c r="AD79" s="772">
        <f t="shared" si="158"/>
        <v>0</v>
      </c>
      <c r="AE79" s="772">
        <f t="shared" si="158"/>
        <v>0</v>
      </c>
      <c r="AF79" s="772">
        <f t="shared" si="158"/>
        <v>0</v>
      </c>
      <c r="AG79" s="772">
        <f t="shared" si="158"/>
        <v>0</v>
      </c>
      <c r="AH79" s="772">
        <f t="shared" si="158"/>
        <v>0</v>
      </c>
      <c r="AI79" s="772">
        <f t="shared" si="158"/>
        <v>0</v>
      </c>
      <c r="AJ79" s="772">
        <f t="shared" si="158"/>
        <v>0</v>
      </c>
      <c r="AK79" s="772">
        <f t="shared" si="158"/>
        <v>0</v>
      </c>
      <c r="AL79" s="772">
        <f t="shared" si="158"/>
        <v>0</v>
      </c>
      <c r="AM79" s="773">
        <f t="shared" si="159"/>
        <v>1</v>
      </c>
    </row>
    <row r="80" spans="2:39" s="19" customFormat="1" x14ac:dyDescent="0.25">
      <c r="B80" s="245" t="str">
        <f t="shared" si="156"/>
        <v>Hybrid Electric - diesel</v>
      </c>
      <c r="C80" s="173"/>
      <c r="D80" s="682">
        <f t="shared" si="157"/>
        <v>0</v>
      </c>
      <c r="E80" s="682">
        <f t="shared" si="140"/>
        <v>0</v>
      </c>
      <c r="F80" s="682">
        <f t="shared" si="141"/>
        <v>0</v>
      </c>
      <c r="G80" s="682">
        <f t="shared" si="142"/>
        <v>0</v>
      </c>
      <c r="H80" s="682">
        <f t="shared" si="143"/>
        <v>0</v>
      </c>
      <c r="I80" s="682">
        <f t="shared" si="144"/>
        <v>0</v>
      </c>
      <c r="J80" s="682">
        <f t="shared" si="145"/>
        <v>0</v>
      </c>
      <c r="K80" s="682">
        <f t="shared" si="146"/>
        <v>0</v>
      </c>
      <c r="L80" s="682">
        <f t="shared" si="147"/>
        <v>0</v>
      </c>
      <c r="M80" s="682">
        <f t="shared" si="148"/>
        <v>0</v>
      </c>
      <c r="N80" s="682">
        <f t="shared" si="149"/>
        <v>0</v>
      </c>
      <c r="O80" s="682">
        <f t="shared" si="150"/>
        <v>0</v>
      </c>
      <c r="P80" s="682">
        <f t="shared" si="151"/>
        <v>0</v>
      </c>
      <c r="Q80" s="682">
        <f t="shared" si="152"/>
        <v>0</v>
      </c>
      <c r="R80" s="682">
        <f t="shared" si="153"/>
        <v>0</v>
      </c>
      <c r="S80" s="682">
        <f t="shared" si="154"/>
        <v>0</v>
      </c>
      <c r="U80" s="770"/>
      <c r="V80" s="770"/>
      <c r="W80" s="760"/>
      <c r="X80" s="772">
        <f t="shared" si="158"/>
        <v>1</v>
      </c>
      <c r="Y80" s="772">
        <f t="shared" si="158"/>
        <v>0</v>
      </c>
      <c r="Z80" s="772">
        <f t="shared" si="158"/>
        <v>0</v>
      </c>
      <c r="AA80" s="772">
        <f t="shared" si="158"/>
        <v>0</v>
      </c>
      <c r="AB80" s="772">
        <f t="shared" si="158"/>
        <v>0</v>
      </c>
      <c r="AC80" s="772">
        <f t="shared" si="158"/>
        <v>0</v>
      </c>
      <c r="AD80" s="772">
        <f t="shared" si="158"/>
        <v>0</v>
      </c>
      <c r="AE80" s="772">
        <f t="shared" si="158"/>
        <v>0</v>
      </c>
      <c r="AF80" s="772">
        <f t="shared" si="158"/>
        <v>0</v>
      </c>
      <c r="AG80" s="772">
        <f t="shared" si="158"/>
        <v>0</v>
      </c>
      <c r="AH80" s="772">
        <f t="shared" si="158"/>
        <v>0</v>
      </c>
      <c r="AI80" s="772">
        <f t="shared" si="158"/>
        <v>0</v>
      </c>
      <c r="AJ80" s="772">
        <f t="shared" si="158"/>
        <v>0</v>
      </c>
      <c r="AK80" s="772">
        <f t="shared" si="158"/>
        <v>0</v>
      </c>
      <c r="AL80" s="772">
        <f t="shared" si="158"/>
        <v>0</v>
      </c>
      <c r="AM80" s="773">
        <f t="shared" si="159"/>
        <v>1</v>
      </c>
    </row>
    <row r="81" spans="2:39" s="19" customFormat="1" x14ac:dyDescent="0.25">
      <c r="B81" s="245" t="str">
        <f t="shared" si="156"/>
        <v>Hybrid Electric - gasoline</v>
      </c>
      <c r="C81" s="173"/>
      <c r="D81" s="682">
        <f t="shared" si="157"/>
        <v>0</v>
      </c>
      <c r="E81" s="682">
        <f t="shared" si="140"/>
        <v>0</v>
      </c>
      <c r="F81" s="682">
        <f t="shared" si="141"/>
        <v>0</v>
      </c>
      <c r="G81" s="682">
        <f t="shared" si="142"/>
        <v>0</v>
      </c>
      <c r="H81" s="682">
        <f t="shared" si="143"/>
        <v>0</v>
      </c>
      <c r="I81" s="682">
        <f t="shared" si="144"/>
        <v>0</v>
      </c>
      <c r="J81" s="682">
        <f t="shared" si="145"/>
        <v>0</v>
      </c>
      <c r="K81" s="682">
        <f t="shared" si="146"/>
        <v>0</v>
      </c>
      <c r="L81" s="682">
        <f t="shared" si="147"/>
        <v>0</v>
      </c>
      <c r="M81" s="682">
        <f t="shared" si="148"/>
        <v>0</v>
      </c>
      <c r="N81" s="682">
        <f t="shared" si="149"/>
        <v>0</v>
      </c>
      <c r="O81" s="682">
        <f t="shared" si="150"/>
        <v>0</v>
      </c>
      <c r="P81" s="682">
        <f t="shared" si="151"/>
        <v>0</v>
      </c>
      <c r="Q81" s="682">
        <f t="shared" si="152"/>
        <v>0</v>
      </c>
      <c r="R81" s="682">
        <f t="shared" si="153"/>
        <v>0</v>
      </c>
      <c r="S81" s="682">
        <f t="shared" si="154"/>
        <v>0</v>
      </c>
      <c r="U81" s="770"/>
      <c r="V81" s="770"/>
      <c r="W81" s="760"/>
      <c r="X81" s="772">
        <f t="shared" si="158"/>
        <v>1</v>
      </c>
      <c r="Y81" s="772">
        <f t="shared" si="158"/>
        <v>0</v>
      </c>
      <c r="Z81" s="772">
        <f t="shared" si="158"/>
        <v>0</v>
      </c>
      <c r="AA81" s="772">
        <f t="shared" si="158"/>
        <v>0</v>
      </c>
      <c r="AB81" s="772">
        <f t="shared" si="158"/>
        <v>0</v>
      </c>
      <c r="AC81" s="772">
        <f t="shared" si="158"/>
        <v>0</v>
      </c>
      <c r="AD81" s="772">
        <f t="shared" si="158"/>
        <v>0</v>
      </c>
      <c r="AE81" s="772">
        <f t="shared" si="158"/>
        <v>0</v>
      </c>
      <c r="AF81" s="772">
        <f t="shared" si="158"/>
        <v>0</v>
      </c>
      <c r="AG81" s="772">
        <f t="shared" si="158"/>
        <v>0</v>
      </c>
      <c r="AH81" s="772">
        <f t="shared" si="158"/>
        <v>0</v>
      </c>
      <c r="AI81" s="772">
        <f t="shared" si="158"/>
        <v>0</v>
      </c>
      <c r="AJ81" s="772">
        <f t="shared" si="158"/>
        <v>0</v>
      </c>
      <c r="AK81" s="772">
        <f t="shared" si="158"/>
        <v>0</v>
      </c>
      <c r="AL81" s="772">
        <f t="shared" si="158"/>
        <v>0</v>
      </c>
      <c r="AM81" s="773">
        <f t="shared" si="159"/>
        <v>1</v>
      </c>
    </row>
    <row r="82" spans="2:39" s="19" customFormat="1" x14ac:dyDescent="0.25">
      <c r="B82" s="245" t="str">
        <f t="shared" si="156"/>
        <v>LPG</v>
      </c>
      <c r="C82" s="324"/>
      <c r="D82" s="682">
        <f t="shared" si="157"/>
        <v>0</v>
      </c>
      <c r="E82" s="682">
        <f t="shared" si="140"/>
        <v>0</v>
      </c>
      <c r="F82" s="682">
        <f t="shared" si="141"/>
        <v>0</v>
      </c>
      <c r="G82" s="682">
        <f t="shared" si="142"/>
        <v>0</v>
      </c>
      <c r="H82" s="682">
        <f t="shared" si="143"/>
        <v>0</v>
      </c>
      <c r="I82" s="682">
        <f t="shared" si="144"/>
        <v>0</v>
      </c>
      <c r="J82" s="682">
        <f t="shared" si="145"/>
        <v>0</v>
      </c>
      <c r="K82" s="682">
        <f t="shared" si="146"/>
        <v>0</v>
      </c>
      <c r="L82" s="682">
        <f t="shared" si="147"/>
        <v>0</v>
      </c>
      <c r="M82" s="682">
        <f t="shared" si="148"/>
        <v>0</v>
      </c>
      <c r="N82" s="682">
        <f t="shared" si="149"/>
        <v>0</v>
      </c>
      <c r="O82" s="682">
        <f t="shared" si="150"/>
        <v>0</v>
      </c>
      <c r="P82" s="682">
        <f t="shared" si="151"/>
        <v>0</v>
      </c>
      <c r="Q82" s="682">
        <f t="shared" si="152"/>
        <v>0</v>
      </c>
      <c r="R82" s="682">
        <f t="shared" si="153"/>
        <v>0</v>
      </c>
      <c r="S82" s="682">
        <f t="shared" si="154"/>
        <v>0</v>
      </c>
      <c r="U82" s="770"/>
      <c r="V82" s="770"/>
      <c r="W82" s="760"/>
      <c r="X82" s="772">
        <f t="shared" si="158"/>
        <v>1</v>
      </c>
      <c r="Y82" s="772">
        <f t="shared" si="158"/>
        <v>0</v>
      </c>
      <c r="Z82" s="772">
        <f t="shared" si="158"/>
        <v>0</v>
      </c>
      <c r="AA82" s="772">
        <f t="shared" si="158"/>
        <v>0</v>
      </c>
      <c r="AB82" s="772">
        <f t="shared" si="158"/>
        <v>0</v>
      </c>
      <c r="AC82" s="772">
        <f t="shared" si="158"/>
        <v>0</v>
      </c>
      <c r="AD82" s="772">
        <f t="shared" si="158"/>
        <v>0</v>
      </c>
      <c r="AE82" s="772">
        <f t="shared" si="158"/>
        <v>0</v>
      </c>
      <c r="AF82" s="772">
        <f t="shared" si="158"/>
        <v>0</v>
      </c>
      <c r="AG82" s="772">
        <f t="shared" si="158"/>
        <v>0</v>
      </c>
      <c r="AH82" s="772">
        <f t="shared" si="158"/>
        <v>0</v>
      </c>
      <c r="AI82" s="772">
        <f t="shared" si="158"/>
        <v>0</v>
      </c>
      <c r="AJ82" s="772">
        <f t="shared" si="158"/>
        <v>0</v>
      </c>
      <c r="AK82" s="772">
        <f t="shared" si="158"/>
        <v>0</v>
      </c>
      <c r="AL82" s="772">
        <f t="shared" si="158"/>
        <v>0</v>
      </c>
      <c r="AM82" s="773">
        <f t="shared" si="159"/>
        <v>1</v>
      </c>
    </row>
    <row r="83" spans="2:39" s="19" customFormat="1" x14ac:dyDescent="0.25">
      <c r="B83" s="245" t="str">
        <f t="shared" si="156"/>
        <v>Plugin Hybrid Electric - diesel</v>
      </c>
      <c r="C83" s="173"/>
      <c r="D83" s="682">
        <f t="shared" si="157"/>
        <v>0</v>
      </c>
      <c r="E83" s="682">
        <f t="shared" si="140"/>
        <v>0</v>
      </c>
      <c r="F83" s="682">
        <f t="shared" si="141"/>
        <v>0</v>
      </c>
      <c r="G83" s="682">
        <f t="shared" si="142"/>
        <v>0</v>
      </c>
      <c r="H83" s="682">
        <f t="shared" si="143"/>
        <v>0</v>
      </c>
      <c r="I83" s="682">
        <f t="shared" si="144"/>
        <v>0</v>
      </c>
      <c r="J83" s="682">
        <f t="shared" si="145"/>
        <v>0</v>
      </c>
      <c r="K83" s="682">
        <f t="shared" si="146"/>
        <v>0</v>
      </c>
      <c r="L83" s="682">
        <f t="shared" si="147"/>
        <v>0</v>
      </c>
      <c r="M83" s="682">
        <f t="shared" si="148"/>
        <v>0</v>
      </c>
      <c r="N83" s="682">
        <f t="shared" si="149"/>
        <v>0</v>
      </c>
      <c r="O83" s="682">
        <f t="shared" si="150"/>
        <v>0</v>
      </c>
      <c r="P83" s="682">
        <f t="shared" si="151"/>
        <v>0</v>
      </c>
      <c r="Q83" s="682">
        <f t="shared" si="152"/>
        <v>0</v>
      </c>
      <c r="R83" s="682">
        <f t="shared" si="153"/>
        <v>0</v>
      </c>
      <c r="S83" s="682">
        <f t="shared" si="154"/>
        <v>0</v>
      </c>
      <c r="U83" s="770"/>
      <c r="V83" s="770"/>
      <c r="W83" s="760"/>
      <c r="X83" s="772">
        <f t="shared" si="158"/>
        <v>1</v>
      </c>
      <c r="Y83" s="772">
        <f t="shared" si="158"/>
        <v>0</v>
      </c>
      <c r="Z83" s="772">
        <f t="shared" si="158"/>
        <v>0</v>
      </c>
      <c r="AA83" s="772">
        <f t="shared" si="158"/>
        <v>0</v>
      </c>
      <c r="AB83" s="772">
        <f t="shared" si="158"/>
        <v>0</v>
      </c>
      <c r="AC83" s="772">
        <f t="shared" si="158"/>
        <v>0</v>
      </c>
      <c r="AD83" s="772">
        <f t="shared" si="158"/>
        <v>0</v>
      </c>
      <c r="AE83" s="772">
        <f t="shared" si="158"/>
        <v>0</v>
      </c>
      <c r="AF83" s="772">
        <f t="shared" si="158"/>
        <v>0</v>
      </c>
      <c r="AG83" s="772">
        <f t="shared" si="158"/>
        <v>0</v>
      </c>
      <c r="AH83" s="772">
        <f t="shared" si="158"/>
        <v>0</v>
      </c>
      <c r="AI83" s="772">
        <f t="shared" si="158"/>
        <v>0</v>
      </c>
      <c r="AJ83" s="772">
        <f t="shared" si="158"/>
        <v>0</v>
      </c>
      <c r="AK83" s="772">
        <f t="shared" si="158"/>
        <v>0</v>
      </c>
      <c r="AL83" s="772">
        <f t="shared" si="158"/>
        <v>0</v>
      </c>
      <c r="AM83" s="773">
        <f t="shared" si="159"/>
        <v>1</v>
      </c>
    </row>
    <row r="84" spans="2:39" s="19" customFormat="1" x14ac:dyDescent="0.25">
      <c r="B84" s="245" t="str">
        <f t="shared" si="156"/>
        <v>Plugin Hybrid Electric - gasoline</v>
      </c>
      <c r="C84" s="173"/>
      <c r="D84" s="682">
        <f t="shared" si="157"/>
        <v>0</v>
      </c>
      <c r="E84" s="682">
        <f t="shared" si="140"/>
        <v>0</v>
      </c>
      <c r="F84" s="682">
        <f t="shared" si="141"/>
        <v>0</v>
      </c>
      <c r="G84" s="682">
        <f t="shared" si="142"/>
        <v>0</v>
      </c>
      <c r="H84" s="682">
        <f t="shared" si="143"/>
        <v>0</v>
      </c>
      <c r="I84" s="682">
        <f t="shared" si="144"/>
        <v>0</v>
      </c>
      <c r="J84" s="682">
        <f t="shared" si="145"/>
        <v>0</v>
      </c>
      <c r="K84" s="682">
        <f t="shared" si="146"/>
        <v>0</v>
      </c>
      <c r="L84" s="682">
        <f t="shared" si="147"/>
        <v>0</v>
      </c>
      <c r="M84" s="682">
        <f t="shared" si="148"/>
        <v>0</v>
      </c>
      <c r="N84" s="682">
        <f t="shared" si="149"/>
        <v>0</v>
      </c>
      <c r="O84" s="682">
        <f t="shared" si="150"/>
        <v>0</v>
      </c>
      <c r="P84" s="682">
        <f t="shared" si="151"/>
        <v>0</v>
      </c>
      <c r="Q84" s="682">
        <f t="shared" si="152"/>
        <v>0</v>
      </c>
      <c r="R84" s="682">
        <f t="shared" si="153"/>
        <v>0</v>
      </c>
      <c r="S84" s="682">
        <f t="shared" si="154"/>
        <v>0</v>
      </c>
      <c r="U84" s="770"/>
      <c r="V84" s="770"/>
      <c r="W84" s="760"/>
      <c r="X84" s="772">
        <f t="shared" si="158"/>
        <v>1</v>
      </c>
      <c r="Y84" s="772">
        <f t="shared" si="158"/>
        <v>0</v>
      </c>
      <c r="Z84" s="772">
        <f t="shared" si="158"/>
        <v>0</v>
      </c>
      <c r="AA84" s="772">
        <f t="shared" si="158"/>
        <v>0</v>
      </c>
      <c r="AB84" s="772">
        <f t="shared" si="158"/>
        <v>0</v>
      </c>
      <c r="AC84" s="772">
        <f t="shared" si="158"/>
        <v>0</v>
      </c>
      <c r="AD84" s="772">
        <f t="shared" si="158"/>
        <v>0</v>
      </c>
      <c r="AE84" s="772">
        <f t="shared" si="158"/>
        <v>0</v>
      </c>
      <c r="AF84" s="772">
        <f t="shared" si="158"/>
        <v>0</v>
      </c>
      <c r="AG84" s="772">
        <f t="shared" si="158"/>
        <v>0</v>
      </c>
      <c r="AH84" s="772">
        <f t="shared" si="158"/>
        <v>0</v>
      </c>
      <c r="AI84" s="772">
        <f t="shared" si="158"/>
        <v>0</v>
      </c>
      <c r="AJ84" s="772">
        <f t="shared" si="158"/>
        <v>0</v>
      </c>
      <c r="AK84" s="772">
        <f t="shared" si="158"/>
        <v>0</v>
      </c>
      <c r="AL84" s="772">
        <f t="shared" si="158"/>
        <v>0</v>
      </c>
      <c r="AM84" s="773">
        <f t="shared" si="159"/>
        <v>1</v>
      </c>
    </row>
    <row r="85" spans="2:39" s="19" customFormat="1" x14ac:dyDescent="0.25">
      <c r="B85" s="250" t="str">
        <f t="shared" si="156"/>
        <v>Other</v>
      </c>
      <c r="C85" s="526"/>
      <c r="D85" s="683">
        <f t="shared" si="157"/>
        <v>0</v>
      </c>
      <c r="E85" s="683">
        <f t="shared" si="140"/>
        <v>0</v>
      </c>
      <c r="F85" s="683">
        <f t="shared" si="141"/>
        <v>0</v>
      </c>
      <c r="G85" s="683">
        <f t="shared" si="142"/>
        <v>0</v>
      </c>
      <c r="H85" s="683">
        <f t="shared" si="143"/>
        <v>0</v>
      </c>
      <c r="I85" s="683">
        <f t="shared" si="144"/>
        <v>0</v>
      </c>
      <c r="J85" s="683">
        <f t="shared" si="145"/>
        <v>0</v>
      </c>
      <c r="K85" s="683">
        <f t="shared" si="146"/>
        <v>0</v>
      </c>
      <c r="L85" s="683">
        <f t="shared" si="147"/>
        <v>0</v>
      </c>
      <c r="M85" s="683">
        <f t="shared" si="148"/>
        <v>0</v>
      </c>
      <c r="N85" s="683">
        <f t="shared" si="149"/>
        <v>0</v>
      </c>
      <c r="O85" s="683">
        <f t="shared" si="150"/>
        <v>0</v>
      </c>
      <c r="P85" s="683">
        <f t="shared" si="151"/>
        <v>0</v>
      </c>
      <c r="Q85" s="683">
        <f t="shared" si="152"/>
        <v>0</v>
      </c>
      <c r="R85" s="683">
        <f t="shared" si="153"/>
        <v>0</v>
      </c>
      <c r="S85" s="683">
        <f t="shared" si="154"/>
        <v>0</v>
      </c>
      <c r="U85" s="780"/>
      <c r="V85" s="780"/>
      <c r="W85" s="760"/>
      <c r="X85" s="772">
        <f t="shared" si="158"/>
        <v>1</v>
      </c>
      <c r="Y85" s="772">
        <f t="shared" si="158"/>
        <v>0</v>
      </c>
      <c r="Z85" s="772">
        <f t="shared" si="158"/>
        <v>0</v>
      </c>
      <c r="AA85" s="772">
        <f t="shared" si="158"/>
        <v>0</v>
      </c>
      <c r="AB85" s="772">
        <f t="shared" si="158"/>
        <v>0</v>
      </c>
      <c r="AC85" s="772">
        <f t="shared" si="158"/>
        <v>0</v>
      </c>
      <c r="AD85" s="772">
        <f>AD$6</f>
        <v>0</v>
      </c>
      <c r="AE85" s="772">
        <f t="shared" si="158"/>
        <v>0</v>
      </c>
      <c r="AF85" s="772">
        <f t="shared" si="158"/>
        <v>0</v>
      </c>
      <c r="AG85" s="772">
        <f t="shared" si="158"/>
        <v>0</v>
      </c>
      <c r="AH85" s="772">
        <f t="shared" si="158"/>
        <v>0</v>
      </c>
      <c r="AI85" s="772">
        <f t="shared" si="158"/>
        <v>0</v>
      </c>
      <c r="AJ85" s="772">
        <f t="shared" si="158"/>
        <v>0</v>
      </c>
      <c r="AK85" s="772">
        <f t="shared" si="158"/>
        <v>0</v>
      </c>
      <c r="AL85" s="772">
        <f t="shared" si="158"/>
        <v>0</v>
      </c>
      <c r="AM85" s="773">
        <f t="shared" ref="AM85" si="160">SUM(X85:AI85)</f>
        <v>1</v>
      </c>
    </row>
    <row r="86" spans="2:39" s="19" customFormat="1" x14ac:dyDescent="0.25">
      <c r="B86" s="478" t="s">
        <v>119</v>
      </c>
      <c r="C86" s="527"/>
      <c r="D86" s="681">
        <f>SUM(D74:D85)</f>
        <v>0</v>
      </c>
      <c r="E86" s="681">
        <f t="shared" ref="E86" si="161">SUM(E74:E85)</f>
        <v>0</v>
      </c>
      <c r="F86" s="681">
        <f t="shared" ref="F86" si="162">SUM(F74:F85)</f>
        <v>0</v>
      </c>
      <c r="G86" s="681">
        <f t="shared" ref="G86" si="163">SUM(G74:G85)</f>
        <v>0</v>
      </c>
      <c r="H86" s="681">
        <f t="shared" ref="H86" si="164">SUM(H74:H85)</f>
        <v>0</v>
      </c>
      <c r="I86" s="681">
        <f t="shared" ref="I86" si="165">SUM(I74:I85)</f>
        <v>0</v>
      </c>
      <c r="J86" s="681">
        <f t="shared" ref="J86" si="166">SUM(J74:J85)</f>
        <v>0</v>
      </c>
      <c r="K86" s="681">
        <f t="shared" ref="K86" si="167">SUM(K74:K85)</f>
        <v>0</v>
      </c>
      <c r="L86" s="681">
        <f t="shared" ref="L86" si="168">SUM(L74:L85)</f>
        <v>0</v>
      </c>
      <c r="M86" s="681">
        <f t="shared" ref="M86" si="169">SUM(M74:M85)</f>
        <v>0</v>
      </c>
      <c r="N86" s="681">
        <f t="shared" ref="N86" si="170">SUM(N74:N85)</f>
        <v>0</v>
      </c>
      <c r="O86" s="681">
        <f t="shared" ref="O86" si="171">SUM(O74:O85)</f>
        <v>0</v>
      </c>
      <c r="P86" s="681">
        <f t="shared" ref="P86" si="172">SUM(P74:P85)</f>
        <v>0</v>
      </c>
      <c r="Q86" s="681">
        <f t="shared" ref="Q86" si="173">SUM(Q74:Q85)</f>
        <v>0</v>
      </c>
      <c r="R86" s="681">
        <f t="shared" ref="R86" si="174">SUM(R74:R85)</f>
        <v>0</v>
      </c>
      <c r="S86" s="681">
        <f t="shared" ref="S86" si="175">SUM(S74:S85)</f>
        <v>0</v>
      </c>
      <c r="U86" s="776">
        <f>SUM(U74:U85)</f>
        <v>0</v>
      </c>
      <c r="V86" s="782">
        <f>SUM(V74:V84)</f>
        <v>0</v>
      </c>
      <c r="W86" s="760"/>
      <c r="X86" s="783"/>
      <c r="Y86" s="783"/>
      <c r="Z86" s="783"/>
      <c r="AA86" s="783"/>
      <c r="AB86" s="783"/>
      <c r="AC86" s="783"/>
      <c r="AD86" s="783"/>
      <c r="AE86" s="783"/>
      <c r="AF86" s="783"/>
      <c r="AG86" s="783"/>
      <c r="AH86" s="783"/>
      <c r="AI86" s="760"/>
      <c r="AJ86" s="760"/>
      <c r="AK86" s="760"/>
      <c r="AL86" s="760"/>
      <c r="AM86" s="760"/>
    </row>
    <row r="87" spans="2:39" x14ac:dyDescent="0.25">
      <c r="V87" s="782"/>
    </row>
    <row r="88" spans="2:39" x14ac:dyDescent="0.25">
      <c r="B88" s="441" t="s">
        <v>126</v>
      </c>
      <c r="C88" s="523"/>
      <c r="V88" s="786"/>
      <c r="X88" s="764" t="s">
        <v>99</v>
      </c>
    </row>
    <row r="89" spans="2:39" x14ac:dyDescent="0.25">
      <c r="B89" s="441" t="s">
        <v>103</v>
      </c>
      <c r="C89" s="441" t="s">
        <v>104</v>
      </c>
      <c r="D89" s="121" t="str">
        <f>D$9</f>
        <v>Z01</v>
      </c>
      <c r="E89" s="121" t="str">
        <f t="shared" ref="E89:R89" si="176">E$9</f>
        <v>Z02</v>
      </c>
      <c r="F89" s="121" t="str">
        <f t="shared" si="176"/>
        <v>Z03</v>
      </c>
      <c r="G89" s="121" t="str">
        <f t="shared" si="176"/>
        <v>Z04</v>
      </c>
      <c r="H89" s="121" t="str">
        <f t="shared" si="176"/>
        <v>Z05</v>
      </c>
      <c r="I89" s="121" t="str">
        <f t="shared" si="176"/>
        <v>Z06</v>
      </c>
      <c r="J89" s="121" t="str">
        <f t="shared" si="176"/>
        <v>Z07</v>
      </c>
      <c r="K89" s="121" t="str">
        <f t="shared" si="176"/>
        <v>Z08</v>
      </c>
      <c r="L89" s="121" t="str">
        <f t="shared" si="176"/>
        <v>Z09</v>
      </c>
      <c r="M89" s="121" t="str">
        <f t="shared" si="176"/>
        <v>Z10</v>
      </c>
      <c r="N89" s="121" t="str">
        <f t="shared" si="176"/>
        <v>Z11</v>
      </c>
      <c r="O89" s="121" t="str">
        <f t="shared" si="176"/>
        <v>Z12</v>
      </c>
      <c r="P89" s="121" t="str">
        <f t="shared" si="176"/>
        <v>Z13</v>
      </c>
      <c r="Q89" s="121" t="str">
        <f t="shared" si="176"/>
        <v>Z14</v>
      </c>
      <c r="R89" s="121" t="str">
        <f t="shared" si="176"/>
        <v>Z15</v>
      </c>
      <c r="S89" s="121" t="s">
        <v>100</v>
      </c>
      <c r="U89" s="769" t="s">
        <v>105</v>
      </c>
      <c r="V89" s="769" t="str">
        <f>V$9</f>
        <v>City vehicles</v>
      </c>
      <c r="X89" s="766" t="str">
        <f t="shared" ref="X89:AL89" si="177">D89</f>
        <v>Z01</v>
      </c>
      <c r="Y89" s="766" t="str">
        <f t="shared" si="177"/>
        <v>Z02</v>
      </c>
      <c r="Z89" s="766" t="str">
        <f t="shared" si="177"/>
        <v>Z03</v>
      </c>
      <c r="AA89" s="766" t="str">
        <f t="shared" si="177"/>
        <v>Z04</v>
      </c>
      <c r="AB89" s="766" t="str">
        <f t="shared" si="177"/>
        <v>Z05</v>
      </c>
      <c r="AC89" s="766" t="str">
        <f t="shared" si="177"/>
        <v>Z06</v>
      </c>
      <c r="AD89" s="766" t="str">
        <f t="shared" si="177"/>
        <v>Z07</v>
      </c>
      <c r="AE89" s="766" t="str">
        <f t="shared" si="177"/>
        <v>Z08</v>
      </c>
      <c r="AF89" s="766" t="str">
        <f t="shared" si="177"/>
        <v>Z09</v>
      </c>
      <c r="AG89" s="766" t="str">
        <f t="shared" si="177"/>
        <v>Z10</v>
      </c>
      <c r="AH89" s="766" t="str">
        <f t="shared" si="177"/>
        <v>Z11</v>
      </c>
      <c r="AI89" s="766" t="str">
        <f t="shared" si="177"/>
        <v>Z12</v>
      </c>
      <c r="AJ89" s="766" t="str">
        <f t="shared" si="177"/>
        <v>Z13</v>
      </c>
      <c r="AK89" s="766" t="str">
        <f t="shared" si="177"/>
        <v>Z14</v>
      </c>
      <c r="AL89" s="766" t="str">
        <f t="shared" si="177"/>
        <v>Z15</v>
      </c>
      <c r="AM89" s="766" t="s">
        <v>100</v>
      </c>
    </row>
    <row r="90" spans="2:39" x14ac:dyDescent="0.25">
      <c r="B90" s="245" t="str">
        <f>B74</f>
        <v>Biodiesel</v>
      </c>
      <c r="C90" s="286" t="s">
        <v>127</v>
      </c>
      <c r="D90" s="680">
        <f>$V90*X90</f>
        <v>0</v>
      </c>
      <c r="E90" s="680">
        <f t="shared" ref="E90:E101" si="178">$V90*Y90</f>
        <v>0</v>
      </c>
      <c r="F90" s="680">
        <f t="shared" ref="F90:F101" si="179">$V90*Z90</f>
        <v>0</v>
      </c>
      <c r="G90" s="680">
        <f t="shared" ref="G90:G101" si="180">$V90*AA90</f>
        <v>0</v>
      </c>
      <c r="H90" s="680">
        <f t="shared" ref="H90:H101" si="181">$V90*AB90</f>
        <v>0</v>
      </c>
      <c r="I90" s="680">
        <f t="shared" ref="I90:I101" si="182">$V90*AC90</f>
        <v>0</v>
      </c>
      <c r="J90" s="680">
        <f t="shared" ref="J90:J101" si="183">$V90*AD90</f>
        <v>0</v>
      </c>
      <c r="K90" s="680">
        <f t="shared" ref="K90:K101" si="184">$V90*AE90</f>
        <v>0</v>
      </c>
      <c r="L90" s="680">
        <f t="shared" ref="L90:L101" si="185">$V90*AF90</f>
        <v>0</v>
      </c>
      <c r="M90" s="680">
        <f t="shared" ref="M90:M101" si="186">$V90*AG90</f>
        <v>0</v>
      </c>
      <c r="N90" s="680">
        <f t="shared" ref="N90:N101" si="187">$V90*AH90</f>
        <v>0</v>
      </c>
      <c r="O90" s="680">
        <f t="shared" ref="O90:O101" si="188">$V90*AI90</f>
        <v>0</v>
      </c>
      <c r="P90" s="680">
        <f t="shared" ref="P90:P101" si="189">$V90*AJ90</f>
        <v>0</v>
      </c>
      <c r="Q90" s="680">
        <f t="shared" ref="Q90:Q101" si="190">$V90*AK90</f>
        <v>0</v>
      </c>
      <c r="R90" s="680">
        <f t="shared" ref="R90:R101" si="191">$V90*AL90</f>
        <v>0</v>
      </c>
      <c r="S90" s="680">
        <f t="shared" ref="S90:S101" si="192">$V90*AM90</f>
        <v>0</v>
      </c>
      <c r="U90" s="787"/>
      <c r="V90" s="771"/>
      <c r="X90" s="772">
        <f>X$6</f>
        <v>1</v>
      </c>
      <c r="Y90" s="772">
        <f t="shared" ref="Y90:AL90" si="193">Y$6</f>
        <v>0</v>
      </c>
      <c r="Z90" s="772">
        <f t="shared" si="193"/>
        <v>0</v>
      </c>
      <c r="AA90" s="772">
        <f t="shared" si="193"/>
        <v>0</v>
      </c>
      <c r="AB90" s="772">
        <f t="shared" si="193"/>
        <v>0</v>
      </c>
      <c r="AC90" s="772">
        <f t="shared" si="193"/>
        <v>0</v>
      </c>
      <c r="AD90" s="772">
        <f t="shared" si="193"/>
        <v>0</v>
      </c>
      <c r="AE90" s="772">
        <f t="shared" si="193"/>
        <v>0</v>
      </c>
      <c r="AF90" s="772">
        <f t="shared" si="193"/>
        <v>0</v>
      </c>
      <c r="AG90" s="772">
        <f t="shared" si="193"/>
        <v>0</v>
      </c>
      <c r="AH90" s="772">
        <f t="shared" si="193"/>
        <v>0</v>
      </c>
      <c r="AI90" s="772">
        <f t="shared" si="193"/>
        <v>0</v>
      </c>
      <c r="AJ90" s="772">
        <f t="shared" si="193"/>
        <v>0</v>
      </c>
      <c r="AK90" s="772">
        <f t="shared" si="193"/>
        <v>0</v>
      </c>
      <c r="AL90" s="772">
        <f t="shared" si="193"/>
        <v>0</v>
      </c>
      <c r="AM90" s="773">
        <f>SUM(X90:AI90)</f>
        <v>1</v>
      </c>
    </row>
    <row r="91" spans="2:39" x14ac:dyDescent="0.25">
      <c r="B91" s="245" t="str">
        <f t="shared" ref="B91:B101" si="194">B75</f>
        <v>Diesel</v>
      </c>
      <c r="C91" s="286" t="s">
        <v>128</v>
      </c>
      <c r="D91" s="680">
        <f t="shared" ref="D91:D101" si="195">$V91*X91</f>
        <v>0</v>
      </c>
      <c r="E91" s="680">
        <f t="shared" si="178"/>
        <v>0</v>
      </c>
      <c r="F91" s="680">
        <f t="shared" si="179"/>
        <v>0</v>
      </c>
      <c r="G91" s="680">
        <f t="shared" si="180"/>
        <v>0</v>
      </c>
      <c r="H91" s="680">
        <f t="shared" si="181"/>
        <v>0</v>
      </c>
      <c r="I91" s="680">
        <f t="shared" si="182"/>
        <v>0</v>
      </c>
      <c r="J91" s="680">
        <f t="shared" si="183"/>
        <v>0</v>
      </c>
      <c r="K91" s="680">
        <f t="shared" si="184"/>
        <v>0</v>
      </c>
      <c r="L91" s="680">
        <f t="shared" si="185"/>
        <v>0</v>
      </c>
      <c r="M91" s="680">
        <f t="shared" si="186"/>
        <v>0</v>
      </c>
      <c r="N91" s="680">
        <f t="shared" si="187"/>
        <v>0</v>
      </c>
      <c r="O91" s="680">
        <f t="shared" si="188"/>
        <v>0</v>
      </c>
      <c r="P91" s="680">
        <f t="shared" si="189"/>
        <v>0</v>
      </c>
      <c r="Q91" s="680">
        <f t="shared" si="190"/>
        <v>0</v>
      </c>
      <c r="R91" s="680">
        <f t="shared" si="191"/>
        <v>0</v>
      </c>
      <c r="S91" s="680">
        <f t="shared" si="192"/>
        <v>0</v>
      </c>
      <c r="U91" s="787"/>
      <c r="V91" s="771"/>
      <c r="X91" s="772">
        <f t="shared" ref="X91:AL101" si="196">X$6</f>
        <v>1</v>
      </c>
      <c r="Y91" s="772">
        <f t="shared" si="196"/>
        <v>0</v>
      </c>
      <c r="Z91" s="772">
        <f t="shared" si="196"/>
        <v>0</v>
      </c>
      <c r="AA91" s="772">
        <f t="shared" si="196"/>
        <v>0</v>
      </c>
      <c r="AB91" s="772">
        <f t="shared" si="196"/>
        <v>0</v>
      </c>
      <c r="AC91" s="772">
        <f t="shared" si="196"/>
        <v>0</v>
      </c>
      <c r="AD91" s="772">
        <f t="shared" si="196"/>
        <v>0</v>
      </c>
      <c r="AE91" s="772">
        <f t="shared" si="196"/>
        <v>0</v>
      </c>
      <c r="AF91" s="772">
        <f t="shared" si="196"/>
        <v>0</v>
      </c>
      <c r="AG91" s="772">
        <f t="shared" si="196"/>
        <v>0</v>
      </c>
      <c r="AH91" s="772">
        <f t="shared" si="196"/>
        <v>0</v>
      </c>
      <c r="AI91" s="772">
        <f t="shared" si="196"/>
        <v>0</v>
      </c>
      <c r="AJ91" s="772">
        <f t="shared" si="196"/>
        <v>0</v>
      </c>
      <c r="AK91" s="772">
        <f t="shared" si="196"/>
        <v>0</v>
      </c>
      <c r="AL91" s="772">
        <f t="shared" si="196"/>
        <v>0</v>
      </c>
      <c r="AM91" s="773">
        <f>SUM(X91:AI91)</f>
        <v>1</v>
      </c>
    </row>
    <row r="92" spans="2:39" x14ac:dyDescent="0.25">
      <c r="B92" s="245" t="str">
        <f t="shared" si="194"/>
        <v>Battery electric (BEV)</v>
      </c>
      <c r="C92" s="286" t="s">
        <v>129</v>
      </c>
      <c r="D92" s="680">
        <f t="shared" si="195"/>
        <v>0</v>
      </c>
      <c r="E92" s="680">
        <f t="shared" si="178"/>
        <v>0</v>
      </c>
      <c r="F92" s="680">
        <f t="shared" si="179"/>
        <v>0</v>
      </c>
      <c r="G92" s="680">
        <f t="shared" si="180"/>
        <v>0</v>
      </c>
      <c r="H92" s="680">
        <f t="shared" si="181"/>
        <v>0</v>
      </c>
      <c r="I92" s="680">
        <f t="shared" si="182"/>
        <v>0</v>
      </c>
      <c r="J92" s="680">
        <f t="shared" si="183"/>
        <v>0</v>
      </c>
      <c r="K92" s="680">
        <f t="shared" si="184"/>
        <v>0</v>
      </c>
      <c r="L92" s="680">
        <f t="shared" si="185"/>
        <v>0</v>
      </c>
      <c r="M92" s="680">
        <f t="shared" si="186"/>
        <v>0</v>
      </c>
      <c r="N92" s="680">
        <f t="shared" si="187"/>
        <v>0</v>
      </c>
      <c r="O92" s="680">
        <f t="shared" si="188"/>
        <v>0</v>
      </c>
      <c r="P92" s="680">
        <f t="shared" si="189"/>
        <v>0</v>
      </c>
      <c r="Q92" s="680">
        <f t="shared" si="190"/>
        <v>0</v>
      </c>
      <c r="R92" s="680">
        <f t="shared" si="191"/>
        <v>0</v>
      </c>
      <c r="S92" s="680">
        <f t="shared" si="192"/>
        <v>0</v>
      </c>
      <c r="U92" s="787"/>
      <c r="V92" s="771"/>
      <c r="X92" s="772">
        <f t="shared" si="196"/>
        <v>1</v>
      </c>
      <c r="Y92" s="772">
        <f t="shared" si="196"/>
        <v>0</v>
      </c>
      <c r="Z92" s="772">
        <f t="shared" si="196"/>
        <v>0</v>
      </c>
      <c r="AA92" s="772">
        <f t="shared" si="196"/>
        <v>0</v>
      </c>
      <c r="AB92" s="772">
        <f t="shared" si="196"/>
        <v>0</v>
      </c>
      <c r="AC92" s="772">
        <f t="shared" si="196"/>
        <v>0</v>
      </c>
      <c r="AD92" s="772">
        <f t="shared" si="196"/>
        <v>0</v>
      </c>
      <c r="AE92" s="772">
        <f t="shared" si="196"/>
        <v>0</v>
      </c>
      <c r="AF92" s="772">
        <f t="shared" si="196"/>
        <v>0</v>
      </c>
      <c r="AG92" s="772">
        <f t="shared" si="196"/>
        <v>0</v>
      </c>
      <c r="AH92" s="772">
        <f t="shared" si="196"/>
        <v>0</v>
      </c>
      <c r="AI92" s="772">
        <f t="shared" si="196"/>
        <v>0</v>
      </c>
      <c r="AJ92" s="772">
        <f t="shared" si="196"/>
        <v>0</v>
      </c>
      <c r="AK92" s="772">
        <f t="shared" si="196"/>
        <v>0</v>
      </c>
      <c r="AL92" s="772">
        <f t="shared" si="196"/>
        <v>0</v>
      </c>
      <c r="AM92" s="773">
        <f t="shared" ref="AM92:AM101" si="197">SUM(X92:AI92)</f>
        <v>1</v>
      </c>
    </row>
    <row r="93" spans="2:39" x14ac:dyDescent="0.25">
      <c r="B93" s="245" t="str">
        <f t="shared" si="194"/>
        <v>Ethanol</v>
      </c>
      <c r="C93" s="286" t="s">
        <v>130</v>
      </c>
      <c r="D93" s="680">
        <f t="shared" si="195"/>
        <v>0</v>
      </c>
      <c r="E93" s="680">
        <f t="shared" si="178"/>
        <v>0</v>
      </c>
      <c r="F93" s="680">
        <f t="shared" si="179"/>
        <v>0</v>
      </c>
      <c r="G93" s="680">
        <f t="shared" si="180"/>
        <v>0</v>
      </c>
      <c r="H93" s="680">
        <f t="shared" si="181"/>
        <v>0</v>
      </c>
      <c r="I93" s="680">
        <f t="shared" si="182"/>
        <v>0</v>
      </c>
      <c r="J93" s="680">
        <f t="shared" si="183"/>
        <v>0</v>
      </c>
      <c r="K93" s="680">
        <f t="shared" si="184"/>
        <v>0</v>
      </c>
      <c r="L93" s="680">
        <f t="shared" si="185"/>
        <v>0</v>
      </c>
      <c r="M93" s="680">
        <f t="shared" si="186"/>
        <v>0</v>
      </c>
      <c r="N93" s="680">
        <f t="shared" si="187"/>
        <v>0</v>
      </c>
      <c r="O93" s="680">
        <f t="shared" si="188"/>
        <v>0</v>
      </c>
      <c r="P93" s="680">
        <f t="shared" si="189"/>
        <v>0</v>
      </c>
      <c r="Q93" s="680">
        <f t="shared" si="190"/>
        <v>0</v>
      </c>
      <c r="R93" s="680">
        <f t="shared" si="191"/>
        <v>0</v>
      </c>
      <c r="S93" s="680">
        <f t="shared" si="192"/>
        <v>0</v>
      </c>
      <c r="U93" s="787"/>
      <c r="V93" s="771"/>
      <c r="X93" s="772">
        <f t="shared" si="196"/>
        <v>1</v>
      </c>
      <c r="Y93" s="772">
        <f t="shared" si="196"/>
        <v>0</v>
      </c>
      <c r="Z93" s="772">
        <f t="shared" si="196"/>
        <v>0</v>
      </c>
      <c r="AA93" s="772">
        <f t="shared" si="196"/>
        <v>0</v>
      </c>
      <c r="AB93" s="772">
        <f t="shared" si="196"/>
        <v>0</v>
      </c>
      <c r="AC93" s="772">
        <f t="shared" si="196"/>
        <v>0</v>
      </c>
      <c r="AD93" s="772">
        <f t="shared" si="196"/>
        <v>0</v>
      </c>
      <c r="AE93" s="772">
        <f t="shared" si="196"/>
        <v>0</v>
      </c>
      <c r="AF93" s="772">
        <f t="shared" si="196"/>
        <v>0</v>
      </c>
      <c r="AG93" s="772">
        <f t="shared" si="196"/>
        <v>0</v>
      </c>
      <c r="AH93" s="772">
        <f t="shared" si="196"/>
        <v>0</v>
      </c>
      <c r="AI93" s="772">
        <f t="shared" si="196"/>
        <v>0</v>
      </c>
      <c r="AJ93" s="772">
        <f t="shared" si="196"/>
        <v>0</v>
      </c>
      <c r="AK93" s="772">
        <f t="shared" si="196"/>
        <v>0</v>
      </c>
      <c r="AL93" s="772">
        <f t="shared" si="196"/>
        <v>0</v>
      </c>
      <c r="AM93" s="773">
        <f t="shared" si="197"/>
        <v>1</v>
      </c>
    </row>
    <row r="94" spans="2:39" x14ac:dyDescent="0.25">
      <c r="B94" s="245" t="str">
        <f t="shared" si="194"/>
        <v>Gas (CNG)</v>
      </c>
      <c r="C94" s="286" t="s">
        <v>131</v>
      </c>
      <c r="D94" s="680">
        <f t="shared" si="195"/>
        <v>0</v>
      </c>
      <c r="E94" s="680">
        <f t="shared" si="178"/>
        <v>0</v>
      </c>
      <c r="F94" s="680">
        <f t="shared" si="179"/>
        <v>0</v>
      </c>
      <c r="G94" s="680">
        <f t="shared" si="180"/>
        <v>0</v>
      </c>
      <c r="H94" s="680">
        <f t="shared" si="181"/>
        <v>0</v>
      </c>
      <c r="I94" s="680">
        <f t="shared" si="182"/>
        <v>0</v>
      </c>
      <c r="J94" s="680">
        <f t="shared" si="183"/>
        <v>0</v>
      </c>
      <c r="K94" s="680">
        <f t="shared" si="184"/>
        <v>0</v>
      </c>
      <c r="L94" s="680">
        <f t="shared" si="185"/>
        <v>0</v>
      </c>
      <c r="M94" s="680">
        <f t="shared" si="186"/>
        <v>0</v>
      </c>
      <c r="N94" s="680">
        <f t="shared" si="187"/>
        <v>0</v>
      </c>
      <c r="O94" s="680">
        <f t="shared" si="188"/>
        <v>0</v>
      </c>
      <c r="P94" s="680">
        <f t="shared" si="189"/>
        <v>0</v>
      </c>
      <c r="Q94" s="680">
        <f t="shared" si="190"/>
        <v>0</v>
      </c>
      <c r="R94" s="680">
        <f t="shared" si="191"/>
        <v>0</v>
      </c>
      <c r="S94" s="680">
        <f t="shared" si="192"/>
        <v>0</v>
      </c>
      <c r="U94" s="787"/>
      <c r="V94" s="771"/>
      <c r="X94" s="772">
        <f t="shared" si="196"/>
        <v>1</v>
      </c>
      <c r="Y94" s="772">
        <f t="shared" si="196"/>
        <v>0</v>
      </c>
      <c r="Z94" s="772">
        <f t="shared" si="196"/>
        <v>0</v>
      </c>
      <c r="AA94" s="772">
        <f t="shared" si="196"/>
        <v>0</v>
      </c>
      <c r="AB94" s="772">
        <f t="shared" si="196"/>
        <v>0</v>
      </c>
      <c r="AC94" s="772">
        <f t="shared" si="196"/>
        <v>0</v>
      </c>
      <c r="AD94" s="772">
        <f t="shared" si="196"/>
        <v>0</v>
      </c>
      <c r="AE94" s="772">
        <f t="shared" si="196"/>
        <v>0</v>
      </c>
      <c r="AF94" s="772">
        <f t="shared" si="196"/>
        <v>0</v>
      </c>
      <c r="AG94" s="772">
        <f t="shared" si="196"/>
        <v>0</v>
      </c>
      <c r="AH94" s="772">
        <f t="shared" si="196"/>
        <v>0</v>
      </c>
      <c r="AI94" s="772">
        <f t="shared" si="196"/>
        <v>0</v>
      </c>
      <c r="AJ94" s="772">
        <f t="shared" si="196"/>
        <v>0</v>
      </c>
      <c r="AK94" s="772">
        <f t="shared" si="196"/>
        <v>0</v>
      </c>
      <c r="AL94" s="772">
        <f t="shared" si="196"/>
        <v>0</v>
      </c>
      <c r="AM94" s="773">
        <f t="shared" si="197"/>
        <v>1</v>
      </c>
    </row>
    <row r="95" spans="2:39" x14ac:dyDescent="0.25">
      <c r="B95" s="245" t="str">
        <f t="shared" si="194"/>
        <v>Gasoline</v>
      </c>
      <c r="C95" s="286" t="s">
        <v>132</v>
      </c>
      <c r="D95" s="680">
        <f t="shared" si="195"/>
        <v>0</v>
      </c>
      <c r="E95" s="680">
        <f t="shared" si="178"/>
        <v>0</v>
      </c>
      <c r="F95" s="680">
        <f t="shared" si="179"/>
        <v>0</v>
      </c>
      <c r="G95" s="680">
        <f t="shared" si="180"/>
        <v>0</v>
      </c>
      <c r="H95" s="680">
        <f t="shared" si="181"/>
        <v>0</v>
      </c>
      <c r="I95" s="680">
        <f t="shared" si="182"/>
        <v>0</v>
      </c>
      <c r="J95" s="680">
        <f t="shared" si="183"/>
        <v>0</v>
      </c>
      <c r="K95" s="680">
        <f t="shared" si="184"/>
        <v>0</v>
      </c>
      <c r="L95" s="680">
        <f t="shared" si="185"/>
        <v>0</v>
      </c>
      <c r="M95" s="680">
        <f t="shared" si="186"/>
        <v>0</v>
      </c>
      <c r="N95" s="680">
        <f t="shared" si="187"/>
        <v>0</v>
      </c>
      <c r="O95" s="680">
        <f t="shared" si="188"/>
        <v>0</v>
      </c>
      <c r="P95" s="680">
        <f t="shared" si="189"/>
        <v>0</v>
      </c>
      <c r="Q95" s="680">
        <f t="shared" si="190"/>
        <v>0</v>
      </c>
      <c r="R95" s="680">
        <f t="shared" si="191"/>
        <v>0</v>
      </c>
      <c r="S95" s="680">
        <f t="shared" si="192"/>
        <v>0</v>
      </c>
      <c r="U95" s="787"/>
      <c r="V95" s="771"/>
      <c r="X95" s="772">
        <f t="shared" si="196"/>
        <v>1</v>
      </c>
      <c r="Y95" s="772">
        <f t="shared" si="196"/>
        <v>0</v>
      </c>
      <c r="Z95" s="772">
        <f t="shared" si="196"/>
        <v>0</v>
      </c>
      <c r="AA95" s="772">
        <f t="shared" si="196"/>
        <v>0</v>
      </c>
      <c r="AB95" s="772">
        <f t="shared" si="196"/>
        <v>0</v>
      </c>
      <c r="AC95" s="772">
        <f t="shared" si="196"/>
        <v>0</v>
      </c>
      <c r="AD95" s="772">
        <f t="shared" si="196"/>
        <v>0</v>
      </c>
      <c r="AE95" s="772">
        <f t="shared" si="196"/>
        <v>0</v>
      </c>
      <c r="AF95" s="772">
        <f t="shared" si="196"/>
        <v>0</v>
      </c>
      <c r="AG95" s="772">
        <f t="shared" si="196"/>
        <v>0</v>
      </c>
      <c r="AH95" s="772">
        <f t="shared" si="196"/>
        <v>0</v>
      </c>
      <c r="AI95" s="772">
        <f t="shared" si="196"/>
        <v>0</v>
      </c>
      <c r="AJ95" s="772">
        <f t="shared" si="196"/>
        <v>0</v>
      </c>
      <c r="AK95" s="772">
        <f t="shared" si="196"/>
        <v>0</v>
      </c>
      <c r="AL95" s="772">
        <f t="shared" si="196"/>
        <v>0</v>
      </c>
      <c r="AM95" s="773">
        <f t="shared" si="197"/>
        <v>1</v>
      </c>
    </row>
    <row r="96" spans="2:39" x14ac:dyDescent="0.25">
      <c r="B96" s="245" t="str">
        <f t="shared" si="194"/>
        <v>Hybrid Electric - diesel</v>
      </c>
      <c r="C96" s="286" t="s">
        <v>133</v>
      </c>
      <c r="D96" s="680">
        <f t="shared" si="195"/>
        <v>0</v>
      </c>
      <c r="E96" s="680">
        <f t="shared" si="178"/>
        <v>0</v>
      </c>
      <c r="F96" s="680">
        <f t="shared" si="179"/>
        <v>0</v>
      </c>
      <c r="G96" s="680">
        <f t="shared" si="180"/>
        <v>0</v>
      </c>
      <c r="H96" s="680">
        <f t="shared" si="181"/>
        <v>0</v>
      </c>
      <c r="I96" s="680">
        <f t="shared" si="182"/>
        <v>0</v>
      </c>
      <c r="J96" s="680">
        <f t="shared" si="183"/>
        <v>0</v>
      </c>
      <c r="K96" s="680">
        <f t="shared" si="184"/>
        <v>0</v>
      </c>
      <c r="L96" s="680">
        <f t="shared" si="185"/>
        <v>0</v>
      </c>
      <c r="M96" s="680">
        <f t="shared" si="186"/>
        <v>0</v>
      </c>
      <c r="N96" s="680">
        <f t="shared" si="187"/>
        <v>0</v>
      </c>
      <c r="O96" s="680">
        <f t="shared" si="188"/>
        <v>0</v>
      </c>
      <c r="P96" s="680">
        <f t="shared" si="189"/>
        <v>0</v>
      </c>
      <c r="Q96" s="680">
        <f t="shared" si="190"/>
        <v>0</v>
      </c>
      <c r="R96" s="680">
        <f t="shared" si="191"/>
        <v>0</v>
      </c>
      <c r="S96" s="680">
        <f t="shared" si="192"/>
        <v>0</v>
      </c>
      <c r="U96" s="787"/>
      <c r="V96" s="771"/>
      <c r="X96" s="772">
        <f t="shared" si="196"/>
        <v>1</v>
      </c>
      <c r="Y96" s="772">
        <f t="shared" si="196"/>
        <v>0</v>
      </c>
      <c r="Z96" s="772">
        <f t="shared" si="196"/>
        <v>0</v>
      </c>
      <c r="AA96" s="772">
        <f t="shared" si="196"/>
        <v>0</v>
      </c>
      <c r="AB96" s="772">
        <f t="shared" si="196"/>
        <v>0</v>
      </c>
      <c r="AC96" s="772">
        <f t="shared" si="196"/>
        <v>0</v>
      </c>
      <c r="AD96" s="772">
        <f t="shared" si="196"/>
        <v>0</v>
      </c>
      <c r="AE96" s="772">
        <f t="shared" si="196"/>
        <v>0</v>
      </c>
      <c r="AF96" s="772">
        <f t="shared" si="196"/>
        <v>0</v>
      </c>
      <c r="AG96" s="772">
        <f t="shared" si="196"/>
        <v>0</v>
      </c>
      <c r="AH96" s="772">
        <f t="shared" si="196"/>
        <v>0</v>
      </c>
      <c r="AI96" s="772">
        <f t="shared" si="196"/>
        <v>0</v>
      </c>
      <c r="AJ96" s="772">
        <f t="shared" si="196"/>
        <v>0</v>
      </c>
      <c r="AK96" s="772">
        <f t="shared" si="196"/>
        <v>0</v>
      </c>
      <c r="AL96" s="772">
        <f t="shared" si="196"/>
        <v>0</v>
      </c>
      <c r="AM96" s="773">
        <f t="shared" si="197"/>
        <v>1</v>
      </c>
    </row>
    <row r="97" spans="2:39" x14ac:dyDescent="0.25">
      <c r="B97" s="245" t="str">
        <f t="shared" si="194"/>
        <v>Hybrid Electric - gasoline</v>
      </c>
      <c r="C97" s="286" t="s">
        <v>134</v>
      </c>
      <c r="D97" s="680">
        <f t="shared" si="195"/>
        <v>0</v>
      </c>
      <c r="E97" s="680">
        <f t="shared" si="178"/>
        <v>0</v>
      </c>
      <c r="F97" s="680">
        <f t="shared" si="179"/>
        <v>0</v>
      </c>
      <c r="G97" s="680">
        <f t="shared" si="180"/>
        <v>0</v>
      </c>
      <c r="H97" s="680">
        <f t="shared" si="181"/>
        <v>0</v>
      </c>
      <c r="I97" s="680">
        <f t="shared" si="182"/>
        <v>0</v>
      </c>
      <c r="J97" s="680">
        <f t="shared" si="183"/>
        <v>0</v>
      </c>
      <c r="K97" s="680">
        <f t="shared" si="184"/>
        <v>0</v>
      </c>
      <c r="L97" s="680">
        <f t="shared" si="185"/>
        <v>0</v>
      </c>
      <c r="M97" s="680">
        <f t="shared" si="186"/>
        <v>0</v>
      </c>
      <c r="N97" s="680">
        <f t="shared" si="187"/>
        <v>0</v>
      </c>
      <c r="O97" s="680">
        <f t="shared" si="188"/>
        <v>0</v>
      </c>
      <c r="P97" s="680">
        <f t="shared" si="189"/>
        <v>0</v>
      </c>
      <c r="Q97" s="680">
        <f t="shared" si="190"/>
        <v>0</v>
      </c>
      <c r="R97" s="680">
        <f t="shared" si="191"/>
        <v>0</v>
      </c>
      <c r="S97" s="680">
        <f t="shared" si="192"/>
        <v>0</v>
      </c>
      <c r="U97" s="787"/>
      <c r="V97" s="771"/>
      <c r="X97" s="772">
        <f t="shared" si="196"/>
        <v>1</v>
      </c>
      <c r="Y97" s="772">
        <f t="shared" si="196"/>
        <v>0</v>
      </c>
      <c r="Z97" s="772">
        <f t="shared" si="196"/>
        <v>0</v>
      </c>
      <c r="AA97" s="772">
        <f t="shared" si="196"/>
        <v>0</v>
      </c>
      <c r="AB97" s="772">
        <f t="shared" si="196"/>
        <v>0</v>
      </c>
      <c r="AC97" s="772">
        <f t="shared" si="196"/>
        <v>0</v>
      </c>
      <c r="AD97" s="772">
        <f t="shared" si="196"/>
        <v>0</v>
      </c>
      <c r="AE97" s="772">
        <f t="shared" si="196"/>
        <v>0</v>
      </c>
      <c r="AF97" s="772">
        <f t="shared" si="196"/>
        <v>0</v>
      </c>
      <c r="AG97" s="772">
        <f t="shared" si="196"/>
        <v>0</v>
      </c>
      <c r="AH97" s="772">
        <f t="shared" si="196"/>
        <v>0</v>
      </c>
      <c r="AI97" s="772">
        <f t="shared" si="196"/>
        <v>0</v>
      </c>
      <c r="AJ97" s="772">
        <f t="shared" si="196"/>
        <v>0</v>
      </c>
      <c r="AK97" s="772">
        <f t="shared" si="196"/>
        <v>0</v>
      </c>
      <c r="AL97" s="772">
        <f t="shared" si="196"/>
        <v>0</v>
      </c>
      <c r="AM97" s="773">
        <f t="shared" si="197"/>
        <v>1</v>
      </c>
    </row>
    <row r="98" spans="2:39" x14ac:dyDescent="0.25">
      <c r="B98" s="245" t="str">
        <f t="shared" si="194"/>
        <v>LPG</v>
      </c>
      <c r="C98" s="286" t="s">
        <v>135</v>
      </c>
      <c r="D98" s="680">
        <f t="shared" si="195"/>
        <v>0</v>
      </c>
      <c r="E98" s="680">
        <f t="shared" si="178"/>
        <v>0</v>
      </c>
      <c r="F98" s="680">
        <f t="shared" si="179"/>
        <v>0</v>
      </c>
      <c r="G98" s="680">
        <f t="shared" si="180"/>
        <v>0</v>
      </c>
      <c r="H98" s="680">
        <f t="shared" si="181"/>
        <v>0</v>
      </c>
      <c r="I98" s="680">
        <f t="shared" si="182"/>
        <v>0</v>
      </c>
      <c r="J98" s="680">
        <f t="shared" si="183"/>
        <v>0</v>
      </c>
      <c r="K98" s="680">
        <f t="shared" si="184"/>
        <v>0</v>
      </c>
      <c r="L98" s="680">
        <f t="shared" si="185"/>
        <v>0</v>
      </c>
      <c r="M98" s="680">
        <f t="shared" si="186"/>
        <v>0</v>
      </c>
      <c r="N98" s="680">
        <f t="shared" si="187"/>
        <v>0</v>
      </c>
      <c r="O98" s="680">
        <f t="shared" si="188"/>
        <v>0</v>
      </c>
      <c r="P98" s="680">
        <f t="shared" si="189"/>
        <v>0</v>
      </c>
      <c r="Q98" s="680">
        <f t="shared" si="190"/>
        <v>0</v>
      </c>
      <c r="R98" s="680">
        <f t="shared" si="191"/>
        <v>0</v>
      </c>
      <c r="S98" s="680">
        <f t="shared" si="192"/>
        <v>0</v>
      </c>
      <c r="U98" s="787"/>
      <c r="V98" s="771"/>
      <c r="X98" s="772">
        <f t="shared" si="196"/>
        <v>1</v>
      </c>
      <c r="Y98" s="772">
        <f t="shared" si="196"/>
        <v>0</v>
      </c>
      <c r="Z98" s="772">
        <f t="shared" si="196"/>
        <v>0</v>
      </c>
      <c r="AA98" s="772">
        <f t="shared" si="196"/>
        <v>0</v>
      </c>
      <c r="AB98" s="772">
        <f t="shared" si="196"/>
        <v>0</v>
      </c>
      <c r="AC98" s="772">
        <f t="shared" si="196"/>
        <v>0</v>
      </c>
      <c r="AD98" s="772">
        <f t="shared" si="196"/>
        <v>0</v>
      </c>
      <c r="AE98" s="772">
        <f t="shared" si="196"/>
        <v>0</v>
      </c>
      <c r="AF98" s="772">
        <f t="shared" si="196"/>
        <v>0</v>
      </c>
      <c r="AG98" s="772">
        <f t="shared" si="196"/>
        <v>0</v>
      </c>
      <c r="AH98" s="772">
        <f t="shared" si="196"/>
        <v>0</v>
      </c>
      <c r="AI98" s="772">
        <f t="shared" si="196"/>
        <v>0</v>
      </c>
      <c r="AJ98" s="772">
        <f t="shared" si="196"/>
        <v>0</v>
      </c>
      <c r="AK98" s="772">
        <f t="shared" si="196"/>
        <v>0</v>
      </c>
      <c r="AL98" s="772">
        <f t="shared" si="196"/>
        <v>0</v>
      </c>
      <c r="AM98" s="773">
        <f t="shared" si="197"/>
        <v>1</v>
      </c>
    </row>
    <row r="99" spans="2:39" x14ac:dyDescent="0.25">
      <c r="B99" s="245" t="str">
        <f t="shared" si="194"/>
        <v>Plugin Hybrid Electric - diesel</v>
      </c>
      <c r="C99" s="286" t="s">
        <v>136</v>
      </c>
      <c r="D99" s="680">
        <f t="shared" si="195"/>
        <v>0</v>
      </c>
      <c r="E99" s="680">
        <f t="shared" si="178"/>
        <v>0</v>
      </c>
      <c r="F99" s="680">
        <f t="shared" si="179"/>
        <v>0</v>
      </c>
      <c r="G99" s="680">
        <f t="shared" si="180"/>
        <v>0</v>
      </c>
      <c r="H99" s="680">
        <f t="shared" si="181"/>
        <v>0</v>
      </c>
      <c r="I99" s="680">
        <f t="shared" si="182"/>
        <v>0</v>
      </c>
      <c r="J99" s="680">
        <f t="shared" si="183"/>
        <v>0</v>
      </c>
      <c r="K99" s="680">
        <f t="shared" si="184"/>
        <v>0</v>
      </c>
      <c r="L99" s="680">
        <f t="shared" si="185"/>
        <v>0</v>
      </c>
      <c r="M99" s="680">
        <f t="shared" si="186"/>
        <v>0</v>
      </c>
      <c r="N99" s="680">
        <f t="shared" si="187"/>
        <v>0</v>
      </c>
      <c r="O99" s="680">
        <f t="shared" si="188"/>
        <v>0</v>
      </c>
      <c r="P99" s="680">
        <f t="shared" si="189"/>
        <v>0</v>
      </c>
      <c r="Q99" s="680">
        <f t="shared" si="190"/>
        <v>0</v>
      </c>
      <c r="R99" s="680">
        <f t="shared" si="191"/>
        <v>0</v>
      </c>
      <c r="S99" s="680">
        <f t="shared" si="192"/>
        <v>0</v>
      </c>
      <c r="U99" s="787"/>
      <c r="V99" s="771"/>
      <c r="X99" s="772">
        <f t="shared" si="196"/>
        <v>1</v>
      </c>
      <c r="Y99" s="772">
        <f t="shared" si="196"/>
        <v>0</v>
      </c>
      <c r="Z99" s="772">
        <f t="shared" si="196"/>
        <v>0</v>
      </c>
      <c r="AA99" s="772">
        <f t="shared" si="196"/>
        <v>0</v>
      </c>
      <c r="AB99" s="772">
        <f t="shared" si="196"/>
        <v>0</v>
      </c>
      <c r="AC99" s="772">
        <f t="shared" si="196"/>
        <v>0</v>
      </c>
      <c r="AD99" s="772">
        <f t="shared" si="196"/>
        <v>0</v>
      </c>
      <c r="AE99" s="772">
        <f t="shared" si="196"/>
        <v>0</v>
      </c>
      <c r="AF99" s="772">
        <f t="shared" si="196"/>
        <v>0</v>
      </c>
      <c r="AG99" s="772">
        <f t="shared" si="196"/>
        <v>0</v>
      </c>
      <c r="AH99" s="772">
        <f t="shared" si="196"/>
        <v>0</v>
      </c>
      <c r="AI99" s="772">
        <f t="shared" si="196"/>
        <v>0</v>
      </c>
      <c r="AJ99" s="772">
        <f t="shared" si="196"/>
        <v>0</v>
      </c>
      <c r="AK99" s="772">
        <f t="shared" si="196"/>
        <v>0</v>
      </c>
      <c r="AL99" s="772">
        <f t="shared" si="196"/>
        <v>0</v>
      </c>
      <c r="AM99" s="773">
        <f t="shared" si="197"/>
        <v>1</v>
      </c>
    </row>
    <row r="100" spans="2:39" x14ac:dyDescent="0.25">
      <c r="B100" s="245" t="str">
        <f t="shared" si="194"/>
        <v>Plugin Hybrid Electric - gasoline</v>
      </c>
      <c r="C100" s="286" t="s">
        <v>137</v>
      </c>
      <c r="D100" s="680">
        <f t="shared" si="195"/>
        <v>0</v>
      </c>
      <c r="E100" s="680">
        <f t="shared" si="178"/>
        <v>0</v>
      </c>
      <c r="F100" s="680">
        <f t="shared" si="179"/>
        <v>0</v>
      </c>
      <c r="G100" s="680">
        <f t="shared" si="180"/>
        <v>0</v>
      </c>
      <c r="H100" s="680">
        <f t="shared" si="181"/>
        <v>0</v>
      </c>
      <c r="I100" s="680">
        <f t="shared" si="182"/>
        <v>0</v>
      </c>
      <c r="J100" s="680">
        <f t="shared" si="183"/>
        <v>0</v>
      </c>
      <c r="K100" s="680">
        <f t="shared" si="184"/>
        <v>0</v>
      </c>
      <c r="L100" s="680">
        <f t="shared" si="185"/>
        <v>0</v>
      </c>
      <c r="M100" s="680">
        <f t="shared" si="186"/>
        <v>0</v>
      </c>
      <c r="N100" s="680">
        <f t="shared" si="187"/>
        <v>0</v>
      </c>
      <c r="O100" s="680">
        <f t="shared" si="188"/>
        <v>0</v>
      </c>
      <c r="P100" s="680">
        <f t="shared" si="189"/>
        <v>0</v>
      </c>
      <c r="Q100" s="680">
        <f t="shared" si="190"/>
        <v>0</v>
      </c>
      <c r="R100" s="680">
        <f t="shared" si="191"/>
        <v>0</v>
      </c>
      <c r="S100" s="680">
        <f t="shared" si="192"/>
        <v>0</v>
      </c>
      <c r="U100" s="787"/>
      <c r="V100" s="771"/>
      <c r="X100" s="772">
        <f t="shared" si="196"/>
        <v>1</v>
      </c>
      <c r="Y100" s="772">
        <f t="shared" si="196"/>
        <v>0</v>
      </c>
      <c r="Z100" s="772">
        <f t="shared" si="196"/>
        <v>0</v>
      </c>
      <c r="AA100" s="772">
        <f t="shared" si="196"/>
        <v>0</v>
      </c>
      <c r="AB100" s="772">
        <f t="shared" si="196"/>
        <v>0</v>
      </c>
      <c r="AC100" s="772">
        <f t="shared" si="196"/>
        <v>0</v>
      </c>
      <c r="AD100" s="772">
        <f t="shared" si="196"/>
        <v>0</v>
      </c>
      <c r="AE100" s="772">
        <f t="shared" si="196"/>
        <v>0</v>
      </c>
      <c r="AF100" s="772">
        <f t="shared" si="196"/>
        <v>0</v>
      </c>
      <c r="AG100" s="772">
        <f t="shared" si="196"/>
        <v>0</v>
      </c>
      <c r="AH100" s="772">
        <f t="shared" si="196"/>
        <v>0</v>
      </c>
      <c r="AI100" s="772">
        <f t="shared" si="196"/>
        <v>0</v>
      </c>
      <c r="AJ100" s="772">
        <f t="shared" si="196"/>
        <v>0</v>
      </c>
      <c r="AK100" s="772">
        <f t="shared" si="196"/>
        <v>0</v>
      </c>
      <c r="AL100" s="772">
        <f t="shared" si="196"/>
        <v>0</v>
      </c>
      <c r="AM100" s="773">
        <f t="shared" si="197"/>
        <v>1</v>
      </c>
    </row>
    <row r="101" spans="2:39" x14ac:dyDescent="0.25">
      <c r="B101" s="250" t="str">
        <f t="shared" si="194"/>
        <v>Other</v>
      </c>
      <c r="C101" s="524"/>
      <c r="D101" s="444">
        <f t="shared" si="195"/>
        <v>0</v>
      </c>
      <c r="E101" s="444">
        <f t="shared" si="178"/>
        <v>0</v>
      </c>
      <c r="F101" s="444">
        <f t="shared" si="179"/>
        <v>0</v>
      </c>
      <c r="G101" s="444">
        <f t="shared" si="180"/>
        <v>0</v>
      </c>
      <c r="H101" s="444">
        <f t="shared" si="181"/>
        <v>0</v>
      </c>
      <c r="I101" s="444">
        <f t="shared" si="182"/>
        <v>0</v>
      </c>
      <c r="J101" s="444">
        <f t="shared" si="183"/>
        <v>0</v>
      </c>
      <c r="K101" s="444">
        <f t="shared" si="184"/>
        <v>0</v>
      </c>
      <c r="L101" s="444">
        <f t="shared" si="185"/>
        <v>0</v>
      </c>
      <c r="M101" s="444">
        <f t="shared" si="186"/>
        <v>0</v>
      </c>
      <c r="N101" s="444">
        <f t="shared" si="187"/>
        <v>0</v>
      </c>
      <c r="O101" s="444">
        <f t="shared" si="188"/>
        <v>0</v>
      </c>
      <c r="P101" s="444">
        <f t="shared" si="189"/>
        <v>0</v>
      </c>
      <c r="Q101" s="444">
        <f t="shared" si="190"/>
        <v>0</v>
      </c>
      <c r="R101" s="444">
        <f t="shared" si="191"/>
        <v>0</v>
      </c>
      <c r="S101" s="444">
        <f t="shared" si="192"/>
        <v>0</v>
      </c>
      <c r="U101" s="788"/>
      <c r="V101" s="775"/>
      <c r="X101" s="772">
        <f t="shared" si="196"/>
        <v>1</v>
      </c>
      <c r="Y101" s="772">
        <f t="shared" si="196"/>
        <v>0</v>
      </c>
      <c r="Z101" s="772">
        <f t="shared" si="196"/>
        <v>0</v>
      </c>
      <c r="AA101" s="772">
        <f t="shared" si="196"/>
        <v>0</v>
      </c>
      <c r="AB101" s="772">
        <f t="shared" si="196"/>
        <v>0</v>
      </c>
      <c r="AC101" s="772">
        <f t="shared" si="196"/>
        <v>0</v>
      </c>
      <c r="AD101" s="772">
        <f>AD$6</f>
        <v>0</v>
      </c>
      <c r="AE101" s="772">
        <f t="shared" si="196"/>
        <v>0</v>
      </c>
      <c r="AF101" s="772">
        <f t="shared" si="196"/>
        <v>0</v>
      </c>
      <c r="AG101" s="772">
        <f t="shared" si="196"/>
        <v>0</v>
      </c>
      <c r="AH101" s="772">
        <f t="shared" si="196"/>
        <v>0</v>
      </c>
      <c r="AI101" s="772">
        <f t="shared" si="196"/>
        <v>0</v>
      </c>
      <c r="AJ101" s="772">
        <f t="shared" si="196"/>
        <v>0</v>
      </c>
      <c r="AK101" s="772">
        <f t="shared" si="196"/>
        <v>0</v>
      </c>
      <c r="AL101" s="772">
        <f t="shared" si="196"/>
        <v>0</v>
      </c>
      <c r="AM101" s="773">
        <f t="shared" si="197"/>
        <v>1</v>
      </c>
    </row>
    <row r="102" spans="2:39" x14ac:dyDescent="0.25">
      <c r="B102" s="131" t="s">
        <v>119</v>
      </c>
      <c r="C102" s="525"/>
      <c r="D102" s="681">
        <f>SUM(D90:D101)</f>
        <v>0</v>
      </c>
      <c r="E102" s="681">
        <f t="shared" ref="E102" si="198">SUM(E90:E101)</f>
        <v>0</v>
      </c>
      <c r="F102" s="681">
        <f t="shared" ref="F102" si="199">SUM(F90:F101)</f>
        <v>0</v>
      </c>
      <c r="G102" s="681">
        <f t="shared" ref="G102" si="200">SUM(G90:G101)</f>
        <v>0</v>
      </c>
      <c r="H102" s="681">
        <f t="shared" ref="H102" si="201">SUM(H90:H101)</f>
        <v>0</v>
      </c>
      <c r="I102" s="681">
        <f t="shared" ref="I102" si="202">SUM(I90:I101)</f>
        <v>0</v>
      </c>
      <c r="J102" s="681">
        <f t="shared" ref="J102" si="203">SUM(J90:J101)</f>
        <v>0</v>
      </c>
      <c r="K102" s="681">
        <f t="shared" ref="K102" si="204">SUM(K90:K101)</f>
        <v>0</v>
      </c>
      <c r="L102" s="681">
        <f t="shared" ref="L102" si="205">SUM(L90:L101)</f>
        <v>0</v>
      </c>
      <c r="M102" s="681">
        <f t="shared" ref="M102" si="206">SUM(M90:M101)</f>
        <v>0</v>
      </c>
      <c r="N102" s="681">
        <f t="shared" ref="N102" si="207">SUM(N90:N101)</f>
        <v>0</v>
      </c>
      <c r="O102" s="681">
        <f t="shared" ref="O102" si="208">SUM(O90:O101)</f>
        <v>0</v>
      </c>
      <c r="P102" s="681">
        <f t="shared" ref="P102" si="209">SUM(P90:P101)</f>
        <v>0</v>
      </c>
      <c r="Q102" s="681">
        <f t="shared" ref="Q102" si="210">SUM(Q90:Q101)</f>
        <v>0</v>
      </c>
      <c r="R102" s="681">
        <f t="shared" ref="R102" si="211">SUM(R90:R101)</f>
        <v>0</v>
      </c>
      <c r="S102" s="681">
        <f t="shared" ref="S102" si="212">SUM(S90:S101)</f>
        <v>0</v>
      </c>
      <c r="U102" s="776">
        <f>SUM(U90:U101)</f>
        <v>0</v>
      </c>
      <c r="V102" s="782">
        <f>SUM(V90:V101)</f>
        <v>0</v>
      </c>
    </row>
    <row r="104" spans="2:39" x14ac:dyDescent="0.25">
      <c r="B104" s="441" t="s">
        <v>138</v>
      </c>
      <c r="C104" s="523"/>
      <c r="V104" s="786"/>
      <c r="X104" s="764" t="s">
        <v>99</v>
      </c>
    </row>
    <row r="105" spans="2:39" x14ac:dyDescent="0.25">
      <c r="B105" s="441" t="s">
        <v>103</v>
      </c>
      <c r="C105" s="441" t="s">
        <v>104</v>
      </c>
      <c r="D105" s="121" t="str">
        <f>D$9</f>
        <v>Z01</v>
      </c>
      <c r="E105" s="121" t="str">
        <f t="shared" ref="E105:R105" si="213">E$9</f>
        <v>Z02</v>
      </c>
      <c r="F105" s="121" t="str">
        <f t="shared" si="213"/>
        <v>Z03</v>
      </c>
      <c r="G105" s="121" t="str">
        <f t="shared" si="213"/>
        <v>Z04</v>
      </c>
      <c r="H105" s="121" t="str">
        <f t="shared" si="213"/>
        <v>Z05</v>
      </c>
      <c r="I105" s="121" t="str">
        <f t="shared" si="213"/>
        <v>Z06</v>
      </c>
      <c r="J105" s="121" t="str">
        <f t="shared" si="213"/>
        <v>Z07</v>
      </c>
      <c r="K105" s="121" t="str">
        <f t="shared" si="213"/>
        <v>Z08</v>
      </c>
      <c r="L105" s="121" t="str">
        <f t="shared" si="213"/>
        <v>Z09</v>
      </c>
      <c r="M105" s="121" t="str">
        <f t="shared" si="213"/>
        <v>Z10</v>
      </c>
      <c r="N105" s="121" t="str">
        <f t="shared" si="213"/>
        <v>Z11</v>
      </c>
      <c r="O105" s="121" t="str">
        <f t="shared" si="213"/>
        <v>Z12</v>
      </c>
      <c r="P105" s="121" t="str">
        <f t="shared" si="213"/>
        <v>Z13</v>
      </c>
      <c r="Q105" s="121" t="str">
        <f t="shared" si="213"/>
        <v>Z14</v>
      </c>
      <c r="R105" s="121" t="str">
        <f t="shared" si="213"/>
        <v>Z15</v>
      </c>
      <c r="S105" s="121" t="s">
        <v>100</v>
      </c>
      <c r="U105" s="769" t="s">
        <v>105</v>
      </c>
      <c r="V105" s="769" t="str">
        <f>V$9</f>
        <v>City vehicles</v>
      </c>
      <c r="X105" s="766" t="str">
        <f t="shared" ref="X105:AL105" si="214">D105</f>
        <v>Z01</v>
      </c>
      <c r="Y105" s="766" t="str">
        <f t="shared" si="214"/>
        <v>Z02</v>
      </c>
      <c r="Z105" s="766" t="str">
        <f t="shared" si="214"/>
        <v>Z03</v>
      </c>
      <c r="AA105" s="766" t="str">
        <f t="shared" si="214"/>
        <v>Z04</v>
      </c>
      <c r="AB105" s="766" t="str">
        <f t="shared" si="214"/>
        <v>Z05</v>
      </c>
      <c r="AC105" s="766" t="str">
        <f t="shared" si="214"/>
        <v>Z06</v>
      </c>
      <c r="AD105" s="766" t="str">
        <f t="shared" si="214"/>
        <v>Z07</v>
      </c>
      <c r="AE105" s="766" t="str">
        <f t="shared" si="214"/>
        <v>Z08</v>
      </c>
      <c r="AF105" s="766" t="str">
        <f t="shared" si="214"/>
        <v>Z09</v>
      </c>
      <c r="AG105" s="766" t="str">
        <f t="shared" si="214"/>
        <v>Z10</v>
      </c>
      <c r="AH105" s="766" t="str">
        <f t="shared" si="214"/>
        <v>Z11</v>
      </c>
      <c r="AI105" s="766" t="str">
        <f t="shared" si="214"/>
        <v>Z12</v>
      </c>
      <c r="AJ105" s="766" t="str">
        <f t="shared" si="214"/>
        <v>Z13</v>
      </c>
      <c r="AK105" s="766" t="str">
        <f t="shared" si="214"/>
        <v>Z14</v>
      </c>
      <c r="AL105" s="766" t="str">
        <f t="shared" si="214"/>
        <v>Z15</v>
      </c>
      <c r="AM105" s="766" t="s">
        <v>100</v>
      </c>
    </row>
    <row r="106" spans="2:39" x14ac:dyDescent="0.25">
      <c r="B106" s="245" t="str">
        <f>B90</f>
        <v>Biodiesel</v>
      </c>
      <c r="C106" s="286" t="s">
        <v>139</v>
      </c>
      <c r="D106" s="680">
        <f>$V106*X106</f>
        <v>0</v>
      </c>
      <c r="E106" s="680">
        <f t="shared" ref="E106:E117" si="215">$V106*Y106</f>
        <v>0</v>
      </c>
      <c r="F106" s="680">
        <f t="shared" ref="F106:F117" si="216">$V106*Z106</f>
        <v>0</v>
      </c>
      <c r="G106" s="680">
        <f t="shared" ref="G106:G117" si="217">$V106*AA106</f>
        <v>0</v>
      </c>
      <c r="H106" s="680">
        <f t="shared" ref="H106:H117" si="218">$V106*AB106</f>
        <v>0</v>
      </c>
      <c r="I106" s="680">
        <f t="shared" ref="I106:I117" si="219">$V106*AC106</f>
        <v>0</v>
      </c>
      <c r="J106" s="680">
        <f t="shared" ref="J106:J117" si="220">$V106*AD106</f>
        <v>0</v>
      </c>
      <c r="K106" s="680">
        <f t="shared" ref="K106:K117" si="221">$V106*AE106</f>
        <v>0</v>
      </c>
      <c r="L106" s="680">
        <f t="shared" ref="L106:L117" si="222">$V106*AF106</f>
        <v>0</v>
      </c>
      <c r="M106" s="680">
        <f t="shared" ref="M106:M117" si="223">$V106*AG106</f>
        <v>0</v>
      </c>
      <c r="N106" s="680">
        <f t="shared" ref="N106:N117" si="224">$V106*AH106</f>
        <v>0</v>
      </c>
      <c r="O106" s="680">
        <f t="shared" ref="O106:O117" si="225">$V106*AI106</f>
        <v>0</v>
      </c>
      <c r="P106" s="680">
        <f t="shared" ref="P106:P117" si="226">$V106*AJ106</f>
        <v>0</v>
      </c>
      <c r="Q106" s="680">
        <f t="shared" ref="Q106:Q117" si="227">$V106*AK106</f>
        <v>0</v>
      </c>
      <c r="R106" s="680">
        <f t="shared" ref="R106:R117" si="228">$V106*AL106</f>
        <v>0</v>
      </c>
      <c r="S106" s="680">
        <f t="shared" ref="S106:S117" si="229">$V106*AM106</f>
        <v>0</v>
      </c>
      <c r="U106" s="787"/>
      <c r="V106" s="771"/>
      <c r="X106" s="772">
        <f>X$6</f>
        <v>1</v>
      </c>
      <c r="Y106" s="772">
        <f t="shared" ref="Y106:AL106" si="230">Y$6</f>
        <v>0</v>
      </c>
      <c r="Z106" s="772">
        <f t="shared" si="230"/>
        <v>0</v>
      </c>
      <c r="AA106" s="772">
        <f t="shared" si="230"/>
        <v>0</v>
      </c>
      <c r="AB106" s="772">
        <f t="shared" si="230"/>
        <v>0</v>
      </c>
      <c r="AC106" s="772">
        <f t="shared" si="230"/>
        <v>0</v>
      </c>
      <c r="AD106" s="772">
        <f t="shared" si="230"/>
        <v>0</v>
      </c>
      <c r="AE106" s="772">
        <f t="shared" si="230"/>
        <v>0</v>
      </c>
      <c r="AF106" s="772">
        <f t="shared" si="230"/>
        <v>0</v>
      </c>
      <c r="AG106" s="772">
        <f t="shared" si="230"/>
        <v>0</v>
      </c>
      <c r="AH106" s="772">
        <f t="shared" si="230"/>
        <v>0</v>
      </c>
      <c r="AI106" s="772">
        <f t="shared" si="230"/>
        <v>0</v>
      </c>
      <c r="AJ106" s="772">
        <f t="shared" si="230"/>
        <v>0</v>
      </c>
      <c r="AK106" s="772">
        <f t="shared" si="230"/>
        <v>0</v>
      </c>
      <c r="AL106" s="772">
        <f t="shared" si="230"/>
        <v>0</v>
      </c>
      <c r="AM106" s="773">
        <f>SUM(X106:AI106)</f>
        <v>1</v>
      </c>
    </row>
    <row r="107" spans="2:39" x14ac:dyDescent="0.25">
      <c r="B107" s="245" t="str">
        <f t="shared" ref="B107:B117" si="231">B91</f>
        <v>Diesel</v>
      </c>
      <c r="C107" s="286" t="s">
        <v>140</v>
      </c>
      <c r="D107" s="680">
        <f t="shared" ref="D107:D117" si="232">$V107*X107</f>
        <v>0</v>
      </c>
      <c r="E107" s="680">
        <f t="shared" si="215"/>
        <v>0</v>
      </c>
      <c r="F107" s="680">
        <f t="shared" si="216"/>
        <v>0</v>
      </c>
      <c r="G107" s="680">
        <f t="shared" si="217"/>
        <v>0</v>
      </c>
      <c r="H107" s="680">
        <f t="shared" si="218"/>
        <v>0</v>
      </c>
      <c r="I107" s="680">
        <f t="shared" si="219"/>
        <v>0</v>
      </c>
      <c r="J107" s="680">
        <f t="shared" si="220"/>
        <v>0</v>
      </c>
      <c r="K107" s="680">
        <f t="shared" si="221"/>
        <v>0</v>
      </c>
      <c r="L107" s="680">
        <f t="shared" si="222"/>
        <v>0</v>
      </c>
      <c r="M107" s="680">
        <f t="shared" si="223"/>
        <v>0</v>
      </c>
      <c r="N107" s="680">
        <f t="shared" si="224"/>
        <v>0</v>
      </c>
      <c r="O107" s="680">
        <f t="shared" si="225"/>
        <v>0</v>
      </c>
      <c r="P107" s="680">
        <f t="shared" si="226"/>
        <v>0</v>
      </c>
      <c r="Q107" s="680">
        <f t="shared" si="227"/>
        <v>0</v>
      </c>
      <c r="R107" s="680">
        <f t="shared" si="228"/>
        <v>0</v>
      </c>
      <c r="S107" s="680">
        <f t="shared" si="229"/>
        <v>0</v>
      </c>
      <c r="T107" s="310"/>
      <c r="U107" s="787"/>
      <c r="V107" s="771"/>
      <c r="X107" s="772">
        <f t="shared" ref="X107:AL117" si="233">X$6</f>
        <v>1</v>
      </c>
      <c r="Y107" s="772">
        <f t="shared" si="233"/>
        <v>0</v>
      </c>
      <c r="Z107" s="772">
        <f t="shared" si="233"/>
        <v>0</v>
      </c>
      <c r="AA107" s="772">
        <f t="shared" si="233"/>
        <v>0</v>
      </c>
      <c r="AB107" s="772">
        <f t="shared" si="233"/>
        <v>0</v>
      </c>
      <c r="AC107" s="772">
        <f t="shared" si="233"/>
        <v>0</v>
      </c>
      <c r="AD107" s="772">
        <f t="shared" si="233"/>
        <v>0</v>
      </c>
      <c r="AE107" s="772">
        <f t="shared" si="233"/>
        <v>0</v>
      </c>
      <c r="AF107" s="772">
        <f t="shared" si="233"/>
        <v>0</v>
      </c>
      <c r="AG107" s="772">
        <f t="shared" si="233"/>
        <v>0</v>
      </c>
      <c r="AH107" s="772">
        <f t="shared" si="233"/>
        <v>0</v>
      </c>
      <c r="AI107" s="772">
        <f t="shared" si="233"/>
        <v>0</v>
      </c>
      <c r="AJ107" s="772">
        <f t="shared" si="233"/>
        <v>0</v>
      </c>
      <c r="AK107" s="772">
        <f t="shared" si="233"/>
        <v>0</v>
      </c>
      <c r="AL107" s="772">
        <f t="shared" si="233"/>
        <v>0</v>
      </c>
      <c r="AM107" s="773">
        <f>SUM(X107:AI107)</f>
        <v>1</v>
      </c>
    </row>
    <row r="108" spans="2:39" x14ac:dyDescent="0.25">
      <c r="B108" s="245" t="str">
        <f t="shared" si="231"/>
        <v>Battery electric (BEV)</v>
      </c>
      <c r="C108" s="286" t="s">
        <v>141</v>
      </c>
      <c r="D108" s="680">
        <f t="shared" si="232"/>
        <v>0</v>
      </c>
      <c r="E108" s="680">
        <f t="shared" si="215"/>
        <v>0</v>
      </c>
      <c r="F108" s="680">
        <f t="shared" si="216"/>
        <v>0</v>
      </c>
      <c r="G108" s="680">
        <f t="shared" si="217"/>
        <v>0</v>
      </c>
      <c r="H108" s="680">
        <f t="shared" si="218"/>
        <v>0</v>
      </c>
      <c r="I108" s="680">
        <f t="shared" si="219"/>
        <v>0</v>
      </c>
      <c r="J108" s="680">
        <f t="shared" si="220"/>
        <v>0</v>
      </c>
      <c r="K108" s="680">
        <f t="shared" si="221"/>
        <v>0</v>
      </c>
      <c r="L108" s="680">
        <f t="shared" si="222"/>
        <v>0</v>
      </c>
      <c r="M108" s="680">
        <f t="shared" si="223"/>
        <v>0</v>
      </c>
      <c r="N108" s="680">
        <f t="shared" si="224"/>
        <v>0</v>
      </c>
      <c r="O108" s="680">
        <f t="shared" si="225"/>
        <v>0</v>
      </c>
      <c r="P108" s="680">
        <f t="shared" si="226"/>
        <v>0</v>
      </c>
      <c r="Q108" s="680">
        <f t="shared" si="227"/>
        <v>0</v>
      </c>
      <c r="R108" s="680">
        <f t="shared" si="228"/>
        <v>0</v>
      </c>
      <c r="S108" s="680">
        <f t="shared" si="229"/>
        <v>0</v>
      </c>
      <c r="U108" s="787"/>
      <c r="V108" s="771"/>
      <c r="X108" s="772">
        <f t="shared" si="233"/>
        <v>1</v>
      </c>
      <c r="Y108" s="772">
        <f t="shared" si="233"/>
        <v>0</v>
      </c>
      <c r="Z108" s="772">
        <f t="shared" si="233"/>
        <v>0</v>
      </c>
      <c r="AA108" s="772">
        <f t="shared" si="233"/>
        <v>0</v>
      </c>
      <c r="AB108" s="772">
        <f t="shared" si="233"/>
        <v>0</v>
      </c>
      <c r="AC108" s="772">
        <f t="shared" si="233"/>
        <v>0</v>
      </c>
      <c r="AD108" s="772">
        <f t="shared" si="233"/>
        <v>0</v>
      </c>
      <c r="AE108" s="772">
        <f t="shared" si="233"/>
        <v>0</v>
      </c>
      <c r="AF108" s="772">
        <f t="shared" si="233"/>
        <v>0</v>
      </c>
      <c r="AG108" s="772">
        <f t="shared" si="233"/>
        <v>0</v>
      </c>
      <c r="AH108" s="772">
        <f t="shared" si="233"/>
        <v>0</v>
      </c>
      <c r="AI108" s="772">
        <f t="shared" si="233"/>
        <v>0</v>
      </c>
      <c r="AJ108" s="772">
        <f t="shared" si="233"/>
        <v>0</v>
      </c>
      <c r="AK108" s="772">
        <f t="shared" si="233"/>
        <v>0</v>
      </c>
      <c r="AL108" s="772">
        <f t="shared" si="233"/>
        <v>0</v>
      </c>
      <c r="AM108" s="773">
        <f t="shared" ref="AM108:AM117" si="234">SUM(X108:AI108)</f>
        <v>1</v>
      </c>
    </row>
    <row r="109" spans="2:39" x14ac:dyDescent="0.25">
      <c r="B109" s="245" t="str">
        <f t="shared" si="231"/>
        <v>Ethanol</v>
      </c>
      <c r="C109" s="286" t="s">
        <v>142</v>
      </c>
      <c r="D109" s="680">
        <f t="shared" si="232"/>
        <v>0</v>
      </c>
      <c r="E109" s="680">
        <f t="shared" si="215"/>
        <v>0</v>
      </c>
      <c r="F109" s="680">
        <f t="shared" si="216"/>
        <v>0</v>
      </c>
      <c r="G109" s="680">
        <f t="shared" si="217"/>
        <v>0</v>
      </c>
      <c r="H109" s="680">
        <f t="shared" si="218"/>
        <v>0</v>
      </c>
      <c r="I109" s="680">
        <f t="shared" si="219"/>
        <v>0</v>
      </c>
      <c r="J109" s="680">
        <f t="shared" si="220"/>
        <v>0</v>
      </c>
      <c r="K109" s="680">
        <f t="shared" si="221"/>
        <v>0</v>
      </c>
      <c r="L109" s="680">
        <f t="shared" si="222"/>
        <v>0</v>
      </c>
      <c r="M109" s="680">
        <f t="shared" si="223"/>
        <v>0</v>
      </c>
      <c r="N109" s="680">
        <f t="shared" si="224"/>
        <v>0</v>
      </c>
      <c r="O109" s="680">
        <f t="shared" si="225"/>
        <v>0</v>
      </c>
      <c r="P109" s="680">
        <f t="shared" si="226"/>
        <v>0</v>
      </c>
      <c r="Q109" s="680">
        <f t="shared" si="227"/>
        <v>0</v>
      </c>
      <c r="R109" s="680">
        <f t="shared" si="228"/>
        <v>0</v>
      </c>
      <c r="S109" s="680">
        <f t="shared" si="229"/>
        <v>0</v>
      </c>
      <c r="U109" s="787"/>
      <c r="V109" s="771"/>
      <c r="X109" s="772">
        <f t="shared" si="233"/>
        <v>1</v>
      </c>
      <c r="Y109" s="772">
        <f t="shared" si="233"/>
        <v>0</v>
      </c>
      <c r="Z109" s="772">
        <f t="shared" si="233"/>
        <v>0</v>
      </c>
      <c r="AA109" s="772">
        <f t="shared" si="233"/>
        <v>0</v>
      </c>
      <c r="AB109" s="772">
        <f t="shared" si="233"/>
        <v>0</v>
      </c>
      <c r="AC109" s="772">
        <f t="shared" si="233"/>
        <v>0</v>
      </c>
      <c r="AD109" s="772">
        <f t="shared" si="233"/>
        <v>0</v>
      </c>
      <c r="AE109" s="772">
        <f t="shared" si="233"/>
        <v>0</v>
      </c>
      <c r="AF109" s="772">
        <f t="shared" si="233"/>
        <v>0</v>
      </c>
      <c r="AG109" s="772">
        <f t="shared" si="233"/>
        <v>0</v>
      </c>
      <c r="AH109" s="772">
        <f t="shared" si="233"/>
        <v>0</v>
      </c>
      <c r="AI109" s="772">
        <f t="shared" si="233"/>
        <v>0</v>
      </c>
      <c r="AJ109" s="772">
        <f t="shared" si="233"/>
        <v>0</v>
      </c>
      <c r="AK109" s="772">
        <f t="shared" si="233"/>
        <v>0</v>
      </c>
      <c r="AL109" s="772">
        <f t="shared" si="233"/>
        <v>0</v>
      </c>
      <c r="AM109" s="773">
        <f t="shared" si="234"/>
        <v>1</v>
      </c>
    </row>
    <row r="110" spans="2:39" x14ac:dyDescent="0.25">
      <c r="B110" s="245" t="str">
        <f t="shared" si="231"/>
        <v>Gas (CNG)</v>
      </c>
      <c r="C110" s="286" t="s">
        <v>143</v>
      </c>
      <c r="D110" s="680">
        <f t="shared" si="232"/>
        <v>0</v>
      </c>
      <c r="E110" s="680">
        <f t="shared" si="215"/>
        <v>0</v>
      </c>
      <c r="F110" s="680">
        <f t="shared" si="216"/>
        <v>0</v>
      </c>
      <c r="G110" s="680">
        <f t="shared" si="217"/>
        <v>0</v>
      </c>
      <c r="H110" s="680">
        <f t="shared" si="218"/>
        <v>0</v>
      </c>
      <c r="I110" s="680">
        <f t="shared" si="219"/>
        <v>0</v>
      </c>
      <c r="J110" s="680">
        <f t="shared" si="220"/>
        <v>0</v>
      </c>
      <c r="K110" s="680">
        <f t="shared" si="221"/>
        <v>0</v>
      </c>
      <c r="L110" s="680">
        <f t="shared" si="222"/>
        <v>0</v>
      </c>
      <c r="M110" s="680">
        <f t="shared" si="223"/>
        <v>0</v>
      </c>
      <c r="N110" s="680">
        <f t="shared" si="224"/>
        <v>0</v>
      </c>
      <c r="O110" s="680">
        <f t="shared" si="225"/>
        <v>0</v>
      </c>
      <c r="P110" s="680">
        <f t="shared" si="226"/>
        <v>0</v>
      </c>
      <c r="Q110" s="680">
        <f t="shared" si="227"/>
        <v>0</v>
      </c>
      <c r="R110" s="680">
        <f t="shared" si="228"/>
        <v>0</v>
      </c>
      <c r="S110" s="680">
        <f t="shared" si="229"/>
        <v>0</v>
      </c>
      <c r="U110" s="787"/>
      <c r="V110" s="771"/>
      <c r="X110" s="772">
        <f t="shared" si="233"/>
        <v>1</v>
      </c>
      <c r="Y110" s="772">
        <f t="shared" si="233"/>
        <v>0</v>
      </c>
      <c r="Z110" s="772">
        <f t="shared" si="233"/>
        <v>0</v>
      </c>
      <c r="AA110" s="772">
        <f t="shared" si="233"/>
        <v>0</v>
      </c>
      <c r="AB110" s="772">
        <f t="shared" si="233"/>
        <v>0</v>
      </c>
      <c r="AC110" s="772">
        <f t="shared" si="233"/>
        <v>0</v>
      </c>
      <c r="AD110" s="772">
        <f t="shared" si="233"/>
        <v>0</v>
      </c>
      <c r="AE110" s="772">
        <f t="shared" si="233"/>
        <v>0</v>
      </c>
      <c r="AF110" s="772">
        <f t="shared" si="233"/>
        <v>0</v>
      </c>
      <c r="AG110" s="772">
        <f t="shared" si="233"/>
        <v>0</v>
      </c>
      <c r="AH110" s="772">
        <f t="shared" si="233"/>
        <v>0</v>
      </c>
      <c r="AI110" s="772">
        <f t="shared" si="233"/>
        <v>0</v>
      </c>
      <c r="AJ110" s="772">
        <f t="shared" si="233"/>
        <v>0</v>
      </c>
      <c r="AK110" s="772">
        <f t="shared" si="233"/>
        <v>0</v>
      </c>
      <c r="AL110" s="772">
        <f t="shared" si="233"/>
        <v>0</v>
      </c>
      <c r="AM110" s="773">
        <f t="shared" si="234"/>
        <v>1</v>
      </c>
    </row>
    <row r="111" spans="2:39" x14ac:dyDescent="0.25">
      <c r="B111" s="245" t="str">
        <f t="shared" si="231"/>
        <v>Gasoline</v>
      </c>
      <c r="C111" s="286" t="s">
        <v>144</v>
      </c>
      <c r="D111" s="680">
        <f t="shared" si="232"/>
        <v>0</v>
      </c>
      <c r="E111" s="680">
        <f t="shared" si="215"/>
        <v>0</v>
      </c>
      <c r="F111" s="680">
        <f t="shared" si="216"/>
        <v>0</v>
      </c>
      <c r="G111" s="680">
        <f t="shared" si="217"/>
        <v>0</v>
      </c>
      <c r="H111" s="680">
        <f t="shared" si="218"/>
        <v>0</v>
      </c>
      <c r="I111" s="680">
        <f t="shared" si="219"/>
        <v>0</v>
      </c>
      <c r="J111" s="680">
        <f t="shared" si="220"/>
        <v>0</v>
      </c>
      <c r="K111" s="680">
        <f t="shared" si="221"/>
        <v>0</v>
      </c>
      <c r="L111" s="680">
        <f t="shared" si="222"/>
        <v>0</v>
      </c>
      <c r="M111" s="680">
        <f t="shared" si="223"/>
        <v>0</v>
      </c>
      <c r="N111" s="680">
        <f t="shared" si="224"/>
        <v>0</v>
      </c>
      <c r="O111" s="680">
        <f t="shared" si="225"/>
        <v>0</v>
      </c>
      <c r="P111" s="680">
        <f t="shared" si="226"/>
        <v>0</v>
      </c>
      <c r="Q111" s="680">
        <f t="shared" si="227"/>
        <v>0</v>
      </c>
      <c r="R111" s="680">
        <f t="shared" si="228"/>
        <v>0</v>
      </c>
      <c r="S111" s="680">
        <f t="shared" si="229"/>
        <v>0</v>
      </c>
      <c r="U111" s="787"/>
      <c r="V111" s="771"/>
      <c r="X111" s="772">
        <f t="shared" si="233"/>
        <v>1</v>
      </c>
      <c r="Y111" s="772">
        <f t="shared" si="233"/>
        <v>0</v>
      </c>
      <c r="Z111" s="772">
        <f t="shared" si="233"/>
        <v>0</v>
      </c>
      <c r="AA111" s="772">
        <f t="shared" si="233"/>
        <v>0</v>
      </c>
      <c r="AB111" s="772">
        <f t="shared" si="233"/>
        <v>0</v>
      </c>
      <c r="AC111" s="772">
        <f t="shared" si="233"/>
        <v>0</v>
      </c>
      <c r="AD111" s="772">
        <f t="shared" si="233"/>
        <v>0</v>
      </c>
      <c r="AE111" s="772">
        <f t="shared" si="233"/>
        <v>0</v>
      </c>
      <c r="AF111" s="772">
        <f t="shared" si="233"/>
        <v>0</v>
      </c>
      <c r="AG111" s="772">
        <f t="shared" si="233"/>
        <v>0</v>
      </c>
      <c r="AH111" s="772">
        <f t="shared" si="233"/>
        <v>0</v>
      </c>
      <c r="AI111" s="772">
        <f t="shared" si="233"/>
        <v>0</v>
      </c>
      <c r="AJ111" s="772">
        <f t="shared" si="233"/>
        <v>0</v>
      </c>
      <c r="AK111" s="772">
        <f t="shared" si="233"/>
        <v>0</v>
      </c>
      <c r="AL111" s="772">
        <f t="shared" si="233"/>
        <v>0</v>
      </c>
      <c r="AM111" s="773">
        <f t="shared" si="234"/>
        <v>1</v>
      </c>
    </row>
    <row r="112" spans="2:39" x14ac:dyDescent="0.25">
      <c r="B112" s="245" t="str">
        <f t="shared" si="231"/>
        <v>Hybrid Electric - diesel</v>
      </c>
      <c r="C112" s="286" t="s">
        <v>145</v>
      </c>
      <c r="D112" s="680">
        <f t="shared" si="232"/>
        <v>0</v>
      </c>
      <c r="E112" s="680">
        <f t="shared" si="215"/>
        <v>0</v>
      </c>
      <c r="F112" s="680">
        <f t="shared" si="216"/>
        <v>0</v>
      </c>
      <c r="G112" s="680">
        <f t="shared" si="217"/>
        <v>0</v>
      </c>
      <c r="H112" s="680">
        <f t="shared" si="218"/>
        <v>0</v>
      </c>
      <c r="I112" s="680">
        <f t="shared" si="219"/>
        <v>0</v>
      </c>
      <c r="J112" s="680">
        <f t="shared" si="220"/>
        <v>0</v>
      </c>
      <c r="K112" s="680">
        <f t="shared" si="221"/>
        <v>0</v>
      </c>
      <c r="L112" s="680">
        <f t="shared" si="222"/>
        <v>0</v>
      </c>
      <c r="M112" s="680">
        <f t="shared" si="223"/>
        <v>0</v>
      </c>
      <c r="N112" s="680">
        <f t="shared" si="224"/>
        <v>0</v>
      </c>
      <c r="O112" s="680">
        <f t="shared" si="225"/>
        <v>0</v>
      </c>
      <c r="P112" s="680">
        <f t="shared" si="226"/>
        <v>0</v>
      </c>
      <c r="Q112" s="680">
        <f t="shared" si="227"/>
        <v>0</v>
      </c>
      <c r="R112" s="680">
        <f t="shared" si="228"/>
        <v>0</v>
      </c>
      <c r="S112" s="680">
        <f t="shared" si="229"/>
        <v>0</v>
      </c>
      <c r="U112" s="787"/>
      <c r="V112" s="771"/>
      <c r="X112" s="772">
        <f t="shared" si="233"/>
        <v>1</v>
      </c>
      <c r="Y112" s="772">
        <f t="shared" si="233"/>
        <v>0</v>
      </c>
      <c r="Z112" s="772">
        <f t="shared" si="233"/>
        <v>0</v>
      </c>
      <c r="AA112" s="772">
        <f t="shared" si="233"/>
        <v>0</v>
      </c>
      <c r="AB112" s="772">
        <f t="shared" si="233"/>
        <v>0</v>
      </c>
      <c r="AC112" s="772">
        <f t="shared" si="233"/>
        <v>0</v>
      </c>
      <c r="AD112" s="772">
        <f t="shared" si="233"/>
        <v>0</v>
      </c>
      <c r="AE112" s="772">
        <f t="shared" si="233"/>
        <v>0</v>
      </c>
      <c r="AF112" s="772">
        <f t="shared" si="233"/>
        <v>0</v>
      </c>
      <c r="AG112" s="772">
        <f t="shared" si="233"/>
        <v>0</v>
      </c>
      <c r="AH112" s="772">
        <f t="shared" si="233"/>
        <v>0</v>
      </c>
      <c r="AI112" s="772">
        <f t="shared" si="233"/>
        <v>0</v>
      </c>
      <c r="AJ112" s="772">
        <f t="shared" si="233"/>
        <v>0</v>
      </c>
      <c r="AK112" s="772">
        <f t="shared" si="233"/>
        <v>0</v>
      </c>
      <c r="AL112" s="772">
        <f t="shared" si="233"/>
        <v>0</v>
      </c>
      <c r="AM112" s="773">
        <f t="shared" si="234"/>
        <v>1</v>
      </c>
    </row>
    <row r="113" spans="2:39" x14ac:dyDescent="0.25">
      <c r="B113" s="245" t="str">
        <f t="shared" si="231"/>
        <v>Hybrid Electric - gasoline</v>
      </c>
      <c r="C113" s="286" t="s">
        <v>146</v>
      </c>
      <c r="D113" s="680">
        <f t="shared" si="232"/>
        <v>0</v>
      </c>
      <c r="E113" s="680">
        <f t="shared" si="215"/>
        <v>0</v>
      </c>
      <c r="F113" s="680">
        <f t="shared" si="216"/>
        <v>0</v>
      </c>
      <c r="G113" s="680">
        <f t="shared" si="217"/>
        <v>0</v>
      </c>
      <c r="H113" s="680">
        <f t="shared" si="218"/>
        <v>0</v>
      </c>
      <c r="I113" s="680">
        <f t="shared" si="219"/>
        <v>0</v>
      </c>
      <c r="J113" s="680">
        <f t="shared" si="220"/>
        <v>0</v>
      </c>
      <c r="K113" s="680">
        <f t="shared" si="221"/>
        <v>0</v>
      </c>
      <c r="L113" s="680">
        <f t="shared" si="222"/>
        <v>0</v>
      </c>
      <c r="M113" s="680">
        <f t="shared" si="223"/>
        <v>0</v>
      </c>
      <c r="N113" s="680">
        <f t="shared" si="224"/>
        <v>0</v>
      </c>
      <c r="O113" s="680">
        <f t="shared" si="225"/>
        <v>0</v>
      </c>
      <c r="P113" s="680">
        <f t="shared" si="226"/>
        <v>0</v>
      </c>
      <c r="Q113" s="680">
        <f t="shared" si="227"/>
        <v>0</v>
      </c>
      <c r="R113" s="680">
        <f t="shared" si="228"/>
        <v>0</v>
      </c>
      <c r="S113" s="680">
        <f t="shared" si="229"/>
        <v>0</v>
      </c>
      <c r="U113" s="787"/>
      <c r="V113" s="771"/>
      <c r="X113" s="772">
        <f t="shared" si="233"/>
        <v>1</v>
      </c>
      <c r="Y113" s="772">
        <f t="shared" si="233"/>
        <v>0</v>
      </c>
      <c r="Z113" s="772">
        <f t="shared" si="233"/>
        <v>0</v>
      </c>
      <c r="AA113" s="772">
        <f t="shared" si="233"/>
        <v>0</v>
      </c>
      <c r="AB113" s="772">
        <f t="shared" si="233"/>
        <v>0</v>
      </c>
      <c r="AC113" s="772">
        <f t="shared" si="233"/>
        <v>0</v>
      </c>
      <c r="AD113" s="772">
        <f t="shared" si="233"/>
        <v>0</v>
      </c>
      <c r="AE113" s="772">
        <f t="shared" si="233"/>
        <v>0</v>
      </c>
      <c r="AF113" s="772">
        <f t="shared" si="233"/>
        <v>0</v>
      </c>
      <c r="AG113" s="772">
        <f t="shared" si="233"/>
        <v>0</v>
      </c>
      <c r="AH113" s="772">
        <f t="shared" si="233"/>
        <v>0</v>
      </c>
      <c r="AI113" s="772">
        <f t="shared" si="233"/>
        <v>0</v>
      </c>
      <c r="AJ113" s="772">
        <f t="shared" si="233"/>
        <v>0</v>
      </c>
      <c r="AK113" s="772">
        <f t="shared" si="233"/>
        <v>0</v>
      </c>
      <c r="AL113" s="772">
        <f t="shared" si="233"/>
        <v>0</v>
      </c>
      <c r="AM113" s="773">
        <f t="shared" si="234"/>
        <v>1</v>
      </c>
    </row>
    <row r="114" spans="2:39" x14ac:dyDescent="0.25">
      <c r="B114" s="245" t="str">
        <f t="shared" si="231"/>
        <v>LPG</v>
      </c>
      <c r="C114" s="286" t="s">
        <v>147</v>
      </c>
      <c r="D114" s="680">
        <f t="shared" si="232"/>
        <v>0</v>
      </c>
      <c r="E114" s="680">
        <f t="shared" si="215"/>
        <v>0</v>
      </c>
      <c r="F114" s="680">
        <f t="shared" si="216"/>
        <v>0</v>
      </c>
      <c r="G114" s="680">
        <f t="shared" si="217"/>
        <v>0</v>
      </c>
      <c r="H114" s="680">
        <f t="shared" si="218"/>
        <v>0</v>
      </c>
      <c r="I114" s="680">
        <f t="shared" si="219"/>
        <v>0</v>
      </c>
      <c r="J114" s="680">
        <f t="shared" si="220"/>
        <v>0</v>
      </c>
      <c r="K114" s="680">
        <f t="shared" si="221"/>
        <v>0</v>
      </c>
      <c r="L114" s="680">
        <f t="shared" si="222"/>
        <v>0</v>
      </c>
      <c r="M114" s="680">
        <f t="shared" si="223"/>
        <v>0</v>
      </c>
      <c r="N114" s="680">
        <f t="shared" si="224"/>
        <v>0</v>
      </c>
      <c r="O114" s="680">
        <f t="shared" si="225"/>
        <v>0</v>
      </c>
      <c r="P114" s="680">
        <f t="shared" si="226"/>
        <v>0</v>
      </c>
      <c r="Q114" s="680">
        <f t="shared" si="227"/>
        <v>0</v>
      </c>
      <c r="R114" s="680">
        <f t="shared" si="228"/>
        <v>0</v>
      </c>
      <c r="S114" s="680">
        <f t="shared" si="229"/>
        <v>0</v>
      </c>
      <c r="U114" s="787"/>
      <c r="V114" s="771"/>
      <c r="X114" s="772">
        <f t="shared" si="233"/>
        <v>1</v>
      </c>
      <c r="Y114" s="772">
        <f t="shared" si="233"/>
        <v>0</v>
      </c>
      <c r="Z114" s="772">
        <f t="shared" si="233"/>
        <v>0</v>
      </c>
      <c r="AA114" s="772">
        <f t="shared" si="233"/>
        <v>0</v>
      </c>
      <c r="AB114" s="772">
        <f t="shared" si="233"/>
        <v>0</v>
      </c>
      <c r="AC114" s="772">
        <f t="shared" si="233"/>
        <v>0</v>
      </c>
      <c r="AD114" s="772">
        <f t="shared" si="233"/>
        <v>0</v>
      </c>
      <c r="AE114" s="772">
        <f t="shared" si="233"/>
        <v>0</v>
      </c>
      <c r="AF114" s="772">
        <f t="shared" si="233"/>
        <v>0</v>
      </c>
      <c r="AG114" s="772">
        <f t="shared" si="233"/>
        <v>0</v>
      </c>
      <c r="AH114" s="772">
        <f t="shared" si="233"/>
        <v>0</v>
      </c>
      <c r="AI114" s="772">
        <f t="shared" si="233"/>
        <v>0</v>
      </c>
      <c r="AJ114" s="772">
        <f t="shared" si="233"/>
        <v>0</v>
      </c>
      <c r="AK114" s="772">
        <f t="shared" si="233"/>
        <v>0</v>
      </c>
      <c r="AL114" s="772">
        <f t="shared" si="233"/>
        <v>0</v>
      </c>
      <c r="AM114" s="773">
        <f t="shared" si="234"/>
        <v>1</v>
      </c>
    </row>
    <row r="115" spans="2:39" x14ac:dyDescent="0.25">
      <c r="B115" s="245" t="str">
        <f t="shared" si="231"/>
        <v>Plugin Hybrid Electric - diesel</v>
      </c>
      <c r="C115" s="286" t="s">
        <v>148</v>
      </c>
      <c r="D115" s="680">
        <f t="shared" si="232"/>
        <v>0</v>
      </c>
      <c r="E115" s="680">
        <f t="shared" si="215"/>
        <v>0</v>
      </c>
      <c r="F115" s="680">
        <f t="shared" si="216"/>
        <v>0</v>
      </c>
      <c r="G115" s="680">
        <f t="shared" si="217"/>
        <v>0</v>
      </c>
      <c r="H115" s="680">
        <f t="shared" si="218"/>
        <v>0</v>
      </c>
      <c r="I115" s="680">
        <f t="shared" si="219"/>
        <v>0</v>
      </c>
      <c r="J115" s="680">
        <f t="shared" si="220"/>
        <v>0</v>
      </c>
      <c r="K115" s="680">
        <f t="shared" si="221"/>
        <v>0</v>
      </c>
      <c r="L115" s="680">
        <f t="shared" si="222"/>
        <v>0</v>
      </c>
      <c r="M115" s="680">
        <f t="shared" si="223"/>
        <v>0</v>
      </c>
      <c r="N115" s="680">
        <f t="shared" si="224"/>
        <v>0</v>
      </c>
      <c r="O115" s="680">
        <f t="shared" si="225"/>
        <v>0</v>
      </c>
      <c r="P115" s="680">
        <f t="shared" si="226"/>
        <v>0</v>
      </c>
      <c r="Q115" s="680">
        <f t="shared" si="227"/>
        <v>0</v>
      </c>
      <c r="R115" s="680">
        <f t="shared" si="228"/>
        <v>0</v>
      </c>
      <c r="S115" s="680">
        <f t="shared" si="229"/>
        <v>0</v>
      </c>
      <c r="U115" s="787"/>
      <c r="V115" s="771"/>
      <c r="X115" s="772">
        <f t="shared" si="233"/>
        <v>1</v>
      </c>
      <c r="Y115" s="772">
        <f t="shared" si="233"/>
        <v>0</v>
      </c>
      <c r="Z115" s="772">
        <f t="shared" si="233"/>
        <v>0</v>
      </c>
      <c r="AA115" s="772">
        <f t="shared" si="233"/>
        <v>0</v>
      </c>
      <c r="AB115" s="772">
        <f t="shared" si="233"/>
        <v>0</v>
      </c>
      <c r="AC115" s="772">
        <f t="shared" si="233"/>
        <v>0</v>
      </c>
      <c r="AD115" s="772">
        <f t="shared" si="233"/>
        <v>0</v>
      </c>
      <c r="AE115" s="772">
        <f t="shared" si="233"/>
        <v>0</v>
      </c>
      <c r="AF115" s="772">
        <f t="shared" si="233"/>
        <v>0</v>
      </c>
      <c r="AG115" s="772">
        <f t="shared" si="233"/>
        <v>0</v>
      </c>
      <c r="AH115" s="772">
        <f t="shared" si="233"/>
        <v>0</v>
      </c>
      <c r="AI115" s="772">
        <f t="shared" si="233"/>
        <v>0</v>
      </c>
      <c r="AJ115" s="772">
        <f t="shared" si="233"/>
        <v>0</v>
      </c>
      <c r="AK115" s="772">
        <f t="shared" si="233"/>
        <v>0</v>
      </c>
      <c r="AL115" s="772">
        <f t="shared" si="233"/>
        <v>0</v>
      </c>
      <c r="AM115" s="773">
        <f t="shared" si="234"/>
        <v>1</v>
      </c>
    </row>
    <row r="116" spans="2:39" x14ac:dyDescent="0.25">
      <c r="B116" s="245" t="str">
        <f t="shared" si="231"/>
        <v>Plugin Hybrid Electric - gasoline</v>
      </c>
      <c r="C116" s="286" t="s">
        <v>149</v>
      </c>
      <c r="D116" s="680">
        <f t="shared" si="232"/>
        <v>0</v>
      </c>
      <c r="E116" s="680">
        <f t="shared" si="215"/>
        <v>0</v>
      </c>
      <c r="F116" s="680">
        <f t="shared" si="216"/>
        <v>0</v>
      </c>
      <c r="G116" s="680">
        <f t="shared" si="217"/>
        <v>0</v>
      </c>
      <c r="H116" s="680">
        <f t="shared" si="218"/>
        <v>0</v>
      </c>
      <c r="I116" s="680">
        <f t="shared" si="219"/>
        <v>0</v>
      </c>
      <c r="J116" s="680">
        <f t="shared" si="220"/>
        <v>0</v>
      </c>
      <c r="K116" s="680">
        <f t="shared" si="221"/>
        <v>0</v>
      </c>
      <c r="L116" s="680">
        <f t="shared" si="222"/>
        <v>0</v>
      </c>
      <c r="M116" s="680">
        <f t="shared" si="223"/>
        <v>0</v>
      </c>
      <c r="N116" s="680">
        <f t="shared" si="224"/>
        <v>0</v>
      </c>
      <c r="O116" s="680">
        <f t="shared" si="225"/>
        <v>0</v>
      </c>
      <c r="P116" s="680">
        <f t="shared" si="226"/>
        <v>0</v>
      </c>
      <c r="Q116" s="680">
        <f t="shared" si="227"/>
        <v>0</v>
      </c>
      <c r="R116" s="680">
        <f t="shared" si="228"/>
        <v>0</v>
      </c>
      <c r="S116" s="680">
        <f t="shared" si="229"/>
        <v>0</v>
      </c>
      <c r="U116" s="787"/>
      <c r="V116" s="771"/>
      <c r="X116" s="772">
        <f t="shared" si="233"/>
        <v>1</v>
      </c>
      <c r="Y116" s="772">
        <f t="shared" si="233"/>
        <v>0</v>
      </c>
      <c r="Z116" s="772">
        <f t="shared" si="233"/>
        <v>0</v>
      </c>
      <c r="AA116" s="772">
        <f t="shared" si="233"/>
        <v>0</v>
      </c>
      <c r="AB116" s="772">
        <f t="shared" si="233"/>
        <v>0</v>
      </c>
      <c r="AC116" s="772">
        <f t="shared" si="233"/>
        <v>0</v>
      </c>
      <c r="AD116" s="772">
        <f t="shared" si="233"/>
        <v>0</v>
      </c>
      <c r="AE116" s="772">
        <f t="shared" si="233"/>
        <v>0</v>
      </c>
      <c r="AF116" s="772">
        <f t="shared" si="233"/>
        <v>0</v>
      </c>
      <c r="AG116" s="772">
        <f t="shared" si="233"/>
        <v>0</v>
      </c>
      <c r="AH116" s="772">
        <f t="shared" si="233"/>
        <v>0</v>
      </c>
      <c r="AI116" s="772">
        <f t="shared" si="233"/>
        <v>0</v>
      </c>
      <c r="AJ116" s="772">
        <f t="shared" si="233"/>
        <v>0</v>
      </c>
      <c r="AK116" s="772">
        <f t="shared" si="233"/>
        <v>0</v>
      </c>
      <c r="AL116" s="772">
        <f t="shared" si="233"/>
        <v>0</v>
      </c>
      <c r="AM116" s="773">
        <f t="shared" si="234"/>
        <v>1</v>
      </c>
    </row>
    <row r="117" spans="2:39" x14ac:dyDescent="0.25">
      <c r="B117" s="250" t="str">
        <f t="shared" si="231"/>
        <v>Other</v>
      </c>
      <c r="C117" s="524"/>
      <c r="D117" s="444">
        <f t="shared" si="232"/>
        <v>0</v>
      </c>
      <c r="E117" s="444">
        <f t="shared" si="215"/>
        <v>0</v>
      </c>
      <c r="F117" s="444">
        <f t="shared" si="216"/>
        <v>0</v>
      </c>
      <c r="G117" s="444">
        <f t="shared" si="217"/>
        <v>0</v>
      </c>
      <c r="H117" s="444">
        <f t="shared" si="218"/>
        <v>0</v>
      </c>
      <c r="I117" s="444">
        <f t="shared" si="219"/>
        <v>0</v>
      </c>
      <c r="J117" s="444">
        <f t="shared" si="220"/>
        <v>0</v>
      </c>
      <c r="K117" s="444">
        <f t="shared" si="221"/>
        <v>0</v>
      </c>
      <c r="L117" s="444">
        <f t="shared" si="222"/>
        <v>0</v>
      </c>
      <c r="M117" s="444">
        <f t="shared" si="223"/>
        <v>0</v>
      </c>
      <c r="N117" s="444">
        <f t="shared" si="224"/>
        <v>0</v>
      </c>
      <c r="O117" s="444">
        <f t="shared" si="225"/>
        <v>0</v>
      </c>
      <c r="P117" s="444">
        <f t="shared" si="226"/>
        <v>0</v>
      </c>
      <c r="Q117" s="444">
        <f t="shared" si="227"/>
        <v>0</v>
      </c>
      <c r="R117" s="444">
        <f t="shared" si="228"/>
        <v>0</v>
      </c>
      <c r="S117" s="444">
        <f t="shared" si="229"/>
        <v>0</v>
      </c>
      <c r="U117" s="788"/>
      <c r="V117" s="775"/>
      <c r="X117" s="772">
        <f t="shared" si="233"/>
        <v>1</v>
      </c>
      <c r="Y117" s="772">
        <f t="shared" si="233"/>
        <v>0</v>
      </c>
      <c r="Z117" s="772">
        <f t="shared" si="233"/>
        <v>0</v>
      </c>
      <c r="AA117" s="772">
        <f t="shared" si="233"/>
        <v>0</v>
      </c>
      <c r="AB117" s="772">
        <f t="shared" si="233"/>
        <v>0</v>
      </c>
      <c r="AC117" s="772">
        <f t="shared" si="233"/>
        <v>0</v>
      </c>
      <c r="AD117" s="772">
        <f>AD$6</f>
        <v>0</v>
      </c>
      <c r="AE117" s="772">
        <f t="shared" si="233"/>
        <v>0</v>
      </c>
      <c r="AF117" s="772">
        <f t="shared" si="233"/>
        <v>0</v>
      </c>
      <c r="AG117" s="772">
        <f t="shared" si="233"/>
        <v>0</v>
      </c>
      <c r="AH117" s="772">
        <f t="shared" si="233"/>
        <v>0</v>
      </c>
      <c r="AI117" s="772">
        <f t="shared" si="233"/>
        <v>0</v>
      </c>
      <c r="AJ117" s="772">
        <f t="shared" si="233"/>
        <v>0</v>
      </c>
      <c r="AK117" s="772">
        <f t="shared" si="233"/>
        <v>0</v>
      </c>
      <c r="AL117" s="772">
        <f t="shared" si="233"/>
        <v>0</v>
      </c>
      <c r="AM117" s="773">
        <f t="shared" si="234"/>
        <v>1</v>
      </c>
    </row>
    <row r="118" spans="2:39" x14ac:dyDescent="0.25">
      <c r="B118" s="131" t="s">
        <v>119</v>
      </c>
      <c r="C118" s="525"/>
      <c r="D118" s="681">
        <f>SUM(D106:D117)</f>
        <v>0</v>
      </c>
      <c r="E118" s="681">
        <f t="shared" ref="E118" si="235">SUM(E106:E117)</f>
        <v>0</v>
      </c>
      <c r="F118" s="681">
        <f t="shared" ref="F118" si="236">SUM(F106:F117)</f>
        <v>0</v>
      </c>
      <c r="G118" s="681">
        <f t="shared" ref="G118" si="237">SUM(G106:G117)</f>
        <v>0</v>
      </c>
      <c r="H118" s="681">
        <f t="shared" ref="H118" si="238">SUM(H106:H117)</f>
        <v>0</v>
      </c>
      <c r="I118" s="681">
        <f t="shared" ref="I118" si="239">SUM(I106:I117)</f>
        <v>0</v>
      </c>
      <c r="J118" s="681">
        <f t="shared" ref="J118" si="240">SUM(J106:J117)</f>
        <v>0</v>
      </c>
      <c r="K118" s="681">
        <f t="shared" ref="K118" si="241">SUM(K106:K117)</f>
        <v>0</v>
      </c>
      <c r="L118" s="681">
        <f t="shared" ref="L118" si="242">SUM(L106:L117)</f>
        <v>0</v>
      </c>
      <c r="M118" s="681">
        <f t="shared" ref="M118" si="243">SUM(M106:M117)</f>
        <v>0</v>
      </c>
      <c r="N118" s="681">
        <f t="shared" ref="N118" si="244">SUM(N106:N117)</f>
        <v>0</v>
      </c>
      <c r="O118" s="681">
        <f t="shared" ref="O118" si="245">SUM(O106:O117)</f>
        <v>0</v>
      </c>
      <c r="P118" s="681">
        <f t="shared" ref="P118" si="246">SUM(P106:P117)</f>
        <v>0</v>
      </c>
      <c r="Q118" s="681">
        <f t="shared" ref="Q118" si="247">SUM(Q106:Q117)</f>
        <v>0</v>
      </c>
      <c r="R118" s="681">
        <f t="shared" ref="R118" si="248">SUM(R106:R117)</f>
        <v>0</v>
      </c>
      <c r="S118" s="681">
        <f t="shared" ref="S118" si="249">SUM(S106:S117)</f>
        <v>0</v>
      </c>
      <c r="U118" s="776">
        <f>SUM(U106:U117)</f>
        <v>0</v>
      </c>
      <c r="V118" s="782">
        <f>SUM(V106:V117)</f>
        <v>0</v>
      </c>
    </row>
    <row r="120" spans="2:39" x14ac:dyDescent="0.25">
      <c r="B120" s="441" t="s">
        <v>150</v>
      </c>
      <c r="C120" s="523"/>
      <c r="V120" s="786"/>
      <c r="X120" s="764" t="s">
        <v>99</v>
      </c>
    </row>
    <row r="121" spans="2:39" x14ac:dyDescent="0.25">
      <c r="B121" s="441" t="s">
        <v>103</v>
      </c>
      <c r="C121" s="441" t="s">
        <v>104</v>
      </c>
      <c r="D121" s="121" t="str">
        <f>D$9</f>
        <v>Z01</v>
      </c>
      <c r="E121" s="121" t="str">
        <f t="shared" ref="E121:R121" si="250">E$9</f>
        <v>Z02</v>
      </c>
      <c r="F121" s="121" t="str">
        <f t="shared" si="250"/>
        <v>Z03</v>
      </c>
      <c r="G121" s="121" t="str">
        <f t="shared" si="250"/>
        <v>Z04</v>
      </c>
      <c r="H121" s="121" t="str">
        <f t="shared" si="250"/>
        <v>Z05</v>
      </c>
      <c r="I121" s="121" t="str">
        <f t="shared" si="250"/>
        <v>Z06</v>
      </c>
      <c r="J121" s="121" t="str">
        <f t="shared" si="250"/>
        <v>Z07</v>
      </c>
      <c r="K121" s="121" t="str">
        <f t="shared" si="250"/>
        <v>Z08</v>
      </c>
      <c r="L121" s="121" t="str">
        <f t="shared" si="250"/>
        <v>Z09</v>
      </c>
      <c r="M121" s="121" t="str">
        <f t="shared" si="250"/>
        <v>Z10</v>
      </c>
      <c r="N121" s="121" t="str">
        <f t="shared" si="250"/>
        <v>Z11</v>
      </c>
      <c r="O121" s="121" t="str">
        <f t="shared" si="250"/>
        <v>Z12</v>
      </c>
      <c r="P121" s="121" t="str">
        <f t="shared" si="250"/>
        <v>Z13</v>
      </c>
      <c r="Q121" s="121" t="str">
        <f t="shared" si="250"/>
        <v>Z14</v>
      </c>
      <c r="R121" s="121" t="str">
        <f t="shared" si="250"/>
        <v>Z15</v>
      </c>
      <c r="S121" s="121" t="s">
        <v>100</v>
      </c>
      <c r="U121" s="769" t="s">
        <v>105</v>
      </c>
      <c r="V121" s="769" t="str">
        <f>V$9</f>
        <v>City vehicles</v>
      </c>
      <c r="X121" s="766" t="str">
        <f t="shared" ref="X121:AL121" si="251">D121</f>
        <v>Z01</v>
      </c>
      <c r="Y121" s="766" t="str">
        <f t="shared" si="251"/>
        <v>Z02</v>
      </c>
      <c r="Z121" s="766" t="str">
        <f t="shared" si="251"/>
        <v>Z03</v>
      </c>
      <c r="AA121" s="766" t="str">
        <f t="shared" si="251"/>
        <v>Z04</v>
      </c>
      <c r="AB121" s="766" t="str">
        <f t="shared" si="251"/>
        <v>Z05</v>
      </c>
      <c r="AC121" s="766" t="str">
        <f t="shared" si="251"/>
        <v>Z06</v>
      </c>
      <c r="AD121" s="766" t="str">
        <f t="shared" si="251"/>
        <v>Z07</v>
      </c>
      <c r="AE121" s="766" t="str">
        <f t="shared" si="251"/>
        <v>Z08</v>
      </c>
      <c r="AF121" s="766" t="str">
        <f t="shared" si="251"/>
        <v>Z09</v>
      </c>
      <c r="AG121" s="766" t="str">
        <f t="shared" si="251"/>
        <v>Z10</v>
      </c>
      <c r="AH121" s="766" t="str">
        <f t="shared" si="251"/>
        <v>Z11</v>
      </c>
      <c r="AI121" s="766" t="str">
        <f t="shared" si="251"/>
        <v>Z12</v>
      </c>
      <c r="AJ121" s="766" t="str">
        <f t="shared" si="251"/>
        <v>Z13</v>
      </c>
      <c r="AK121" s="766" t="str">
        <f t="shared" si="251"/>
        <v>Z14</v>
      </c>
      <c r="AL121" s="766" t="str">
        <f t="shared" si="251"/>
        <v>Z15</v>
      </c>
      <c r="AM121" s="766" t="s">
        <v>100</v>
      </c>
    </row>
    <row r="122" spans="2:39" x14ac:dyDescent="0.25">
      <c r="B122" s="245" t="str">
        <f>B106</f>
        <v>Biodiesel</v>
      </c>
      <c r="C122" s="286" t="s">
        <v>151</v>
      </c>
      <c r="D122" s="680">
        <f>$V122*X122</f>
        <v>0</v>
      </c>
      <c r="E122" s="680">
        <f t="shared" ref="E122:E133" si="252">$V122*Y122</f>
        <v>0</v>
      </c>
      <c r="F122" s="680">
        <f t="shared" ref="F122:F133" si="253">$V122*Z122</f>
        <v>0</v>
      </c>
      <c r="G122" s="680">
        <f t="shared" ref="G122:G133" si="254">$V122*AA122</f>
        <v>0</v>
      </c>
      <c r="H122" s="680">
        <f t="shared" ref="H122:H133" si="255">$V122*AB122</f>
        <v>0</v>
      </c>
      <c r="I122" s="680">
        <f t="shared" ref="I122:I133" si="256">$V122*AC122</f>
        <v>0</v>
      </c>
      <c r="J122" s="680">
        <f t="shared" ref="J122:J133" si="257">$V122*AD122</f>
        <v>0</v>
      </c>
      <c r="K122" s="680">
        <f t="shared" ref="K122:K133" si="258">$V122*AE122</f>
        <v>0</v>
      </c>
      <c r="L122" s="680">
        <f t="shared" ref="L122:L133" si="259">$V122*AF122</f>
        <v>0</v>
      </c>
      <c r="M122" s="680">
        <f t="shared" ref="M122:M133" si="260">$V122*AG122</f>
        <v>0</v>
      </c>
      <c r="N122" s="680">
        <f t="shared" ref="N122:N133" si="261">$V122*AH122</f>
        <v>0</v>
      </c>
      <c r="O122" s="680">
        <f t="shared" ref="O122:O133" si="262">$V122*AI122</f>
        <v>0</v>
      </c>
      <c r="P122" s="680">
        <f t="shared" ref="P122:P133" si="263">$V122*AJ122</f>
        <v>0</v>
      </c>
      <c r="Q122" s="680">
        <f t="shared" ref="Q122:Q133" si="264">$V122*AK122</f>
        <v>0</v>
      </c>
      <c r="R122" s="680">
        <f t="shared" ref="R122:R133" si="265">$V122*AL122</f>
        <v>0</v>
      </c>
      <c r="S122" s="680">
        <f t="shared" ref="S122:S133" si="266">$V122*AM122</f>
        <v>0</v>
      </c>
      <c r="U122" s="770"/>
      <c r="V122" s="771"/>
      <c r="X122" s="772">
        <f>X$6</f>
        <v>1</v>
      </c>
      <c r="Y122" s="772">
        <f t="shared" ref="Y122:AL122" si="267">Y$6</f>
        <v>0</v>
      </c>
      <c r="Z122" s="772">
        <f t="shared" si="267"/>
        <v>0</v>
      </c>
      <c r="AA122" s="772">
        <f t="shared" si="267"/>
        <v>0</v>
      </c>
      <c r="AB122" s="772">
        <f t="shared" si="267"/>
        <v>0</v>
      </c>
      <c r="AC122" s="772">
        <f t="shared" si="267"/>
        <v>0</v>
      </c>
      <c r="AD122" s="772">
        <f t="shared" si="267"/>
        <v>0</v>
      </c>
      <c r="AE122" s="772">
        <f t="shared" si="267"/>
        <v>0</v>
      </c>
      <c r="AF122" s="772">
        <f t="shared" si="267"/>
        <v>0</v>
      </c>
      <c r="AG122" s="772">
        <f t="shared" si="267"/>
        <v>0</v>
      </c>
      <c r="AH122" s="772">
        <f t="shared" si="267"/>
        <v>0</v>
      </c>
      <c r="AI122" s="772">
        <f t="shared" si="267"/>
        <v>0</v>
      </c>
      <c r="AJ122" s="772">
        <f t="shared" si="267"/>
        <v>0</v>
      </c>
      <c r="AK122" s="772">
        <f t="shared" si="267"/>
        <v>0</v>
      </c>
      <c r="AL122" s="772">
        <f t="shared" si="267"/>
        <v>0</v>
      </c>
      <c r="AM122" s="773">
        <f>SUM(X122:AI122)</f>
        <v>1</v>
      </c>
    </row>
    <row r="123" spans="2:39" x14ac:dyDescent="0.25">
      <c r="B123" s="245" t="str">
        <f t="shared" ref="B123:B133" si="268">B107</f>
        <v>Diesel</v>
      </c>
      <c r="C123" s="286" t="s">
        <v>152</v>
      </c>
      <c r="D123" s="680">
        <f t="shared" ref="D123:D133" si="269">$V123*X123</f>
        <v>0</v>
      </c>
      <c r="E123" s="680">
        <f t="shared" si="252"/>
        <v>0</v>
      </c>
      <c r="F123" s="680">
        <f t="shared" si="253"/>
        <v>0</v>
      </c>
      <c r="G123" s="680">
        <f t="shared" si="254"/>
        <v>0</v>
      </c>
      <c r="H123" s="680">
        <f t="shared" si="255"/>
        <v>0</v>
      </c>
      <c r="I123" s="680">
        <f t="shared" si="256"/>
        <v>0</v>
      </c>
      <c r="J123" s="680">
        <f t="shared" si="257"/>
        <v>0</v>
      </c>
      <c r="K123" s="680">
        <f t="shared" si="258"/>
        <v>0</v>
      </c>
      <c r="L123" s="680">
        <f t="shared" si="259"/>
        <v>0</v>
      </c>
      <c r="M123" s="680">
        <f t="shared" si="260"/>
        <v>0</v>
      </c>
      <c r="N123" s="680">
        <f t="shared" si="261"/>
        <v>0</v>
      </c>
      <c r="O123" s="680">
        <f t="shared" si="262"/>
        <v>0</v>
      </c>
      <c r="P123" s="680">
        <f t="shared" si="263"/>
        <v>0</v>
      </c>
      <c r="Q123" s="680">
        <f t="shared" si="264"/>
        <v>0</v>
      </c>
      <c r="R123" s="680">
        <f t="shared" si="265"/>
        <v>0</v>
      </c>
      <c r="S123" s="680">
        <f t="shared" si="266"/>
        <v>0</v>
      </c>
      <c r="U123" s="770"/>
      <c r="V123" s="771"/>
      <c r="X123" s="772">
        <f t="shared" ref="X123:AL133" si="270">X$6</f>
        <v>1</v>
      </c>
      <c r="Y123" s="772">
        <f t="shared" si="270"/>
        <v>0</v>
      </c>
      <c r="Z123" s="772">
        <f t="shared" si="270"/>
        <v>0</v>
      </c>
      <c r="AA123" s="772">
        <f t="shared" si="270"/>
        <v>0</v>
      </c>
      <c r="AB123" s="772">
        <f t="shared" si="270"/>
        <v>0</v>
      </c>
      <c r="AC123" s="772">
        <f t="shared" si="270"/>
        <v>0</v>
      </c>
      <c r="AD123" s="772">
        <f t="shared" si="270"/>
        <v>0</v>
      </c>
      <c r="AE123" s="772">
        <f t="shared" si="270"/>
        <v>0</v>
      </c>
      <c r="AF123" s="772">
        <f t="shared" si="270"/>
        <v>0</v>
      </c>
      <c r="AG123" s="772">
        <f t="shared" si="270"/>
        <v>0</v>
      </c>
      <c r="AH123" s="772">
        <f t="shared" si="270"/>
        <v>0</v>
      </c>
      <c r="AI123" s="772">
        <f t="shared" si="270"/>
        <v>0</v>
      </c>
      <c r="AJ123" s="772">
        <f t="shared" si="270"/>
        <v>0</v>
      </c>
      <c r="AK123" s="772">
        <f t="shared" si="270"/>
        <v>0</v>
      </c>
      <c r="AL123" s="772">
        <f t="shared" si="270"/>
        <v>0</v>
      </c>
      <c r="AM123" s="773">
        <f>SUM(X123:AI123)</f>
        <v>1</v>
      </c>
    </row>
    <row r="124" spans="2:39" x14ac:dyDescent="0.25">
      <c r="B124" s="245" t="str">
        <f t="shared" si="268"/>
        <v>Battery electric (BEV)</v>
      </c>
      <c r="C124" s="286" t="s">
        <v>153</v>
      </c>
      <c r="D124" s="680">
        <f t="shared" si="269"/>
        <v>0</v>
      </c>
      <c r="E124" s="680">
        <f t="shared" si="252"/>
        <v>0</v>
      </c>
      <c r="F124" s="680">
        <f t="shared" si="253"/>
        <v>0</v>
      </c>
      <c r="G124" s="680">
        <f t="shared" si="254"/>
        <v>0</v>
      </c>
      <c r="H124" s="680">
        <f t="shared" si="255"/>
        <v>0</v>
      </c>
      <c r="I124" s="680">
        <f t="shared" si="256"/>
        <v>0</v>
      </c>
      <c r="J124" s="680">
        <f t="shared" si="257"/>
        <v>0</v>
      </c>
      <c r="K124" s="680">
        <f t="shared" si="258"/>
        <v>0</v>
      </c>
      <c r="L124" s="680">
        <f t="shared" si="259"/>
        <v>0</v>
      </c>
      <c r="M124" s="680">
        <f t="shared" si="260"/>
        <v>0</v>
      </c>
      <c r="N124" s="680">
        <f t="shared" si="261"/>
        <v>0</v>
      </c>
      <c r="O124" s="680">
        <f t="shared" si="262"/>
        <v>0</v>
      </c>
      <c r="P124" s="680">
        <f t="shared" si="263"/>
        <v>0</v>
      </c>
      <c r="Q124" s="680">
        <f t="shared" si="264"/>
        <v>0</v>
      </c>
      <c r="R124" s="680">
        <f t="shared" si="265"/>
        <v>0</v>
      </c>
      <c r="S124" s="680">
        <f t="shared" si="266"/>
        <v>0</v>
      </c>
      <c r="U124" s="770"/>
      <c r="V124" s="771"/>
      <c r="X124" s="772">
        <f t="shared" si="270"/>
        <v>1</v>
      </c>
      <c r="Y124" s="772">
        <f t="shared" si="270"/>
        <v>0</v>
      </c>
      <c r="Z124" s="772">
        <f t="shared" si="270"/>
        <v>0</v>
      </c>
      <c r="AA124" s="772">
        <f t="shared" si="270"/>
        <v>0</v>
      </c>
      <c r="AB124" s="772">
        <f t="shared" si="270"/>
        <v>0</v>
      </c>
      <c r="AC124" s="772">
        <f t="shared" si="270"/>
        <v>0</v>
      </c>
      <c r="AD124" s="772">
        <f t="shared" si="270"/>
        <v>0</v>
      </c>
      <c r="AE124" s="772">
        <f t="shared" si="270"/>
        <v>0</v>
      </c>
      <c r="AF124" s="772">
        <f t="shared" si="270"/>
        <v>0</v>
      </c>
      <c r="AG124" s="772">
        <f t="shared" si="270"/>
        <v>0</v>
      </c>
      <c r="AH124" s="772">
        <f t="shared" si="270"/>
        <v>0</v>
      </c>
      <c r="AI124" s="772">
        <f t="shared" si="270"/>
        <v>0</v>
      </c>
      <c r="AJ124" s="772">
        <f t="shared" si="270"/>
        <v>0</v>
      </c>
      <c r="AK124" s="772">
        <f t="shared" si="270"/>
        <v>0</v>
      </c>
      <c r="AL124" s="772">
        <f t="shared" si="270"/>
        <v>0</v>
      </c>
      <c r="AM124" s="773">
        <f t="shared" ref="AM124:AM133" si="271">SUM(X124:AI124)</f>
        <v>1</v>
      </c>
    </row>
    <row r="125" spans="2:39" x14ac:dyDescent="0.25">
      <c r="B125" s="245" t="str">
        <f t="shared" si="268"/>
        <v>Ethanol</v>
      </c>
      <c r="C125" s="286" t="s">
        <v>154</v>
      </c>
      <c r="D125" s="680">
        <f t="shared" si="269"/>
        <v>0</v>
      </c>
      <c r="E125" s="680">
        <f t="shared" si="252"/>
        <v>0</v>
      </c>
      <c r="F125" s="680">
        <f t="shared" si="253"/>
        <v>0</v>
      </c>
      <c r="G125" s="680">
        <f t="shared" si="254"/>
        <v>0</v>
      </c>
      <c r="H125" s="680">
        <f t="shared" si="255"/>
        <v>0</v>
      </c>
      <c r="I125" s="680">
        <f t="shared" si="256"/>
        <v>0</v>
      </c>
      <c r="J125" s="680">
        <f t="shared" si="257"/>
        <v>0</v>
      </c>
      <c r="K125" s="680">
        <f t="shared" si="258"/>
        <v>0</v>
      </c>
      <c r="L125" s="680">
        <f t="shared" si="259"/>
        <v>0</v>
      </c>
      <c r="M125" s="680">
        <f t="shared" si="260"/>
        <v>0</v>
      </c>
      <c r="N125" s="680">
        <f t="shared" si="261"/>
        <v>0</v>
      </c>
      <c r="O125" s="680">
        <f t="shared" si="262"/>
        <v>0</v>
      </c>
      <c r="P125" s="680">
        <f t="shared" si="263"/>
        <v>0</v>
      </c>
      <c r="Q125" s="680">
        <f t="shared" si="264"/>
        <v>0</v>
      </c>
      <c r="R125" s="680">
        <f t="shared" si="265"/>
        <v>0</v>
      </c>
      <c r="S125" s="680">
        <f t="shared" si="266"/>
        <v>0</v>
      </c>
      <c r="U125" s="770"/>
      <c r="V125" s="771"/>
      <c r="X125" s="772">
        <f t="shared" si="270"/>
        <v>1</v>
      </c>
      <c r="Y125" s="772">
        <f t="shared" si="270"/>
        <v>0</v>
      </c>
      <c r="Z125" s="772">
        <f t="shared" si="270"/>
        <v>0</v>
      </c>
      <c r="AA125" s="772">
        <f t="shared" si="270"/>
        <v>0</v>
      </c>
      <c r="AB125" s="772">
        <f t="shared" si="270"/>
        <v>0</v>
      </c>
      <c r="AC125" s="772">
        <f t="shared" si="270"/>
        <v>0</v>
      </c>
      <c r="AD125" s="772">
        <f t="shared" si="270"/>
        <v>0</v>
      </c>
      <c r="AE125" s="772">
        <f t="shared" si="270"/>
        <v>0</v>
      </c>
      <c r="AF125" s="772">
        <f t="shared" si="270"/>
        <v>0</v>
      </c>
      <c r="AG125" s="772">
        <f t="shared" si="270"/>
        <v>0</v>
      </c>
      <c r="AH125" s="772">
        <f t="shared" si="270"/>
        <v>0</v>
      </c>
      <c r="AI125" s="772">
        <f t="shared" si="270"/>
        <v>0</v>
      </c>
      <c r="AJ125" s="772">
        <f t="shared" si="270"/>
        <v>0</v>
      </c>
      <c r="AK125" s="772">
        <f t="shared" si="270"/>
        <v>0</v>
      </c>
      <c r="AL125" s="772">
        <f t="shared" si="270"/>
        <v>0</v>
      </c>
      <c r="AM125" s="773">
        <f t="shared" si="271"/>
        <v>1</v>
      </c>
    </row>
    <row r="126" spans="2:39" x14ac:dyDescent="0.25">
      <c r="B126" s="245" t="str">
        <f t="shared" si="268"/>
        <v>Gas (CNG)</v>
      </c>
      <c r="C126" s="286" t="s">
        <v>155</v>
      </c>
      <c r="D126" s="680">
        <f t="shared" si="269"/>
        <v>0</v>
      </c>
      <c r="E126" s="680">
        <f t="shared" si="252"/>
        <v>0</v>
      </c>
      <c r="F126" s="680">
        <f t="shared" si="253"/>
        <v>0</v>
      </c>
      <c r="G126" s="680">
        <f t="shared" si="254"/>
        <v>0</v>
      </c>
      <c r="H126" s="680">
        <f t="shared" si="255"/>
        <v>0</v>
      </c>
      <c r="I126" s="680">
        <f t="shared" si="256"/>
        <v>0</v>
      </c>
      <c r="J126" s="680">
        <f t="shared" si="257"/>
        <v>0</v>
      </c>
      <c r="K126" s="680">
        <f t="shared" si="258"/>
        <v>0</v>
      </c>
      <c r="L126" s="680">
        <f t="shared" si="259"/>
        <v>0</v>
      </c>
      <c r="M126" s="680">
        <f t="shared" si="260"/>
        <v>0</v>
      </c>
      <c r="N126" s="680">
        <f t="shared" si="261"/>
        <v>0</v>
      </c>
      <c r="O126" s="680">
        <f t="shared" si="262"/>
        <v>0</v>
      </c>
      <c r="P126" s="680">
        <f t="shared" si="263"/>
        <v>0</v>
      </c>
      <c r="Q126" s="680">
        <f t="shared" si="264"/>
        <v>0</v>
      </c>
      <c r="R126" s="680">
        <f t="shared" si="265"/>
        <v>0</v>
      </c>
      <c r="S126" s="680">
        <f t="shared" si="266"/>
        <v>0</v>
      </c>
      <c r="U126" s="770"/>
      <c r="V126" s="771"/>
      <c r="X126" s="772">
        <f t="shared" si="270"/>
        <v>1</v>
      </c>
      <c r="Y126" s="772">
        <f t="shared" si="270"/>
        <v>0</v>
      </c>
      <c r="Z126" s="772">
        <f t="shared" si="270"/>
        <v>0</v>
      </c>
      <c r="AA126" s="772">
        <f t="shared" si="270"/>
        <v>0</v>
      </c>
      <c r="AB126" s="772">
        <f t="shared" si="270"/>
        <v>0</v>
      </c>
      <c r="AC126" s="772">
        <f t="shared" si="270"/>
        <v>0</v>
      </c>
      <c r="AD126" s="772">
        <f t="shared" si="270"/>
        <v>0</v>
      </c>
      <c r="AE126" s="772">
        <f t="shared" si="270"/>
        <v>0</v>
      </c>
      <c r="AF126" s="772">
        <f t="shared" si="270"/>
        <v>0</v>
      </c>
      <c r="AG126" s="772">
        <f t="shared" si="270"/>
        <v>0</v>
      </c>
      <c r="AH126" s="772">
        <f t="shared" si="270"/>
        <v>0</v>
      </c>
      <c r="AI126" s="772">
        <f t="shared" si="270"/>
        <v>0</v>
      </c>
      <c r="AJ126" s="772">
        <f t="shared" si="270"/>
        <v>0</v>
      </c>
      <c r="AK126" s="772">
        <f t="shared" si="270"/>
        <v>0</v>
      </c>
      <c r="AL126" s="772">
        <f t="shared" si="270"/>
        <v>0</v>
      </c>
      <c r="AM126" s="773">
        <f t="shared" si="271"/>
        <v>1</v>
      </c>
    </row>
    <row r="127" spans="2:39" x14ac:dyDescent="0.25">
      <c r="B127" s="245" t="str">
        <f t="shared" si="268"/>
        <v>Gasoline</v>
      </c>
      <c r="C127" s="286" t="s">
        <v>156</v>
      </c>
      <c r="D127" s="680">
        <f t="shared" si="269"/>
        <v>0</v>
      </c>
      <c r="E127" s="680">
        <f t="shared" si="252"/>
        <v>0</v>
      </c>
      <c r="F127" s="680">
        <f t="shared" si="253"/>
        <v>0</v>
      </c>
      <c r="G127" s="680">
        <f t="shared" si="254"/>
        <v>0</v>
      </c>
      <c r="H127" s="680">
        <f t="shared" si="255"/>
        <v>0</v>
      </c>
      <c r="I127" s="680">
        <f t="shared" si="256"/>
        <v>0</v>
      </c>
      <c r="J127" s="680">
        <f t="shared" si="257"/>
        <v>0</v>
      </c>
      <c r="K127" s="680">
        <f t="shared" si="258"/>
        <v>0</v>
      </c>
      <c r="L127" s="680">
        <f t="shared" si="259"/>
        <v>0</v>
      </c>
      <c r="M127" s="680">
        <f t="shared" si="260"/>
        <v>0</v>
      </c>
      <c r="N127" s="680">
        <f t="shared" si="261"/>
        <v>0</v>
      </c>
      <c r="O127" s="680">
        <f t="shared" si="262"/>
        <v>0</v>
      </c>
      <c r="P127" s="680">
        <f t="shared" si="263"/>
        <v>0</v>
      </c>
      <c r="Q127" s="680">
        <f t="shared" si="264"/>
        <v>0</v>
      </c>
      <c r="R127" s="680">
        <f t="shared" si="265"/>
        <v>0</v>
      </c>
      <c r="S127" s="680">
        <f t="shared" si="266"/>
        <v>0</v>
      </c>
      <c r="U127" s="770"/>
      <c r="V127" s="771"/>
      <c r="X127" s="772">
        <f t="shared" si="270"/>
        <v>1</v>
      </c>
      <c r="Y127" s="772">
        <f t="shared" si="270"/>
        <v>0</v>
      </c>
      <c r="Z127" s="772">
        <f t="shared" si="270"/>
        <v>0</v>
      </c>
      <c r="AA127" s="772">
        <f t="shared" si="270"/>
        <v>0</v>
      </c>
      <c r="AB127" s="772">
        <f t="shared" si="270"/>
        <v>0</v>
      </c>
      <c r="AC127" s="772">
        <f t="shared" si="270"/>
        <v>0</v>
      </c>
      <c r="AD127" s="772">
        <f t="shared" si="270"/>
        <v>0</v>
      </c>
      <c r="AE127" s="772">
        <f t="shared" si="270"/>
        <v>0</v>
      </c>
      <c r="AF127" s="772">
        <f t="shared" si="270"/>
        <v>0</v>
      </c>
      <c r="AG127" s="772">
        <f t="shared" si="270"/>
        <v>0</v>
      </c>
      <c r="AH127" s="772">
        <f t="shared" si="270"/>
        <v>0</v>
      </c>
      <c r="AI127" s="772">
        <f t="shared" si="270"/>
        <v>0</v>
      </c>
      <c r="AJ127" s="772">
        <f t="shared" si="270"/>
        <v>0</v>
      </c>
      <c r="AK127" s="772">
        <f t="shared" si="270"/>
        <v>0</v>
      </c>
      <c r="AL127" s="772">
        <f t="shared" si="270"/>
        <v>0</v>
      </c>
      <c r="AM127" s="773">
        <f t="shared" si="271"/>
        <v>1</v>
      </c>
    </row>
    <row r="128" spans="2:39" x14ac:dyDescent="0.25">
      <c r="B128" s="245" t="str">
        <f t="shared" si="268"/>
        <v>Hybrid Electric - diesel</v>
      </c>
      <c r="C128" s="286" t="s">
        <v>157</v>
      </c>
      <c r="D128" s="680">
        <f t="shared" si="269"/>
        <v>0</v>
      </c>
      <c r="E128" s="680">
        <f t="shared" si="252"/>
        <v>0</v>
      </c>
      <c r="F128" s="680">
        <f t="shared" si="253"/>
        <v>0</v>
      </c>
      <c r="G128" s="680">
        <f t="shared" si="254"/>
        <v>0</v>
      </c>
      <c r="H128" s="680">
        <f t="shared" si="255"/>
        <v>0</v>
      </c>
      <c r="I128" s="680">
        <f t="shared" si="256"/>
        <v>0</v>
      </c>
      <c r="J128" s="680">
        <f t="shared" si="257"/>
        <v>0</v>
      </c>
      <c r="K128" s="680">
        <f t="shared" si="258"/>
        <v>0</v>
      </c>
      <c r="L128" s="680">
        <f t="shared" si="259"/>
        <v>0</v>
      </c>
      <c r="M128" s="680">
        <f t="shared" si="260"/>
        <v>0</v>
      </c>
      <c r="N128" s="680">
        <f t="shared" si="261"/>
        <v>0</v>
      </c>
      <c r="O128" s="680">
        <f t="shared" si="262"/>
        <v>0</v>
      </c>
      <c r="P128" s="680">
        <f t="shared" si="263"/>
        <v>0</v>
      </c>
      <c r="Q128" s="680">
        <f t="shared" si="264"/>
        <v>0</v>
      </c>
      <c r="R128" s="680">
        <f t="shared" si="265"/>
        <v>0</v>
      </c>
      <c r="S128" s="680">
        <f t="shared" si="266"/>
        <v>0</v>
      </c>
      <c r="U128" s="770"/>
      <c r="V128" s="771"/>
      <c r="X128" s="772">
        <f t="shared" si="270"/>
        <v>1</v>
      </c>
      <c r="Y128" s="772">
        <f t="shared" si="270"/>
        <v>0</v>
      </c>
      <c r="Z128" s="772">
        <f t="shared" si="270"/>
        <v>0</v>
      </c>
      <c r="AA128" s="772">
        <f t="shared" si="270"/>
        <v>0</v>
      </c>
      <c r="AB128" s="772">
        <f t="shared" si="270"/>
        <v>0</v>
      </c>
      <c r="AC128" s="772">
        <f t="shared" si="270"/>
        <v>0</v>
      </c>
      <c r="AD128" s="772">
        <f t="shared" si="270"/>
        <v>0</v>
      </c>
      <c r="AE128" s="772">
        <f t="shared" si="270"/>
        <v>0</v>
      </c>
      <c r="AF128" s="772">
        <f t="shared" si="270"/>
        <v>0</v>
      </c>
      <c r="AG128" s="772">
        <f t="shared" si="270"/>
        <v>0</v>
      </c>
      <c r="AH128" s="772">
        <f t="shared" si="270"/>
        <v>0</v>
      </c>
      <c r="AI128" s="772">
        <f t="shared" si="270"/>
        <v>0</v>
      </c>
      <c r="AJ128" s="772">
        <f t="shared" si="270"/>
        <v>0</v>
      </c>
      <c r="AK128" s="772">
        <f t="shared" si="270"/>
        <v>0</v>
      </c>
      <c r="AL128" s="772">
        <f t="shared" si="270"/>
        <v>0</v>
      </c>
      <c r="AM128" s="773">
        <f t="shared" si="271"/>
        <v>1</v>
      </c>
    </row>
    <row r="129" spans="2:39" x14ac:dyDescent="0.25">
      <c r="B129" s="245" t="str">
        <f t="shared" si="268"/>
        <v>Hybrid Electric - gasoline</v>
      </c>
      <c r="C129" s="286" t="s">
        <v>158</v>
      </c>
      <c r="D129" s="680">
        <f t="shared" si="269"/>
        <v>0</v>
      </c>
      <c r="E129" s="680">
        <f t="shared" si="252"/>
        <v>0</v>
      </c>
      <c r="F129" s="680">
        <f t="shared" si="253"/>
        <v>0</v>
      </c>
      <c r="G129" s="680">
        <f t="shared" si="254"/>
        <v>0</v>
      </c>
      <c r="H129" s="680">
        <f t="shared" si="255"/>
        <v>0</v>
      </c>
      <c r="I129" s="680">
        <f t="shared" si="256"/>
        <v>0</v>
      </c>
      <c r="J129" s="680">
        <f t="shared" si="257"/>
        <v>0</v>
      </c>
      <c r="K129" s="680">
        <f t="shared" si="258"/>
        <v>0</v>
      </c>
      <c r="L129" s="680">
        <f t="shared" si="259"/>
        <v>0</v>
      </c>
      <c r="M129" s="680">
        <f t="shared" si="260"/>
        <v>0</v>
      </c>
      <c r="N129" s="680">
        <f t="shared" si="261"/>
        <v>0</v>
      </c>
      <c r="O129" s="680">
        <f t="shared" si="262"/>
        <v>0</v>
      </c>
      <c r="P129" s="680">
        <f t="shared" si="263"/>
        <v>0</v>
      </c>
      <c r="Q129" s="680">
        <f t="shared" si="264"/>
        <v>0</v>
      </c>
      <c r="R129" s="680">
        <f t="shared" si="265"/>
        <v>0</v>
      </c>
      <c r="S129" s="680">
        <f t="shared" si="266"/>
        <v>0</v>
      </c>
      <c r="U129" s="770"/>
      <c r="V129" s="771"/>
      <c r="X129" s="772">
        <f t="shared" si="270"/>
        <v>1</v>
      </c>
      <c r="Y129" s="772">
        <f t="shared" si="270"/>
        <v>0</v>
      </c>
      <c r="Z129" s="772">
        <f t="shared" si="270"/>
        <v>0</v>
      </c>
      <c r="AA129" s="772">
        <f t="shared" si="270"/>
        <v>0</v>
      </c>
      <c r="AB129" s="772">
        <f t="shared" si="270"/>
        <v>0</v>
      </c>
      <c r="AC129" s="772">
        <f t="shared" si="270"/>
        <v>0</v>
      </c>
      <c r="AD129" s="772">
        <f t="shared" si="270"/>
        <v>0</v>
      </c>
      <c r="AE129" s="772">
        <f t="shared" si="270"/>
        <v>0</v>
      </c>
      <c r="AF129" s="772">
        <f t="shared" si="270"/>
        <v>0</v>
      </c>
      <c r="AG129" s="772">
        <f t="shared" si="270"/>
        <v>0</v>
      </c>
      <c r="AH129" s="772">
        <f t="shared" si="270"/>
        <v>0</v>
      </c>
      <c r="AI129" s="772">
        <f t="shared" si="270"/>
        <v>0</v>
      </c>
      <c r="AJ129" s="772">
        <f t="shared" si="270"/>
        <v>0</v>
      </c>
      <c r="AK129" s="772">
        <f t="shared" si="270"/>
        <v>0</v>
      </c>
      <c r="AL129" s="772">
        <f t="shared" si="270"/>
        <v>0</v>
      </c>
      <c r="AM129" s="773">
        <f t="shared" si="271"/>
        <v>1</v>
      </c>
    </row>
    <row r="130" spans="2:39" x14ac:dyDescent="0.25">
      <c r="B130" s="245" t="str">
        <f t="shared" si="268"/>
        <v>LPG</v>
      </c>
      <c r="C130" s="286" t="s">
        <v>159</v>
      </c>
      <c r="D130" s="680">
        <f t="shared" si="269"/>
        <v>0</v>
      </c>
      <c r="E130" s="680">
        <f t="shared" si="252"/>
        <v>0</v>
      </c>
      <c r="F130" s="680">
        <f t="shared" si="253"/>
        <v>0</v>
      </c>
      <c r="G130" s="680">
        <f t="shared" si="254"/>
        <v>0</v>
      </c>
      <c r="H130" s="680">
        <f t="shared" si="255"/>
        <v>0</v>
      </c>
      <c r="I130" s="680">
        <f t="shared" si="256"/>
        <v>0</v>
      </c>
      <c r="J130" s="680">
        <f t="shared" si="257"/>
        <v>0</v>
      </c>
      <c r="K130" s="680">
        <f t="shared" si="258"/>
        <v>0</v>
      </c>
      <c r="L130" s="680">
        <f t="shared" si="259"/>
        <v>0</v>
      </c>
      <c r="M130" s="680">
        <f t="shared" si="260"/>
        <v>0</v>
      </c>
      <c r="N130" s="680">
        <f t="shared" si="261"/>
        <v>0</v>
      </c>
      <c r="O130" s="680">
        <f t="shared" si="262"/>
        <v>0</v>
      </c>
      <c r="P130" s="680">
        <f t="shared" si="263"/>
        <v>0</v>
      </c>
      <c r="Q130" s="680">
        <f t="shared" si="264"/>
        <v>0</v>
      </c>
      <c r="R130" s="680">
        <f t="shared" si="265"/>
        <v>0</v>
      </c>
      <c r="S130" s="680">
        <f t="shared" si="266"/>
        <v>0</v>
      </c>
      <c r="U130" s="770"/>
      <c r="V130" s="771"/>
      <c r="X130" s="772">
        <f t="shared" si="270"/>
        <v>1</v>
      </c>
      <c r="Y130" s="772">
        <f t="shared" si="270"/>
        <v>0</v>
      </c>
      <c r="Z130" s="772">
        <f t="shared" si="270"/>
        <v>0</v>
      </c>
      <c r="AA130" s="772">
        <f t="shared" si="270"/>
        <v>0</v>
      </c>
      <c r="AB130" s="772">
        <f t="shared" si="270"/>
        <v>0</v>
      </c>
      <c r="AC130" s="772">
        <f t="shared" si="270"/>
        <v>0</v>
      </c>
      <c r="AD130" s="772">
        <f t="shared" si="270"/>
        <v>0</v>
      </c>
      <c r="AE130" s="772">
        <f t="shared" si="270"/>
        <v>0</v>
      </c>
      <c r="AF130" s="772">
        <f t="shared" si="270"/>
        <v>0</v>
      </c>
      <c r="AG130" s="772">
        <f t="shared" si="270"/>
        <v>0</v>
      </c>
      <c r="AH130" s="772">
        <f t="shared" si="270"/>
        <v>0</v>
      </c>
      <c r="AI130" s="772">
        <f t="shared" si="270"/>
        <v>0</v>
      </c>
      <c r="AJ130" s="772">
        <f t="shared" si="270"/>
        <v>0</v>
      </c>
      <c r="AK130" s="772">
        <f t="shared" si="270"/>
        <v>0</v>
      </c>
      <c r="AL130" s="772">
        <f t="shared" si="270"/>
        <v>0</v>
      </c>
      <c r="AM130" s="773">
        <f t="shared" si="271"/>
        <v>1</v>
      </c>
    </row>
    <row r="131" spans="2:39" x14ac:dyDescent="0.25">
      <c r="B131" s="245" t="str">
        <f t="shared" si="268"/>
        <v>Plugin Hybrid Electric - diesel</v>
      </c>
      <c r="C131" s="286" t="s">
        <v>160</v>
      </c>
      <c r="D131" s="680">
        <f t="shared" si="269"/>
        <v>0</v>
      </c>
      <c r="E131" s="680">
        <f t="shared" si="252"/>
        <v>0</v>
      </c>
      <c r="F131" s="680">
        <f t="shared" si="253"/>
        <v>0</v>
      </c>
      <c r="G131" s="680">
        <f t="shared" si="254"/>
        <v>0</v>
      </c>
      <c r="H131" s="680">
        <f t="shared" si="255"/>
        <v>0</v>
      </c>
      <c r="I131" s="680">
        <f t="shared" si="256"/>
        <v>0</v>
      </c>
      <c r="J131" s="680">
        <f t="shared" si="257"/>
        <v>0</v>
      </c>
      <c r="K131" s="680">
        <f t="shared" si="258"/>
        <v>0</v>
      </c>
      <c r="L131" s="680">
        <f t="shared" si="259"/>
        <v>0</v>
      </c>
      <c r="M131" s="680">
        <f t="shared" si="260"/>
        <v>0</v>
      </c>
      <c r="N131" s="680">
        <f t="shared" si="261"/>
        <v>0</v>
      </c>
      <c r="O131" s="680">
        <f t="shared" si="262"/>
        <v>0</v>
      </c>
      <c r="P131" s="680">
        <f t="shared" si="263"/>
        <v>0</v>
      </c>
      <c r="Q131" s="680">
        <f t="shared" si="264"/>
        <v>0</v>
      </c>
      <c r="R131" s="680">
        <f t="shared" si="265"/>
        <v>0</v>
      </c>
      <c r="S131" s="680">
        <f t="shared" si="266"/>
        <v>0</v>
      </c>
      <c r="U131" s="770"/>
      <c r="V131" s="771"/>
      <c r="X131" s="772">
        <f t="shared" si="270"/>
        <v>1</v>
      </c>
      <c r="Y131" s="772">
        <f t="shared" si="270"/>
        <v>0</v>
      </c>
      <c r="Z131" s="772">
        <f t="shared" si="270"/>
        <v>0</v>
      </c>
      <c r="AA131" s="772">
        <f t="shared" si="270"/>
        <v>0</v>
      </c>
      <c r="AB131" s="772">
        <f t="shared" si="270"/>
        <v>0</v>
      </c>
      <c r="AC131" s="772">
        <f t="shared" si="270"/>
        <v>0</v>
      </c>
      <c r="AD131" s="772">
        <f t="shared" si="270"/>
        <v>0</v>
      </c>
      <c r="AE131" s="772">
        <f t="shared" si="270"/>
        <v>0</v>
      </c>
      <c r="AF131" s="772">
        <f t="shared" si="270"/>
        <v>0</v>
      </c>
      <c r="AG131" s="772">
        <f t="shared" si="270"/>
        <v>0</v>
      </c>
      <c r="AH131" s="772">
        <f t="shared" si="270"/>
        <v>0</v>
      </c>
      <c r="AI131" s="772">
        <f t="shared" si="270"/>
        <v>0</v>
      </c>
      <c r="AJ131" s="772">
        <f t="shared" si="270"/>
        <v>0</v>
      </c>
      <c r="AK131" s="772">
        <f t="shared" si="270"/>
        <v>0</v>
      </c>
      <c r="AL131" s="772">
        <f t="shared" si="270"/>
        <v>0</v>
      </c>
      <c r="AM131" s="773">
        <f t="shared" si="271"/>
        <v>1</v>
      </c>
    </row>
    <row r="132" spans="2:39" x14ac:dyDescent="0.25">
      <c r="B132" s="245" t="str">
        <f t="shared" si="268"/>
        <v>Plugin Hybrid Electric - gasoline</v>
      </c>
      <c r="C132" s="286" t="s">
        <v>161</v>
      </c>
      <c r="D132" s="680">
        <f t="shared" si="269"/>
        <v>0</v>
      </c>
      <c r="E132" s="680">
        <f t="shared" si="252"/>
        <v>0</v>
      </c>
      <c r="F132" s="680">
        <f t="shared" si="253"/>
        <v>0</v>
      </c>
      <c r="G132" s="680">
        <f t="shared" si="254"/>
        <v>0</v>
      </c>
      <c r="H132" s="680">
        <f t="shared" si="255"/>
        <v>0</v>
      </c>
      <c r="I132" s="680">
        <f t="shared" si="256"/>
        <v>0</v>
      </c>
      <c r="J132" s="680">
        <f t="shared" si="257"/>
        <v>0</v>
      </c>
      <c r="K132" s="680">
        <f t="shared" si="258"/>
        <v>0</v>
      </c>
      <c r="L132" s="680">
        <f t="shared" si="259"/>
        <v>0</v>
      </c>
      <c r="M132" s="680">
        <f t="shared" si="260"/>
        <v>0</v>
      </c>
      <c r="N132" s="680">
        <f t="shared" si="261"/>
        <v>0</v>
      </c>
      <c r="O132" s="680">
        <f t="shared" si="262"/>
        <v>0</v>
      </c>
      <c r="P132" s="680">
        <f t="shared" si="263"/>
        <v>0</v>
      </c>
      <c r="Q132" s="680">
        <f t="shared" si="264"/>
        <v>0</v>
      </c>
      <c r="R132" s="680">
        <f t="shared" si="265"/>
        <v>0</v>
      </c>
      <c r="S132" s="680">
        <f t="shared" si="266"/>
        <v>0</v>
      </c>
      <c r="U132" s="770"/>
      <c r="V132" s="771"/>
      <c r="X132" s="772">
        <f t="shared" si="270"/>
        <v>1</v>
      </c>
      <c r="Y132" s="772">
        <f t="shared" si="270"/>
        <v>0</v>
      </c>
      <c r="Z132" s="772">
        <f t="shared" si="270"/>
        <v>0</v>
      </c>
      <c r="AA132" s="772">
        <f t="shared" si="270"/>
        <v>0</v>
      </c>
      <c r="AB132" s="772">
        <f t="shared" si="270"/>
        <v>0</v>
      </c>
      <c r="AC132" s="772">
        <f t="shared" si="270"/>
        <v>0</v>
      </c>
      <c r="AD132" s="772">
        <f t="shared" si="270"/>
        <v>0</v>
      </c>
      <c r="AE132" s="772">
        <f t="shared" si="270"/>
        <v>0</v>
      </c>
      <c r="AF132" s="772">
        <f t="shared" si="270"/>
        <v>0</v>
      </c>
      <c r="AG132" s="772">
        <f t="shared" si="270"/>
        <v>0</v>
      </c>
      <c r="AH132" s="772">
        <f t="shared" si="270"/>
        <v>0</v>
      </c>
      <c r="AI132" s="772">
        <f t="shared" si="270"/>
        <v>0</v>
      </c>
      <c r="AJ132" s="772">
        <f t="shared" si="270"/>
        <v>0</v>
      </c>
      <c r="AK132" s="772">
        <f t="shared" si="270"/>
        <v>0</v>
      </c>
      <c r="AL132" s="772">
        <f t="shared" si="270"/>
        <v>0</v>
      </c>
      <c r="AM132" s="773">
        <f t="shared" si="271"/>
        <v>1</v>
      </c>
    </row>
    <row r="133" spans="2:39" x14ac:dyDescent="0.25">
      <c r="B133" s="250" t="str">
        <f t="shared" si="268"/>
        <v>Other</v>
      </c>
      <c r="C133" s="524"/>
      <c r="D133" s="444">
        <f t="shared" si="269"/>
        <v>0</v>
      </c>
      <c r="E133" s="444">
        <f t="shared" si="252"/>
        <v>0</v>
      </c>
      <c r="F133" s="444">
        <f t="shared" si="253"/>
        <v>0</v>
      </c>
      <c r="G133" s="444">
        <f t="shared" si="254"/>
        <v>0</v>
      </c>
      <c r="H133" s="444">
        <f t="shared" si="255"/>
        <v>0</v>
      </c>
      <c r="I133" s="444">
        <f t="shared" si="256"/>
        <v>0</v>
      </c>
      <c r="J133" s="444">
        <f t="shared" si="257"/>
        <v>0</v>
      </c>
      <c r="K133" s="444">
        <f t="shared" si="258"/>
        <v>0</v>
      </c>
      <c r="L133" s="444">
        <f t="shared" si="259"/>
        <v>0</v>
      </c>
      <c r="M133" s="444">
        <f t="shared" si="260"/>
        <v>0</v>
      </c>
      <c r="N133" s="444">
        <f t="shared" si="261"/>
        <v>0</v>
      </c>
      <c r="O133" s="444">
        <f t="shared" si="262"/>
        <v>0</v>
      </c>
      <c r="P133" s="444">
        <f t="shared" si="263"/>
        <v>0</v>
      </c>
      <c r="Q133" s="444">
        <f t="shared" si="264"/>
        <v>0</v>
      </c>
      <c r="R133" s="444">
        <f t="shared" si="265"/>
        <v>0</v>
      </c>
      <c r="S133" s="444">
        <f t="shared" si="266"/>
        <v>0</v>
      </c>
      <c r="U133" s="789"/>
      <c r="V133" s="775"/>
      <c r="X133" s="772">
        <f t="shared" si="270"/>
        <v>1</v>
      </c>
      <c r="Y133" s="772">
        <f t="shared" si="270"/>
        <v>0</v>
      </c>
      <c r="Z133" s="772">
        <f t="shared" si="270"/>
        <v>0</v>
      </c>
      <c r="AA133" s="772">
        <f t="shared" si="270"/>
        <v>0</v>
      </c>
      <c r="AB133" s="772">
        <f t="shared" si="270"/>
        <v>0</v>
      </c>
      <c r="AC133" s="772">
        <f t="shared" si="270"/>
        <v>0</v>
      </c>
      <c r="AD133" s="772">
        <f>AD$6</f>
        <v>0</v>
      </c>
      <c r="AE133" s="772">
        <f t="shared" si="270"/>
        <v>0</v>
      </c>
      <c r="AF133" s="772">
        <f t="shared" si="270"/>
        <v>0</v>
      </c>
      <c r="AG133" s="772">
        <f t="shared" si="270"/>
        <v>0</v>
      </c>
      <c r="AH133" s="772">
        <f t="shared" si="270"/>
        <v>0</v>
      </c>
      <c r="AI133" s="772">
        <f t="shared" si="270"/>
        <v>0</v>
      </c>
      <c r="AJ133" s="772">
        <f t="shared" si="270"/>
        <v>0</v>
      </c>
      <c r="AK133" s="772">
        <f t="shared" si="270"/>
        <v>0</v>
      </c>
      <c r="AL133" s="772">
        <f t="shared" si="270"/>
        <v>0</v>
      </c>
      <c r="AM133" s="773">
        <f t="shared" si="271"/>
        <v>1</v>
      </c>
    </row>
    <row r="134" spans="2:39" x14ac:dyDescent="0.25">
      <c r="B134" s="131" t="s">
        <v>119</v>
      </c>
      <c r="C134" s="525"/>
      <c r="D134" s="681">
        <f>SUM(D122:D133)</f>
        <v>0</v>
      </c>
      <c r="E134" s="681">
        <f>SUM(E122:E133)</f>
        <v>0</v>
      </c>
      <c r="F134" s="681">
        <f t="shared" ref="F134" si="272">SUM(F122:F133)</f>
        <v>0</v>
      </c>
      <c r="G134" s="681">
        <f t="shared" ref="G134" si="273">SUM(G122:G133)</f>
        <v>0</v>
      </c>
      <c r="H134" s="681">
        <f t="shared" ref="H134" si="274">SUM(H122:H133)</f>
        <v>0</v>
      </c>
      <c r="I134" s="681">
        <f t="shared" ref="I134" si="275">SUM(I122:I133)</f>
        <v>0</v>
      </c>
      <c r="J134" s="681">
        <f t="shared" ref="J134" si="276">SUM(J122:J133)</f>
        <v>0</v>
      </c>
      <c r="K134" s="681">
        <f t="shared" ref="K134" si="277">SUM(K122:K133)</f>
        <v>0</v>
      </c>
      <c r="L134" s="681">
        <f t="shared" ref="L134" si="278">SUM(L122:L133)</f>
        <v>0</v>
      </c>
      <c r="M134" s="681">
        <f t="shared" ref="M134" si="279">SUM(M122:M133)</f>
        <v>0</v>
      </c>
      <c r="N134" s="681">
        <f t="shared" ref="N134" si="280">SUM(N122:N133)</f>
        <v>0</v>
      </c>
      <c r="O134" s="681">
        <f t="shared" ref="O134" si="281">SUM(O122:O133)</f>
        <v>0</v>
      </c>
      <c r="P134" s="681">
        <f t="shared" ref="P134" si="282">SUM(P122:P133)</f>
        <v>0</v>
      </c>
      <c r="Q134" s="681">
        <f t="shared" ref="Q134" si="283">SUM(Q122:Q133)</f>
        <v>0</v>
      </c>
      <c r="R134" s="681">
        <f t="shared" ref="R134" si="284">SUM(R122:R133)</f>
        <v>0</v>
      </c>
      <c r="S134" s="681">
        <f t="shared" ref="S134" si="285">SUM(S122:S133)</f>
        <v>0</v>
      </c>
      <c r="U134" s="776">
        <f>SUM(U122:U133)</f>
        <v>0</v>
      </c>
      <c r="V134" s="782">
        <f>SUM(V122:V133)</f>
        <v>0</v>
      </c>
    </row>
    <row r="136" spans="2:39" x14ac:dyDescent="0.25">
      <c r="B136" s="441" t="s">
        <v>162</v>
      </c>
      <c r="C136" s="523"/>
      <c r="V136" s="786"/>
      <c r="X136" s="764" t="s">
        <v>99</v>
      </c>
    </row>
    <row r="137" spans="2:39" x14ac:dyDescent="0.25">
      <c r="B137" s="441" t="s">
        <v>103</v>
      </c>
      <c r="C137" s="441" t="s">
        <v>104</v>
      </c>
      <c r="D137" s="121" t="str">
        <f>D$9</f>
        <v>Z01</v>
      </c>
      <c r="E137" s="121" t="str">
        <f t="shared" ref="E137:R137" si="286">E$9</f>
        <v>Z02</v>
      </c>
      <c r="F137" s="121" t="str">
        <f t="shared" si="286"/>
        <v>Z03</v>
      </c>
      <c r="G137" s="121" t="str">
        <f t="shared" si="286"/>
        <v>Z04</v>
      </c>
      <c r="H137" s="121" t="str">
        <f t="shared" si="286"/>
        <v>Z05</v>
      </c>
      <c r="I137" s="121" t="str">
        <f t="shared" si="286"/>
        <v>Z06</v>
      </c>
      <c r="J137" s="121" t="str">
        <f t="shared" si="286"/>
        <v>Z07</v>
      </c>
      <c r="K137" s="121" t="str">
        <f t="shared" si="286"/>
        <v>Z08</v>
      </c>
      <c r="L137" s="121" t="str">
        <f t="shared" si="286"/>
        <v>Z09</v>
      </c>
      <c r="M137" s="121" t="str">
        <f t="shared" si="286"/>
        <v>Z10</v>
      </c>
      <c r="N137" s="121" t="str">
        <f t="shared" si="286"/>
        <v>Z11</v>
      </c>
      <c r="O137" s="121" t="str">
        <f t="shared" si="286"/>
        <v>Z12</v>
      </c>
      <c r="P137" s="121" t="str">
        <f t="shared" si="286"/>
        <v>Z13</v>
      </c>
      <c r="Q137" s="121" t="str">
        <f t="shared" si="286"/>
        <v>Z14</v>
      </c>
      <c r="R137" s="121" t="str">
        <f t="shared" si="286"/>
        <v>Z15</v>
      </c>
      <c r="S137" s="121" t="s">
        <v>100</v>
      </c>
      <c r="U137" s="769" t="s">
        <v>105</v>
      </c>
      <c r="V137" s="769" t="str">
        <f>V$9</f>
        <v>City vehicles</v>
      </c>
      <c r="X137" s="766" t="str">
        <f t="shared" ref="X137:AL137" si="287">D137</f>
        <v>Z01</v>
      </c>
      <c r="Y137" s="766" t="str">
        <f t="shared" si="287"/>
        <v>Z02</v>
      </c>
      <c r="Z137" s="766" t="str">
        <f t="shared" si="287"/>
        <v>Z03</v>
      </c>
      <c r="AA137" s="766" t="str">
        <f t="shared" si="287"/>
        <v>Z04</v>
      </c>
      <c r="AB137" s="766" t="str">
        <f t="shared" si="287"/>
        <v>Z05</v>
      </c>
      <c r="AC137" s="766" t="str">
        <f t="shared" si="287"/>
        <v>Z06</v>
      </c>
      <c r="AD137" s="766" t="str">
        <f t="shared" si="287"/>
        <v>Z07</v>
      </c>
      <c r="AE137" s="766" t="str">
        <f t="shared" si="287"/>
        <v>Z08</v>
      </c>
      <c r="AF137" s="766" t="str">
        <f t="shared" si="287"/>
        <v>Z09</v>
      </c>
      <c r="AG137" s="766" t="str">
        <f t="shared" si="287"/>
        <v>Z10</v>
      </c>
      <c r="AH137" s="766" t="str">
        <f t="shared" si="287"/>
        <v>Z11</v>
      </c>
      <c r="AI137" s="766" t="str">
        <f t="shared" si="287"/>
        <v>Z12</v>
      </c>
      <c r="AJ137" s="766" t="str">
        <f t="shared" si="287"/>
        <v>Z13</v>
      </c>
      <c r="AK137" s="766" t="str">
        <f t="shared" si="287"/>
        <v>Z14</v>
      </c>
      <c r="AL137" s="766" t="str">
        <f t="shared" si="287"/>
        <v>Z15</v>
      </c>
      <c r="AM137" s="766" t="s">
        <v>100</v>
      </c>
    </row>
    <row r="138" spans="2:39" x14ac:dyDescent="0.25">
      <c r="B138" s="245" t="s">
        <v>163</v>
      </c>
      <c r="C138" s="286" t="str">
        <f>T_NCAP_AF!C297</f>
        <v>TYEP900</v>
      </c>
      <c r="D138" s="680">
        <f>$V138*X138</f>
        <v>0</v>
      </c>
      <c r="E138" s="680">
        <f t="shared" ref="E138:E139" si="288">$V138*Y138</f>
        <v>0</v>
      </c>
      <c r="F138" s="680">
        <f t="shared" ref="F138:F139" si="289">$V138*Z138</f>
        <v>0</v>
      </c>
      <c r="G138" s="680">
        <f t="shared" ref="G138:G139" si="290">$V138*AA138</f>
        <v>0</v>
      </c>
      <c r="H138" s="680">
        <f t="shared" ref="H138:H139" si="291">$V138*AB138</f>
        <v>0</v>
      </c>
      <c r="I138" s="680">
        <f t="shared" ref="I138:I139" si="292">$V138*AC138</f>
        <v>0</v>
      </c>
      <c r="J138" s="680">
        <f t="shared" ref="J138:J139" si="293">$V138*AD138</f>
        <v>0</v>
      </c>
      <c r="K138" s="680">
        <f t="shared" ref="K138:K139" si="294">$V138*AE138</f>
        <v>0</v>
      </c>
      <c r="L138" s="680">
        <f t="shared" ref="L138:L139" si="295">$V138*AF138</f>
        <v>0</v>
      </c>
      <c r="M138" s="680">
        <f t="shared" ref="M138:M139" si="296">$V138*AG138</f>
        <v>0</v>
      </c>
      <c r="N138" s="680">
        <f t="shared" ref="N138:N139" si="297">$V138*AH138</f>
        <v>0</v>
      </c>
      <c r="O138" s="680">
        <f t="shared" ref="O138:O139" si="298">$V138*AI138</f>
        <v>0</v>
      </c>
      <c r="P138" s="680">
        <f t="shared" ref="P138:P139" si="299">$V138*AJ138</f>
        <v>0</v>
      </c>
      <c r="Q138" s="680">
        <f t="shared" ref="Q138:Q139" si="300">$V138*AK138</f>
        <v>0</v>
      </c>
      <c r="R138" s="680">
        <f t="shared" ref="R138:R139" si="301">$V138*AL138</f>
        <v>0</v>
      </c>
      <c r="S138" s="680">
        <f t="shared" ref="S138:S139" si="302">$V138*AM138</f>
        <v>0</v>
      </c>
      <c r="U138" s="790"/>
      <c r="V138" s="790"/>
      <c r="X138" s="772">
        <f t="shared" ref="X138:AL139" si="303">X$6</f>
        <v>1</v>
      </c>
      <c r="Y138" s="772">
        <f t="shared" si="303"/>
        <v>0</v>
      </c>
      <c r="Z138" s="772">
        <f t="shared" si="303"/>
        <v>0</v>
      </c>
      <c r="AA138" s="772">
        <f t="shared" si="303"/>
        <v>0</v>
      </c>
      <c r="AB138" s="772">
        <f t="shared" si="303"/>
        <v>0</v>
      </c>
      <c r="AC138" s="772">
        <f t="shared" si="303"/>
        <v>0</v>
      </c>
      <c r="AD138" s="772">
        <f t="shared" si="303"/>
        <v>0</v>
      </c>
      <c r="AE138" s="772">
        <f t="shared" si="303"/>
        <v>0</v>
      </c>
      <c r="AF138" s="772">
        <f t="shared" si="303"/>
        <v>0</v>
      </c>
      <c r="AG138" s="772">
        <f t="shared" si="303"/>
        <v>0</v>
      </c>
      <c r="AH138" s="772">
        <f t="shared" si="303"/>
        <v>0</v>
      </c>
      <c r="AI138" s="772">
        <f t="shared" si="303"/>
        <v>0</v>
      </c>
      <c r="AJ138" s="772">
        <f t="shared" si="303"/>
        <v>0</v>
      </c>
      <c r="AK138" s="772">
        <f t="shared" si="303"/>
        <v>0</v>
      </c>
      <c r="AL138" s="772">
        <f t="shared" si="303"/>
        <v>0</v>
      </c>
      <c r="AM138" s="773">
        <f t="shared" ref="AM138:AM139" si="304">SUM(X138:AI138)</f>
        <v>1</v>
      </c>
    </row>
    <row r="139" spans="2:39" x14ac:dyDescent="0.25">
      <c r="B139" s="250" t="s">
        <v>164</v>
      </c>
      <c r="C139" s="524" t="str">
        <f>T_NCAP_AF!C306</f>
        <v>TYNP900</v>
      </c>
      <c r="D139" s="444">
        <f t="shared" ref="D139" si="305">$V139*X139</f>
        <v>0</v>
      </c>
      <c r="E139" s="444">
        <f t="shared" si="288"/>
        <v>0</v>
      </c>
      <c r="F139" s="444">
        <f t="shared" si="289"/>
        <v>0</v>
      </c>
      <c r="G139" s="444">
        <f t="shared" si="290"/>
        <v>0</v>
      </c>
      <c r="H139" s="444">
        <f t="shared" si="291"/>
        <v>0</v>
      </c>
      <c r="I139" s="444">
        <f t="shared" si="292"/>
        <v>0</v>
      </c>
      <c r="J139" s="444">
        <f t="shared" si="293"/>
        <v>0</v>
      </c>
      <c r="K139" s="444">
        <f t="shared" si="294"/>
        <v>0</v>
      </c>
      <c r="L139" s="444">
        <f t="shared" si="295"/>
        <v>0</v>
      </c>
      <c r="M139" s="444">
        <f t="shared" si="296"/>
        <v>0</v>
      </c>
      <c r="N139" s="444">
        <f t="shared" si="297"/>
        <v>0</v>
      </c>
      <c r="O139" s="444">
        <f t="shared" si="298"/>
        <v>0</v>
      </c>
      <c r="P139" s="444">
        <f t="shared" si="299"/>
        <v>0</v>
      </c>
      <c r="Q139" s="444">
        <f t="shared" si="300"/>
        <v>0</v>
      </c>
      <c r="R139" s="444">
        <f t="shared" si="301"/>
        <v>0</v>
      </c>
      <c r="S139" s="444">
        <f t="shared" si="302"/>
        <v>0</v>
      </c>
      <c r="U139" s="791"/>
      <c r="V139" s="791"/>
      <c r="X139" s="772">
        <f t="shared" si="303"/>
        <v>1</v>
      </c>
      <c r="Y139" s="772">
        <f t="shared" si="303"/>
        <v>0</v>
      </c>
      <c r="Z139" s="772">
        <f t="shared" si="303"/>
        <v>0</v>
      </c>
      <c r="AA139" s="772">
        <f t="shared" si="303"/>
        <v>0</v>
      </c>
      <c r="AB139" s="772">
        <f t="shared" si="303"/>
        <v>0</v>
      </c>
      <c r="AC139" s="772">
        <f t="shared" si="303"/>
        <v>0</v>
      </c>
      <c r="AD139" s="772">
        <f>AD$6</f>
        <v>0</v>
      </c>
      <c r="AE139" s="772">
        <f t="shared" si="303"/>
        <v>0</v>
      </c>
      <c r="AF139" s="772">
        <f t="shared" si="303"/>
        <v>0</v>
      </c>
      <c r="AG139" s="772">
        <f t="shared" si="303"/>
        <v>0</v>
      </c>
      <c r="AH139" s="772">
        <f t="shared" si="303"/>
        <v>0</v>
      </c>
      <c r="AI139" s="772">
        <f t="shared" si="303"/>
        <v>0</v>
      </c>
      <c r="AJ139" s="772">
        <f t="shared" si="303"/>
        <v>0</v>
      </c>
      <c r="AK139" s="772">
        <f t="shared" si="303"/>
        <v>0</v>
      </c>
      <c r="AL139" s="772">
        <f t="shared" si="303"/>
        <v>0</v>
      </c>
      <c r="AM139" s="773">
        <f t="shared" si="304"/>
        <v>1</v>
      </c>
    </row>
    <row r="140" spans="2:39" x14ac:dyDescent="0.25">
      <c r="B140" s="131" t="s">
        <v>119</v>
      </c>
      <c r="C140" s="525"/>
      <c r="D140" s="681">
        <f>SUM(D138:D139)</f>
        <v>0</v>
      </c>
      <c r="E140" s="681">
        <f t="shared" ref="E140:S140" si="306">SUM(E138:E139)</f>
        <v>0</v>
      </c>
      <c r="F140" s="681">
        <f t="shared" si="306"/>
        <v>0</v>
      </c>
      <c r="G140" s="681">
        <f t="shared" si="306"/>
        <v>0</v>
      </c>
      <c r="H140" s="681">
        <f t="shared" si="306"/>
        <v>0</v>
      </c>
      <c r="I140" s="681">
        <f t="shared" si="306"/>
        <v>0</v>
      </c>
      <c r="J140" s="681">
        <f t="shared" si="306"/>
        <v>0</v>
      </c>
      <c r="K140" s="681">
        <f t="shared" si="306"/>
        <v>0</v>
      </c>
      <c r="L140" s="681">
        <f t="shared" si="306"/>
        <v>0</v>
      </c>
      <c r="M140" s="681">
        <f t="shared" si="306"/>
        <v>0</v>
      </c>
      <c r="N140" s="681">
        <f t="shared" si="306"/>
        <v>0</v>
      </c>
      <c r="O140" s="681">
        <f t="shared" si="306"/>
        <v>0</v>
      </c>
      <c r="P140" s="681">
        <f t="shared" si="306"/>
        <v>0</v>
      </c>
      <c r="Q140" s="681">
        <f t="shared" si="306"/>
        <v>0</v>
      </c>
      <c r="R140" s="681">
        <f t="shared" si="306"/>
        <v>0</v>
      </c>
      <c r="S140" s="681">
        <f t="shared" si="306"/>
        <v>0</v>
      </c>
      <c r="U140" s="776">
        <f>SUM(U138:U139)</f>
        <v>0</v>
      </c>
      <c r="V140" s="759">
        <f>SUM(V138:V139)</f>
        <v>0</v>
      </c>
    </row>
    <row r="142" spans="2:39" x14ac:dyDescent="0.25">
      <c r="B142" s="441" t="s">
        <v>165</v>
      </c>
      <c r="C142" s="523"/>
      <c r="V142" s="786"/>
      <c r="X142" s="764" t="s">
        <v>99</v>
      </c>
    </row>
    <row r="143" spans="2:39" x14ac:dyDescent="0.25">
      <c r="B143" s="441" t="s">
        <v>103</v>
      </c>
      <c r="C143" s="441" t="s">
        <v>104</v>
      </c>
      <c r="D143" s="121" t="str">
        <f>D$9</f>
        <v>Z01</v>
      </c>
      <c r="E143" s="121" t="str">
        <f t="shared" ref="E143:R143" si="307">E$9</f>
        <v>Z02</v>
      </c>
      <c r="F143" s="121" t="str">
        <f t="shared" si="307"/>
        <v>Z03</v>
      </c>
      <c r="G143" s="121" t="str">
        <f t="shared" si="307"/>
        <v>Z04</v>
      </c>
      <c r="H143" s="121" t="str">
        <f t="shared" si="307"/>
        <v>Z05</v>
      </c>
      <c r="I143" s="121" t="str">
        <f t="shared" si="307"/>
        <v>Z06</v>
      </c>
      <c r="J143" s="121" t="str">
        <f t="shared" si="307"/>
        <v>Z07</v>
      </c>
      <c r="K143" s="121" t="str">
        <f t="shared" si="307"/>
        <v>Z08</v>
      </c>
      <c r="L143" s="121" t="str">
        <f t="shared" si="307"/>
        <v>Z09</v>
      </c>
      <c r="M143" s="121" t="str">
        <f t="shared" si="307"/>
        <v>Z10</v>
      </c>
      <c r="N143" s="121" t="str">
        <f t="shared" si="307"/>
        <v>Z11</v>
      </c>
      <c r="O143" s="121" t="str">
        <f t="shared" si="307"/>
        <v>Z12</v>
      </c>
      <c r="P143" s="121" t="str">
        <f t="shared" si="307"/>
        <v>Z13</v>
      </c>
      <c r="Q143" s="121" t="str">
        <f t="shared" si="307"/>
        <v>Z14</v>
      </c>
      <c r="R143" s="121" t="str">
        <f t="shared" si="307"/>
        <v>Z15</v>
      </c>
      <c r="S143" s="121" t="s">
        <v>100</v>
      </c>
      <c r="U143" s="769" t="s">
        <v>105</v>
      </c>
      <c r="V143" s="769" t="str">
        <f>V$9</f>
        <v>City vehicles</v>
      </c>
      <c r="X143" s="766" t="str">
        <f t="shared" ref="X143" si="308">D143</f>
        <v>Z01</v>
      </c>
      <c r="Y143" s="766" t="str">
        <f t="shared" ref="Y143" si="309">E143</f>
        <v>Z02</v>
      </c>
      <c r="Z143" s="766" t="str">
        <f t="shared" ref="Z143" si="310">F143</f>
        <v>Z03</v>
      </c>
      <c r="AA143" s="766" t="str">
        <f t="shared" ref="AA143" si="311">G143</f>
        <v>Z04</v>
      </c>
      <c r="AB143" s="766" t="str">
        <f t="shared" ref="AB143" si="312">H143</f>
        <v>Z05</v>
      </c>
      <c r="AC143" s="766" t="str">
        <f t="shared" ref="AC143" si="313">I143</f>
        <v>Z06</v>
      </c>
      <c r="AD143" s="766" t="str">
        <f t="shared" ref="AD143" si="314">J143</f>
        <v>Z07</v>
      </c>
      <c r="AE143" s="766" t="str">
        <f t="shared" ref="AE143" si="315">K143</f>
        <v>Z08</v>
      </c>
      <c r="AF143" s="766" t="str">
        <f t="shared" ref="AF143" si="316">L143</f>
        <v>Z09</v>
      </c>
      <c r="AG143" s="766" t="str">
        <f t="shared" ref="AG143" si="317">M143</f>
        <v>Z10</v>
      </c>
      <c r="AH143" s="766" t="str">
        <f t="shared" ref="AH143" si="318">N143</f>
        <v>Z11</v>
      </c>
      <c r="AI143" s="766" t="str">
        <f t="shared" ref="AI143" si="319">O143</f>
        <v>Z12</v>
      </c>
      <c r="AJ143" s="766" t="str">
        <f t="shared" ref="AJ143" si="320">P143</f>
        <v>Z13</v>
      </c>
      <c r="AK143" s="766" t="str">
        <f t="shared" ref="AK143" si="321">Q143</f>
        <v>Z14</v>
      </c>
      <c r="AL143" s="766" t="str">
        <f t="shared" ref="AL143" si="322">R143</f>
        <v>Z15</v>
      </c>
      <c r="AM143" s="766" t="s">
        <v>100</v>
      </c>
    </row>
    <row r="144" spans="2:39" x14ac:dyDescent="0.25">
      <c r="B144" s="245" t="s">
        <v>163</v>
      </c>
      <c r="C144" s="286" t="s">
        <v>166</v>
      </c>
      <c r="D144" s="680">
        <f>$V144*X144</f>
        <v>0</v>
      </c>
      <c r="E144" s="680">
        <f t="shared" ref="E144:E145" si="323">$V144*Y144</f>
        <v>0</v>
      </c>
      <c r="F144" s="680">
        <f t="shared" ref="F144:F145" si="324">$V144*Z144</f>
        <v>0</v>
      </c>
      <c r="G144" s="680">
        <f t="shared" ref="G144:G145" si="325">$V144*AA144</f>
        <v>0</v>
      </c>
      <c r="H144" s="680">
        <f t="shared" ref="H144:H145" si="326">$V144*AB144</f>
        <v>0</v>
      </c>
      <c r="I144" s="680">
        <f t="shared" ref="I144:I145" si="327">$V144*AC144</f>
        <v>0</v>
      </c>
      <c r="J144" s="680">
        <f t="shared" ref="J144:J145" si="328">$V144*AD144</f>
        <v>0</v>
      </c>
      <c r="K144" s="680">
        <f t="shared" ref="K144:K145" si="329">$V144*AE144</f>
        <v>0</v>
      </c>
      <c r="L144" s="680">
        <f t="shared" ref="L144:L145" si="330">$V144*AF144</f>
        <v>0</v>
      </c>
      <c r="M144" s="680">
        <f t="shared" ref="M144:M145" si="331">$V144*AG144</f>
        <v>0</v>
      </c>
      <c r="N144" s="680">
        <f t="shared" ref="N144:N145" si="332">$V144*AH144</f>
        <v>0</v>
      </c>
      <c r="O144" s="680">
        <f t="shared" ref="O144:O145" si="333">$V144*AI144</f>
        <v>0</v>
      </c>
      <c r="P144" s="680">
        <f t="shared" ref="P144:P145" si="334">$V144*AJ144</f>
        <v>0</v>
      </c>
      <c r="Q144" s="680">
        <f t="shared" ref="Q144:Q145" si="335">$V144*AK144</f>
        <v>0</v>
      </c>
      <c r="R144" s="680">
        <f t="shared" ref="R144:R145" si="336">$V144*AL144</f>
        <v>0</v>
      </c>
      <c r="S144" s="680">
        <f t="shared" ref="S144:S145" si="337">$V144*AM144</f>
        <v>0</v>
      </c>
      <c r="U144" s="790"/>
      <c r="V144" s="792"/>
      <c r="X144" s="772">
        <f t="shared" ref="X144:AL144" si="338">X$6</f>
        <v>1</v>
      </c>
      <c r="Y144" s="772">
        <f t="shared" si="338"/>
        <v>0</v>
      </c>
      <c r="Z144" s="772">
        <f t="shared" si="338"/>
        <v>0</v>
      </c>
      <c r="AA144" s="772">
        <f t="shared" si="338"/>
        <v>0</v>
      </c>
      <c r="AB144" s="772">
        <f t="shared" si="338"/>
        <v>0</v>
      </c>
      <c r="AC144" s="772">
        <f t="shared" si="338"/>
        <v>0</v>
      </c>
      <c r="AD144" s="772">
        <f>AD$6</f>
        <v>0</v>
      </c>
      <c r="AE144" s="772">
        <f t="shared" si="338"/>
        <v>0</v>
      </c>
      <c r="AF144" s="772">
        <f t="shared" si="338"/>
        <v>0</v>
      </c>
      <c r="AG144" s="772">
        <f t="shared" si="338"/>
        <v>0</v>
      </c>
      <c r="AH144" s="772">
        <f t="shared" si="338"/>
        <v>0</v>
      </c>
      <c r="AI144" s="772">
        <f t="shared" si="338"/>
        <v>0</v>
      </c>
      <c r="AJ144" s="772">
        <f t="shared" si="338"/>
        <v>0</v>
      </c>
      <c r="AK144" s="772">
        <f t="shared" si="338"/>
        <v>0</v>
      </c>
      <c r="AL144" s="772">
        <f t="shared" si="338"/>
        <v>0</v>
      </c>
      <c r="AM144" s="773">
        <f t="shared" ref="AM144" si="339">SUM(X144:AI144)</f>
        <v>1</v>
      </c>
    </row>
    <row r="145" spans="2:39" x14ac:dyDescent="0.25">
      <c r="B145" s="250" t="s">
        <v>164</v>
      </c>
      <c r="C145" s="524" t="s">
        <v>167</v>
      </c>
      <c r="D145" s="444">
        <f t="shared" ref="D145" si="340">$V145*X145</f>
        <v>0</v>
      </c>
      <c r="E145" s="444">
        <f t="shared" si="323"/>
        <v>0</v>
      </c>
      <c r="F145" s="444">
        <f t="shared" si="324"/>
        <v>0</v>
      </c>
      <c r="G145" s="444">
        <f t="shared" si="325"/>
        <v>0</v>
      </c>
      <c r="H145" s="444">
        <f t="shared" si="326"/>
        <v>0</v>
      </c>
      <c r="I145" s="444">
        <f t="shared" si="327"/>
        <v>0</v>
      </c>
      <c r="J145" s="444">
        <f t="shared" si="328"/>
        <v>0</v>
      </c>
      <c r="K145" s="444">
        <f t="shared" si="329"/>
        <v>0</v>
      </c>
      <c r="L145" s="444">
        <f t="shared" si="330"/>
        <v>0</v>
      </c>
      <c r="M145" s="444">
        <f t="shared" si="331"/>
        <v>0</v>
      </c>
      <c r="N145" s="444">
        <f t="shared" si="332"/>
        <v>0</v>
      </c>
      <c r="O145" s="444">
        <f t="shared" si="333"/>
        <v>0</v>
      </c>
      <c r="P145" s="444">
        <f t="shared" si="334"/>
        <v>0</v>
      </c>
      <c r="Q145" s="444">
        <f t="shared" si="335"/>
        <v>0</v>
      </c>
      <c r="R145" s="444">
        <f t="shared" si="336"/>
        <v>0</v>
      </c>
      <c r="S145" s="444">
        <f t="shared" si="337"/>
        <v>0</v>
      </c>
      <c r="U145" s="791"/>
      <c r="V145" s="793"/>
      <c r="X145" s="772">
        <f t="shared" ref="X145:AL155" si="341">X$6</f>
        <v>1</v>
      </c>
      <c r="Y145" s="772">
        <f t="shared" si="341"/>
        <v>0</v>
      </c>
      <c r="Z145" s="772">
        <f t="shared" si="341"/>
        <v>0</v>
      </c>
      <c r="AA145" s="772">
        <f t="shared" si="341"/>
        <v>0</v>
      </c>
      <c r="AB145" s="772">
        <f t="shared" si="341"/>
        <v>0</v>
      </c>
      <c r="AC145" s="772">
        <f t="shared" si="341"/>
        <v>0</v>
      </c>
      <c r="AD145" s="772">
        <f t="shared" si="341"/>
        <v>0</v>
      </c>
      <c r="AE145" s="772">
        <f t="shared" si="341"/>
        <v>0</v>
      </c>
      <c r="AF145" s="772">
        <f t="shared" si="341"/>
        <v>0</v>
      </c>
      <c r="AG145" s="772">
        <f t="shared" si="341"/>
        <v>0</v>
      </c>
      <c r="AH145" s="772">
        <f t="shared" si="341"/>
        <v>0</v>
      </c>
      <c r="AI145" s="772">
        <f t="shared" si="341"/>
        <v>0</v>
      </c>
      <c r="AJ145" s="772">
        <f t="shared" si="341"/>
        <v>0</v>
      </c>
      <c r="AK145" s="772">
        <f t="shared" si="341"/>
        <v>0</v>
      </c>
      <c r="AL145" s="772">
        <f t="shared" si="341"/>
        <v>0</v>
      </c>
      <c r="AM145" s="773">
        <f t="shared" ref="AM145" si="342">SUM(X145:AI145)</f>
        <v>1</v>
      </c>
    </row>
    <row r="146" spans="2:39" x14ac:dyDescent="0.25">
      <c r="B146" s="131" t="s">
        <v>119</v>
      </c>
      <c r="C146" s="525"/>
      <c r="D146" s="681">
        <f>SUM(D144:D145)</f>
        <v>0</v>
      </c>
      <c r="E146" s="681">
        <f t="shared" ref="E146:S146" si="343">SUM(E144:E145)</f>
        <v>0</v>
      </c>
      <c r="F146" s="681">
        <f t="shared" si="343"/>
        <v>0</v>
      </c>
      <c r="G146" s="681">
        <f t="shared" si="343"/>
        <v>0</v>
      </c>
      <c r="H146" s="681">
        <f t="shared" si="343"/>
        <v>0</v>
      </c>
      <c r="I146" s="681">
        <f t="shared" si="343"/>
        <v>0</v>
      </c>
      <c r="J146" s="681">
        <f t="shared" si="343"/>
        <v>0</v>
      </c>
      <c r="K146" s="681">
        <f t="shared" si="343"/>
        <v>0</v>
      </c>
      <c r="L146" s="681">
        <f t="shared" si="343"/>
        <v>0</v>
      </c>
      <c r="M146" s="681">
        <f t="shared" si="343"/>
        <v>0</v>
      </c>
      <c r="N146" s="681">
        <f t="shared" si="343"/>
        <v>0</v>
      </c>
      <c r="O146" s="681">
        <f t="shared" si="343"/>
        <v>0</v>
      </c>
      <c r="P146" s="681">
        <f t="shared" si="343"/>
        <v>0</v>
      </c>
      <c r="Q146" s="681">
        <f t="shared" si="343"/>
        <v>0</v>
      </c>
      <c r="R146" s="681">
        <f t="shared" si="343"/>
        <v>0</v>
      </c>
      <c r="S146" s="681">
        <f t="shared" si="343"/>
        <v>0</v>
      </c>
      <c r="U146" s="776">
        <f>SUM(U144:U144)</f>
        <v>0</v>
      </c>
      <c r="V146" s="759">
        <f>SUM(V144:V144)</f>
        <v>0</v>
      </c>
    </row>
    <row r="148" spans="2:39" x14ac:dyDescent="0.25">
      <c r="B148" s="441" t="s">
        <v>168</v>
      </c>
      <c r="C148" s="523"/>
      <c r="V148" s="786"/>
      <c r="X148" s="764" t="s">
        <v>99</v>
      </c>
    </row>
    <row r="149" spans="2:39" x14ac:dyDescent="0.25">
      <c r="B149" s="441" t="s">
        <v>103</v>
      </c>
      <c r="C149" s="441" t="s">
        <v>104</v>
      </c>
      <c r="D149" s="121" t="str">
        <f>D$9</f>
        <v>Z01</v>
      </c>
      <c r="E149" s="121" t="str">
        <f t="shared" ref="E149:R149" si="344">E$9</f>
        <v>Z02</v>
      </c>
      <c r="F149" s="121" t="str">
        <f t="shared" si="344"/>
        <v>Z03</v>
      </c>
      <c r="G149" s="121" t="str">
        <f t="shared" si="344"/>
        <v>Z04</v>
      </c>
      <c r="H149" s="121" t="str">
        <f t="shared" si="344"/>
        <v>Z05</v>
      </c>
      <c r="I149" s="121" t="str">
        <f t="shared" si="344"/>
        <v>Z06</v>
      </c>
      <c r="J149" s="121" t="str">
        <f t="shared" si="344"/>
        <v>Z07</v>
      </c>
      <c r="K149" s="121" t="str">
        <f t="shared" si="344"/>
        <v>Z08</v>
      </c>
      <c r="L149" s="121" t="str">
        <f t="shared" si="344"/>
        <v>Z09</v>
      </c>
      <c r="M149" s="121" t="str">
        <f t="shared" si="344"/>
        <v>Z10</v>
      </c>
      <c r="N149" s="121" t="str">
        <f t="shared" si="344"/>
        <v>Z11</v>
      </c>
      <c r="O149" s="121" t="str">
        <f t="shared" si="344"/>
        <v>Z12</v>
      </c>
      <c r="P149" s="121" t="str">
        <f t="shared" si="344"/>
        <v>Z13</v>
      </c>
      <c r="Q149" s="121" t="str">
        <f t="shared" si="344"/>
        <v>Z14</v>
      </c>
      <c r="R149" s="121" t="str">
        <f t="shared" si="344"/>
        <v>Z15</v>
      </c>
      <c r="S149" s="121" t="s">
        <v>100</v>
      </c>
      <c r="U149" s="769" t="s">
        <v>105</v>
      </c>
      <c r="V149" s="769" t="str">
        <f>V$9</f>
        <v>City vehicles</v>
      </c>
      <c r="X149" s="766" t="str">
        <f t="shared" ref="X149" si="345">D149</f>
        <v>Z01</v>
      </c>
      <c r="Y149" s="766" t="str">
        <f t="shared" ref="Y149" si="346">E149</f>
        <v>Z02</v>
      </c>
      <c r="Z149" s="766" t="str">
        <f t="shared" ref="Z149" si="347">F149</f>
        <v>Z03</v>
      </c>
      <c r="AA149" s="766" t="str">
        <f t="shared" ref="AA149" si="348">G149</f>
        <v>Z04</v>
      </c>
      <c r="AB149" s="766" t="str">
        <f t="shared" ref="AB149" si="349">H149</f>
        <v>Z05</v>
      </c>
      <c r="AC149" s="766" t="str">
        <f t="shared" ref="AC149" si="350">I149</f>
        <v>Z06</v>
      </c>
      <c r="AD149" s="766" t="str">
        <f t="shared" ref="AD149" si="351">J149</f>
        <v>Z07</v>
      </c>
      <c r="AE149" s="766" t="str">
        <f t="shared" ref="AE149" si="352">K149</f>
        <v>Z08</v>
      </c>
      <c r="AF149" s="766" t="str">
        <f t="shared" ref="AF149" si="353">L149</f>
        <v>Z09</v>
      </c>
      <c r="AG149" s="766" t="str">
        <f t="shared" ref="AG149" si="354">M149</f>
        <v>Z10</v>
      </c>
      <c r="AH149" s="766" t="str">
        <f t="shared" ref="AH149" si="355">N149</f>
        <v>Z11</v>
      </c>
      <c r="AI149" s="766" t="str">
        <f t="shared" ref="AI149" si="356">O149</f>
        <v>Z12</v>
      </c>
      <c r="AJ149" s="766" t="str">
        <f t="shared" ref="AJ149" si="357">P149</f>
        <v>Z13</v>
      </c>
      <c r="AK149" s="766" t="str">
        <f t="shared" ref="AK149" si="358">Q149</f>
        <v>Z14</v>
      </c>
      <c r="AL149" s="766" t="str">
        <f t="shared" ref="AL149" si="359">R149</f>
        <v>Z15</v>
      </c>
      <c r="AM149" s="766" t="s">
        <v>100</v>
      </c>
    </row>
    <row r="150" spans="2:39" x14ac:dyDescent="0.25">
      <c r="B150" s="250" t="s">
        <v>163</v>
      </c>
      <c r="C150" s="524"/>
      <c r="D150" s="444">
        <f>$V150*X150</f>
        <v>0</v>
      </c>
      <c r="E150" s="444">
        <f t="shared" ref="E150:S150" si="360">$V150*Y150</f>
        <v>0</v>
      </c>
      <c r="F150" s="444">
        <f t="shared" si="360"/>
        <v>0</v>
      </c>
      <c r="G150" s="444">
        <f t="shared" si="360"/>
        <v>0</v>
      </c>
      <c r="H150" s="444">
        <f t="shared" si="360"/>
        <v>0</v>
      </c>
      <c r="I150" s="444">
        <f t="shared" si="360"/>
        <v>0</v>
      </c>
      <c r="J150" s="444">
        <f t="shared" si="360"/>
        <v>0</v>
      </c>
      <c r="K150" s="444">
        <f t="shared" si="360"/>
        <v>0</v>
      </c>
      <c r="L150" s="444">
        <f t="shared" si="360"/>
        <v>0</v>
      </c>
      <c r="M150" s="444">
        <f t="shared" si="360"/>
        <v>0</v>
      </c>
      <c r="N150" s="444">
        <f t="shared" si="360"/>
        <v>0</v>
      </c>
      <c r="O150" s="444">
        <f t="shared" si="360"/>
        <v>0</v>
      </c>
      <c r="P150" s="444">
        <f t="shared" si="360"/>
        <v>0</v>
      </c>
      <c r="Q150" s="444">
        <f t="shared" si="360"/>
        <v>0</v>
      </c>
      <c r="R150" s="444">
        <f t="shared" si="360"/>
        <v>0</v>
      </c>
      <c r="S150" s="444">
        <f t="shared" si="360"/>
        <v>0</v>
      </c>
      <c r="U150" s="791"/>
      <c r="V150" s="781"/>
      <c r="X150" s="772">
        <f t="shared" si="341"/>
        <v>1</v>
      </c>
      <c r="Y150" s="772">
        <f t="shared" si="341"/>
        <v>0</v>
      </c>
      <c r="Z150" s="772">
        <f t="shared" si="341"/>
        <v>0</v>
      </c>
      <c r="AA150" s="772">
        <f t="shared" si="341"/>
        <v>0</v>
      </c>
      <c r="AB150" s="772">
        <f t="shared" si="341"/>
        <v>0</v>
      </c>
      <c r="AC150" s="772">
        <f t="shared" si="341"/>
        <v>0</v>
      </c>
      <c r="AD150" s="772">
        <f t="shared" si="341"/>
        <v>0</v>
      </c>
      <c r="AE150" s="772">
        <f t="shared" si="341"/>
        <v>0</v>
      </c>
      <c r="AF150" s="772">
        <f t="shared" si="341"/>
        <v>0</v>
      </c>
      <c r="AG150" s="772">
        <f t="shared" si="341"/>
        <v>0</v>
      </c>
      <c r="AH150" s="772">
        <f t="shared" si="341"/>
        <v>0</v>
      </c>
      <c r="AI150" s="772">
        <f t="shared" si="341"/>
        <v>0</v>
      </c>
      <c r="AJ150" s="772">
        <f t="shared" si="341"/>
        <v>0</v>
      </c>
      <c r="AK150" s="772">
        <f t="shared" si="341"/>
        <v>0</v>
      </c>
      <c r="AL150" s="772">
        <f t="shared" si="341"/>
        <v>0</v>
      </c>
      <c r="AM150" s="773">
        <f>SUM(X150:AI150)</f>
        <v>1</v>
      </c>
    </row>
    <row r="151" spans="2:39" x14ac:dyDescent="0.25">
      <c r="B151" s="131" t="s">
        <v>119</v>
      </c>
      <c r="C151" s="525"/>
      <c r="D151" s="681">
        <f t="shared" ref="D151:S151" si="361">SUM(D150:D150)</f>
        <v>0</v>
      </c>
      <c r="E151" s="681">
        <f t="shared" si="361"/>
        <v>0</v>
      </c>
      <c r="F151" s="681">
        <f t="shared" si="361"/>
        <v>0</v>
      </c>
      <c r="G151" s="681">
        <f t="shared" si="361"/>
        <v>0</v>
      </c>
      <c r="H151" s="681">
        <f t="shared" si="361"/>
        <v>0</v>
      </c>
      <c r="I151" s="681">
        <f t="shared" si="361"/>
        <v>0</v>
      </c>
      <c r="J151" s="681">
        <f t="shared" si="361"/>
        <v>0</v>
      </c>
      <c r="K151" s="681">
        <f t="shared" si="361"/>
        <v>0</v>
      </c>
      <c r="L151" s="681">
        <f t="shared" si="361"/>
        <v>0</v>
      </c>
      <c r="M151" s="681">
        <f t="shared" si="361"/>
        <v>0</v>
      </c>
      <c r="N151" s="681">
        <f t="shared" si="361"/>
        <v>0</v>
      </c>
      <c r="O151" s="681">
        <f t="shared" si="361"/>
        <v>0</v>
      </c>
      <c r="P151" s="681">
        <f t="shared" si="361"/>
        <v>0</v>
      </c>
      <c r="Q151" s="681">
        <f t="shared" si="361"/>
        <v>0</v>
      </c>
      <c r="R151" s="681">
        <f t="shared" si="361"/>
        <v>0</v>
      </c>
      <c r="S151" s="681">
        <f t="shared" si="361"/>
        <v>0</v>
      </c>
      <c r="U151" s="776">
        <f>SUM(U150:U150)</f>
        <v>0</v>
      </c>
      <c r="V151" s="759">
        <f>SUM(V150:V150)</f>
        <v>0</v>
      </c>
    </row>
    <row r="153" spans="2:39" x14ac:dyDescent="0.25">
      <c r="B153" s="441" t="s">
        <v>169</v>
      </c>
      <c r="C153" s="523"/>
      <c r="V153" s="786"/>
      <c r="X153" s="764" t="s">
        <v>99</v>
      </c>
    </row>
    <row r="154" spans="2:39" x14ac:dyDescent="0.25">
      <c r="B154" s="441" t="s">
        <v>103</v>
      </c>
      <c r="C154" s="441" t="s">
        <v>104</v>
      </c>
      <c r="D154" s="121" t="str">
        <f>D$9</f>
        <v>Z01</v>
      </c>
      <c r="E154" s="121" t="str">
        <f t="shared" ref="E154:R154" si="362">E$9</f>
        <v>Z02</v>
      </c>
      <c r="F154" s="121" t="str">
        <f t="shared" si="362"/>
        <v>Z03</v>
      </c>
      <c r="G154" s="121" t="str">
        <f t="shared" si="362"/>
        <v>Z04</v>
      </c>
      <c r="H154" s="121" t="str">
        <f t="shared" si="362"/>
        <v>Z05</v>
      </c>
      <c r="I154" s="121" t="str">
        <f t="shared" si="362"/>
        <v>Z06</v>
      </c>
      <c r="J154" s="121" t="str">
        <f t="shared" si="362"/>
        <v>Z07</v>
      </c>
      <c r="K154" s="121" t="str">
        <f t="shared" si="362"/>
        <v>Z08</v>
      </c>
      <c r="L154" s="121" t="str">
        <f t="shared" si="362"/>
        <v>Z09</v>
      </c>
      <c r="M154" s="121" t="str">
        <f t="shared" si="362"/>
        <v>Z10</v>
      </c>
      <c r="N154" s="121" t="str">
        <f t="shared" si="362"/>
        <v>Z11</v>
      </c>
      <c r="O154" s="121" t="str">
        <f t="shared" si="362"/>
        <v>Z12</v>
      </c>
      <c r="P154" s="121" t="str">
        <f t="shared" si="362"/>
        <v>Z13</v>
      </c>
      <c r="Q154" s="121" t="str">
        <f t="shared" si="362"/>
        <v>Z14</v>
      </c>
      <c r="R154" s="121" t="str">
        <f t="shared" si="362"/>
        <v>Z15</v>
      </c>
      <c r="S154" s="121" t="s">
        <v>100</v>
      </c>
      <c r="U154" s="769" t="s">
        <v>105</v>
      </c>
      <c r="V154" s="769" t="str">
        <f>V$9</f>
        <v>City vehicles</v>
      </c>
      <c r="X154" s="766" t="str">
        <f t="shared" ref="X154" si="363">D154</f>
        <v>Z01</v>
      </c>
      <c r="Y154" s="766" t="str">
        <f t="shared" ref="Y154" si="364">E154</f>
        <v>Z02</v>
      </c>
      <c r="Z154" s="766" t="str">
        <f t="shared" ref="Z154" si="365">F154</f>
        <v>Z03</v>
      </c>
      <c r="AA154" s="766" t="str">
        <f t="shared" ref="AA154" si="366">G154</f>
        <v>Z04</v>
      </c>
      <c r="AB154" s="766" t="str">
        <f t="shared" ref="AB154" si="367">H154</f>
        <v>Z05</v>
      </c>
      <c r="AC154" s="766" t="str">
        <f t="shared" ref="AC154" si="368">I154</f>
        <v>Z06</v>
      </c>
      <c r="AD154" s="766" t="str">
        <f t="shared" ref="AD154" si="369">J154</f>
        <v>Z07</v>
      </c>
      <c r="AE154" s="766" t="str">
        <f t="shared" ref="AE154" si="370">K154</f>
        <v>Z08</v>
      </c>
      <c r="AF154" s="766" t="str">
        <f t="shared" ref="AF154" si="371">L154</f>
        <v>Z09</v>
      </c>
      <c r="AG154" s="766" t="str">
        <f t="shared" ref="AG154" si="372">M154</f>
        <v>Z10</v>
      </c>
      <c r="AH154" s="766" t="str">
        <f t="shared" ref="AH154" si="373">N154</f>
        <v>Z11</v>
      </c>
      <c r="AI154" s="766" t="str">
        <f t="shared" ref="AI154" si="374">O154</f>
        <v>Z12</v>
      </c>
      <c r="AJ154" s="766" t="str">
        <f t="shared" ref="AJ154" si="375">P154</f>
        <v>Z13</v>
      </c>
      <c r="AK154" s="766" t="str">
        <f t="shared" ref="AK154" si="376">Q154</f>
        <v>Z14</v>
      </c>
      <c r="AL154" s="766" t="str">
        <f t="shared" ref="AL154" si="377">R154</f>
        <v>Z15</v>
      </c>
      <c r="AM154" s="766" t="s">
        <v>100</v>
      </c>
    </row>
    <row r="155" spans="2:39" x14ac:dyDescent="0.25">
      <c r="B155" s="250" t="s">
        <v>163</v>
      </c>
      <c r="C155" s="524"/>
      <c r="D155" s="444">
        <f>$V155*X155</f>
        <v>0</v>
      </c>
      <c r="E155" s="444">
        <f t="shared" ref="E155:S155" si="378">$V155*Y155</f>
        <v>0</v>
      </c>
      <c r="F155" s="444">
        <f t="shared" si="378"/>
        <v>0</v>
      </c>
      <c r="G155" s="444">
        <f t="shared" si="378"/>
        <v>0</v>
      </c>
      <c r="H155" s="444">
        <f t="shared" si="378"/>
        <v>0</v>
      </c>
      <c r="I155" s="444">
        <f t="shared" si="378"/>
        <v>0</v>
      </c>
      <c r="J155" s="444">
        <f t="shared" si="378"/>
        <v>0</v>
      </c>
      <c r="K155" s="444">
        <f t="shared" si="378"/>
        <v>0</v>
      </c>
      <c r="L155" s="444">
        <f t="shared" si="378"/>
        <v>0</v>
      </c>
      <c r="M155" s="444">
        <f t="shared" si="378"/>
        <v>0</v>
      </c>
      <c r="N155" s="444">
        <f t="shared" si="378"/>
        <v>0</v>
      </c>
      <c r="O155" s="444">
        <f t="shared" si="378"/>
        <v>0</v>
      </c>
      <c r="P155" s="444">
        <f t="shared" si="378"/>
        <v>0</v>
      </c>
      <c r="Q155" s="444">
        <f t="shared" si="378"/>
        <v>0</v>
      </c>
      <c r="R155" s="444">
        <f t="shared" si="378"/>
        <v>0</v>
      </c>
      <c r="S155" s="444">
        <f t="shared" si="378"/>
        <v>0</v>
      </c>
      <c r="U155" s="791"/>
      <c r="V155" s="781"/>
      <c r="X155" s="772">
        <f t="shared" si="341"/>
        <v>1</v>
      </c>
      <c r="Y155" s="772">
        <f t="shared" si="341"/>
        <v>0</v>
      </c>
      <c r="Z155" s="772">
        <f t="shared" si="341"/>
        <v>0</v>
      </c>
      <c r="AA155" s="772">
        <f t="shared" si="341"/>
        <v>0</v>
      </c>
      <c r="AB155" s="772">
        <f t="shared" si="341"/>
        <v>0</v>
      </c>
      <c r="AC155" s="772">
        <f t="shared" si="341"/>
        <v>0</v>
      </c>
      <c r="AD155" s="772">
        <f t="shared" si="341"/>
        <v>0</v>
      </c>
      <c r="AE155" s="772">
        <f t="shared" si="341"/>
        <v>0</v>
      </c>
      <c r="AF155" s="772">
        <f t="shared" si="341"/>
        <v>0</v>
      </c>
      <c r="AG155" s="772">
        <f t="shared" si="341"/>
        <v>0</v>
      </c>
      <c r="AH155" s="772">
        <f t="shared" si="341"/>
        <v>0</v>
      </c>
      <c r="AI155" s="772">
        <f t="shared" si="341"/>
        <v>0</v>
      </c>
      <c r="AJ155" s="772">
        <f t="shared" si="341"/>
        <v>0</v>
      </c>
      <c r="AK155" s="772">
        <f t="shared" si="341"/>
        <v>0</v>
      </c>
      <c r="AL155" s="772">
        <f t="shared" si="341"/>
        <v>0</v>
      </c>
      <c r="AM155" s="773">
        <f>SUM(X155:AI155)</f>
        <v>1</v>
      </c>
    </row>
    <row r="156" spans="2:39" x14ac:dyDescent="0.25">
      <c r="B156" s="131" t="s">
        <v>119</v>
      </c>
      <c r="C156" s="525"/>
      <c r="D156" s="681">
        <f t="shared" ref="D156:S156" si="379">SUM(D155:D155)</f>
        <v>0</v>
      </c>
      <c r="E156" s="681">
        <f t="shared" si="379"/>
        <v>0</v>
      </c>
      <c r="F156" s="681">
        <f t="shared" si="379"/>
        <v>0</v>
      </c>
      <c r="G156" s="681">
        <f t="shared" si="379"/>
        <v>0</v>
      </c>
      <c r="H156" s="681">
        <f t="shared" si="379"/>
        <v>0</v>
      </c>
      <c r="I156" s="681">
        <f t="shared" si="379"/>
        <v>0</v>
      </c>
      <c r="J156" s="681">
        <f t="shared" si="379"/>
        <v>0</v>
      </c>
      <c r="K156" s="681">
        <f t="shared" si="379"/>
        <v>0</v>
      </c>
      <c r="L156" s="681">
        <f t="shared" si="379"/>
        <v>0</v>
      </c>
      <c r="M156" s="681">
        <f t="shared" si="379"/>
        <v>0</v>
      </c>
      <c r="N156" s="681">
        <f t="shared" si="379"/>
        <v>0</v>
      </c>
      <c r="O156" s="681">
        <f t="shared" si="379"/>
        <v>0</v>
      </c>
      <c r="P156" s="681">
        <f t="shared" si="379"/>
        <v>0</v>
      </c>
      <c r="Q156" s="681">
        <f t="shared" si="379"/>
        <v>0</v>
      </c>
      <c r="R156" s="681">
        <f t="shared" si="379"/>
        <v>0</v>
      </c>
      <c r="S156" s="681">
        <f t="shared" si="379"/>
        <v>0</v>
      </c>
      <c r="U156" s="776">
        <f>SUM(U155:U155)</f>
        <v>0</v>
      </c>
      <c r="V156" s="759">
        <f>SUM(V155:V155)</f>
        <v>0</v>
      </c>
    </row>
    <row r="158" spans="2:39" x14ac:dyDescent="0.25">
      <c r="B158" s="441" t="s">
        <v>170</v>
      </c>
      <c r="C158" s="523"/>
      <c r="V158" s="786"/>
      <c r="X158" s="764" t="s">
        <v>99</v>
      </c>
    </row>
    <row r="159" spans="2:39" x14ac:dyDescent="0.25">
      <c r="B159" s="441" t="s">
        <v>103</v>
      </c>
      <c r="C159" s="441" t="s">
        <v>104</v>
      </c>
      <c r="D159" s="121" t="str">
        <f>D$9</f>
        <v>Z01</v>
      </c>
      <c r="E159" s="121" t="str">
        <f t="shared" ref="E159:R159" si="380">E$9</f>
        <v>Z02</v>
      </c>
      <c r="F159" s="121" t="str">
        <f t="shared" si="380"/>
        <v>Z03</v>
      </c>
      <c r="G159" s="121" t="str">
        <f t="shared" si="380"/>
        <v>Z04</v>
      </c>
      <c r="H159" s="121" t="str">
        <f t="shared" si="380"/>
        <v>Z05</v>
      </c>
      <c r="I159" s="121" t="str">
        <f t="shared" si="380"/>
        <v>Z06</v>
      </c>
      <c r="J159" s="121" t="str">
        <f t="shared" si="380"/>
        <v>Z07</v>
      </c>
      <c r="K159" s="121" t="str">
        <f t="shared" si="380"/>
        <v>Z08</v>
      </c>
      <c r="L159" s="121" t="str">
        <f t="shared" si="380"/>
        <v>Z09</v>
      </c>
      <c r="M159" s="121" t="str">
        <f t="shared" si="380"/>
        <v>Z10</v>
      </c>
      <c r="N159" s="121" t="str">
        <f t="shared" si="380"/>
        <v>Z11</v>
      </c>
      <c r="O159" s="121" t="str">
        <f t="shared" si="380"/>
        <v>Z12</v>
      </c>
      <c r="P159" s="121" t="str">
        <f t="shared" si="380"/>
        <v>Z13</v>
      </c>
      <c r="Q159" s="121" t="str">
        <f t="shared" si="380"/>
        <v>Z14</v>
      </c>
      <c r="R159" s="121" t="str">
        <f t="shared" si="380"/>
        <v>Z15</v>
      </c>
      <c r="S159" s="121" t="s">
        <v>100</v>
      </c>
      <c r="U159" s="769" t="s">
        <v>105</v>
      </c>
      <c r="V159" s="769" t="str">
        <f>V$9</f>
        <v>City vehicles</v>
      </c>
      <c r="X159" s="766" t="str">
        <f t="shared" ref="X159:AL159" si="381">D159</f>
        <v>Z01</v>
      </c>
      <c r="Y159" s="766" t="str">
        <f t="shared" si="381"/>
        <v>Z02</v>
      </c>
      <c r="Z159" s="766" t="str">
        <f t="shared" si="381"/>
        <v>Z03</v>
      </c>
      <c r="AA159" s="766" t="str">
        <f t="shared" si="381"/>
        <v>Z04</v>
      </c>
      <c r="AB159" s="766" t="str">
        <f t="shared" si="381"/>
        <v>Z05</v>
      </c>
      <c r="AC159" s="766" t="str">
        <f t="shared" si="381"/>
        <v>Z06</v>
      </c>
      <c r="AD159" s="766" t="str">
        <f t="shared" si="381"/>
        <v>Z07</v>
      </c>
      <c r="AE159" s="766" t="str">
        <f t="shared" si="381"/>
        <v>Z08</v>
      </c>
      <c r="AF159" s="766" t="str">
        <f t="shared" si="381"/>
        <v>Z09</v>
      </c>
      <c r="AG159" s="766" t="str">
        <f t="shared" si="381"/>
        <v>Z10</v>
      </c>
      <c r="AH159" s="766" t="str">
        <f t="shared" si="381"/>
        <v>Z11</v>
      </c>
      <c r="AI159" s="766" t="str">
        <f t="shared" si="381"/>
        <v>Z12</v>
      </c>
      <c r="AJ159" s="766" t="str">
        <f t="shared" si="381"/>
        <v>Z13</v>
      </c>
      <c r="AK159" s="766" t="str">
        <f t="shared" si="381"/>
        <v>Z14</v>
      </c>
      <c r="AL159" s="766" t="str">
        <f t="shared" si="381"/>
        <v>Z15</v>
      </c>
      <c r="AM159" s="766" t="s">
        <v>100</v>
      </c>
    </row>
    <row r="160" spans="2:39" ht="14.1" customHeight="1" x14ac:dyDescent="0.25">
      <c r="B160" s="250" t="s">
        <v>164</v>
      </c>
      <c r="C160" s="524" t="s">
        <v>171</v>
      </c>
      <c r="D160" s="444">
        <f>$V160*X160</f>
        <v>0</v>
      </c>
      <c r="E160" s="444">
        <f t="shared" ref="E160:S160" si="382">$V160*Y160</f>
        <v>0</v>
      </c>
      <c r="F160" s="444">
        <f t="shared" si="382"/>
        <v>0</v>
      </c>
      <c r="G160" s="444">
        <f t="shared" si="382"/>
        <v>0</v>
      </c>
      <c r="H160" s="444">
        <f t="shared" si="382"/>
        <v>0</v>
      </c>
      <c r="I160" s="444">
        <f t="shared" si="382"/>
        <v>0</v>
      </c>
      <c r="J160" s="444">
        <f t="shared" si="382"/>
        <v>0</v>
      </c>
      <c r="K160" s="444">
        <f t="shared" si="382"/>
        <v>0</v>
      </c>
      <c r="L160" s="444">
        <f t="shared" si="382"/>
        <v>0</v>
      </c>
      <c r="M160" s="444">
        <f t="shared" si="382"/>
        <v>0</v>
      </c>
      <c r="N160" s="444">
        <f t="shared" si="382"/>
        <v>0</v>
      </c>
      <c r="O160" s="444">
        <f t="shared" si="382"/>
        <v>0</v>
      </c>
      <c r="P160" s="444">
        <f t="shared" si="382"/>
        <v>0</v>
      </c>
      <c r="Q160" s="444">
        <f t="shared" si="382"/>
        <v>0</v>
      </c>
      <c r="R160" s="444">
        <f t="shared" si="382"/>
        <v>0</v>
      </c>
      <c r="S160" s="444">
        <f t="shared" si="382"/>
        <v>0</v>
      </c>
      <c r="U160" s="791"/>
      <c r="V160" s="793"/>
      <c r="X160" s="772">
        <f t="shared" ref="X160:AL160" si="383">X$6</f>
        <v>1</v>
      </c>
      <c r="Y160" s="772">
        <f t="shared" si="383"/>
        <v>0</v>
      </c>
      <c r="Z160" s="772">
        <f t="shared" si="383"/>
        <v>0</v>
      </c>
      <c r="AA160" s="772">
        <f t="shared" si="383"/>
        <v>0</v>
      </c>
      <c r="AB160" s="772">
        <f t="shared" si="383"/>
        <v>0</v>
      </c>
      <c r="AC160" s="772">
        <f t="shared" si="383"/>
        <v>0</v>
      </c>
      <c r="AD160" s="772">
        <f t="shared" si="383"/>
        <v>0</v>
      </c>
      <c r="AE160" s="772">
        <f t="shared" si="383"/>
        <v>0</v>
      </c>
      <c r="AF160" s="772">
        <f t="shared" si="383"/>
        <v>0</v>
      </c>
      <c r="AG160" s="772">
        <f t="shared" si="383"/>
        <v>0</v>
      </c>
      <c r="AH160" s="772">
        <f t="shared" si="383"/>
        <v>0</v>
      </c>
      <c r="AI160" s="772">
        <f t="shared" si="383"/>
        <v>0</v>
      </c>
      <c r="AJ160" s="772">
        <f t="shared" si="383"/>
        <v>0</v>
      </c>
      <c r="AK160" s="772">
        <f t="shared" si="383"/>
        <v>0</v>
      </c>
      <c r="AL160" s="772">
        <f t="shared" si="383"/>
        <v>0</v>
      </c>
      <c r="AM160" s="773">
        <f t="shared" ref="AM160" si="384">SUM(X160:AI160)</f>
        <v>1</v>
      </c>
    </row>
    <row r="161" spans="2:39" x14ac:dyDescent="0.25">
      <c r="B161" s="131" t="s">
        <v>119</v>
      </c>
      <c r="C161" s="525"/>
      <c r="D161" s="681">
        <f>SUM(D160:D160)</f>
        <v>0</v>
      </c>
      <c r="E161" s="681">
        <f t="shared" ref="E161:R161" si="385">SUM(E160:E160)</f>
        <v>0</v>
      </c>
      <c r="F161" s="681">
        <f t="shared" si="385"/>
        <v>0</v>
      </c>
      <c r="G161" s="681">
        <f t="shared" si="385"/>
        <v>0</v>
      </c>
      <c r="H161" s="681">
        <f t="shared" si="385"/>
        <v>0</v>
      </c>
      <c r="I161" s="681">
        <f t="shared" si="385"/>
        <v>0</v>
      </c>
      <c r="J161" s="681">
        <f t="shared" si="385"/>
        <v>0</v>
      </c>
      <c r="K161" s="681">
        <f t="shared" si="385"/>
        <v>0</v>
      </c>
      <c r="L161" s="681">
        <f t="shared" si="385"/>
        <v>0</v>
      </c>
      <c r="M161" s="681">
        <f t="shared" si="385"/>
        <v>0</v>
      </c>
      <c r="N161" s="681">
        <f t="shared" si="385"/>
        <v>0</v>
      </c>
      <c r="O161" s="681">
        <f t="shared" si="385"/>
        <v>0</v>
      </c>
      <c r="P161" s="681">
        <f t="shared" si="385"/>
        <v>0</v>
      </c>
      <c r="Q161" s="681">
        <f t="shared" si="385"/>
        <v>0</v>
      </c>
      <c r="R161" s="681">
        <f t="shared" si="385"/>
        <v>0</v>
      </c>
      <c r="S161" s="681">
        <f>SUM(S160:S160)</f>
        <v>0</v>
      </c>
      <c r="U161" s="776">
        <f>SUM(U160)</f>
        <v>0</v>
      </c>
      <c r="V161" s="759">
        <f>SUM(V160)</f>
        <v>0</v>
      </c>
    </row>
    <row r="163" spans="2:39" x14ac:dyDescent="0.25">
      <c r="B163" s="476" t="s">
        <v>172</v>
      </c>
      <c r="C163" s="523"/>
      <c r="X163" s="764" t="s">
        <v>99</v>
      </c>
    </row>
    <row r="164" spans="2:39" x14ac:dyDescent="0.25">
      <c r="B164" s="476" t="s">
        <v>103</v>
      </c>
      <c r="C164" s="441" t="s">
        <v>104</v>
      </c>
      <c r="D164" s="121" t="str">
        <f>D$9</f>
        <v>Z01</v>
      </c>
      <c r="E164" s="121" t="str">
        <f t="shared" ref="E164:R164" si="386">E$9</f>
        <v>Z02</v>
      </c>
      <c r="F164" s="121" t="str">
        <f t="shared" si="386"/>
        <v>Z03</v>
      </c>
      <c r="G164" s="121" t="str">
        <f t="shared" si="386"/>
        <v>Z04</v>
      </c>
      <c r="H164" s="121" t="str">
        <f t="shared" si="386"/>
        <v>Z05</v>
      </c>
      <c r="I164" s="121" t="str">
        <f t="shared" si="386"/>
        <v>Z06</v>
      </c>
      <c r="J164" s="121" t="str">
        <f t="shared" si="386"/>
        <v>Z07</v>
      </c>
      <c r="K164" s="121" t="str">
        <f t="shared" si="386"/>
        <v>Z08</v>
      </c>
      <c r="L164" s="121" t="str">
        <f t="shared" si="386"/>
        <v>Z09</v>
      </c>
      <c r="M164" s="121" t="str">
        <f t="shared" si="386"/>
        <v>Z10</v>
      </c>
      <c r="N164" s="121" t="str">
        <f t="shared" si="386"/>
        <v>Z11</v>
      </c>
      <c r="O164" s="121" t="str">
        <f t="shared" si="386"/>
        <v>Z12</v>
      </c>
      <c r="P164" s="121" t="str">
        <f t="shared" si="386"/>
        <v>Z13</v>
      </c>
      <c r="Q164" s="121" t="str">
        <f t="shared" si="386"/>
        <v>Z14</v>
      </c>
      <c r="R164" s="121" t="str">
        <f t="shared" si="386"/>
        <v>Z15</v>
      </c>
      <c r="S164" s="121" t="s">
        <v>100</v>
      </c>
      <c r="U164" s="769" t="s">
        <v>105</v>
      </c>
      <c r="V164" s="769" t="str">
        <f>V$9</f>
        <v>City vehicles</v>
      </c>
      <c r="X164" s="766" t="str">
        <f t="shared" ref="X164:AL164" si="387">D164</f>
        <v>Z01</v>
      </c>
      <c r="Y164" s="766" t="str">
        <f t="shared" si="387"/>
        <v>Z02</v>
      </c>
      <c r="Z164" s="766" t="str">
        <f t="shared" si="387"/>
        <v>Z03</v>
      </c>
      <c r="AA164" s="766" t="str">
        <f t="shared" si="387"/>
        <v>Z04</v>
      </c>
      <c r="AB164" s="766" t="str">
        <f t="shared" si="387"/>
        <v>Z05</v>
      </c>
      <c r="AC164" s="766" t="str">
        <f t="shared" si="387"/>
        <v>Z06</v>
      </c>
      <c r="AD164" s="766" t="str">
        <f t="shared" si="387"/>
        <v>Z07</v>
      </c>
      <c r="AE164" s="766" t="str">
        <f t="shared" si="387"/>
        <v>Z08</v>
      </c>
      <c r="AF164" s="766" t="str">
        <f t="shared" si="387"/>
        <v>Z09</v>
      </c>
      <c r="AG164" s="766" t="str">
        <f t="shared" si="387"/>
        <v>Z10</v>
      </c>
      <c r="AH164" s="766" t="str">
        <f t="shared" si="387"/>
        <v>Z11</v>
      </c>
      <c r="AI164" s="766" t="str">
        <f t="shared" si="387"/>
        <v>Z12</v>
      </c>
      <c r="AJ164" s="766" t="str">
        <f t="shared" si="387"/>
        <v>Z13</v>
      </c>
      <c r="AK164" s="766" t="str">
        <f t="shared" si="387"/>
        <v>Z14</v>
      </c>
      <c r="AL164" s="766" t="str">
        <f t="shared" si="387"/>
        <v>Z15</v>
      </c>
      <c r="AM164" s="766" t="s">
        <v>100</v>
      </c>
    </row>
    <row r="165" spans="2:39" s="123" customFormat="1" x14ac:dyDescent="0.25">
      <c r="B165" s="383" t="s">
        <v>173</v>
      </c>
      <c r="C165" s="383"/>
      <c r="D165" s="684">
        <f>$V165*X165</f>
        <v>0</v>
      </c>
      <c r="E165" s="684">
        <f t="shared" ref="E165:E175" si="388">$V165*Y165</f>
        <v>0</v>
      </c>
      <c r="F165" s="684">
        <f t="shared" ref="F165:F175" si="389">$V165*Z165</f>
        <v>0</v>
      </c>
      <c r="G165" s="684">
        <f t="shared" ref="G165:G175" si="390">$V165*AA165</f>
        <v>0</v>
      </c>
      <c r="H165" s="684">
        <f t="shared" ref="H165:H175" si="391">$V165*AB165</f>
        <v>0</v>
      </c>
      <c r="I165" s="684">
        <f t="shared" ref="I165:I175" si="392">$V165*AC165</f>
        <v>0</v>
      </c>
      <c r="J165" s="684">
        <f t="shared" ref="J165:J175" si="393">$V165*AD165</f>
        <v>0</v>
      </c>
      <c r="K165" s="684">
        <f t="shared" ref="K165:K175" si="394">$V165*AE165</f>
        <v>0</v>
      </c>
      <c r="L165" s="684">
        <f t="shared" ref="L165:L175" si="395">$V165*AF165</f>
        <v>0</v>
      </c>
      <c r="M165" s="684">
        <f t="shared" ref="M165:M175" si="396">$V165*AG165</f>
        <v>0</v>
      </c>
      <c r="N165" s="684">
        <f t="shared" ref="N165:N175" si="397">$V165*AH165</f>
        <v>0</v>
      </c>
      <c r="O165" s="684">
        <f t="shared" ref="O165:O175" si="398">$V165*AI165</f>
        <v>0</v>
      </c>
      <c r="P165" s="684">
        <f t="shared" ref="P165:P175" si="399">$V165*AJ165</f>
        <v>0</v>
      </c>
      <c r="Q165" s="684">
        <f t="shared" ref="Q165:Q175" si="400">$V165*AK165</f>
        <v>0</v>
      </c>
      <c r="R165" s="684">
        <f t="shared" ref="R165:R175" si="401">$V165*AL165</f>
        <v>0</v>
      </c>
      <c r="S165" s="684">
        <f t="shared" ref="S165:S175" si="402">$V165*AM165</f>
        <v>0</v>
      </c>
      <c r="U165" s="794"/>
      <c r="V165" s="794"/>
      <c r="W165" s="760"/>
      <c r="X165" s="772">
        <f t="shared" ref="X165:AL175" si="403">X$6</f>
        <v>1</v>
      </c>
      <c r="Y165" s="772">
        <f t="shared" si="403"/>
        <v>0</v>
      </c>
      <c r="Z165" s="772">
        <f t="shared" si="403"/>
        <v>0</v>
      </c>
      <c r="AA165" s="772">
        <f t="shared" si="403"/>
        <v>0</v>
      </c>
      <c r="AB165" s="772">
        <f t="shared" si="403"/>
        <v>0</v>
      </c>
      <c r="AC165" s="772">
        <f t="shared" si="403"/>
        <v>0</v>
      </c>
      <c r="AD165" s="772">
        <f t="shared" si="403"/>
        <v>0</v>
      </c>
      <c r="AE165" s="772">
        <f t="shared" si="403"/>
        <v>0</v>
      </c>
      <c r="AF165" s="772">
        <f t="shared" si="403"/>
        <v>0</v>
      </c>
      <c r="AG165" s="772">
        <f t="shared" si="403"/>
        <v>0</v>
      </c>
      <c r="AH165" s="772">
        <f t="shared" si="403"/>
        <v>0</v>
      </c>
      <c r="AI165" s="772">
        <f t="shared" si="403"/>
        <v>0</v>
      </c>
      <c r="AJ165" s="772">
        <f t="shared" si="403"/>
        <v>0</v>
      </c>
      <c r="AK165" s="772">
        <f t="shared" si="403"/>
        <v>0</v>
      </c>
      <c r="AL165" s="772">
        <f t="shared" si="403"/>
        <v>0</v>
      </c>
      <c r="AM165" s="773">
        <f t="shared" ref="AM165:AM175" si="404">SUM(X165:AI165)</f>
        <v>1</v>
      </c>
    </row>
    <row r="166" spans="2:39" s="123" customFormat="1" x14ac:dyDescent="0.25">
      <c r="B166" s="384" t="s">
        <v>174</v>
      </c>
      <c r="C166" s="383"/>
      <c r="D166" s="684">
        <f t="shared" ref="D166:D175" si="405">$V166*X166</f>
        <v>0</v>
      </c>
      <c r="E166" s="684">
        <f t="shared" si="388"/>
        <v>0</v>
      </c>
      <c r="F166" s="684">
        <f t="shared" si="389"/>
        <v>0</v>
      </c>
      <c r="G166" s="684">
        <f t="shared" si="390"/>
        <v>0</v>
      </c>
      <c r="H166" s="684">
        <f t="shared" si="391"/>
        <v>0</v>
      </c>
      <c r="I166" s="684">
        <f t="shared" si="392"/>
        <v>0</v>
      </c>
      <c r="J166" s="684">
        <f t="shared" si="393"/>
        <v>0</v>
      </c>
      <c r="K166" s="684">
        <f t="shared" si="394"/>
        <v>0</v>
      </c>
      <c r="L166" s="684">
        <f t="shared" si="395"/>
        <v>0</v>
      </c>
      <c r="M166" s="684">
        <f t="shared" si="396"/>
        <v>0</v>
      </c>
      <c r="N166" s="684">
        <f t="shared" si="397"/>
        <v>0</v>
      </c>
      <c r="O166" s="684">
        <f t="shared" si="398"/>
        <v>0</v>
      </c>
      <c r="P166" s="684">
        <f t="shared" si="399"/>
        <v>0</v>
      </c>
      <c r="Q166" s="684">
        <f t="shared" si="400"/>
        <v>0</v>
      </c>
      <c r="R166" s="684">
        <f t="shared" si="401"/>
        <v>0</v>
      </c>
      <c r="S166" s="684">
        <f t="shared" si="402"/>
        <v>0</v>
      </c>
      <c r="U166" s="794"/>
      <c r="V166" s="794"/>
      <c r="W166" s="760"/>
      <c r="X166" s="772">
        <f t="shared" si="403"/>
        <v>1</v>
      </c>
      <c r="Y166" s="772">
        <f t="shared" si="403"/>
        <v>0</v>
      </c>
      <c r="Z166" s="772">
        <f t="shared" si="403"/>
        <v>0</v>
      </c>
      <c r="AA166" s="772">
        <f t="shared" si="403"/>
        <v>0</v>
      </c>
      <c r="AB166" s="772">
        <f t="shared" si="403"/>
        <v>0</v>
      </c>
      <c r="AC166" s="772">
        <f t="shared" si="403"/>
        <v>0</v>
      </c>
      <c r="AD166" s="772">
        <f t="shared" si="403"/>
        <v>0</v>
      </c>
      <c r="AE166" s="772">
        <f t="shared" si="403"/>
        <v>0</v>
      </c>
      <c r="AF166" s="772">
        <f t="shared" si="403"/>
        <v>0</v>
      </c>
      <c r="AG166" s="772">
        <f t="shared" si="403"/>
        <v>0</v>
      </c>
      <c r="AH166" s="772">
        <f t="shared" si="403"/>
        <v>0</v>
      </c>
      <c r="AI166" s="772">
        <f t="shared" si="403"/>
        <v>0</v>
      </c>
      <c r="AJ166" s="772">
        <f t="shared" si="403"/>
        <v>0</v>
      </c>
      <c r="AK166" s="772">
        <f t="shared" si="403"/>
        <v>0</v>
      </c>
      <c r="AL166" s="772">
        <f t="shared" si="403"/>
        <v>0</v>
      </c>
      <c r="AM166" s="773">
        <f t="shared" si="404"/>
        <v>1</v>
      </c>
    </row>
    <row r="167" spans="2:39" s="123" customFormat="1" x14ac:dyDescent="0.25">
      <c r="B167" s="384" t="s">
        <v>175</v>
      </c>
      <c r="C167" s="383"/>
      <c r="D167" s="684">
        <f t="shared" si="405"/>
        <v>0</v>
      </c>
      <c r="E167" s="684">
        <f t="shared" si="388"/>
        <v>0</v>
      </c>
      <c r="F167" s="684">
        <f t="shared" si="389"/>
        <v>0</v>
      </c>
      <c r="G167" s="684">
        <f t="shared" si="390"/>
        <v>0</v>
      </c>
      <c r="H167" s="684">
        <f t="shared" si="391"/>
        <v>0</v>
      </c>
      <c r="I167" s="684">
        <f t="shared" si="392"/>
        <v>0</v>
      </c>
      <c r="J167" s="684">
        <f t="shared" si="393"/>
        <v>0</v>
      </c>
      <c r="K167" s="684">
        <f t="shared" si="394"/>
        <v>0</v>
      </c>
      <c r="L167" s="684">
        <f t="shared" si="395"/>
        <v>0</v>
      </c>
      <c r="M167" s="684">
        <f t="shared" si="396"/>
        <v>0</v>
      </c>
      <c r="N167" s="684">
        <f t="shared" si="397"/>
        <v>0</v>
      </c>
      <c r="O167" s="684">
        <f t="shared" si="398"/>
        <v>0</v>
      </c>
      <c r="P167" s="684">
        <f t="shared" si="399"/>
        <v>0</v>
      </c>
      <c r="Q167" s="684">
        <f t="shared" si="400"/>
        <v>0</v>
      </c>
      <c r="R167" s="684">
        <f t="shared" si="401"/>
        <v>0</v>
      </c>
      <c r="S167" s="684">
        <f t="shared" si="402"/>
        <v>0</v>
      </c>
      <c r="U167" s="794"/>
      <c r="V167" s="794"/>
      <c r="W167" s="760"/>
      <c r="X167" s="772">
        <f t="shared" si="403"/>
        <v>1</v>
      </c>
      <c r="Y167" s="772">
        <f t="shared" si="403"/>
        <v>0</v>
      </c>
      <c r="Z167" s="772">
        <f t="shared" si="403"/>
        <v>0</v>
      </c>
      <c r="AA167" s="772">
        <f t="shared" si="403"/>
        <v>0</v>
      </c>
      <c r="AB167" s="772">
        <f t="shared" si="403"/>
        <v>0</v>
      </c>
      <c r="AC167" s="772">
        <f t="shared" si="403"/>
        <v>0</v>
      </c>
      <c r="AD167" s="772">
        <f t="shared" si="403"/>
        <v>0</v>
      </c>
      <c r="AE167" s="772">
        <f t="shared" si="403"/>
        <v>0</v>
      </c>
      <c r="AF167" s="772">
        <f t="shared" si="403"/>
        <v>0</v>
      </c>
      <c r="AG167" s="772">
        <f t="shared" si="403"/>
        <v>0</v>
      </c>
      <c r="AH167" s="772">
        <f t="shared" si="403"/>
        <v>0</v>
      </c>
      <c r="AI167" s="772">
        <f t="shared" si="403"/>
        <v>0</v>
      </c>
      <c r="AJ167" s="772">
        <f t="shared" si="403"/>
        <v>0</v>
      </c>
      <c r="AK167" s="772">
        <f t="shared" si="403"/>
        <v>0</v>
      </c>
      <c r="AL167" s="772">
        <f t="shared" si="403"/>
        <v>0</v>
      </c>
      <c r="AM167" s="773">
        <f t="shared" si="404"/>
        <v>1</v>
      </c>
    </row>
    <row r="168" spans="2:39" s="123" customFormat="1" x14ac:dyDescent="0.25">
      <c r="B168" s="384" t="s">
        <v>176</v>
      </c>
      <c r="C168" s="383"/>
      <c r="D168" s="684">
        <f t="shared" si="405"/>
        <v>0</v>
      </c>
      <c r="E168" s="684">
        <f t="shared" si="388"/>
        <v>0</v>
      </c>
      <c r="F168" s="684">
        <f t="shared" si="389"/>
        <v>0</v>
      </c>
      <c r="G168" s="684">
        <f t="shared" si="390"/>
        <v>0</v>
      </c>
      <c r="H168" s="684">
        <f t="shared" si="391"/>
        <v>0</v>
      </c>
      <c r="I168" s="684">
        <f t="shared" si="392"/>
        <v>0</v>
      </c>
      <c r="J168" s="684">
        <f t="shared" si="393"/>
        <v>0</v>
      </c>
      <c r="K168" s="684">
        <f t="shared" si="394"/>
        <v>0</v>
      </c>
      <c r="L168" s="684">
        <f t="shared" si="395"/>
        <v>0</v>
      </c>
      <c r="M168" s="684">
        <f t="shared" si="396"/>
        <v>0</v>
      </c>
      <c r="N168" s="684">
        <f t="shared" si="397"/>
        <v>0</v>
      </c>
      <c r="O168" s="684">
        <f t="shared" si="398"/>
        <v>0</v>
      </c>
      <c r="P168" s="684">
        <f t="shared" si="399"/>
        <v>0</v>
      </c>
      <c r="Q168" s="684">
        <f t="shared" si="400"/>
        <v>0</v>
      </c>
      <c r="R168" s="684">
        <f t="shared" si="401"/>
        <v>0</v>
      </c>
      <c r="S168" s="684">
        <f t="shared" si="402"/>
        <v>0</v>
      </c>
      <c r="U168" s="794"/>
      <c r="V168" s="794"/>
      <c r="W168" s="760"/>
      <c r="X168" s="772">
        <f t="shared" si="403"/>
        <v>1</v>
      </c>
      <c r="Y168" s="772">
        <f t="shared" si="403"/>
        <v>0</v>
      </c>
      <c r="Z168" s="772">
        <f t="shared" si="403"/>
        <v>0</v>
      </c>
      <c r="AA168" s="772">
        <f t="shared" si="403"/>
        <v>0</v>
      </c>
      <c r="AB168" s="772">
        <f t="shared" si="403"/>
        <v>0</v>
      </c>
      <c r="AC168" s="772">
        <f t="shared" si="403"/>
        <v>0</v>
      </c>
      <c r="AD168" s="772">
        <f t="shared" si="403"/>
        <v>0</v>
      </c>
      <c r="AE168" s="772">
        <f t="shared" si="403"/>
        <v>0</v>
      </c>
      <c r="AF168" s="772">
        <f t="shared" si="403"/>
        <v>0</v>
      </c>
      <c r="AG168" s="772">
        <f t="shared" si="403"/>
        <v>0</v>
      </c>
      <c r="AH168" s="772">
        <f t="shared" si="403"/>
        <v>0</v>
      </c>
      <c r="AI168" s="772">
        <f t="shared" si="403"/>
        <v>0</v>
      </c>
      <c r="AJ168" s="772">
        <f t="shared" si="403"/>
        <v>0</v>
      </c>
      <c r="AK168" s="772">
        <f t="shared" si="403"/>
        <v>0</v>
      </c>
      <c r="AL168" s="772">
        <f t="shared" si="403"/>
        <v>0</v>
      </c>
      <c r="AM168" s="773">
        <f t="shared" si="404"/>
        <v>1</v>
      </c>
    </row>
    <row r="169" spans="2:39" s="123" customFormat="1" x14ac:dyDescent="0.25">
      <c r="B169" s="384" t="s">
        <v>177</v>
      </c>
      <c r="C169" s="383"/>
      <c r="D169" s="684">
        <f t="shared" si="405"/>
        <v>0</v>
      </c>
      <c r="E169" s="684">
        <f t="shared" si="388"/>
        <v>0</v>
      </c>
      <c r="F169" s="684">
        <f t="shared" si="389"/>
        <v>0</v>
      </c>
      <c r="G169" s="684">
        <f t="shared" si="390"/>
        <v>0</v>
      </c>
      <c r="H169" s="684">
        <f t="shared" si="391"/>
        <v>0</v>
      </c>
      <c r="I169" s="684">
        <f t="shared" si="392"/>
        <v>0</v>
      </c>
      <c r="J169" s="684">
        <f t="shared" si="393"/>
        <v>0</v>
      </c>
      <c r="K169" s="684">
        <f t="shared" si="394"/>
        <v>0</v>
      </c>
      <c r="L169" s="684">
        <f t="shared" si="395"/>
        <v>0</v>
      </c>
      <c r="M169" s="684">
        <f t="shared" si="396"/>
        <v>0</v>
      </c>
      <c r="N169" s="684">
        <f t="shared" si="397"/>
        <v>0</v>
      </c>
      <c r="O169" s="684">
        <f t="shared" si="398"/>
        <v>0</v>
      </c>
      <c r="P169" s="684">
        <f t="shared" si="399"/>
        <v>0</v>
      </c>
      <c r="Q169" s="684">
        <f t="shared" si="400"/>
        <v>0</v>
      </c>
      <c r="R169" s="684">
        <f t="shared" si="401"/>
        <v>0</v>
      </c>
      <c r="S169" s="684">
        <f t="shared" si="402"/>
        <v>0</v>
      </c>
      <c r="U169" s="794"/>
      <c r="V169" s="794"/>
      <c r="W169" s="760"/>
      <c r="X169" s="772">
        <f t="shared" si="403"/>
        <v>1</v>
      </c>
      <c r="Y169" s="772">
        <f t="shared" si="403"/>
        <v>0</v>
      </c>
      <c r="Z169" s="772">
        <f t="shared" si="403"/>
        <v>0</v>
      </c>
      <c r="AA169" s="772">
        <f t="shared" si="403"/>
        <v>0</v>
      </c>
      <c r="AB169" s="772">
        <f t="shared" si="403"/>
        <v>0</v>
      </c>
      <c r="AC169" s="772">
        <f t="shared" si="403"/>
        <v>0</v>
      </c>
      <c r="AD169" s="772">
        <f t="shared" si="403"/>
        <v>0</v>
      </c>
      <c r="AE169" s="772">
        <f t="shared" si="403"/>
        <v>0</v>
      </c>
      <c r="AF169" s="772">
        <f t="shared" si="403"/>
        <v>0</v>
      </c>
      <c r="AG169" s="772">
        <f t="shared" si="403"/>
        <v>0</v>
      </c>
      <c r="AH169" s="772">
        <f t="shared" si="403"/>
        <v>0</v>
      </c>
      <c r="AI169" s="772">
        <f t="shared" si="403"/>
        <v>0</v>
      </c>
      <c r="AJ169" s="772">
        <f t="shared" si="403"/>
        <v>0</v>
      </c>
      <c r="AK169" s="772">
        <f t="shared" si="403"/>
        <v>0</v>
      </c>
      <c r="AL169" s="772">
        <f t="shared" si="403"/>
        <v>0</v>
      </c>
      <c r="AM169" s="773">
        <f t="shared" si="404"/>
        <v>1</v>
      </c>
    </row>
    <row r="170" spans="2:39" s="123" customFormat="1" x14ac:dyDescent="0.25">
      <c r="B170" s="385" t="s">
        <v>178</v>
      </c>
      <c r="C170" s="529"/>
      <c r="D170" s="684">
        <f t="shared" si="405"/>
        <v>0</v>
      </c>
      <c r="E170" s="684">
        <f t="shared" si="388"/>
        <v>0</v>
      </c>
      <c r="F170" s="684">
        <f t="shared" si="389"/>
        <v>0</v>
      </c>
      <c r="G170" s="684">
        <f t="shared" si="390"/>
        <v>0</v>
      </c>
      <c r="H170" s="684">
        <f t="shared" si="391"/>
        <v>0</v>
      </c>
      <c r="I170" s="684">
        <f t="shared" si="392"/>
        <v>0</v>
      </c>
      <c r="J170" s="684">
        <f t="shared" si="393"/>
        <v>0</v>
      </c>
      <c r="K170" s="684">
        <f t="shared" si="394"/>
        <v>0</v>
      </c>
      <c r="L170" s="684">
        <f t="shared" si="395"/>
        <v>0</v>
      </c>
      <c r="M170" s="684">
        <f t="shared" si="396"/>
        <v>0</v>
      </c>
      <c r="N170" s="684">
        <f t="shared" si="397"/>
        <v>0</v>
      </c>
      <c r="O170" s="684">
        <f t="shared" si="398"/>
        <v>0</v>
      </c>
      <c r="P170" s="684">
        <f t="shared" si="399"/>
        <v>0</v>
      </c>
      <c r="Q170" s="684">
        <f t="shared" si="400"/>
        <v>0</v>
      </c>
      <c r="R170" s="684">
        <f t="shared" si="401"/>
        <v>0</v>
      </c>
      <c r="S170" s="684">
        <f t="shared" si="402"/>
        <v>0</v>
      </c>
      <c r="U170" s="794"/>
      <c r="V170" s="794"/>
      <c r="W170" s="760"/>
      <c r="X170" s="772">
        <f t="shared" si="403"/>
        <v>1</v>
      </c>
      <c r="Y170" s="772">
        <f t="shared" si="403"/>
        <v>0</v>
      </c>
      <c r="Z170" s="772">
        <f t="shared" si="403"/>
        <v>0</v>
      </c>
      <c r="AA170" s="772">
        <f t="shared" si="403"/>
        <v>0</v>
      </c>
      <c r="AB170" s="772">
        <f t="shared" si="403"/>
        <v>0</v>
      </c>
      <c r="AC170" s="772">
        <f t="shared" si="403"/>
        <v>0</v>
      </c>
      <c r="AD170" s="772">
        <f t="shared" si="403"/>
        <v>0</v>
      </c>
      <c r="AE170" s="772">
        <f t="shared" si="403"/>
        <v>0</v>
      </c>
      <c r="AF170" s="772">
        <f t="shared" si="403"/>
        <v>0</v>
      </c>
      <c r="AG170" s="772">
        <f t="shared" si="403"/>
        <v>0</v>
      </c>
      <c r="AH170" s="772">
        <f t="shared" si="403"/>
        <v>0</v>
      </c>
      <c r="AI170" s="772">
        <f t="shared" si="403"/>
        <v>0</v>
      </c>
      <c r="AJ170" s="772">
        <f t="shared" si="403"/>
        <v>0</v>
      </c>
      <c r="AK170" s="772">
        <f t="shared" si="403"/>
        <v>0</v>
      </c>
      <c r="AL170" s="772">
        <f t="shared" si="403"/>
        <v>0</v>
      </c>
      <c r="AM170" s="773">
        <f t="shared" si="404"/>
        <v>1</v>
      </c>
    </row>
    <row r="171" spans="2:39" s="123" customFormat="1" x14ac:dyDescent="0.25">
      <c r="B171" s="385" t="s">
        <v>179</v>
      </c>
      <c r="C171" s="529"/>
      <c r="D171" s="684">
        <f t="shared" si="405"/>
        <v>0</v>
      </c>
      <c r="E171" s="684">
        <f t="shared" si="388"/>
        <v>0</v>
      </c>
      <c r="F171" s="684">
        <f t="shared" si="389"/>
        <v>0</v>
      </c>
      <c r="G171" s="684">
        <f t="shared" si="390"/>
        <v>0</v>
      </c>
      <c r="H171" s="684">
        <f t="shared" si="391"/>
        <v>0</v>
      </c>
      <c r="I171" s="684">
        <f t="shared" si="392"/>
        <v>0</v>
      </c>
      <c r="J171" s="684">
        <f t="shared" si="393"/>
        <v>0</v>
      </c>
      <c r="K171" s="684">
        <f t="shared" si="394"/>
        <v>0</v>
      </c>
      <c r="L171" s="684">
        <f t="shared" si="395"/>
        <v>0</v>
      </c>
      <c r="M171" s="684">
        <f t="shared" si="396"/>
        <v>0</v>
      </c>
      <c r="N171" s="684">
        <f t="shared" si="397"/>
        <v>0</v>
      </c>
      <c r="O171" s="684">
        <f t="shared" si="398"/>
        <v>0</v>
      </c>
      <c r="P171" s="684">
        <f t="shared" si="399"/>
        <v>0</v>
      </c>
      <c r="Q171" s="684">
        <f t="shared" si="400"/>
        <v>0</v>
      </c>
      <c r="R171" s="684">
        <f t="shared" si="401"/>
        <v>0</v>
      </c>
      <c r="S171" s="684">
        <f t="shared" si="402"/>
        <v>0</v>
      </c>
      <c r="U171" s="794"/>
      <c r="V171" s="794"/>
      <c r="W171" s="760"/>
      <c r="X171" s="772">
        <f t="shared" si="403"/>
        <v>1</v>
      </c>
      <c r="Y171" s="772">
        <f t="shared" si="403"/>
        <v>0</v>
      </c>
      <c r="Z171" s="772">
        <f t="shared" si="403"/>
        <v>0</v>
      </c>
      <c r="AA171" s="772">
        <f t="shared" si="403"/>
        <v>0</v>
      </c>
      <c r="AB171" s="772">
        <f t="shared" si="403"/>
        <v>0</v>
      </c>
      <c r="AC171" s="772">
        <f t="shared" si="403"/>
        <v>0</v>
      </c>
      <c r="AD171" s="772">
        <f t="shared" si="403"/>
        <v>0</v>
      </c>
      <c r="AE171" s="772">
        <f t="shared" si="403"/>
        <v>0</v>
      </c>
      <c r="AF171" s="772">
        <f t="shared" si="403"/>
        <v>0</v>
      </c>
      <c r="AG171" s="772">
        <f t="shared" si="403"/>
        <v>0</v>
      </c>
      <c r="AH171" s="772">
        <f t="shared" si="403"/>
        <v>0</v>
      </c>
      <c r="AI171" s="772">
        <f t="shared" si="403"/>
        <v>0</v>
      </c>
      <c r="AJ171" s="772">
        <f t="shared" si="403"/>
        <v>0</v>
      </c>
      <c r="AK171" s="772">
        <f t="shared" si="403"/>
        <v>0</v>
      </c>
      <c r="AL171" s="772">
        <f t="shared" si="403"/>
        <v>0</v>
      </c>
      <c r="AM171" s="773">
        <f t="shared" si="404"/>
        <v>1</v>
      </c>
    </row>
    <row r="172" spans="2:39" s="123" customFormat="1" x14ac:dyDescent="0.25">
      <c r="B172" s="385" t="s">
        <v>180</v>
      </c>
      <c r="C172" s="529"/>
      <c r="D172" s="684">
        <f t="shared" si="405"/>
        <v>0</v>
      </c>
      <c r="E172" s="684">
        <f t="shared" si="388"/>
        <v>0</v>
      </c>
      <c r="F172" s="684">
        <f t="shared" si="389"/>
        <v>0</v>
      </c>
      <c r="G172" s="684">
        <f t="shared" si="390"/>
        <v>0</v>
      </c>
      <c r="H172" s="684">
        <f t="shared" si="391"/>
        <v>0</v>
      </c>
      <c r="I172" s="684">
        <f t="shared" si="392"/>
        <v>0</v>
      </c>
      <c r="J172" s="684">
        <f t="shared" si="393"/>
        <v>0</v>
      </c>
      <c r="K172" s="684">
        <f t="shared" si="394"/>
        <v>0</v>
      </c>
      <c r="L172" s="684">
        <f t="shared" si="395"/>
        <v>0</v>
      </c>
      <c r="M172" s="684">
        <f t="shared" si="396"/>
        <v>0</v>
      </c>
      <c r="N172" s="684">
        <f t="shared" si="397"/>
        <v>0</v>
      </c>
      <c r="O172" s="684">
        <f t="shared" si="398"/>
        <v>0</v>
      </c>
      <c r="P172" s="684">
        <f t="shared" si="399"/>
        <v>0</v>
      </c>
      <c r="Q172" s="684">
        <f t="shared" si="400"/>
        <v>0</v>
      </c>
      <c r="R172" s="684">
        <f t="shared" si="401"/>
        <v>0</v>
      </c>
      <c r="S172" s="684">
        <f t="shared" si="402"/>
        <v>0</v>
      </c>
      <c r="U172" s="794"/>
      <c r="V172" s="794"/>
      <c r="W172" s="760"/>
      <c r="X172" s="772">
        <f t="shared" si="403"/>
        <v>1</v>
      </c>
      <c r="Y172" s="772">
        <f t="shared" si="403"/>
        <v>0</v>
      </c>
      <c r="Z172" s="772">
        <f t="shared" si="403"/>
        <v>0</v>
      </c>
      <c r="AA172" s="772">
        <f t="shared" si="403"/>
        <v>0</v>
      </c>
      <c r="AB172" s="772">
        <f t="shared" si="403"/>
        <v>0</v>
      </c>
      <c r="AC172" s="772">
        <f t="shared" si="403"/>
        <v>0</v>
      </c>
      <c r="AD172" s="772">
        <f t="shared" si="403"/>
        <v>0</v>
      </c>
      <c r="AE172" s="772">
        <f t="shared" si="403"/>
        <v>0</v>
      </c>
      <c r="AF172" s="772">
        <f t="shared" si="403"/>
        <v>0</v>
      </c>
      <c r="AG172" s="772">
        <f t="shared" si="403"/>
        <v>0</v>
      </c>
      <c r="AH172" s="772">
        <f t="shared" si="403"/>
        <v>0</v>
      </c>
      <c r="AI172" s="772">
        <f t="shared" si="403"/>
        <v>0</v>
      </c>
      <c r="AJ172" s="772">
        <f t="shared" si="403"/>
        <v>0</v>
      </c>
      <c r="AK172" s="772">
        <f t="shared" si="403"/>
        <v>0</v>
      </c>
      <c r="AL172" s="772">
        <f t="shared" si="403"/>
        <v>0</v>
      </c>
      <c r="AM172" s="773">
        <f t="shared" si="404"/>
        <v>1</v>
      </c>
    </row>
    <row r="173" spans="2:39" s="123" customFormat="1" x14ac:dyDescent="0.25">
      <c r="B173" s="385" t="s">
        <v>181</v>
      </c>
      <c r="C173" s="529"/>
      <c r="D173" s="684">
        <f t="shared" si="405"/>
        <v>0</v>
      </c>
      <c r="E173" s="684">
        <f t="shared" si="388"/>
        <v>0</v>
      </c>
      <c r="F173" s="684">
        <f t="shared" si="389"/>
        <v>0</v>
      </c>
      <c r="G173" s="684">
        <f t="shared" si="390"/>
        <v>0</v>
      </c>
      <c r="H173" s="684">
        <f t="shared" si="391"/>
        <v>0</v>
      </c>
      <c r="I173" s="684">
        <f t="shared" si="392"/>
        <v>0</v>
      </c>
      <c r="J173" s="684">
        <f t="shared" si="393"/>
        <v>0</v>
      </c>
      <c r="K173" s="684">
        <f t="shared" si="394"/>
        <v>0</v>
      </c>
      <c r="L173" s="684">
        <f t="shared" si="395"/>
        <v>0</v>
      </c>
      <c r="M173" s="684">
        <f t="shared" si="396"/>
        <v>0</v>
      </c>
      <c r="N173" s="684">
        <f t="shared" si="397"/>
        <v>0</v>
      </c>
      <c r="O173" s="684">
        <f t="shared" si="398"/>
        <v>0</v>
      </c>
      <c r="P173" s="684">
        <f t="shared" si="399"/>
        <v>0</v>
      </c>
      <c r="Q173" s="684">
        <f t="shared" si="400"/>
        <v>0</v>
      </c>
      <c r="R173" s="684">
        <f t="shared" si="401"/>
        <v>0</v>
      </c>
      <c r="S173" s="684">
        <f t="shared" si="402"/>
        <v>0</v>
      </c>
      <c r="U173" s="794"/>
      <c r="V173" s="794"/>
      <c r="W173" s="760"/>
      <c r="X173" s="772">
        <f t="shared" si="403"/>
        <v>1</v>
      </c>
      <c r="Y173" s="772">
        <f t="shared" si="403"/>
        <v>0</v>
      </c>
      <c r="Z173" s="772">
        <f t="shared" si="403"/>
        <v>0</v>
      </c>
      <c r="AA173" s="772">
        <f t="shared" si="403"/>
        <v>0</v>
      </c>
      <c r="AB173" s="772">
        <f t="shared" si="403"/>
        <v>0</v>
      </c>
      <c r="AC173" s="772">
        <f t="shared" si="403"/>
        <v>0</v>
      </c>
      <c r="AD173" s="772">
        <f t="shared" si="403"/>
        <v>0</v>
      </c>
      <c r="AE173" s="772">
        <f t="shared" si="403"/>
        <v>0</v>
      </c>
      <c r="AF173" s="772">
        <f t="shared" si="403"/>
        <v>0</v>
      </c>
      <c r="AG173" s="772">
        <f t="shared" si="403"/>
        <v>0</v>
      </c>
      <c r="AH173" s="772">
        <f t="shared" si="403"/>
        <v>0</v>
      </c>
      <c r="AI173" s="772">
        <f t="shared" si="403"/>
        <v>0</v>
      </c>
      <c r="AJ173" s="772">
        <f t="shared" si="403"/>
        <v>0</v>
      </c>
      <c r="AK173" s="772">
        <f t="shared" si="403"/>
        <v>0</v>
      </c>
      <c r="AL173" s="772">
        <f t="shared" si="403"/>
        <v>0</v>
      </c>
      <c r="AM173" s="773">
        <f t="shared" si="404"/>
        <v>1</v>
      </c>
    </row>
    <row r="174" spans="2:39" s="123" customFormat="1" x14ac:dyDescent="0.25">
      <c r="B174" s="384" t="s">
        <v>182</v>
      </c>
      <c r="C174" s="383"/>
      <c r="D174" s="684">
        <f t="shared" si="405"/>
        <v>0</v>
      </c>
      <c r="E174" s="684">
        <f t="shared" si="388"/>
        <v>0</v>
      </c>
      <c r="F174" s="684">
        <f t="shared" si="389"/>
        <v>0</v>
      </c>
      <c r="G174" s="684">
        <f t="shared" si="390"/>
        <v>0</v>
      </c>
      <c r="H174" s="684">
        <f t="shared" si="391"/>
        <v>0</v>
      </c>
      <c r="I174" s="684">
        <f t="shared" si="392"/>
        <v>0</v>
      </c>
      <c r="J174" s="684">
        <f t="shared" si="393"/>
        <v>0</v>
      </c>
      <c r="K174" s="684">
        <f t="shared" si="394"/>
        <v>0</v>
      </c>
      <c r="L174" s="684">
        <f t="shared" si="395"/>
        <v>0</v>
      </c>
      <c r="M174" s="684">
        <f t="shared" si="396"/>
        <v>0</v>
      </c>
      <c r="N174" s="684">
        <f t="shared" si="397"/>
        <v>0</v>
      </c>
      <c r="O174" s="684">
        <f t="shared" si="398"/>
        <v>0</v>
      </c>
      <c r="P174" s="684">
        <f t="shared" si="399"/>
        <v>0</v>
      </c>
      <c r="Q174" s="684">
        <f t="shared" si="400"/>
        <v>0</v>
      </c>
      <c r="R174" s="684">
        <f t="shared" si="401"/>
        <v>0</v>
      </c>
      <c r="S174" s="684">
        <f t="shared" si="402"/>
        <v>0</v>
      </c>
      <c r="U174" s="794"/>
      <c r="V174" s="794"/>
      <c r="W174" s="760"/>
      <c r="X174" s="772">
        <f t="shared" si="403"/>
        <v>1</v>
      </c>
      <c r="Y174" s="772">
        <f t="shared" si="403"/>
        <v>0</v>
      </c>
      <c r="Z174" s="772">
        <f t="shared" si="403"/>
        <v>0</v>
      </c>
      <c r="AA174" s="772">
        <f t="shared" si="403"/>
        <v>0</v>
      </c>
      <c r="AB174" s="772">
        <f t="shared" si="403"/>
        <v>0</v>
      </c>
      <c r="AC174" s="772">
        <f t="shared" si="403"/>
        <v>0</v>
      </c>
      <c r="AD174" s="772">
        <f t="shared" si="403"/>
        <v>0</v>
      </c>
      <c r="AE174" s="772">
        <f t="shared" si="403"/>
        <v>0</v>
      </c>
      <c r="AF174" s="772">
        <f t="shared" si="403"/>
        <v>0</v>
      </c>
      <c r="AG174" s="772">
        <f t="shared" si="403"/>
        <v>0</v>
      </c>
      <c r="AH174" s="772">
        <f t="shared" si="403"/>
        <v>0</v>
      </c>
      <c r="AI174" s="772">
        <f t="shared" si="403"/>
        <v>0</v>
      </c>
      <c r="AJ174" s="772">
        <f t="shared" si="403"/>
        <v>0</v>
      </c>
      <c r="AK174" s="772">
        <f t="shared" si="403"/>
        <v>0</v>
      </c>
      <c r="AL174" s="772">
        <f t="shared" si="403"/>
        <v>0</v>
      </c>
      <c r="AM174" s="773">
        <f t="shared" si="404"/>
        <v>1</v>
      </c>
    </row>
    <row r="175" spans="2:39" s="123" customFormat="1" x14ac:dyDescent="0.25">
      <c r="B175" s="386" t="s">
        <v>183</v>
      </c>
      <c r="C175" s="530"/>
      <c r="D175" s="685">
        <f t="shared" si="405"/>
        <v>0</v>
      </c>
      <c r="E175" s="685">
        <f t="shared" si="388"/>
        <v>0</v>
      </c>
      <c r="F175" s="685">
        <f t="shared" si="389"/>
        <v>0</v>
      </c>
      <c r="G175" s="685">
        <f t="shared" si="390"/>
        <v>0</v>
      </c>
      <c r="H175" s="685">
        <f t="shared" si="391"/>
        <v>0</v>
      </c>
      <c r="I175" s="685">
        <f t="shared" si="392"/>
        <v>0</v>
      </c>
      <c r="J175" s="685">
        <f t="shared" si="393"/>
        <v>0</v>
      </c>
      <c r="K175" s="685">
        <f t="shared" si="394"/>
        <v>0</v>
      </c>
      <c r="L175" s="685">
        <f t="shared" si="395"/>
        <v>0</v>
      </c>
      <c r="M175" s="685">
        <f t="shared" si="396"/>
        <v>0</v>
      </c>
      <c r="N175" s="685">
        <f t="shared" si="397"/>
        <v>0</v>
      </c>
      <c r="O175" s="685">
        <f t="shared" si="398"/>
        <v>0</v>
      </c>
      <c r="P175" s="685">
        <f t="shared" si="399"/>
        <v>0</v>
      </c>
      <c r="Q175" s="685">
        <f t="shared" si="400"/>
        <v>0</v>
      </c>
      <c r="R175" s="685">
        <f t="shared" si="401"/>
        <v>0</v>
      </c>
      <c r="S175" s="685">
        <f t="shared" si="402"/>
        <v>0</v>
      </c>
      <c r="U175" s="795"/>
      <c r="V175" s="795"/>
      <c r="W175" s="760"/>
      <c r="X175" s="772">
        <f t="shared" si="403"/>
        <v>1</v>
      </c>
      <c r="Y175" s="772">
        <f t="shared" si="403"/>
        <v>0</v>
      </c>
      <c r="Z175" s="772">
        <f t="shared" si="403"/>
        <v>0</v>
      </c>
      <c r="AA175" s="772">
        <f t="shared" si="403"/>
        <v>0</v>
      </c>
      <c r="AB175" s="772">
        <f t="shared" si="403"/>
        <v>0</v>
      </c>
      <c r="AC175" s="772">
        <f t="shared" si="403"/>
        <v>0</v>
      </c>
      <c r="AD175" s="772">
        <f t="shared" si="403"/>
        <v>0</v>
      </c>
      <c r="AE175" s="772">
        <f t="shared" si="403"/>
        <v>0</v>
      </c>
      <c r="AF175" s="772">
        <f t="shared" si="403"/>
        <v>0</v>
      </c>
      <c r="AG175" s="772">
        <f t="shared" si="403"/>
        <v>0</v>
      </c>
      <c r="AH175" s="772">
        <f t="shared" si="403"/>
        <v>0</v>
      </c>
      <c r="AI175" s="772">
        <f t="shared" si="403"/>
        <v>0</v>
      </c>
      <c r="AJ175" s="772">
        <f t="shared" si="403"/>
        <v>0</v>
      </c>
      <c r="AK175" s="772">
        <f t="shared" si="403"/>
        <v>0</v>
      </c>
      <c r="AL175" s="772">
        <f t="shared" si="403"/>
        <v>0</v>
      </c>
      <c r="AM175" s="773">
        <f t="shared" si="404"/>
        <v>1</v>
      </c>
    </row>
    <row r="176" spans="2:39" s="123" customFormat="1" x14ac:dyDescent="0.25">
      <c r="B176" s="387" t="s">
        <v>119</v>
      </c>
      <c r="C176" s="531"/>
      <c r="D176" s="686">
        <f t="shared" ref="D176:S176" si="406">SUM(D165:D175)</f>
        <v>0</v>
      </c>
      <c r="E176" s="686">
        <f t="shared" si="406"/>
        <v>0</v>
      </c>
      <c r="F176" s="686">
        <f t="shared" si="406"/>
        <v>0</v>
      </c>
      <c r="G176" s="686">
        <f t="shared" si="406"/>
        <v>0</v>
      </c>
      <c r="H176" s="686">
        <f t="shared" si="406"/>
        <v>0</v>
      </c>
      <c r="I176" s="686">
        <f t="shared" si="406"/>
        <v>0</v>
      </c>
      <c r="J176" s="686">
        <f t="shared" si="406"/>
        <v>0</v>
      </c>
      <c r="K176" s="686">
        <f t="shared" si="406"/>
        <v>0</v>
      </c>
      <c r="L176" s="686">
        <f t="shared" si="406"/>
        <v>0</v>
      </c>
      <c r="M176" s="686">
        <f t="shared" si="406"/>
        <v>0</v>
      </c>
      <c r="N176" s="686">
        <f t="shared" si="406"/>
        <v>0</v>
      </c>
      <c r="O176" s="686">
        <f t="shared" si="406"/>
        <v>0</v>
      </c>
      <c r="P176" s="686">
        <f t="shared" si="406"/>
        <v>0</v>
      </c>
      <c r="Q176" s="686">
        <f t="shared" si="406"/>
        <v>0</v>
      </c>
      <c r="R176" s="686">
        <f t="shared" si="406"/>
        <v>0</v>
      </c>
      <c r="S176" s="686">
        <f t="shared" si="406"/>
        <v>0</v>
      </c>
      <c r="U176" s="796">
        <f>SUM(U165:U175)</f>
        <v>0</v>
      </c>
      <c r="V176" s="796">
        <f>SUM(V165:V175)</f>
        <v>0</v>
      </c>
      <c r="W176" s="760"/>
      <c r="X176" s="760"/>
      <c r="Y176" s="760"/>
      <c r="Z176" s="760"/>
      <c r="AA176" s="760"/>
      <c r="AB176" s="760"/>
      <c r="AC176" s="760"/>
      <c r="AD176" s="760"/>
      <c r="AE176" s="760"/>
      <c r="AF176" s="760"/>
      <c r="AG176" s="760"/>
      <c r="AH176" s="760"/>
      <c r="AI176" s="760"/>
      <c r="AJ176" s="760"/>
      <c r="AK176" s="760"/>
      <c r="AL176" s="760"/>
      <c r="AM176" s="760"/>
    </row>
    <row r="178" spans="2:39" x14ac:dyDescent="0.25">
      <c r="B178" s="441" t="s">
        <v>184</v>
      </c>
      <c r="C178" s="523"/>
      <c r="V178" s="786"/>
      <c r="X178" s="764" t="s">
        <v>99</v>
      </c>
    </row>
    <row r="179" spans="2:39" x14ac:dyDescent="0.25">
      <c r="B179" s="441" t="s">
        <v>103</v>
      </c>
      <c r="C179" s="441" t="s">
        <v>104</v>
      </c>
      <c r="D179" s="121" t="str">
        <f>D$9</f>
        <v>Z01</v>
      </c>
      <c r="E179" s="121" t="str">
        <f t="shared" ref="E179:R179" si="407">E$9</f>
        <v>Z02</v>
      </c>
      <c r="F179" s="121" t="str">
        <f t="shared" si="407"/>
        <v>Z03</v>
      </c>
      <c r="G179" s="121" t="str">
        <f t="shared" si="407"/>
        <v>Z04</v>
      </c>
      <c r="H179" s="121" t="str">
        <f t="shared" si="407"/>
        <v>Z05</v>
      </c>
      <c r="I179" s="121" t="str">
        <f t="shared" si="407"/>
        <v>Z06</v>
      </c>
      <c r="J179" s="121" t="str">
        <f t="shared" si="407"/>
        <v>Z07</v>
      </c>
      <c r="K179" s="121" t="str">
        <f t="shared" si="407"/>
        <v>Z08</v>
      </c>
      <c r="L179" s="121" t="str">
        <f t="shared" si="407"/>
        <v>Z09</v>
      </c>
      <c r="M179" s="121" t="str">
        <f t="shared" si="407"/>
        <v>Z10</v>
      </c>
      <c r="N179" s="121" t="str">
        <f t="shared" si="407"/>
        <v>Z11</v>
      </c>
      <c r="O179" s="121" t="str">
        <f t="shared" si="407"/>
        <v>Z12</v>
      </c>
      <c r="P179" s="121" t="str">
        <f t="shared" si="407"/>
        <v>Z13</v>
      </c>
      <c r="Q179" s="121" t="str">
        <f t="shared" si="407"/>
        <v>Z14</v>
      </c>
      <c r="R179" s="121" t="str">
        <f t="shared" si="407"/>
        <v>Z15</v>
      </c>
      <c r="S179" s="121" t="s">
        <v>100</v>
      </c>
      <c r="U179" s="769" t="s">
        <v>105</v>
      </c>
      <c r="V179" s="769" t="str">
        <f>V$9</f>
        <v>City vehicles</v>
      </c>
      <c r="X179" s="766" t="str">
        <f t="shared" ref="X179" si="408">D179</f>
        <v>Z01</v>
      </c>
      <c r="Y179" s="766" t="str">
        <f t="shared" ref="Y179" si="409">E179</f>
        <v>Z02</v>
      </c>
      <c r="Z179" s="766" t="str">
        <f t="shared" ref="Z179" si="410">F179</f>
        <v>Z03</v>
      </c>
      <c r="AA179" s="766" t="str">
        <f t="shared" ref="AA179" si="411">G179</f>
        <v>Z04</v>
      </c>
      <c r="AB179" s="766" t="str">
        <f t="shared" ref="AB179" si="412">H179</f>
        <v>Z05</v>
      </c>
      <c r="AC179" s="766" t="str">
        <f t="shared" ref="AC179" si="413">I179</f>
        <v>Z06</v>
      </c>
      <c r="AD179" s="766" t="str">
        <f t="shared" ref="AD179" si="414">J179</f>
        <v>Z07</v>
      </c>
      <c r="AE179" s="766" t="str">
        <f t="shared" ref="AE179" si="415">K179</f>
        <v>Z08</v>
      </c>
      <c r="AF179" s="766" t="str">
        <f t="shared" ref="AF179" si="416">L179</f>
        <v>Z09</v>
      </c>
      <c r="AG179" s="766" t="str">
        <f t="shared" ref="AG179" si="417">M179</f>
        <v>Z10</v>
      </c>
      <c r="AH179" s="766" t="str">
        <f t="shared" ref="AH179" si="418">N179</f>
        <v>Z11</v>
      </c>
      <c r="AI179" s="766" t="str">
        <f t="shared" ref="AI179" si="419">O179</f>
        <v>Z12</v>
      </c>
      <c r="AJ179" s="766" t="str">
        <f t="shared" ref="AJ179" si="420">P179</f>
        <v>Z13</v>
      </c>
      <c r="AK179" s="766" t="str">
        <f t="shared" ref="AK179" si="421">Q179</f>
        <v>Z14</v>
      </c>
      <c r="AL179" s="766" t="str">
        <f t="shared" ref="AL179" si="422">R179</f>
        <v>Z15</v>
      </c>
      <c r="AM179" s="766" t="s">
        <v>100</v>
      </c>
    </row>
    <row r="180" spans="2:39" s="123" customFormat="1" ht="14.1" customHeight="1" x14ac:dyDescent="0.25">
      <c r="B180" s="386" t="s">
        <v>185</v>
      </c>
      <c r="C180" s="530" t="s">
        <v>186</v>
      </c>
      <c r="D180" s="685">
        <f>$V180*X180</f>
        <v>0</v>
      </c>
      <c r="E180" s="685">
        <f t="shared" ref="E180:S180" si="423">$V180*Y180</f>
        <v>0</v>
      </c>
      <c r="F180" s="685">
        <f t="shared" si="423"/>
        <v>0</v>
      </c>
      <c r="G180" s="685">
        <f t="shared" si="423"/>
        <v>0</v>
      </c>
      <c r="H180" s="685">
        <f t="shared" si="423"/>
        <v>0</v>
      </c>
      <c r="I180" s="685">
        <f t="shared" si="423"/>
        <v>0</v>
      </c>
      <c r="J180" s="685">
        <f t="shared" si="423"/>
        <v>0</v>
      </c>
      <c r="K180" s="685">
        <f t="shared" si="423"/>
        <v>0</v>
      </c>
      <c r="L180" s="685">
        <f t="shared" si="423"/>
        <v>0</v>
      </c>
      <c r="M180" s="685">
        <f t="shared" si="423"/>
        <v>0</v>
      </c>
      <c r="N180" s="685">
        <f t="shared" si="423"/>
        <v>0</v>
      </c>
      <c r="O180" s="685">
        <f t="shared" si="423"/>
        <v>0</v>
      </c>
      <c r="P180" s="685">
        <f t="shared" si="423"/>
        <v>0</v>
      </c>
      <c r="Q180" s="685">
        <f t="shared" si="423"/>
        <v>0</v>
      </c>
      <c r="R180" s="685">
        <f t="shared" si="423"/>
        <v>0</v>
      </c>
      <c r="S180" s="685">
        <f t="shared" si="423"/>
        <v>0</v>
      </c>
      <c r="U180" s="797"/>
      <c r="V180" s="795"/>
      <c r="W180" s="760"/>
      <c r="X180" s="772">
        <f t="shared" ref="X180:AL180" si="424">X$6</f>
        <v>1</v>
      </c>
      <c r="Y180" s="772">
        <f t="shared" si="424"/>
        <v>0</v>
      </c>
      <c r="Z180" s="772">
        <f t="shared" si="424"/>
        <v>0</v>
      </c>
      <c r="AA180" s="772">
        <f t="shared" si="424"/>
        <v>0</v>
      </c>
      <c r="AB180" s="772">
        <f t="shared" si="424"/>
        <v>0</v>
      </c>
      <c r="AC180" s="772">
        <f t="shared" si="424"/>
        <v>0</v>
      </c>
      <c r="AD180" s="772">
        <f t="shared" si="424"/>
        <v>0</v>
      </c>
      <c r="AE180" s="772">
        <f t="shared" si="424"/>
        <v>0</v>
      </c>
      <c r="AF180" s="772">
        <f t="shared" si="424"/>
        <v>0</v>
      </c>
      <c r="AG180" s="772">
        <f t="shared" si="424"/>
        <v>0</v>
      </c>
      <c r="AH180" s="772">
        <f t="shared" si="424"/>
        <v>0</v>
      </c>
      <c r="AI180" s="772">
        <f t="shared" si="424"/>
        <v>0</v>
      </c>
      <c r="AJ180" s="772">
        <f t="shared" si="424"/>
        <v>0</v>
      </c>
      <c r="AK180" s="772">
        <f t="shared" si="424"/>
        <v>0</v>
      </c>
      <c r="AL180" s="772">
        <f t="shared" si="424"/>
        <v>0</v>
      </c>
      <c r="AM180" s="773">
        <f t="shared" ref="AM180" si="425">SUM(X180:AI180)</f>
        <v>1</v>
      </c>
    </row>
    <row r="181" spans="2:39" s="123" customFormat="1" x14ac:dyDescent="0.25">
      <c r="B181" s="387" t="s">
        <v>119</v>
      </c>
      <c r="C181" s="531"/>
      <c r="D181" s="686">
        <f>SUM(D180:D180)</f>
        <v>0</v>
      </c>
      <c r="E181" s="686">
        <f t="shared" ref="E181:R181" si="426">SUM(E180:E180)</f>
        <v>0</v>
      </c>
      <c r="F181" s="686">
        <f t="shared" si="426"/>
        <v>0</v>
      </c>
      <c r="G181" s="686">
        <f t="shared" si="426"/>
        <v>0</v>
      </c>
      <c r="H181" s="686">
        <f t="shared" si="426"/>
        <v>0</v>
      </c>
      <c r="I181" s="686">
        <f t="shared" si="426"/>
        <v>0</v>
      </c>
      <c r="J181" s="686">
        <f t="shared" si="426"/>
        <v>0</v>
      </c>
      <c r="K181" s="686">
        <f t="shared" si="426"/>
        <v>0</v>
      </c>
      <c r="L181" s="686">
        <f t="shared" si="426"/>
        <v>0</v>
      </c>
      <c r="M181" s="686">
        <f t="shared" si="426"/>
        <v>0</v>
      </c>
      <c r="N181" s="686">
        <f t="shared" si="426"/>
        <v>0</v>
      </c>
      <c r="O181" s="686">
        <f t="shared" si="426"/>
        <v>0</v>
      </c>
      <c r="P181" s="686">
        <f t="shared" si="426"/>
        <v>0</v>
      </c>
      <c r="Q181" s="686">
        <f t="shared" si="426"/>
        <v>0</v>
      </c>
      <c r="R181" s="686">
        <f t="shared" si="426"/>
        <v>0</v>
      </c>
      <c r="S181" s="686">
        <f>SUM(S180:S180)</f>
        <v>0</v>
      </c>
      <c r="U181" s="776">
        <f>SUM(U180)</f>
        <v>0</v>
      </c>
      <c r="V181" s="759">
        <f>SUM(V180)</f>
        <v>0</v>
      </c>
      <c r="W181" s="760"/>
      <c r="X181" s="760"/>
      <c r="Y181" s="760"/>
      <c r="Z181" s="760"/>
      <c r="AA181" s="760"/>
      <c r="AB181" s="760"/>
      <c r="AC181" s="760"/>
      <c r="AD181" s="760"/>
      <c r="AE181" s="760"/>
      <c r="AF181" s="760"/>
      <c r="AG181" s="760"/>
      <c r="AH181" s="760"/>
      <c r="AI181" s="760"/>
      <c r="AJ181" s="760"/>
      <c r="AK181" s="760"/>
      <c r="AL181" s="760"/>
      <c r="AM181" s="760"/>
    </row>
    <row r="183" spans="2:39" x14ac:dyDescent="0.25">
      <c r="B183" s="441" t="s">
        <v>187</v>
      </c>
      <c r="C183" s="523"/>
      <c r="V183" s="786"/>
      <c r="X183" s="764" t="s">
        <v>99</v>
      </c>
    </row>
    <row r="184" spans="2:39" x14ac:dyDescent="0.25">
      <c r="B184" s="441" t="s">
        <v>103</v>
      </c>
      <c r="C184" s="441" t="s">
        <v>104</v>
      </c>
      <c r="D184" s="121" t="str">
        <f>D$9</f>
        <v>Z01</v>
      </c>
      <c r="E184" s="121" t="str">
        <f t="shared" ref="E184:R184" si="427">E$9</f>
        <v>Z02</v>
      </c>
      <c r="F184" s="121" t="str">
        <f t="shared" si="427"/>
        <v>Z03</v>
      </c>
      <c r="G184" s="121" t="str">
        <f t="shared" si="427"/>
        <v>Z04</v>
      </c>
      <c r="H184" s="121" t="str">
        <f t="shared" si="427"/>
        <v>Z05</v>
      </c>
      <c r="I184" s="121" t="str">
        <f t="shared" si="427"/>
        <v>Z06</v>
      </c>
      <c r="J184" s="121" t="str">
        <f t="shared" si="427"/>
        <v>Z07</v>
      </c>
      <c r="K184" s="121" t="str">
        <f t="shared" si="427"/>
        <v>Z08</v>
      </c>
      <c r="L184" s="121" t="str">
        <f t="shared" si="427"/>
        <v>Z09</v>
      </c>
      <c r="M184" s="121" t="str">
        <f t="shared" si="427"/>
        <v>Z10</v>
      </c>
      <c r="N184" s="121" t="str">
        <f t="shared" si="427"/>
        <v>Z11</v>
      </c>
      <c r="O184" s="121" t="str">
        <f t="shared" si="427"/>
        <v>Z12</v>
      </c>
      <c r="P184" s="121" t="str">
        <f t="shared" si="427"/>
        <v>Z13</v>
      </c>
      <c r="Q184" s="121" t="str">
        <f t="shared" si="427"/>
        <v>Z14</v>
      </c>
      <c r="R184" s="121" t="str">
        <f t="shared" si="427"/>
        <v>Z15</v>
      </c>
      <c r="S184" s="121" t="s">
        <v>100</v>
      </c>
      <c r="U184" s="769" t="s">
        <v>85</v>
      </c>
      <c r="V184" s="769" t="s">
        <v>85</v>
      </c>
      <c r="X184" s="766" t="str">
        <f t="shared" ref="X184" si="428">D184</f>
        <v>Z01</v>
      </c>
      <c r="Y184" s="766" t="str">
        <f t="shared" ref="Y184" si="429">E184</f>
        <v>Z02</v>
      </c>
      <c r="Z184" s="766" t="str">
        <f t="shared" ref="Z184" si="430">F184</f>
        <v>Z03</v>
      </c>
      <c r="AA184" s="766" t="str">
        <f t="shared" ref="AA184" si="431">G184</f>
        <v>Z04</v>
      </c>
      <c r="AB184" s="766" t="str">
        <f t="shared" ref="AB184" si="432">H184</f>
        <v>Z05</v>
      </c>
      <c r="AC184" s="766" t="str">
        <f t="shared" ref="AC184" si="433">I184</f>
        <v>Z06</v>
      </c>
      <c r="AD184" s="766" t="str">
        <f t="shared" ref="AD184" si="434">J184</f>
        <v>Z07</v>
      </c>
      <c r="AE184" s="766" t="str">
        <f t="shared" ref="AE184" si="435">K184</f>
        <v>Z08</v>
      </c>
      <c r="AF184" s="766" t="str">
        <f t="shared" ref="AF184" si="436">L184</f>
        <v>Z09</v>
      </c>
      <c r="AG184" s="766" t="str">
        <f t="shared" ref="AG184" si="437">M184</f>
        <v>Z10</v>
      </c>
      <c r="AH184" s="766" t="str">
        <f t="shared" ref="AH184" si="438">N184</f>
        <v>Z11</v>
      </c>
      <c r="AI184" s="766" t="str">
        <f t="shared" ref="AI184" si="439">O184</f>
        <v>Z12</v>
      </c>
      <c r="AJ184" s="766" t="str">
        <f t="shared" ref="AJ184" si="440">P184</f>
        <v>Z13</v>
      </c>
      <c r="AK184" s="766" t="str">
        <f t="shared" ref="AK184" si="441">Q184</f>
        <v>Z14</v>
      </c>
      <c r="AL184" s="766" t="str">
        <f t="shared" ref="AL184" si="442">R184</f>
        <v>Z15</v>
      </c>
      <c r="AM184" s="766" t="s">
        <v>100</v>
      </c>
    </row>
    <row r="185" spans="2:39" ht="14.1" customHeight="1" x14ac:dyDescent="0.25">
      <c r="B185" s="250" t="s">
        <v>185</v>
      </c>
      <c r="C185" s="524" t="s">
        <v>188</v>
      </c>
      <c r="D185" s="444">
        <f>$V185*X185</f>
        <v>0</v>
      </c>
      <c r="E185" s="444">
        <f t="shared" ref="E185:S185" si="443">$V185*Y185</f>
        <v>0</v>
      </c>
      <c r="F185" s="444">
        <f t="shared" si="443"/>
        <v>0</v>
      </c>
      <c r="G185" s="444">
        <f t="shared" si="443"/>
        <v>0</v>
      </c>
      <c r="H185" s="444">
        <f t="shared" si="443"/>
        <v>0</v>
      </c>
      <c r="I185" s="444">
        <f t="shared" si="443"/>
        <v>0</v>
      </c>
      <c r="J185" s="444">
        <f t="shared" si="443"/>
        <v>0</v>
      </c>
      <c r="K185" s="444">
        <f t="shared" si="443"/>
        <v>0</v>
      </c>
      <c r="L185" s="444">
        <f t="shared" si="443"/>
        <v>0</v>
      </c>
      <c r="M185" s="444">
        <f t="shared" si="443"/>
        <v>0</v>
      </c>
      <c r="N185" s="444">
        <f t="shared" si="443"/>
        <v>0</v>
      </c>
      <c r="O185" s="444">
        <f t="shared" si="443"/>
        <v>0</v>
      </c>
      <c r="P185" s="444">
        <f t="shared" si="443"/>
        <v>0</v>
      </c>
      <c r="Q185" s="444">
        <f t="shared" si="443"/>
        <v>0</v>
      </c>
      <c r="R185" s="444">
        <f t="shared" si="443"/>
        <v>0</v>
      </c>
      <c r="S185" s="444">
        <f t="shared" si="443"/>
        <v>0</v>
      </c>
      <c r="U185" s="791"/>
      <c r="V185" s="793"/>
      <c r="X185" s="772">
        <f t="shared" ref="X185:AL185" si="444">X$6</f>
        <v>1</v>
      </c>
      <c r="Y185" s="772">
        <f t="shared" si="444"/>
        <v>0</v>
      </c>
      <c r="Z185" s="772">
        <f t="shared" si="444"/>
        <v>0</v>
      </c>
      <c r="AA185" s="772">
        <f t="shared" si="444"/>
        <v>0</v>
      </c>
      <c r="AB185" s="772">
        <f t="shared" si="444"/>
        <v>0</v>
      </c>
      <c r="AC185" s="772">
        <f t="shared" si="444"/>
        <v>0</v>
      </c>
      <c r="AD185" s="772">
        <f t="shared" si="444"/>
        <v>0</v>
      </c>
      <c r="AE185" s="772">
        <f t="shared" si="444"/>
        <v>0</v>
      </c>
      <c r="AF185" s="772">
        <f t="shared" si="444"/>
        <v>0</v>
      </c>
      <c r="AG185" s="772">
        <f t="shared" si="444"/>
        <v>0</v>
      </c>
      <c r="AH185" s="772">
        <f t="shared" si="444"/>
        <v>0</v>
      </c>
      <c r="AI185" s="772">
        <f t="shared" si="444"/>
        <v>0</v>
      </c>
      <c r="AJ185" s="772">
        <f t="shared" si="444"/>
        <v>0</v>
      </c>
      <c r="AK185" s="772">
        <f t="shared" si="444"/>
        <v>0</v>
      </c>
      <c r="AL185" s="772">
        <f t="shared" si="444"/>
        <v>0</v>
      </c>
      <c r="AM185" s="773">
        <f t="shared" ref="AM185" si="445">SUM(X185:AI185)</f>
        <v>1</v>
      </c>
    </row>
    <row r="186" spans="2:39" x14ac:dyDescent="0.25">
      <c r="B186" s="131" t="s">
        <v>119</v>
      </c>
      <c r="C186" s="525"/>
      <c r="D186" s="681">
        <f>SUM(D185:D185)</f>
        <v>0</v>
      </c>
      <c r="E186" s="681">
        <f t="shared" ref="E186:R186" si="446">SUM(E185:E185)</f>
        <v>0</v>
      </c>
      <c r="F186" s="681">
        <f t="shared" si="446"/>
        <v>0</v>
      </c>
      <c r="G186" s="681">
        <f t="shared" si="446"/>
        <v>0</v>
      </c>
      <c r="H186" s="681">
        <f t="shared" si="446"/>
        <v>0</v>
      </c>
      <c r="I186" s="681">
        <f t="shared" si="446"/>
        <v>0</v>
      </c>
      <c r="J186" s="681">
        <f t="shared" si="446"/>
        <v>0</v>
      </c>
      <c r="K186" s="681">
        <f t="shared" si="446"/>
        <v>0</v>
      </c>
      <c r="L186" s="681">
        <f t="shared" si="446"/>
        <v>0</v>
      </c>
      <c r="M186" s="681">
        <f t="shared" si="446"/>
        <v>0</v>
      </c>
      <c r="N186" s="681">
        <f t="shared" si="446"/>
        <v>0</v>
      </c>
      <c r="O186" s="681">
        <f t="shared" si="446"/>
        <v>0</v>
      </c>
      <c r="P186" s="681">
        <f t="shared" si="446"/>
        <v>0</v>
      </c>
      <c r="Q186" s="681">
        <f t="shared" si="446"/>
        <v>0</v>
      </c>
      <c r="R186" s="681">
        <f t="shared" si="446"/>
        <v>0</v>
      </c>
      <c r="S186" s="681">
        <f>SUM(S185:S185)</f>
        <v>0</v>
      </c>
      <c r="U186" s="776">
        <f>SUM(U185)</f>
        <v>0</v>
      </c>
      <c r="V186" s="759">
        <f>SUM(V185)</f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7" tint="0.79998168889431442"/>
  </sheetPr>
  <dimension ref="A1:AE61"/>
  <sheetViews>
    <sheetView defaultGridColor="0" topLeftCell="A6" colorId="55" zoomScale="75" zoomScaleNormal="75" workbookViewId="0">
      <selection activeCell="I50" sqref="I50"/>
    </sheetView>
  </sheetViews>
  <sheetFormatPr defaultRowHeight="15" x14ac:dyDescent="0.25"/>
  <cols>
    <col min="1" max="1" width="5.7109375" customWidth="1"/>
    <col min="2" max="2" width="30.28515625" customWidth="1"/>
    <col min="3" max="16" width="12.5703125" customWidth="1"/>
    <col min="18" max="18" width="14.7109375" customWidth="1"/>
    <col min="252" max="252" width="48.7109375" customWidth="1"/>
    <col min="253" max="253" width="14.7109375" customWidth="1"/>
    <col min="254" max="254" width="14.42578125" customWidth="1"/>
    <col min="255" max="255" width="12.28515625" customWidth="1"/>
    <col min="256" max="256" width="13.7109375" customWidth="1"/>
    <col min="257" max="257" width="11.28515625" customWidth="1"/>
    <col min="258" max="258" width="12.42578125" customWidth="1"/>
    <col min="259" max="259" width="10.28515625" customWidth="1"/>
    <col min="260" max="260" width="15" customWidth="1"/>
    <col min="261" max="261" width="13.28515625" customWidth="1"/>
    <col min="262" max="262" width="12.28515625" customWidth="1"/>
    <col min="263" max="263" width="12.42578125" customWidth="1"/>
    <col min="264" max="264" width="10.7109375" customWidth="1"/>
    <col min="265" max="265" width="13" customWidth="1"/>
    <col min="508" max="508" width="48.7109375" customWidth="1"/>
    <col min="509" max="509" width="14.7109375" customWidth="1"/>
    <col min="510" max="510" width="14.42578125" customWidth="1"/>
    <col min="511" max="511" width="12.28515625" customWidth="1"/>
    <col min="512" max="512" width="13.7109375" customWidth="1"/>
    <col min="513" max="513" width="11.28515625" customWidth="1"/>
    <col min="514" max="514" width="12.42578125" customWidth="1"/>
    <col min="515" max="515" width="10.28515625" customWidth="1"/>
    <col min="516" max="516" width="15" customWidth="1"/>
    <col min="517" max="517" width="13.28515625" customWidth="1"/>
    <col min="518" max="518" width="12.28515625" customWidth="1"/>
    <col min="519" max="519" width="12.42578125" customWidth="1"/>
    <col min="520" max="520" width="10.7109375" customWidth="1"/>
    <col min="521" max="521" width="13" customWidth="1"/>
    <col min="764" max="764" width="48.7109375" customWidth="1"/>
    <col min="765" max="765" width="14.7109375" customWidth="1"/>
    <col min="766" max="766" width="14.42578125" customWidth="1"/>
    <col min="767" max="767" width="12.28515625" customWidth="1"/>
    <col min="768" max="768" width="13.7109375" customWidth="1"/>
    <col min="769" max="769" width="11.28515625" customWidth="1"/>
    <col min="770" max="770" width="12.42578125" customWidth="1"/>
    <col min="771" max="771" width="10.28515625" customWidth="1"/>
    <col min="772" max="772" width="15" customWidth="1"/>
    <col min="773" max="773" width="13.28515625" customWidth="1"/>
    <col min="774" max="774" width="12.28515625" customWidth="1"/>
    <col min="775" max="775" width="12.42578125" customWidth="1"/>
    <col min="776" max="776" width="10.7109375" customWidth="1"/>
    <col min="777" max="777" width="13" customWidth="1"/>
    <col min="1020" max="1020" width="48.7109375" customWidth="1"/>
    <col min="1021" max="1021" width="14.7109375" customWidth="1"/>
    <col min="1022" max="1022" width="14.42578125" customWidth="1"/>
    <col min="1023" max="1023" width="12.28515625" customWidth="1"/>
    <col min="1024" max="1024" width="13.7109375" customWidth="1"/>
    <col min="1025" max="1025" width="11.28515625" customWidth="1"/>
    <col min="1026" max="1026" width="12.42578125" customWidth="1"/>
    <col min="1027" max="1027" width="10.28515625" customWidth="1"/>
    <col min="1028" max="1028" width="15" customWidth="1"/>
    <col min="1029" max="1029" width="13.28515625" customWidth="1"/>
    <col min="1030" max="1030" width="12.28515625" customWidth="1"/>
    <col min="1031" max="1031" width="12.42578125" customWidth="1"/>
    <col min="1032" max="1032" width="10.7109375" customWidth="1"/>
    <col min="1033" max="1033" width="13" customWidth="1"/>
    <col min="1276" max="1276" width="48.7109375" customWidth="1"/>
    <col min="1277" max="1277" width="14.7109375" customWidth="1"/>
    <col min="1278" max="1278" width="14.42578125" customWidth="1"/>
    <col min="1279" max="1279" width="12.28515625" customWidth="1"/>
    <col min="1280" max="1280" width="13.7109375" customWidth="1"/>
    <col min="1281" max="1281" width="11.28515625" customWidth="1"/>
    <col min="1282" max="1282" width="12.42578125" customWidth="1"/>
    <col min="1283" max="1283" width="10.28515625" customWidth="1"/>
    <col min="1284" max="1284" width="15" customWidth="1"/>
    <col min="1285" max="1285" width="13.28515625" customWidth="1"/>
    <col min="1286" max="1286" width="12.28515625" customWidth="1"/>
    <col min="1287" max="1287" width="12.42578125" customWidth="1"/>
    <col min="1288" max="1288" width="10.7109375" customWidth="1"/>
    <col min="1289" max="1289" width="13" customWidth="1"/>
    <col min="1532" max="1532" width="48.7109375" customWidth="1"/>
    <col min="1533" max="1533" width="14.7109375" customWidth="1"/>
    <col min="1534" max="1534" width="14.42578125" customWidth="1"/>
    <col min="1535" max="1535" width="12.28515625" customWidth="1"/>
    <col min="1536" max="1536" width="13.7109375" customWidth="1"/>
    <col min="1537" max="1537" width="11.28515625" customWidth="1"/>
    <col min="1538" max="1538" width="12.42578125" customWidth="1"/>
    <col min="1539" max="1539" width="10.28515625" customWidth="1"/>
    <col min="1540" max="1540" width="15" customWidth="1"/>
    <col min="1541" max="1541" width="13.28515625" customWidth="1"/>
    <col min="1542" max="1542" width="12.28515625" customWidth="1"/>
    <col min="1543" max="1543" width="12.42578125" customWidth="1"/>
    <col min="1544" max="1544" width="10.7109375" customWidth="1"/>
    <col min="1545" max="1545" width="13" customWidth="1"/>
    <col min="1788" max="1788" width="48.7109375" customWidth="1"/>
    <col min="1789" max="1789" width="14.7109375" customWidth="1"/>
    <col min="1790" max="1790" width="14.42578125" customWidth="1"/>
    <col min="1791" max="1791" width="12.28515625" customWidth="1"/>
    <col min="1792" max="1792" width="13.7109375" customWidth="1"/>
    <col min="1793" max="1793" width="11.28515625" customWidth="1"/>
    <col min="1794" max="1794" width="12.42578125" customWidth="1"/>
    <col min="1795" max="1795" width="10.28515625" customWidth="1"/>
    <col min="1796" max="1796" width="15" customWidth="1"/>
    <col min="1797" max="1797" width="13.28515625" customWidth="1"/>
    <col min="1798" max="1798" width="12.28515625" customWidth="1"/>
    <col min="1799" max="1799" width="12.42578125" customWidth="1"/>
    <col min="1800" max="1800" width="10.7109375" customWidth="1"/>
    <col min="1801" max="1801" width="13" customWidth="1"/>
    <col min="2044" max="2044" width="48.7109375" customWidth="1"/>
    <col min="2045" max="2045" width="14.7109375" customWidth="1"/>
    <col min="2046" max="2046" width="14.42578125" customWidth="1"/>
    <col min="2047" max="2047" width="12.28515625" customWidth="1"/>
    <col min="2048" max="2048" width="13.7109375" customWidth="1"/>
    <col min="2049" max="2049" width="11.28515625" customWidth="1"/>
    <col min="2050" max="2050" width="12.42578125" customWidth="1"/>
    <col min="2051" max="2051" width="10.28515625" customWidth="1"/>
    <col min="2052" max="2052" width="15" customWidth="1"/>
    <col min="2053" max="2053" width="13.28515625" customWidth="1"/>
    <col min="2054" max="2054" width="12.28515625" customWidth="1"/>
    <col min="2055" max="2055" width="12.42578125" customWidth="1"/>
    <col min="2056" max="2056" width="10.7109375" customWidth="1"/>
    <col min="2057" max="2057" width="13" customWidth="1"/>
    <col min="2300" max="2300" width="48.7109375" customWidth="1"/>
    <col min="2301" max="2301" width="14.7109375" customWidth="1"/>
    <col min="2302" max="2302" width="14.42578125" customWidth="1"/>
    <col min="2303" max="2303" width="12.28515625" customWidth="1"/>
    <col min="2304" max="2304" width="13.7109375" customWidth="1"/>
    <col min="2305" max="2305" width="11.28515625" customWidth="1"/>
    <col min="2306" max="2306" width="12.42578125" customWidth="1"/>
    <col min="2307" max="2307" width="10.28515625" customWidth="1"/>
    <col min="2308" max="2308" width="15" customWidth="1"/>
    <col min="2309" max="2309" width="13.28515625" customWidth="1"/>
    <col min="2310" max="2310" width="12.28515625" customWidth="1"/>
    <col min="2311" max="2311" width="12.42578125" customWidth="1"/>
    <col min="2312" max="2312" width="10.7109375" customWidth="1"/>
    <col min="2313" max="2313" width="13" customWidth="1"/>
    <col min="2556" max="2556" width="48.7109375" customWidth="1"/>
    <col min="2557" max="2557" width="14.7109375" customWidth="1"/>
    <col min="2558" max="2558" width="14.42578125" customWidth="1"/>
    <col min="2559" max="2559" width="12.28515625" customWidth="1"/>
    <col min="2560" max="2560" width="13.7109375" customWidth="1"/>
    <col min="2561" max="2561" width="11.28515625" customWidth="1"/>
    <col min="2562" max="2562" width="12.42578125" customWidth="1"/>
    <col min="2563" max="2563" width="10.28515625" customWidth="1"/>
    <col min="2564" max="2564" width="15" customWidth="1"/>
    <col min="2565" max="2565" width="13.28515625" customWidth="1"/>
    <col min="2566" max="2566" width="12.28515625" customWidth="1"/>
    <col min="2567" max="2567" width="12.42578125" customWidth="1"/>
    <col min="2568" max="2568" width="10.7109375" customWidth="1"/>
    <col min="2569" max="2569" width="13" customWidth="1"/>
    <col min="2812" max="2812" width="48.7109375" customWidth="1"/>
    <col min="2813" max="2813" width="14.7109375" customWidth="1"/>
    <col min="2814" max="2814" width="14.42578125" customWidth="1"/>
    <col min="2815" max="2815" width="12.28515625" customWidth="1"/>
    <col min="2816" max="2816" width="13.7109375" customWidth="1"/>
    <col min="2817" max="2817" width="11.28515625" customWidth="1"/>
    <col min="2818" max="2818" width="12.42578125" customWidth="1"/>
    <col min="2819" max="2819" width="10.28515625" customWidth="1"/>
    <col min="2820" max="2820" width="15" customWidth="1"/>
    <col min="2821" max="2821" width="13.28515625" customWidth="1"/>
    <col min="2822" max="2822" width="12.28515625" customWidth="1"/>
    <col min="2823" max="2823" width="12.42578125" customWidth="1"/>
    <col min="2824" max="2824" width="10.7109375" customWidth="1"/>
    <col min="2825" max="2825" width="13" customWidth="1"/>
    <col min="3068" max="3068" width="48.7109375" customWidth="1"/>
    <col min="3069" max="3069" width="14.7109375" customWidth="1"/>
    <col min="3070" max="3070" width="14.42578125" customWidth="1"/>
    <col min="3071" max="3071" width="12.28515625" customWidth="1"/>
    <col min="3072" max="3072" width="13.7109375" customWidth="1"/>
    <col min="3073" max="3073" width="11.28515625" customWidth="1"/>
    <col min="3074" max="3074" width="12.42578125" customWidth="1"/>
    <col min="3075" max="3075" width="10.28515625" customWidth="1"/>
    <col min="3076" max="3076" width="15" customWidth="1"/>
    <col min="3077" max="3077" width="13.28515625" customWidth="1"/>
    <col min="3078" max="3078" width="12.28515625" customWidth="1"/>
    <col min="3079" max="3079" width="12.42578125" customWidth="1"/>
    <col min="3080" max="3080" width="10.7109375" customWidth="1"/>
    <col min="3081" max="3081" width="13" customWidth="1"/>
    <col min="3324" max="3324" width="48.7109375" customWidth="1"/>
    <col min="3325" max="3325" width="14.7109375" customWidth="1"/>
    <col min="3326" max="3326" width="14.42578125" customWidth="1"/>
    <col min="3327" max="3327" width="12.28515625" customWidth="1"/>
    <col min="3328" max="3328" width="13.7109375" customWidth="1"/>
    <col min="3329" max="3329" width="11.28515625" customWidth="1"/>
    <col min="3330" max="3330" width="12.42578125" customWidth="1"/>
    <col min="3331" max="3331" width="10.28515625" customWidth="1"/>
    <col min="3332" max="3332" width="15" customWidth="1"/>
    <col min="3333" max="3333" width="13.28515625" customWidth="1"/>
    <col min="3334" max="3334" width="12.28515625" customWidth="1"/>
    <col min="3335" max="3335" width="12.42578125" customWidth="1"/>
    <col min="3336" max="3336" width="10.7109375" customWidth="1"/>
    <col min="3337" max="3337" width="13" customWidth="1"/>
    <col min="3580" max="3580" width="48.7109375" customWidth="1"/>
    <col min="3581" max="3581" width="14.7109375" customWidth="1"/>
    <col min="3582" max="3582" width="14.42578125" customWidth="1"/>
    <col min="3583" max="3583" width="12.28515625" customWidth="1"/>
    <col min="3584" max="3584" width="13.7109375" customWidth="1"/>
    <col min="3585" max="3585" width="11.28515625" customWidth="1"/>
    <col min="3586" max="3586" width="12.42578125" customWidth="1"/>
    <col min="3587" max="3587" width="10.28515625" customWidth="1"/>
    <col min="3588" max="3588" width="15" customWidth="1"/>
    <col min="3589" max="3589" width="13.28515625" customWidth="1"/>
    <col min="3590" max="3590" width="12.28515625" customWidth="1"/>
    <col min="3591" max="3591" width="12.42578125" customWidth="1"/>
    <col min="3592" max="3592" width="10.7109375" customWidth="1"/>
    <col min="3593" max="3593" width="13" customWidth="1"/>
    <col min="3836" max="3836" width="48.7109375" customWidth="1"/>
    <col min="3837" max="3837" width="14.7109375" customWidth="1"/>
    <col min="3838" max="3838" width="14.42578125" customWidth="1"/>
    <col min="3839" max="3839" width="12.28515625" customWidth="1"/>
    <col min="3840" max="3840" width="13.7109375" customWidth="1"/>
    <col min="3841" max="3841" width="11.28515625" customWidth="1"/>
    <col min="3842" max="3842" width="12.42578125" customWidth="1"/>
    <col min="3843" max="3843" width="10.28515625" customWidth="1"/>
    <col min="3844" max="3844" width="15" customWidth="1"/>
    <col min="3845" max="3845" width="13.28515625" customWidth="1"/>
    <col min="3846" max="3846" width="12.28515625" customWidth="1"/>
    <col min="3847" max="3847" width="12.42578125" customWidth="1"/>
    <col min="3848" max="3848" width="10.7109375" customWidth="1"/>
    <col min="3849" max="3849" width="13" customWidth="1"/>
    <col min="4092" max="4092" width="48.7109375" customWidth="1"/>
    <col min="4093" max="4093" width="14.7109375" customWidth="1"/>
    <col min="4094" max="4094" width="14.42578125" customWidth="1"/>
    <col min="4095" max="4095" width="12.28515625" customWidth="1"/>
    <col min="4096" max="4096" width="13.7109375" customWidth="1"/>
    <col min="4097" max="4097" width="11.28515625" customWidth="1"/>
    <col min="4098" max="4098" width="12.42578125" customWidth="1"/>
    <col min="4099" max="4099" width="10.28515625" customWidth="1"/>
    <col min="4100" max="4100" width="15" customWidth="1"/>
    <col min="4101" max="4101" width="13.28515625" customWidth="1"/>
    <col min="4102" max="4102" width="12.28515625" customWidth="1"/>
    <col min="4103" max="4103" width="12.42578125" customWidth="1"/>
    <col min="4104" max="4104" width="10.7109375" customWidth="1"/>
    <col min="4105" max="4105" width="13" customWidth="1"/>
    <col min="4348" max="4348" width="48.7109375" customWidth="1"/>
    <col min="4349" max="4349" width="14.7109375" customWidth="1"/>
    <col min="4350" max="4350" width="14.42578125" customWidth="1"/>
    <col min="4351" max="4351" width="12.28515625" customWidth="1"/>
    <col min="4352" max="4352" width="13.7109375" customWidth="1"/>
    <col min="4353" max="4353" width="11.28515625" customWidth="1"/>
    <col min="4354" max="4354" width="12.42578125" customWidth="1"/>
    <col min="4355" max="4355" width="10.28515625" customWidth="1"/>
    <col min="4356" max="4356" width="15" customWidth="1"/>
    <col min="4357" max="4357" width="13.28515625" customWidth="1"/>
    <col min="4358" max="4358" width="12.28515625" customWidth="1"/>
    <col min="4359" max="4359" width="12.42578125" customWidth="1"/>
    <col min="4360" max="4360" width="10.7109375" customWidth="1"/>
    <col min="4361" max="4361" width="13" customWidth="1"/>
    <col min="4604" max="4604" width="48.7109375" customWidth="1"/>
    <col min="4605" max="4605" width="14.7109375" customWidth="1"/>
    <col min="4606" max="4606" width="14.42578125" customWidth="1"/>
    <col min="4607" max="4607" width="12.28515625" customWidth="1"/>
    <col min="4608" max="4608" width="13.7109375" customWidth="1"/>
    <col min="4609" max="4609" width="11.28515625" customWidth="1"/>
    <col min="4610" max="4610" width="12.42578125" customWidth="1"/>
    <col min="4611" max="4611" width="10.28515625" customWidth="1"/>
    <col min="4612" max="4612" width="15" customWidth="1"/>
    <col min="4613" max="4613" width="13.28515625" customWidth="1"/>
    <col min="4614" max="4614" width="12.28515625" customWidth="1"/>
    <col min="4615" max="4615" width="12.42578125" customWidth="1"/>
    <col min="4616" max="4616" width="10.7109375" customWidth="1"/>
    <col min="4617" max="4617" width="13" customWidth="1"/>
    <col min="4860" max="4860" width="48.7109375" customWidth="1"/>
    <col min="4861" max="4861" width="14.7109375" customWidth="1"/>
    <col min="4862" max="4862" width="14.42578125" customWidth="1"/>
    <col min="4863" max="4863" width="12.28515625" customWidth="1"/>
    <col min="4864" max="4864" width="13.7109375" customWidth="1"/>
    <col min="4865" max="4865" width="11.28515625" customWidth="1"/>
    <col min="4866" max="4866" width="12.42578125" customWidth="1"/>
    <col min="4867" max="4867" width="10.28515625" customWidth="1"/>
    <col min="4868" max="4868" width="15" customWidth="1"/>
    <col min="4869" max="4869" width="13.28515625" customWidth="1"/>
    <col min="4870" max="4870" width="12.28515625" customWidth="1"/>
    <col min="4871" max="4871" width="12.42578125" customWidth="1"/>
    <col min="4872" max="4872" width="10.7109375" customWidth="1"/>
    <col min="4873" max="4873" width="13" customWidth="1"/>
    <col min="5116" max="5116" width="48.7109375" customWidth="1"/>
    <col min="5117" max="5117" width="14.7109375" customWidth="1"/>
    <col min="5118" max="5118" width="14.42578125" customWidth="1"/>
    <col min="5119" max="5119" width="12.28515625" customWidth="1"/>
    <col min="5120" max="5120" width="13.7109375" customWidth="1"/>
    <col min="5121" max="5121" width="11.28515625" customWidth="1"/>
    <col min="5122" max="5122" width="12.42578125" customWidth="1"/>
    <col min="5123" max="5123" width="10.28515625" customWidth="1"/>
    <col min="5124" max="5124" width="15" customWidth="1"/>
    <col min="5125" max="5125" width="13.28515625" customWidth="1"/>
    <col min="5126" max="5126" width="12.28515625" customWidth="1"/>
    <col min="5127" max="5127" width="12.42578125" customWidth="1"/>
    <col min="5128" max="5128" width="10.7109375" customWidth="1"/>
    <col min="5129" max="5129" width="13" customWidth="1"/>
    <col min="5372" max="5372" width="48.7109375" customWidth="1"/>
    <col min="5373" max="5373" width="14.7109375" customWidth="1"/>
    <col min="5374" max="5374" width="14.42578125" customWidth="1"/>
    <col min="5375" max="5375" width="12.28515625" customWidth="1"/>
    <col min="5376" max="5376" width="13.7109375" customWidth="1"/>
    <col min="5377" max="5377" width="11.28515625" customWidth="1"/>
    <col min="5378" max="5378" width="12.42578125" customWidth="1"/>
    <col min="5379" max="5379" width="10.28515625" customWidth="1"/>
    <col min="5380" max="5380" width="15" customWidth="1"/>
    <col min="5381" max="5381" width="13.28515625" customWidth="1"/>
    <col min="5382" max="5382" width="12.28515625" customWidth="1"/>
    <col min="5383" max="5383" width="12.42578125" customWidth="1"/>
    <col min="5384" max="5384" width="10.7109375" customWidth="1"/>
    <col min="5385" max="5385" width="13" customWidth="1"/>
    <col min="5628" max="5628" width="48.7109375" customWidth="1"/>
    <col min="5629" max="5629" width="14.7109375" customWidth="1"/>
    <col min="5630" max="5630" width="14.42578125" customWidth="1"/>
    <col min="5631" max="5631" width="12.28515625" customWidth="1"/>
    <col min="5632" max="5632" width="13.7109375" customWidth="1"/>
    <col min="5633" max="5633" width="11.28515625" customWidth="1"/>
    <col min="5634" max="5634" width="12.42578125" customWidth="1"/>
    <col min="5635" max="5635" width="10.28515625" customWidth="1"/>
    <col min="5636" max="5636" width="15" customWidth="1"/>
    <col min="5637" max="5637" width="13.28515625" customWidth="1"/>
    <col min="5638" max="5638" width="12.28515625" customWidth="1"/>
    <col min="5639" max="5639" width="12.42578125" customWidth="1"/>
    <col min="5640" max="5640" width="10.7109375" customWidth="1"/>
    <col min="5641" max="5641" width="13" customWidth="1"/>
    <col min="5884" max="5884" width="48.7109375" customWidth="1"/>
    <col min="5885" max="5885" width="14.7109375" customWidth="1"/>
    <col min="5886" max="5886" width="14.42578125" customWidth="1"/>
    <col min="5887" max="5887" width="12.28515625" customWidth="1"/>
    <col min="5888" max="5888" width="13.7109375" customWidth="1"/>
    <col min="5889" max="5889" width="11.28515625" customWidth="1"/>
    <col min="5890" max="5890" width="12.42578125" customWidth="1"/>
    <col min="5891" max="5891" width="10.28515625" customWidth="1"/>
    <col min="5892" max="5892" width="15" customWidth="1"/>
    <col min="5893" max="5893" width="13.28515625" customWidth="1"/>
    <col min="5894" max="5894" width="12.28515625" customWidth="1"/>
    <col min="5895" max="5895" width="12.42578125" customWidth="1"/>
    <col min="5896" max="5896" width="10.7109375" customWidth="1"/>
    <col min="5897" max="5897" width="13" customWidth="1"/>
    <col min="6140" max="6140" width="48.7109375" customWidth="1"/>
    <col min="6141" max="6141" width="14.7109375" customWidth="1"/>
    <col min="6142" max="6142" width="14.42578125" customWidth="1"/>
    <col min="6143" max="6143" width="12.28515625" customWidth="1"/>
    <col min="6144" max="6144" width="13.7109375" customWidth="1"/>
    <col min="6145" max="6145" width="11.28515625" customWidth="1"/>
    <col min="6146" max="6146" width="12.42578125" customWidth="1"/>
    <col min="6147" max="6147" width="10.28515625" customWidth="1"/>
    <col min="6148" max="6148" width="15" customWidth="1"/>
    <col min="6149" max="6149" width="13.28515625" customWidth="1"/>
    <col min="6150" max="6150" width="12.28515625" customWidth="1"/>
    <col min="6151" max="6151" width="12.42578125" customWidth="1"/>
    <col min="6152" max="6152" width="10.7109375" customWidth="1"/>
    <col min="6153" max="6153" width="13" customWidth="1"/>
    <col min="6396" max="6396" width="48.7109375" customWidth="1"/>
    <col min="6397" max="6397" width="14.7109375" customWidth="1"/>
    <col min="6398" max="6398" width="14.42578125" customWidth="1"/>
    <col min="6399" max="6399" width="12.28515625" customWidth="1"/>
    <col min="6400" max="6400" width="13.7109375" customWidth="1"/>
    <col min="6401" max="6401" width="11.28515625" customWidth="1"/>
    <col min="6402" max="6402" width="12.42578125" customWidth="1"/>
    <col min="6403" max="6403" width="10.28515625" customWidth="1"/>
    <col min="6404" max="6404" width="15" customWidth="1"/>
    <col min="6405" max="6405" width="13.28515625" customWidth="1"/>
    <col min="6406" max="6406" width="12.28515625" customWidth="1"/>
    <col min="6407" max="6407" width="12.42578125" customWidth="1"/>
    <col min="6408" max="6408" width="10.7109375" customWidth="1"/>
    <col min="6409" max="6409" width="13" customWidth="1"/>
    <col min="6652" max="6652" width="48.7109375" customWidth="1"/>
    <col min="6653" max="6653" width="14.7109375" customWidth="1"/>
    <col min="6654" max="6654" width="14.42578125" customWidth="1"/>
    <col min="6655" max="6655" width="12.28515625" customWidth="1"/>
    <col min="6656" max="6656" width="13.7109375" customWidth="1"/>
    <col min="6657" max="6657" width="11.28515625" customWidth="1"/>
    <col min="6658" max="6658" width="12.42578125" customWidth="1"/>
    <col min="6659" max="6659" width="10.28515625" customWidth="1"/>
    <col min="6660" max="6660" width="15" customWidth="1"/>
    <col min="6661" max="6661" width="13.28515625" customWidth="1"/>
    <col min="6662" max="6662" width="12.28515625" customWidth="1"/>
    <col min="6663" max="6663" width="12.42578125" customWidth="1"/>
    <col min="6664" max="6664" width="10.7109375" customWidth="1"/>
    <col min="6665" max="6665" width="13" customWidth="1"/>
    <col min="6908" max="6908" width="48.7109375" customWidth="1"/>
    <col min="6909" max="6909" width="14.7109375" customWidth="1"/>
    <col min="6910" max="6910" width="14.42578125" customWidth="1"/>
    <col min="6911" max="6911" width="12.28515625" customWidth="1"/>
    <col min="6912" max="6912" width="13.7109375" customWidth="1"/>
    <col min="6913" max="6913" width="11.28515625" customWidth="1"/>
    <col min="6914" max="6914" width="12.42578125" customWidth="1"/>
    <col min="6915" max="6915" width="10.28515625" customWidth="1"/>
    <col min="6916" max="6916" width="15" customWidth="1"/>
    <col min="6917" max="6917" width="13.28515625" customWidth="1"/>
    <col min="6918" max="6918" width="12.28515625" customWidth="1"/>
    <col min="6919" max="6919" width="12.42578125" customWidth="1"/>
    <col min="6920" max="6920" width="10.7109375" customWidth="1"/>
    <col min="6921" max="6921" width="13" customWidth="1"/>
    <col min="7164" max="7164" width="48.7109375" customWidth="1"/>
    <col min="7165" max="7165" width="14.7109375" customWidth="1"/>
    <col min="7166" max="7166" width="14.42578125" customWidth="1"/>
    <col min="7167" max="7167" width="12.28515625" customWidth="1"/>
    <col min="7168" max="7168" width="13.7109375" customWidth="1"/>
    <col min="7169" max="7169" width="11.28515625" customWidth="1"/>
    <col min="7170" max="7170" width="12.42578125" customWidth="1"/>
    <col min="7171" max="7171" width="10.28515625" customWidth="1"/>
    <col min="7172" max="7172" width="15" customWidth="1"/>
    <col min="7173" max="7173" width="13.28515625" customWidth="1"/>
    <col min="7174" max="7174" width="12.28515625" customWidth="1"/>
    <col min="7175" max="7175" width="12.42578125" customWidth="1"/>
    <col min="7176" max="7176" width="10.7109375" customWidth="1"/>
    <col min="7177" max="7177" width="13" customWidth="1"/>
    <col min="7420" max="7420" width="48.7109375" customWidth="1"/>
    <col min="7421" max="7421" width="14.7109375" customWidth="1"/>
    <col min="7422" max="7422" width="14.42578125" customWidth="1"/>
    <col min="7423" max="7423" width="12.28515625" customWidth="1"/>
    <col min="7424" max="7424" width="13.7109375" customWidth="1"/>
    <col min="7425" max="7425" width="11.28515625" customWidth="1"/>
    <col min="7426" max="7426" width="12.42578125" customWidth="1"/>
    <col min="7427" max="7427" width="10.28515625" customWidth="1"/>
    <col min="7428" max="7428" width="15" customWidth="1"/>
    <col min="7429" max="7429" width="13.28515625" customWidth="1"/>
    <col min="7430" max="7430" width="12.28515625" customWidth="1"/>
    <col min="7431" max="7431" width="12.42578125" customWidth="1"/>
    <col min="7432" max="7432" width="10.7109375" customWidth="1"/>
    <col min="7433" max="7433" width="13" customWidth="1"/>
    <col min="7676" max="7676" width="48.7109375" customWidth="1"/>
    <col min="7677" max="7677" width="14.7109375" customWidth="1"/>
    <col min="7678" max="7678" width="14.42578125" customWidth="1"/>
    <col min="7679" max="7679" width="12.28515625" customWidth="1"/>
    <col min="7680" max="7680" width="13.7109375" customWidth="1"/>
    <col min="7681" max="7681" width="11.28515625" customWidth="1"/>
    <col min="7682" max="7682" width="12.42578125" customWidth="1"/>
    <col min="7683" max="7683" width="10.28515625" customWidth="1"/>
    <col min="7684" max="7684" width="15" customWidth="1"/>
    <col min="7685" max="7685" width="13.28515625" customWidth="1"/>
    <col min="7686" max="7686" width="12.28515625" customWidth="1"/>
    <col min="7687" max="7687" width="12.42578125" customWidth="1"/>
    <col min="7688" max="7688" width="10.7109375" customWidth="1"/>
    <col min="7689" max="7689" width="13" customWidth="1"/>
    <col min="7932" max="7932" width="48.7109375" customWidth="1"/>
    <col min="7933" max="7933" width="14.7109375" customWidth="1"/>
    <col min="7934" max="7934" width="14.42578125" customWidth="1"/>
    <col min="7935" max="7935" width="12.28515625" customWidth="1"/>
    <col min="7936" max="7936" width="13.7109375" customWidth="1"/>
    <col min="7937" max="7937" width="11.28515625" customWidth="1"/>
    <col min="7938" max="7938" width="12.42578125" customWidth="1"/>
    <col min="7939" max="7939" width="10.28515625" customWidth="1"/>
    <col min="7940" max="7940" width="15" customWidth="1"/>
    <col min="7941" max="7941" width="13.28515625" customWidth="1"/>
    <col min="7942" max="7942" width="12.28515625" customWidth="1"/>
    <col min="7943" max="7943" width="12.42578125" customWidth="1"/>
    <col min="7944" max="7944" width="10.7109375" customWidth="1"/>
    <col min="7945" max="7945" width="13" customWidth="1"/>
    <col min="8188" max="8188" width="48.7109375" customWidth="1"/>
    <col min="8189" max="8189" width="14.7109375" customWidth="1"/>
    <col min="8190" max="8190" width="14.42578125" customWidth="1"/>
    <col min="8191" max="8191" width="12.28515625" customWidth="1"/>
    <col min="8192" max="8192" width="13.7109375" customWidth="1"/>
    <col min="8193" max="8193" width="11.28515625" customWidth="1"/>
    <col min="8194" max="8194" width="12.42578125" customWidth="1"/>
    <col min="8195" max="8195" width="10.28515625" customWidth="1"/>
    <col min="8196" max="8196" width="15" customWidth="1"/>
    <col min="8197" max="8197" width="13.28515625" customWidth="1"/>
    <col min="8198" max="8198" width="12.28515625" customWidth="1"/>
    <col min="8199" max="8199" width="12.42578125" customWidth="1"/>
    <col min="8200" max="8200" width="10.7109375" customWidth="1"/>
    <col min="8201" max="8201" width="13" customWidth="1"/>
    <col min="8444" max="8444" width="48.7109375" customWidth="1"/>
    <col min="8445" max="8445" width="14.7109375" customWidth="1"/>
    <col min="8446" max="8446" width="14.42578125" customWidth="1"/>
    <col min="8447" max="8447" width="12.28515625" customWidth="1"/>
    <col min="8448" max="8448" width="13.7109375" customWidth="1"/>
    <col min="8449" max="8449" width="11.28515625" customWidth="1"/>
    <col min="8450" max="8450" width="12.42578125" customWidth="1"/>
    <col min="8451" max="8451" width="10.28515625" customWidth="1"/>
    <col min="8452" max="8452" width="15" customWidth="1"/>
    <col min="8453" max="8453" width="13.28515625" customWidth="1"/>
    <col min="8454" max="8454" width="12.28515625" customWidth="1"/>
    <col min="8455" max="8455" width="12.42578125" customWidth="1"/>
    <col min="8456" max="8456" width="10.7109375" customWidth="1"/>
    <col min="8457" max="8457" width="13" customWidth="1"/>
    <col min="8700" max="8700" width="48.7109375" customWidth="1"/>
    <col min="8701" max="8701" width="14.7109375" customWidth="1"/>
    <col min="8702" max="8702" width="14.42578125" customWidth="1"/>
    <col min="8703" max="8703" width="12.28515625" customWidth="1"/>
    <col min="8704" max="8704" width="13.7109375" customWidth="1"/>
    <col min="8705" max="8705" width="11.28515625" customWidth="1"/>
    <col min="8706" max="8706" width="12.42578125" customWidth="1"/>
    <col min="8707" max="8707" width="10.28515625" customWidth="1"/>
    <col min="8708" max="8708" width="15" customWidth="1"/>
    <col min="8709" max="8709" width="13.28515625" customWidth="1"/>
    <col min="8710" max="8710" width="12.28515625" customWidth="1"/>
    <col min="8711" max="8711" width="12.42578125" customWidth="1"/>
    <col min="8712" max="8712" width="10.7109375" customWidth="1"/>
    <col min="8713" max="8713" width="13" customWidth="1"/>
    <col min="8956" max="8956" width="48.7109375" customWidth="1"/>
    <col min="8957" max="8957" width="14.7109375" customWidth="1"/>
    <col min="8958" max="8958" width="14.42578125" customWidth="1"/>
    <col min="8959" max="8959" width="12.28515625" customWidth="1"/>
    <col min="8960" max="8960" width="13.7109375" customWidth="1"/>
    <col min="8961" max="8961" width="11.28515625" customWidth="1"/>
    <col min="8962" max="8962" width="12.42578125" customWidth="1"/>
    <col min="8963" max="8963" width="10.28515625" customWidth="1"/>
    <col min="8964" max="8964" width="15" customWidth="1"/>
    <col min="8965" max="8965" width="13.28515625" customWidth="1"/>
    <col min="8966" max="8966" width="12.28515625" customWidth="1"/>
    <col min="8967" max="8967" width="12.42578125" customWidth="1"/>
    <col min="8968" max="8968" width="10.7109375" customWidth="1"/>
    <col min="8969" max="8969" width="13" customWidth="1"/>
    <col min="9212" max="9212" width="48.7109375" customWidth="1"/>
    <col min="9213" max="9213" width="14.7109375" customWidth="1"/>
    <col min="9214" max="9214" width="14.42578125" customWidth="1"/>
    <col min="9215" max="9215" width="12.28515625" customWidth="1"/>
    <col min="9216" max="9216" width="13.7109375" customWidth="1"/>
    <col min="9217" max="9217" width="11.28515625" customWidth="1"/>
    <col min="9218" max="9218" width="12.42578125" customWidth="1"/>
    <col min="9219" max="9219" width="10.28515625" customWidth="1"/>
    <col min="9220" max="9220" width="15" customWidth="1"/>
    <col min="9221" max="9221" width="13.28515625" customWidth="1"/>
    <col min="9222" max="9222" width="12.28515625" customWidth="1"/>
    <col min="9223" max="9223" width="12.42578125" customWidth="1"/>
    <col min="9224" max="9224" width="10.7109375" customWidth="1"/>
    <col min="9225" max="9225" width="13" customWidth="1"/>
    <col min="9468" max="9468" width="48.7109375" customWidth="1"/>
    <col min="9469" max="9469" width="14.7109375" customWidth="1"/>
    <col min="9470" max="9470" width="14.42578125" customWidth="1"/>
    <col min="9471" max="9471" width="12.28515625" customWidth="1"/>
    <col min="9472" max="9472" width="13.7109375" customWidth="1"/>
    <col min="9473" max="9473" width="11.28515625" customWidth="1"/>
    <col min="9474" max="9474" width="12.42578125" customWidth="1"/>
    <col min="9475" max="9475" width="10.28515625" customWidth="1"/>
    <col min="9476" max="9476" width="15" customWidth="1"/>
    <col min="9477" max="9477" width="13.28515625" customWidth="1"/>
    <col min="9478" max="9478" width="12.28515625" customWidth="1"/>
    <col min="9479" max="9479" width="12.42578125" customWidth="1"/>
    <col min="9480" max="9480" width="10.7109375" customWidth="1"/>
    <col min="9481" max="9481" width="13" customWidth="1"/>
    <col min="9724" max="9724" width="48.7109375" customWidth="1"/>
    <col min="9725" max="9725" width="14.7109375" customWidth="1"/>
    <col min="9726" max="9726" width="14.42578125" customWidth="1"/>
    <col min="9727" max="9727" width="12.28515625" customWidth="1"/>
    <col min="9728" max="9728" width="13.7109375" customWidth="1"/>
    <col min="9729" max="9729" width="11.28515625" customWidth="1"/>
    <col min="9730" max="9730" width="12.42578125" customWidth="1"/>
    <col min="9731" max="9731" width="10.28515625" customWidth="1"/>
    <col min="9732" max="9732" width="15" customWidth="1"/>
    <col min="9733" max="9733" width="13.28515625" customWidth="1"/>
    <col min="9734" max="9734" width="12.28515625" customWidth="1"/>
    <col min="9735" max="9735" width="12.42578125" customWidth="1"/>
    <col min="9736" max="9736" width="10.7109375" customWidth="1"/>
    <col min="9737" max="9737" width="13" customWidth="1"/>
    <col min="9980" max="9980" width="48.7109375" customWidth="1"/>
    <col min="9981" max="9981" width="14.7109375" customWidth="1"/>
    <col min="9982" max="9982" width="14.42578125" customWidth="1"/>
    <col min="9983" max="9983" width="12.28515625" customWidth="1"/>
    <col min="9984" max="9984" width="13.7109375" customWidth="1"/>
    <col min="9985" max="9985" width="11.28515625" customWidth="1"/>
    <col min="9986" max="9986" width="12.42578125" customWidth="1"/>
    <col min="9987" max="9987" width="10.28515625" customWidth="1"/>
    <col min="9988" max="9988" width="15" customWidth="1"/>
    <col min="9989" max="9989" width="13.28515625" customWidth="1"/>
    <col min="9990" max="9990" width="12.28515625" customWidth="1"/>
    <col min="9991" max="9991" width="12.42578125" customWidth="1"/>
    <col min="9992" max="9992" width="10.7109375" customWidth="1"/>
    <col min="9993" max="9993" width="13" customWidth="1"/>
    <col min="10236" max="10236" width="48.7109375" customWidth="1"/>
    <col min="10237" max="10237" width="14.7109375" customWidth="1"/>
    <col min="10238" max="10238" width="14.42578125" customWidth="1"/>
    <col min="10239" max="10239" width="12.28515625" customWidth="1"/>
    <col min="10240" max="10240" width="13.7109375" customWidth="1"/>
    <col min="10241" max="10241" width="11.28515625" customWidth="1"/>
    <col min="10242" max="10242" width="12.42578125" customWidth="1"/>
    <col min="10243" max="10243" width="10.28515625" customWidth="1"/>
    <col min="10244" max="10244" width="15" customWidth="1"/>
    <col min="10245" max="10245" width="13.28515625" customWidth="1"/>
    <col min="10246" max="10246" width="12.28515625" customWidth="1"/>
    <col min="10247" max="10247" width="12.42578125" customWidth="1"/>
    <col min="10248" max="10248" width="10.7109375" customWidth="1"/>
    <col min="10249" max="10249" width="13" customWidth="1"/>
    <col min="10492" max="10492" width="48.7109375" customWidth="1"/>
    <col min="10493" max="10493" width="14.7109375" customWidth="1"/>
    <col min="10494" max="10494" width="14.42578125" customWidth="1"/>
    <col min="10495" max="10495" width="12.28515625" customWidth="1"/>
    <col min="10496" max="10496" width="13.7109375" customWidth="1"/>
    <col min="10497" max="10497" width="11.28515625" customWidth="1"/>
    <col min="10498" max="10498" width="12.42578125" customWidth="1"/>
    <col min="10499" max="10499" width="10.28515625" customWidth="1"/>
    <col min="10500" max="10500" width="15" customWidth="1"/>
    <col min="10501" max="10501" width="13.28515625" customWidth="1"/>
    <col min="10502" max="10502" width="12.28515625" customWidth="1"/>
    <col min="10503" max="10503" width="12.42578125" customWidth="1"/>
    <col min="10504" max="10504" width="10.7109375" customWidth="1"/>
    <col min="10505" max="10505" width="13" customWidth="1"/>
    <col min="10748" max="10748" width="48.7109375" customWidth="1"/>
    <col min="10749" max="10749" width="14.7109375" customWidth="1"/>
    <col min="10750" max="10750" width="14.42578125" customWidth="1"/>
    <col min="10751" max="10751" width="12.28515625" customWidth="1"/>
    <col min="10752" max="10752" width="13.7109375" customWidth="1"/>
    <col min="10753" max="10753" width="11.28515625" customWidth="1"/>
    <col min="10754" max="10754" width="12.42578125" customWidth="1"/>
    <col min="10755" max="10755" width="10.28515625" customWidth="1"/>
    <col min="10756" max="10756" width="15" customWidth="1"/>
    <col min="10757" max="10757" width="13.28515625" customWidth="1"/>
    <col min="10758" max="10758" width="12.28515625" customWidth="1"/>
    <col min="10759" max="10759" width="12.42578125" customWidth="1"/>
    <col min="10760" max="10760" width="10.7109375" customWidth="1"/>
    <col min="10761" max="10761" width="13" customWidth="1"/>
    <col min="11004" max="11004" width="48.7109375" customWidth="1"/>
    <col min="11005" max="11005" width="14.7109375" customWidth="1"/>
    <col min="11006" max="11006" width="14.42578125" customWidth="1"/>
    <col min="11007" max="11007" width="12.28515625" customWidth="1"/>
    <col min="11008" max="11008" width="13.7109375" customWidth="1"/>
    <col min="11009" max="11009" width="11.28515625" customWidth="1"/>
    <col min="11010" max="11010" width="12.42578125" customWidth="1"/>
    <col min="11011" max="11011" width="10.28515625" customWidth="1"/>
    <col min="11012" max="11012" width="15" customWidth="1"/>
    <col min="11013" max="11013" width="13.28515625" customWidth="1"/>
    <col min="11014" max="11014" width="12.28515625" customWidth="1"/>
    <col min="11015" max="11015" width="12.42578125" customWidth="1"/>
    <col min="11016" max="11016" width="10.7109375" customWidth="1"/>
    <col min="11017" max="11017" width="13" customWidth="1"/>
    <col min="11260" max="11260" width="48.7109375" customWidth="1"/>
    <col min="11261" max="11261" width="14.7109375" customWidth="1"/>
    <col min="11262" max="11262" width="14.42578125" customWidth="1"/>
    <col min="11263" max="11263" width="12.28515625" customWidth="1"/>
    <col min="11264" max="11264" width="13.7109375" customWidth="1"/>
    <col min="11265" max="11265" width="11.28515625" customWidth="1"/>
    <col min="11266" max="11266" width="12.42578125" customWidth="1"/>
    <col min="11267" max="11267" width="10.28515625" customWidth="1"/>
    <col min="11268" max="11268" width="15" customWidth="1"/>
    <col min="11269" max="11269" width="13.28515625" customWidth="1"/>
    <col min="11270" max="11270" width="12.28515625" customWidth="1"/>
    <col min="11271" max="11271" width="12.42578125" customWidth="1"/>
    <col min="11272" max="11272" width="10.7109375" customWidth="1"/>
    <col min="11273" max="11273" width="13" customWidth="1"/>
    <col min="11516" max="11516" width="48.7109375" customWidth="1"/>
    <col min="11517" max="11517" width="14.7109375" customWidth="1"/>
    <col min="11518" max="11518" width="14.42578125" customWidth="1"/>
    <col min="11519" max="11519" width="12.28515625" customWidth="1"/>
    <col min="11520" max="11520" width="13.7109375" customWidth="1"/>
    <col min="11521" max="11521" width="11.28515625" customWidth="1"/>
    <col min="11522" max="11522" width="12.42578125" customWidth="1"/>
    <col min="11523" max="11523" width="10.28515625" customWidth="1"/>
    <col min="11524" max="11524" width="15" customWidth="1"/>
    <col min="11525" max="11525" width="13.28515625" customWidth="1"/>
    <col min="11526" max="11526" width="12.28515625" customWidth="1"/>
    <col min="11527" max="11527" width="12.42578125" customWidth="1"/>
    <col min="11528" max="11528" width="10.7109375" customWidth="1"/>
    <col min="11529" max="11529" width="13" customWidth="1"/>
    <col min="11772" max="11772" width="48.7109375" customWidth="1"/>
    <col min="11773" max="11773" width="14.7109375" customWidth="1"/>
    <col min="11774" max="11774" width="14.42578125" customWidth="1"/>
    <col min="11775" max="11775" width="12.28515625" customWidth="1"/>
    <col min="11776" max="11776" width="13.7109375" customWidth="1"/>
    <col min="11777" max="11777" width="11.28515625" customWidth="1"/>
    <col min="11778" max="11778" width="12.42578125" customWidth="1"/>
    <col min="11779" max="11779" width="10.28515625" customWidth="1"/>
    <col min="11780" max="11780" width="15" customWidth="1"/>
    <col min="11781" max="11781" width="13.28515625" customWidth="1"/>
    <col min="11782" max="11782" width="12.28515625" customWidth="1"/>
    <col min="11783" max="11783" width="12.42578125" customWidth="1"/>
    <col min="11784" max="11784" width="10.7109375" customWidth="1"/>
    <col min="11785" max="11785" width="13" customWidth="1"/>
    <col min="12028" max="12028" width="48.7109375" customWidth="1"/>
    <col min="12029" max="12029" width="14.7109375" customWidth="1"/>
    <col min="12030" max="12030" width="14.42578125" customWidth="1"/>
    <col min="12031" max="12031" width="12.28515625" customWidth="1"/>
    <col min="12032" max="12032" width="13.7109375" customWidth="1"/>
    <col min="12033" max="12033" width="11.28515625" customWidth="1"/>
    <col min="12034" max="12034" width="12.42578125" customWidth="1"/>
    <col min="12035" max="12035" width="10.28515625" customWidth="1"/>
    <col min="12036" max="12036" width="15" customWidth="1"/>
    <col min="12037" max="12037" width="13.28515625" customWidth="1"/>
    <col min="12038" max="12038" width="12.28515625" customWidth="1"/>
    <col min="12039" max="12039" width="12.42578125" customWidth="1"/>
    <col min="12040" max="12040" width="10.7109375" customWidth="1"/>
    <col min="12041" max="12041" width="13" customWidth="1"/>
    <col min="12284" max="12284" width="48.7109375" customWidth="1"/>
    <col min="12285" max="12285" width="14.7109375" customWidth="1"/>
    <col min="12286" max="12286" width="14.42578125" customWidth="1"/>
    <col min="12287" max="12287" width="12.28515625" customWidth="1"/>
    <col min="12288" max="12288" width="13.7109375" customWidth="1"/>
    <col min="12289" max="12289" width="11.28515625" customWidth="1"/>
    <col min="12290" max="12290" width="12.42578125" customWidth="1"/>
    <col min="12291" max="12291" width="10.28515625" customWidth="1"/>
    <col min="12292" max="12292" width="15" customWidth="1"/>
    <col min="12293" max="12293" width="13.28515625" customWidth="1"/>
    <col min="12294" max="12294" width="12.28515625" customWidth="1"/>
    <col min="12295" max="12295" width="12.42578125" customWidth="1"/>
    <col min="12296" max="12296" width="10.7109375" customWidth="1"/>
    <col min="12297" max="12297" width="13" customWidth="1"/>
    <col min="12540" max="12540" width="48.7109375" customWidth="1"/>
    <col min="12541" max="12541" width="14.7109375" customWidth="1"/>
    <col min="12542" max="12542" width="14.42578125" customWidth="1"/>
    <col min="12543" max="12543" width="12.28515625" customWidth="1"/>
    <col min="12544" max="12544" width="13.7109375" customWidth="1"/>
    <col min="12545" max="12545" width="11.28515625" customWidth="1"/>
    <col min="12546" max="12546" width="12.42578125" customWidth="1"/>
    <col min="12547" max="12547" width="10.28515625" customWidth="1"/>
    <col min="12548" max="12548" width="15" customWidth="1"/>
    <col min="12549" max="12549" width="13.28515625" customWidth="1"/>
    <col min="12550" max="12550" width="12.28515625" customWidth="1"/>
    <col min="12551" max="12551" width="12.42578125" customWidth="1"/>
    <col min="12552" max="12552" width="10.7109375" customWidth="1"/>
    <col min="12553" max="12553" width="13" customWidth="1"/>
    <col min="12796" max="12796" width="48.7109375" customWidth="1"/>
    <col min="12797" max="12797" width="14.7109375" customWidth="1"/>
    <col min="12798" max="12798" width="14.42578125" customWidth="1"/>
    <col min="12799" max="12799" width="12.28515625" customWidth="1"/>
    <col min="12800" max="12800" width="13.7109375" customWidth="1"/>
    <col min="12801" max="12801" width="11.28515625" customWidth="1"/>
    <col min="12802" max="12802" width="12.42578125" customWidth="1"/>
    <col min="12803" max="12803" width="10.28515625" customWidth="1"/>
    <col min="12804" max="12804" width="15" customWidth="1"/>
    <col min="12805" max="12805" width="13.28515625" customWidth="1"/>
    <col min="12806" max="12806" width="12.28515625" customWidth="1"/>
    <col min="12807" max="12807" width="12.42578125" customWidth="1"/>
    <col min="12808" max="12808" width="10.7109375" customWidth="1"/>
    <col min="12809" max="12809" width="13" customWidth="1"/>
    <col min="13052" max="13052" width="48.7109375" customWidth="1"/>
    <col min="13053" max="13053" width="14.7109375" customWidth="1"/>
    <col min="13054" max="13054" width="14.42578125" customWidth="1"/>
    <col min="13055" max="13055" width="12.28515625" customWidth="1"/>
    <col min="13056" max="13056" width="13.7109375" customWidth="1"/>
    <col min="13057" max="13057" width="11.28515625" customWidth="1"/>
    <col min="13058" max="13058" width="12.42578125" customWidth="1"/>
    <col min="13059" max="13059" width="10.28515625" customWidth="1"/>
    <col min="13060" max="13060" width="15" customWidth="1"/>
    <col min="13061" max="13061" width="13.28515625" customWidth="1"/>
    <col min="13062" max="13062" width="12.28515625" customWidth="1"/>
    <col min="13063" max="13063" width="12.42578125" customWidth="1"/>
    <col min="13064" max="13064" width="10.7109375" customWidth="1"/>
    <col min="13065" max="13065" width="13" customWidth="1"/>
    <col min="13308" max="13308" width="48.7109375" customWidth="1"/>
    <col min="13309" max="13309" width="14.7109375" customWidth="1"/>
    <col min="13310" max="13310" width="14.42578125" customWidth="1"/>
    <col min="13311" max="13311" width="12.28515625" customWidth="1"/>
    <col min="13312" max="13312" width="13.7109375" customWidth="1"/>
    <col min="13313" max="13313" width="11.28515625" customWidth="1"/>
    <col min="13314" max="13314" width="12.42578125" customWidth="1"/>
    <col min="13315" max="13315" width="10.28515625" customWidth="1"/>
    <col min="13316" max="13316" width="15" customWidth="1"/>
    <col min="13317" max="13317" width="13.28515625" customWidth="1"/>
    <col min="13318" max="13318" width="12.28515625" customWidth="1"/>
    <col min="13319" max="13319" width="12.42578125" customWidth="1"/>
    <col min="13320" max="13320" width="10.7109375" customWidth="1"/>
    <col min="13321" max="13321" width="13" customWidth="1"/>
    <col min="13564" max="13564" width="48.7109375" customWidth="1"/>
    <col min="13565" max="13565" width="14.7109375" customWidth="1"/>
    <col min="13566" max="13566" width="14.42578125" customWidth="1"/>
    <col min="13567" max="13567" width="12.28515625" customWidth="1"/>
    <col min="13568" max="13568" width="13.7109375" customWidth="1"/>
    <col min="13569" max="13569" width="11.28515625" customWidth="1"/>
    <col min="13570" max="13570" width="12.42578125" customWidth="1"/>
    <col min="13571" max="13571" width="10.28515625" customWidth="1"/>
    <col min="13572" max="13572" width="15" customWidth="1"/>
    <col min="13573" max="13573" width="13.28515625" customWidth="1"/>
    <col min="13574" max="13574" width="12.28515625" customWidth="1"/>
    <col min="13575" max="13575" width="12.42578125" customWidth="1"/>
    <col min="13576" max="13576" width="10.7109375" customWidth="1"/>
    <col min="13577" max="13577" width="13" customWidth="1"/>
    <col min="13820" max="13820" width="48.7109375" customWidth="1"/>
    <col min="13821" max="13821" width="14.7109375" customWidth="1"/>
    <col min="13822" max="13822" width="14.42578125" customWidth="1"/>
    <col min="13823" max="13823" width="12.28515625" customWidth="1"/>
    <col min="13824" max="13824" width="13.7109375" customWidth="1"/>
    <col min="13825" max="13825" width="11.28515625" customWidth="1"/>
    <col min="13826" max="13826" width="12.42578125" customWidth="1"/>
    <col min="13827" max="13827" width="10.28515625" customWidth="1"/>
    <col min="13828" max="13828" width="15" customWidth="1"/>
    <col min="13829" max="13829" width="13.28515625" customWidth="1"/>
    <col min="13830" max="13830" width="12.28515625" customWidth="1"/>
    <col min="13831" max="13831" width="12.42578125" customWidth="1"/>
    <col min="13832" max="13832" width="10.7109375" customWidth="1"/>
    <col min="13833" max="13833" width="13" customWidth="1"/>
    <col min="14076" max="14076" width="48.7109375" customWidth="1"/>
    <col min="14077" max="14077" width="14.7109375" customWidth="1"/>
    <col min="14078" max="14078" width="14.42578125" customWidth="1"/>
    <col min="14079" max="14079" width="12.28515625" customWidth="1"/>
    <col min="14080" max="14080" width="13.7109375" customWidth="1"/>
    <col min="14081" max="14081" width="11.28515625" customWidth="1"/>
    <col min="14082" max="14082" width="12.42578125" customWidth="1"/>
    <col min="14083" max="14083" width="10.28515625" customWidth="1"/>
    <col min="14084" max="14084" width="15" customWidth="1"/>
    <col min="14085" max="14085" width="13.28515625" customWidth="1"/>
    <col min="14086" max="14086" width="12.28515625" customWidth="1"/>
    <col min="14087" max="14087" width="12.42578125" customWidth="1"/>
    <col min="14088" max="14088" width="10.7109375" customWidth="1"/>
    <col min="14089" max="14089" width="13" customWidth="1"/>
    <col min="14332" max="14332" width="48.7109375" customWidth="1"/>
    <col min="14333" max="14333" width="14.7109375" customWidth="1"/>
    <col min="14334" max="14334" width="14.42578125" customWidth="1"/>
    <col min="14335" max="14335" width="12.28515625" customWidth="1"/>
    <col min="14336" max="14336" width="13.7109375" customWidth="1"/>
    <col min="14337" max="14337" width="11.28515625" customWidth="1"/>
    <col min="14338" max="14338" width="12.42578125" customWidth="1"/>
    <col min="14339" max="14339" width="10.28515625" customWidth="1"/>
    <col min="14340" max="14340" width="15" customWidth="1"/>
    <col min="14341" max="14341" width="13.28515625" customWidth="1"/>
    <col min="14342" max="14342" width="12.28515625" customWidth="1"/>
    <col min="14343" max="14343" width="12.42578125" customWidth="1"/>
    <col min="14344" max="14344" width="10.7109375" customWidth="1"/>
    <col min="14345" max="14345" width="13" customWidth="1"/>
    <col min="14588" max="14588" width="48.7109375" customWidth="1"/>
    <col min="14589" max="14589" width="14.7109375" customWidth="1"/>
    <col min="14590" max="14590" width="14.42578125" customWidth="1"/>
    <col min="14591" max="14591" width="12.28515625" customWidth="1"/>
    <col min="14592" max="14592" width="13.7109375" customWidth="1"/>
    <col min="14593" max="14593" width="11.28515625" customWidth="1"/>
    <col min="14594" max="14594" width="12.42578125" customWidth="1"/>
    <col min="14595" max="14595" width="10.28515625" customWidth="1"/>
    <col min="14596" max="14596" width="15" customWidth="1"/>
    <col min="14597" max="14597" width="13.28515625" customWidth="1"/>
    <col min="14598" max="14598" width="12.28515625" customWidth="1"/>
    <col min="14599" max="14599" width="12.42578125" customWidth="1"/>
    <col min="14600" max="14600" width="10.7109375" customWidth="1"/>
    <col min="14601" max="14601" width="13" customWidth="1"/>
    <col min="14844" max="14844" width="48.7109375" customWidth="1"/>
    <col min="14845" max="14845" width="14.7109375" customWidth="1"/>
    <col min="14846" max="14846" width="14.42578125" customWidth="1"/>
    <col min="14847" max="14847" width="12.28515625" customWidth="1"/>
    <col min="14848" max="14848" width="13.7109375" customWidth="1"/>
    <col min="14849" max="14849" width="11.28515625" customWidth="1"/>
    <col min="14850" max="14850" width="12.42578125" customWidth="1"/>
    <col min="14851" max="14851" width="10.28515625" customWidth="1"/>
    <col min="14852" max="14852" width="15" customWidth="1"/>
    <col min="14853" max="14853" width="13.28515625" customWidth="1"/>
    <col min="14854" max="14854" width="12.28515625" customWidth="1"/>
    <col min="14855" max="14855" width="12.42578125" customWidth="1"/>
    <col min="14856" max="14856" width="10.7109375" customWidth="1"/>
    <col min="14857" max="14857" width="13" customWidth="1"/>
    <col min="15100" max="15100" width="48.7109375" customWidth="1"/>
    <col min="15101" max="15101" width="14.7109375" customWidth="1"/>
    <col min="15102" max="15102" width="14.42578125" customWidth="1"/>
    <col min="15103" max="15103" width="12.28515625" customWidth="1"/>
    <col min="15104" max="15104" width="13.7109375" customWidth="1"/>
    <col min="15105" max="15105" width="11.28515625" customWidth="1"/>
    <col min="15106" max="15106" width="12.42578125" customWidth="1"/>
    <col min="15107" max="15107" width="10.28515625" customWidth="1"/>
    <col min="15108" max="15108" width="15" customWidth="1"/>
    <col min="15109" max="15109" width="13.28515625" customWidth="1"/>
    <col min="15110" max="15110" width="12.28515625" customWidth="1"/>
    <col min="15111" max="15111" width="12.42578125" customWidth="1"/>
    <col min="15112" max="15112" width="10.7109375" customWidth="1"/>
    <col min="15113" max="15113" width="13" customWidth="1"/>
    <col min="15356" max="15356" width="48.7109375" customWidth="1"/>
    <col min="15357" max="15357" width="14.7109375" customWidth="1"/>
    <col min="15358" max="15358" width="14.42578125" customWidth="1"/>
    <col min="15359" max="15359" width="12.28515625" customWidth="1"/>
    <col min="15360" max="15360" width="13.7109375" customWidth="1"/>
    <col min="15361" max="15361" width="11.28515625" customWidth="1"/>
    <col min="15362" max="15362" width="12.42578125" customWidth="1"/>
    <col min="15363" max="15363" width="10.28515625" customWidth="1"/>
    <col min="15364" max="15364" width="15" customWidth="1"/>
    <col min="15365" max="15365" width="13.28515625" customWidth="1"/>
    <col min="15366" max="15366" width="12.28515625" customWidth="1"/>
    <col min="15367" max="15367" width="12.42578125" customWidth="1"/>
    <col min="15368" max="15368" width="10.7109375" customWidth="1"/>
    <col min="15369" max="15369" width="13" customWidth="1"/>
    <col min="15612" max="15612" width="48.7109375" customWidth="1"/>
    <col min="15613" max="15613" width="14.7109375" customWidth="1"/>
    <col min="15614" max="15614" width="14.42578125" customWidth="1"/>
    <col min="15615" max="15615" width="12.28515625" customWidth="1"/>
    <col min="15616" max="15616" width="13.7109375" customWidth="1"/>
    <col min="15617" max="15617" width="11.28515625" customWidth="1"/>
    <col min="15618" max="15618" width="12.42578125" customWidth="1"/>
    <col min="15619" max="15619" width="10.28515625" customWidth="1"/>
    <col min="15620" max="15620" width="15" customWidth="1"/>
    <col min="15621" max="15621" width="13.28515625" customWidth="1"/>
    <col min="15622" max="15622" width="12.28515625" customWidth="1"/>
    <col min="15623" max="15623" width="12.42578125" customWidth="1"/>
    <col min="15624" max="15624" width="10.7109375" customWidth="1"/>
    <col min="15625" max="15625" width="13" customWidth="1"/>
    <col min="15868" max="15868" width="48.7109375" customWidth="1"/>
    <col min="15869" max="15869" width="14.7109375" customWidth="1"/>
    <col min="15870" max="15870" width="14.42578125" customWidth="1"/>
    <col min="15871" max="15871" width="12.28515625" customWidth="1"/>
    <col min="15872" max="15872" width="13.7109375" customWidth="1"/>
    <col min="15873" max="15873" width="11.28515625" customWidth="1"/>
    <col min="15874" max="15874" width="12.42578125" customWidth="1"/>
    <col min="15875" max="15875" width="10.28515625" customWidth="1"/>
    <col min="15876" max="15876" width="15" customWidth="1"/>
    <col min="15877" max="15877" width="13.28515625" customWidth="1"/>
    <col min="15878" max="15878" width="12.28515625" customWidth="1"/>
    <col min="15879" max="15879" width="12.42578125" customWidth="1"/>
    <col min="15880" max="15880" width="10.7109375" customWidth="1"/>
    <col min="15881" max="15881" width="13" customWidth="1"/>
    <col min="16124" max="16124" width="48.7109375" customWidth="1"/>
    <col min="16125" max="16125" width="14.7109375" customWidth="1"/>
    <col min="16126" max="16126" width="14.42578125" customWidth="1"/>
    <col min="16127" max="16127" width="12.28515625" customWidth="1"/>
    <col min="16128" max="16128" width="13.7109375" customWidth="1"/>
    <col min="16129" max="16129" width="11.28515625" customWidth="1"/>
    <col min="16130" max="16130" width="12.42578125" customWidth="1"/>
    <col min="16131" max="16131" width="10.28515625" customWidth="1"/>
    <col min="16132" max="16132" width="15" customWidth="1"/>
    <col min="16133" max="16133" width="13.28515625" customWidth="1"/>
    <col min="16134" max="16134" width="12.28515625" customWidth="1"/>
    <col min="16135" max="16135" width="12.42578125" customWidth="1"/>
    <col min="16136" max="16136" width="10.7109375" customWidth="1"/>
    <col min="16137" max="16137" width="13" customWidth="1"/>
  </cols>
  <sheetData>
    <row r="1" spans="1:31" x14ac:dyDescent="0.25">
      <c r="A1" s="127"/>
      <c r="B1" s="129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31" x14ac:dyDescent="0.25">
      <c r="A2" s="127"/>
      <c r="B2" s="113" t="s">
        <v>189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31" x14ac:dyDescent="0.25">
      <c r="A3" s="127"/>
      <c r="B3" s="113" t="s">
        <v>190</v>
      </c>
      <c r="C3" s="133"/>
      <c r="D3" s="127"/>
      <c r="E3" s="139"/>
      <c r="F3" s="127"/>
      <c r="G3" s="127"/>
      <c r="H3" s="127"/>
      <c r="I3" s="127"/>
      <c r="J3" s="127"/>
      <c r="K3" s="127"/>
      <c r="L3" s="127"/>
      <c r="M3" s="127"/>
      <c r="N3" s="127"/>
    </row>
    <row r="4" spans="1:31" x14ac:dyDescent="0.25">
      <c r="A4" s="127"/>
      <c r="B4" s="113" t="s">
        <v>191</v>
      </c>
      <c r="C4" s="133"/>
      <c r="D4" s="127"/>
      <c r="E4" s="139"/>
      <c r="F4" s="127"/>
      <c r="G4" s="127"/>
      <c r="H4" s="127"/>
      <c r="I4" s="127"/>
      <c r="J4" s="127"/>
      <c r="K4" s="127"/>
      <c r="L4" s="127"/>
      <c r="M4" s="127"/>
      <c r="N4" s="127"/>
    </row>
    <row r="5" spans="1:31" x14ac:dyDescent="0.25">
      <c r="A5" s="127"/>
      <c r="B5" s="113" t="s">
        <v>192</v>
      </c>
      <c r="C5" s="133"/>
      <c r="D5" s="127"/>
      <c r="E5" s="139"/>
      <c r="F5" s="127"/>
      <c r="G5" s="127"/>
      <c r="H5" s="127"/>
      <c r="I5" s="127"/>
      <c r="J5" s="127"/>
      <c r="K5" s="127"/>
      <c r="L5" s="127"/>
      <c r="M5" s="127"/>
      <c r="N5" s="127"/>
    </row>
    <row r="6" spans="1:31" ht="15.75" thickBot="1" x14ac:dyDescent="0.3">
      <c r="A6" s="127"/>
      <c r="B6" s="312" t="s">
        <v>193</v>
      </c>
      <c r="C6" s="135"/>
      <c r="D6" s="127"/>
      <c r="E6" s="127"/>
      <c r="F6" s="127"/>
      <c r="G6" s="127"/>
      <c r="H6" s="127"/>
      <c r="N6" s="127"/>
      <c r="O6" s="127"/>
      <c r="Q6" s="127"/>
      <c r="U6" s="127"/>
      <c r="V6" s="127"/>
      <c r="X6" s="127"/>
      <c r="Y6" s="127"/>
    </row>
    <row r="7" spans="1:31" s="14" customFormat="1" ht="26.65" customHeight="1" x14ac:dyDescent="0.25">
      <c r="A7" s="126"/>
      <c r="B7" s="949" t="s">
        <v>103</v>
      </c>
      <c r="C7" s="945" t="s">
        <v>102</v>
      </c>
      <c r="D7" s="947"/>
      <c r="E7" s="945" t="s">
        <v>123</v>
      </c>
      <c r="F7" s="947"/>
      <c r="G7" s="945" t="s">
        <v>194</v>
      </c>
      <c r="H7" s="948"/>
      <c r="I7" s="945" t="s">
        <v>195</v>
      </c>
      <c r="J7" s="947"/>
      <c r="K7" s="945" t="s">
        <v>162</v>
      </c>
      <c r="L7" s="947"/>
      <c r="M7" s="945" t="s">
        <v>196</v>
      </c>
      <c r="N7" s="947"/>
      <c r="O7" s="945" t="s">
        <v>170</v>
      </c>
      <c r="P7" s="948"/>
      <c r="Q7" s="945" t="s">
        <v>197</v>
      </c>
      <c r="R7" s="946"/>
      <c r="S7" s="338"/>
      <c r="T7" s="338"/>
      <c r="U7" s="338"/>
      <c r="V7" s="338"/>
      <c r="W7" s="338"/>
      <c r="X7" s="338"/>
      <c r="Y7" s="126"/>
      <c r="Z7" s="339"/>
      <c r="AA7" s="340"/>
      <c r="AB7" s="340"/>
      <c r="AC7" s="340"/>
      <c r="AD7" s="340"/>
      <c r="AE7" s="340"/>
    </row>
    <row r="8" spans="1:31" s="14" customFormat="1" ht="18" customHeight="1" x14ac:dyDescent="0.25">
      <c r="A8" s="126"/>
      <c r="B8" s="950"/>
      <c r="C8" s="447" t="s">
        <v>198</v>
      </c>
      <c r="D8" s="447" t="s">
        <v>11</v>
      </c>
      <c r="E8" s="447" t="s">
        <v>198</v>
      </c>
      <c r="F8" s="341" t="s">
        <v>11</v>
      </c>
      <c r="G8" s="447" t="s">
        <v>198</v>
      </c>
      <c r="H8" s="341" t="s">
        <v>11</v>
      </c>
      <c r="I8" s="557" t="s">
        <v>199</v>
      </c>
      <c r="J8" s="447" t="s">
        <v>200</v>
      </c>
      <c r="K8" s="341" t="s">
        <v>201</v>
      </c>
      <c r="L8" s="447" t="s">
        <v>202</v>
      </c>
      <c r="M8" s="447"/>
      <c r="N8" s="447"/>
      <c r="O8" s="341" t="s">
        <v>201</v>
      </c>
      <c r="P8" s="341" t="s">
        <v>202</v>
      </c>
      <c r="Q8" s="447" t="s">
        <v>198</v>
      </c>
      <c r="R8" s="491" t="s">
        <v>11</v>
      </c>
      <c r="S8" s="338"/>
      <c r="T8" s="338"/>
      <c r="U8" s="338"/>
      <c r="V8" s="338"/>
      <c r="W8" s="338"/>
      <c r="X8" s="338"/>
      <c r="Y8" s="126"/>
      <c r="Z8" s="339"/>
      <c r="AA8" s="340"/>
      <c r="AB8" s="340"/>
      <c r="AC8" s="340"/>
      <c r="AD8" s="340"/>
      <c r="AE8" s="340"/>
    </row>
    <row r="9" spans="1:31" x14ac:dyDescent="0.25">
      <c r="A9" s="127"/>
      <c r="B9" s="348" t="s">
        <v>107</v>
      </c>
      <c r="C9" s="346"/>
      <c r="D9" s="334"/>
      <c r="E9" s="346"/>
      <c r="F9" s="589"/>
      <c r="G9" s="490"/>
      <c r="H9" s="589"/>
      <c r="I9" s="346"/>
      <c r="J9" s="344"/>
      <c r="K9" s="501"/>
      <c r="L9" s="507"/>
      <c r="M9" s="501"/>
      <c r="N9" s="507"/>
      <c r="O9" s="501"/>
      <c r="P9" s="506"/>
      <c r="Q9" s="501"/>
      <c r="R9" s="503"/>
      <c r="S9" s="141"/>
      <c r="T9" s="141"/>
      <c r="U9" s="141"/>
      <c r="V9" s="337"/>
      <c r="W9" s="141"/>
      <c r="X9" s="141"/>
      <c r="Y9" s="127"/>
      <c r="Z9" s="141"/>
      <c r="AA9" s="141"/>
      <c r="AB9" s="141"/>
      <c r="AC9" s="141"/>
      <c r="AD9" s="141"/>
      <c r="AE9" s="141"/>
    </row>
    <row r="10" spans="1:31" x14ac:dyDescent="0.25">
      <c r="A10" s="127"/>
      <c r="B10" s="348" t="s">
        <v>108</v>
      </c>
      <c r="C10" s="346"/>
      <c r="D10" s="334"/>
      <c r="E10" s="346"/>
      <c r="F10" s="589"/>
      <c r="G10" s="490"/>
      <c r="H10" s="589"/>
      <c r="I10" s="346"/>
      <c r="J10" s="344"/>
      <c r="K10" s="501"/>
      <c r="L10" s="507"/>
      <c r="M10" s="501"/>
      <c r="N10" s="507"/>
      <c r="O10" s="501"/>
      <c r="P10" s="506"/>
      <c r="Q10" s="501"/>
      <c r="R10" s="503"/>
      <c r="S10" s="141"/>
      <c r="T10" s="141"/>
      <c r="U10" s="141"/>
      <c r="V10" s="283"/>
      <c r="W10" s="284"/>
      <c r="X10" s="284"/>
      <c r="Y10" s="127"/>
      <c r="Z10" s="141"/>
      <c r="AA10" s="141"/>
      <c r="AB10" s="141"/>
      <c r="AC10" s="141"/>
      <c r="AD10" s="141"/>
      <c r="AE10" s="141"/>
    </row>
    <row r="11" spans="1:31" x14ac:dyDescent="0.25">
      <c r="A11" s="127"/>
      <c r="B11" s="349" t="s">
        <v>203</v>
      </c>
      <c r="C11" s="346"/>
      <c r="D11" s="334"/>
      <c r="E11" s="346"/>
      <c r="F11" s="589"/>
      <c r="G11" s="490"/>
      <c r="H11" s="589"/>
      <c r="I11" s="346"/>
      <c r="J11" s="344"/>
      <c r="K11" s="501"/>
      <c r="L11" s="507"/>
      <c r="M11" s="346"/>
      <c r="N11" s="334"/>
      <c r="O11" s="501"/>
      <c r="P11" s="506"/>
      <c r="Q11" s="346"/>
      <c r="R11" s="492"/>
      <c r="S11" s="141"/>
      <c r="T11" s="141"/>
      <c r="U11" s="141"/>
      <c r="V11" s="285"/>
      <c r="W11" s="142"/>
      <c r="X11" s="142"/>
      <c r="Y11" s="137"/>
      <c r="Z11" s="141"/>
      <c r="AA11" s="141"/>
      <c r="AB11" s="141"/>
      <c r="AC11" s="141"/>
      <c r="AD11" s="141"/>
      <c r="AE11" s="141"/>
    </row>
    <row r="12" spans="1:31" x14ac:dyDescent="0.25">
      <c r="A12" s="127"/>
      <c r="B12" s="348" t="s">
        <v>110</v>
      </c>
      <c r="C12" s="346"/>
      <c r="D12" s="334"/>
      <c r="E12" s="346"/>
      <c r="F12" s="589"/>
      <c r="G12" s="490"/>
      <c r="H12" s="589"/>
      <c r="I12" s="346"/>
      <c r="J12" s="344"/>
      <c r="K12" s="501"/>
      <c r="L12" s="507"/>
      <c r="M12" s="501"/>
      <c r="N12" s="507"/>
      <c r="O12" s="501"/>
      <c r="P12" s="506"/>
      <c r="Q12" s="501"/>
      <c r="R12" s="503"/>
      <c r="S12" s="141"/>
      <c r="T12" s="141"/>
      <c r="U12" s="141"/>
      <c r="V12" s="285"/>
      <c r="W12" s="142"/>
      <c r="X12" s="142"/>
      <c r="Y12" s="128"/>
      <c r="Z12" s="141"/>
      <c r="AA12" s="141"/>
      <c r="AB12" s="141"/>
      <c r="AC12" s="141"/>
      <c r="AD12" s="141"/>
      <c r="AE12" s="141"/>
    </row>
    <row r="13" spans="1:31" x14ac:dyDescent="0.25">
      <c r="A13" s="127"/>
      <c r="B13" s="349" t="s">
        <v>111</v>
      </c>
      <c r="C13" s="346"/>
      <c r="D13" s="334"/>
      <c r="E13" s="346"/>
      <c r="F13" s="589"/>
      <c r="G13" s="490"/>
      <c r="H13" s="589"/>
      <c r="I13" s="346"/>
      <c r="J13" s="344"/>
      <c r="K13" s="501"/>
      <c r="L13" s="507"/>
      <c r="M13" s="501"/>
      <c r="N13" s="507"/>
      <c r="O13" s="501"/>
      <c r="P13" s="506"/>
      <c r="Q13" s="501"/>
      <c r="R13" s="503"/>
      <c r="S13" s="141"/>
      <c r="T13" s="141"/>
      <c r="U13" s="141"/>
      <c r="V13" s="285"/>
      <c r="W13" s="142"/>
      <c r="X13" s="142"/>
      <c r="Y13" s="128"/>
      <c r="Z13" s="143"/>
      <c r="AA13" s="143"/>
      <c r="AB13" s="143"/>
      <c r="AC13" s="143"/>
      <c r="AD13" s="143"/>
      <c r="AE13" s="143"/>
    </row>
    <row r="14" spans="1:31" x14ac:dyDescent="0.25">
      <c r="A14" s="127"/>
      <c r="B14" s="348" t="s">
        <v>112</v>
      </c>
      <c r="C14" s="346"/>
      <c r="D14" s="334"/>
      <c r="E14" s="346"/>
      <c r="F14" s="589"/>
      <c r="G14" s="490"/>
      <c r="H14" s="589"/>
      <c r="I14" s="346"/>
      <c r="J14" s="344"/>
      <c r="K14" s="501"/>
      <c r="L14" s="507"/>
      <c r="M14" s="501"/>
      <c r="N14" s="507"/>
      <c r="O14" s="501"/>
      <c r="P14" s="506"/>
      <c r="Q14" s="501"/>
      <c r="R14" s="503"/>
      <c r="Y14" s="128"/>
    </row>
    <row r="15" spans="1:31" x14ac:dyDescent="0.25">
      <c r="A15" s="127"/>
      <c r="B15" s="348" t="s">
        <v>204</v>
      </c>
      <c r="C15" s="346"/>
      <c r="D15" s="334"/>
      <c r="E15" s="346"/>
      <c r="F15" s="589"/>
      <c r="G15" s="490"/>
      <c r="H15" s="589"/>
      <c r="I15" s="346"/>
      <c r="J15" s="344"/>
      <c r="K15" s="501"/>
      <c r="L15" s="507"/>
      <c r="M15" s="501"/>
      <c r="N15" s="507"/>
      <c r="O15" s="501"/>
      <c r="P15" s="506"/>
      <c r="Q15" s="501"/>
      <c r="R15" s="503"/>
      <c r="S15" s="127"/>
      <c r="T15" s="127"/>
      <c r="U15" s="127"/>
      <c r="V15" s="136"/>
      <c r="W15" s="128"/>
      <c r="X15" s="128"/>
      <c r="Y15" s="128"/>
      <c r="Z15" s="128"/>
      <c r="AA15" s="128"/>
      <c r="AB15" s="128"/>
    </row>
    <row r="16" spans="1:31" x14ac:dyDescent="0.25">
      <c r="A16" s="127"/>
      <c r="B16" s="348" t="s">
        <v>205</v>
      </c>
      <c r="C16" s="346"/>
      <c r="D16" s="334"/>
      <c r="E16" s="346"/>
      <c r="F16" s="589"/>
      <c r="G16" s="490"/>
      <c r="H16" s="589"/>
      <c r="I16" s="346"/>
      <c r="J16" s="344"/>
      <c r="K16" s="501"/>
      <c r="L16" s="507"/>
      <c r="M16" s="501"/>
      <c r="N16" s="507"/>
      <c r="O16" s="501"/>
      <c r="P16" s="506"/>
      <c r="Q16" s="501"/>
      <c r="R16" s="503"/>
      <c r="S16" s="127"/>
      <c r="T16" s="127"/>
      <c r="U16" s="127"/>
      <c r="V16" s="136"/>
      <c r="W16" s="128"/>
      <c r="X16" s="128"/>
      <c r="Y16" s="128"/>
      <c r="Z16" s="128"/>
      <c r="AA16" s="128"/>
      <c r="AB16" s="128"/>
    </row>
    <row r="17" spans="1:28" x14ac:dyDescent="0.25">
      <c r="A17" s="127"/>
      <c r="B17" s="349" t="s">
        <v>115</v>
      </c>
      <c r="C17" s="346"/>
      <c r="D17" s="334"/>
      <c r="E17" s="346"/>
      <c r="F17" s="589"/>
      <c r="G17" s="490"/>
      <c r="H17" s="589"/>
      <c r="I17" s="346"/>
      <c r="J17" s="344"/>
      <c r="K17" s="501"/>
      <c r="L17" s="507"/>
      <c r="M17" s="501"/>
      <c r="N17" s="507"/>
      <c r="O17" s="501"/>
      <c r="P17" s="506"/>
      <c r="Q17" s="501"/>
      <c r="R17" s="503"/>
      <c r="S17" s="127"/>
      <c r="T17" s="127"/>
      <c r="U17" s="127"/>
      <c r="V17" s="136"/>
      <c r="W17" s="128"/>
      <c r="X17" s="128"/>
      <c r="Y17" s="128"/>
      <c r="Z17" s="128"/>
      <c r="AA17" s="128"/>
      <c r="AB17" s="128"/>
    </row>
    <row r="18" spans="1:28" x14ac:dyDescent="0.25">
      <c r="A18" s="127"/>
      <c r="B18" s="348" t="s">
        <v>206</v>
      </c>
      <c r="C18" s="346"/>
      <c r="D18" s="334"/>
      <c r="E18" s="346"/>
      <c r="F18" s="589"/>
      <c r="G18" s="490"/>
      <c r="H18" s="589"/>
      <c r="I18" s="346"/>
      <c r="J18" s="344"/>
      <c r="K18" s="501"/>
      <c r="L18" s="507"/>
      <c r="M18" s="501"/>
      <c r="N18" s="507"/>
      <c r="O18" s="501"/>
      <c r="P18" s="506"/>
      <c r="Q18" s="501"/>
      <c r="R18" s="503"/>
      <c r="S18" s="127"/>
      <c r="T18" s="127"/>
      <c r="U18" s="127"/>
      <c r="V18" s="136"/>
      <c r="W18" s="128"/>
      <c r="X18" s="128"/>
      <c r="Y18" s="128"/>
      <c r="Z18" s="128"/>
      <c r="AA18" s="128"/>
      <c r="AB18" s="128"/>
    </row>
    <row r="19" spans="1:28" x14ac:dyDescent="0.25">
      <c r="A19" s="127"/>
      <c r="B19" s="348" t="s">
        <v>207</v>
      </c>
      <c r="C19" s="346"/>
      <c r="D19" s="334"/>
      <c r="E19" s="346"/>
      <c r="F19" s="589"/>
      <c r="G19" s="490"/>
      <c r="H19" s="589"/>
      <c r="I19" s="346"/>
      <c r="J19" s="344"/>
      <c r="K19" s="501"/>
      <c r="L19" s="507"/>
      <c r="M19" s="501"/>
      <c r="N19" s="507"/>
      <c r="O19" s="501"/>
      <c r="P19" s="506"/>
      <c r="Q19" s="501"/>
      <c r="R19" s="503"/>
      <c r="S19" s="127"/>
      <c r="T19" s="127"/>
      <c r="U19" s="127"/>
      <c r="V19" s="136"/>
      <c r="W19" s="128"/>
      <c r="X19" s="128"/>
      <c r="Y19" s="128"/>
      <c r="Z19" s="128"/>
      <c r="AA19" s="128"/>
      <c r="AB19" s="128"/>
    </row>
    <row r="20" spans="1:28" ht="15.75" thickBot="1" x14ac:dyDescent="0.3">
      <c r="A20" s="127"/>
      <c r="B20" s="350" t="s">
        <v>208</v>
      </c>
      <c r="C20" s="501"/>
      <c r="D20" s="501"/>
      <c r="E20" s="501"/>
      <c r="F20" s="501"/>
      <c r="G20" s="501"/>
      <c r="H20" s="501"/>
      <c r="I20" s="501"/>
      <c r="J20" s="501"/>
      <c r="K20" s="347"/>
      <c r="L20" s="342"/>
      <c r="M20" s="563"/>
      <c r="N20" s="565"/>
      <c r="O20" s="347"/>
      <c r="P20" s="566"/>
      <c r="Q20" s="504"/>
      <c r="R20" s="505"/>
      <c r="S20" s="127"/>
      <c r="T20" s="127"/>
      <c r="U20" s="127"/>
      <c r="V20" s="136"/>
      <c r="W20" s="128"/>
      <c r="X20" s="128"/>
      <c r="Y20" s="128"/>
      <c r="Z20" s="128"/>
      <c r="AA20" s="128"/>
      <c r="AB20" s="128"/>
    </row>
    <row r="21" spans="1:28" x14ac:dyDescent="0.25">
      <c r="A21" s="127"/>
      <c r="B21" s="134"/>
      <c r="C21" s="276"/>
      <c r="D21" s="159"/>
      <c r="E21" s="159"/>
      <c r="F21" s="159"/>
      <c r="G21" s="159"/>
      <c r="H21" s="159"/>
      <c r="I21" s="159"/>
      <c r="J21" s="159"/>
      <c r="O21" s="278"/>
      <c r="P21" s="127"/>
      <c r="Q21" s="127"/>
      <c r="R21" s="136"/>
      <c r="S21" s="128"/>
      <c r="T21" s="128"/>
      <c r="U21" s="128"/>
      <c r="V21" s="128"/>
      <c r="W21" s="128"/>
      <c r="X21" s="128"/>
    </row>
    <row r="22" spans="1:28" ht="15.75" thickBot="1" x14ac:dyDescent="0.3">
      <c r="A22" s="127"/>
      <c r="B22" s="312" t="s">
        <v>209</v>
      </c>
      <c r="C22" s="135"/>
      <c r="D22" s="127"/>
      <c r="E22" s="127"/>
      <c r="F22" s="127"/>
      <c r="G22" s="127"/>
      <c r="H22" s="127"/>
      <c r="I22" s="140"/>
      <c r="J22" s="127"/>
      <c r="K22" s="127"/>
      <c r="L22" s="127"/>
      <c r="M22" s="127"/>
      <c r="O22" s="127"/>
      <c r="P22" s="127"/>
      <c r="R22" s="127"/>
      <c r="S22" s="127"/>
    </row>
    <row r="23" spans="1:28" s="14" customFormat="1" ht="26.65" customHeight="1" x14ac:dyDescent="0.25">
      <c r="A23" s="126"/>
      <c r="B23" s="949" t="s">
        <v>103</v>
      </c>
      <c r="C23" s="945" t="s">
        <v>210</v>
      </c>
      <c r="D23" s="947"/>
      <c r="E23" s="945" t="s">
        <v>211</v>
      </c>
      <c r="F23" s="947"/>
      <c r="G23" s="945" t="s">
        <v>212</v>
      </c>
      <c r="H23" s="947"/>
      <c r="I23" s="945" t="s">
        <v>165</v>
      </c>
      <c r="J23" s="947"/>
      <c r="K23" s="945" t="s">
        <v>213</v>
      </c>
      <c r="L23" s="947"/>
      <c r="M23" s="945" t="s">
        <v>197</v>
      </c>
      <c r="N23" s="946"/>
      <c r="O23" s="126"/>
      <c r="P23" s="339"/>
      <c r="Q23" s="340"/>
      <c r="R23" s="340"/>
      <c r="S23" s="340"/>
      <c r="T23" s="340"/>
      <c r="U23" s="340"/>
    </row>
    <row r="24" spans="1:28" s="14" customFormat="1" ht="18" customHeight="1" x14ac:dyDescent="0.25">
      <c r="A24" s="126"/>
      <c r="B24" s="950"/>
      <c r="C24" s="447" t="s">
        <v>198</v>
      </c>
      <c r="D24" s="447" t="s">
        <v>11</v>
      </c>
      <c r="E24" s="447" t="s">
        <v>198</v>
      </c>
      <c r="F24" s="447" t="s">
        <v>11</v>
      </c>
      <c r="G24" s="447" t="s">
        <v>198</v>
      </c>
      <c r="H24" s="447" t="s">
        <v>11</v>
      </c>
      <c r="I24" s="447" t="s">
        <v>198</v>
      </c>
      <c r="J24" s="447" t="s">
        <v>11</v>
      </c>
      <c r="K24" s="447" t="s">
        <v>198</v>
      </c>
      <c r="L24" s="447" t="s">
        <v>11</v>
      </c>
      <c r="M24" s="447" t="s">
        <v>198</v>
      </c>
      <c r="N24" s="491" t="s">
        <v>11</v>
      </c>
      <c r="O24" s="126"/>
      <c r="P24" s="339"/>
      <c r="Q24" s="340"/>
      <c r="R24" s="340"/>
      <c r="S24" s="340"/>
      <c r="T24" s="340"/>
      <c r="U24" s="340"/>
    </row>
    <row r="25" spans="1:28" x14ac:dyDescent="0.25">
      <c r="A25" s="127"/>
      <c r="B25" s="348" t="s">
        <v>107</v>
      </c>
      <c r="C25" s="345"/>
      <c r="D25" s="334"/>
      <c r="E25" s="346"/>
      <c r="F25" s="589"/>
      <c r="G25" s="346"/>
      <c r="H25" s="334"/>
      <c r="I25" s="501"/>
      <c r="J25" s="502"/>
      <c r="K25" s="501"/>
      <c r="L25" s="502"/>
      <c r="M25" s="501"/>
      <c r="N25" s="503"/>
      <c r="O25" s="127"/>
      <c r="P25" s="141"/>
      <c r="Q25" s="141"/>
      <c r="R25" s="141"/>
      <c r="S25" s="141"/>
      <c r="T25" s="141"/>
      <c r="U25" s="141"/>
    </row>
    <row r="26" spans="1:28" x14ac:dyDescent="0.25">
      <c r="A26" s="127"/>
      <c r="B26" s="348" t="s">
        <v>108</v>
      </c>
      <c r="C26" s="345"/>
      <c r="D26" s="334"/>
      <c r="E26" s="346"/>
      <c r="F26" s="589"/>
      <c r="G26" s="346"/>
      <c r="H26" s="334"/>
      <c r="I26" s="501"/>
      <c r="J26" s="502"/>
      <c r="K26" s="501"/>
      <c r="L26" s="502"/>
      <c r="M26" s="501"/>
      <c r="N26" s="503"/>
      <c r="O26" s="127"/>
      <c r="P26" s="141"/>
      <c r="Q26" s="141"/>
      <c r="R26" s="141"/>
      <c r="S26" s="141"/>
      <c r="T26" s="141"/>
      <c r="U26" s="141"/>
    </row>
    <row r="27" spans="1:28" x14ac:dyDescent="0.25">
      <c r="A27" s="127"/>
      <c r="B27" s="349" t="s">
        <v>203</v>
      </c>
      <c r="C27" s="345"/>
      <c r="D27" s="334"/>
      <c r="E27" s="752"/>
      <c r="F27" s="589"/>
      <c r="G27" s="752"/>
      <c r="H27" s="334"/>
      <c r="I27" s="501"/>
      <c r="J27" s="502"/>
      <c r="K27" s="346"/>
      <c r="L27" s="334"/>
      <c r="M27" s="346"/>
      <c r="N27" s="492"/>
      <c r="O27" s="137"/>
      <c r="P27" s="141"/>
      <c r="Q27" s="141"/>
      <c r="R27" s="141"/>
      <c r="S27" s="141"/>
      <c r="T27" s="141"/>
      <c r="U27" s="141"/>
    </row>
    <row r="28" spans="1:28" x14ac:dyDescent="0.25">
      <c r="A28" s="127"/>
      <c r="B28" s="348" t="s">
        <v>110</v>
      </c>
      <c r="C28" s="345"/>
      <c r="D28" s="334"/>
      <c r="E28" s="346"/>
      <c r="F28" s="589"/>
      <c r="G28" s="346"/>
      <c r="H28" s="334"/>
      <c r="I28" s="501"/>
      <c r="J28" s="502"/>
      <c r="K28" s="501"/>
      <c r="L28" s="502"/>
      <c r="M28" s="501"/>
      <c r="N28" s="503"/>
      <c r="O28" s="128"/>
      <c r="P28" s="141"/>
      <c r="Q28" s="141"/>
      <c r="R28" s="141"/>
      <c r="S28" s="141"/>
      <c r="T28" s="141"/>
      <c r="U28" s="141"/>
    </row>
    <row r="29" spans="1:28" x14ac:dyDescent="0.25">
      <c r="A29" s="127"/>
      <c r="B29" s="349" t="s">
        <v>111</v>
      </c>
      <c r="C29" s="345"/>
      <c r="D29" s="334"/>
      <c r="E29" s="346"/>
      <c r="F29" s="589"/>
      <c r="G29" s="346"/>
      <c r="H29" s="334"/>
      <c r="I29" s="501"/>
      <c r="J29" s="502"/>
      <c r="K29" s="501"/>
      <c r="L29" s="502"/>
      <c r="M29" s="501"/>
      <c r="N29" s="503"/>
      <c r="O29" s="128"/>
      <c r="P29" s="143"/>
      <c r="Q29" s="143"/>
      <c r="R29" s="143"/>
      <c r="S29" s="143"/>
      <c r="T29" s="143"/>
      <c r="U29" s="143"/>
    </row>
    <row r="30" spans="1:28" x14ac:dyDescent="0.25">
      <c r="A30" s="127"/>
      <c r="B30" s="348" t="s">
        <v>112</v>
      </c>
      <c r="C30" s="345"/>
      <c r="D30" s="334"/>
      <c r="E30" s="346"/>
      <c r="F30" s="589"/>
      <c r="G30" s="346"/>
      <c r="H30" s="334"/>
      <c r="I30" s="501"/>
      <c r="J30" s="502"/>
      <c r="K30" s="501"/>
      <c r="L30" s="502"/>
      <c r="M30" s="501"/>
      <c r="N30" s="503"/>
      <c r="O30" s="128"/>
    </row>
    <row r="31" spans="1:28" x14ac:dyDescent="0.25">
      <c r="A31" s="127"/>
      <c r="B31" s="348" t="s">
        <v>204</v>
      </c>
      <c r="C31" s="345"/>
      <c r="D31" s="334"/>
      <c r="E31" s="346"/>
      <c r="F31" s="589"/>
      <c r="G31" s="346"/>
      <c r="H31" s="334"/>
      <c r="I31" s="501"/>
      <c r="J31" s="502"/>
      <c r="K31" s="501"/>
      <c r="L31" s="502"/>
      <c r="M31" s="501"/>
      <c r="N31" s="503"/>
      <c r="O31" s="128"/>
      <c r="P31" s="128"/>
      <c r="Q31" s="128"/>
      <c r="R31" s="128"/>
    </row>
    <row r="32" spans="1:28" x14ac:dyDescent="0.25">
      <c r="A32" s="127"/>
      <c r="B32" s="348" t="s">
        <v>205</v>
      </c>
      <c r="C32" s="345"/>
      <c r="D32" s="334"/>
      <c r="E32" s="346"/>
      <c r="F32" s="589"/>
      <c r="G32" s="346"/>
      <c r="H32" s="334"/>
      <c r="I32" s="501"/>
      <c r="J32" s="502"/>
      <c r="K32" s="501"/>
      <c r="L32" s="502"/>
      <c r="M32" s="501"/>
      <c r="N32" s="503"/>
      <c r="O32" s="128"/>
      <c r="P32" s="128"/>
      <c r="Q32" s="128"/>
      <c r="R32" s="128"/>
    </row>
    <row r="33" spans="1:21" x14ac:dyDescent="0.25">
      <c r="A33" s="127"/>
      <c r="B33" s="349" t="s">
        <v>115</v>
      </c>
      <c r="C33" s="345"/>
      <c r="D33" s="334"/>
      <c r="E33" s="346"/>
      <c r="F33" s="589"/>
      <c r="G33" s="346"/>
      <c r="H33" s="334"/>
      <c r="I33" s="501"/>
      <c r="J33" s="502"/>
      <c r="K33" s="501"/>
      <c r="L33" s="502"/>
      <c r="M33" s="501"/>
      <c r="N33" s="503"/>
      <c r="O33" s="128"/>
      <c r="P33" s="128"/>
      <c r="Q33" s="128"/>
      <c r="R33" s="128"/>
    </row>
    <row r="34" spans="1:21" x14ac:dyDescent="0.25">
      <c r="A34" s="127"/>
      <c r="B34" s="348" t="s">
        <v>206</v>
      </c>
      <c r="C34" s="334"/>
      <c r="D34" s="334"/>
      <c r="E34" s="346"/>
      <c r="F34" s="589"/>
      <c r="G34" s="346"/>
      <c r="H34" s="334"/>
      <c r="I34" s="501"/>
      <c r="J34" s="502"/>
      <c r="K34" s="501"/>
      <c r="L34" s="502"/>
      <c r="M34" s="501"/>
      <c r="N34" s="503"/>
      <c r="O34" s="128"/>
      <c r="P34" s="128"/>
      <c r="Q34" s="128"/>
      <c r="R34" s="128"/>
    </row>
    <row r="35" spans="1:21" x14ac:dyDescent="0.25">
      <c r="A35" s="127"/>
      <c r="B35" s="348" t="s">
        <v>207</v>
      </c>
      <c r="C35" s="334"/>
      <c r="D35" s="334"/>
      <c r="E35" s="346"/>
      <c r="F35" s="589"/>
      <c r="G35" s="346"/>
      <c r="H35" s="334"/>
      <c r="I35" s="501"/>
      <c r="J35" s="502"/>
      <c r="K35" s="501"/>
      <c r="L35" s="502"/>
      <c r="M35" s="501"/>
      <c r="N35" s="503"/>
      <c r="O35" s="128"/>
      <c r="P35" s="128"/>
      <c r="Q35" s="128"/>
      <c r="R35" s="128"/>
    </row>
    <row r="36" spans="1:21" ht="15.75" thickBot="1" x14ac:dyDescent="0.3">
      <c r="A36" s="127"/>
      <c r="B36" s="350" t="s">
        <v>208</v>
      </c>
      <c r="C36" s="501"/>
      <c r="D36" s="501"/>
      <c r="E36" s="501"/>
      <c r="F36" s="501"/>
      <c r="G36" s="501"/>
      <c r="H36" s="501"/>
      <c r="I36" s="347"/>
      <c r="J36" s="342"/>
      <c r="K36" s="563"/>
      <c r="L36" s="565"/>
      <c r="M36" s="504"/>
      <c r="N36" s="505"/>
      <c r="O36" s="128"/>
      <c r="P36" s="128"/>
      <c r="Q36" s="128"/>
      <c r="R36" s="128"/>
    </row>
    <row r="37" spans="1:21" x14ac:dyDescent="0.25">
      <c r="A37" s="127"/>
      <c r="B37" s="134"/>
      <c r="C37" s="276"/>
      <c r="D37" s="159"/>
      <c r="E37" s="159"/>
      <c r="F37" s="159"/>
      <c r="G37" s="159"/>
      <c r="H37" s="159"/>
      <c r="I37" s="279"/>
      <c r="J37" s="128"/>
      <c r="K37" s="127"/>
      <c r="L37" s="127"/>
      <c r="M37" s="127"/>
      <c r="N37" s="128"/>
      <c r="O37" s="128"/>
      <c r="P37" s="128"/>
    </row>
    <row r="38" spans="1:21" ht="15.75" thickBot="1" x14ac:dyDescent="0.3">
      <c r="A38" s="127"/>
      <c r="B38" s="312" t="s">
        <v>214</v>
      </c>
      <c r="G38" s="127"/>
      <c r="H38" s="127"/>
      <c r="L38" s="127"/>
      <c r="M38" s="127"/>
      <c r="O38" s="127"/>
    </row>
    <row r="39" spans="1:21" s="14" customFormat="1" x14ac:dyDescent="0.25">
      <c r="A39" s="126"/>
      <c r="B39" s="446" t="s">
        <v>103</v>
      </c>
      <c r="C39" s="448" t="s">
        <v>104</v>
      </c>
      <c r="D39" s="483" t="s">
        <v>215</v>
      </c>
      <c r="F39" s="340"/>
      <c r="G39" s="339"/>
      <c r="H39" s="339"/>
      <c r="I39" s="338"/>
      <c r="J39" s="338"/>
      <c r="K39" s="338"/>
      <c r="L39" s="338"/>
      <c r="M39" s="126"/>
      <c r="N39" s="339"/>
      <c r="O39" s="340"/>
      <c r="P39" s="340"/>
    </row>
    <row r="40" spans="1:21" x14ac:dyDescent="0.25">
      <c r="A40" s="127"/>
      <c r="B40" s="348" t="s">
        <v>178</v>
      </c>
      <c r="C40" s="485" t="s">
        <v>216</v>
      </c>
      <c r="D40" s="583"/>
      <c r="F40" s="15"/>
      <c r="G40" s="343"/>
      <c r="H40" s="343"/>
      <c r="I40" s="141"/>
      <c r="J40" s="141"/>
      <c r="K40" s="141"/>
      <c r="L40" s="141"/>
      <c r="M40" s="127"/>
      <c r="N40" s="141"/>
      <c r="O40" s="141"/>
      <c r="P40" s="141"/>
    </row>
    <row r="41" spans="1:21" x14ac:dyDescent="0.25">
      <c r="A41" s="127"/>
      <c r="B41" s="348" t="s">
        <v>179</v>
      </c>
      <c r="C41" s="485" t="s">
        <v>217</v>
      </c>
      <c r="D41" s="583"/>
      <c r="F41" s="15"/>
      <c r="G41" s="356"/>
      <c r="H41" s="343"/>
      <c r="I41" s="141"/>
      <c r="J41" s="141"/>
      <c r="K41" s="284"/>
      <c r="L41" s="284"/>
      <c r="M41" s="127"/>
      <c r="N41" s="141"/>
      <c r="O41" s="141"/>
      <c r="P41" s="141"/>
    </row>
    <row r="42" spans="1:21" x14ac:dyDescent="0.25">
      <c r="A42" s="127"/>
      <c r="B42" s="348" t="s">
        <v>173</v>
      </c>
      <c r="C42" s="485" t="s">
        <v>218</v>
      </c>
      <c r="D42" s="583"/>
      <c r="F42" s="15"/>
      <c r="G42" s="343"/>
      <c r="H42" s="343"/>
      <c r="I42" s="141"/>
      <c r="J42" s="141"/>
      <c r="K42" s="142"/>
      <c r="L42" s="142"/>
      <c r="M42" s="128"/>
      <c r="N42" s="143"/>
      <c r="O42" s="143"/>
      <c r="P42" s="143"/>
    </row>
    <row r="43" spans="1:21" x14ac:dyDescent="0.25">
      <c r="A43" s="127"/>
      <c r="B43" s="348" t="s">
        <v>174</v>
      </c>
      <c r="C43" s="485" t="s">
        <v>219</v>
      </c>
      <c r="D43" s="583"/>
      <c r="F43" s="15"/>
      <c r="G43" s="343"/>
      <c r="H43" s="343"/>
      <c r="M43" s="128"/>
    </row>
    <row r="44" spans="1:21" x14ac:dyDescent="0.25">
      <c r="A44" s="127"/>
      <c r="B44" s="348" t="s">
        <v>220</v>
      </c>
      <c r="C44" s="485" t="s">
        <v>221</v>
      </c>
      <c r="D44" s="583"/>
      <c r="F44" s="15"/>
      <c r="G44" s="343"/>
      <c r="H44" s="343"/>
      <c r="I44" s="127"/>
      <c r="J44" s="127"/>
      <c r="K44" s="128"/>
      <c r="L44" s="128"/>
      <c r="M44" s="128"/>
      <c r="N44" s="128"/>
      <c r="O44" s="128"/>
      <c r="P44" s="128"/>
    </row>
    <row r="45" spans="1:21" x14ac:dyDescent="0.25">
      <c r="A45" s="127"/>
      <c r="B45" s="348" t="s">
        <v>222</v>
      </c>
      <c r="C45" s="485" t="s">
        <v>223</v>
      </c>
      <c r="D45" s="583"/>
      <c r="F45" s="15"/>
      <c r="G45" s="343"/>
      <c r="H45" s="343"/>
      <c r="I45" s="127"/>
      <c r="J45" s="127"/>
      <c r="K45" s="128"/>
      <c r="L45" s="128"/>
      <c r="M45" s="128"/>
      <c r="N45" s="128"/>
      <c r="O45" s="128"/>
      <c r="P45" s="128"/>
    </row>
    <row r="46" spans="1:21" x14ac:dyDescent="0.25">
      <c r="A46" s="127"/>
      <c r="B46" s="755" t="s">
        <v>177</v>
      </c>
      <c r="C46" s="756" t="s">
        <v>224</v>
      </c>
      <c r="D46" s="757"/>
      <c r="F46" s="15"/>
      <c r="G46" s="343"/>
      <c r="H46" s="343"/>
      <c r="I46" s="127"/>
      <c r="J46" s="127"/>
      <c r="K46" s="128"/>
      <c r="L46" s="128"/>
      <c r="M46" s="128"/>
      <c r="N46" s="128"/>
      <c r="O46" s="128"/>
      <c r="P46" s="128"/>
    </row>
    <row r="47" spans="1:21" x14ac:dyDescent="0.25">
      <c r="A47" s="127"/>
      <c r="B47" s="134"/>
      <c r="C47" s="277"/>
      <c r="D47" s="277"/>
      <c r="E47" s="278"/>
      <c r="F47" s="277"/>
      <c r="G47" s="128"/>
      <c r="H47" s="127"/>
      <c r="I47" s="136"/>
      <c r="J47" s="128"/>
      <c r="K47" s="128"/>
      <c r="L47" s="128"/>
      <c r="M47" s="128"/>
    </row>
    <row r="48" spans="1:21" ht="15.75" thickBot="1" x14ac:dyDescent="0.3">
      <c r="A48" s="127"/>
      <c r="B48" s="312" t="s">
        <v>225</v>
      </c>
      <c r="C48" s="276"/>
      <c r="D48" s="159"/>
      <c r="E48" s="159"/>
      <c r="F48" s="129"/>
      <c r="K48" s="277"/>
      <c r="L48" s="278"/>
      <c r="M48" s="277"/>
      <c r="N48" s="127"/>
      <c r="O48" s="136"/>
      <c r="P48" s="128"/>
      <c r="Q48" s="128"/>
      <c r="R48" s="128"/>
      <c r="S48" s="128"/>
      <c r="T48" s="128"/>
      <c r="U48" s="128"/>
    </row>
    <row r="49" spans="1:20" x14ac:dyDescent="0.25">
      <c r="A49" s="127"/>
      <c r="B49" s="294" t="s">
        <v>226</v>
      </c>
      <c r="C49" s="448" t="s">
        <v>104</v>
      </c>
      <c r="D49" s="483" t="s">
        <v>215</v>
      </c>
      <c r="E49" s="159"/>
      <c r="F49" s="450"/>
      <c r="G49" s="129"/>
      <c r="J49" s="277"/>
      <c r="K49" s="278"/>
      <c r="L49" s="277"/>
      <c r="M49" s="279"/>
      <c r="N49" s="128"/>
      <c r="O49" s="128"/>
      <c r="P49" s="128"/>
      <c r="Q49" s="128"/>
      <c r="R49" s="128"/>
      <c r="S49" s="128"/>
      <c r="T49" s="128"/>
    </row>
    <row r="50" spans="1:20" x14ac:dyDescent="0.25">
      <c r="A50" s="127"/>
      <c r="B50" s="348" t="s">
        <v>227</v>
      </c>
      <c r="C50" s="485" t="s">
        <v>228</v>
      </c>
      <c r="D50" s="489"/>
      <c r="E50" s="159"/>
      <c r="F50" s="159"/>
      <c r="G50" s="129"/>
      <c r="J50" s="277"/>
      <c r="K50" s="278"/>
      <c r="L50" s="277"/>
      <c r="M50" s="279"/>
      <c r="N50" s="128"/>
      <c r="O50" s="128"/>
      <c r="P50" s="128"/>
      <c r="Q50" s="128"/>
      <c r="R50" s="128"/>
      <c r="S50" s="128"/>
      <c r="T50" s="128"/>
    </row>
    <row r="51" spans="1:20" x14ac:dyDescent="0.25">
      <c r="A51" s="127"/>
      <c r="B51" s="348" t="s">
        <v>229</v>
      </c>
      <c r="C51" s="485" t="s">
        <v>230</v>
      </c>
      <c r="D51" s="489"/>
      <c r="E51" s="159"/>
      <c r="F51" s="159"/>
      <c r="G51" s="129"/>
      <c r="J51" s="277"/>
      <c r="K51" s="278"/>
      <c r="L51" s="277"/>
      <c r="M51" s="279"/>
      <c r="N51" s="128"/>
      <c r="O51" s="128"/>
      <c r="P51" s="128"/>
      <c r="Q51" s="128"/>
      <c r="R51" s="128"/>
      <c r="S51" s="128"/>
      <c r="T51" s="128"/>
    </row>
    <row r="52" spans="1:20" x14ac:dyDescent="0.25">
      <c r="A52" s="127"/>
      <c r="B52" s="349" t="s">
        <v>231</v>
      </c>
      <c r="C52" s="486" t="s">
        <v>232</v>
      </c>
      <c r="D52" s="489"/>
      <c r="E52" s="159"/>
      <c r="F52" s="159"/>
      <c r="G52" s="129"/>
      <c r="J52" s="277"/>
      <c r="K52" s="278"/>
      <c r="L52" s="277"/>
      <c r="M52" s="279"/>
      <c r="N52" s="128"/>
      <c r="O52" s="128"/>
      <c r="P52" s="128"/>
      <c r="Q52" s="128"/>
      <c r="R52" s="128"/>
      <c r="S52" s="128"/>
      <c r="T52" s="128"/>
    </row>
    <row r="53" spans="1:20" x14ac:dyDescent="0.25">
      <c r="A53" s="127"/>
      <c r="B53" s="348" t="s">
        <v>233</v>
      </c>
      <c r="C53" s="485" t="s">
        <v>234</v>
      </c>
      <c r="D53" s="489"/>
      <c r="E53" s="159"/>
      <c r="F53" s="277"/>
      <c r="G53" s="129"/>
      <c r="J53" s="277"/>
      <c r="K53" s="278"/>
      <c r="L53" s="277"/>
      <c r="M53" s="279"/>
      <c r="N53" s="128"/>
      <c r="O53" s="128"/>
      <c r="P53" s="128"/>
      <c r="Q53" s="128"/>
      <c r="R53" s="128"/>
      <c r="S53" s="128"/>
      <c r="T53" s="128"/>
    </row>
    <row r="54" spans="1:20" ht="15.75" thickBot="1" x14ac:dyDescent="0.3">
      <c r="A54" s="127"/>
      <c r="B54" s="487" t="s">
        <v>235</v>
      </c>
      <c r="C54" s="488" t="s">
        <v>236</v>
      </c>
      <c r="D54" s="597"/>
      <c r="E54" s="159"/>
      <c r="F54" s="277"/>
      <c r="G54" s="129"/>
      <c r="J54" s="277"/>
      <c r="K54" s="278"/>
      <c r="L54" s="277"/>
      <c r="M54" s="279"/>
      <c r="N54" s="128"/>
      <c r="O54" s="128"/>
      <c r="P54" s="128"/>
      <c r="Q54" s="128"/>
      <c r="R54" s="128"/>
      <c r="S54" s="128"/>
      <c r="T54" s="128"/>
    </row>
    <row r="55" spans="1:20" x14ac:dyDescent="0.25">
      <c r="A55" s="127"/>
      <c r="B55" s="134"/>
      <c r="C55" s="276"/>
      <c r="D55" s="159"/>
      <c r="E55" s="159"/>
      <c r="F55" s="129"/>
      <c r="I55" s="277"/>
      <c r="J55" s="278"/>
      <c r="K55" s="277"/>
      <c r="L55" s="279"/>
      <c r="M55" s="128"/>
      <c r="N55" s="128"/>
      <c r="O55" s="128"/>
      <c r="P55" s="128"/>
      <c r="Q55" s="128"/>
      <c r="R55" s="128"/>
      <c r="S55" s="128"/>
    </row>
    <row r="56" spans="1:20" x14ac:dyDescent="0.25">
      <c r="A56" s="127"/>
      <c r="B56" s="129"/>
      <c r="C56" s="138"/>
      <c r="D56" s="138"/>
      <c r="E56" s="138"/>
      <c r="F56" s="129"/>
      <c r="G56" s="128"/>
      <c r="H56" s="128"/>
      <c r="I56" s="127"/>
      <c r="J56" s="127"/>
      <c r="K56" s="136"/>
      <c r="L56" s="128"/>
      <c r="M56" s="128"/>
      <c r="N56" s="127"/>
      <c r="O56" s="127"/>
    </row>
    <row r="57" spans="1:20" x14ac:dyDescent="0.25">
      <c r="K57" s="31"/>
      <c r="L57" s="132"/>
      <c r="M57" s="132"/>
    </row>
    <row r="61" spans="1:20" ht="23.25" customHeight="1" x14ac:dyDescent="0.25"/>
  </sheetData>
  <sortState xmlns:xlrd2="http://schemas.microsoft.com/office/spreadsheetml/2017/richdata2" ref="B40:I50">
    <sortCondition ref="D40:D50"/>
  </sortState>
  <mergeCells count="16">
    <mergeCell ref="B7:B8"/>
    <mergeCell ref="B23:B24"/>
    <mergeCell ref="C23:D23"/>
    <mergeCell ref="E23:F23"/>
    <mergeCell ref="G7:H7"/>
    <mergeCell ref="C7:D7"/>
    <mergeCell ref="E7:F7"/>
    <mergeCell ref="Q7:R7"/>
    <mergeCell ref="I23:J23"/>
    <mergeCell ref="K23:L23"/>
    <mergeCell ref="M23:N23"/>
    <mergeCell ref="G23:H23"/>
    <mergeCell ref="O7:P7"/>
    <mergeCell ref="K7:L7"/>
    <mergeCell ref="I7:J7"/>
    <mergeCell ref="M7:N7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CC"/>
  </sheetPr>
  <dimension ref="B2:M85"/>
  <sheetViews>
    <sheetView zoomScale="80" zoomScaleNormal="80" workbookViewId="0">
      <selection activeCell="H6" sqref="H6"/>
    </sheetView>
  </sheetViews>
  <sheetFormatPr defaultRowHeight="15" x14ac:dyDescent="0.25"/>
  <cols>
    <col min="2" max="2" width="28.5703125" bestFit="1" customWidth="1"/>
    <col min="3" max="3" width="15.7109375" bestFit="1" customWidth="1"/>
    <col min="4" max="4" width="17" bestFit="1" customWidth="1"/>
    <col min="5" max="5" width="16.28515625" bestFit="1" customWidth="1"/>
    <col min="6" max="6" width="14.5703125" bestFit="1" customWidth="1"/>
    <col min="7" max="7" width="17.28515625" customWidth="1"/>
    <col min="8" max="8" width="17.7109375" customWidth="1"/>
    <col min="9" max="9" width="13.28515625" bestFit="1" customWidth="1"/>
    <col min="10" max="10" width="9.28515625" bestFit="1" customWidth="1"/>
    <col min="11" max="11" width="13.7109375" bestFit="1" customWidth="1"/>
    <col min="12" max="13" width="12.7109375" bestFit="1" customWidth="1"/>
  </cols>
  <sheetData>
    <row r="2" spans="2:13" x14ac:dyDescent="0.25">
      <c r="B2" t="s">
        <v>237</v>
      </c>
      <c r="I2" s="23" t="s">
        <v>238</v>
      </c>
    </row>
    <row r="3" spans="2:13" x14ac:dyDescent="0.25">
      <c r="B3" s="868" t="s">
        <v>239</v>
      </c>
      <c r="C3" s="869" t="s">
        <v>240</v>
      </c>
      <c r="D3" s="869" t="s">
        <v>241</v>
      </c>
      <c r="E3" s="869" t="s">
        <v>242</v>
      </c>
      <c r="F3" s="869" t="s">
        <v>243</v>
      </c>
      <c r="G3" s="869" t="s">
        <v>244</v>
      </c>
      <c r="H3" s="869" t="s">
        <v>245</v>
      </c>
      <c r="I3" s="869" t="s">
        <v>246</v>
      </c>
      <c r="J3" s="869" t="s">
        <v>247</v>
      </c>
      <c r="K3" s="869" t="s">
        <v>248</v>
      </c>
      <c r="L3" s="869" t="s">
        <v>249</v>
      </c>
      <c r="M3" s="869" t="s">
        <v>250</v>
      </c>
    </row>
    <row r="4" spans="2:13" x14ac:dyDescent="0.25">
      <c r="B4" s="870" t="s">
        <v>251</v>
      </c>
      <c r="C4" s="870">
        <v>1.4</v>
      </c>
      <c r="D4" s="871">
        <f>$C4*K4</f>
        <v>0.11052631578947367</v>
      </c>
      <c r="E4" s="871">
        <f t="shared" ref="E4:F55" si="0">$C4*L4</f>
        <v>0.79824561403508765</v>
      </c>
      <c r="F4" s="871">
        <f t="shared" si="0"/>
        <v>0.49122807017543851</v>
      </c>
      <c r="G4" s="870">
        <v>1.8</v>
      </c>
      <c r="H4" s="872">
        <v>13</v>
      </c>
      <c r="I4" s="873">
        <v>8</v>
      </c>
      <c r="J4" s="870">
        <f t="shared" ref="J4:J48" si="1">SUM(G4:I4)</f>
        <v>22.8</v>
      </c>
      <c r="K4" s="874">
        <f>G4/$J4</f>
        <v>7.8947368421052627E-2</v>
      </c>
      <c r="L4" s="874">
        <f t="shared" ref="L4:M48" si="2">H4/$J4</f>
        <v>0.57017543859649122</v>
      </c>
      <c r="M4" s="874">
        <f t="shared" si="2"/>
        <v>0.35087719298245612</v>
      </c>
    </row>
    <row r="5" spans="2:13" x14ac:dyDescent="0.25">
      <c r="B5" s="870" t="s">
        <v>252</v>
      </c>
      <c r="C5" s="870">
        <v>1.4</v>
      </c>
      <c r="D5" s="871">
        <f t="shared" ref="D5:D52" si="3">$C5*K5</f>
        <v>5.2173913043478251E-2</v>
      </c>
      <c r="E5" s="871">
        <f t="shared" si="0"/>
        <v>1.0434782608695652</v>
      </c>
      <c r="F5" s="871">
        <f t="shared" si="0"/>
        <v>0.30434782608695649</v>
      </c>
      <c r="G5" s="870">
        <v>1.2</v>
      </c>
      <c r="H5" s="872">
        <v>24</v>
      </c>
      <c r="I5" s="873">
        <v>7</v>
      </c>
      <c r="J5" s="870">
        <f t="shared" si="1"/>
        <v>32.200000000000003</v>
      </c>
      <c r="K5" s="874">
        <f t="shared" ref="K5:K48" si="4">G5/$J5</f>
        <v>3.7267080745341609E-2</v>
      </c>
      <c r="L5" s="874">
        <f t="shared" si="2"/>
        <v>0.74534161490683226</v>
      </c>
      <c r="M5" s="874">
        <f t="shared" si="2"/>
        <v>0.21739130434782608</v>
      </c>
    </row>
    <row r="6" spans="2:13" x14ac:dyDescent="0.25">
      <c r="B6" s="418" t="s">
        <v>253</v>
      </c>
      <c r="C6" s="875">
        <v>1.4</v>
      </c>
      <c r="D6" s="580">
        <f t="shared" si="3"/>
        <v>6.3444108761329304E-2</v>
      </c>
      <c r="E6" s="580">
        <f t="shared" si="0"/>
        <v>1.0996978851963746</v>
      </c>
      <c r="F6" s="580">
        <f t="shared" si="0"/>
        <v>0.23685800604229607</v>
      </c>
      <c r="G6" s="418">
        <v>1.5</v>
      </c>
      <c r="H6" s="876">
        <v>26</v>
      </c>
      <c r="I6" s="905">
        <f>5*1.12</f>
        <v>5.6000000000000005</v>
      </c>
      <c r="J6" s="418">
        <f t="shared" si="1"/>
        <v>33.1</v>
      </c>
      <c r="K6" s="877">
        <f t="shared" si="4"/>
        <v>4.5317220543806644E-2</v>
      </c>
      <c r="L6" s="877">
        <f t="shared" si="2"/>
        <v>0.78549848942598188</v>
      </c>
      <c r="M6" s="877">
        <f t="shared" si="2"/>
        <v>0.16918429003021149</v>
      </c>
    </row>
    <row r="7" spans="2:13" x14ac:dyDescent="0.25">
      <c r="B7" s="878" t="s">
        <v>254</v>
      </c>
      <c r="C7" s="879">
        <v>0</v>
      </c>
      <c r="D7" s="880">
        <f t="shared" si="3"/>
        <v>0</v>
      </c>
      <c r="E7" s="880">
        <f t="shared" si="0"/>
        <v>0</v>
      </c>
      <c r="F7" s="880">
        <f t="shared" si="0"/>
        <v>0</v>
      </c>
      <c r="G7" s="879">
        <v>0</v>
      </c>
      <c r="H7" s="879">
        <v>0</v>
      </c>
      <c r="I7" s="879">
        <v>0</v>
      </c>
      <c r="J7" s="881">
        <v>0</v>
      </c>
      <c r="K7" s="882">
        <v>0</v>
      </c>
      <c r="L7" s="882">
        <v>0</v>
      </c>
      <c r="M7" s="882">
        <v>0</v>
      </c>
    </row>
    <row r="8" spans="2:13" x14ac:dyDescent="0.25">
      <c r="B8" s="878" t="s">
        <v>255</v>
      </c>
      <c r="C8" s="883">
        <f t="shared" ref="C8:C13" si="5">C$6*D79/D$85</f>
        <v>1.4777777777777776</v>
      </c>
      <c r="D8" s="884">
        <f t="shared" si="3"/>
        <v>7.4368582342091136E-2</v>
      </c>
      <c r="E8" s="885">
        <f t="shared" si="0"/>
        <v>1.1383866110893255</v>
      </c>
      <c r="F8" s="885">
        <f t="shared" si="0"/>
        <v>0.26502258434636111</v>
      </c>
      <c r="G8" s="883">
        <f t="shared" ref="G8:I13" si="6">G$6*E79/E$85</f>
        <v>1.1785714285714288</v>
      </c>
      <c r="H8" s="883">
        <f t="shared" si="6"/>
        <v>18.040816326530614</v>
      </c>
      <c r="I8" s="883">
        <f t="shared" si="6"/>
        <v>4.2</v>
      </c>
      <c r="J8" s="886">
        <f>SUM(G8:I8)</f>
        <v>23.41938775510204</v>
      </c>
      <c r="K8" s="882">
        <f t="shared" ref="K8:M13" si="7">G8/$J8</f>
        <v>5.0324604592392498E-2</v>
      </c>
      <c r="L8" s="882">
        <f t="shared" si="7"/>
        <v>0.77033680449653619</v>
      </c>
      <c r="M8" s="882">
        <f t="shared" si="7"/>
        <v>0.17933859091107143</v>
      </c>
    </row>
    <row r="9" spans="2:13" x14ac:dyDescent="0.25">
      <c r="B9" s="878" t="s">
        <v>256</v>
      </c>
      <c r="C9" s="883">
        <f t="shared" si="5"/>
        <v>1.4051851851851849</v>
      </c>
      <c r="D9" s="884">
        <f t="shared" si="3"/>
        <v>6.4038387345679001E-2</v>
      </c>
      <c r="E9" s="885">
        <f t="shared" si="0"/>
        <v>0.7135706018518515</v>
      </c>
      <c r="F9" s="885">
        <f t="shared" si="0"/>
        <v>0.62757619598765413</v>
      </c>
      <c r="G9" s="883">
        <f t="shared" si="6"/>
        <v>1.285714285714286</v>
      </c>
      <c r="H9" s="883">
        <f t="shared" si="6"/>
        <v>14.326530612244898</v>
      </c>
      <c r="I9" s="883">
        <f>I$6*G80/G$85</f>
        <v>12.600000000000001</v>
      </c>
      <c r="J9" s="886">
        <f t="shared" ref="J9:J13" si="8">SUM(G9:I9)</f>
        <v>28.212244897959188</v>
      </c>
      <c r="K9" s="882">
        <f t="shared" si="7"/>
        <v>4.5572916666666671E-2</v>
      </c>
      <c r="L9" s="882">
        <f t="shared" si="7"/>
        <v>0.50781249999999989</v>
      </c>
      <c r="M9" s="882">
        <f t="shared" si="7"/>
        <v>0.44661458333333331</v>
      </c>
    </row>
    <row r="10" spans="2:13" x14ac:dyDescent="0.25">
      <c r="B10" s="878" t="s">
        <v>257</v>
      </c>
      <c r="C10" s="883">
        <f t="shared" si="5"/>
        <v>1.5685185185185182</v>
      </c>
      <c r="D10" s="884">
        <f t="shared" si="3"/>
        <v>6.2110940911905624E-2</v>
      </c>
      <c r="E10" s="885">
        <f t="shared" si="0"/>
        <v>1.275958094782851</v>
      </c>
      <c r="F10" s="885">
        <f t="shared" si="0"/>
        <v>0.23044948282376171</v>
      </c>
      <c r="G10" s="883">
        <f t="shared" si="6"/>
        <v>1.4464285714285718</v>
      </c>
      <c r="H10" s="883">
        <f t="shared" si="6"/>
        <v>29.714285714285715</v>
      </c>
      <c r="I10" s="883">
        <f t="shared" si="6"/>
        <v>5.3666666666666671</v>
      </c>
      <c r="J10" s="886">
        <f t="shared" si="8"/>
        <v>36.527380952380952</v>
      </c>
      <c r="K10" s="882">
        <f t="shared" si="7"/>
        <v>3.9598474725417998E-2</v>
      </c>
      <c r="L10" s="882">
        <f t="shared" si="7"/>
        <v>0.81347977707525343</v>
      </c>
      <c r="M10" s="882">
        <f t="shared" si="7"/>
        <v>0.14692174819932863</v>
      </c>
    </row>
    <row r="11" spans="2:13" x14ac:dyDescent="0.25">
      <c r="B11" s="878" t="s">
        <v>258</v>
      </c>
      <c r="C11" s="883">
        <f t="shared" si="5"/>
        <v>1.4959259259259257</v>
      </c>
      <c r="D11" s="884">
        <f>$C11*K11</f>
        <v>6.6523350885214633E-2</v>
      </c>
      <c r="E11" s="885">
        <f t="shared" si="0"/>
        <v>1.2391215209663857</v>
      </c>
      <c r="F11" s="885">
        <f t="shared" si="0"/>
        <v>0.19028105407432536</v>
      </c>
      <c r="G11" s="883">
        <f t="shared" si="6"/>
        <v>1.7946428571428574</v>
      </c>
      <c r="H11" s="883">
        <f t="shared" si="6"/>
        <v>33.428571428571431</v>
      </c>
      <c r="I11" s="883">
        <f t="shared" si="6"/>
        <v>5.1333333333333337</v>
      </c>
      <c r="J11" s="886">
        <f t="shared" si="8"/>
        <v>40.356547619047618</v>
      </c>
      <c r="K11" s="882">
        <f t="shared" si="7"/>
        <v>4.446968244369387E-2</v>
      </c>
      <c r="L11" s="882">
        <f t="shared" si="7"/>
        <v>0.82833080133925285</v>
      </c>
      <c r="M11" s="882">
        <f t="shared" si="7"/>
        <v>0.12719951621705336</v>
      </c>
    </row>
    <row r="12" spans="2:13" x14ac:dyDescent="0.25">
      <c r="B12" s="878" t="s">
        <v>259</v>
      </c>
      <c r="C12" s="883">
        <f t="shared" si="5"/>
        <v>0.94370370370370371</v>
      </c>
      <c r="D12" s="884">
        <f t="shared" si="3"/>
        <v>5.1801974492842524E-2</v>
      </c>
      <c r="E12" s="885">
        <f t="shared" si="0"/>
        <v>0.81067623320608406</v>
      </c>
      <c r="F12" s="885">
        <f t="shared" si="0"/>
        <v>8.1225496004777076E-2</v>
      </c>
      <c r="G12" s="883">
        <f t="shared" si="6"/>
        <v>1.3392857142857144</v>
      </c>
      <c r="H12" s="883">
        <f t="shared" si="6"/>
        <v>20.959183673469386</v>
      </c>
      <c r="I12" s="883">
        <f t="shared" si="6"/>
        <v>2.1</v>
      </c>
      <c r="J12" s="886">
        <f t="shared" si="8"/>
        <v>24.398469387755103</v>
      </c>
      <c r="K12" s="882">
        <f t="shared" si="7"/>
        <v>5.4892202170594512E-2</v>
      </c>
      <c r="L12" s="882">
        <f t="shared" si="7"/>
        <v>0.85903682482591326</v>
      </c>
      <c r="M12" s="882">
        <f t="shared" si="7"/>
        <v>8.6070973003492188E-2</v>
      </c>
    </row>
    <row r="13" spans="2:13" x14ac:dyDescent="0.25">
      <c r="B13" s="878" t="s">
        <v>260</v>
      </c>
      <c r="C13" s="883">
        <f t="shared" si="5"/>
        <v>0.82962962962962949</v>
      </c>
      <c r="D13" s="884">
        <f t="shared" si="3"/>
        <v>4.2241834502526956E-2</v>
      </c>
      <c r="E13" s="885">
        <f t="shared" si="0"/>
        <v>0.73219179804380063</v>
      </c>
      <c r="F13" s="885">
        <f t="shared" si="0"/>
        <v>5.5195997083301897E-2</v>
      </c>
      <c r="G13" s="883">
        <f t="shared" si="6"/>
        <v>1.0714285714285714</v>
      </c>
      <c r="H13" s="883">
        <f t="shared" si="6"/>
        <v>18.571428571428573</v>
      </c>
      <c r="I13" s="883">
        <f t="shared" si="6"/>
        <v>1.4000000000000001</v>
      </c>
      <c r="J13" s="886">
        <f t="shared" si="8"/>
        <v>21.042857142857144</v>
      </c>
      <c r="K13" s="882">
        <f t="shared" si="7"/>
        <v>5.091649694501018E-2</v>
      </c>
      <c r="L13" s="882">
        <f t="shared" si="7"/>
        <v>0.88255261371350979</v>
      </c>
      <c r="M13" s="882">
        <f t="shared" si="7"/>
        <v>6.6530889341479979E-2</v>
      </c>
    </row>
    <row r="14" spans="2:13" x14ac:dyDescent="0.25">
      <c r="B14" s="870" t="s">
        <v>261</v>
      </c>
      <c r="C14" s="870">
        <v>1.1000000000000001</v>
      </c>
      <c r="D14" s="871">
        <f t="shared" si="3"/>
        <v>3.3518005540166207E-2</v>
      </c>
      <c r="E14" s="871">
        <f t="shared" si="0"/>
        <v>0.85318559556786699</v>
      </c>
      <c r="F14" s="871">
        <f t="shared" si="0"/>
        <v>0.21329639889196675</v>
      </c>
      <c r="G14" s="870">
        <v>1.1000000000000001</v>
      </c>
      <c r="H14" s="872">
        <v>28</v>
      </c>
      <c r="I14" s="873">
        <v>7</v>
      </c>
      <c r="J14" s="870">
        <f t="shared" si="1"/>
        <v>36.1</v>
      </c>
      <c r="K14" s="874">
        <f t="shared" si="4"/>
        <v>3.0470914127423823E-2</v>
      </c>
      <c r="L14" s="874">
        <f t="shared" si="2"/>
        <v>0.77562326869806086</v>
      </c>
      <c r="M14" s="874">
        <f t="shared" si="2"/>
        <v>0.19390581717451522</v>
      </c>
    </row>
    <row r="15" spans="2:13" x14ac:dyDescent="0.25">
      <c r="B15" s="418" t="s">
        <v>262</v>
      </c>
      <c r="C15" s="875">
        <v>1.3</v>
      </c>
      <c r="D15" s="580">
        <f t="shared" si="3"/>
        <v>3.674911660777385E-2</v>
      </c>
      <c r="E15" s="580">
        <f t="shared" si="0"/>
        <v>0.91872791519434616</v>
      </c>
      <c r="F15" s="580">
        <f t="shared" si="0"/>
        <v>0.34452296819787986</v>
      </c>
      <c r="G15" s="418">
        <v>1.2</v>
      </c>
      <c r="H15" s="876">
        <v>30</v>
      </c>
      <c r="I15" s="905">
        <f>5*2.25</f>
        <v>11.25</v>
      </c>
      <c r="J15" s="422">
        <f t="shared" si="1"/>
        <v>42.45</v>
      </c>
      <c r="K15" s="877">
        <f t="shared" si="4"/>
        <v>2.8268551236749113E-2</v>
      </c>
      <c r="L15" s="877">
        <f t="shared" si="2"/>
        <v>0.70671378091872783</v>
      </c>
      <c r="M15" s="877">
        <f t="shared" si="2"/>
        <v>0.26501766784452296</v>
      </c>
    </row>
    <row r="16" spans="2:13" x14ac:dyDescent="0.25">
      <c r="B16" s="878" t="s">
        <v>254</v>
      </c>
      <c r="C16" s="879">
        <v>0</v>
      </c>
      <c r="D16" s="880">
        <f t="shared" si="3"/>
        <v>0</v>
      </c>
      <c r="E16" s="880">
        <f t="shared" si="0"/>
        <v>0</v>
      </c>
      <c r="F16" s="880">
        <f t="shared" si="0"/>
        <v>0</v>
      </c>
      <c r="G16" s="879">
        <v>0</v>
      </c>
      <c r="H16" s="879">
        <v>0</v>
      </c>
      <c r="I16" s="879">
        <v>0</v>
      </c>
      <c r="J16" s="881">
        <v>0</v>
      </c>
      <c r="K16" s="882">
        <v>0</v>
      </c>
      <c r="L16" s="882">
        <v>0</v>
      </c>
      <c r="M16" s="882">
        <v>0</v>
      </c>
    </row>
    <row r="17" spans="2:13" x14ac:dyDescent="0.25">
      <c r="B17" s="878" t="s">
        <v>255</v>
      </c>
      <c r="C17" s="883">
        <f>C$15*D79/D$85</f>
        <v>1.3722222222222222</v>
      </c>
      <c r="D17" s="884">
        <f t="shared" si="3"/>
        <v>4.2846079980175332E-2</v>
      </c>
      <c r="E17" s="885">
        <f t="shared" si="0"/>
        <v>0.9459524151467279</v>
      </c>
      <c r="F17" s="885">
        <f t="shared" si="0"/>
        <v>0.38342372709531897</v>
      </c>
      <c r="G17" s="883">
        <f>G$15*E79/E$85</f>
        <v>0.94285714285714295</v>
      </c>
      <c r="H17" s="883">
        <f>H$15*F79/F$85</f>
        <v>20.816326530612244</v>
      </c>
      <c r="I17" s="883">
        <f t="shared" ref="I17" si="9">I$15*G79/G$85</f>
        <v>8.4375</v>
      </c>
      <c r="J17" s="886">
        <f>SUM(G17:I17)</f>
        <v>30.196683673469387</v>
      </c>
      <c r="K17" s="882">
        <f>G17/$J17</f>
        <v>3.1223863953164208E-2</v>
      </c>
      <c r="L17" s="882">
        <f t="shared" ref="L17:M22" si="10">H17/$J17</f>
        <v>0.68935803532959927</v>
      </c>
      <c r="M17" s="882">
        <f t="shared" si="10"/>
        <v>0.2794181007172365</v>
      </c>
    </row>
    <row r="18" spans="2:13" x14ac:dyDescent="0.25">
      <c r="B18" s="878" t="s">
        <v>256</v>
      </c>
      <c r="C18" s="883">
        <f t="shared" ref="C18:C22" si="11">C$15*D80/D$85</f>
        <v>1.3048148148148149</v>
      </c>
      <c r="D18" s="884">
        <f t="shared" si="3"/>
        <v>3.1304934238581751E-2</v>
      </c>
      <c r="E18" s="885">
        <f t="shared" si="0"/>
        <v>0.50311501454863528</v>
      </c>
      <c r="F18" s="885">
        <f t="shared" si="0"/>
        <v>0.77039486602759777</v>
      </c>
      <c r="G18" s="883">
        <f t="shared" ref="G18:I22" si="12">G$15*E80/E$85</f>
        <v>1.0285714285714287</v>
      </c>
      <c r="H18" s="883">
        <f t="shared" si="12"/>
        <v>16.530612244897959</v>
      </c>
      <c r="I18" s="883">
        <f t="shared" si="12"/>
        <v>25.3125</v>
      </c>
      <c r="J18" s="886">
        <f t="shared" ref="J18:J22" si="13">SUM(G18:I18)</f>
        <v>42.871683673469391</v>
      </c>
      <c r="K18" s="882">
        <f t="shared" ref="K18:K22" si="14">G18/$J18</f>
        <v>2.39918599046752E-2</v>
      </c>
      <c r="L18" s="882">
        <f t="shared" si="10"/>
        <v>0.38558346275370853</v>
      </c>
      <c r="M18" s="882">
        <f t="shared" si="10"/>
        <v>0.59042467734161619</v>
      </c>
    </row>
    <row r="19" spans="2:13" x14ac:dyDescent="0.25">
      <c r="B19" s="878" t="s">
        <v>257</v>
      </c>
      <c r="C19" s="883">
        <f t="shared" si="11"/>
        <v>1.4564814814814815</v>
      </c>
      <c r="D19" s="884">
        <f t="shared" si="3"/>
        <v>3.6460566726545754E-2</v>
      </c>
      <c r="E19" s="885">
        <f t="shared" si="0"/>
        <v>1.080313088193948</v>
      </c>
      <c r="F19" s="885">
        <f t="shared" si="0"/>
        <v>0.33970782656098758</v>
      </c>
      <c r="G19" s="883">
        <f t="shared" si="12"/>
        <v>1.1571428571428573</v>
      </c>
      <c r="H19" s="883">
        <f t="shared" si="12"/>
        <v>34.285714285714285</v>
      </c>
      <c r="I19" s="883">
        <f t="shared" si="12"/>
        <v>10.78125</v>
      </c>
      <c r="J19" s="886">
        <f t="shared" si="13"/>
        <v>46.224107142857143</v>
      </c>
      <c r="K19" s="882">
        <f t="shared" si="14"/>
        <v>2.5033319812250102E-2</v>
      </c>
      <c r="L19" s="882">
        <f t="shared" si="10"/>
        <v>0.74172799443703996</v>
      </c>
      <c r="M19" s="882">
        <f t="shared" si="10"/>
        <v>0.23323868575070986</v>
      </c>
    </row>
    <row r="20" spans="2:13" x14ac:dyDescent="0.25">
      <c r="B20" s="878" t="s">
        <v>258</v>
      </c>
      <c r="C20" s="883">
        <f t="shared" si="11"/>
        <v>1.3890740740740739</v>
      </c>
      <c r="D20" s="884">
        <f>$C20*K20</f>
        <v>3.9632902358336192E-2</v>
      </c>
      <c r="E20" s="885">
        <f t="shared" si="0"/>
        <v>1.064764540970226</v>
      </c>
      <c r="F20" s="885">
        <f t="shared" si="0"/>
        <v>0.28467663074551181</v>
      </c>
      <c r="G20" s="883">
        <f t="shared" si="12"/>
        <v>1.4357142857142857</v>
      </c>
      <c r="H20" s="883">
        <f t="shared" si="12"/>
        <v>38.571428571428569</v>
      </c>
      <c r="I20" s="883">
        <f t="shared" si="12"/>
        <v>10.3125</v>
      </c>
      <c r="J20" s="886">
        <f t="shared" si="13"/>
        <v>50.319642857142853</v>
      </c>
      <c r="K20" s="882">
        <f t="shared" si="14"/>
        <v>2.853188544660918E-2</v>
      </c>
      <c r="L20" s="882">
        <f t="shared" si="10"/>
        <v>0.76652826572979882</v>
      </c>
      <c r="M20" s="882">
        <f t="shared" si="10"/>
        <v>0.20493984882359206</v>
      </c>
    </row>
    <row r="21" spans="2:13" x14ac:dyDescent="0.25">
      <c r="B21" s="878" t="s">
        <v>259</v>
      </c>
      <c r="C21" s="883">
        <f t="shared" si="11"/>
        <v>0.87629629629629624</v>
      </c>
      <c r="D21" s="884">
        <f t="shared" ref="D21:D22" si="15">$C21*K21</f>
        <v>3.1854977340209402E-2</v>
      </c>
      <c r="E21" s="885">
        <f t="shared" si="0"/>
        <v>0.71901234567901229</v>
      </c>
      <c r="F21" s="885">
        <f t="shared" si="0"/>
        <v>0.12542897327707453</v>
      </c>
      <c r="G21" s="883">
        <f t="shared" si="12"/>
        <v>1.0714285714285714</v>
      </c>
      <c r="H21" s="883">
        <f t="shared" si="12"/>
        <v>24.183673469387756</v>
      </c>
      <c r="I21" s="883">
        <f t="shared" si="12"/>
        <v>4.21875</v>
      </c>
      <c r="J21" s="886">
        <f t="shared" si="13"/>
        <v>29.473852040816329</v>
      </c>
      <c r="K21" s="882">
        <f t="shared" si="14"/>
        <v>3.6351833820188244E-2</v>
      </c>
      <c r="L21" s="882">
        <f t="shared" si="10"/>
        <v>0.82051282051282048</v>
      </c>
      <c r="M21" s="882">
        <f t="shared" si="10"/>
        <v>0.14313534566699124</v>
      </c>
    </row>
    <row r="22" spans="2:13" x14ac:dyDescent="0.25">
      <c r="B22" s="878" t="s">
        <v>260</v>
      </c>
      <c r="C22" s="883">
        <f t="shared" si="11"/>
        <v>0.77037037037037037</v>
      </c>
      <c r="D22" s="884">
        <f t="shared" si="15"/>
        <v>2.6309340290130045E-2</v>
      </c>
      <c r="E22" s="885">
        <f t="shared" si="0"/>
        <v>0.65773350725325108</v>
      </c>
      <c r="F22" s="885">
        <f t="shared" si="0"/>
        <v>8.6327522826989203E-2</v>
      </c>
      <c r="G22" s="883">
        <f t="shared" si="12"/>
        <v>0.85714285714285721</v>
      </c>
      <c r="H22" s="883">
        <f t="shared" si="12"/>
        <v>21.428571428571427</v>
      </c>
      <c r="I22" s="883">
        <f t="shared" si="12"/>
        <v>2.8125</v>
      </c>
      <c r="J22" s="886">
        <f t="shared" si="13"/>
        <v>25.098214285714285</v>
      </c>
      <c r="K22" s="882">
        <f t="shared" si="14"/>
        <v>3.4151547491995733E-2</v>
      </c>
      <c r="L22" s="882">
        <f t="shared" si="10"/>
        <v>0.85378868729989321</v>
      </c>
      <c r="M22" s="882">
        <f t="shared" si="10"/>
        <v>0.11205976520811099</v>
      </c>
    </row>
    <row r="23" spans="2:13" x14ac:dyDescent="0.25">
      <c r="B23" s="418" t="s">
        <v>263</v>
      </c>
      <c r="C23" s="875">
        <v>1.4</v>
      </c>
      <c r="D23" s="580">
        <f t="shared" si="3"/>
        <v>5.1970302684180465E-2</v>
      </c>
      <c r="E23" s="580">
        <f t="shared" si="0"/>
        <v>1.0793832095945173</v>
      </c>
      <c r="F23" s="580">
        <f t="shared" si="0"/>
        <v>0.26864648772130212</v>
      </c>
      <c r="G23" s="418">
        <v>1.3</v>
      </c>
      <c r="H23" s="876">
        <v>27</v>
      </c>
      <c r="I23" s="905">
        <f>6*1.12</f>
        <v>6.7200000000000006</v>
      </c>
      <c r="J23" s="422">
        <f t="shared" si="1"/>
        <v>35.020000000000003</v>
      </c>
      <c r="K23" s="877">
        <f t="shared" si="4"/>
        <v>3.7121644774414618E-2</v>
      </c>
      <c r="L23" s="877">
        <f t="shared" si="2"/>
        <v>0.77098800685322666</v>
      </c>
      <c r="M23" s="877">
        <f t="shared" si="2"/>
        <v>0.19189034837235866</v>
      </c>
    </row>
    <row r="24" spans="2:13" x14ac:dyDescent="0.25">
      <c r="B24" s="878" t="s">
        <v>254</v>
      </c>
      <c r="C24" s="879">
        <v>0</v>
      </c>
      <c r="D24" s="880">
        <f t="shared" si="3"/>
        <v>0</v>
      </c>
      <c r="E24" s="880">
        <f t="shared" si="0"/>
        <v>0</v>
      </c>
      <c r="F24" s="880">
        <f t="shared" si="0"/>
        <v>0</v>
      </c>
      <c r="G24" s="879">
        <v>0</v>
      </c>
      <c r="H24" s="879">
        <v>0</v>
      </c>
      <c r="I24" s="879">
        <v>0</v>
      </c>
      <c r="J24" s="881">
        <v>0</v>
      </c>
      <c r="K24" s="882">
        <v>0</v>
      </c>
      <c r="L24" s="882">
        <v>0</v>
      </c>
      <c r="M24" s="882">
        <v>0</v>
      </c>
    </row>
    <row r="25" spans="2:13" x14ac:dyDescent="0.25">
      <c r="B25" s="878" t="s">
        <v>255</v>
      </c>
      <c r="C25" s="883">
        <f>C$23*D79/D$85</f>
        <v>1.4777777777777776</v>
      </c>
      <c r="D25" s="884">
        <f t="shared" si="3"/>
        <v>6.0874213198062389E-2</v>
      </c>
      <c r="E25" s="885">
        <f t="shared" si="0"/>
        <v>1.1165340202961291</v>
      </c>
      <c r="F25" s="885">
        <f t="shared" si="0"/>
        <v>0.30036954428358614</v>
      </c>
      <c r="G25" s="883">
        <f>G$23*E79/E$85</f>
        <v>1.0214285714285716</v>
      </c>
      <c r="H25" s="883">
        <f t="shared" ref="H25:I25" si="16">H$23*F79/F$85</f>
        <v>18.73469387755102</v>
      </c>
      <c r="I25" s="883">
        <f t="shared" si="16"/>
        <v>5.04</v>
      </c>
      <c r="J25" s="886">
        <f>SUM(G25:I25)</f>
        <v>24.796122448979592</v>
      </c>
      <c r="K25" s="882">
        <f t="shared" ref="K25:M30" si="17">G25/$J25</f>
        <v>4.1193076600192599E-2</v>
      </c>
      <c r="L25" s="882">
        <f t="shared" si="17"/>
        <v>0.7555493370424935</v>
      </c>
      <c r="M25" s="882">
        <f t="shared" si="17"/>
        <v>0.20325758635731395</v>
      </c>
    </row>
    <row r="26" spans="2:13" x14ac:dyDescent="0.25">
      <c r="B26" s="878" t="s">
        <v>256</v>
      </c>
      <c r="C26" s="883">
        <f t="shared" ref="C26:C30" si="18">C$23*D80/D$85</f>
        <v>1.4051851851851849</v>
      </c>
      <c r="D26" s="884">
        <f t="shared" si="3"/>
        <v>5.0327397611717506E-2</v>
      </c>
      <c r="E26" s="885">
        <f t="shared" si="0"/>
        <v>0.67195371536523907</v>
      </c>
      <c r="F26" s="885">
        <f t="shared" si="0"/>
        <v>0.68290407220822824</v>
      </c>
      <c r="G26" s="883">
        <f t="shared" ref="G26:I30" si="19">G$23*E80/E$85</f>
        <v>1.1142857142857145</v>
      </c>
      <c r="H26" s="883">
        <f t="shared" si="19"/>
        <v>14.877551020408163</v>
      </c>
      <c r="I26" s="883">
        <f t="shared" si="19"/>
        <v>15.120000000000003</v>
      </c>
      <c r="J26" s="886">
        <f t="shared" ref="J26:J30" si="20">SUM(G26:I26)</f>
        <v>31.111836734693881</v>
      </c>
      <c r="K26" s="882">
        <f t="shared" si="17"/>
        <v>3.5815491183879097E-2</v>
      </c>
      <c r="L26" s="882">
        <f t="shared" si="17"/>
        <v>0.47819584382871527</v>
      </c>
      <c r="M26" s="882">
        <f t="shared" si="17"/>
        <v>0.48598866498740556</v>
      </c>
    </row>
    <row r="27" spans="2:13" x14ac:dyDescent="0.25">
      <c r="B27" s="878" t="s">
        <v>257</v>
      </c>
      <c r="C27" s="883">
        <f t="shared" si="18"/>
        <v>1.5685185185185182</v>
      </c>
      <c r="D27" s="884">
        <f t="shared" si="3"/>
        <v>5.1004243019399299E-2</v>
      </c>
      <c r="E27" s="885">
        <f t="shared" si="0"/>
        <v>1.2554890589390595</v>
      </c>
      <c r="F27" s="885">
        <f t="shared" si="0"/>
        <v>0.26202521656005934</v>
      </c>
      <c r="G27" s="883">
        <f t="shared" si="19"/>
        <v>1.2535714285714288</v>
      </c>
      <c r="H27" s="883">
        <f t="shared" si="19"/>
        <v>30.857142857142858</v>
      </c>
      <c r="I27" s="883">
        <f t="shared" si="19"/>
        <v>6.44</v>
      </c>
      <c r="J27" s="886">
        <f t="shared" si="20"/>
        <v>38.550714285714285</v>
      </c>
      <c r="K27" s="882">
        <f t="shared" si="17"/>
        <v>3.2517463082025536E-2</v>
      </c>
      <c r="L27" s="882">
        <f t="shared" si="17"/>
        <v>0.80042986048062847</v>
      </c>
      <c r="M27" s="882">
        <f t="shared" si="17"/>
        <v>0.167052676437346</v>
      </c>
    </row>
    <row r="28" spans="2:13" x14ac:dyDescent="0.25">
      <c r="B28" s="878" t="s">
        <v>258</v>
      </c>
      <c r="C28" s="883">
        <f t="shared" si="18"/>
        <v>1.4959259259259257</v>
      </c>
      <c r="D28" s="884">
        <f>$C28*K28</f>
        <v>5.4836640551226883E-2</v>
      </c>
      <c r="E28" s="885">
        <f t="shared" si="0"/>
        <v>1.2239084871594152</v>
      </c>
      <c r="F28" s="885">
        <f t="shared" si="0"/>
        <v>0.21718079821528388</v>
      </c>
      <c r="G28" s="883">
        <f t="shared" si="19"/>
        <v>1.5553571428571431</v>
      </c>
      <c r="H28" s="883">
        <f t="shared" si="19"/>
        <v>34.714285714285715</v>
      </c>
      <c r="I28" s="883">
        <f t="shared" si="19"/>
        <v>6.16</v>
      </c>
      <c r="J28" s="886">
        <f t="shared" si="20"/>
        <v>42.429642857142852</v>
      </c>
      <c r="K28" s="882">
        <f t="shared" si="17"/>
        <v>3.6657323468262594E-2</v>
      </c>
      <c r="L28" s="882">
        <f t="shared" si="17"/>
        <v>0.81816115754652674</v>
      </c>
      <c r="M28" s="882">
        <f t="shared" si="17"/>
        <v>0.14518151898521084</v>
      </c>
    </row>
    <row r="29" spans="2:13" x14ac:dyDescent="0.25">
      <c r="B29" s="878" t="s">
        <v>259</v>
      </c>
      <c r="C29" s="883">
        <f t="shared" si="18"/>
        <v>0.94370370370370371</v>
      </c>
      <c r="D29" s="884">
        <f t="shared" ref="D29:D30" si="21">$C29*K29</f>
        <v>4.3046824328529104E-2</v>
      </c>
      <c r="E29" s="885">
        <f t="shared" si="0"/>
        <v>0.80719891246375886</v>
      </c>
      <c r="F29" s="885">
        <f t="shared" si="0"/>
        <v>9.3457966911415793E-2</v>
      </c>
      <c r="G29" s="883">
        <f t="shared" si="19"/>
        <v>1.1607142857142858</v>
      </c>
      <c r="H29" s="883">
        <f t="shared" si="19"/>
        <v>21.76530612244898</v>
      </c>
      <c r="I29" s="883">
        <f t="shared" si="19"/>
        <v>2.52</v>
      </c>
      <c r="J29" s="886">
        <f t="shared" si="20"/>
        <v>25.446020408163264</v>
      </c>
      <c r="K29" s="882">
        <f t="shared" si="17"/>
        <v>4.5614766753150932E-2</v>
      </c>
      <c r="L29" s="882">
        <f t="shared" si="17"/>
        <v>0.85535206579754663</v>
      </c>
      <c r="M29" s="882">
        <f t="shared" si="17"/>
        <v>9.9033167449302448E-2</v>
      </c>
    </row>
    <row r="30" spans="2:13" x14ac:dyDescent="0.25">
      <c r="B30" s="878" t="s">
        <v>260</v>
      </c>
      <c r="C30" s="883">
        <f t="shared" si="18"/>
        <v>0.82962962962962949</v>
      </c>
      <c r="D30" s="884">
        <f t="shared" si="21"/>
        <v>3.5185910169598024E-2</v>
      </c>
      <c r="E30" s="885">
        <f t="shared" si="0"/>
        <v>0.73078428813780494</v>
      </c>
      <c r="F30" s="885">
        <f t="shared" si="0"/>
        <v>6.3659431322226595E-2</v>
      </c>
      <c r="G30" s="883">
        <f t="shared" si="19"/>
        <v>0.92857142857142871</v>
      </c>
      <c r="H30" s="883">
        <f t="shared" si="19"/>
        <v>19.285714285714285</v>
      </c>
      <c r="I30" s="883">
        <f t="shared" si="19"/>
        <v>1.6800000000000004</v>
      </c>
      <c r="J30" s="886">
        <f t="shared" si="20"/>
        <v>21.894285714285711</v>
      </c>
      <c r="K30" s="882">
        <f t="shared" si="17"/>
        <v>4.2411588150854766E-2</v>
      </c>
      <c r="L30" s="882">
        <f t="shared" si="17"/>
        <v>0.88085606159467578</v>
      </c>
      <c r="M30" s="882">
        <f t="shared" si="17"/>
        <v>7.6732350254469561E-2</v>
      </c>
    </row>
    <row r="31" spans="2:13" x14ac:dyDescent="0.25">
      <c r="B31" s="418" t="s">
        <v>264</v>
      </c>
      <c r="C31" s="875">
        <v>1.3</v>
      </c>
      <c r="D31" s="580">
        <f t="shared" si="3"/>
        <v>4.2391304347826085E-2</v>
      </c>
      <c r="E31" s="580">
        <f t="shared" si="0"/>
        <v>1.0597826086956523</v>
      </c>
      <c r="F31" s="580">
        <f t="shared" si="0"/>
        <v>0.19782608695652179</v>
      </c>
      <c r="G31" s="418">
        <v>1.2</v>
      </c>
      <c r="H31" s="876">
        <v>30</v>
      </c>
      <c r="I31" s="905">
        <f>5*1.12</f>
        <v>5.6000000000000005</v>
      </c>
      <c r="J31" s="418">
        <f t="shared" si="1"/>
        <v>36.799999999999997</v>
      </c>
      <c r="K31" s="877">
        <f t="shared" si="4"/>
        <v>3.2608695652173912E-2</v>
      </c>
      <c r="L31" s="877">
        <f t="shared" si="2"/>
        <v>0.81521739130434789</v>
      </c>
      <c r="M31" s="877">
        <f t="shared" si="2"/>
        <v>0.1521739130434783</v>
      </c>
    </row>
    <row r="32" spans="2:13" x14ac:dyDescent="0.25">
      <c r="B32" s="878" t="s">
        <v>254</v>
      </c>
      <c r="C32" s="879">
        <v>0</v>
      </c>
      <c r="D32" s="880">
        <f t="shared" si="3"/>
        <v>0</v>
      </c>
      <c r="E32" s="880">
        <f t="shared" si="0"/>
        <v>0</v>
      </c>
      <c r="F32" s="880">
        <f t="shared" si="0"/>
        <v>0</v>
      </c>
      <c r="G32" s="879">
        <v>0</v>
      </c>
      <c r="H32" s="879">
        <v>0</v>
      </c>
      <c r="I32" s="879">
        <v>0</v>
      </c>
      <c r="J32" s="881">
        <v>0</v>
      </c>
      <c r="K32" s="882">
        <v>0</v>
      </c>
      <c r="L32" s="882">
        <v>0</v>
      </c>
      <c r="M32" s="882">
        <v>0</v>
      </c>
    </row>
    <row r="33" spans="2:13" x14ac:dyDescent="0.25">
      <c r="B33" s="878" t="s">
        <v>255</v>
      </c>
      <c r="C33" s="883">
        <f>C$31*D79/D$85</f>
        <v>1.3722222222222222</v>
      </c>
      <c r="D33" s="884">
        <f t="shared" si="3"/>
        <v>4.9840146750524117E-2</v>
      </c>
      <c r="E33" s="885">
        <f t="shared" si="0"/>
        <v>1.1003668763102725</v>
      </c>
      <c r="F33" s="885">
        <f t="shared" si="0"/>
        <v>0.22201519916142559</v>
      </c>
      <c r="G33" s="883">
        <f>G$31*E79/E$85</f>
        <v>0.94285714285714295</v>
      </c>
      <c r="H33" s="883">
        <f t="shared" ref="H33:I33" si="22">H$31*F79/F$85</f>
        <v>20.816326530612244</v>
      </c>
      <c r="I33" s="883">
        <f t="shared" si="22"/>
        <v>4.2</v>
      </c>
      <c r="J33" s="886">
        <f>SUM(G33:I33)</f>
        <v>25.959183673469386</v>
      </c>
      <c r="K33" s="882">
        <f t="shared" ref="K33:M38" si="23">G33/$J33</f>
        <v>3.6320754716981138E-2</v>
      </c>
      <c r="L33" s="882">
        <f t="shared" si="23"/>
        <v>0.80188679245283023</v>
      </c>
      <c r="M33" s="882">
        <f t="shared" si="23"/>
        <v>0.1617924528301887</v>
      </c>
    </row>
    <row r="34" spans="2:13" x14ac:dyDescent="0.25">
      <c r="B34" s="878" t="s">
        <v>256</v>
      </c>
      <c r="C34" s="883">
        <f t="shared" ref="C34:C38" si="24">C$31*D80/D$85</f>
        <v>1.3048148148148149</v>
      </c>
      <c r="D34" s="884">
        <f t="shared" si="3"/>
        <v>4.4500383452880411E-2</v>
      </c>
      <c r="E34" s="885">
        <f t="shared" si="0"/>
        <v>0.7151847340641494</v>
      </c>
      <c r="F34" s="885">
        <f t="shared" si="0"/>
        <v>0.54512969729778504</v>
      </c>
      <c r="G34" s="883">
        <f t="shared" ref="G34:I38" si="25">G$31*E80/E$85</f>
        <v>1.0285714285714287</v>
      </c>
      <c r="H34" s="883">
        <f t="shared" si="25"/>
        <v>16.530612244897959</v>
      </c>
      <c r="I34" s="883">
        <f t="shared" si="25"/>
        <v>12.600000000000001</v>
      </c>
      <c r="J34" s="886">
        <f t="shared" ref="J34:J38" si="26">SUM(G34:I34)</f>
        <v>30.159183673469389</v>
      </c>
      <c r="K34" s="882">
        <f t="shared" si="23"/>
        <v>3.4104750304506701E-2</v>
      </c>
      <c r="L34" s="882">
        <f t="shared" si="23"/>
        <v>0.54811205846528621</v>
      </c>
      <c r="M34" s="882">
        <f t="shared" si="23"/>
        <v>0.41778319123020707</v>
      </c>
    </row>
    <row r="35" spans="2:13" x14ac:dyDescent="0.25">
      <c r="B35" s="878" t="s">
        <v>257</v>
      </c>
      <c r="C35" s="883">
        <f t="shared" si="24"/>
        <v>1.4564814814814815</v>
      </c>
      <c r="D35" s="884">
        <f t="shared" si="3"/>
        <v>4.1298133022170364E-2</v>
      </c>
      <c r="E35" s="885">
        <f t="shared" si="0"/>
        <v>1.2236483858420848</v>
      </c>
      <c r="F35" s="885">
        <f t="shared" si="0"/>
        <v>0.19153496261722633</v>
      </c>
      <c r="G35" s="883">
        <f t="shared" si="25"/>
        <v>1.1571428571428573</v>
      </c>
      <c r="H35" s="883">
        <f t="shared" si="25"/>
        <v>34.285714285714285</v>
      </c>
      <c r="I35" s="883">
        <f t="shared" si="25"/>
        <v>5.3666666666666671</v>
      </c>
      <c r="J35" s="886">
        <f t="shared" si="26"/>
        <v>40.80952380952381</v>
      </c>
      <c r="K35" s="882">
        <f t="shared" si="23"/>
        <v>2.8354725787631273E-2</v>
      </c>
      <c r="L35" s="882">
        <f t="shared" si="23"/>
        <v>0.84014002333722282</v>
      </c>
      <c r="M35" s="882">
        <f t="shared" si="23"/>
        <v>0.13150525087514586</v>
      </c>
    </row>
    <row r="36" spans="2:13" x14ac:dyDescent="0.25">
      <c r="B36" s="878" t="s">
        <v>258</v>
      </c>
      <c r="C36" s="883">
        <f t="shared" si="24"/>
        <v>1.3890740740740739</v>
      </c>
      <c r="D36" s="884">
        <f>$C36*K36</f>
        <v>4.4180160697645798E-2</v>
      </c>
      <c r="E36" s="885">
        <f t="shared" si="0"/>
        <v>1.1869296903845139</v>
      </c>
      <c r="F36" s="885">
        <f t="shared" si="0"/>
        <v>0.15796422299191434</v>
      </c>
      <c r="G36" s="883">
        <f t="shared" si="25"/>
        <v>1.4357142857142857</v>
      </c>
      <c r="H36" s="883">
        <f t="shared" si="25"/>
        <v>38.571428571428569</v>
      </c>
      <c r="I36" s="883">
        <f t="shared" si="25"/>
        <v>5.1333333333333337</v>
      </c>
      <c r="J36" s="886">
        <f t="shared" si="26"/>
        <v>45.140476190476186</v>
      </c>
      <c r="K36" s="882">
        <f t="shared" si="23"/>
        <v>3.1805474972308671E-2</v>
      </c>
      <c r="L36" s="882">
        <f t="shared" si="23"/>
        <v>0.85447544701724776</v>
      </c>
      <c r="M36" s="882">
        <f t="shared" si="23"/>
        <v>0.11371907801044361</v>
      </c>
    </row>
    <row r="37" spans="2:13" x14ac:dyDescent="0.25">
      <c r="B37" s="878" t="s">
        <v>259</v>
      </c>
      <c r="C37" s="883">
        <f t="shared" si="24"/>
        <v>0.87629629629629624</v>
      </c>
      <c r="D37" s="884">
        <f t="shared" ref="D37:D38" si="27">$C37*K37</f>
        <v>3.4322258695580081E-2</v>
      </c>
      <c r="E37" s="885">
        <f t="shared" si="0"/>
        <v>0.7747024105573791</v>
      </c>
      <c r="F37" s="885">
        <f t="shared" si="0"/>
        <v>6.727162704333696E-2</v>
      </c>
      <c r="G37" s="883">
        <f t="shared" si="25"/>
        <v>1.0714285714285714</v>
      </c>
      <c r="H37" s="883">
        <f t="shared" si="25"/>
        <v>24.183673469387756</v>
      </c>
      <c r="I37" s="883">
        <f t="shared" si="25"/>
        <v>2.1</v>
      </c>
      <c r="J37" s="886">
        <f t="shared" si="26"/>
        <v>27.35510204081633</v>
      </c>
      <c r="K37" s="882">
        <f t="shared" si="23"/>
        <v>3.9167412712623091E-2</v>
      </c>
      <c r="L37" s="882">
        <f t="shared" si="23"/>
        <v>0.88406445837063552</v>
      </c>
      <c r="M37" s="882">
        <f t="shared" si="23"/>
        <v>7.6768128916741257E-2</v>
      </c>
    </row>
    <row r="38" spans="2:13" x14ac:dyDescent="0.25">
      <c r="B38" s="878" t="s">
        <v>260</v>
      </c>
      <c r="C38" s="883">
        <f t="shared" si="24"/>
        <v>0.77037037037037037</v>
      </c>
      <c r="D38" s="884">
        <f t="shared" si="27"/>
        <v>2.7878300495912084E-2</v>
      </c>
      <c r="E38" s="885">
        <f t="shared" si="0"/>
        <v>0.6969575123978019</v>
      </c>
      <c r="F38" s="885">
        <f t="shared" si="0"/>
        <v>4.5534557476656405E-2</v>
      </c>
      <c r="G38" s="883">
        <f t="shared" si="25"/>
        <v>0.85714285714285721</v>
      </c>
      <c r="H38" s="883">
        <f t="shared" si="25"/>
        <v>21.428571428571427</v>
      </c>
      <c r="I38" s="883">
        <f t="shared" si="25"/>
        <v>1.4000000000000001</v>
      </c>
      <c r="J38" s="886">
        <f t="shared" si="26"/>
        <v>23.685714285714283</v>
      </c>
      <c r="K38" s="882">
        <f t="shared" si="23"/>
        <v>3.6188178528347416E-2</v>
      </c>
      <c r="L38" s="882">
        <f t="shared" si="23"/>
        <v>0.90470446320868514</v>
      </c>
      <c r="M38" s="882">
        <f t="shared" si="23"/>
        <v>5.9107358262967445E-2</v>
      </c>
    </row>
    <row r="39" spans="2:13" x14ac:dyDescent="0.25">
      <c r="B39" s="418" t="s">
        <v>265</v>
      </c>
      <c r="C39" s="875">
        <v>1.3</v>
      </c>
      <c r="D39" s="580">
        <f t="shared" si="3"/>
        <v>2.8260869565217395E-2</v>
      </c>
      <c r="E39" s="580">
        <f t="shared" si="0"/>
        <v>0.92490118577075098</v>
      </c>
      <c r="F39" s="580">
        <f t="shared" si="0"/>
        <v>0.34683794466403167</v>
      </c>
      <c r="G39" s="418">
        <v>1.1000000000000001</v>
      </c>
      <c r="H39" s="876">
        <v>36</v>
      </c>
      <c r="I39" s="905">
        <f>6*2.25</f>
        <v>13.5</v>
      </c>
      <c r="J39" s="418">
        <f t="shared" si="1"/>
        <v>50.6</v>
      </c>
      <c r="K39" s="877">
        <f t="shared" si="4"/>
        <v>2.1739130434782612E-2</v>
      </c>
      <c r="L39" s="877">
        <f t="shared" si="2"/>
        <v>0.71146245059288538</v>
      </c>
      <c r="M39" s="877">
        <f t="shared" si="2"/>
        <v>0.26679841897233203</v>
      </c>
    </row>
    <row r="40" spans="2:13" x14ac:dyDescent="0.25">
      <c r="B40" s="878" t="s">
        <v>254</v>
      </c>
      <c r="C40" s="879">
        <v>0</v>
      </c>
      <c r="D40" s="880">
        <f t="shared" si="3"/>
        <v>0</v>
      </c>
      <c r="E40" s="880">
        <f t="shared" si="0"/>
        <v>0</v>
      </c>
      <c r="F40" s="880">
        <f t="shared" si="0"/>
        <v>0</v>
      </c>
      <c r="G40" s="879">
        <v>0</v>
      </c>
      <c r="H40" s="879">
        <v>0</v>
      </c>
      <c r="I40" s="879">
        <v>0</v>
      </c>
      <c r="J40" s="881">
        <v>0</v>
      </c>
      <c r="K40" s="882">
        <v>0</v>
      </c>
      <c r="L40" s="882">
        <v>0</v>
      </c>
      <c r="M40" s="882">
        <v>0</v>
      </c>
    </row>
    <row r="41" spans="2:13" x14ac:dyDescent="0.25">
      <c r="B41" s="878" t="s">
        <v>255</v>
      </c>
      <c r="C41" s="883">
        <f>C$39*D79/D$85</f>
        <v>1.3722222222222222</v>
      </c>
      <c r="D41" s="884">
        <f t="shared" si="3"/>
        <v>3.29727293216137E-2</v>
      </c>
      <c r="E41" s="885">
        <f t="shared" si="0"/>
        <v>0.95297805642633227</v>
      </c>
      <c r="F41" s="885">
        <f t="shared" si="0"/>
        <v>0.3862714364742762</v>
      </c>
      <c r="G41" s="883">
        <f>G$39*E79/E$85</f>
        <v>0.86428571428571443</v>
      </c>
      <c r="H41" s="883">
        <f t="shared" ref="H41:I41" si="28">H$39*F79/F$85</f>
        <v>24.979591836734695</v>
      </c>
      <c r="I41" s="883">
        <f t="shared" si="28"/>
        <v>10.125</v>
      </c>
      <c r="J41" s="886">
        <f>SUM(G41:I41)</f>
        <v>35.968877551020412</v>
      </c>
      <c r="K41" s="882">
        <f t="shared" ref="K41:M46" si="29">G41/$J41</f>
        <v>2.4028709627086909E-2</v>
      </c>
      <c r="L41" s="882">
        <f t="shared" si="29"/>
        <v>0.69447793585724615</v>
      </c>
      <c r="M41" s="882">
        <f t="shared" si="29"/>
        <v>0.28149335451566687</v>
      </c>
    </row>
    <row r="42" spans="2:13" x14ac:dyDescent="0.25">
      <c r="B42" s="878" t="s">
        <v>256</v>
      </c>
      <c r="C42" s="883">
        <f t="shared" ref="C42:C46" si="30">C$39*D80/D$85</f>
        <v>1.3048148148148149</v>
      </c>
      <c r="D42" s="884">
        <f t="shared" si="3"/>
        <v>2.4049726995778887E-2</v>
      </c>
      <c r="E42" s="885">
        <f t="shared" si="0"/>
        <v>0.50598126926184139</v>
      </c>
      <c r="F42" s="885">
        <f t="shared" si="0"/>
        <v>0.77478381855719458</v>
      </c>
      <c r="G42" s="883">
        <f t="shared" ref="G42:I46" si="31">G$39*E80/E$85</f>
        <v>0.94285714285714317</v>
      </c>
      <c r="H42" s="883">
        <f t="shared" si="31"/>
        <v>19.836734693877553</v>
      </c>
      <c r="I42" s="883">
        <f t="shared" si="31"/>
        <v>30.375</v>
      </c>
      <c r="J42" s="886">
        <f t="shared" ref="J42:J46" si="32">SUM(G42:I42)</f>
        <v>51.154591836734696</v>
      </c>
      <c r="K42" s="882">
        <f t="shared" si="29"/>
        <v>1.8431525089015893E-2</v>
      </c>
      <c r="L42" s="882">
        <f t="shared" si="29"/>
        <v>0.3877801382364382</v>
      </c>
      <c r="M42" s="882">
        <f t="shared" si="29"/>
        <v>0.59378833667454589</v>
      </c>
    </row>
    <row r="43" spans="2:13" x14ac:dyDescent="0.25">
      <c r="B43" s="878" t="s">
        <v>257</v>
      </c>
      <c r="C43" s="883">
        <f t="shared" si="30"/>
        <v>1.4564814814814815</v>
      </c>
      <c r="D43" s="884">
        <f t="shared" si="3"/>
        <v>2.801742284400402E-2</v>
      </c>
      <c r="E43" s="885">
        <f t="shared" si="0"/>
        <v>1.086736401221974</v>
      </c>
      <c r="F43" s="885">
        <f t="shared" si="0"/>
        <v>0.34172765741550348</v>
      </c>
      <c r="G43" s="883">
        <f t="shared" si="31"/>
        <v>1.0607142857142859</v>
      </c>
      <c r="H43" s="883">
        <f t="shared" si="31"/>
        <v>41.142857142857146</v>
      </c>
      <c r="I43" s="883">
        <f t="shared" si="31"/>
        <v>12.9375</v>
      </c>
      <c r="J43" s="886">
        <f t="shared" si="32"/>
        <v>55.141071428571429</v>
      </c>
      <c r="K43" s="882">
        <f t="shared" si="29"/>
        <v>1.9236374234916937E-2</v>
      </c>
      <c r="L43" s="882">
        <f t="shared" si="29"/>
        <v>0.74613815214223267</v>
      </c>
      <c r="M43" s="882">
        <f t="shared" si="29"/>
        <v>0.23462547362285047</v>
      </c>
    </row>
    <row r="44" spans="2:13" x14ac:dyDescent="0.25">
      <c r="B44" s="878" t="s">
        <v>258</v>
      </c>
      <c r="C44" s="883">
        <f t="shared" si="30"/>
        <v>1.3890740740740739</v>
      </c>
      <c r="D44" s="884">
        <f>$C44*K44</f>
        <v>3.0480471390496103E-2</v>
      </c>
      <c r="E44" s="885">
        <f t="shared" si="0"/>
        <v>1.0719861851311518</v>
      </c>
      <c r="F44" s="885">
        <f t="shared" si="0"/>
        <v>0.28660741755242602</v>
      </c>
      <c r="G44" s="883">
        <f t="shared" si="31"/>
        <v>1.3160714285714288</v>
      </c>
      <c r="H44" s="883">
        <f t="shared" si="31"/>
        <v>46.285714285714285</v>
      </c>
      <c r="I44" s="883">
        <f t="shared" si="31"/>
        <v>12.375</v>
      </c>
      <c r="J44" s="886">
        <f t="shared" si="32"/>
        <v>59.976785714285711</v>
      </c>
      <c r="K44" s="882">
        <f t="shared" si="29"/>
        <v>2.194301366600173E-2</v>
      </c>
      <c r="L44" s="882">
        <f t="shared" si="29"/>
        <v>0.77172715634025069</v>
      </c>
      <c r="M44" s="882">
        <f t="shared" si="29"/>
        <v>0.2063298299937476</v>
      </c>
    </row>
    <row r="45" spans="2:13" x14ac:dyDescent="0.25">
      <c r="B45" s="878" t="s">
        <v>259</v>
      </c>
      <c r="C45" s="883">
        <f t="shared" si="30"/>
        <v>0.87629629629629624</v>
      </c>
      <c r="D45" s="884">
        <f t="shared" ref="D45:D46" si="33">$C45*K45</f>
        <v>2.4544328985782553E-2</v>
      </c>
      <c r="E45" s="885">
        <f t="shared" si="0"/>
        <v>0.72523710790197993</v>
      </c>
      <c r="F45" s="885">
        <f t="shared" si="0"/>
        <v>0.12651485940853369</v>
      </c>
      <c r="G45" s="883">
        <f t="shared" si="31"/>
        <v>0.98214285714285721</v>
      </c>
      <c r="H45" s="883">
        <f t="shared" si="31"/>
        <v>29.020408163265305</v>
      </c>
      <c r="I45" s="883">
        <f t="shared" si="31"/>
        <v>5.0625</v>
      </c>
      <c r="J45" s="886">
        <f t="shared" si="32"/>
        <v>35.065051020408163</v>
      </c>
      <c r="K45" s="882">
        <f t="shared" si="29"/>
        <v>2.8009166636353718E-2</v>
      </c>
      <c r="L45" s="882">
        <f t="shared" si="29"/>
        <v>0.82761631079262299</v>
      </c>
      <c r="M45" s="882">
        <f t="shared" si="29"/>
        <v>0.14437452257102323</v>
      </c>
    </row>
    <row r="46" spans="2:13" x14ac:dyDescent="0.25">
      <c r="B46" s="878" t="s">
        <v>260</v>
      </c>
      <c r="C46" s="883">
        <f t="shared" si="30"/>
        <v>0.77037037037037037</v>
      </c>
      <c r="D46" s="884">
        <f t="shared" si="33"/>
        <v>2.0260786787983445E-2</v>
      </c>
      <c r="E46" s="885">
        <f t="shared" si="0"/>
        <v>0.66308029487945808</v>
      </c>
      <c r="F46" s="885">
        <f t="shared" si="0"/>
        <v>8.7029288702928878E-2</v>
      </c>
      <c r="G46" s="883">
        <f t="shared" si="31"/>
        <v>0.78571428571428581</v>
      </c>
      <c r="H46" s="883">
        <f t="shared" si="31"/>
        <v>25.714285714285715</v>
      </c>
      <c r="I46" s="883">
        <f t="shared" si="31"/>
        <v>3.375</v>
      </c>
      <c r="J46" s="886">
        <f t="shared" si="32"/>
        <v>29.875</v>
      </c>
      <c r="K46" s="882">
        <f t="shared" si="29"/>
        <v>2.6300059772863125E-2</v>
      </c>
      <c r="L46" s="882">
        <f t="shared" si="29"/>
        <v>0.86072922893006576</v>
      </c>
      <c r="M46" s="882">
        <f t="shared" si="29"/>
        <v>0.11297071129707113</v>
      </c>
    </row>
    <row r="47" spans="2:13" x14ac:dyDescent="0.25">
      <c r="B47" s="870" t="s">
        <v>266</v>
      </c>
      <c r="C47" s="870">
        <v>1.4</v>
      </c>
      <c r="D47" s="871">
        <f t="shared" si="3"/>
        <v>4.3874643874643876E-2</v>
      </c>
      <c r="E47" s="871">
        <f t="shared" si="0"/>
        <v>1.0769230769230766</v>
      </c>
      <c r="F47" s="871">
        <f t="shared" si="0"/>
        <v>0.27920227920227919</v>
      </c>
      <c r="G47" s="870">
        <v>1.1000000000000001</v>
      </c>
      <c r="H47" s="872">
        <v>27</v>
      </c>
      <c r="I47" s="873">
        <v>7</v>
      </c>
      <c r="J47" s="870">
        <f t="shared" si="1"/>
        <v>35.1</v>
      </c>
      <c r="K47" s="874">
        <f t="shared" si="4"/>
        <v>3.1339031339031341E-2</v>
      </c>
      <c r="L47" s="874">
        <f t="shared" si="2"/>
        <v>0.76923076923076916</v>
      </c>
      <c r="M47" s="874">
        <f t="shared" si="2"/>
        <v>0.19943019943019943</v>
      </c>
    </row>
    <row r="48" spans="2:13" x14ac:dyDescent="0.25">
      <c r="B48" s="418" t="s">
        <v>267</v>
      </c>
      <c r="C48" s="887">
        <v>1.5</v>
      </c>
      <c r="D48" s="580">
        <f t="shared" si="3"/>
        <v>4.8714479025710418E-2</v>
      </c>
      <c r="E48" s="580">
        <f t="shared" si="0"/>
        <v>1.1772665764546684</v>
      </c>
      <c r="F48" s="580">
        <f t="shared" si="0"/>
        <v>0.27401894451962105</v>
      </c>
      <c r="G48" s="418">
        <v>1.2</v>
      </c>
      <c r="H48" s="876">
        <v>29</v>
      </c>
      <c r="I48" s="905">
        <f>3*2.25</f>
        <v>6.75</v>
      </c>
      <c r="J48" s="422">
        <f t="shared" si="1"/>
        <v>36.950000000000003</v>
      </c>
      <c r="K48" s="877">
        <f t="shared" si="4"/>
        <v>3.2476319350473612E-2</v>
      </c>
      <c r="L48" s="877">
        <f t="shared" si="2"/>
        <v>0.78484438430311221</v>
      </c>
      <c r="M48" s="877">
        <f t="shared" si="2"/>
        <v>0.18267929634641406</v>
      </c>
    </row>
    <row r="49" spans="2:13" x14ac:dyDescent="0.25">
      <c r="B49" s="878" t="s">
        <v>254</v>
      </c>
      <c r="C49" s="879">
        <v>0</v>
      </c>
      <c r="D49" s="880">
        <f t="shared" si="3"/>
        <v>0</v>
      </c>
      <c r="E49" s="880">
        <f t="shared" si="0"/>
        <v>0</v>
      </c>
      <c r="F49" s="880">
        <f t="shared" si="0"/>
        <v>0</v>
      </c>
      <c r="G49" s="879">
        <v>0</v>
      </c>
      <c r="H49" s="879">
        <v>0</v>
      </c>
      <c r="I49" s="879">
        <v>0</v>
      </c>
      <c r="J49" s="881">
        <v>0</v>
      </c>
      <c r="K49" s="882">
        <v>0</v>
      </c>
      <c r="L49" s="882">
        <v>0</v>
      </c>
      <c r="M49" s="882">
        <v>0</v>
      </c>
    </row>
    <row r="50" spans="2:13" x14ac:dyDescent="0.25">
      <c r="B50" s="878" t="s">
        <v>255</v>
      </c>
      <c r="C50" s="883">
        <f>C$48*D79/D$85</f>
        <v>1.5833333333333333</v>
      </c>
      <c r="D50" s="884">
        <f>$C50*K50</f>
        <v>5.713672000859199E-2</v>
      </c>
      <c r="E50" s="885">
        <f t="shared" si="0"/>
        <v>1.2194113837331537</v>
      </c>
      <c r="F50" s="885">
        <f t="shared" si="0"/>
        <v>0.30678522959158766</v>
      </c>
      <c r="G50" s="883">
        <f>G$48*E79/E$85</f>
        <v>0.94285714285714295</v>
      </c>
      <c r="H50" s="883">
        <f t="shared" ref="H50:I50" si="34">H$48*F79/F$85</f>
        <v>20.122448979591837</v>
      </c>
      <c r="I50" s="883">
        <f t="shared" si="34"/>
        <v>5.0625</v>
      </c>
      <c r="J50" s="886">
        <f>SUM(G50:I50)</f>
        <v>26.12780612244898</v>
      </c>
      <c r="K50" s="882">
        <f t="shared" ref="K50:M55" si="35">G50/$J50</f>
        <v>3.6086349479110734E-2</v>
      </c>
      <c r="L50" s="882">
        <f t="shared" si="35"/>
        <v>0.77015455814725498</v>
      </c>
      <c r="M50" s="882">
        <f t="shared" si="35"/>
        <v>0.19375909237363431</v>
      </c>
    </row>
    <row r="51" spans="2:13" x14ac:dyDescent="0.25">
      <c r="B51" s="878" t="s">
        <v>256</v>
      </c>
      <c r="C51" s="883">
        <f t="shared" ref="C51:C55" si="36">C$48*D80/D$85</f>
        <v>1.5055555555555553</v>
      </c>
      <c r="D51" s="884">
        <f t="shared" si="3"/>
        <v>4.8098758388995848E-2</v>
      </c>
      <c r="E51" s="885">
        <f t="shared" si="0"/>
        <v>0.74724856782904259</v>
      </c>
      <c r="F51" s="885">
        <f t="shared" si="0"/>
        <v>0.71020822933751682</v>
      </c>
      <c r="G51" s="883">
        <f t="shared" ref="G51:I55" si="37">G$48*E80/E$85</f>
        <v>1.0285714285714287</v>
      </c>
      <c r="H51" s="883">
        <f t="shared" si="37"/>
        <v>15.979591836734693</v>
      </c>
      <c r="I51" s="883">
        <f t="shared" si="37"/>
        <v>15.1875</v>
      </c>
      <c r="J51" s="886">
        <f t="shared" ref="J51:J55" si="38">SUM(G51:I51)</f>
        <v>32.195663265306123</v>
      </c>
      <c r="K51" s="882">
        <f t="shared" si="35"/>
        <v>3.194751479711902E-2</v>
      </c>
      <c r="L51" s="882">
        <f t="shared" si="35"/>
        <v>0.49632746202667044</v>
      </c>
      <c r="M51" s="882">
        <f t="shared" si="35"/>
        <v>0.47172502317621051</v>
      </c>
    </row>
    <row r="52" spans="2:13" x14ac:dyDescent="0.25">
      <c r="B52" s="878" t="s">
        <v>257</v>
      </c>
      <c r="C52" s="883">
        <f t="shared" si="36"/>
        <v>1.6805555555555554</v>
      </c>
      <c r="D52" s="884">
        <f t="shared" si="3"/>
        <v>4.7699349554324255E-2</v>
      </c>
      <c r="E52" s="885">
        <f t="shared" si="0"/>
        <v>1.3662035921732378</v>
      </c>
      <c r="F52" s="885">
        <f t="shared" si="0"/>
        <v>0.26665261382799321</v>
      </c>
      <c r="G52" s="883">
        <f t="shared" si="37"/>
        <v>1.1571428571428573</v>
      </c>
      <c r="H52" s="883">
        <f t="shared" si="37"/>
        <v>33.142857142857146</v>
      </c>
      <c r="I52" s="883">
        <f t="shared" si="37"/>
        <v>6.46875</v>
      </c>
      <c r="J52" s="886">
        <f t="shared" si="38"/>
        <v>40.768750000000004</v>
      </c>
      <c r="K52" s="882">
        <f t="shared" si="35"/>
        <v>2.838308403232518E-2</v>
      </c>
      <c r="L52" s="882">
        <f t="shared" si="35"/>
        <v>0.81294759203696809</v>
      </c>
      <c r="M52" s="882">
        <f t="shared" si="35"/>
        <v>0.15866932393070671</v>
      </c>
    </row>
    <row r="53" spans="2:13" x14ac:dyDescent="0.25">
      <c r="B53" s="878" t="s">
        <v>258</v>
      </c>
      <c r="C53" s="883">
        <f t="shared" si="36"/>
        <v>1.6027777777777776</v>
      </c>
      <c r="D53" s="884">
        <f>$C53*K53</f>
        <v>5.1239943271435572E-2</v>
      </c>
      <c r="E53" s="885">
        <f t="shared" si="0"/>
        <v>1.3307089745119089</v>
      </c>
      <c r="F53" s="885">
        <f t="shared" si="0"/>
        <v>0.22082885999443316</v>
      </c>
      <c r="G53" s="883">
        <f t="shared" si="37"/>
        <v>1.4357142857142857</v>
      </c>
      <c r="H53" s="883">
        <f t="shared" si="37"/>
        <v>37.285714285714285</v>
      </c>
      <c r="I53" s="883">
        <f t="shared" si="37"/>
        <v>6.1875</v>
      </c>
      <c r="J53" s="886">
        <f t="shared" si="38"/>
        <v>44.908928571428568</v>
      </c>
      <c r="K53" s="882">
        <f t="shared" si="35"/>
        <v>3.1969462006441608E-2</v>
      </c>
      <c r="L53" s="882">
        <f t="shared" si="35"/>
        <v>0.83025169986878211</v>
      </c>
      <c r="M53" s="882">
        <f t="shared" si="35"/>
        <v>0.13777883812477634</v>
      </c>
    </row>
    <row r="54" spans="2:13" x14ac:dyDescent="0.25">
      <c r="B54" s="878" t="s">
        <v>259</v>
      </c>
      <c r="C54" s="883">
        <f t="shared" si="36"/>
        <v>1.0111111111111111</v>
      </c>
      <c r="D54" s="884">
        <f t="shared" ref="D54:D55" si="39">$C54*K54</f>
        <v>4.0152858212189259E-2</v>
      </c>
      <c r="E54" s="885">
        <f t="shared" si="0"/>
        <v>0.87609712537262463</v>
      </c>
      <c r="F54" s="885">
        <f t="shared" si="0"/>
        <v>9.486112752629712E-2</v>
      </c>
      <c r="G54" s="883">
        <f t="shared" si="37"/>
        <v>1.0714285714285714</v>
      </c>
      <c r="H54" s="883">
        <f t="shared" si="37"/>
        <v>23.377551020408163</v>
      </c>
      <c r="I54" s="883">
        <f t="shared" si="37"/>
        <v>2.53125</v>
      </c>
      <c r="J54" s="886">
        <f t="shared" si="38"/>
        <v>26.980229591836736</v>
      </c>
      <c r="K54" s="882">
        <f t="shared" si="35"/>
        <v>3.9711618012055312E-2</v>
      </c>
      <c r="L54" s="882">
        <f t="shared" si="35"/>
        <v>0.86646968443446393</v>
      </c>
      <c r="M54" s="882">
        <f t="shared" si="35"/>
        <v>9.3818697553480671E-2</v>
      </c>
    </row>
    <row r="55" spans="2:13" x14ac:dyDescent="0.25">
      <c r="B55" s="878" t="s">
        <v>260</v>
      </c>
      <c r="C55" s="883">
        <f t="shared" si="36"/>
        <v>0.88888888888888895</v>
      </c>
      <c r="D55" s="884">
        <f t="shared" si="39"/>
        <v>3.2757517594369803E-2</v>
      </c>
      <c r="E55" s="885">
        <f t="shared" si="0"/>
        <v>0.79164000853060357</v>
      </c>
      <c r="F55" s="885">
        <f t="shared" si="0"/>
        <v>6.4491362763915538E-2</v>
      </c>
      <c r="G55" s="883">
        <f t="shared" si="37"/>
        <v>0.85714285714285721</v>
      </c>
      <c r="H55" s="883">
        <f t="shared" si="37"/>
        <v>20.714285714285715</v>
      </c>
      <c r="I55" s="883">
        <f t="shared" si="37"/>
        <v>1.6875</v>
      </c>
      <c r="J55" s="886">
        <f t="shared" si="38"/>
        <v>23.258928571428573</v>
      </c>
      <c r="K55" s="882">
        <f t="shared" si="35"/>
        <v>3.6852207293666027E-2</v>
      </c>
      <c r="L55" s="882">
        <f t="shared" si="35"/>
        <v>0.89059500959692894</v>
      </c>
      <c r="M55" s="882">
        <f t="shared" si="35"/>
        <v>7.2552783109404981E-2</v>
      </c>
    </row>
    <row r="58" spans="2:13" x14ac:dyDescent="0.25">
      <c r="B58" t="s">
        <v>268</v>
      </c>
    </row>
    <row r="59" spans="2:13" x14ac:dyDescent="0.25">
      <c r="B59" s="868" t="s">
        <v>269</v>
      </c>
      <c r="C59" s="868" t="s">
        <v>270</v>
      </c>
      <c r="D59" s="868" t="s">
        <v>271</v>
      </c>
      <c r="E59" s="888" t="s">
        <v>272</v>
      </c>
      <c r="F59" s="888" t="s">
        <v>273</v>
      </c>
      <c r="G59" s="888" t="s">
        <v>274</v>
      </c>
      <c r="H59" s="869" t="s">
        <v>275</v>
      </c>
    </row>
    <row r="60" spans="2:13" x14ac:dyDescent="0.25">
      <c r="B60" s="394" t="s">
        <v>276</v>
      </c>
      <c r="C60" s="889" t="s">
        <v>277</v>
      </c>
      <c r="D60" s="394">
        <v>1.48</v>
      </c>
      <c r="E60" s="394">
        <v>1.2</v>
      </c>
      <c r="F60" s="394">
        <v>15</v>
      </c>
      <c r="G60" s="394">
        <v>6</v>
      </c>
      <c r="H60" s="394">
        <f>E60+F60+G60</f>
        <v>22.2</v>
      </c>
    </row>
    <row r="61" spans="2:13" x14ac:dyDescent="0.25">
      <c r="B61" s="394"/>
      <c r="C61" s="889" t="s">
        <v>278</v>
      </c>
      <c r="D61" s="394">
        <v>1.34</v>
      </c>
      <c r="E61" s="394">
        <v>1.3</v>
      </c>
      <c r="F61" s="394">
        <v>12</v>
      </c>
      <c r="G61" s="394">
        <v>13</v>
      </c>
      <c r="H61" s="394">
        <f t="shared" ref="H61:H85" si="40">E61+F61+G61</f>
        <v>26.3</v>
      </c>
    </row>
    <row r="62" spans="2:13" x14ac:dyDescent="0.25">
      <c r="B62" s="394"/>
      <c r="C62" s="889" t="s">
        <v>279</v>
      </c>
      <c r="D62" s="394">
        <v>1.37</v>
      </c>
      <c r="E62" s="394">
        <v>1.2</v>
      </c>
      <c r="F62" s="394">
        <v>25</v>
      </c>
      <c r="G62" s="394">
        <v>6</v>
      </c>
      <c r="H62" s="394">
        <f t="shared" si="40"/>
        <v>32.200000000000003</v>
      </c>
    </row>
    <row r="63" spans="2:13" x14ac:dyDescent="0.25">
      <c r="B63" s="394"/>
      <c r="C63" s="889" t="s">
        <v>280</v>
      </c>
      <c r="D63" s="394">
        <v>1.56</v>
      </c>
      <c r="E63" s="394">
        <v>1.2</v>
      </c>
      <c r="F63" s="394">
        <v>39</v>
      </c>
      <c r="G63" s="394">
        <v>4</v>
      </c>
      <c r="H63" s="394">
        <f t="shared" si="40"/>
        <v>44.2</v>
      </c>
    </row>
    <row r="64" spans="2:13" x14ac:dyDescent="0.25">
      <c r="B64" s="394"/>
      <c r="C64" s="889" t="s">
        <v>281</v>
      </c>
      <c r="D64" s="394">
        <v>1.53</v>
      </c>
      <c r="E64" s="394">
        <v>1.6</v>
      </c>
      <c r="F64" s="394">
        <v>34</v>
      </c>
      <c r="G64" s="394">
        <v>5</v>
      </c>
      <c r="H64" s="394">
        <f t="shared" si="40"/>
        <v>40.6</v>
      </c>
    </row>
    <row r="65" spans="2:8" x14ac:dyDescent="0.25">
      <c r="B65" s="394"/>
      <c r="C65" s="889" t="s">
        <v>282</v>
      </c>
      <c r="D65" s="890">
        <v>1.3</v>
      </c>
      <c r="E65" s="394">
        <v>1.7</v>
      </c>
      <c r="F65" s="394">
        <v>37</v>
      </c>
      <c r="G65" s="394">
        <v>3</v>
      </c>
      <c r="H65" s="394">
        <f t="shared" si="40"/>
        <v>41.7</v>
      </c>
    </row>
    <row r="66" spans="2:8" x14ac:dyDescent="0.25">
      <c r="B66" s="394"/>
      <c r="C66" s="889" t="s">
        <v>283</v>
      </c>
      <c r="D66" s="394">
        <v>1.08</v>
      </c>
      <c r="E66" s="394">
        <v>1.6</v>
      </c>
      <c r="F66" s="394">
        <v>24</v>
      </c>
      <c r="G66" s="394">
        <v>2</v>
      </c>
      <c r="H66" s="394">
        <f t="shared" si="40"/>
        <v>27.6</v>
      </c>
    </row>
    <row r="67" spans="2:8" x14ac:dyDescent="0.25">
      <c r="B67" s="394"/>
      <c r="C67" s="889" t="s">
        <v>284</v>
      </c>
      <c r="D67" s="394">
        <v>0.87</v>
      </c>
      <c r="E67" s="394">
        <v>1.1000000000000001</v>
      </c>
      <c r="F67" s="394">
        <v>24</v>
      </c>
      <c r="G67" s="394">
        <v>2</v>
      </c>
      <c r="H67" s="394">
        <f t="shared" si="40"/>
        <v>27.1</v>
      </c>
    </row>
    <row r="68" spans="2:8" x14ac:dyDescent="0.25">
      <c r="B68" s="891"/>
      <c r="C68" s="892" t="s">
        <v>285</v>
      </c>
      <c r="D68" s="891">
        <v>1.35</v>
      </c>
      <c r="E68" s="891">
        <v>1.4</v>
      </c>
      <c r="F68" s="891">
        <v>27</v>
      </c>
      <c r="G68" s="891">
        <v>6</v>
      </c>
      <c r="H68" s="891">
        <f t="shared" si="40"/>
        <v>34.4</v>
      </c>
    </row>
    <row r="69" spans="2:8" x14ac:dyDescent="0.25">
      <c r="B69" s="394" t="s">
        <v>286</v>
      </c>
      <c r="C69" s="889" t="s">
        <v>277</v>
      </c>
      <c r="D69" s="394">
        <v>1.37</v>
      </c>
      <c r="E69" s="893">
        <v>1</v>
      </c>
      <c r="F69" s="894">
        <v>19</v>
      </c>
      <c r="G69" s="894">
        <v>3</v>
      </c>
      <c r="H69" s="893">
        <f t="shared" si="40"/>
        <v>23</v>
      </c>
    </row>
    <row r="70" spans="2:8" x14ac:dyDescent="0.25">
      <c r="B70" s="394"/>
      <c r="C70" s="889" t="s">
        <v>278</v>
      </c>
      <c r="D70" s="394">
        <v>1.37</v>
      </c>
      <c r="E70" s="394">
        <v>1.1000000000000001</v>
      </c>
      <c r="F70" s="394">
        <v>15</v>
      </c>
      <c r="G70" s="394">
        <v>14</v>
      </c>
      <c r="H70" s="394">
        <f t="shared" si="40"/>
        <v>30.1</v>
      </c>
    </row>
    <row r="71" spans="2:8" x14ac:dyDescent="0.25">
      <c r="B71" s="394"/>
      <c r="C71" s="889" t="s">
        <v>279</v>
      </c>
      <c r="D71" s="394">
        <v>1.49</v>
      </c>
      <c r="E71" s="394">
        <v>1.4</v>
      </c>
      <c r="F71" s="394">
        <v>24</v>
      </c>
      <c r="G71" s="394">
        <v>7</v>
      </c>
      <c r="H71" s="394">
        <f t="shared" si="40"/>
        <v>32.4</v>
      </c>
    </row>
    <row r="72" spans="2:8" x14ac:dyDescent="0.25">
      <c r="B72" s="394"/>
      <c r="C72" s="889" t="s">
        <v>280</v>
      </c>
      <c r="D72" s="394">
        <v>1.63</v>
      </c>
      <c r="E72" s="394">
        <v>1.6</v>
      </c>
      <c r="F72" s="394">
        <v>24</v>
      </c>
      <c r="G72" s="394">
        <v>6</v>
      </c>
      <c r="H72" s="394">
        <f t="shared" si="40"/>
        <v>31.6</v>
      </c>
    </row>
    <row r="73" spans="2:8" x14ac:dyDescent="0.25">
      <c r="B73" s="394"/>
      <c r="C73" s="889" t="s">
        <v>281</v>
      </c>
      <c r="D73" s="394">
        <v>1.54</v>
      </c>
      <c r="E73" s="394">
        <v>1.6</v>
      </c>
      <c r="F73" s="394">
        <v>29</v>
      </c>
      <c r="G73" s="394">
        <v>8</v>
      </c>
      <c r="H73" s="394">
        <f t="shared" si="40"/>
        <v>38.6</v>
      </c>
    </row>
    <row r="74" spans="2:8" x14ac:dyDescent="0.25">
      <c r="B74" s="394"/>
      <c r="C74" s="889" t="s">
        <v>282</v>
      </c>
      <c r="D74" s="890">
        <v>1.4</v>
      </c>
      <c r="E74" s="394">
        <v>1.8</v>
      </c>
      <c r="F74" s="394">
        <v>26</v>
      </c>
      <c r="G74" s="394">
        <v>6</v>
      </c>
      <c r="H74" s="394">
        <f t="shared" si="40"/>
        <v>33.799999999999997</v>
      </c>
    </row>
    <row r="75" spans="2:8" x14ac:dyDescent="0.25">
      <c r="B75" s="394"/>
      <c r="C75" s="889" t="s">
        <v>283</v>
      </c>
      <c r="D75" s="394">
        <v>0.96</v>
      </c>
      <c r="E75" s="394">
        <v>1.4</v>
      </c>
      <c r="F75" s="394">
        <v>20</v>
      </c>
      <c r="G75" s="394">
        <v>4</v>
      </c>
      <c r="H75" s="394">
        <f t="shared" si="40"/>
        <v>25.4</v>
      </c>
    </row>
    <row r="76" spans="2:8" x14ac:dyDescent="0.25">
      <c r="B76" s="394"/>
      <c r="C76" s="889" t="s">
        <v>284</v>
      </c>
      <c r="D76" s="394">
        <v>0.73</v>
      </c>
      <c r="E76" s="394">
        <v>0.9</v>
      </c>
      <c r="F76" s="394">
        <v>11</v>
      </c>
      <c r="G76" s="394">
        <v>1</v>
      </c>
      <c r="H76" s="394">
        <f t="shared" si="40"/>
        <v>12.9</v>
      </c>
    </row>
    <row r="77" spans="2:8" x14ac:dyDescent="0.25">
      <c r="B77" s="891"/>
      <c r="C77" s="892" t="s">
        <v>285</v>
      </c>
      <c r="D77" s="891">
        <v>1.35</v>
      </c>
      <c r="E77" s="891">
        <v>1.4</v>
      </c>
      <c r="F77" s="891">
        <v>22</v>
      </c>
      <c r="G77" s="891">
        <v>6</v>
      </c>
      <c r="H77" s="891">
        <f t="shared" si="40"/>
        <v>29.4</v>
      </c>
    </row>
    <row r="78" spans="2:8" x14ac:dyDescent="0.25">
      <c r="B78" s="881" t="s">
        <v>287</v>
      </c>
      <c r="C78" s="895" t="s">
        <v>288</v>
      </c>
      <c r="D78" s="890">
        <v>0</v>
      </c>
      <c r="E78" s="806">
        <v>0</v>
      </c>
      <c r="F78" s="896">
        <v>0</v>
      </c>
      <c r="G78" s="896">
        <v>0</v>
      </c>
      <c r="H78" s="806">
        <f t="shared" si="40"/>
        <v>0</v>
      </c>
    </row>
    <row r="79" spans="2:8" x14ac:dyDescent="0.25">
      <c r="B79" s="881" t="s">
        <v>289</v>
      </c>
      <c r="C79" s="895" t="s">
        <v>290</v>
      </c>
      <c r="D79" s="890">
        <f>(D60+D69)/2</f>
        <v>1.425</v>
      </c>
      <c r="E79" s="806">
        <f>(E60+E69)/2</f>
        <v>1.1000000000000001</v>
      </c>
      <c r="F79" s="896">
        <f t="shared" ref="F79:G79" si="41">(F60+F69)/2</f>
        <v>17</v>
      </c>
      <c r="G79" s="896">
        <f t="shared" si="41"/>
        <v>4.5</v>
      </c>
      <c r="H79" s="806">
        <f t="shared" si="40"/>
        <v>22.6</v>
      </c>
    </row>
    <row r="80" spans="2:8" x14ac:dyDescent="0.25">
      <c r="B80" s="881"/>
      <c r="C80" s="895" t="s">
        <v>291</v>
      </c>
      <c r="D80" s="890">
        <f>(D61+D70)/2</f>
        <v>1.355</v>
      </c>
      <c r="E80" s="806">
        <f t="shared" ref="E80:G80" si="42">(E61+E70)/2</f>
        <v>1.2000000000000002</v>
      </c>
      <c r="F80" s="896">
        <f t="shared" si="42"/>
        <v>13.5</v>
      </c>
      <c r="G80" s="896">
        <f t="shared" si="42"/>
        <v>13.5</v>
      </c>
      <c r="H80" s="806">
        <f t="shared" si="40"/>
        <v>28.2</v>
      </c>
    </row>
    <row r="81" spans="2:8" x14ac:dyDescent="0.25">
      <c r="B81" s="881"/>
      <c r="C81" s="895" t="s">
        <v>292</v>
      </c>
      <c r="D81" s="890">
        <f>(D62+D63+D71+D72)/4</f>
        <v>1.5125</v>
      </c>
      <c r="E81" s="806">
        <f t="shared" ref="E81:G81" si="43">(E62+E63+E71+E72)/4</f>
        <v>1.35</v>
      </c>
      <c r="F81" s="896">
        <f t="shared" si="43"/>
        <v>28</v>
      </c>
      <c r="G81" s="896">
        <f t="shared" si="43"/>
        <v>5.75</v>
      </c>
      <c r="H81" s="806">
        <f t="shared" si="40"/>
        <v>35.1</v>
      </c>
    </row>
    <row r="82" spans="2:8" x14ac:dyDescent="0.25">
      <c r="B82" s="881"/>
      <c r="C82" s="895" t="s">
        <v>293</v>
      </c>
      <c r="D82" s="890">
        <f>(D64+D65+D73+D74)/4</f>
        <v>1.4424999999999999</v>
      </c>
      <c r="E82" s="806">
        <f t="shared" ref="E82:G82" si="44">(E64+E65+E73+E74)/4</f>
        <v>1.675</v>
      </c>
      <c r="F82" s="896">
        <f t="shared" si="44"/>
        <v>31.5</v>
      </c>
      <c r="G82" s="896">
        <f t="shared" si="44"/>
        <v>5.5</v>
      </c>
      <c r="H82" s="806">
        <f t="shared" si="40"/>
        <v>38.674999999999997</v>
      </c>
    </row>
    <row r="83" spans="2:8" x14ac:dyDescent="0.25">
      <c r="B83" s="881"/>
      <c r="C83" s="895" t="s">
        <v>294</v>
      </c>
      <c r="D83" s="890">
        <f>(D66+D67+D75+D76)/4</f>
        <v>0.91</v>
      </c>
      <c r="E83" s="806">
        <f t="shared" ref="E83:G83" si="45">(E66+E67+E75+E76)/4</f>
        <v>1.25</v>
      </c>
      <c r="F83" s="896">
        <f t="shared" si="45"/>
        <v>19.75</v>
      </c>
      <c r="G83" s="896">
        <f t="shared" si="45"/>
        <v>2.25</v>
      </c>
      <c r="H83" s="806">
        <f t="shared" si="40"/>
        <v>23.25</v>
      </c>
    </row>
    <row r="84" spans="2:8" x14ac:dyDescent="0.25">
      <c r="B84" s="881"/>
      <c r="C84" s="895" t="s">
        <v>295</v>
      </c>
      <c r="D84" s="890">
        <f>(D67+D76)/2</f>
        <v>0.8</v>
      </c>
      <c r="E84" s="806">
        <f t="shared" ref="E84:G85" si="46">(E67+E76)/2</f>
        <v>1</v>
      </c>
      <c r="F84" s="896">
        <f t="shared" si="46"/>
        <v>17.5</v>
      </c>
      <c r="G84" s="896">
        <f t="shared" si="46"/>
        <v>1.5</v>
      </c>
      <c r="H84" s="806">
        <f t="shared" si="40"/>
        <v>20</v>
      </c>
    </row>
    <row r="85" spans="2:8" x14ac:dyDescent="0.25">
      <c r="B85" s="394"/>
      <c r="C85" s="897" t="s">
        <v>285</v>
      </c>
      <c r="D85" s="394">
        <f>(D68+D77)/2</f>
        <v>1.35</v>
      </c>
      <c r="E85" s="394">
        <f t="shared" si="46"/>
        <v>1.4</v>
      </c>
      <c r="F85" s="896">
        <f>(F68+F77)/2</f>
        <v>24.5</v>
      </c>
      <c r="G85" s="896">
        <f t="shared" si="46"/>
        <v>6</v>
      </c>
      <c r="H85" s="806">
        <f t="shared" si="40"/>
        <v>31.9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2:BC186"/>
  <sheetViews>
    <sheetView view="pageBreakPreview" topLeftCell="A53" zoomScale="60" zoomScaleNormal="75" workbookViewId="0">
      <selection activeCell="G81" sqref="G81"/>
    </sheetView>
  </sheetViews>
  <sheetFormatPr defaultColWidth="9.28515625" defaultRowHeight="15" x14ac:dyDescent="0.25"/>
  <cols>
    <col min="1" max="1" width="9.28515625" customWidth="1"/>
    <col min="2" max="2" width="30.7109375" customWidth="1"/>
    <col min="3" max="3" width="14.42578125" bestFit="1" customWidth="1"/>
    <col min="4" max="19" width="9.7109375" customWidth="1"/>
    <col min="20" max="20" width="10.5703125" customWidth="1"/>
    <col min="21" max="21" width="21.28515625" customWidth="1"/>
    <col min="22" max="22" width="10.5703125" customWidth="1"/>
    <col min="23" max="37" width="9.28515625" bestFit="1" customWidth="1"/>
    <col min="38" max="38" width="9.28515625" customWidth="1"/>
  </cols>
  <sheetData>
    <row r="2" spans="1:55" x14ac:dyDescent="0.25">
      <c r="B2" s="481" t="s">
        <v>296</v>
      </c>
      <c r="V2" s="106" t="s">
        <v>297</v>
      </c>
      <c r="X2" s="113"/>
      <c r="Y2" s="113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55" x14ac:dyDescent="0.25">
      <c r="B3" s="481"/>
      <c r="V3" s="106" t="s">
        <v>298</v>
      </c>
      <c r="X3" s="113"/>
      <c r="Y3" s="113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55" x14ac:dyDescent="0.25">
      <c r="B4" s="481"/>
      <c r="V4" s="3" t="s">
        <v>299</v>
      </c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55" x14ac:dyDescent="0.25">
      <c r="V5" s="299"/>
      <c r="W5" s="121" t="str">
        <f t="shared" ref="W5:AK5" si="0">W9</f>
        <v>Z01</v>
      </c>
      <c r="X5" s="121" t="str">
        <f t="shared" si="0"/>
        <v>Z02</v>
      </c>
      <c r="Y5" s="121" t="str">
        <f t="shared" si="0"/>
        <v>Z03</v>
      </c>
      <c r="Z5" s="121" t="str">
        <f t="shared" si="0"/>
        <v>Z04</v>
      </c>
      <c r="AA5" s="121" t="str">
        <f t="shared" si="0"/>
        <v>Z05</v>
      </c>
      <c r="AB5" s="121" t="str">
        <f t="shared" si="0"/>
        <v>Z06</v>
      </c>
      <c r="AC5" s="121" t="str">
        <f t="shared" si="0"/>
        <v>Z07</v>
      </c>
      <c r="AD5" s="121" t="str">
        <f t="shared" si="0"/>
        <v>Z08</v>
      </c>
      <c r="AE5" s="121" t="str">
        <f t="shared" si="0"/>
        <v>Z09</v>
      </c>
      <c r="AF5" s="121" t="str">
        <f t="shared" si="0"/>
        <v>Z10</v>
      </c>
      <c r="AG5" s="121" t="str">
        <f t="shared" si="0"/>
        <v>Z11</v>
      </c>
      <c r="AH5" s="121" t="str">
        <f t="shared" si="0"/>
        <v>Z12</v>
      </c>
      <c r="AI5" s="121" t="str">
        <f t="shared" si="0"/>
        <v>Z13</v>
      </c>
      <c r="AJ5" s="121" t="str">
        <f t="shared" si="0"/>
        <v>Z14</v>
      </c>
      <c r="AK5" s="121" t="str">
        <f t="shared" si="0"/>
        <v>Z15</v>
      </c>
      <c r="AL5" s="121" t="s">
        <v>100</v>
      </c>
    </row>
    <row r="6" spans="1:55" x14ac:dyDescent="0.25">
      <c r="C6" s="3"/>
      <c r="V6" s="299" t="s">
        <v>101</v>
      </c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591">
        <f>SUM(W6:AK6)</f>
        <v>0</v>
      </c>
    </row>
    <row r="7" spans="1:55" x14ac:dyDescent="0.25">
      <c r="U7" s="167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442"/>
    </row>
    <row r="8" spans="1:55" x14ac:dyDescent="0.25">
      <c r="B8" s="476" t="s">
        <v>300</v>
      </c>
      <c r="C8" s="339"/>
      <c r="D8" s="3"/>
      <c r="U8" s="99"/>
      <c r="W8" s="3" t="s">
        <v>299</v>
      </c>
    </row>
    <row r="9" spans="1:55" x14ac:dyDescent="0.25">
      <c r="B9" s="476" t="s">
        <v>103</v>
      </c>
      <c r="C9" s="264" t="s">
        <v>104</v>
      </c>
      <c r="D9" s="121" t="str">
        <f>INFO!C10</f>
        <v>Z01</v>
      </c>
      <c r="E9" s="121" t="str">
        <f>INFO!D10</f>
        <v>Z02</v>
      </c>
      <c r="F9" s="121" t="str">
        <f>INFO!E10</f>
        <v>Z03</v>
      </c>
      <c r="G9" s="121" t="str">
        <f>INFO!F10</f>
        <v>Z04</v>
      </c>
      <c r="H9" s="121" t="str">
        <f>INFO!G10</f>
        <v>Z05</v>
      </c>
      <c r="I9" s="121" t="str">
        <f>INFO!H10</f>
        <v>Z06</v>
      </c>
      <c r="J9" s="121" t="str">
        <f>INFO!I10</f>
        <v>Z07</v>
      </c>
      <c r="K9" s="121" t="str">
        <f>INFO!J10</f>
        <v>Z08</v>
      </c>
      <c r="L9" s="121" t="str">
        <f>INFO!K10</f>
        <v>Z09</v>
      </c>
      <c r="M9" s="121" t="str">
        <f>INFO!L10</f>
        <v>Z10</v>
      </c>
      <c r="N9" s="121" t="str">
        <f>INFO!M10</f>
        <v>Z11</v>
      </c>
      <c r="O9" s="121" t="str">
        <f>INFO!N10</f>
        <v>Z12</v>
      </c>
      <c r="P9" s="121" t="str">
        <f>INFO!O10</f>
        <v>Z13</v>
      </c>
      <c r="Q9" s="121" t="str">
        <f>INFO!P10</f>
        <v>Z14</v>
      </c>
      <c r="R9" s="121" t="str">
        <f>INFO!Q10</f>
        <v>Z15</v>
      </c>
      <c r="S9" s="121" t="s">
        <v>100</v>
      </c>
      <c r="U9" s="17" t="s">
        <v>301</v>
      </c>
      <c r="W9" s="121" t="str">
        <f t="shared" ref="W9:AK9" si="1">D9</f>
        <v>Z01</v>
      </c>
      <c r="X9" s="121" t="str">
        <f t="shared" si="1"/>
        <v>Z02</v>
      </c>
      <c r="Y9" s="121" t="str">
        <f t="shared" si="1"/>
        <v>Z03</v>
      </c>
      <c r="Z9" s="121" t="str">
        <f t="shared" si="1"/>
        <v>Z04</v>
      </c>
      <c r="AA9" s="121" t="str">
        <f t="shared" si="1"/>
        <v>Z05</v>
      </c>
      <c r="AB9" s="121" t="str">
        <f t="shared" si="1"/>
        <v>Z06</v>
      </c>
      <c r="AC9" s="121" t="str">
        <f t="shared" si="1"/>
        <v>Z07</v>
      </c>
      <c r="AD9" s="121" t="str">
        <f t="shared" si="1"/>
        <v>Z08</v>
      </c>
      <c r="AE9" s="121" t="str">
        <f t="shared" si="1"/>
        <v>Z09</v>
      </c>
      <c r="AF9" s="121" t="str">
        <f t="shared" si="1"/>
        <v>Z10</v>
      </c>
      <c r="AG9" s="121" t="str">
        <f t="shared" si="1"/>
        <v>Z11</v>
      </c>
      <c r="AH9" s="121" t="str">
        <f t="shared" si="1"/>
        <v>Z12</v>
      </c>
      <c r="AI9" s="121" t="str">
        <f t="shared" si="1"/>
        <v>Z13</v>
      </c>
      <c r="AJ9" s="121" t="str">
        <f t="shared" si="1"/>
        <v>Z14</v>
      </c>
      <c r="AK9" s="121" t="str">
        <f t="shared" si="1"/>
        <v>Z15</v>
      </c>
      <c r="AL9" s="121" t="s">
        <v>100</v>
      </c>
    </row>
    <row r="10" spans="1:55" x14ac:dyDescent="0.25">
      <c r="A10" s="133"/>
      <c r="B10" s="245" t="str">
        <f>'T_Stock_TOTAL_&amp;_City'!B10</f>
        <v>Biodiesel</v>
      </c>
      <c r="C10" s="245"/>
      <c r="D10" s="680">
        <f>$U10*W10</f>
        <v>0</v>
      </c>
      <c r="E10" s="680">
        <f t="shared" ref="E10:E21" si="2">$U10*X10</f>
        <v>0</v>
      </c>
      <c r="F10" s="680">
        <f t="shared" ref="F10:F21" si="3">$U10*Y10</f>
        <v>0</v>
      </c>
      <c r="G10" s="680">
        <f t="shared" ref="G10:G21" si="4">$U10*Z10</f>
        <v>0</v>
      </c>
      <c r="H10" s="680">
        <f t="shared" ref="H10:H21" si="5">$U10*AA10</f>
        <v>0</v>
      </c>
      <c r="I10" s="680">
        <f t="shared" ref="I10:I21" si="6">$U10*AB10</f>
        <v>0</v>
      </c>
      <c r="J10" s="680">
        <f t="shared" ref="J10:J21" si="7">$U10*AC10</f>
        <v>0</v>
      </c>
      <c r="K10" s="680">
        <f t="shared" ref="K10:K21" si="8">$U10*AD10</f>
        <v>0</v>
      </c>
      <c r="L10" s="680">
        <f t="shared" ref="L10:L21" si="9">$U10*AE10</f>
        <v>0</v>
      </c>
      <c r="M10" s="680">
        <f t="shared" ref="M10:M21" si="10">$U10*AF10</f>
        <v>0</v>
      </c>
      <c r="N10" s="680">
        <f t="shared" ref="N10:N21" si="11">$U10*AG10</f>
        <v>0</v>
      </c>
      <c r="O10" s="680">
        <f t="shared" ref="O10:O21" si="12">$U10*AH10</f>
        <v>0</v>
      </c>
      <c r="P10" s="680">
        <f t="shared" ref="P10:P21" si="13">$U10*AI10</f>
        <v>0</v>
      </c>
      <c r="Q10" s="680">
        <f t="shared" ref="Q10:Q21" si="14">$U10*AJ10</f>
        <v>0</v>
      </c>
      <c r="R10" s="680">
        <f t="shared" ref="R10:R21" si="15">$U10*AK10</f>
        <v>0</v>
      </c>
      <c r="S10" s="680">
        <f t="shared" ref="S10" si="16">SUM(D10:R10)</f>
        <v>0</v>
      </c>
      <c r="U10" s="311">
        <f>'T_Stock_TOTAL_&amp;_City'!U10-'T_Stock_TOTAL_&amp;_City'!V10</f>
        <v>0</v>
      </c>
      <c r="W10" s="909">
        <f>W$6</f>
        <v>0</v>
      </c>
      <c r="X10" s="909">
        <f t="shared" ref="X10:AK21" si="17">X$6</f>
        <v>0</v>
      </c>
      <c r="Y10" s="909">
        <f t="shared" si="17"/>
        <v>0</v>
      </c>
      <c r="Z10" s="909">
        <f t="shared" si="17"/>
        <v>0</v>
      </c>
      <c r="AA10" s="909">
        <f t="shared" si="17"/>
        <v>0</v>
      </c>
      <c r="AB10" s="909">
        <f t="shared" si="17"/>
        <v>0</v>
      </c>
      <c r="AC10" s="909">
        <f t="shared" si="17"/>
        <v>0</v>
      </c>
      <c r="AD10" s="909">
        <f t="shared" si="17"/>
        <v>0</v>
      </c>
      <c r="AE10" s="909">
        <f t="shared" si="17"/>
        <v>0</v>
      </c>
      <c r="AF10" s="909">
        <f t="shared" si="17"/>
        <v>0</v>
      </c>
      <c r="AG10" s="909">
        <f t="shared" si="17"/>
        <v>0</v>
      </c>
      <c r="AH10" s="909">
        <f t="shared" si="17"/>
        <v>0</v>
      </c>
      <c r="AI10" s="909">
        <f t="shared" si="17"/>
        <v>0</v>
      </c>
      <c r="AJ10" s="909">
        <f t="shared" si="17"/>
        <v>0</v>
      </c>
      <c r="AK10" s="909">
        <f t="shared" si="17"/>
        <v>0</v>
      </c>
      <c r="AL10" s="532">
        <f t="shared" ref="AL10:AL21" si="18">SUM(W10:AK10)</f>
        <v>0</v>
      </c>
      <c r="BC10" t="s">
        <v>100</v>
      </c>
    </row>
    <row r="11" spans="1:55" x14ac:dyDescent="0.25">
      <c r="A11" s="133"/>
      <c r="B11" s="245" t="str">
        <f>'T_Stock_TOTAL_&amp;_City'!B11</f>
        <v>Diesel</v>
      </c>
      <c r="C11" s="245" t="s">
        <v>302</v>
      </c>
      <c r="D11" s="680">
        <v>250635</v>
      </c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680">
        <f t="shared" ref="S11:S20" si="19">SUM(D11:R11)</f>
        <v>250635</v>
      </c>
      <c r="U11" s="311">
        <f>'T_Stock_TOTAL_&amp;_City'!U11-'T_Stock_TOTAL_&amp;_City'!V11</f>
        <v>0</v>
      </c>
      <c r="W11" s="909">
        <f t="shared" ref="W11:W21" si="20">W$6</f>
        <v>0</v>
      </c>
      <c r="X11" s="909">
        <f t="shared" si="17"/>
        <v>0</v>
      </c>
      <c r="Y11" s="909">
        <f t="shared" si="17"/>
        <v>0</v>
      </c>
      <c r="Z11" s="909">
        <f t="shared" si="17"/>
        <v>0</v>
      </c>
      <c r="AA11" s="909">
        <f t="shared" si="17"/>
        <v>0</v>
      </c>
      <c r="AB11" s="909">
        <f t="shared" si="17"/>
        <v>0</v>
      </c>
      <c r="AC11" s="909">
        <f t="shared" si="17"/>
        <v>0</v>
      </c>
      <c r="AD11" s="909">
        <f t="shared" si="17"/>
        <v>0</v>
      </c>
      <c r="AE11" s="909">
        <f t="shared" si="17"/>
        <v>0</v>
      </c>
      <c r="AF11" s="909">
        <f t="shared" si="17"/>
        <v>0</v>
      </c>
      <c r="AG11" s="909">
        <f t="shared" si="17"/>
        <v>0</v>
      </c>
      <c r="AH11" s="909">
        <f t="shared" si="17"/>
        <v>0</v>
      </c>
      <c r="AI11" s="909">
        <f t="shared" si="17"/>
        <v>0</v>
      </c>
      <c r="AJ11" s="909">
        <f t="shared" si="17"/>
        <v>0</v>
      </c>
      <c r="AK11" s="909">
        <f t="shared" si="17"/>
        <v>0</v>
      </c>
      <c r="AL11" s="532">
        <f t="shared" si="18"/>
        <v>0</v>
      </c>
      <c r="AN11" s="798">
        <v>1248</v>
      </c>
      <c r="AO11" s="798">
        <v>467</v>
      </c>
      <c r="AP11" s="798">
        <v>978</v>
      </c>
      <c r="AQ11" s="798">
        <v>1178</v>
      </c>
      <c r="AR11" s="798">
        <v>919</v>
      </c>
      <c r="AS11" s="798">
        <v>765</v>
      </c>
      <c r="AT11" s="798">
        <v>1189</v>
      </c>
      <c r="AU11" s="798">
        <v>559</v>
      </c>
      <c r="AV11" s="798">
        <v>453</v>
      </c>
      <c r="AW11" s="798">
        <v>1385</v>
      </c>
      <c r="AX11" s="798">
        <v>1448</v>
      </c>
      <c r="AY11" s="798">
        <v>486</v>
      </c>
      <c r="AZ11" s="798">
        <v>15130</v>
      </c>
      <c r="BA11" s="798">
        <v>2213</v>
      </c>
      <c r="BB11" s="798">
        <v>10906</v>
      </c>
      <c r="BC11" s="15">
        <f>SUM(AN11:BB11)</f>
        <v>39324</v>
      </c>
    </row>
    <row r="12" spans="1:55" x14ac:dyDescent="0.25">
      <c r="A12" s="133"/>
      <c r="B12" s="245" t="str">
        <f>'T_Stock_TOTAL_&amp;_City'!B12</f>
        <v>Battery electric (BEV)</v>
      </c>
      <c r="C12" s="245" t="s">
        <v>303</v>
      </c>
      <c r="D12" s="680">
        <v>10285</v>
      </c>
      <c r="E12" s="798"/>
      <c r="F12" s="798"/>
      <c r="G12" s="798"/>
      <c r="H12" s="798"/>
      <c r="I12" s="798"/>
      <c r="J12" s="798"/>
      <c r="K12" s="798"/>
      <c r="L12" s="798"/>
      <c r="M12" s="798"/>
      <c r="N12" s="798"/>
      <c r="O12" s="798"/>
      <c r="P12" s="798"/>
      <c r="Q12" s="798"/>
      <c r="R12" s="798"/>
      <c r="S12" s="680">
        <f t="shared" si="19"/>
        <v>10285</v>
      </c>
      <c r="U12" s="311">
        <f>'T_Stock_TOTAL_&amp;_City'!U12-'T_Stock_TOTAL_&amp;_City'!V12</f>
        <v>0</v>
      </c>
      <c r="W12" s="909">
        <f t="shared" si="20"/>
        <v>0</v>
      </c>
      <c r="X12" s="909">
        <f t="shared" si="17"/>
        <v>0</v>
      </c>
      <c r="Y12" s="909">
        <f t="shared" si="17"/>
        <v>0</v>
      </c>
      <c r="Z12" s="909">
        <f t="shared" si="17"/>
        <v>0</v>
      </c>
      <c r="AA12" s="909">
        <f t="shared" si="17"/>
        <v>0</v>
      </c>
      <c r="AB12" s="909">
        <f t="shared" si="17"/>
        <v>0</v>
      </c>
      <c r="AC12" s="909">
        <f t="shared" si="17"/>
        <v>0</v>
      </c>
      <c r="AD12" s="909">
        <f t="shared" si="17"/>
        <v>0</v>
      </c>
      <c r="AE12" s="909">
        <f t="shared" si="17"/>
        <v>0</v>
      </c>
      <c r="AF12" s="909">
        <f t="shared" si="17"/>
        <v>0</v>
      </c>
      <c r="AG12" s="909">
        <f t="shared" si="17"/>
        <v>0</v>
      </c>
      <c r="AH12" s="909">
        <f t="shared" si="17"/>
        <v>0</v>
      </c>
      <c r="AI12" s="909">
        <f t="shared" si="17"/>
        <v>0</v>
      </c>
      <c r="AJ12" s="909">
        <f t="shared" si="17"/>
        <v>0</v>
      </c>
      <c r="AK12" s="909">
        <f t="shared" si="17"/>
        <v>0</v>
      </c>
      <c r="AL12" s="532">
        <f t="shared" si="18"/>
        <v>0</v>
      </c>
      <c r="AN12" s="798">
        <v>0</v>
      </c>
      <c r="AO12" s="798">
        <v>0</v>
      </c>
      <c r="AP12" s="798">
        <v>1</v>
      </c>
      <c r="AQ12" s="798">
        <v>1</v>
      </c>
      <c r="AR12" s="798">
        <v>0</v>
      </c>
      <c r="AS12" s="798">
        <v>0</v>
      </c>
      <c r="AT12" s="798">
        <v>0</v>
      </c>
      <c r="AU12" s="798">
        <v>0</v>
      </c>
      <c r="AV12" s="798">
        <v>0</v>
      </c>
      <c r="AW12" s="798">
        <v>4</v>
      </c>
      <c r="AX12" s="798">
        <v>1</v>
      </c>
      <c r="AY12" s="798">
        <v>0</v>
      </c>
      <c r="AZ12" s="798">
        <v>36</v>
      </c>
      <c r="BA12" s="798">
        <v>1</v>
      </c>
      <c r="BB12" s="798">
        <v>23</v>
      </c>
      <c r="BC12" s="15">
        <f t="shared" ref="BC12:BC20" si="21">SUM(AN12:BB12)</f>
        <v>67</v>
      </c>
    </row>
    <row r="13" spans="1:55" x14ac:dyDescent="0.25">
      <c r="A13" s="133"/>
      <c r="B13" s="245" t="str">
        <f>'T_Stock_TOTAL_&amp;_City'!B13</f>
        <v>Ethanol</v>
      </c>
      <c r="C13" s="245" t="s">
        <v>304</v>
      </c>
      <c r="D13" s="680">
        <v>33839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8"/>
      <c r="Q13" s="798"/>
      <c r="R13" s="798"/>
      <c r="S13" s="680">
        <f t="shared" si="19"/>
        <v>33839</v>
      </c>
      <c r="U13" s="311">
        <f>'T_Stock_TOTAL_&amp;_City'!U13-'T_Stock_TOTAL_&amp;_City'!V13</f>
        <v>0</v>
      </c>
      <c r="W13" s="909">
        <f t="shared" si="20"/>
        <v>0</v>
      </c>
      <c r="X13" s="909">
        <f t="shared" si="17"/>
        <v>0</v>
      </c>
      <c r="Y13" s="909">
        <f t="shared" si="17"/>
        <v>0</v>
      </c>
      <c r="Z13" s="909">
        <f t="shared" si="17"/>
        <v>0</v>
      </c>
      <c r="AA13" s="909">
        <f t="shared" si="17"/>
        <v>0</v>
      </c>
      <c r="AB13" s="909">
        <f t="shared" si="17"/>
        <v>0</v>
      </c>
      <c r="AC13" s="909">
        <f t="shared" si="17"/>
        <v>0</v>
      </c>
      <c r="AD13" s="909">
        <f t="shared" si="17"/>
        <v>0</v>
      </c>
      <c r="AE13" s="909">
        <f t="shared" si="17"/>
        <v>0</v>
      </c>
      <c r="AF13" s="909">
        <f t="shared" si="17"/>
        <v>0</v>
      </c>
      <c r="AG13" s="909">
        <f t="shared" si="17"/>
        <v>0</v>
      </c>
      <c r="AH13" s="909">
        <f t="shared" si="17"/>
        <v>0</v>
      </c>
      <c r="AI13" s="909">
        <f t="shared" si="17"/>
        <v>0</v>
      </c>
      <c r="AJ13" s="909">
        <f t="shared" si="17"/>
        <v>0</v>
      </c>
      <c r="AK13" s="909">
        <f t="shared" si="17"/>
        <v>0</v>
      </c>
      <c r="AL13" s="532">
        <f t="shared" si="18"/>
        <v>0</v>
      </c>
      <c r="AN13" s="798">
        <v>153</v>
      </c>
      <c r="AO13" s="798">
        <v>45</v>
      </c>
      <c r="AP13" s="798">
        <v>82</v>
      </c>
      <c r="AQ13" s="798">
        <v>151</v>
      </c>
      <c r="AR13" s="798">
        <v>56</v>
      </c>
      <c r="AS13" s="798">
        <v>39</v>
      </c>
      <c r="AT13" s="798">
        <v>99</v>
      </c>
      <c r="AU13" s="798">
        <v>27</v>
      </c>
      <c r="AV13" s="798">
        <v>21</v>
      </c>
      <c r="AW13" s="798">
        <v>184</v>
      </c>
      <c r="AX13" s="798">
        <v>85</v>
      </c>
      <c r="AY13" s="798">
        <v>46</v>
      </c>
      <c r="AZ13" s="798">
        <v>3204</v>
      </c>
      <c r="BA13" s="798">
        <v>310</v>
      </c>
      <c r="BB13" s="798">
        <v>1597</v>
      </c>
      <c r="BC13" s="15">
        <f t="shared" si="21"/>
        <v>6099</v>
      </c>
    </row>
    <row r="14" spans="1:55" x14ac:dyDescent="0.25">
      <c r="A14" s="133"/>
      <c r="B14" s="245" t="str">
        <f>'T_Stock_TOTAL_&amp;_City'!B14</f>
        <v>Gas (CNG)</v>
      </c>
      <c r="C14" s="245" t="s">
        <v>305</v>
      </c>
      <c r="D14" s="680">
        <v>10563</v>
      </c>
      <c r="E14" s="798"/>
      <c r="F14" s="798"/>
      <c r="G14" s="798"/>
      <c r="H14" s="798"/>
      <c r="I14" s="798"/>
      <c r="J14" s="798"/>
      <c r="K14" s="798"/>
      <c r="L14" s="798"/>
      <c r="M14" s="798"/>
      <c r="N14" s="798"/>
      <c r="O14" s="798"/>
      <c r="P14" s="798"/>
      <c r="Q14" s="798"/>
      <c r="R14" s="798"/>
      <c r="S14" s="680">
        <f t="shared" si="19"/>
        <v>10563</v>
      </c>
      <c r="U14" s="311">
        <f>'T_Stock_TOTAL_&amp;_City'!U14-'T_Stock_TOTAL_&amp;_City'!V14</f>
        <v>0</v>
      </c>
      <c r="W14" s="909">
        <f t="shared" si="20"/>
        <v>0</v>
      </c>
      <c r="X14" s="909">
        <f t="shared" si="17"/>
        <v>0</v>
      </c>
      <c r="Y14" s="909">
        <f t="shared" si="17"/>
        <v>0</v>
      </c>
      <c r="Z14" s="909">
        <f t="shared" si="17"/>
        <v>0</v>
      </c>
      <c r="AA14" s="909">
        <f t="shared" si="17"/>
        <v>0</v>
      </c>
      <c r="AB14" s="909">
        <f t="shared" si="17"/>
        <v>0</v>
      </c>
      <c r="AC14" s="909">
        <f t="shared" si="17"/>
        <v>0</v>
      </c>
      <c r="AD14" s="909">
        <f t="shared" si="17"/>
        <v>0</v>
      </c>
      <c r="AE14" s="909">
        <f t="shared" si="17"/>
        <v>0</v>
      </c>
      <c r="AF14" s="909">
        <f t="shared" si="17"/>
        <v>0</v>
      </c>
      <c r="AG14" s="909">
        <f t="shared" si="17"/>
        <v>0</v>
      </c>
      <c r="AH14" s="909">
        <f t="shared" si="17"/>
        <v>0</v>
      </c>
      <c r="AI14" s="909">
        <f t="shared" si="17"/>
        <v>0</v>
      </c>
      <c r="AJ14" s="909">
        <f t="shared" si="17"/>
        <v>0</v>
      </c>
      <c r="AK14" s="909">
        <f t="shared" si="17"/>
        <v>0</v>
      </c>
      <c r="AL14" s="532">
        <f t="shared" si="18"/>
        <v>0</v>
      </c>
      <c r="AN14" s="798">
        <v>3</v>
      </c>
      <c r="AO14" s="798">
        <v>1</v>
      </c>
      <c r="AP14" s="798">
        <v>0</v>
      </c>
      <c r="AQ14" s="798">
        <v>1</v>
      </c>
      <c r="AR14" s="798">
        <v>1</v>
      </c>
      <c r="AS14" s="798">
        <v>0</v>
      </c>
      <c r="AT14" s="798">
        <v>1</v>
      </c>
      <c r="AU14" s="798">
        <v>0</v>
      </c>
      <c r="AV14" s="798">
        <v>0</v>
      </c>
      <c r="AW14" s="798">
        <v>2</v>
      </c>
      <c r="AX14" s="798">
        <v>1</v>
      </c>
      <c r="AY14" s="798">
        <v>0</v>
      </c>
      <c r="AZ14" s="798">
        <v>57</v>
      </c>
      <c r="BA14" s="798">
        <v>2</v>
      </c>
      <c r="BB14" s="798">
        <v>314</v>
      </c>
      <c r="BC14" s="15">
        <f t="shared" si="21"/>
        <v>383</v>
      </c>
    </row>
    <row r="15" spans="1:55" x14ac:dyDescent="0.25">
      <c r="A15" s="133"/>
      <c r="B15" s="245" t="str">
        <f>'T_Stock_TOTAL_&amp;_City'!B15</f>
        <v>Gasoline</v>
      </c>
      <c r="C15" s="245" t="s">
        <v>306</v>
      </c>
      <c r="D15" s="680">
        <v>357404</v>
      </c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680">
        <f t="shared" si="19"/>
        <v>357404</v>
      </c>
      <c r="U15" s="311">
        <f>'T_Stock_TOTAL_&amp;_City'!U15-'T_Stock_TOTAL_&amp;_City'!V15</f>
        <v>0</v>
      </c>
      <c r="W15" s="909">
        <f t="shared" si="20"/>
        <v>0</v>
      </c>
      <c r="X15" s="909">
        <f t="shared" si="17"/>
        <v>0</v>
      </c>
      <c r="Y15" s="909">
        <f t="shared" si="17"/>
        <v>0</v>
      </c>
      <c r="Z15" s="909">
        <f t="shared" si="17"/>
        <v>0</v>
      </c>
      <c r="AA15" s="909">
        <f t="shared" si="17"/>
        <v>0</v>
      </c>
      <c r="AB15" s="909">
        <f t="shared" si="17"/>
        <v>0</v>
      </c>
      <c r="AC15" s="909">
        <f t="shared" si="17"/>
        <v>0</v>
      </c>
      <c r="AD15" s="909">
        <f t="shared" si="17"/>
        <v>0</v>
      </c>
      <c r="AE15" s="909">
        <f t="shared" si="17"/>
        <v>0</v>
      </c>
      <c r="AF15" s="909">
        <f t="shared" si="17"/>
        <v>0</v>
      </c>
      <c r="AG15" s="909">
        <f t="shared" si="17"/>
        <v>0</v>
      </c>
      <c r="AH15" s="909">
        <f t="shared" si="17"/>
        <v>0</v>
      </c>
      <c r="AI15" s="909">
        <f t="shared" si="17"/>
        <v>0</v>
      </c>
      <c r="AJ15" s="909">
        <f t="shared" si="17"/>
        <v>0</v>
      </c>
      <c r="AK15" s="909">
        <f t="shared" si="17"/>
        <v>0</v>
      </c>
      <c r="AL15" s="532">
        <f t="shared" si="18"/>
        <v>0</v>
      </c>
      <c r="AN15" s="798">
        <v>2562</v>
      </c>
      <c r="AO15" s="798">
        <v>929</v>
      </c>
      <c r="AP15" s="798">
        <v>2083</v>
      </c>
      <c r="AQ15" s="798">
        <v>2433</v>
      </c>
      <c r="AR15" s="798">
        <v>1489</v>
      </c>
      <c r="AS15" s="798">
        <v>1047</v>
      </c>
      <c r="AT15" s="798">
        <v>2349</v>
      </c>
      <c r="AU15" s="798">
        <v>928</v>
      </c>
      <c r="AV15" s="798">
        <v>1154</v>
      </c>
      <c r="AW15" s="798">
        <v>3100</v>
      </c>
      <c r="AX15" s="798">
        <v>2545</v>
      </c>
      <c r="AY15" s="798">
        <v>1139</v>
      </c>
      <c r="AZ15" s="798">
        <v>33577</v>
      </c>
      <c r="BA15" s="798">
        <v>4613</v>
      </c>
      <c r="BB15" s="798">
        <v>25175</v>
      </c>
      <c r="BC15" s="15">
        <f t="shared" si="21"/>
        <v>85123</v>
      </c>
    </row>
    <row r="16" spans="1:55" x14ac:dyDescent="0.25">
      <c r="A16" s="133"/>
      <c r="B16" s="245" t="str">
        <f>'T_Stock_TOTAL_&amp;_City'!B16</f>
        <v>Hybrid Electric - diesel</v>
      </c>
      <c r="C16" s="245" t="s">
        <v>307</v>
      </c>
      <c r="D16" s="680">
        <f>$U96*W96</f>
        <v>0</v>
      </c>
      <c r="E16" s="798"/>
      <c r="F16" s="798"/>
      <c r="G16" s="798"/>
      <c r="H16" s="798"/>
      <c r="I16" s="798"/>
      <c r="J16" s="798"/>
      <c r="K16" s="798"/>
      <c r="L16" s="798"/>
      <c r="M16" s="798"/>
      <c r="N16" s="798"/>
      <c r="O16" s="798"/>
      <c r="P16" s="798"/>
      <c r="Q16" s="798"/>
      <c r="R16" s="798"/>
      <c r="S16" s="680">
        <f t="shared" si="19"/>
        <v>0</v>
      </c>
      <c r="U16" s="311">
        <f>'T_Stock_TOTAL_&amp;_City'!U16-'T_Stock_TOTAL_&amp;_City'!V16</f>
        <v>0</v>
      </c>
      <c r="W16" s="909">
        <f t="shared" si="20"/>
        <v>0</v>
      </c>
      <c r="X16" s="909">
        <f t="shared" si="17"/>
        <v>0</v>
      </c>
      <c r="Y16" s="909">
        <f t="shared" si="17"/>
        <v>0</v>
      </c>
      <c r="Z16" s="909">
        <f t="shared" si="17"/>
        <v>0</v>
      </c>
      <c r="AA16" s="909">
        <f t="shared" si="17"/>
        <v>0</v>
      </c>
      <c r="AB16" s="909">
        <f t="shared" si="17"/>
        <v>0</v>
      </c>
      <c r="AC16" s="909">
        <f t="shared" si="17"/>
        <v>0</v>
      </c>
      <c r="AD16" s="909">
        <f t="shared" si="17"/>
        <v>0</v>
      </c>
      <c r="AE16" s="909">
        <f t="shared" si="17"/>
        <v>0</v>
      </c>
      <c r="AF16" s="909">
        <f t="shared" si="17"/>
        <v>0</v>
      </c>
      <c r="AG16" s="909">
        <f t="shared" si="17"/>
        <v>0</v>
      </c>
      <c r="AH16" s="909">
        <f t="shared" si="17"/>
        <v>0</v>
      </c>
      <c r="AI16" s="909">
        <f t="shared" si="17"/>
        <v>0</v>
      </c>
      <c r="AJ16" s="909">
        <f t="shared" si="17"/>
        <v>0</v>
      </c>
      <c r="AK16" s="909">
        <f t="shared" si="17"/>
        <v>0</v>
      </c>
      <c r="AL16" s="532">
        <f t="shared" si="18"/>
        <v>0</v>
      </c>
      <c r="AN16" s="798">
        <v>0</v>
      </c>
      <c r="AO16" s="798">
        <v>0</v>
      </c>
      <c r="AP16" s="798">
        <v>0</v>
      </c>
      <c r="AQ16" s="798">
        <v>0</v>
      </c>
      <c r="AR16" s="798">
        <v>0</v>
      </c>
      <c r="AS16" s="798">
        <v>0</v>
      </c>
      <c r="AT16" s="798">
        <v>0</v>
      </c>
      <c r="AU16" s="798">
        <v>0</v>
      </c>
      <c r="AV16" s="798">
        <v>0</v>
      </c>
      <c r="AW16" s="798">
        <v>0</v>
      </c>
      <c r="AX16" s="798">
        <v>0</v>
      </c>
      <c r="AY16" s="798">
        <v>0</v>
      </c>
      <c r="AZ16" s="798">
        <v>0</v>
      </c>
      <c r="BA16" s="798">
        <v>0</v>
      </c>
      <c r="BB16" s="798">
        <v>0</v>
      </c>
      <c r="BC16" s="15">
        <f t="shared" si="21"/>
        <v>0</v>
      </c>
    </row>
    <row r="17" spans="1:55" x14ac:dyDescent="0.25">
      <c r="A17" s="133"/>
      <c r="B17" s="245" t="str">
        <f>'T_Stock_TOTAL_&amp;_City'!B17</f>
        <v>Hybrid Electric - gasoline</v>
      </c>
      <c r="C17" s="245" t="s">
        <v>308</v>
      </c>
      <c r="D17" s="680">
        <v>38293</v>
      </c>
      <c r="E17" s="798"/>
      <c r="F17" s="798"/>
      <c r="G17" s="798"/>
      <c r="H17" s="798"/>
      <c r="I17" s="798"/>
      <c r="J17" s="798"/>
      <c r="K17" s="798"/>
      <c r="L17" s="798"/>
      <c r="M17" s="798"/>
      <c r="N17" s="798"/>
      <c r="O17" s="798"/>
      <c r="P17" s="798"/>
      <c r="Q17" s="798"/>
      <c r="R17" s="798"/>
      <c r="S17" s="680">
        <f t="shared" si="19"/>
        <v>38293</v>
      </c>
      <c r="U17" s="311">
        <f>'T_Stock_TOTAL_&amp;_City'!U17-'T_Stock_TOTAL_&amp;_City'!V17</f>
        <v>0</v>
      </c>
      <c r="W17" s="909">
        <f t="shared" si="20"/>
        <v>0</v>
      </c>
      <c r="X17" s="909">
        <f t="shared" si="17"/>
        <v>0</v>
      </c>
      <c r="Y17" s="909">
        <f t="shared" si="17"/>
        <v>0</v>
      </c>
      <c r="Z17" s="909">
        <f t="shared" si="17"/>
        <v>0</v>
      </c>
      <c r="AA17" s="909">
        <f t="shared" si="17"/>
        <v>0</v>
      </c>
      <c r="AB17" s="909">
        <f t="shared" si="17"/>
        <v>0</v>
      </c>
      <c r="AC17" s="909">
        <f t="shared" si="17"/>
        <v>0</v>
      </c>
      <c r="AD17" s="909">
        <f t="shared" si="17"/>
        <v>0</v>
      </c>
      <c r="AE17" s="909">
        <f t="shared" si="17"/>
        <v>0</v>
      </c>
      <c r="AF17" s="909">
        <f t="shared" si="17"/>
        <v>0</v>
      </c>
      <c r="AG17" s="909">
        <f t="shared" si="17"/>
        <v>0</v>
      </c>
      <c r="AH17" s="909">
        <f t="shared" si="17"/>
        <v>0</v>
      </c>
      <c r="AI17" s="909">
        <f t="shared" si="17"/>
        <v>0</v>
      </c>
      <c r="AJ17" s="909">
        <f t="shared" si="17"/>
        <v>0</v>
      </c>
      <c r="AK17" s="909">
        <f t="shared" si="17"/>
        <v>0</v>
      </c>
      <c r="AL17" s="532">
        <f t="shared" si="18"/>
        <v>0</v>
      </c>
      <c r="AN17" s="798">
        <v>7</v>
      </c>
      <c r="AO17" s="798">
        <v>5</v>
      </c>
      <c r="AP17" s="798">
        <v>3</v>
      </c>
      <c r="AQ17" s="798">
        <v>12</v>
      </c>
      <c r="AR17" s="798">
        <v>1</v>
      </c>
      <c r="AS17" s="798">
        <v>1</v>
      </c>
      <c r="AT17" s="798">
        <v>1</v>
      </c>
      <c r="AU17" s="798">
        <v>0</v>
      </c>
      <c r="AV17" s="798">
        <v>1</v>
      </c>
      <c r="AW17" s="798">
        <v>14</v>
      </c>
      <c r="AX17" s="798">
        <v>2</v>
      </c>
      <c r="AY17" s="798">
        <v>1</v>
      </c>
      <c r="AZ17" s="798">
        <v>483</v>
      </c>
      <c r="BA17" s="798">
        <v>13</v>
      </c>
      <c r="BB17" s="798">
        <v>122</v>
      </c>
      <c r="BC17" s="15">
        <f t="shared" si="21"/>
        <v>666</v>
      </c>
    </row>
    <row r="18" spans="1:55" x14ac:dyDescent="0.25">
      <c r="A18" s="133"/>
      <c r="B18" s="245" t="str">
        <f>'T_Stock_TOTAL_&amp;_City'!B18</f>
        <v>LPG</v>
      </c>
      <c r="C18" s="245" t="s">
        <v>309</v>
      </c>
      <c r="D18" s="680">
        <f>$U98*W98</f>
        <v>0</v>
      </c>
      <c r="E18" s="798"/>
      <c r="F18" s="798"/>
      <c r="G18" s="798"/>
      <c r="H18" s="798"/>
      <c r="I18" s="798"/>
      <c r="J18" s="798"/>
      <c r="K18" s="798"/>
      <c r="L18" s="798"/>
      <c r="M18" s="798"/>
      <c r="N18" s="798"/>
      <c r="O18" s="798"/>
      <c r="P18" s="798"/>
      <c r="Q18" s="798"/>
      <c r="R18" s="798"/>
      <c r="S18" s="680">
        <f t="shared" si="19"/>
        <v>0</v>
      </c>
      <c r="U18" s="311">
        <f>'T_Stock_TOTAL_&amp;_City'!U18-'T_Stock_TOTAL_&amp;_City'!V18</f>
        <v>0</v>
      </c>
      <c r="W18" s="909">
        <f t="shared" si="20"/>
        <v>0</v>
      </c>
      <c r="X18" s="909">
        <f t="shared" si="17"/>
        <v>0</v>
      </c>
      <c r="Y18" s="909">
        <f t="shared" si="17"/>
        <v>0</v>
      </c>
      <c r="Z18" s="909">
        <f t="shared" si="17"/>
        <v>0</v>
      </c>
      <c r="AA18" s="909">
        <f t="shared" si="17"/>
        <v>0</v>
      </c>
      <c r="AB18" s="909">
        <f t="shared" si="17"/>
        <v>0</v>
      </c>
      <c r="AC18" s="909">
        <f t="shared" si="17"/>
        <v>0</v>
      </c>
      <c r="AD18" s="909">
        <f t="shared" si="17"/>
        <v>0</v>
      </c>
      <c r="AE18" s="909">
        <f t="shared" si="17"/>
        <v>0</v>
      </c>
      <c r="AF18" s="909">
        <f t="shared" si="17"/>
        <v>0</v>
      </c>
      <c r="AG18" s="909">
        <f t="shared" si="17"/>
        <v>0</v>
      </c>
      <c r="AH18" s="909">
        <f t="shared" si="17"/>
        <v>0</v>
      </c>
      <c r="AI18" s="909">
        <f t="shared" si="17"/>
        <v>0</v>
      </c>
      <c r="AJ18" s="909">
        <f t="shared" si="17"/>
        <v>0</v>
      </c>
      <c r="AK18" s="909">
        <f t="shared" si="17"/>
        <v>0</v>
      </c>
      <c r="AL18" s="532">
        <f t="shared" si="18"/>
        <v>0</v>
      </c>
      <c r="AN18" s="798">
        <v>0</v>
      </c>
      <c r="AO18" s="798">
        <v>0</v>
      </c>
      <c r="AP18" s="798">
        <v>0</v>
      </c>
      <c r="AQ18" s="798">
        <v>0</v>
      </c>
      <c r="AR18" s="798">
        <v>0</v>
      </c>
      <c r="AS18" s="798">
        <v>0</v>
      </c>
      <c r="AT18" s="798">
        <v>0</v>
      </c>
      <c r="AU18" s="798">
        <v>0</v>
      </c>
      <c r="AV18" s="798">
        <v>0</v>
      </c>
      <c r="AW18" s="798">
        <v>0</v>
      </c>
      <c r="AX18" s="798">
        <v>0</v>
      </c>
      <c r="AY18" s="798">
        <v>0</v>
      </c>
      <c r="AZ18" s="798">
        <v>0</v>
      </c>
      <c r="BA18" s="798">
        <v>0</v>
      </c>
      <c r="BB18" s="798">
        <v>0</v>
      </c>
      <c r="BC18" s="15">
        <f t="shared" si="21"/>
        <v>0</v>
      </c>
    </row>
    <row r="19" spans="1:55" x14ac:dyDescent="0.25">
      <c r="A19" s="133"/>
      <c r="B19" s="245" t="str">
        <f>'T_Stock_TOTAL_&amp;_City'!B19</f>
        <v>Plugin Hybrid Electric - diesel</v>
      </c>
      <c r="C19" s="245" t="s">
        <v>310</v>
      </c>
      <c r="D19" s="680">
        <f>$U99*W99</f>
        <v>0</v>
      </c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680">
        <f t="shared" si="19"/>
        <v>0</v>
      </c>
      <c r="U19" s="311">
        <f>'T_Stock_TOTAL_&amp;_City'!U19-'T_Stock_TOTAL_&amp;_City'!V19</f>
        <v>0</v>
      </c>
      <c r="W19" s="909">
        <f t="shared" si="20"/>
        <v>0</v>
      </c>
      <c r="X19" s="909">
        <f t="shared" si="17"/>
        <v>0</v>
      </c>
      <c r="Y19" s="909">
        <f t="shared" si="17"/>
        <v>0</v>
      </c>
      <c r="Z19" s="909">
        <f t="shared" si="17"/>
        <v>0</v>
      </c>
      <c r="AA19" s="909">
        <f t="shared" si="17"/>
        <v>0</v>
      </c>
      <c r="AB19" s="909">
        <f t="shared" si="17"/>
        <v>0</v>
      </c>
      <c r="AC19" s="909">
        <f t="shared" si="17"/>
        <v>0</v>
      </c>
      <c r="AD19" s="909">
        <f t="shared" si="17"/>
        <v>0</v>
      </c>
      <c r="AE19" s="909">
        <f t="shared" si="17"/>
        <v>0</v>
      </c>
      <c r="AF19" s="909">
        <f t="shared" si="17"/>
        <v>0</v>
      </c>
      <c r="AG19" s="909">
        <f t="shared" si="17"/>
        <v>0</v>
      </c>
      <c r="AH19" s="909">
        <f t="shared" si="17"/>
        <v>0</v>
      </c>
      <c r="AI19" s="909">
        <f t="shared" si="17"/>
        <v>0</v>
      </c>
      <c r="AJ19" s="909">
        <f t="shared" si="17"/>
        <v>0</v>
      </c>
      <c r="AK19" s="909">
        <f t="shared" si="17"/>
        <v>0</v>
      </c>
      <c r="AL19" s="532">
        <f t="shared" si="18"/>
        <v>0</v>
      </c>
      <c r="AN19" s="798">
        <v>0</v>
      </c>
      <c r="AO19" s="798">
        <v>0</v>
      </c>
      <c r="AP19" s="798">
        <v>0</v>
      </c>
      <c r="AQ19" s="798">
        <v>0</v>
      </c>
      <c r="AR19" s="798">
        <v>0</v>
      </c>
      <c r="AS19" s="798">
        <v>0</v>
      </c>
      <c r="AT19" s="798">
        <v>0</v>
      </c>
      <c r="AU19" s="798">
        <v>0</v>
      </c>
      <c r="AV19" s="798">
        <v>0</v>
      </c>
      <c r="AW19" s="798">
        <v>0</v>
      </c>
      <c r="AX19" s="798">
        <v>0</v>
      </c>
      <c r="AY19" s="798">
        <v>0</v>
      </c>
      <c r="AZ19" s="798">
        <v>0</v>
      </c>
      <c r="BA19" s="798">
        <v>0</v>
      </c>
      <c r="BB19" s="798">
        <v>0</v>
      </c>
      <c r="BC19" s="15">
        <f t="shared" si="21"/>
        <v>0</v>
      </c>
    </row>
    <row r="20" spans="1:55" x14ac:dyDescent="0.25">
      <c r="A20" s="133"/>
      <c r="B20" s="245" t="str">
        <f>'T_Stock_TOTAL_&amp;_City'!B20</f>
        <v>Plugin Hybrid Electric - gasoline</v>
      </c>
      <c r="C20" s="245" t="s">
        <v>311</v>
      </c>
      <c r="D20" s="680">
        <v>34800</v>
      </c>
      <c r="E20" s="798"/>
      <c r="F20" s="798"/>
      <c r="G20" s="798"/>
      <c r="H20" s="798"/>
      <c r="I20" s="798"/>
      <c r="J20" s="798"/>
      <c r="K20" s="798"/>
      <c r="L20" s="798"/>
      <c r="M20" s="798"/>
      <c r="N20" s="798"/>
      <c r="O20" s="798"/>
      <c r="P20" s="798"/>
      <c r="Q20" s="798"/>
      <c r="R20" s="798"/>
      <c r="S20" s="680">
        <f t="shared" si="19"/>
        <v>34800</v>
      </c>
      <c r="U20" s="311">
        <f>'T_Stock_TOTAL_&amp;_City'!U20-'T_Stock_TOTAL_&amp;_City'!V20</f>
        <v>0</v>
      </c>
      <c r="W20" s="909">
        <f t="shared" si="20"/>
        <v>0</v>
      </c>
      <c r="X20" s="909">
        <f t="shared" si="17"/>
        <v>0</v>
      </c>
      <c r="Y20" s="909">
        <f t="shared" si="17"/>
        <v>0</v>
      </c>
      <c r="Z20" s="909">
        <f t="shared" si="17"/>
        <v>0</v>
      </c>
      <c r="AA20" s="909">
        <f t="shared" si="17"/>
        <v>0</v>
      </c>
      <c r="AB20" s="909">
        <f t="shared" si="17"/>
        <v>0</v>
      </c>
      <c r="AC20" s="909">
        <f t="shared" si="17"/>
        <v>0</v>
      </c>
      <c r="AD20" s="909">
        <f t="shared" si="17"/>
        <v>0</v>
      </c>
      <c r="AE20" s="909">
        <f t="shared" si="17"/>
        <v>0</v>
      </c>
      <c r="AF20" s="909">
        <f t="shared" si="17"/>
        <v>0</v>
      </c>
      <c r="AG20" s="909">
        <f t="shared" si="17"/>
        <v>0</v>
      </c>
      <c r="AH20" s="909">
        <f t="shared" si="17"/>
        <v>0</v>
      </c>
      <c r="AI20" s="909">
        <f t="shared" si="17"/>
        <v>0</v>
      </c>
      <c r="AJ20" s="909">
        <f t="shared" si="17"/>
        <v>0</v>
      </c>
      <c r="AK20" s="909">
        <f t="shared" si="17"/>
        <v>0</v>
      </c>
      <c r="AL20" s="532">
        <f t="shared" si="18"/>
        <v>0</v>
      </c>
      <c r="AN20" s="798">
        <v>0</v>
      </c>
      <c r="AO20" s="798">
        <v>0</v>
      </c>
      <c r="AP20" s="798">
        <v>2</v>
      </c>
      <c r="AQ20" s="798">
        <v>1</v>
      </c>
      <c r="AR20" s="798">
        <v>2</v>
      </c>
      <c r="AS20" s="798">
        <v>0</v>
      </c>
      <c r="AT20" s="798">
        <v>2</v>
      </c>
      <c r="AU20" s="798">
        <v>0</v>
      </c>
      <c r="AV20" s="798">
        <v>0</v>
      </c>
      <c r="AW20" s="798">
        <v>0</v>
      </c>
      <c r="AX20" s="798">
        <v>5</v>
      </c>
      <c r="AY20" s="798">
        <v>1</v>
      </c>
      <c r="AZ20" s="798">
        <v>64</v>
      </c>
      <c r="BA20" s="798">
        <v>4</v>
      </c>
      <c r="BB20" s="798">
        <v>17</v>
      </c>
      <c r="BC20" s="15">
        <f t="shared" si="21"/>
        <v>98</v>
      </c>
    </row>
    <row r="21" spans="1:55" x14ac:dyDescent="0.25">
      <c r="A21" s="133"/>
      <c r="B21" s="250" t="str">
        <f>'T_Stock_TOTAL_&amp;_City'!B21</f>
        <v>Other</v>
      </c>
      <c r="C21" s="250"/>
      <c r="D21" s="444">
        <f t="shared" ref="D21" si="22">$U21*W21</f>
        <v>0</v>
      </c>
      <c r="E21" s="444">
        <f t="shared" si="2"/>
        <v>0</v>
      </c>
      <c r="F21" s="444">
        <f t="shared" si="3"/>
        <v>0</v>
      </c>
      <c r="G21" s="444">
        <f t="shared" si="4"/>
        <v>0</v>
      </c>
      <c r="H21" s="444">
        <f t="shared" si="5"/>
        <v>0</v>
      </c>
      <c r="I21" s="444">
        <f t="shared" si="6"/>
        <v>0</v>
      </c>
      <c r="J21" s="444">
        <f t="shared" si="7"/>
        <v>0</v>
      </c>
      <c r="K21" s="444">
        <f t="shared" si="8"/>
        <v>0</v>
      </c>
      <c r="L21" s="444">
        <f t="shared" si="9"/>
        <v>0</v>
      </c>
      <c r="M21" s="444">
        <f t="shared" si="10"/>
        <v>0</v>
      </c>
      <c r="N21" s="444">
        <f t="shared" si="11"/>
        <v>0</v>
      </c>
      <c r="O21" s="444">
        <f t="shared" si="12"/>
        <v>0</v>
      </c>
      <c r="P21" s="444">
        <f t="shared" si="13"/>
        <v>0</v>
      </c>
      <c r="Q21" s="444">
        <f t="shared" si="14"/>
        <v>0</v>
      </c>
      <c r="R21" s="444">
        <f t="shared" si="15"/>
        <v>0</v>
      </c>
      <c r="S21" s="444">
        <f t="shared" ref="S21" si="23">$U21*AL21</f>
        <v>0</v>
      </c>
      <c r="U21" s="335">
        <f>'T_Stock_TOTAL_&amp;_City'!U21-'T_Stock_TOTAL_&amp;_City'!V21</f>
        <v>0</v>
      </c>
      <c r="W21" s="909">
        <f t="shared" si="20"/>
        <v>0</v>
      </c>
      <c r="X21" s="909">
        <f t="shared" si="17"/>
        <v>0</v>
      </c>
      <c r="Y21" s="909">
        <f t="shared" si="17"/>
        <v>0</v>
      </c>
      <c r="Z21" s="909">
        <f t="shared" si="17"/>
        <v>0</v>
      </c>
      <c r="AA21" s="909">
        <f t="shared" si="17"/>
        <v>0</v>
      </c>
      <c r="AB21" s="909">
        <f t="shared" si="17"/>
        <v>0</v>
      </c>
      <c r="AC21" s="909">
        <f t="shared" si="17"/>
        <v>0</v>
      </c>
      <c r="AD21" s="909">
        <f t="shared" si="17"/>
        <v>0</v>
      </c>
      <c r="AE21" s="909">
        <f t="shared" si="17"/>
        <v>0</v>
      </c>
      <c r="AF21" s="909">
        <f t="shared" si="17"/>
        <v>0</v>
      </c>
      <c r="AG21" s="909">
        <f t="shared" si="17"/>
        <v>0</v>
      </c>
      <c r="AH21" s="909">
        <f t="shared" si="17"/>
        <v>0</v>
      </c>
      <c r="AI21" s="909">
        <f t="shared" si="17"/>
        <v>0</v>
      </c>
      <c r="AJ21" s="909">
        <f t="shared" si="17"/>
        <v>0</v>
      </c>
      <c r="AK21" s="909">
        <f t="shared" si="17"/>
        <v>0</v>
      </c>
      <c r="AL21" s="532">
        <f t="shared" si="18"/>
        <v>0</v>
      </c>
      <c r="AN21" s="15">
        <f>SUM(AN11:AN20)</f>
        <v>3973</v>
      </c>
      <c r="AO21" s="15">
        <f t="shared" ref="AO21:BB21" si="24">SUM(AO11:AO20)</f>
        <v>1447</v>
      </c>
      <c r="AP21" s="15">
        <f t="shared" si="24"/>
        <v>3149</v>
      </c>
      <c r="AQ21" s="15">
        <f t="shared" si="24"/>
        <v>3777</v>
      </c>
      <c r="AR21" s="15">
        <f t="shared" si="24"/>
        <v>2468</v>
      </c>
      <c r="AS21" s="15">
        <f t="shared" si="24"/>
        <v>1852</v>
      </c>
      <c r="AT21" s="15">
        <f t="shared" si="24"/>
        <v>3641</v>
      </c>
      <c r="AU21" s="15">
        <f t="shared" si="24"/>
        <v>1514</v>
      </c>
      <c r="AV21" s="15">
        <f t="shared" si="24"/>
        <v>1629</v>
      </c>
      <c r="AW21" s="15">
        <f t="shared" si="24"/>
        <v>4689</v>
      </c>
      <c r="AX21" s="15">
        <f t="shared" si="24"/>
        <v>4087</v>
      </c>
      <c r="AY21" s="15">
        <f t="shared" si="24"/>
        <v>1673</v>
      </c>
      <c r="AZ21" s="15">
        <f t="shared" si="24"/>
        <v>52551</v>
      </c>
      <c r="BA21" s="15">
        <f t="shared" si="24"/>
        <v>7156</v>
      </c>
      <c r="BB21" s="15">
        <f t="shared" si="24"/>
        <v>38154</v>
      </c>
      <c r="BC21" s="15">
        <f>SUM(BC11:BC20)</f>
        <v>131760</v>
      </c>
    </row>
    <row r="22" spans="1:55" x14ac:dyDescent="0.25">
      <c r="A22" s="133"/>
      <c r="B22" s="478" t="s">
        <v>119</v>
      </c>
      <c r="C22" s="478"/>
      <c r="D22" s="828">
        <f>SUM(D10:D21)</f>
        <v>735819</v>
      </c>
      <c r="E22" s="828">
        <f t="shared" ref="E22:S22" si="25">SUM(E10:E21)</f>
        <v>0</v>
      </c>
      <c r="F22" s="828">
        <f t="shared" si="25"/>
        <v>0</v>
      </c>
      <c r="G22" s="828">
        <f t="shared" si="25"/>
        <v>0</v>
      </c>
      <c r="H22" s="828">
        <f t="shared" si="25"/>
        <v>0</v>
      </c>
      <c r="I22" s="828">
        <f t="shared" si="25"/>
        <v>0</v>
      </c>
      <c r="J22" s="828">
        <f t="shared" si="25"/>
        <v>0</v>
      </c>
      <c r="K22" s="828">
        <f t="shared" si="25"/>
        <v>0</v>
      </c>
      <c r="L22" s="828">
        <f t="shared" si="25"/>
        <v>0</v>
      </c>
      <c r="M22" s="828">
        <f t="shared" si="25"/>
        <v>0</v>
      </c>
      <c r="N22" s="828">
        <f t="shared" si="25"/>
        <v>0</v>
      </c>
      <c r="O22" s="828">
        <f t="shared" si="25"/>
        <v>0</v>
      </c>
      <c r="P22" s="828">
        <f t="shared" si="25"/>
        <v>0</v>
      </c>
      <c r="Q22" s="828">
        <f t="shared" si="25"/>
        <v>0</v>
      </c>
      <c r="R22" s="828">
        <f t="shared" si="25"/>
        <v>0</v>
      </c>
      <c r="S22" s="828">
        <f t="shared" si="25"/>
        <v>735819</v>
      </c>
      <c r="U22" s="130">
        <f>SUM(U10:U21)</f>
        <v>0</v>
      </c>
    </row>
    <row r="24" spans="1:55" x14ac:dyDescent="0.25">
      <c r="B24" s="476" t="s">
        <v>312</v>
      </c>
      <c r="C24" s="339"/>
      <c r="D24" s="3"/>
      <c r="U24" s="99"/>
      <c r="W24" s="3" t="s">
        <v>299</v>
      </c>
    </row>
    <row r="25" spans="1:55" x14ac:dyDescent="0.25">
      <c r="B25" s="476" t="s">
        <v>103</v>
      </c>
      <c r="C25" s="264" t="s">
        <v>104</v>
      </c>
      <c r="D25" s="121" t="str">
        <f>D9</f>
        <v>Z01</v>
      </c>
      <c r="E25" s="121" t="str">
        <f t="shared" ref="E25:R25" si="26">E9</f>
        <v>Z02</v>
      </c>
      <c r="F25" s="121" t="str">
        <f t="shared" si="26"/>
        <v>Z03</v>
      </c>
      <c r="G25" s="121" t="str">
        <f t="shared" si="26"/>
        <v>Z04</v>
      </c>
      <c r="H25" s="121" t="str">
        <f t="shared" si="26"/>
        <v>Z05</v>
      </c>
      <c r="I25" s="121" t="str">
        <f t="shared" si="26"/>
        <v>Z06</v>
      </c>
      <c r="J25" s="121" t="str">
        <f t="shared" si="26"/>
        <v>Z07</v>
      </c>
      <c r="K25" s="121" t="str">
        <f t="shared" si="26"/>
        <v>Z08</v>
      </c>
      <c r="L25" s="121" t="str">
        <f t="shared" si="26"/>
        <v>Z09</v>
      </c>
      <c r="M25" s="121" t="str">
        <f t="shared" si="26"/>
        <v>Z10</v>
      </c>
      <c r="N25" s="121" t="str">
        <f t="shared" si="26"/>
        <v>Z11</v>
      </c>
      <c r="O25" s="121" t="str">
        <f t="shared" si="26"/>
        <v>Z12</v>
      </c>
      <c r="P25" s="121" t="str">
        <f t="shared" si="26"/>
        <v>Z13</v>
      </c>
      <c r="Q25" s="121" t="str">
        <f t="shared" si="26"/>
        <v>Z14</v>
      </c>
      <c r="R25" s="121" t="str">
        <f t="shared" si="26"/>
        <v>Z15</v>
      </c>
      <c r="S25" s="121" t="s">
        <v>100</v>
      </c>
      <c r="U25" s="17" t="str">
        <f>$U$9</f>
        <v>Private stock</v>
      </c>
      <c r="W25" s="121" t="str">
        <f t="shared" ref="W25" si="27">D25</f>
        <v>Z01</v>
      </c>
      <c r="X25" s="121" t="str">
        <f t="shared" ref="X25" si="28">E25</f>
        <v>Z02</v>
      </c>
      <c r="Y25" s="121" t="str">
        <f t="shared" ref="Y25" si="29">F25</f>
        <v>Z03</v>
      </c>
      <c r="Z25" s="121" t="str">
        <f t="shared" ref="Z25" si="30">G25</f>
        <v>Z04</v>
      </c>
      <c r="AA25" s="121" t="str">
        <f t="shared" ref="AA25" si="31">H25</f>
        <v>Z05</v>
      </c>
      <c r="AB25" s="121" t="str">
        <f t="shared" ref="AB25" si="32">I25</f>
        <v>Z06</v>
      </c>
      <c r="AC25" s="121" t="str">
        <f t="shared" ref="AC25" si="33">J25</f>
        <v>Z07</v>
      </c>
      <c r="AD25" s="121" t="str">
        <f t="shared" ref="AD25" si="34">K25</f>
        <v>Z08</v>
      </c>
      <c r="AE25" s="121" t="str">
        <f t="shared" ref="AE25" si="35">L25</f>
        <v>Z09</v>
      </c>
      <c r="AF25" s="121" t="str">
        <f t="shared" ref="AF25" si="36">M25</f>
        <v>Z10</v>
      </c>
      <c r="AG25" s="121" t="str">
        <f t="shared" ref="AG25" si="37">N25</f>
        <v>Z11</v>
      </c>
      <c r="AH25" s="121" t="str">
        <f t="shared" ref="AH25" si="38">O25</f>
        <v>Z12</v>
      </c>
      <c r="AI25" s="121" t="str">
        <f t="shared" ref="AI25" si="39">P25</f>
        <v>Z13</v>
      </c>
      <c r="AJ25" s="121" t="str">
        <f t="shared" ref="AJ25" si="40">Q25</f>
        <v>Z14</v>
      </c>
      <c r="AK25" s="121" t="str">
        <f t="shared" ref="AK25" si="41">R25</f>
        <v>Z15</v>
      </c>
      <c r="AL25" s="121" t="s">
        <v>100</v>
      </c>
    </row>
    <row r="26" spans="1:55" x14ac:dyDescent="0.25">
      <c r="A26" s="133"/>
      <c r="B26" s="245" t="str">
        <f>'T_Stock_TOTAL_&amp;_City'!B26</f>
        <v>Biodiesel</v>
      </c>
      <c r="C26" s="245"/>
      <c r="D26" s="680">
        <f>$U26*W26</f>
        <v>0</v>
      </c>
      <c r="E26" s="680">
        <f t="shared" ref="E26:E37" si="42">$U26*X26</f>
        <v>0</v>
      </c>
      <c r="F26" s="680">
        <f t="shared" ref="F26:F37" si="43">$U26*Y26</f>
        <v>0</v>
      </c>
      <c r="G26" s="680">
        <f t="shared" ref="G26:G37" si="44">$U26*Z26</f>
        <v>0</v>
      </c>
      <c r="H26" s="680">
        <f t="shared" ref="H26:H37" si="45">$U26*AA26</f>
        <v>0</v>
      </c>
      <c r="I26" s="680">
        <f t="shared" ref="I26:I37" si="46">$U26*AB26</f>
        <v>0</v>
      </c>
      <c r="J26" s="680">
        <f t="shared" ref="J26:J37" si="47">$U26*AC26</f>
        <v>0</v>
      </c>
      <c r="K26" s="680">
        <f t="shared" ref="K26:K37" si="48">$U26*AD26</f>
        <v>0</v>
      </c>
      <c r="L26" s="680">
        <f t="shared" ref="L26:L37" si="49">$U26*AE26</f>
        <v>0</v>
      </c>
      <c r="M26" s="680">
        <f t="shared" ref="M26:M37" si="50">$U26*AF26</f>
        <v>0</v>
      </c>
      <c r="N26" s="680">
        <f t="shared" ref="N26:N37" si="51">$U26*AG26</f>
        <v>0</v>
      </c>
      <c r="O26" s="680">
        <f t="shared" ref="O26:O37" si="52">$U26*AH26</f>
        <v>0</v>
      </c>
      <c r="P26" s="680">
        <f t="shared" ref="P26:P37" si="53">$U26*AI26</f>
        <v>0</v>
      </c>
      <c r="Q26" s="680">
        <f t="shared" ref="Q26:Q37" si="54">$U26*AJ26</f>
        <v>0</v>
      </c>
      <c r="R26" s="680">
        <f t="shared" ref="R26:R37" si="55">$U26*AK26</f>
        <v>0</v>
      </c>
      <c r="S26" s="680">
        <f t="shared" ref="S26:S37" si="56">$U26*AL26</f>
        <v>0</v>
      </c>
      <c r="U26" s="311">
        <f>'T_Stock_TOTAL_&amp;_City'!U26</f>
        <v>0</v>
      </c>
      <c r="W26" s="909">
        <f>W$6</f>
        <v>0</v>
      </c>
      <c r="X26" s="909">
        <f t="shared" ref="X26:AK37" si="57">X$6</f>
        <v>0</v>
      </c>
      <c r="Y26" s="909">
        <f t="shared" si="57"/>
        <v>0</v>
      </c>
      <c r="Z26" s="909">
        <f t="shared" si="57"/>
        <v>0</v>
      </c>
      <c r="AA26" s="909">
        <f t="shared" si="57"/>
        <v>0</v>
      </c>
      <c r="AB26" s="909">
        <f t="shared" si="57"/>
        <v>0</v>
      </c>
      <c r="AC26" s="909">
        <f t="shared" si="57"/>
        <v>0</v>
      </c>
      <c r="AD26" s="909">
        <f t="shared" si="57"/>
        <v>0</v>
      </c>
      <c r="AE26" s="909">
        <f t="shared" si="57"/>
        <v>0</v>
      </c>
      <c r="AF26" s="909">
        <f t="shared" si="57"/>
        <v>0</v>
      </c>
      <c r="AG26" s="909">
        <f t="shared" si="57"/>
        <v>0</v>
      </c>
      <c r="AH26" s="909">
        <f t="shared" si="57"/>
        <v>0</v>
      </c>
      <c r="AI26" s="909">
        <f t="shared" si="57"/>
        <v>0</v>
      </c>
      <c r="AJ26" s="909">
        <f t="shared" si="57"/>
        <v>0</v>
      </c>
      <c r="AK26" s="909">
        <f t="shared" si="57"/>
        <v>0</v>
      </c>
      <c r="AL26" s="532">
        <f t="shared" ref="AL26:AL37" si="58">SUM(W26:AK26)</f>
        <v>0</v>
      </c>
    </row>
    <row r="27" spans="1:55" x14ac:dyDescent="0.25">
      <c r="A27" s="133"/>
      <c r="B27" s="245" t="str">
        <f>'T_Stock_TOTAL_&amp;_City'!B27</f>
        <v>Diesel</v>
      </c>
      <c r="C27" s="245" t="s">
        <v>313</v>
      </c>
      <c r="D27" s="680">
        <f t="shared" ref="D27:D37" si="59">$U27*W27</f>
        <v>0</v>
      </c>
      <c r="E27" s="680">
        <f t="shared" si="42"/>
        <v>0</v>
      </c>
      <c r="F27" s="680">
        <f t="shared" si="43"/>
        <v>0</v>
      </c>
      <c r="G27" s="680">
        <f t="shared" si="44"/>
        <v>0</v>
      </c>
      <c r="H27" s="680">
        <f t="shared" si="45"/>
        <v>0</v>
      </c>
      <c r="I27" s="680">
        <f t="shared" si="46"/>
        <v>0</v>
      </c>
      <c r="J27" s="680">
        <f t="shared" si="47"/>
        <v>0</v>
      </c>
      <c r="K27" s="680">
        <f t="shared" si="48"/>
        <v>0</v>
      </c>
      <c r="L27" s="680">
        <f t="shared" si="49"/>
        <v>0</v>
      </c>
      <c r="M27" s="680">
        <f t="shared" si="50"/>
        <v>0</v>
      </c>
      <c r="N27" s="680">
        <f t="shared" si="51"/>
        <v>0</v>
      </c>
      <c r="O27" s="680">
        <f t="shared" si="52"/>
        <v>0</v>
      </c>
      <c r="P27" s="680">
        <f t="shared" si="53"/>
        <v>0</v>
      </c>
      <c r="Q27" s="680">
        <f t="shared" si="54"/>
        <v>0</v>
      </c>
      <c r="R27" s="680">
        <f t="shared" si="55"/>
        <v>0</v>
      </c>
      <c r="S27" s="680">
        <f t="shared" si="56"/>
        <v>0</v>
      </c>
      <c r="U27" s="311">
        <f>'T_Stock_TOTAL_&amp;_City'!U27</f>
        <v>0</v>
      </c>
      <c r="W27" s="909">
        <f t="shared" ref="W27:W37" si="60">W$6</f>
        <v>0</v>
      </c>
      <c r="X27" s="909">
        <f t="shared" si="57"/>
        <v>0</v>
      </c>
      <c r="Y27" s="909">
        <f t="shared" si="57"/>
        <v>0</v>
      </c>
      <c r="Z27" s="909">
        <f t="shared" si="57"/>
        <v>0</v>
      </c>
      <c r="AA27" s="909">
        <f t="shared" si="57"/>
        <v>0</v>
      </c>
      <c r="AB27" s="909">
        <f t="shared" si="57"/>
        <v>0</v>
      </c>
      <c r="AC27" s="909">
        <f t="shared" si="57"/>
        <v>0</v>
      </c>
      <c r="AD27" s="909">
        <f t="shared" si="57"/>
        <v>0</v>
      </c>
      <c r="AE27" s="909">
        <f t="shared" si="57"/>
        <v>0</v>
      </c>
      <c r="AF27" s="909">
        <f t="shared" si="57"/>
        <v>0</v>
      </c>
      <c r="AG27" s="909">
        <f t="shared" si="57"/>
        <v>0</v>
      </c>
      <c r="AH27" s="909">
        <f t="shared" si="57"/>
        <v>0</v>
      </c>
      <c r="AI27" s="909">
        <f t="shared" si="57"/>
        <v>0</v>
      </c>
      <c r="AJ27" s="909">
        <f t="shared" si="57"/>
        <v>0</v>
      </c>
      <c r="AK27" s="909">
        <f t="shared" si="57"/>
        <v>0</v>
      </c>
      <c r="AL27" s="532">
        <f t="shared" si="58"/>
        <v>0</v>
      </c>
    </row>
    <row r="28" spans="1:55" x14ac:dyDescent="0.25">
      <c r="A28" s="133"/>
      <c r="B28" s="245" t="str">
        <f>'T_Stock_TOTAL_&amp;_City'!B28</f>
        <v>Battery electric (BEV)</v>
      </c>
      <c r="C28" s="245" t="s">
        <v>314</v>
      </c>
      <c r="D28" s="680">
        <f t="shared" si="59"/>
        <v>0</v>
      </c>
      <c r="E28" s="680">
        <f t="shared" si="42"/>
        <v>0</v>
      </c>
      <c r="F28" s="680">
        <f t="shared" si="43"/>
        <v>0</v>
      </c>
      <c r="G28" s="680">
        <f t="shared" si="44"/>
        <v>0</v>
      </c>
      <c r="H28" s="680">
        <f t="shared" si="45"/>
        <v>0</v>
      </c>
      <c r="I28" s="680">
        <f t="shared" si="46"/>
        <v>0</v>
      </c>
      <c r="J28" s="680">
        <f t="shared" si="47"/>
        <v>0</v>
      </c>
      <c r="K28" s="680">
        <f t="shared" si="48"/>
        <v>0</v>
      </c>
      <c r="L28" s="680">
        <f t="shared" si="49"/>
        <v>0</v>
      </c>
      <c r="M28" s="680">
        <f t="shared" si="50"/>
        <v>0</v>
      </c>
      <c r="N28" s="680">
        <f t="shared" si="51"/>
        <v>0</v>
      </c>
      <c r="O28" s="680">
        <f t="shared" si="52"/>
        <v>0</v>
      </c>
      <c r="P28" s="680">
        <f t="shared" si="53"/>
        <v>0</v>
      </c>
      <c r="Q28" s="680">
        <f t="shared" si="54"/>
        <v>0</v>
      </c>
      <c r="R28" s="680">
        <f t="shared" si="55"/>
        <v>0</v>
      </c>
      <c r="S28" s="680">
        <f t="shared" si="56"/>
        <v>0</v>
      </c>
      <c r="U28" s="311">
        <f>'T_Stock_TOTAL_&amp;_City'!U28</f>
        <v>0</v>
      </c>
      <c r="W28" s="909">
        <f t="shared" si="60"/>
        <v>0</v>
      </c>
      <c r="X28" s="909">
        <f t="shared" si="57"/>
        <v>0</v>
      </c>
      <c r="Y28" s="909">
        <f t="shared" si="57"/>
        <v>0</v>
      </c>
      <c r="Z28" s="909">
        <f t="shared" si="57"/>
        <v>0</v>
      </c>
      <c r="AA28" s="909">
        <f t="shared" si="57"/>
        <v>0</v>
      </c>
      <c r="AB28" s="909">
        <f t="shared" si="57"/>
        <v>0</v>
      </c>
      <c r="AC28" s="909">
        <f t="shared" si="57"/>
        <v>0</v>
      </c>
      <c r="AD28" s="909">
        <f t="shared" si="57"/>
        <v>0</v>
      </c>
      <c r="AE28" s="909">
        <f t="shared" si="57"/>
        <v>0</v>
      </c>
      <c r="AF28" s="909">
        <f t="shared" si="57"/>
        <v>0</v>
      </c>
      <c r="AG28" s="909">
        <f t="shared" si="57"/>
        <v>0</v>
      </c>
      <c r="AH28" s="909">
        <f t="shared" si="57"/>
        <v>0</v>
      </c>
      <c r="AI28" s="909">
        <f t="shared" si="57"/>
        <v>0</v>
      </c>
      <c r="AJ28" s="909">
        <f t="shared" si="57"/>
        <v>0</v>
      </c>
      <c r="AK28" s="909">
        <f t="shared" si="57"/>
        <v>0</v>
      </c>
      <c r="AL28" s="532">
        <f t="shared" si="58"/>
        <v>0</v>
      </c>
    </row>
    <row r="29" spans="1:55" x14ac:dyDescent="0.25">
      <c r="A29" s="133"/>
      <c r="B29" s="245" t="str">
        <f>'T_Stock_TOTAL_&amp;_City'!B29</f>
        <v>Ethanol</v>
      </c>
      <c r="C29" s="245" t="s">
        <v>315</v>
      </c>
      <c r="D29" s="680">
        <f t="shared" si="59"/>
        <v>0</v>
      </c>
      <c r="E29" s="680">
        <f t="shared" si="42"/>
        <v>0</v>
      </c>
      <c r="F29" s="680">
        <f t="shared" si="43"/>
        <v>0</v>
      </c>
      <c r="G29" s="680">
        <f t="shared" si="44"/>
        <v>0</v>
      </c>
      <c r="H29" s="680">
        <f t="shared" si="45"/>
        <v>0</v>
      </c>
      <c r="I29" s="680">
        <f t="shared" si="46"/>
        <v>0</v>
      </c>
      <c r="J29" s="680">
        <f t="shared" si="47"/>
        <v>0</v>
      </c>
      <c r="K29" s="680">
        <f t="shared" si="48"/>
        <v>0</v>
      </c>
      <c r="L29" s="680">
        <f t="shared" si="49"/>
        <v>0</v>
      </c>
      <c r="M29" s="680">
        <f t="shared" si="50"/>
        <v>0</v>
      </c>
      <c r="N29" s="680">
        <f t="shared" si="51"/>
        <v>0</v>
      </c>
      <c r="O29" s="680">
        <f t="shared" si="52"/>
        <v>0</v>
      </c>
      <c r="P29" s="680">
        <f t="shared" si="53"/>
        <v>0</v>
      </c>
      <c r="Q29" s="680">
        <f t="shared" si="54"/>
        <v>0</v>
      </c>
      <c r="R29" s="680">
        <f t="shared" si="55"/>
        <v>0</v>
      </c>
      <c r="S29" s="680">
        <f t="shared" si="56"/>
        <v>0</v>
      </c>
      <c r="U29" s="311">
        <f>'T_Stock_TOTAL_&amp;_City'!U29</f>
        <v>0</v>
      </c>
      <c r="W29" s="909">
        <f t="shared" si="60"/>
        <v>0</v>
      </c>
      <c r="X29" s="909">
        <f t="shared" si="57"/>
        <v>0</v>
      </c>
      <c r="Y29" s="909">
        <f t="shared" si="57"/>
        <v>0</v>
      </c>
      <c r="Z29" s="909">
        <f t="shared" si="57"/>
        <v>0</v>
      </c>
      <c r="AA29" s="909">
        <f t="shared" si="57"/>
        <v>0</v>
      </c>
      <c r="AB29" s="909">
        <f t="shared" si="57"/>
        <v>0</v>
      </c>
      <c r="AC29" s="909">
        <f t="shared" si="57"/>
        <v>0</v>
      </c>
      <c r="AD29" s="909">
        <f t="shared" si="57"/>
        <v>0</v>
      </c>
      <c r="AE29" s="909">
        <f t="shared" si="57"/>
        <v>0</v>
      </c>
      <c r="AF29" s="909">
        <f t="shared" si="57"/>
        <v>0</v>
      </c>
      <c r="AG29" s="909">
        <f t="shared" si="57"/>
        <v>0</v>
      </c>
      <c r="AH29" s="909">
        <f t="shared" si="57"/>
        <v>0</v>
      </c>
      <c r="AI29" s="909">
        <f t="shared" si="57"/>
        <v>0</v>
      </c>
      <c r="AJ29" s="909">
        <f t="shared" si="57"/>
        <v>0</v>
      </c>
      <c r="AK29" s="909">
        <f t="shared" si="57"/>
        <v>0</v>
      </c>
      <c r="AL29" s="532">
        <f t="shared" si="58"/>
        <v>0</v>
      </c>
    </row>
    <row r="30" spans="1:55" x14ac:dyDescent="0.25">
      <c r="A30" s="133"/>
      <c r="B30" s="245" t="str">
        <f>'T_Stock_TOTAL_&amp;_City'!B30</f>
        <v>Gas (CNG)</v>
      </c>
      <c r="C30" s="245" t="s">
        <v>316</v>
      </c>
      <c r="D30" s="680">
        <f t="shared" si="59"/>
        <v>0</v>
      </c>
      <c r="E30" s="680">
        <f t="shared" si="42"/>
        <v>0</v>
      </c>
      <c r="F30" s="680">
        <f t="shared" si="43"/>
        <v>0</v>
      </c>
      <c r="G30" s="680">
        <f t="shared" si="44"/>
        <v>0</v>
      </c>
      <c r="H30" s="680">
        <f t="shared" si="45"/>
        <v>0</v>
      </c>
      <c r="I30" s="680">
        <f t="shared" si="46"/>
        <v>0</v>
      </c>
      <c r="J30" s="680">
        <f t="shared" si="47"/>
        <v>0</v>
      </c>
      <c r="K30" s="680">
        <f t="shared" si="48"/>
        <v>0</v>
      </c>
      <c r="L30" s="680">
        <f t="shared" si="49"/>
        <v>0</v>
      </c>
      <c r="M30" s="680">
        <f t="shared" si="50"/>
        <v>0</v>
      </c>
      <c r="N30" s="680">
        <f t="shared" si="51"/>
        <v>0</v>
      </c>
      <c r="O30" s="680">
        <f t="shared" si="52"/>
        <v>0</v>
      </c>
      <c r="P30" s="680">
        <f t="shared" si="53"/>
        <v>0</v>
      </c>
      <c r="Q30" s="680">
        <f t="shared" si="54"/>
        <v>0</v>
      </c>
      <c r="R30" s="680">
        <f t="shared" si="55"/>
        <v>0</v>
      </c>
      <c r="S30" s="680">
        <f t="shared" si="56"/>
        <v>0</v>
      </c>
      <c r="U30" s="311">
        <f>'T_Stock_TOTAL_&amp;_City'!U30</f>
        <v>0</v>
      </c>
      <c r="W30" s="909">
        <f t="shared" si="60"/>
        <v>0</v>
      </c>
      <c r="X30" s="909">
        <f t="shared" si="57"/>
        <v>0</v>
      </c>
      <c r="Y30" s="909">
        <f t="shared" si="57"/>
        <v>0</v>
      </c>
      <c r="Z30" s="909">
        <f t="shared" si="57"/>
        <v>0</v>
      </c>
      <c r="AA30" s="909">
        <f t="shared" si="57"/>
        <v>0</v>
      </c>
      <c r="AB30" s="909">
        <f t="shared" si="57"/>
        <v>0</v>
      </c>
      <c r="AC30" s="909">
        <f t="shared" si="57"/>
        <v>0</v>
      </c>
      <c r="AD30" s="909">
        <f t="shared" si="57"/>
        <v>0</v>
      </c>
      <c r="AE30" s="909">
        <f t="shared" si="57"/>
        <v>0</v>
      </c>
      <c r="AF30" s="909">
        <f t="shared" si="57"/>
        <v>0</v>
      </c>
      <c r="AG30" s="909">
        <f t="shared" si="57"/>
        <v>0</v>
      </c>
      <c r="AH30" s="909">
        <f t="shared" si="57"/>
        <v>0</v>
      </c>
      <c r="AI30" s="909">
        <f t="shared" si="57"/>
        <v>0</v>
      </c>
      <c r="AJ30" s="909">
        <f t="shared" si="57"/>
        <v>0</v>
      </c>
      <c r="AK30" s="909">
        <f t="shared" si="57"/>
        <v>0</v>
      </c>
      <c r="AL30" s="532">
        <f t="shared" si="58"/>
        <v>0</v>
      </c>
    </row>
    <row r="31" spans="1:55" x14ac:dyDescent="0.25">
      <c r="A31" s="133"/>
      <c r="B31" s="245" t="str">
        <f>'T_Stock_TOTAL_&amp;_City'!B31</f>
        <v>Gasoline</v>
      </c>
      <c r="C31" s="245" t="s">
        <v>317</v>
      </c>
      <c r="D31" s="680">
        <f t="shared" si="59"/>
        <v>0</v>
      </c>
      <c r="E31" s="680">
        <f t="shared" si="42"/>
        <v>0</v>
      </c>
      <c r="F31" s="680">
        <f t="shared" si="43"/>
        <v>0</v>
      </c>
      <c r="G31" s="680">
        <f t="shared" si="44"/>
        <v>0</v>
      </c>
      <c r="H31" s="680">
        <f t="shared" si="45"/>
        <v>0</v>
      </c>
      <c r="I31" s="680">
        <f t="shared" si="46"/>
        <v>0</v>
      </c>
      <c r="J31" s="680">
        <f t="shared" si="47"/>
        <v>0</v>
      </c>
      <c r="K31" s="680">
        <f t="shared" si="48"/>
        <v>0</v>
      </c>
      <c r="L31" s="680">
        <f t="shared" si="49"/>
        <v>0</v>
      </c>
      <c r="M31" s="680">
        <f t="shared" si="50"/>
        <v>0</v>
      </c>
      <c r="N31" s="680">
        <f t="shared" si="51"/>
        <v>0</v>
      </c>
      <c r="O31" s="680">
        <f t="shared" si="52"/>
        <v>0</v>
      </c>
      <c r="P31" s="680">
        <f t="shared" si="53"/>
        <v>0</v>
      </c>
      <c r="Q31" s="680">
        <f t="shared" si="54"/>
        <v>0</v>
      </c>
      <c r="R31" s="680">
        <f t="shared" si="55"/>
        <v>0</v>
      </c>
      <c r="S31" s="680">
        <f t="shared" si="56"/>
        <v>0</v>
      </c>
      <c r="U31" s="311">
        <f>'T_Stock_TOTAL_&amp;_City'!U31</f>
        <v>0</v>
      </c>
      <c r="W31" s="909">
        <f t="shared" si="60"/>
        <v>0</v>
      </c>
      <c r="X31" s="909">
        <f t="shared" si="57"/>
        <v>0</v>
      </c>
      <c r="Y31" s="909">
        <f t="shared" si="57"/>
        <v>0</v>
      </c>
      <c r="Z31" s="909">
        <f t="shared" si="57"/>
        <v>0</v>
      </c>
      <c r="AA31" s="909">
        <f t="shared" si="57"/>
        <v>0</v>
      </c>
      <c r="AB31" s="909">
        <f t="shared" si="57"/>
        <v>0</v>
      </c>
      <c r="AC31" s="909">
        <f t="shared" si="57"/>
        <v>0</v>
      </c>
      <c r="AD31" s="909">
        <f t="shared" si="57"/>
        <v>0</v>
      </c>
      <c r="AE31" s="909">
        <f t="shared" si="57"/>
        <v>0</v>
      </c>
      <c r="AF31" s="909">
        <f t="shared" si="57"/>
        <v>0</v>
      </c>
      <c r="AG31" s="909">
        <f t="shared" si="57"/>
        <v>0</v>
      </c>
      <c r="AH31" s="909">
        <f t="shared" si="57"/>
        <v>0</v>
      </c>
      <c r="AI31" s="909">
        <f t="shared" si="57"/>
        <v>0</v>
      </c>
      <c r="AJ31" s="909">
        <f t="shared" si="57"/>
        <v>0</v>
      </c>
      <c r="AK31" s="909">
        <f t="shared" si="57"/>
        <v>0</v>
      </c>
      <c r="AL31" s="532">
        <f t="shared" si="58"/>
        <v>0</v>
      </c>
    </row>
    <row r="32" spans="1:55" x14ac:dyDescent="0.25">
      <c r="A32" s="133"/>
      <c r="B32" s="245" t="str">
        <f>'T_Stock_TOTAL_&amp;_City'!B32</f>
        <v>Hybrid Electric - diesel</v>
      </c>
      <c r="C32" s="245" t="s">
        <v>318</v>
      </c>
      <c r="D32" s="680">
        <f t="shared" si="59"/>
        <v>0</v>
      </c>
      <c r="E32" s="680">
        <f t="shared" si="42"/>
        <v>0</v>
      </c>
      <c r="F32" s="680">
        <f t="shared" si="43"/>
        <v>0</v>
      </c>
      <c r="G32" s="680">
        <f t="shared" si="44"/>
        <v>0</v>
      </c>
      <c r="H32" s="680">
        <f t="shared" si="45"/>
        <v>0</v>
      </c>
      <c r="I32" s="680">
        <f t="shared" si="46"/>
        <v>0</v>
      </c>
      <c r="J32" s="680">
        <f t="shared" si="47"/>
        <v>0</v>
      </c>
      <c r="K32" s="680">
        <f t="shared" si="48"/>
        <v>0</v>
      </c>
      <c r="L32" s="680">
        <f t="shared" si="49"/>
        <v>0</v>
      </c>
      <c r="M32" s="680">
        <f t="shared" si="50"/>
        <v>0</v>
      </c>
      <c r="N32" s="680">
        <f t="shared" si="51"/>
        <v>0</v>
      </c>
      <c r="O32" s="680">
        <f t="shared" si="52"/>
        <v>0</v>
      </c>
      <c r="P32" s="680">
        <f t="shared" si="53"/>
        <v>0</v>
      </c>
      <c r="Q32" s="680">
        <f t="shared" si="54"/>
        <v>0</v>
      </c>
      <c r="R32" s="680">
        <f t="shared" si="55"/>
        <v>0</v>
      </c>
      <c r="S32" s="680">
        <f t="shared" si="56"/>
        <v>0</v>
      </c>
      <c r="U32" s="311">
        <f>'T_Stock_TOTAL_&amp;_City'!U32</f>
        <v>0</v>
      </c>
      <c r="W32" s="909">
        <f t="shared" si="60"/>
        <v>0</v>
      </c>
      <c r="X32" s="909">
        <f t="shared" si="57"/>
        <v>0</v>
      </c>
      <c r="Y32" s="909">
        <f t="shared" si="57"/>
        <v>0</v>
      </c>
      <c r="Z32" s="909">
        <f t="shared" si="57"/>
        <v>0</v>
      </c>
      <c r="AA32" s="909">
        <f t="shared" si="57"/>
        <v>0</v>
      </c>
      <c r="AB32" s="909">
        <f t="shared" si="57"/>
        <v>0</v>
      </c>
      <c r="AC32" s="909">
        <f t="shared" si="57"/>
        <v>0</v>
      </c>
      <c r="AD32" s="909">
        <f t="shared" si="57"/>
        <v>0</v>
      </c>
      <c r="AE32" s="909">
        <f t="shared" si="57"/>
        <v>0</v>
      </c>
      <c r="AF32" s="909">
        <f t="shared" si="57"/>
        <v>0</v>
      </c>
      <c r="AG32" s="909">
        <f t="shared" si="57"/>
        <v>0</v>
      </c>
      <c r="AH32" s="909">
        <f t="shared" si="57"/>
        <v>0</v>
      </c>
      <c r="AI32" s="909">
        <f t="shared" si="57"/>
        <v>0</v>
      </c>
      <c r="AJ32" s="909">
        <f t="shared" si="57"/>
        <v>0</v>
      </c>
      <c r="AK32" s="909">
        <f t="shared" si="57"/>
        <v>0</v>
      </c>
      <c r="AL32" s="532">
        <f t="shared" si="58"/>
        <v>0</v>
      </c>
    </row>
    <row r="33" spans="1:38" x14ac:dyDescent="0.25">
      <c r="A33" s="133"/>
      <c r="B33" s="245" t="str">
        <f>'T_Stock_TOTAL_&amp;_City'!B33</f>
        <v>Hybrid Electric - gasoline</v>
      </c>
      <c r="C33" s="245" t="s">
        <v>319</v>
      </c>
      <c r="D33" s="680">
        <f t="shared" si="59"/>
        <v>0</v>
      </c>
      <c r="E33" s="680">
        <f t="shared" si="42"/>
        <v>0</v>
      </c>
      <c r="F33" s="680">
        <f t="shared" si="43"/>
        <v>0</v>
      </c>
      <c r="G33" s="680">
        <f t="shared" si="44"/>
        <v>0</v>
      </c>
      <c r="H33" s="680">
        <f t="shared" si="45"/>
        <v>0</v>
      </c>
      <c r="I33" s="680">
        <f t="shared" si="46"/>
        <v>0</v>
      </c>
      <c r="J33" s="680">
        <f t="shared" si="47"/>
        <v>0</v>
      </c>
      <c r="K33" s="680">
        <f t="shared" si="48"/>
        <v>0</v>
      </c>
      <c r="L33" s="680">
        <f t="shared" si="49"/>
        <v>0</v>
      </c>
      <c r="M33" s="680">
        <f t="shared" si="50"/>
        <v>0</v>
      </c>
      <c r="N33" s="680">
        <f t="shared" si="51"/>
        <v>0</v>
      </c>
      <c r="O33" s="680">
        <f t="shared" si="52"/>
        <v>0</v>
      </c>
      <c r="P33" s="680">
        <f t="shared" si="53"/>
        <v>0</v>
      </c>
      <c r="Q33" s="680">
        <f t="shared" si="54"/>
        <v>0</v>
      </c>
      <c r="R33" s="680">
        <f t="shared" si="55"/>
        <v>0</v>
      </c>
      <c r="S33" s="680">
        <f t="shared" si="56"/>
        <v>0</v>
      </c>
      <c r="U33" s="311">
        <f>'T_Stock_TOTAL_&amp;_City'!U33</f>
        <v>0</v>
      </c>
      <c r="W33" s="909">
        <f t="shared" si="60"/>
        <v>0</v>
      </c>
      <c r="X33" s="909">
        <f t="shared" si="57"/>
        <v>0</v>
      </c>
      <c r="Y33" s="909">
        <f t="shared" si="57"/>
        <v>0</v>
      </c>
      <c r="Z33" s="909">
        <f t="shared" si="57"/>
        <v>0</v>
      </c>
      <c r="AA33" s="909">
        <f t="shared" si="57"/>
        <v>0</v>
      </c>
      <c r="AB33" s="909">
        <f t="shared" si="57"/>
        <v>0</v>
      </c>
      <c r="AC33" s="909">
        <f t="shared" si="57"/>
        <v>0</v>
      </c>
      <c r="AD33" s="909">
        <f t="shared" si="57"/>
        <v>0</v>
      </c>
      <c r="AE33" s="909">
        <f t="shared" si="57"/>
        <v>0</v>
      </c>
      <c r="AF33" s="909">
        <f t="shared" si="57"/>
        <v>0</v>
      </c>
      <c r="AG33" s="909">
        <f t="shared" si="57"/>
        <v>0</v>
      </c>
      <c r="AH33" s="909">
        <f t="shared" si="57"/>
        <v>0</v>
      </c>
      <c r="AI33" s="909">
        <f t="shared" si="57"/>
        <v>0</v>
      </c>
      <c r="AJ33" s="909">
        <f t="shared" si="57"/>
        <v>0</v>
      </c>
      <c r="AK33" s="909">
        <f t="shared" si="57"/>
        <v>0</v>
      </c>
      <c r="AL33" s="532">
        <f t="shared" si="58"/>
        <v>0</v>
      </c>
    </row>
    <row r="34" spans="1:38" x14ac:dyDescent="0.25">
      <c r="A34" s="133"/>
      <c r="B34" s="245" t="str">
        <f>'T_Stock_TOTAL_&amp;_City'!B34</f>
        <v>LPG</v>
      </c>
      <c r="C34" s="245" t="s">
        <v>320</v>
      </c>
      <c r="D34" s="680">
        <f t="shared" si="59"/>
        <v>0</v>
      </c>
      <c r="E34" s="680">
        <f t="shared" si="42"/>
        <v>0</v>
      </c>
      <c r="F34" s="680">
        <f t="shared" si="43"/>
        <v>0</v>
      </c>
      <c r="G34" s="680">
        <f t="shared" si="44"/>
        <v>0</v>
      </c>
      <c r="H34" s="680">
        <f t="shared" si="45"/>
        <v>0</v>
      </c>
      <c r="I34" s="680">
        <f t="shared" si="46"/>
        <v>0</v>
      </c>
      <c r="J34" s="680">
        <f t="shared" si="47"/>
        <v>0</v>
      </c>
      <c r="K34" s="680">
        <f t="shared" si="48"/>
        <v>0</v>
      </c>
      <c r="L34" s="680">
        <f t="shared" si="49"/>
        <v>0</v>
      </c>
      <c r="M34" s="680">
        <f t="shared" si="50"/>
        <v>0</v>
      </c>
      <c r="N34" s="680">
        <f t="shared" si="51"/>
        <v>0</v>
      </c>
      <c r="O34" s="680">
        <f t="shared" si="52"/>
        <v>0</v>
      </c>
      <c r="P34" s="680">
        <f t="shared" si="53"/>
        <v>0</v>
      </c>
      <c r="Q34" s="680">
        <f t="shared" si="54"/>
        <v>0</v>
      </c>
      <c r="R34" s="680">
        <f t="shared" si="55"/>
        <v>0</v>
      </c>
      <c r="S34" s="680">
        <f t="shared" si="56"/>
        <v>0</v>
      </c>
      <c r="U34" s="311">
        <f>'T_Stock_TOTAL_&amp;_City'!U34</f>
        <v>0</v>
      </c>
      <c r="W34" s="909">
        <f t="shared" si="60"/>
        <v>0</v>
      </c>
      <c r="X34" s="909">
        <f t="shared" si="57"/>
        <v>0</v>
      </c>
      <c r="Y34" s="909">
        <f t="shared" si="57"/>
        <v>0</v>
      </c>
      <c r="Z34" s="909">
        <f t="shared" si="57"/>
        <v>0</v>
      </c>
      <c r="AA34" s="909">
        <f t="shared" si="57"/>
        <v>0</v>
      </c>
      <c r="AB34" s="909">
        <f t="shared" si="57"/>
        <v>0</v>
      </c>
      <c r="AC34" s="909">
        <f t="shared" si="57"/>
        <v>0</v>
      </c>
      <c r="AD34" s="909">
        <f t="shared" si="57"/>
        <v>0</v>
      </c>
      <c r="AE34" s="909">
        <f t="shared" si="57"/>
        <v>0</v>
      </c>
      <c r="AF34" s="909">
        <f t="shared" si="57"/>
        <v>0</v>
      </c>
      <c r="AG34" s="909">
        <f t="shared" si="57"/>
        <v>0</v>
      </c>
      <c r="AH34" s="909">
        <f t="shared" si="57"/>
        <v>0</v>
      </c>
      <c r="AI34" s="909">
        <f t="shared" si="57"/>
        <v>0</v>
      </c>
      <c r="AJ34" s="909">
        <f t="shared" si="57"/>
        <v>0</v>
      </c>
      <c r="AK34" s="909">
        <f t="shared" si="57"/>
        <v>0</v>
      </c>
      <c r="AL34" s="532">
        <f t="shared" si="58"/>
        <v>0</v>
      </c>
    </row>
    <row r="35" spans="1:38" x14ac:dyDescent="0.25">
      <c r="A35" s="133"/>
      <c r="B35" s="245" t="str">
        <f>'T_Stock_TOTAL_&amp;_City'!B35</f>
        <v>Plugin Hybrid Electric - diesel</v>
      </c>
      <c r="C35" s="245" t="s">
        <v>321</v>
      </c>
      <c r="D35" s="680">
        <f t="shared" si="59"/>
        <v>0</v>
      </c>
      <c r="E35" s="680">
        <f t="shared" si="42"/>
        <v>0</v>
      </c>
      <c r="F35" s="680">
        <f t="shared" si="43"/>
        <v>0</v>
      </c>
      <c r="G35" s="680">
        <f t="shared" si="44"/>
        <v>0</v>
      </c>
      <c r="H35" s="680">
        <f t="shared" si="45"/>
        <v>0</v>
      </c>
      <c r="I35" s="680">
        <f t="shared" si="46"/>
        <v>0</v>
      </c>
      <c r="J35" s="680">
        <f t="shared" si="47"/>
        <v>0</v>
      </c>
      <c r="K35" s="680">
        <f t="shared" si="48"/>
        <v>0</v>
      </c>
      <c r="L35" s="680">
        <f t="shared" si="49"/>
        <v>0</v>
      </c>
      <c r="M35" s="680">
        <f t="shared" si="50"/>
        <v>0</v>
      </c>
      <c r="N35" s="680">
        <f t="shared" si="51"/>
        <v>0</v>
      </c>
      <c r="O35" s="680">
        <f t="shared" si="52"/>
        <v>0</v>
      </c>
      <c r="P35" s="680">
        <f t="shared" si="53"/>
        <v>0</v>
      </c>
      <c r="Q35" s="680">
        <f t="shared" si="54"/>
        <v>0</v>
      </c>
      <c r="R35" s="680">
        <f t="shared" si="55"/>
        <v>0</v>
      </c>
      <c r="S35" s="680">
        <f t="shared" si="56"/>
        <v>0</v>
      </c>
      <c r="U35" s="311">
        <f>'T_Stock_TOTAL_&amp;_City'!U35</f>
        <v>0</v>
      </c>
      <c r="W35" s="909">
        <f t="shared" si="60"/>
        <v>0</v>
      </c>
      <c r="X35" s="909">
        <f t="shared" si="57"/>
        <v>0</v>
      </c>
      <c r="Y35" s="909">
        <f t="shared" si="57"/>
        <v>0</v>
      </c>
      <c r="Z35" s="909">
        <f t="shared" si="57"/>
        <v>0</v>
      </c>
      <c r="AA35" s="909">
        <f t="shared" si="57"/>
        <v>0</v>
      </c>
      <c r="AB35" s="909">
        <f t="shared" si="57"/>
        <v>0</v>
      </c>
      <c r="AC35" s="909">
        <f t="shared" si="57"/>
        <v>0</v>
      </c>
      <c r="AD35" s="909">
        <f t="shared" si="57"/>
        <v>0</v>
      </c>
      <c r="AE35" s="909">
        <f t="shared" si="57"/>
        <v>0</v>
      </c>
      <c r="AF35" s="909">
        <f t="shared" si="57"/>
        <v>0</v>
      </c>
      <c r="AG35" s="909">
        <f t="shared" si="57"/>
        <v>0</v>
      </c>
      <c r="AH35" s="909">
        <f t="shared" si="57"/>
        <v>0</v>
      </c>
      <c r="AI35" s="909">
        <f t="shared" si="57"/>
        <v>0</v>
      </c>
      <c r="AJ35" s="909">
        <f t="shared" si="57"/>
        <v>0</v>
      </c>
      <c r="AK35" s="909">
        <f t="shared" si="57"/>
        <v>0</v>
      </c>
      <c r="AL35" s="532">
        <f t="shared" si="58"/>
        <v>0</v>
      </c>
    </row>
    <row r="36" spans="1:38" x14ac:dyDescent="0.25">
      <c r="A36" s="133"/>
      <c r="B36" s="245" t="str">
        <f>'T_Stock_TOTAL_&amp;_City'!B36</f>
        <v>Plugin Hybrid Electric - gasoline</v>
      </c>
      <c r="C36" s="245" t="s">
        <v>322</v>
      </c>
      <c r="D36" s="680">
        <f t="shared" si="59"/>
        <v>0</v>
      </c>
      <c r="E36" s="680">
        <f t="shared" si="42"/>
        <v>0</v>
      </c>
      <c r="F36" s="680">
        <f t="shared" si="43"/>
        <v>0</v>
      </c>
      <c r="G36" s="680">
        <f t="shared" si="44"/>
        <v>0</v>
      </c>
      <c r="H36" s="680">
        <f t="shared" si="45"/>
        <v>0</v>
      </c>
      <c r="I36" s="680">
        <f t="shared" si="46"/>
        <v>0</v>
      </c>
      <c r="J36" s="680">
        <f t="shared" si="47"/>
        <v>0</v>
      </c>
      <c r="K36" s="680">
        <f t="shared" si="48"/>
        <v>0</v>
      </c>
      <c r="L36" s="680">
        <f t="shared" si="49"/>
        <v>0</v>
      </c>
      <c r="M36" s="680">
        <f t="shared" si="50"/>
        <v>0</v>
      </c>
      <c r="N36" s="680">
        <f t="shared" si="51"/>
        <v>0</v>
      </c>
      <c r="O36" s="680">
        <f t="shared" si="52"/>
        <v>0</v>
      </c>
      <c r="P36" s="680">
        <f t="shared" si="53"/>
        <v>0</v>
      </c>
      <c r="Q36" s="680">
        <f t="shared" si="54"/>
        <v>0</v>
      </c>
      <c r="R36" s="680">
        <f t="shared" si="55"/>
        <v>0</v>
      </c>
      <c r="S36" s="680">
        <f t="shared" si="56"/>
        <v>0</v>
      </c>
      <c r="U36" s="311">
        <f>'T_Stock_TOTAL_&amp;_City'!U36</f>
        <v>0</v>
      </c>
      <c r="W36" s="909">
        <f t="shared" si="60"/>
        <v>0</v>
      </c>
      <c r="X36" s="909">
        <f t="shared" si="57"/>
        <v>0</v>
      </c>
      <c r="Y36" s="909">
        <f t="shared" si="57"/>
        <v>0</v>
      </c>
      <c r="Z36" s="909">
        <f t="shared" si="57"/>
        <v>0</v>
      </c>
      <c r="AA36" s="909">
        <f t="shared" si="57"/>
        <v>0</v>
      </c>
      <c r="AB36" s="909">
        <f t="shared" si="57"/>
        <v>0</v>
      </c>
      <c r="AC36" s="909">
        <f t="shared" si="57"/>
        <v>0</v>
      </c>
      <c r="AD36" s="909">
        <f t="shared" si="57"/>
        <v>0</v>
      </c>
      <c r="AE36" s="909">
        <f t="shared" si="57"/>
        <v>0</v>
      </c>
      <c r="AF36" s="909">
        <f t="shared" si="57"/>
        <v>0</v>
      </c>
      <c r="AG36" s="909">
        <f t="shared" si="57"/>
        <v>0</v>
      </c>
      <c r="AH36" s="909">
        <f t="shared" si="57"/>
        <v>0</v>
      </c>
      <c r="AI36" s="909">
        <f t="shared" si="57"/>
        <v>0</v>
      </c>
      <c r="AJ36" s="909">
        <f t="shared" si="57"/>
        <v>0</v>
      </c>
      <c r="AK36" s="909">
        <f t="shared" si="57"/>
        <v>0</v>
      </c>
      <c r="AL36" s="532">
        <f t="shared" si="58"/>
        <v>0</v>
      </c>
    </row>
    <row r="37" spans="1:38" x14ac:dyDescent="0.25">
      <c r="A37" s="133"/>
      <c r="B37" s="250" t="str">
        <f>'T_Stock_TOTAL_&amp;_City'!B37</f>
        <v>Other</v>
      </c>
      <c r="C37" s="250"/>
      <c r="D37" s="444">
        <f t="shared" si="59"/>
        <v>0</v>
      </c>
      <c r="E37" s="444">
        <f t="shared" si="42"/>
        <v>0</v>
      </c>
      <c r="F37" s="444">
        <f t="shared" si="43"/>
        <v>0</v>
      </c>
      <c r="G37" s="444">
        <f t="shared" si="44"/>
        <v>0</v>
      </c>
      <c r="H37" s="444">
        <f t="shared" si="45"/>
        <v>0</v>
      </c>
      <c r="I37" s="444">
        <f t="shared" si="46"/>
        <v>0</v>
      </c>
      <c r="J37" s="444">
        <f t="shared" si="47"/>
        <v>0</v>
      </c>
      <c r="K37" s="444">
        <f t="shared" si="48"/>
        <v>0</v>
      </c>
      <c r="L37" s="444">
        <f t="shared" si="49"/>
        <v>0</v>
      </c>
      <c r="M37" s="444">
        <f t="shared" si="50"/>
        <v>0</v>
      </c>
      <c r="N37" s="444">
        <f t="shared" si="51"/>
        <v>0</v>
      </c>
      <c r="O37" s="444">
        <f t="shared" si="52"/>
        <v>0</v>
      </c>
      <c r="P37" s="444">
        <f t="shared" si="53"/>
        <v>0</v>
      </c>
      <c r="Q37" s="444">
        <f t="shared" si="54"/>
        <v>0</v>
      </c>
      <c r="R37" s="444">
        <f t="shared" si="55"/>
        <v>0</v>
      </c>
      <c r="S37" s="444">
        <f t="shared" si="56"/>
        <v>0</v>
      </c>
      <c r="U37" s="335">
        <f>'T_Stock_TOTAL_&amp;_City'!U37</f>
        <v>0</v>
      </c>
      <c r="W37" s="909">
        <f t="shared" si="60"/>
        <v>0</v>
      </c>
      <c r="X37" s="909">
        <f t="shared" si="57"/>
        <v>0</v>
      </c>
      <c r="Y37" s="909">
        <f t="shared" si="57"/>
        <v>0</v>
      </c>
      <c r="Z37" s="909">
        <f t="shared" si="57"/>
        <v>0</v>
      </c>
      <c r="AA37" s="909">
        <f t="shared" si="57"/>
        <v>0</v>
      </c>
      <c r="AB37" s="909">
        <f t="shared" si="57"/>
        <v>0</v>
      </c>
      <c r="AC37" s="909">
        <f t="shared" si="57"/>
        <v>0</v>
      </c>
      <c r="AD37" s="909">
        <f t="shared" si="57"/>
        <v>0</v>
      </c>
      <c r="AE37" s="909">
        <f t="shared" si="57"/>
        <v>0</v>
      </c>
      <c r="AF37" s="909">
        <f t="shared" si="57"/>
        <v>0</v>
      </c>
      <c r="AG37" s="909">
        <f t="shared" si="57"/>
        <v>0</v>
      </c>
      <c r="AH37" s="909">
        <f t="shared" si="57"/>
        <v>0</v>
      </c>
      <c r="AI37" s="909">
        <f t="shared" si="57"/>
        <v>0</v>
      </c>
      <c r="AJ37" s="909">
        <f t="shared" si="57"/>
        <v>0</v>
      </c>
      <c r="AK37" s="909">
        <f t="shared" si="57"/>
        <v>0</v>
      </c>
      <c r="AL37" s="532">
        <f t="shared" si="58"/>
        <v>0</v>
      </c>
    </row>
    <row r="38" spans="1:38" x14ac:dyDescent="0.25">
      <c r="A38" s="133"/>
      <c r="B38" s="131" t="s">
        <v>119</v>
      </c>
      <c r="C38" s="131"/>
      <c r="D38" s="681">
        <f>SUM(D26:D37)</f>
        <v>0</v>
      </c>
      <c r="E38" s="681">
        <f t="shared" ref="E38" si="61">SUM(E26:E37)</f>
        <v>0</v>
      </c>
      <c r="F38" s="681">
        <f t="shared" ref="F38" si="62">SUM(F26:F37)</f>
        <v>0</v>
      </c>
      <c r="G38" s="681">
        <f t="shared" ref="G38" si="63">SUM(G26:G37)</f>
        <v>0</v>
      </c>
      <c r="H38" s="681">
        <f t="shared" ref="H38" si="64">SUM(H26:H37)</f>
        <v>0</v>
      </c>
      <c r="I38" s="681">
        <f t="shared" ref="I38" si="65">SUM(I26:I37)</f>
        <v>0</v>
      </c>
      <c r="J38" s="681">
        <f t="shared" ref="J38" si="66">SUM(J26:J37)</f>
        <v>0</v>
      </c>
      <c r="K38" s="681">
        <f t="shared" ref="K38" si="67">SUM(K26:K37)</f>
        <v>0</v>
      </c>
      <c r="L38" s="681">
        <f t="shared" ref="L38" si="68">SUM(L26:L37)</f>
        <v>0</v>
      </c>
      <c r="M38" s="681">
        <f t="shared" ref="M38" si="69">SUM(M26:M37)</f>
        <v>0</v>
      </c>
      <c r="N38" s="681">
        <f t="shared" ref="N38" si="70">SUM(N26:N37)</f>
        <v>0</v>
      </c>
      <c r="O38" s="681">
        <f t="shared" ref="O38" si="71">SUM(O26:O37)</f>
        <v>0</v>
      </c>
      <c r="P38" s="681">
        <f t="shared" ref="P38" si="72">SUM(P26:P37)</f>
        <v>0</v>
      </c>
      <c r="Q38" s="681">
        <f t="shared" ref="Q38" si="73">SUM(Q26:Q37)</f>
        <v>0</v>
      </c>
      <c r="R38" s="681">
        <f t="shared" ref="R38" si="74">SUM(R26:R37)</f>
        <v>0</v>
      </c>
      <c r="S38" s="681">
        <f t="shared" ref="S38" si="75">SUM(S26:S37)</f>
        <v>0</v>
      </c>
      <c r="U38" s="130">
        <f>SUM(U26:U37)</f>
        <v>0</v>
      </c>
    </row>
    <row r="40" spans="1:38" x14ac:dyDescent="0.25">
      <c r="B40" s="476" t="s">
        <v>123</v>
      </c>
      <c r="C40" s="339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W40" s="3" t="s">
        <v>299</v>
      </c>
    </row>
    <row r="41" spans="1:38" x14ac:dyDescent="0.25">
      <c r="B41" s="476" t="s">
        <v>103</v>
      </c>
      <c r="C41" s="264" t="s">
        <v>104</v>
      </c>
      <c r="D41" s="121" t="str">
        <f>D$9</f>
        <v>Z01</v>
      </c>
      <c r="E41" s="121" t="str">
        <f t="shared" ref="E41:R41" si="76">E$9</f>
        <v>Z02</v>
      </c>
      <c r="F41" s="121" t="str">
        <f t="shared" si="76"/>
        <v>Z03</v>
      </c>
      <c r="G41" s="121" t="str">
        <f t="shared" si="76"/>
        <v>Z04</v>
      </c>
      <c r="H41" s="121" t="str">
        <f t="shared" si="76"/>
        <v>Z05</v>
      </c>
      <c r="I41" s="121" t="str">
        <f t="shared" si="76"/>
        <v>Z06</v>
      </c>
      <c r="J41" s="121" t="str">
        <f t="shared" si="76"/>
        <v>Z07</v>
      </c>
      <c r="K41" s="121" t="str">
        <f t="shared" si="76"/>
        <v>Z08</v>
      </c>
      <c r="L41" s="121" t="str">
        <f t="shared" si="76"/>
        <v>Z09</v>
      </c>
      <c r="M41" s="121" t="str">
        <f t="shared" si="76"/>
        <v>Z10</v>
      </c>
      <c r="N41" s="121" t="str">
        <f t="shared" si="76"/>
        <v>Z11</v>
      </c>
      <c r="O41" s="121" t="str">
        <f t="shared" si="76"/>
        <v>Z12</v>
      </c>
      <c r="P41" s="121" t="str">
        <f t="shared" si="76"/>
        <v>Z13</v>
      </c>
      <c r="Q41" s="121" t="str">
        <f t="shared" si="76"/>
        <v>Z14</v>
      </c>
      <c r="R41" s="121" t="str">
        <f t="shared" si="76"/>
        <v>Z15</v>
      </c>
      <c r="S41" s="121" t="s">
        <v>100</v>
      </c>
      <c r="U41" s="17" t="str">
        <f>$U$9</f>
        <v>Private stock</v>
      </c>
      <c r="W41" s="121" t="str">
        <f t="shared" ref="W41:AK41" si="77">D41</f>
        <v>Z01</v>
      </c>
      <c r="X41" s="121" t="str">
        <f t="shared" si="77"/>
        <v>Z02</v>
      </c>
      <c r="Y41" s="121" t="str">
        <f t="shared" si="77"/>
        <v>Z03</v>
      </c>
      <c r="Z41" s="121" t="str">
        <f t="shared" si="77"/>
        <v>Z04</v>
      </c>
      <c r="AA41" s="121" t="str">
        <f t="shared" si="77"/>
        <v>Z05</v>
      </c>
      <c r="AB41" s="121" t="str">
        <f t="shared" si="77"/>
        <v>Z06</v>
      </c>
      <c r="AC41" s="121" t="str">
        <f t="shared" si="77"/>
        <v>Z07</v>
      </c>
      <c r="AD41" s="121" t="str">
        <f t="shared" si="77"/>
        <v>Z08</v>
      </c>
      <c r="AE41" s="121" t="str">
        <f t="shared" si="77"/>
        <v>Z09</v>
      </c>
      <c r="AF41" s="121" t="str">
        <f t="shared" si="77"/>
        <v>Z10</v>
      </c>
      <c r="AG41" s="121" t="str">
        <f t="shared" si="77"/>
        <v>Z11</v>
      </c>
      <c r="AH41" s="121" t="str">
        <f t="shared" si="77"/>
        <v>Z12</v>
      </c>
      <c r="AI41" s="121" t="str">
        <f t="shared" si="77"/>
        <v>Z13</v>
      </c>
      <c r="AJ41" s="121" t="str">
        <f t="shared" si="77"/>
        <v>Z14</v>
      </c>
      <c r="AK41" s="121" t="str">
        <f t="shared" si="77"/>
        <v>Z15</v>
      </c>
      <c r="AL41" s="121" t="s">
        <v>100</v>
      </c>
    </row>
    <row r="42" spans="1:38" x14ac:dyDescent="0.25">
      <c r="B42" s="245" t="str">
        <f>'T_Stock_TOTAL_&amp;_City'!B42</f>
        <v>Biodiesel</v>
      </c>
      <c r="C42" s="245"/>
      <c r="D42" s="680">
        <f>$U42*W42</f>
        <v>0</v>
      </c>
      <c r="E42" s="680">
        <f t="shared" ref="E42:E53" si="78">$U42*X42</f>
        <v>0</v>
      </c>
      <c r="F42" s="680">
        <f t="shared" ref="F42:F53" si="79">$U42*Y42</f>
        <v>0</v>
      </c>
      <c r="G42" s="680">
        <f t="shared" ref="G42:G53" si="80">$U42*Z42</f>
        <v>0</v>
      </c>
      <c r="H42" s="680">
        <f t="shared" ref="H42:H53" si="81">$U42*AA42</f>
        <v>0</v>
      </c>
      <c r="I42" s="680">
        <f t="shared" ref="I42:I53" si="82">$U42*AB42</f>
        <v>0</v>
      </c>
      <c r="J42" s="680">
        <f t="shared" ref="J42:J53" si="83">$U42*AC42</f>
        <v>0</v>
      </c>
      <c r="K42" s="680">
        <f t="shared" ref="K42:K53" si="84">$U42*AD42</f>
        <v>0</v>
      </c>
      <c r="L42" s="680">
        <f t="shared" ref="L42:L53" si="85">$U42*AE42</f>
        <v>0</v>
      </c>
      <c r="M42" s="680">
        <f t="shared" ref="M42:M53" si="86">$U42*AF42</f>
        <v>0</v>
      </c>
      <c r="N42" s="680">
        <f t="shared" ref="N42:N53" si="87">$U42*AG42</f>
        <v>0</v>
      </c>
      <c r="O42" s="680">
        <f t="shared" ref="O42:O53" si="88">$U42*AH42</f>
        <v>0</v>
      </c>
      <c r="P42" s="680">
        <f t="shared" ref="P42:P53" si="89">$U42*AI42</f>
        <v>0</v>
      </c>
      <c r="Q42" s="680">
        <f t="shared" ref="Q42:Q53" si="90">$U42*AJ42</f>
        <v>0</v>
      </c>
      <c r="R42" s="680">
        <f t="shared" ref="R42:R53" si="91">$U42*AK42</f>
        <v>0</v>
      </c>
      <c r="S42" s="680">
        <f t="shared" ref="S42:S53" si="92">$U42*AL42</f>
        <v>0</v>
      </c>
      <c r="U42" s="311">
        <f>'T_Stock_TOTAL_&amp;_City'!U42-'T_Stock_TOTAL_&amp;_City'!V42</f>
        <v>0</v>
      </c>
      <c r="W42" s="909">
        <f>W$6</f>
        <v>0</v>
      </c>
      <c r="X42" s="909">
        <f t="shared" ref="X42:AK53" si="93">X$6</f>
        <v>0</v>
      </c>
      <c r="Y42" s="909">
        <f t="shared" si="93"/>
        <v>0</v>
      </c>
      <c r="Z42" s="909">
        <f t="shared" si="93"/>
        <v>0</v>
      </c>
      <c r="AA42" s="909">
        <f t="shared" si="93"/>
        <v>0</v>
      </c>
      <c r="AB42" s="909">
        <f t="shared" si="93"/>
        <v>0</v>
      </c>
      <c r="AC42" s="909">
        <f t="shared" si="93"/>
        <v>0</v>
      </c>
      <c r="AD42" s="909">
        <f t="shared" si="93"/>
        <v>0</v>
      </c>
      <c r="AE42" s="909">
        <f t="shared" si="93"/>
        <v>0</v>
      </c>
      <c r="AF42" s="909">
        <f t="shared" si="93"/>
        <v>0</v>
      </c>
      <c r="AG42" s="909">
        <f t="shared" si="93"/>
        <v>0</v>
      </c>
      <c r="AH42" s="909">
        <f t="shared" si="93"/>
        <v>0</v>
      </c>
      <c r="AI42" s="909">
        <f t="shared" si="93"/>
        <v>0</v>
      </c>
      <c r="AJ42" s="909">
        <f t="shared" si="93"/>
        <v>0</v>
      </c>
      <c r="AK42" s="909">
        <f t="shared" si="93"/>
        <v>0</v>
      </c>
      <c r="AL42" s="532">
        <f t="shared" ref="AL42:AL53" si="94">SUM(W42:AK42)</f>
        <v>0</v>
      </c>
    </row>
    <row r="43" spans="1:38" x14ac:dyDescent="0.25">
      <c r="B43" s="245" t="str">
        <f>'T_Stock_TOTAL_&amp;_City'!B43</f>
        <v>Diesel</v>
      </c>
      <c r="C43" s="245"/>
      <c r="D43" s="680">
        <f t="shared" ref="D43:D53" si="95">$U43*W43</f>
        <v>0</v>
      </c>
      <c r="E43" s="680">
        <f t="shared" si="78"/>
        <v>0</v>
      </c>
      <c r="F43" s="680">
        <f t="shared" si="79"/>
        <v>0</v>
      </c>
      <c r="G43" s="680">
        <f t="shared" si="80"/>
        <v>0</v>
      </c>
      <c r="H43" s="680">
        <f t="shared" si="81"/>
        <v>0</v>
      </c>
      <c r="I43" s="680">
        <f t="shared" si="82"/>
        <v>0</v>
      </c>
      <c r="J43" s="680">
        <f t="shared" si="83"/>
        <v>0</v>
      </c>
      <c r="K43" s="680">
        <f t="shared" si="84"/>
        <v>0</v>
      </c>
      <c r="L43" s="680">
        <f t="shared" si="85"/>
        <v>0</v>
      </c>
      <c r="M43" s="680">
        <f t="shared" si="86"/>
        <v>0</v>
      </c>
      <c r="N43" s="680">
        <f t="shared" si="87"/>
        <v>0</v>
      </c>
      <c r="O43" s="680">
        <f t="shared" si="88"/>
        <v>0</v>
      </c>
      <c r="P43" s="680">
        <f t="shared" si="89"/>
        <v>0</v>
      </c>
      <c r="Q43" s="680">
        <f t="shared" si="90"/>
        <v>0</v>
      </c>
      <c r="R43" s="680">
        <f t="shared" si="91"/>
        <v>0</v>
      </c>
      <c r="S43" s="680">
        <f t="shared" si="92"/>
        <v>0</v>
      </c>
      <c r="U43" s="311">
        <f>'T_Stock_TOTAL_&amp;_City'!U43-'T_Stock_TOTAL_&amp;_City'!V43</f>
        <v>0</v>
      </c>
      <c r="W43" s="909">
        <f t="shared" ref="W43:W53" si="96">W$6</f>
        <v>0</v>
      </c>
      <c r="X43" s="909">
        <f t="shared" si="93"/>
        <v>0</v>
      </c>
      <c r="Y43" s="909">
        <f t="shared" si="93"/>
        <v>0</v>
      </c>
      <c r="Z43" s="909">
        <f t="shared" si="93"/>
        <v>0</v>
      </c>
      <c r="AA43" s="909">
        <f t="shared" si="93"/>
        <v>0</v>
      </c>
      <c r="AB43" s="909">
        <f t="shared" si="93"/>
        <v>0</v>
      </c>
      <c r="AC43" s="909">
        <f t="shared" si="93"/>
        <v>0</v>
      </c>
      <c r="AD43" s="909">
        <f t="shared" si="93"/>
        <v>0</v>
      </c>
      <c r="AE43" s="909">
        <f t="shared" si="93"/>
        <v>0</v>
      </c>
      <c r="AF43" s="909">
        <f t="shared" si="93"/>
        <v>0</v>
      </c>
      <c r="AG43" s="909">
        <f t="shared" si="93"/>
        <v>0</v>
      </c>
      <c r="AH43" s="909">
        <f t="shared" si="93"/>
        <v>0</v>
      </c>
      <c r="AI43" s="909">
        <f t="shared" si="93"/>
        <v>0</v>
      </c>
      <c r="AJ43" s="909">
        <f t="shared" si="93"/>
        <v>0</v>
      </c>
      <c r="AK43" s="909">
        <f t="shared" si="93"/>
        <v>0</v>
      </c>
      <c r="AL43" s="532">
        <f t="shared" si="94"/>
        <v>0</v>
      </c>
    </row>
    <row r="44" spans="1:38" x14ac:dyDescent="0.25">
      <c r="B44" s="245" t="str">
        <f>'T_Stock_TOTAL_&amp;_City'!B44</f>
        <v>Battery electric (BEV)</v>
      </c>
      <c r="C44" s="245" t="s">
        <v>323</v>
      </c>
      <c r="D44" s="680">
        <f t="shared" si="95"/>
        <v>0</v>
      </c>
      <c r="E44" s="680">
        <f t="shared" si="78"/>
        <v>0</v>
      </c>
      <c r="F44" s="680">
        <f t="shared" si="79"/>
        <v>0</v>
      </c>
      <c r="G44" s="680">
        <f t="shared" si="80"/>
        <v>0</v>
      </c>
      <c r="H44" s="680">
        <f t="shared" si="81"/>
        <v>0</v>
      </c>
      <c r="I44" s="680">
        <f t="shared" si="82"/>
        <v>0</v>
      </c>
      <c r="J44" s="680">
        <f t="shared" si="83"/>
        <v>0</v>
      </c>
      <c r="K44" s="680">
        <f t="shared" si="84"/>
        <v>0</v>
      </c>
      <c r="L44" s="680">
        <f t="shared" si="85"/>
        <v>0</v>
      </c>
      <c r="M44" s="680">
        <f t="shared" si="86"/>
        <v>0</v>
      </c>
      <c r="N44" s="680">
        <f t="shared" si="87"/>
        <v>0</v>
      </c>
      <c r="O44" s="680">
        <f t="shared" si="88"/>
        <v>0</v>
      </c>
      <c r="P44" s="680">
        <f t="shared" si="89"/>
        <v>0</v>
      </c>
      <c r="Q44" s="680">
        <f t="shared" si="90"/>
        <v>0</v>
      </c>
      <c r="R44" s="680">
        <f t="shared" si="91"/>
        <v>0</v>
      </c>
      <c r="S44" s="680">
        <f t="shared" si="92"/>
        <v>0</v>
      </c>
      <c r="U44" s="311">
        <f>'T_Stock_TOTAL_&amp;_City'!U44-'T_Stock_TOTAL_&amp;_City'!V44</f>
        <v>0</v>
      </c>
      <c r="W44" s="909">
        <f t="shared" si="96"/>
        <v>0</v>
      </c>
      <c r="X44" s="909">
        <f t="shared" si="93"/>
        <v>0</v>
      </c>
      <c r="Y44" s="909">
        <f t="shared" si="93"/>
        <v>0</v>
      </c>
      <c r="Z44" s="909">
        <f t="shared" si="93"/>
        <v>0</v>
      </c>
      <c r="AA44" s="909">
        <f t="shared" si="93"/>
        <v>0</v>
      </c>
      <c r="AB44" s="909">
        <f t="shared" si="93"/>
        <v>0</v>
      </c>
      <c r="AC44" s="909">
        <f t="shared" si="93"/>
        <v>0</v>
      </c>
      <c r="AD44" s="909">
        <f t="shared" si="93"/>
        <v>0</v>
      </c>
      <c r="AE44" s="909">
        <f t="shared" si="93"/>
        <v>0</v>
      </c>
      <c r="AF44" s="909">
        <f t="shared" si="93"/>
        <v>0</v>
      </c>
      <c r="AG44" s="909">
        <f t="shared" si="93"/>
        <v>0</v>
      </c>
      <c r="AH44" s="909">
        <f t="shared" si="93"/>
        <v>0</v>
      </c>
      <c r="AI44" s="909">
        <f t="shared" si="93"/>
        <v>0</v>
      </c>
      <c r="AJ44" s="909">
        <f t="shared" si="93"/>
        <v>0</v>
      </c>
      <c r="AK44" s="909">
        <f t="shared" si="93"/>
        <v>0</v>
      </c>
      <c r="AL44" s="532">
        <f t="shared" si="94"/>
        <v>0</v>
      </c>
    </row>
    <row r="45" spans="1:38" x14ac:dyDescent="0.25">
      <c r="B45" s="245" t="str">
        <f>'T_Stock_TOTAL_&amp;_City'!B45</f>
        <v>Ethanol</v>
      </c>
      <c r="C45" s="245"/>
      <c r="D45" s="680">
        <f t="shared" si="95"/>
        <v>0</v>
      </c>
      <c r="E45" s="680">
        <f t="shared" si="78"/>
        <v>0</v>
      </c>
      <c r="F45" s="680">
        <f t="shared" si="79"/>
        <v>0</v>
      </c>
      <c r="G45" s="680">
        <f t="shared" si="80"/>
        <v>0</v>
      </c>
      <c r="H45" s="680">
        <f t="shared" si="81"/>
        <v>0</v>
      </c>
      <c r="I45" s="680">
        <f t="shared" si="82"/>
        <v>0</v>
      </c>
      <c r="J45" s="680">
        <f t="shared" si="83"/>
        <v>0</v>
      </c>
      <c r="K45" s="680">
        <f t="shared" si="84"/>
        <v>0</v>
      </c>
      <c r="L45" s="680">
        <f t="shared" si="85"/>
        <v>0</v>
      </c>
      <c r="M45" s="680">
        <f t="shared" si="86"/>
        <v>0</v>
      </c>
      <c r="N45" s="680">
        <f t="shared" si="87"/>
        <v>0</v>
      </c>
      <c r="O45" s="680">
        <f t="shared" si="88"/>
        <v>0</v>
      </c>
      <c r="P45" s="680">
        <f t="shared" si="89"/>
        <v>0</v>
      </c>
      <c r="Q45" s="680">
        <f t="shared" si="90"/>
        <v>0</v>
      </c>
      <c r="R45" s="680">
        <f t="shared" si="91"/>
        <v>0</v>
      </c>
      <c r="S45" s="680">
        <f t="shared" si="92"/>
        <v>0</v>
      </c>
      <c r="U45" s="311">
        <f>'T_Stock_TOTAL_&amp;_City'!U45-'T_Stock_TOTAL_&amp;_City'!V45</f>
        <v>0</v>
      </c>
      <c r="W45" s="909">
        <f t="shared" si="96"/>
        <v>0</v>
      </c>
      <c r="X45" s="909">
        <f t="shared" si="93"/>
        <v>0</v>
      </c>
      <c r="Y45" s="909">
        <f t="shared" si="93"/>
        <v>0</v>
      </c>
      <c r="Z45" s="909">
        <f t="shared" si="93"/>
        <v>0</v>
      </c>
      <c r="AA45" s="909">
        <f t="shared" si="93"/>
        <v>0</v>
      </c>
      <c r="AB45" s="909">
        <f t="shared" si="93"/>
        <v>0</v>
      </c>
      <c r="AC45" s="909">
        <f t="shared" si="93"/>
        <v>0</v>
      </c>
      <c r="AD45" s="909">
        <f t="shared" si="93"/>
        <v>0</v>
      </c>
      <c r="AE45" s="909">
        <f t="shared" si="93"/>
        <v>0</v>
      </c>
      <c r="AF45" s="909">
        <f t="shared" si="93"/>
        <v>0</v>
      </c>
      <c r="AG45" s="909">
        <f t="shared" si="93"/>
        <v>0</v>
      </c>
      <c r="AH45" s="909">
        <f t="shared" si="93"/>
        <v>0</v>
      </c>
      <c r="AI45" s="909">
        <f t="shared" si="93"/>
        <v>0</v>
      </c>
      <c r="AJ45" s="909">
        <f t="shared" si="93"/>
        <v>0</v>
      </c>
      <c r="AK45" s="909">
        <f t="shared" si="93"/>
        <v>0</v>
      </c>
      <c r="AL45" s="532">
        <f t="shared" si="94"/>
        <v>0</v>
      </c>
    </row>
    <row r="46" spans="1:38" x14ac:dyDescent="0.25">
      <c r="B46" s="245" t="str">
        <f>'T_Stock_TOTAL_&amp;_City'!B46</f>
        <v>Gas (CNG)</v>
      </c>
      <c r="C46" s="245"/>
      <c r="D46" s="680">
        <f t="shared" si="95"/>
        <v>0</v>
      </c>
      <c r="E46" s="680">
        <f t="shared" si="78"/>
        <v>0</v>
      </c>
      <c r="F46" s="680">
        <f t="shared" si="79"/>
        <v>0</v>
      </c>
      <c r="G46" s="680">
        <f t="shared" si="80"/>
        <v>0</v>
      </c>
      <c r="H46" s="680">
        <f t="shared" si="81"/>
        <v>0</v>
      </c>
      <c r="I46" s="680">
        <f t="shared" si="82"/>
        <v>0</v>
      </c>
      <c r="J46" s="680">
        <f t="shared" si="83"/>
        <v>0</v>
      </c>
      <c r="K46" s="680">
        <f t="shared" si="84"/>
        <v>0</v>
      </c>
      <c r="L46" s="680">
        <f t="shared" si="85"/>
        <v>0</v>
      </c>
      <c r="M46" s="680">
        <f t="shared" si="86"/>
        <v>0</v>
      </c>
      <c r="N46" s="680">
        <f t="shared" si="87"/>
        <v>0</v>
      </c>
      <c r="O46" s="680">
        <f t="shared" si="88"/>
        <v>0</v>
      </c>
      <c r="P46" s="680">
        <f t="shared" si="89"/>
        <v>0</v>
      </c>
      <c r="Q46" s="680">
        <f t="shared" si="90"/>
        <v>0</v>
      </c>
      <c r="R46" s="680">
        <f t="shared" si="91"/>
        <v>0</v>
      </c>
      <c r="S46" s="680">
        <f t="shared" si="92"/>
        <v>0</v>
      </c>
      <c r="U46" s="311">
        <f>'T_Stock_TOTAL_&amp;_City'!U46-'T_Stock_TOTAL_&amp;_City'!V46</f>
        <v>0</v>
      </c>
      <c r="W46" s="909">
        <f t="shared" si="96"/>
        <v>0</v>
      </c>
      <c r="X46" s="909">
        <f t="shared" si="93"/>
        <v>0</v>
      </c>
      <c r="Y46" s="909">
        <f t="shared" si="93"/>
        <v>0</v>
      </c>
      <c r="Z46" s="909">
        <f t="shared" si="93"/>
        <v>0</v>
      </c>
      <c r="AA46" s="909">
        <f t="shared" si="93"/>
        <v>0</v>
      </c>
      <c r="AB46" s="909">
        <f t="shared" si="93"/>
        <v>0</v>
      </c>
      <c r="AC46" s="909">
        <f t="shared" si="93"/>
        <v>0</v>
      </c>
      <c r="AD46" s="909">
        <f t="shared" si="93"/>
        <v>0</v>
      </c>
      <c r="AE46" s="909">
        <f t="shared" si="93"/>
        <v>0</v>
      </c>
      <c r="AF46" s="909">
        <f t="shared" si="93"/>
        <v>0</v>
      </c>
      <c r="AG46" s="909">
        <f t="shared" si="93"/>
        <v>0</v>
      </c>
      <c r="AH46" s="909">
        <f t="shared" si="93"/>
        <v>0</v>
      </c>
      <c r="AI46" s="909">
        <f t="shared" si="93"/>
        <v>0</v>
      </c>
      <c r="AJ46" s="909">
        <f t="shared" si="93"/>
        <v>0</v>
      </c>
      <c r="AK46" s="909">
        <f t="shared" si="93"/>
        <v>0</v>
      </c>
      <c r="AL46" s="532">
        <f t="shared" si="94"/>
        <v>0</v>
      </c>
    </row>
    <row r="47" spans="1:38" x14ac:dyDescent="0.25">
      <c r="B47" s="245" t="str">
        <f>'T_Stock_TOTAL_&amp;_City'!B47</f>
        <v>Gasoline</v>
      </c>
      <c r="C47" s="245" t="s">
        <v>324</v>
      </c>
      <c r="D47" s="680">
        <f t="shared" si="95"/>
        <v>0</v>
      </c>
      <c r="E47" s="680">
        <f t="shared" si="78"/>
        <v>0</v>
      </c>
      <c r="F47" s="680">
        <f t="shared" si="79"/>
        <v>0</v>
      </c>
      <c r="G47" s="680">
        <f t="shared" si="80"/>
        <v>0</v>
      </c>
      <c r="H47" s="680">
        <f t="shared" si="81"/>
        <v>0</v>
      </c>
      <c r="I47" s="680">
        <f t="shared" si="82"/>
        <v>0</v>
      </c>
      <c r="J47" s="680">
        <f t="shared" si="83"/>
        <v>0</v>
      </c>
      <c r="K47" s="680">
        <f t="shared" si="84"/>
        <v>0</v>
      </c>
      <c r="L47" s="680">
        <f t="shared" si="85"/>
        <v>0</v>
      </c>
      <c r="M47" s="680">
        <f t="shared" si="86"/>
        <v>0</v>
      </c>
      <c r="N47" s="680">
        <f t="shared" si="87"/>
        <v>0</v>
      </c>
      <c r="O47" s="680">
        <f t="shared" si="88"/>
        <v>0</v>
      </c>
      <c r="P47" s="680">
        <f t="shared" si="89"/>
        <v>0</v>
      </c>
      <c r="Q47" s="680">
        <f t="shared" si="90"/>
        <v>0</v>
      </c>
      <c r="R47" s="680">
        <f t="shared" si="91"/>
        <v>0</v>
      </c>
      <c r="S47" s="680">
        <f t="shared" si="92"/>
        <v>0</v>
      </c>
      <c r="U47" s="311">
        <f>'T_Stock_TOTAL_&amp;_City'!U47-'T_Stock_TOTAL_&amp;_City'!V47</f>
        <v>0</v>
      </c>
      <c r="W47" s="909">
        <f t="shared" si="96"/>
        <v>0</v>
      </c>
      <c r="X47" s="909">
        <f t="shared" si="93"/>
        <v>0</v>
      </c>
      <c r="Y47" s="909">
        <f t="shared" si="93"/>
        <v>0</v>
      </c>
      <c r="Z47" s="909">
        <f t="shared" si="93"/>
        <v>0</v>
      </c>
      <c r="AA47" s="909">
        <f t="shared" si="93"/>
        <v>0</v>
      </c>
      <c r="AB47" s="909">
        <f t="shared" si="93"/>
        <v>0</v>
      </c>
      <c r="AC47" s="909">
        <f t="shared" si="93"/>
        <v>0</v>
      </c>
      <c r="AD47" s="909">
        <f t="shared" si="93"/>
        <v>0</v>
      </c>
      <c r="AE47" s="909">
        <f t="shared" si="93"/>
        <v>0</v>
      </c>
      <c r="AF47" s="909">
        <f t="shared" si="93"/>
        <v>0</v>
      </c>
      <c r="AG47" s="909">
        <f t="shared" si="93"/>
        <v>0</v>
      </c>
      <c r="AH47" s="909">
        <f t="shared" si="93"/>
        <v>0</v>
      </c>
      <c r="AI47" s="909">
        <f t="shared" si="93"/>
        <v>0</v>
      </c>
      <c r="AJ47" s="909">
        <f t="shared" si="93"/>
        <v>0</v>
      </c>
      <c r="AK47" s="909">
        <f t="shared" si="93"/>
        <v>0</v>
      </c>
      <c r="AL47" s="532">
        <f t="shared" si="94"/>
        <v>0</v>
      </c>
    </row>
    <row r="48" spans="1:38" x14ac:dyDescent="0.25">
      <c r="B48" s="245" t="str">
        <f>'T_Stock_TOTAL_&amp;_City'!B48</f>
        <v>Hybrid Electric - diesel</v>
      </c>
      <c r="C48" s="245"/>
      <c r="D48" s="680">
        <f t="shared" si="95"/>
        <v>0</v>
      </c>
      <c r="E48" s="680">
        <f t="shared" si="78"/>
        <v>0</v>
      </c>
      <c r="F48" s="680">
        <f t="shared" si="79"/>
        <v>0</v>
      </c>
      <c r="G48" s="680">
        <f t="shared" si="80"/>
        <v>0</v>
      </c>
      <c r="H48" s="680">
        <f t="shared" si="81"/>
        <v>0</v>
      </c>
      <c r="I48" s="680">
        <f t="shared" si="82"/>
        <v>0</v>
      </c>
      <c r="J48" s="680">
        <f t="shared" si="83"/>
        <v>0</v>
      </c>
      <c r="K48" s="680">
        <f t="shared" si="84"/>
        <v>0</v>
      </c>
      <c r="L48" s="680">
        <f t="shared" si="85"/>
        <v>0</v>
      </c>
      <c r="M48" s="680">
        <f t="shared" si="86"/>
        <v>0</v>
      </c>
      <c r="N48" s="680">
        <f t="shared" si="87"/>
        <v>0</v>
      </c>
      <c r="O48" s="680">
        <f t="shared" si="88"/>
        <v>0</v>
      </c>
      <c r="P48" s="680">
        <f t="shared" si="89"/>
        <v>0</v>
      </c>
      <c r="Q48" s="680">
        <f t="shared" si="90"/>
        <v>0</v>
      </c>
      <c r="R48" s="680">
        <f t="shared" si="91"/>
        <v>0</v>
      </c>
      <c r="S48" s="680">
        <f t="shared" si="92"/>
        <v>0</v>
      </c>
      <c r="U48" s="311">
        <f>'T_Stock_TOTAL_&amp;_City'!U48-'T_Stock_TOTAL_&amp;_City'!V48</f>
        <v>0</v>
      </c>
      <c r="W48" s="909">
        <f t="shared" si="96"/>
        <v>0</v>
      </c>
      <c r="X48" s="909">
        <f t="shared" si="93"/>
        <v>0</v>
      </c>
      <c r="Y48" s="909">
        <f t="shared" si="93"/>
        <v>0</v>
      </c>
      <c r="Z48" s="909">
        <f t="shared" si="93"/>
        <v>0</v>
      </c>
      <c r="AA48" s="909">
        <f t="shared" si="93"/>
        <v>0</v>
      </c>
      <c r="AB48" s="909">
        <f t="shared" si="93"/>
        <v>0</v>
      </c>
      <c r="AC48" s="909">
        <f t="shared" si="93"/>
        <v>0</v>
      </c>
      <c r="AD48" s="909">
        <f t="shared" si="93"/>
        <v>0</v>
      </c>
      <c r="AE48" s="909">
        <f t="shared" si="93"/>
        <v>0</v>
      </c>
      <c r="AF48" s="909">
        <f t="shared" si="93"/>
        <v>0</v>
      </c>
      <c r="AG48" s="909">
        <f t="shared" si="93"/>
        <v>0</v>
      </c>
      <c r="AH48" s="909">
        <f t="shared" si="93"/>
        <v>0</v>
      </c>
      <c r="AI48" s="909">
        <f t="shared" si="93"/>
        <v>0</v>
      </c>
      <c r="AJ48" s="909">
        <f t="shared" si="93"/>
        <v>0</v>
      </c>
      <c r="AK48" s="909">
        <f t="shared" si="93"/>
        <v>0</v>
      </c>
      <c r="AL48" s="532">
        <f t="shared" si="94"/>
        <v>0</v>
      </c>
    </row>
    <row r="49" spans="2:38" x14ac:dyDescent="0.25">
      <c r="B49" s="245" t="str">
        <f>'T_Stock_TOTAL_&amp;_City'!B49</f>
        <v>Hybrid Electric - gasoline</v>
      </c>
      <c r="C49" s="245"/>
      <c r="D49" s="680">
        <f t="shared" si="95"/>
        <v>0</v>
      </c>
      <c r="E49" s="680">
        <f t="shared" si="78"/>
        <v>0</v>
      </c>
      <c r="F49" s="680">
        <f t="shared" si="79"/>
        <v>0</v>
      </c>
      <c r="G49" s="680">
        <f t="shared" si="80"/>
        <v>0</v>
      </c>
      <c r="H49" s="680">
        <f t="shared" si="81"/>
        <v>0</v>
      </c>
      <c r="I49" s="680">
        <f t="shared" si="82"/>
        <v>0</v>
      </c>
      <c r="J49" s="680">
        <f t="shared" si="83"/>
        <v>0</v>
      </c>
      <c r="K49" s="680">
        <f t="shared" si="84"/>
        <v>0</v>
      </c>
      <c r="L49" s="680">
        <f t="shared" si="85"/>
        <v>0</v>
      </c>
      <c r="M49" s="680">
        <f t="shared" si="86"/>
        <v>0</v>
      </c>
      <c r="N49" s="680">
        <f t="shared" si="87"/>
        <v>0</v>
      </c>
      <c r="O49" s="680">
        <f t="shared" si="88"/>
        <v>0</v>
      </c>
      <c r="P49" s="680">
        <f t="shared" si="89"/>
        <v>0</v>
      </c>
      <c r="Q49" s="680">
        <f t="shared" si="90"/>
        <v>0</v>
      </c>
      <c r="R49" s="680">
        <f t="shared" si="91"/>
        <v>0</v>
      </c>
      <c r="S49" s="680">
        <f t="shared" si="92"/>
        <v>0</v>
      </c>
      <c r="U49" s="311">
        <f>'T_Stock_TOTAL_&amp;_City'!U49-'T_Stock_TOTAL_&amp;_City'!V49</f>
        <v>0</v>
      </c>
      <c r="W49" s="909">
        <f t="shared" si="96"/>
        <v>0</v>
      </c>
      <c r="X49" s="909">
        <f t="shared" si="93"/>
        <v>0</v>
      </c>
      <c r="Y49" s="909">
        <f t="shared" si="93"/>
        <v>0</v>
      </c>
      <c r="Z49" s="909">
        <f t="shared" si="93"/>
        <v>0</v>
      </c>
      <c r="AA49" s="909">
        <f t="shared" si="93"/>
        <v>0</v>
      </c>
      <c r="AB49" s="909">
        <f t="shared" si="93"/>
        <v>0</v>
      </c>
      <c r="AC49" s="909">
        <f t="shared" si="93"/>
        <v>0</v>
      </c>
      <c r="AD49" s="909">
        <f t="shared" si="93"/>
        <v>0</v>
      </c>
      <c r="AE49" s="909">
        <f t="shared" si="93"/>
        <v>0</v>
      </c>
      <c r="AF49" s="909">
        <f t="shared" si="93"/>
        <v>0</v>
      </c>
      <c r="AG49" s="909">
        <f t="shared" si="93"/>
        <v>0</v>
      </c>
      <c r="AH49" s="909">
        <f t="shared" si="93"/>
        <v>0</v>
      </c>
      <c r="AI49" s="909">
        <f t="shared" si="93"/>
        <v>0</v>
      </c>
      <c r="AJ49" s="909">
        <f t="shared" si="93"/>
        <v>0</v>
      </c>
      <c r="AK49" s="909">
        <f t="shared" si="93"/>
        <v>0</v>
      </c>
      <c r="AL49" s="532">
        <f t="shared" si="94"/>
        <v>0</v>
      </c>
    </row>
    <row r="50" spans="2:38" x14ac:dyDescent="0.25">
      <c r="B50" s="245" t="str">
        <f>'T_Stock_TOTAL_&amp;_City'!B50</f>
        <v>LPG</v>
      </c>
      <c r="C50" s="245"/>
      <c r="D50" s="680">
        <f t="shared" si="95"/>
        <v>0</v>
      </c>
      <c r="E50" s="680">
        <f t="shared" si="78"/>
        <v>0</v>
      </c>
      <c r="F50" s="680">
        <f t="shared" si="79"/>
        <v>0</v>
      </c>
      <c r="G50" s="680">
        <f t="shared" si="80"/>
        <v>0</v>
      </c>
      <c r="H50" s="680">
        <f t="shared" si="81"/>
        <v>0</v>
      </c>
      <c r="I50" s="680">
        <f t="shared" si="82"/>
        <v>0</v>
      </c>
      <c r="J50" s="680">
        <f t="shared" si="83"/>
        <v>0</v>
      </c>
      <c r="K50" s="680">
        <f t="shared" si="84"/>
        <v>0</v>
      </c>
      <c r="L50" s="680">
        <f t="shared" si="85"/>
        <v>0</v>
      </c>
      <c r="M50" s="680">
        <f t="shared" si="86"/>
        <v>0</v>
      </c>
      <c r="N50" s="680">
        <f t="shared" si="87"/>
        <v>0</v>
      </c>
      <c r="O50" s="680">
        <f t="shared" si="88"/>
        <v>0</v>
      </c>
      <c r="P50" s="680">
        <f t="shared" si="89"/>
        <v>0</v>
      </c>
      <c r="Q50" s="680">
        <f t="shared" si="90"/>
        <v>0</v>
      </c>
      <c r="R50" s="680">
        <f t="shared" si="91"/>
        <v>0</v>
      </c>
      <c r="S50" s="680">
        <f t="shared" si="92"/>
        <v>0</v>
      </c>
      <c r="U50" s="311">
        <f>'T_Stock_TOTAL_&amp;_City'!U50-'T_Stock_TOTAL_&amp;_City'!V50</f>
        <v>0</v>
      </c>
      <c r="W50" s="909">
        <f t="shared" si="96"/>
        <v>0</v>
      </c>
      <c r="X50" s="909">
        <f t="shared" si="93"/>
        <v>0</v>
      </c>
      <c r="Y50" s="909">
        <f t="shared" si="93"/>
        <v>0</v>
      </c>
      <c r="Z50" s="909">
        <f t="shared" si="93"/>
        <v>0</v>
      </c>
      <c r="AA50" s="909">
        <f t="shared" si="93"/>
        <v>0</v>
      </c>
      <c r="AB50" s="909">
        <f t="shared" si="93"/>
        <v>0</v>
      </c>
      <c r="AC50" s="909">
        <f t="shared" si="93"/>
        <v>0</v>
      </c>
      <c r="AD50" s="909">
        <f t="shared" si="93"/>
        <v>0</v>
      </c>
      <c r="AE50" s="909">
        <f t="shared" si="93"/>
        <v>0</v>
      </c>
      <c r="AF50" s="909">
        <f t="shared" si="93"/>
        <v>0</v>
      </c>
      <c r="AG50" s="909">
        <f t="shared" si="93"/>
        <v>0</v>
      </c>
      <c r="AH50" s="909">
        <f t="shared" si="93"/>
        <v>0</v>
      </c>
      <c r="AI50" s="909">
        <f t="shared" si="93"/>
        <v>0</v>
      </c>
      <c r="AJ50" s="909">
        <f t="shared" si="93"/>
        <v>0</v>
      </c>
      <c r="AK50" s="909">
        <f t="shared" si="93"/>
        <v>0</v>
      </c>
      <c r="AL50" s="532">
        <f t="shared" si="94"/>
        <v>0</v>
      </c>
    </row>
    <row r="51" spans="2:38" x14ac:dyDescent="0.25">
      <c r="B51" s="245" t="str">
        <f>'T_Stock_TOTAL_&amp;_City'!B51</f>
        <v>Plugin Hybrid Electric - diesel</v>
      </c>
      <c r="C51" s="245"/>
      <c r="D51" s="680">
        <f t="shared" si="95"/>
        <v>0</v>
      </c>
      <c r="E51" s="680">
        <f t="shared" si="78"/>
        <v>0</v>
      </c>
      <c r="F51" s="680">
        <f t="shared" si="79"/>
        <v>0</v>
      </c>
      <c r="G51" s="680">
        <f t="shared" si="80"/>
        <v>0</v>
      </c>
      <c r="H51" s="680">
        <f t="shared" si="81"/>
        <v>0</v>
      </c>
      <c r="I51" s="680">
        <f t="shared" si="82"/>
        <v>0</v>
      </c>
      <c r="J51" s="680">
        <f t="shared" si="83"/>
        <v>0</v>
      </c>
      <c r="K51" s="680">
        <f t="shared" si="84"/>
        <v>0</v>
      </c>
      <c r="L51" s="680">
        <f t="shared" si="85"/>
        <v>0</v>
      </c>
      <c r="M51" s="680">
        <f t="shared" si="86"/>
        <v>0</v>
      </c>
      <c r="N51" s="680">
        <f t="shared" si="87"/>
        <v>0</v>
      </c>
      <c r="O51" s="680">
        <f t="shared" si="88"/>
        <v>0</v>
      </c>
      <c r="P51" s="680">
        <f t="shared" si="89"/>
        <v>0</v>
      </c>
      <c r="Q51" s="680">
        <f t="shared" si="90"/>
        <v>0</v>
      </c>
      <c r="R51" s="680">
        <f t="shared" si="91"/>
        <v>0</v>
      </c>
      <c r="S51" s="680">
        <f t="shared" si="92"/>
        <v>0</v>
      </c>
      <c r="U51" s="311">
        <f>'T_Stock_TOTAL_&amp;_City'!U51-'T_Stock_TOTAL_&amp;_City'!V51</f>
        <v>0</v>
      </c>
      <c r="W51" s="909">
        <f t="shared" si="96"/>
        <v>0</v>
      </c>
      <c r="X51" s="909">
        <f t="shared" si="93"/>
        <v>0</v>
      </c>
      <c r="Y51" s="909">
        <f t="shared" si="93"/>
        <v>0</v>
      </c>
      <c r="Z51" s="909">
        <f t="shared" si="93"/>
        <v>0</v>
      </c>
      <c r="AA51" s="909">
        <f t="shared" si="93"/>
        <v>0</v>
      </c>
      <c r="AB51" s="909">
        <f t="shared" si="93"/>
        <v>0</v>
      </c>
      <c r="AC51" s="909">
        <f t="shared" si="93"/>
        <v>0</v>
      </c>
      <c r="AD51" s="909">
        <f t="shared" si="93"/>
        <v>0</v>
      </c>
      <c r="AE51" s="909">
        <f t="shared" si="93"/>
        <v>0</v>
      </c>
      <c r="AF51" s="909">
        <f t="shared" si="93"/>
        <v>0</v>
      </c>
      <c r="AG51" s="909">
        <f t="shared" si="93"/>
        <v>0</v>
      </c>
      <c r="AH51" s="909">
        <f t="shared" si="93"/>
        <v>0</v>
      </c>
      <c r="AI51" s="909">
        <f t="shared" si="93"/>
        <v>0</v>
      </c>
      <c r="AJ51" s="909">
        <f t="shared" si="93"/>
        <v>0</v>
      </c>
      <c r="AK51" s="909">
        <f t="shared" si="93"/>
        <v>0</v>
      </c>
      <c r="AL51" s="532">
        <f t="shared" si="94"/>
        <v>0</v>
      </c>
    </row>
    <row r="52" spans="2:38" x14ac:dyDescent="0.25">
      <c r="B52" s="245" t="str">
        <f>'T_Stock_TOTAL_&amp;_City'!B52</f>
        <v>Plugin Hybrid Electric - gasoline</v>
      </c>
      <c r="C52" s="245"/>
      <c r="D52" s="680">
        <f t="shared" si="95"/>
        <v>0</v>
      </c>
      <c r="E52" s="680">
        <f t="shared" si="78"/>
        <v>0</v>
      </c>
      <c r="F52" s="680">
        <f t="shared" si="79"/>
        <v>0</v>
      </c>
      <c r="G52" s="680">
        <f t="shared" si="80"/>
        <v>0</v>
      </c>
      <c r="H52" s="680">
        <f t="shared" si="81"/>
        <v>0</v>
      </c>
      <c r="I52" s="680">
        <f t="shared" si="82"/>
        <v>0</v>
      </c>
      <c r="J52" s="680">
        <f t="shared" si="83"/>
        <v>0</v>
      </c>
      <c r="K52" s="680">
        <f t="shared" si="84"/>
        <v>0</v>
      </c>
      <c r="L52" s="680">
        <f t="shared" si="85"/>
        <v>0</v>
      </c>
      <c r="M52" s="680">
        <f t="shared" si="86"/>
        <v>0</v>
      </c>
      <c r="N52" s="680">
        <f t="shared" si="87"/>
        <v>0</v>
      </c>
      <c r="O52" s="680">
        <f t="shared" si="88"/>
        <v>0</v>
      </c>
      <c r="P52" s="680">
        <f t="shared" si="89"/>
        <v>0</v>
      </c>
      <c r="Q52" s="680">
        <f t="shared" si="90"/>
        <v>0</v>
      </c>
      <c r="R52" s="680">
        <f t="shared" si="91"/>
        <v>0</v>
      </c>
      <c r="S52" s="680">
        <f t="shared" si="92"/>
        <v>0</v>
      </c>
      <c r="U52" s="311">
        <f>'T_Stock_TOTAL_&amp;_City'!U52-'T_Stock_TOTAL_&amp;_City'!V52</f>
        <v>0</v>
      </c>
      <c r="W52" s="909">
        <f t="shared" si="96"/>
        <v>0</v>
      </c>
      <c r="X52" s="909">
        <f t="shared" si="93"/>
        <v>0</v>
      </c>
      <c r="Y52" s="909">
        <f t="shared" si="93"/>
        <v>0</v>
      </c>
      <c r="Z52" s="909">
        <f t="shared" si="93"/>
        <v>0</v>
      </c>
      <c r="AA52" s="909">
        <f t="shared" si="93"/>
        <v>0</v>
      </c>
      <c r="AB52" s="909">
        <f t="shared" si="93"/>
        <v>0</v>
      </c>
      <c r="AC52" s="909">
        <f t="shared" si="93"/>
        <v>0</v>
      </c>
      <c r="AD52" s="909">
        <f t="shared" si="93"/>
        <v>0</v>
      </c>
      <c r="AE52" s="909">
        <f t="shared" si="93"/>
        <v>0</v>
      </c>
      <c r="AF52" s="909">
        <f t="shared" si="93"/>
        <v>0</v>
      </c>
      <c r="AG52" s="909">
        <f t="shared" si="93"/>
        <v>0</v>
      </c>
      <c r="AH52" s="909">
        <f t="shared" si="93"/>
        <v>0</v>
      </c>
      <c r="AI52" s="909">
        <f t="shared" si="93"/>
        <v>0</v>
      </c>
      <c r="AJ52" s="909">
        <f t="shared" si="93"/>
        <v>0</v>
      </c>
      <c r="AK52" s="909">
        <f t="shared" si="93"/>
        <v>0</v>
      </c>
      <c r="AL52" s="532">
        <f t="shared" si="94"/>
        <v>0</v>
      </c>
    </row>
    <row r="53" spans="2:38" x14ac:dyDescent="0.25">
      <c r="B53" s="250" t="str">
        <f>'T_Stock_TOTAL_&amp;_City'!B53</f>
        <v>Other</v>
      </c>
      <c r="C53" s="250"/>
      <c r="D53" s="444">
        <f t="shared" si="95"/>
        <v>0</v>
      </c>
      <c r="E53" s="444">
        <f t="shared" si="78"/>
        <v>0</v>
      </c>
      <c r="F53" s="444">
        <f t="shared" si="79"/>
        <v>0</v>
      </c>
      <c r="G53" s="444">
        <f t="shared" si="80"/>
        <v>0</v>
      </c>
      <c r="H53" s="444">
        <f t="shared" si="81"/>
        <v>0</v>
      </c>
      <c r="I53" s="444">
        <f t="shared" si="82"/>
        <v>0</v>
      </c>
      <c r="J53" s="444">
        <f t="shared" si="83"/>
        <v>0</v>
      </c>
      <c r="K53" s="444">
        <f t="shared" si="84"/>
        <v>0</v>
      </c>
      <c r="L53" s="444">
        <f t="shared" si="85"/>
        <v>0</v>
      </c>
      <c r="M53" s="444">
        <f t="shared" si="86"/>
        <v>0</v>
      </c>
      <c r="N53" s="444">
        <f t="shared" si="87"/>
        <v>0</v>
      </c>
      <c r="O53" s="444">
        <f t="shared" si="88"/>
        <v>0</v>
      </c>
      <c r="P53" s="444">
        <f t="shared" si="89"/>
        <v>0</v>
      </c>
      <c r="Q53" s="444">
        <f t="shared" si="90"/>
        <v>0</v>
      </c>
      <c r="R53" s="444">
        <f t="shared" si="91"/>
        <v>0</v>
      </c>
      <c r="S53" s="444">
        <f t="shared" si="92"/>
        <v>0</v>
      </c>
      <c r="U53" s="335">
        <f>'T_Stock_TOTAL_&amp;_City'!U53-'T_Stock_TOTAL_&amp;_City'!V53</f>
        <v>0</v>
      </c>
      <c r="W53" s="909">
        <f t="shared" si="96"/>
        <v>0</v>
      </c>
      <c r="X53" s="909">
        <f t="shared" si="93"/>
        <v>0</v>
      </c>
      <c r="Y53" s="909">
        <f t="shared" si="93"/>
        <v>0</v>
      </c>
      <c r="Z53" s="909">
        <f t="shared" si="93"/>
        <v>0</v>
      </c>
      <c r="AA53" s="909">
        <f t="shared" si="93"/>
        <v>0</v>
      </c>
      <c r="AB53" s="909">
        <f t="shared" si="93"/>
        <v>0</v>
      </c>
      <c r="AC53" s="909">
        <f t="shared" si="93"/>
        <v>0</v>
      </c>
      <c r="AD53" s="909">
        <f t="shared" si="93"/>
        <v>0</v>
      </c>
      <c r="AE53" s="909">
        <f t="shared" si="93"/>
        <v>0</v>
      </c>
      <c r="AF53" s="909">
        <f t="shared" si="93"/>
        <v>0</v>
      </c>
      <c r="AG53" s="909">
        <f t="shared" si="93"/>
        <v>0</v>
      </c>
      <c r="AH53" s="909">
        <f t="shared" si="93"/>
        <v>0</v>
      </c>
      <c r="AI53" s="909">
        <f t="shared" si="93"/>
        <v>0</v>
      </c>
      <c r="AJ53" s="909">
        <f t="shared" si="93"/>
        <v>0</v>
      </c>
      <c r="AK53" s="909">
        <f t="shared" si="93"/>
        <v>0</v>
      </c>
      <c r="AL53" s="532">
        <f t="shared" si="94"/>
        <v>0</v>
      </c>
    </row>
    <row r="54" spans="2:38" x14ac:dyDescent="0.25">
      <c r="B54" s="131" t="s">
        <v>119</v>
      </c>
      <c r="C54" s="131"/>
      <c r="D54" s="681">
        <f>SUM(D42:D53)</f>
        <v>0</v>
      </c>
      <c r="E54" s="681">
        <f t="shared" ref="E54" si="97">SUM(E42:E53)</f>
        <v>0</v>
      </c>
      <c r="F54" s="681">
        <f t="shared" ref="F54" si="98">SUM(F42:F53)</f>
        <v>0</v>
      </c>
      <c r="G54" s="681">
        <f t="shared" ref="G54" si="99">SUM(G42:G53)</f>
        <v>0</v>
      </c>
      <c r="H54" s="681">
        <f t="shared" ref="H54" si="100">SUM(H42:H53)</f>
        <v>0</v>
      </c>
      <c r="I54" s="681">
        <f t="shared" ref="I54" si="101">SUM(I42:I53)</f>
        <v>0</v>
      </c>
      <c r="J54" s="681">
        <f t="shared" ref="J54" si="102">SUM(J42:J53)</f>
        <v>0</v>
      </c>
      <c r="K54" s="681">
        <f t="shared" ref="K54" si="103">SUM(K42:K53)</f>
        <v>0</v>
      </c>
      <c r="L54" s="681">
        <f t="shared" ref="L54" si="104">SUM(L42:L53)</f>
        <v>0</v>
      </c>
      <c r="M54" s="681">
        <f t="shared" ref="M54" si="105">SUM(M42:M53)</f>
        <v>0</v>
      </c>
      <c r="N54" s="681">
        <f t="shared" ref="N54" si="106">SUM(N42:N53)</f>
        <v>0</v>
      </c>
      <c r="O54" s="681">
        <f t="shared" ref="O54" si="107">SUM(O42:O53)</f>
        <v>0</v>
      </c>
      <c r="P54" s="681">
        <f t="shared" ref="P54" si="108">SUM(P42:P53)</f>
        <v>0</v>
      </c>
      <c r="Q54" s="681">
        <f t="shared" ref="Q54" si="109">SUM(Q42:Q53)</f>
        <v>0</v>
      </c>
      <c r="R54" s="681">
        <f t="shared" ref="R54" si="110">SUM(R42:R53)</f>
        <v>0</v>
      </c>
      <c r="S54" s="681">
        <f t="shared" ref="S54" si="111">SUM(S42:S53)</f>
        <v>0</v>
      </c>
      <c r="U54" s="130">
        <f>SUM(U43:U51)</f>
        <v>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6" spans="2:38" x14ac:dyDescent="0.25">
      <c r="B56" s="476" t="s">
        <v>124</v>
      </c>
      <c r="C56" s="339"/>
      <c r="W56" s="3" t="s">
        <v>299</v>
      </c>
    </row>
    <row r="57" spans="2:38" x14ac:dyDescent="0.25">
      <c r="B57" s="476" t="s">
        <v>103</v>
      </c>
      <c r="C57" s="264" t="s">
        <v>104</v>
      </c>
      <c r="D57" s="121" t="str">
        <f>D$9</f>
        <v>Z01</v>
      </c>
      <c r="E57" s="121" t="str">
        <f t="shared" ref="E57:R57" si="112">E$9</f>
        <v>Z02</v>
      </c>
      <c r="F57" s="121" t="str">
        <f t="shared" si="112"/>
        <v>Z03</v>
      </c>
      <c r="G57" s="121" t="str">
        <f t="shared" si="112"/>
        <v>Z04</v>
      </c>
      <c r="H57" s="121" t="str">
        <f t="shared" si="112"/>
        <v>Z05</v>
      </c>
      <c r="I57" s="121" t="str">
        <f t="shared" si="112"/>
        <v>Z06</v>
      </c>
      <c r="J57" s="121" t="str">
        <f t="shared" si="112"/>
        <v>Z07</v>
      </c>
      <c r="K57" s="121" t="str">
        <f t="shared" si="112"/>
        <v>Z08</v>
      </c>
      <c r="L57" s="121" t="str">
        <f t="shared" si="112"/>
        <v>Z09</v>
      </c>
      <c r="M57" s="121" t="str">
        <f t="shared" si="112"/>
        <v>Z10</v>
      </c>
      <c r="N57" s="121" t="str">
        <f t="shared" si="112"/>
        <v>Z11</v>
      </c>
      <c r="O57" s="121" t="str">
        <f t="shared" si="112"/>
        <v>Z12</v>
      </c>
      <c r="P57" s="121" t="str">
        <f t="shared" si="112"/>
        <v>Z13</v>
      </c>
      <c r="Q57" s="121" t="str">
        <f t="shared" si="112"/>
        <v>Z14</v>
      </c>
      <c r="R57" s="121" t="str">
        <f t="shared" si="112"/>
        <v>Z15</v>
      </c>
      <c r="S57" s="121" t="s">
        <v>100</v>
      </c>
      <c r="U57" s="17" t="str">
        <f>U$9</f>
        <v>Private stock</v>
      </c>
      <c r="W57" s="121" t="str">
        <f t="shared" ref="W57:AK57" si="113">D57</f>
        <v>Z01</v>
      </c>
      <c r="X57" s="121" t="str">
        <f t="shared" si="113"/>
        <v>Z02</v>
      </c>
      <c r="Y57" s="121" t="str">
        <f t="shared" si="113"/>
        <v>Z03</v>
      </c>
      <c r="Z57" s="121" t="str">
        <f t="shared" si="113"/>
        <v>Z04</v>
      </c>
      <c r="AA57" s="121" t="str">
        <f t="shared" si="113"/>
        <v>Z05</v>
      </c>
      <c r="AB57" s="121" t="str">
        <f t="shared" si="113"/>
        <v>Z06</v>
      </c>
      <c r="AC57" s="121" t="str">
        <f t="shared" si="113"/>
        <v>Z07</v>
      </c>
      <c r="AD57" s="121" t="str">
        <f t="shared" si="113"/>
        <v>Z08</v>
      </c>
      <c r="AE57" s="121" t="str">
        <f t="shared" si="113"/>
        <v>Z09</v>
      </c>
      <c r="AF57" s="121" t="str">
        <f t="shared" si="113"/>
        <v>Z10</v>
      </c>
      <c r="AG57" s="121" t="str">
        <f t="shared" si="113"/>
        <v>Z11</v>
      </c>
      <c r="AH57" s="121" t="str">
        <f t="shared" si="113"/>
        <v>Z12</v>
      </c>
      <c r="AI57" s="121" t="str">
        <f t="shared" si="113"/>
        <v>Z13</v>
      </c>
      <c r="AJ57" s="121" t="str">
        <f t="shared" si="113"/>
        <v>Z14</v>
      </c>
      <c r="AK57" s="121" t="str">
        <f t="shared" si="113"/>
        <v>Z15</v>
      </c>
      <c r="AL57" s="121" t="s">
        <v>100</v>
      </c>
    </row>
    <row r="58" spans="2:38" x14ac:dyDescent="0.25">
      <c r="B58" s="245" t="str">
        <f>'T_Stock_TOTAL_&amp;_City'!B58</f>
        <v>Biodiesel</v>
      </c>
      <c r="C58" s="245" t="s">
        <v>325</v>
      </c>
      <c r="D58" s="680">
        <v>0</v>
      </c>
      <c r="E58" s="680">
        <v>0</v>
      </c>
      <c r="F58" s="680">
        <v>0</v>
      </c>
      <c r="G58" s="680">
        <v>0</v>
      </c>
      <c r="H58" s="680">
        <v>0</v>
      </c>
      <c r="I58" s="680">
        <v>0</v>
      </c>
      <c r="J58" s="680">
        <v>0</v>
      </c>
      <c r="K58" s="680">
        <v>0</v>
      </c>
      <c r="L58" s="680">
        <v>0</v>
      </c>
      <c r="M58" s="680">
        <v>0</v>
      </c>
      <c r="N58" s="680">
        <v>0</v>
      </c>
      <c r="O58" s="680">
        <v>0</v>
      </c>
      <c r="P58" s="680">
        <f t="shared" ref="P58" si="114">$U58*AI58</f>
        <v>0</v>
      </c>
      <c r="Q58" s="680">
        <v>0</v>
      </c>
      <c r="R58" s="680">
        <f t="shared" ref="R58:R69" si="115">$U58*AK58</f>
        <v>0</v>
      </c>
      <c r="S58" s="680">
        <f>$U58*AL58</f>
        <v>0</v>
      </c>
      <c r="U58" s="321">
        <f>'T_Stock_TOTAL_&amp;_City'!U58-'T_Stock_TOTAL_&amp;_City'!V58</f>
        <v>0</v>
      </c>
      <c r="W58" s="909">
        <f>W$6</f>
        <v>0</v>
      </c>
      <c r="X58" s="909">
        <f t="shared" ref="X58:AK69" si="116">X$6</f>
        <v>0</v>
      </c>
      <c r="Y58" s="909">
        <f t="shared" si="116"/>
        <v>0</v>
      </c>
      <c r="Z58" s="909">
        <f t="shared" si="116"/>
        <v>0</v>
      </c>
      <c r="AA58" s="909">
        <f t="shared" si="116"/>
        <v>0</v>
      </c>
      <c r="AB58" s="909">
        <f t="shared" si="116"/>
        <v>0</v>
      </c>
      <c r="AC58" s="909">
        <f t="shared" si="116"/>
        <v>0</v>
      </c>
      <c r="AD58" s="909">
        <f t="shared" si="116"/>
        <v>0</v>
      </c>
      <c r="AE58" s="909">
        <f t="shared" si="116"/>
        <v>0</v>
      </c>
      <c r="AF58" s="909">
        <f t="shared" si="116"/>
        <v>0</v>
      </c>
      <c r="AG58" s="909">
        <f t="shared" si="116"/>
        <v>0</v>
      </c>
      <c r="AH58" s="909">
        <f t="shared" si="116"/>
        <v>0</v>
      </c>
      <c r="AI58" s="909">
        <f t="shared" si="116"/>
        <v>0</v>
      </c>
      <c r="AJ58" s="909">
        <f t="shared" si="116"/>
        <v>0</v>
      </c>
      <c r="AK58" s="909">
        <f t="shared" si="116"/>
        <v>0</v>
      </c>
      <c r="AL58" s="532">
        <f t="shared" ref="AL58:AL69" si="117">SUM(W58:AK58)</f>
        <v>0</v>
      </c>
    </row>
    <row r="59" spans="2:38" x14ac:dyDescent="0.25">
      <c r="B59" s="245" t="str">
        <f>'T_Stock_TOTAL_&amp;_City'!B59</f>
        <v>Diesel</v>
      </c>
      <c r="C59" s="245" t="s">
        <v>326</v>
      </c>
      <c r="D59" s="798"/>
      <c r="E59" s="798"/>
      <c r="F59" s="798"/>
      <c r="G59" s="798"/>
      <c r="H59" s="798"/>
      <c r="I59" s="798"/>
      <c r="J59" s="798"/>
      <c r="K59" s="798"/>
      <c r="L59" s="798"/>
      <c r="M59" s="798"/>
      <c r="N59" s="798"/>
      <c r="O59" s="798"/>
      <c r="P59" s="798"/>
      <c r="Q59" s="798"/>
      <c r="R59" s="798"/>
      <c r="S59" s="680">
        <f t="shared" ref="S59:S68" si="118">SUM(D59:R59)</f>
        <v>0</v>
      </c>
      <c r="U59" s="321">
        <f>'T_Stock_TOTAL_&amp;_City'!U59-'T_Stock_TOTAL_&amp;_City'!V59</f>
        <v>0</v>
      </c>
      <c r="W59" s="909">
        <f t="shared" ref="W59:W69" si="119">W$6</f>
        <v>0</v>
      </c>
      <c r="X59" s="909">
        <f t="shared" si="116"/>
        <v>0</v>
      </c>
      <c r="Y59" s="909">
        <f t="shared" si="116"/>
        <v>0</v>
      </c>
      <c r="Z59" s="909">
        <f t="shared" si="116"/>
        <v>0</v>
      </c>
      <c r="AA59" s="909">
        <f t="shared" si="116"/>
        <v>0</v>
      </c>
      <c r="AB59" s="909">
        <f t="shared" si="116"/>
        <v>0</v>
      </c>
      <c r="AC59" s="909">
        <f t="shared" si="116"/>
        <v>0</v>
      </c>
      <c r="AD59" s="909">
        <f t="shared" si="116"/>
        <v>0</v>
      </c>
      <c r="AE59" s="909">
        <f t="shared" si="116"/>
        <v>0</v>
      </c>
      <c r="AF59" s="909">
        <f t="shared" si="116"/>
        <v>0</v>
      </c>
      <c r="AG59" s="909">
        <f t="shared" si="116"/>
        <v>0</v>
      </c>
      <c r="AH59" s="909">
        <f t="shared" si="116"/>
        <v>0</v>
      </c>
      <c r="AI59" s="909">
        <f t="shared" si="116"/>
        <v>0</v>
      </c>
      <c r="AJ59" s="909">
        <f t="shared" si="116"/>
        <v>0</v>
      </c>
      <c r="AK59" s="909">
        <f t="shared" si="116"/>
        <v>0</v>
      </c>
      <c r="AL59" s="532">
        <f t="shared" si="117"/>
        <v>0</v>
      </c>
    </row>
    <row r="60" spans="2:38" x14ac:dyDescent="0.25">
      <c r="B60" s="245" t="str">
        <f>'T_Stock_TOTAL_&amp;_City'!B60</f>
        <v>Battery electric (BEV)</v>
      </c>
      <c r="C60" s="245" t="s">
        <v>327</v>
      </c>
      <c r="D60" s="798"/>
      <c r="E60" s="798"/>
      <c r="F60" s="798"/>
      <c r="G60" s="798"/>
      <c r="H60" s="798"/>
      <c r="I60" s="798"/>
      <c r="J60" s="798"/>
      <c r="K60" s="798"/>
      <c r="L60" s="798"/>
      <c r="M60" s="798"/>
      <c r="N60" s="798"/>
      <c r="O60" s="798"/>
      <c r="P60" s="798"/>
      <c r="Q60" s="798"/>
      <c r="R60" s="798"/>
      <c r="S60" s="680">
        <f t="shared" si="118"/>
        <v>0</v>
      </c>
      <c r="U60" s="321">
        <v>1</v>
      </c>
      <c r="W60" s="909">
        <f t="shared" si="119"/>
        <v>0</v>
      </c>
      <c r="X60" s="909">
        <f t="shared" si="116"/>
        <v>0</v>
      </c>
      <c r="Y60" s="909">
        <f t="shared" si="116"/>
        <v>0</v>
      </c>
      <c r="Z60" s="909">
        <f t="shared" si="116"/>
        <v>0</v>
      </c>
      <c r="AA60" s="909">
        <f t="shared" si="116"/>
        <v>0</v>
      </c>
      <c r="AB60" s="909">
        <f t="shared" si="116"/>
        <v>0</v>
      </c>
      <c r="AC60" s="909">
        <f t="shared" si="116"/>
        <v>0</v>
      </c>
      <c r="AD60" s="909">
        <f t="shared" si="116"/>
        <v>0</v>
      </c>
      <c r="AE60" s="909">
        <f t="shared" si="116"/>
        <v>0</v>
      </c>
      <c r="AF60" s="909">
        <f t="shared" si="116"/>
        <v>0</v>
      </c>
      <c r="AG60" s="909">
        <f t="shared" si="116"/>
        <v>0</v>
      </c>
      <c r="AH60" s="909">
        <f t="shared" si="116"/>
        <v>0</v>
      </c>
      <c r="AI60" s="909">
        <f t="shared" si="116"/>
        <v>0</v>
      </c>
      <c r="AJ60" s="909">
        <f t="shared" si="116"/>
        <v>0</v>
      </c>
      <c r="AK60" s="909">
        <f t="shared" si="116"/>
        <v>0</v>
      </c>
      <c r="AL60" s="532">
        <f t="shared" si="117"/>
        <v>0</v>
      </c>
    </row>
    <row r="61" spans="2:38" x14ac:dyDescent="0.25">
      <c r="B61" s="245" t="str">
        <f>'T_Stock_TOTAL_&amp;_City'!B61</f>
        <v>Ethanol</v>
      </c>
      <c r="C61" s="245" t="s">
        <v>328</v>
      </c>
      <c r="D61" s="798"/>
      <c r="E61" s="798"/>
      <c r="F61" s="798"/>
      <c r="G61" s="798"/>
      <c r="H61" s="798"/>
      <c r="I61" s="798"/>
      <c r="J61" s="798"/>
      <c r="K61" s="798"/>
      <c r="L61" s="798"/>
      <c r="M61" s="798"/>
      <c r="N61" s="798"/>
      <c r="O61" s="798"/>
      <c r="P61" s="798"/>
      <c r="Q61" s="798"/>
      <c r="R61" s="798"/>
      <c r="S61" s="680">
        <f t="shared" si="118"/>
        <v>0</v>
      </c>
      <c r="U61" s="321">
        <v>5</v>
      </c>
      <c r="W61" s="909">
        <f t="shared" si="119"/>
        <v>0</v>
      </c>
      <c r="X61" s="909">
        <f t="shared" si="116"/>
        <v>0</v>
      </c>
      <c r="Y61" s="909">
        <f t="shared" si="116"/>
        <v>0</v>
      </c>
      <c r="Z61" s="909">
        <f t="shared" si="116"/>
        <v>0</v>
      </c>
      <c r="AA61" s="909">
        <f t="shared" si="116"/>
        <v>0</v>
      </c>
      <c r="AB61" s="909">
        <f t="shared" si="116"/>
        <v>0</v>
      </c>
      <c r="AC61" s="909">
        <f t="shared" si="116"/>
        <v>0</v>
      </c>
      <c r="AD61" s="909">
        <f t="shared" si="116"/>
        <v>0</v>
      </c>
      <c r="AE61" s="909">
        <f t="shared" si="116"/>
        <v>0</v>
      </c>
      <c r="AF61" s="909">
        <f t="shared" si="116"/>
        <v>0</v>
      </c>
      <c r="AG61" s="909">
        <f t="shared" si="116"/>
        <v>0</v>
      </c>
      <c r="AH61" s="909">
        <f t="shared" si="116"/>
        <v>0</v>
      </c>
      <c r="AI61" s="909">
        <f t="shared" si="116"/>
        <v>0</v>
      </c>
      <c r="AJ61" s="909">
        <f t="shared" si="116"/>
        <v>0</v>
      </c>
      <c r="AK61" s="909">
        <f t="shared" si="116"/>
        <v>0</v>
      </c>
      <c r="AL61" s="532">
        <f t="shared" si="117"/>
        <v>0</v>
      </c>
    </row>
    <row r="62" spans="2:38" x14ac:dyDescent="0.25">
      <c r="B62" s="245" t="str">
        <f>'T_Stock_TOTAL_&amp;_City'!B62</f>
        <v>Gas (CNG)</v>
      </c>
      <c r="C62" s="245" t="s">
        <v>329</v>
      </c>
      <c r="D62" s="798"/>
      <c r="E62" s="798"/>
      <c r="F62" s="798"/>
      <c r="G62" s="798"/>
      <c r="H62" s="798"/>
      <c r="I62" s="798"/>
      <c r="J62" s="798"/>
      <c r="K62" s="798"/>
      <c r="L62" s="798"/>
      <c r="M62" s="798"/>
      <c r="N62" s="798"/>
      <c r="O62" s="798"/>
      <c r="P62" s="798"/>
      <c r="Q62" s="798"/>
      <c r="R62" s="798"/>
      <c r="S62" s="680">
        <f t="shared" si="118"/>
        <v>0</v>
      </c>
      <c r="U62" s="321">
        <v>24</v>
      </c>
      <c r="W62" s="909">
        <f t="shared" si="119"/>
        <v>0</v>
      </c>
      <c r="X62" s="909">
        <f t="shared" si="116"/>
        <v>0</v>
      </c>
      <c r="Y62" s="909">
        <f t="shared" si="116"/>
        <v>0</v>
      </c>
      <c r="Z62" s="909">
        <f t="shared" si="116"/>
        <v>0</v>
      </c>
      <c r="AA62" s="909">
        <f t="shared" si="116"/>
        <v>0</v>
      </c>
      <c r="AB62" s="909">
        <f t="shared" si="116"/>
        <v>0</v>
      </c>
      <c r="AC62" s="909">
        <f t="shared" si="116"/>
        <v>0</v>
      </c>
      <c r="AD62" s="909">
        <f t="shared" si="116"/>
        <v>0</v>
      </c>
      <c r="AE62" s="909">
        <f t="shared" si="116"/>
        <v>0</v>
      </c>
      <c r="AF62" s="909">
        <f t="shared" si="116"/>
        <v>0</v>
      </c>
      <c r="AG62" s="909">
        <f t="shared" si="116"/>
        <v>0</v>
      </c>
      <c r="AH62" s="909">
        <f t="shared" si="116"/>
        <v>0</v>
      </c>
      <c r="AI62" s="909">
        <f t="shared" si="116"/>
        <v>0</v>
      </c>
      <c r="AJ62" s="909">
        <f t="shared" si="116"/>
        <v>0</v>
      </c>
      <c r="AK62" s="909">
        <f t="shared" si="116"/>
        <v>0</v>
      </c>
      <c r="AL62" s="532">
        <f t="shared" si="117"/>
        <v>0</v>
      </c>
    </row>
    <row r="63" spans="2:38" x14ac:dyDescent="0.25">
      <c r="B63" s="245" t="str">
        <f>'T_Stock_TOTAL_&amp;_City'!B63</f>
        <v>Gasoline</v>
      </c>
      <c r="C63" s="245" t="s">
        <v>330</v>
      </c>
      <c r="D63" s="798"/>
      <c r="E63" s="798"/>
      <c r="F63" s="798"/>
      <c r="G63" s="798"/>
      <c r="H63" s="798"/>
      <c r="I63" s="798"/>
      <c r="J63" s="798"/>
      <c r="K63" s="798"/>
      <c r="L63" s="798"/>
      <c r="M63" s="798"/>
      <c r="N63" s="798"/>
      <c r="O63" s="798"/>
      <c r="P63" s="798"/>
      <c r="Q63" s="798"/>
      <c r="R63" s="798"/>
      <c r="S63" s="680">
        <f t="shared" si="118"/>
        <v>0</v>
      </c>
      <c r="U63" s="321">
        <v>1</v>
      </c>
      <c r="W63" s="909">
        <f t="shared" si="119"/>
        <v>0</v>
      </c>
      <c r="X63" s="909">
        <f t="shared" si="116"/>
        <v>0</v>
      </c>
      <c r="Y63" s="909">
        <f t="shared" si="116"/>
        <v>0</v>
      </c>
      <c r="Z63" s="909">
        <f t="shared" si="116"/>
        <v>0</v>
      </c>
      <c r="AA63" s="909">
        <f t="shared" si="116"/>
        <v>0</v>
      </c>
      <c r="AB63" s="909">
        <f t="shared" si="116"/>
        <v>0</v>
      </c>
      <c r="AC63" s="909">
        <f t="shared" si="116"/>
        <v>0</v>
      </c>
      <c r="AD63" s="909">
        <f t="shared" si="116"/>
        <v>0</v>
      </c>
      <c r="AE63" s="909">
        <f t="shared" si="116"/>
        <v>0</v>
      </c>
      <c r="AF63" s="909">
        <f t="shared" si="116"/>
        <v>0</v>
      </c>
      <c r="AG63" s="909">
        <f t="shared" si="116"/>
        <v>0</v>
      </c>
      <c r="AH63" s="909">
        <f t="shared" si="116"/>
        <v>0</v>
      </c>
      <c r="AI63" s="909">
        <f t="shared" si="116"/>
        <v>0</v>
      </c>
      <c r="AJ63" s="909">
        <f t="shared" si="116"/>
        <v>0</v>
      </c>
      <c r="AK63" s="909">
        <f t="shared" si="116"/>
        <v>0</v>
      </c>
      <c r="AL63" s="532">
        <f t="shared" si="117"/>
        <v>0</v>
      </c>
    </row>
    <row r="64" spans="2:38" x14ac:dyDescent="0.25">
      <c r="B64" s="245" t="str">
        <f>'T_Stock_TOTAL_&amp;_City'!B64</f>
        <v>Hybrid Electric - diesel</v>
      </c>
      <c r="C64" s="245" t="s">
        <v>331</v>
      </c>
      <c r="D64" s="798"/>
      <c r="E64" s="798"/>
      <c r="F64" s="798"/>
      <c r="G64" s="798"/>
      <c r="H64" s="798"/>
      <c r="I64" s="798"/>
      <c r="J64" s="798"/>
      <c r="K64" s="798"/>
      <c r="L64" s="798"/>
      <c r="M64" s="798"/>
      <c r="N64" s="798"/>
      <c r="O64" s="798"/>
      <c r="P64" s="798"/>
      <c r="Q64" s="798"/>
      <c r="R64" s="798"/>
      <c r="S64" s="680">
        <f t="shared" si="118"/>
        <v>0</v>
      </c>
      <c r="U64" s="321">
        <v>1</v>
      </c>
      <c r="W64" s="909">
        <f t="shared" si="119"/>
        <v>0</v>
      </c>
      <c r="X64" s="909">
        <f t="shared" si="116"/>
        <v>0</v>
      </c>
      <c r="Y64" s="909">
        <f t="shared" si="116"/>
        <v>0</v>
      </c>
      <c r="Z64" s="909">
        <f t="shared" si="116"/>
        <v>0</v>
      </c>
      <c r="AA64" s="909">
        <f t="shared" si="116"/>
        <v>0</v>
      </c>
      <c r="AB64" s="909">
        <f t="shared" si="116"/>
        <v>0</v>
      </c>
      <c r="AC64" s="909">
        <f t="shared" si="116"/>
        <v>0</v>
      </c>
      <c r="AD64" s="909">
        <f t="shared" si="116"/>
        <v>0</v>
      </c>
      <c r="AE64" s="909">
        <f t="shared" si="116"/>
        <v>0</v>
      </c>
      <c r="AF64" s="909">
        <f t="shared" si="116"/>
        <v>0</v>
      </c>
      <c r="AG64" s="909">
        <f t="shared" si="116"/>
        <v>0</v>
      </c>
      <c r="AH64" s="909">
        <f t="shared" si="116"/>
        <v>0</v>
      </c>
      <c r="AI64" s="909">
        <f t="shared" si="116"/>
        <v>0</v>
      </c>
      <c r="AJ64" s="909">
        <f t="shared" si="116"/>
        <v>0</v>
      </c>
      <c r="AK64" s="909">
        <f t="shared" si="116"/>
        <v>0</v>
      </c>
      <c r="AL64" s="532">
        <f t="shared" si="117"/>
        <v>0</v>
      </c>
    </row>
    <row r="65" spans="2:38" x14ac:dyDescent="0.25">
      <c r="B65" s="245" t="str">
        <f>'T_Stock_TOTAL_&amp;_City'!B65</f>
        <v>Hybrid Electric - gasoline</v>
      </c>
      <c r="C65" s="245" t="s">
        <v>332</v>
      </c>
      <c r="D65" s="798"/>
      <c r="E65" s="798"/>
      <c r="F65" s="798"/>
      <c r="G65" s="798"/>
      <c r="H65" s="798"/>
      <c r="I65" s="798"/>
      <c r="J65" s="798"/>
      <c r="K65" s="798"/>
      <c r="L65" s="798"/>
      <c r="M65" s="798"/>
      <c r="N65" s="798"/>
      <c r="O65" s="798"/>
      <c r="P65" s="798"/>
      <c r="Q65" s="798"/>
      <c r="R65" s="798"/>
      <c r="S65" s="680">
        <f t="shared" si="118"/>
        <v>0</v>
      </c>
      <c r="U65" s="321">
        <f>'T_Stock_TOTAL_&amp;_City'!U65-'T_Stock_TOTAL_&amp;_City'!V65</f>
        <v>0</v>
      </c>
      <c r="W65" s="909">
        <f t="shared" si="119"/>
        <v>0</v>
      </c>
      <c r="X65" s="909">
        <f t="shared" si="116"/>
        <v>0</v>
      </c>
      <c r="Y65" s="909">
        <f t="shared" si="116"/>
        <v>0</v>
      </c>
      <c r="Z65" s="909">
        <f t="shared" si="116"/>
        <v>0</v>
      </c>
      <c r="AA65" s="909">
        <f t="shared" si="116"/>
        <v>0</v>
      </c>
      <c r="AB65" s="909">
        <f t="shared" si="116"/>
        <v>0</v>
      </c>
      <c r="AC65" s="909">
        <f t="shared" si="116"/>
        <v>0</v>
      </c>
      <c r="AD65" s="909">
        <f t="shared" si="116"/>
        <v>0</v>
      </c>
      <c r="AE65" s="909">
        <f t="shared" si="116"/>
        <v>0</v>
      </c>
      <c r="AF65" s="909">
        <f t="shared" si="116"/>
        <v>0</v>
      </c>
      <c r="AG65" s="909">
        <f t="shared" si="116"/>
        <v>0</v>
      </c>
      <c r="AH65" s="909">
        <f t="shared" si="116"/>
        <v>0</v>
      </c>
      <c r="AI65" s="909">
        <f t="shared" si="116"/>
        <v>0</v>
      </c>
      <c r="AJ65" s="909">
        <f t="shared" si="116"/>
        <v>0</v>
      </c>
      <c r="AK65" s="909">
        <f t="shared" si="116"/>
        <v>0</v>
      </c>
      <c r="AL65" s="532">
        <f t="shared" si="117"/>
        <v>0</v>
      </c>
    </row>
    <row r="66" spans="2:38" x14ac:dyDescent="0.25">
      <c r="B66" s="245" t="str">
        <f>'T_Stock_TOTAL_&amp;_City'!B66</f>
        <v>LPG</v>
      </c>
      <c r="C66" s="245" t="s">
        <v>333</v>
      </c>
      <c r="D66" s="798"/>
      <c r="E66" s="798"/>
      <c r="F66" s="798"/>
      <c r="G66" s="798"/>
      <c r="H66" s="798"/>
      <c r="I66" s="798"/>
      <c r="J66" s="798"/>
      <c r="K66" s="798"/>
      <c r="L66" s="798"/>
      <c r="M66" s="798"/>
      <c r="N66" s="798"/>
      <c r="O66" s="798"/>
      <c r="P66" s="798"/>
      <c r="Q66" s="798"/>
      <c r="R66" s="798"/>
      <c r="S66" s="680">
        <f t="shared" si="118"/>
        <v>0</v>
      </c>
      <c r="U66" s="321">
        <f>'T_Stock_TOTAL_&amp;_City'!U66-'T_Stock_TOTAL_&amp;_City'!V66</f>
        <v>0</v>
      </c>
      <c r="W66" s="909">
        <f t="shared" si="119"/>
        <v>0</v>
      </c>
      <c r="X66" s="909">
        <f t="shared" si="116"/>
        <v>0</v>
      </c>
      <c r="Y66" s="909">
        <f t="shared" si="116"/>
        <v>0</v>
      </c>
      <c r="Z66" s="909">
        <f t="shared" si="116"/>
        <v>0</v>
      </c>
      <c r="AA66" s="909">
        <f t="shared" si="116"/>
        <v>0</v>
      </c>
      <c r="AB66" s="909">
        <f t="shared" si="116"/>
        <v>0</v>
      </c>
      <c r="AC66" s="909">
        <f t="shared" si="116"/>
        <v>0</v>
      </c>
      <c r="AD66" s="909">
        <f t="shared" si="116"/>
        <v>0</v>
      </c>
      <c r="AE66" s="909">
        <f t="shared" si="116"/>
        <v>0</v>
      </c>
      <c r="AF66" s="909">
        <f t="shared" si="116"/>
        <v>0</v>
      </c>
      <c r="AG66" s="909">
        <f t="shared" si="116"/>
        <v>0</v>
      </c>
      <c r="AH66" s="909">
        <f t="shared" si="116"/>
        <v>0</v>
      </c>
      <c r="AI66" s="909">
        <f t="shared" si="116"/>
        <v>0</v>
      </c>
      <c r="AJ66" s="909">
        <f t="shared" si="116"/>
        <v>0</v>
      </c>
      <c r="AK66" s="909">
        <f t="shared" si="116"/>
        <v>0</v>
      </c>
      <c r="AL66" s="532">
        <f t="shared" si="117"/>
        <v>0</v>
      </c>
    </row>
    <row r="67" spans="2:38" x14ac:dyDescent="0.25">
      <c r="B67" s="245" t="str">
        <f>'T_Stock_TOTAL_&amp;_City'!B67</f>
        <v>Plugin Hybrid Electric - diesel</v>
      </c>
      <c r="C67" s="245" t="s">
        <v>334</v>
      </c>
      <c r="D67" s="798"/>
      <c r="E67" s="798"/>
      <c r="F67" s="798"/>
      <c r="G67" s="798"/>
      <c r="H67" s="798"/>
      <c r="I67" s="798"/>
      <c r="J67" s="798"/>
      <c r="K67" s="798"/>
      <c r="L67" s="798"/>
      <c r="M67" s="798"/>
      <c r="N67" s="798"/>
      <c r="O67" s="798"/>
      <c r="P67" s="798"/>
      <c r="Q67" s="798"/>
      <c r="R67" s="798"/>
      <c r="S67" s="680">
        <f t="shared" si="118"/>
        <v>0</v>
      </c>
      <c r="U67" s="321">
        <f>'T_Stock_TOTAL_&amp;_City'!U67-'T_Stock_TOTAL_&amp;_City'!V67</f>
        <v>0</v>
      </c>
      <c r="W67" s="909">
        <f t="shared" si="119"/>
        <v>0</v>
      </c>
      <c r="X67" s="909">
        <f t="shared" si="116"/>
        <v>0</v>
      </c>
      <c r="Y67" s="909">
        <f t="shared" si="116"/>
        <v>0</v>
      </c>
      <c r="Z67" s="909">
        <f t="shared" si="116"/>
        <v>0</v>
      </c>
      <c r="AA67" s="909">
        <f t="shared" si="116"/>
        <v>0</v>
      </c>
      <c r="AB67" s="909">
        <f t="shared" si="116"/>
        <v>0</v>
      </c>
      <c r="AC67" s="909">
        <f t="shared" si="116"/>
        <v>0</v>
      </c>
      <c r="AD67" s="909">
        <f t="shared" si="116"/>
        <v>0</v>
      </c>
      <c r="AE67" s="909">
        <f t="shared" si="116"/>
        <v>0</v>
      </c>
      <c r="AF67" s="909">
        <f t="shared" si="116"/>
        <v>0</v>
      </c>
      <c r="AG67" s="909">
        <f t="shared" si="116"/>
        <v>0</v>
      </c>
      <c r="AH67" s="909">
        <f t="shared" si="116"/>
        <v>0</v>
      </c>
      <c r="AI67" s="909">
        <f t="shared" si="116"/>
        <v>0</v>
      </c>
      <c r="AJ67" s="909">
        <f t="shared" si="116"/>
        <v>0</v>
      </c>
      <c r="AK67" s="909">
        <f t="shared" si="116"/>
        <v>0</v>
      </c>
      <c r="AL67" s="532">
        <f t="shared" si="117"/>
        <v>0</v>
      </c>
    </row>
    <row r="68" spans="2:38" x14ac:dyDescent="0.25">
      <c r="B68" s="245" t="str">
        <f>'T_Stock_TOTAL_&amp;_City'!B68</f>
        <v>Plugin Hybrid Electric - gasoline</v>
      </c>
      <c r="C68" s="245" t="s">
        <v>335</v>
      </c>
      <c r="D68" s="798"/>
      <c r="E68" s="798"/>
      <c r="F68" s="798"/>
      <c r="G68" s="798"/>
      <c r="H68" s="798"/>
      <c r="I68" s="798"/>
      <c r="J68" s="798"/>
      <c r="K68" s="798"/>
      <c r="L68" s="798"/>
      <c r="M68" s="798"/>
      <c r="N68" s="798"/>
      <c r="O68" s="798"/>
      <c r="P68" s="798"/>
      <c r="Q68" s="798"/>
      <c r="R68" s="798"/>
      <c r="S68" s="680">
        <f t="shared" si="118"/>
        <v>0</v>
      </c>
      <c r="U68" s="321">
        <f>'T_Stock_TOTAL_&amp;_City'!U68-'T_Stock_TOTAL_&amp;_City'!V68</f>
        <v>0</v>
      </c>
      <c r="W68" s="909">
        <f t="shared" si="119"/>
        <v>0</v>
      </c>
      <c r="X68" s="909">
        <f t="shared" si="116"/>
        <v>0</v>
      </c>
      <c r="Y68" s="909">
        <f t="shared" si="116"/>
        <v>0</v>
      </c>
      <c r="Z68" s="909">
        <f t="shared" si="116"/>
        <v>0</v>
      </c>
      <c r="AA68" s="909">
        <f t="shared" si="116"/>
        <v>0</v>
      </c>
      <c r="AB68" s="909">
        <f t="shared" si="116"/>
        <v>0</v>
      </c>
      <c r="AC68" s="909">
        <f t="shared" si="116"/>
        <v>0</v>
      </c>
      <c r="AD68" s="909">
        <f t="shared" si="116"/>
        <v>0</v>
      </c>
      <c r="AE68" s="909">
        <f t="shared" si="116"/>
        <v>0</v>
      </c>
      <c r="AF68" s="909">
        <f t="shared" si="116"/>
        <v>0</v>
      </c>
      <c r="AG68" s="909">
        <f t="shared" si="116"/>
        <v>0</v>
      </c>
      <c r="AH68" s="909">
        <f t="shared" si="116"/>
        <v>0</v>
      </c>
      <c r="AI68" s="909">
        <f t="shared" si="116"/>
        <v>0</v>
      </c>
      <c r="AJ68" s="909">
        <f t="shared" si="116"/>
        <v>0</v>
      </c>
      <c r="AK68" s="909">
        <f t="shared" si="116"/>
        <v>0</v>
      </c>
      <c r="AL68" s="532">
        <f t="shared" si="117"/>
        <v>0</v>
      </c>
    </row>
    <row r="69" spans="2:38" x14ac:dyDescent="0.25">
      <c r="B69" s="250" t="str">
        <f>'T_Stock_TOTAL_&amp;_City'!B69</f>
        <v>Other</v>
      </c>
      <c r="C69" s="250"/>
      <c r="D69" s="444">
        <v>0</v>
      </c>
      <c r="E69" s="444">
        <v>0</v>
      </c>
      <c r="F69" s="444">
        <v>0</v>
      </c>
      <c r="G69" s="444">
        <v>0</v>
      </c>
      <c r="H69" s="444">
        <v>0</v>
      </c>
      <c r="I69" s="444">
        <v>0</v>
      </c>
      <c r="J69" s="444">
        <v>0</v>
      </c>
      <c r="K69" s="444">
        <v>0</v>
      </c>
      <c r="L69" s="444">
        <v>0</v>
      </c>
      <c r="M69" s="444">
        <v>0</v>
      </c>
      <c r="N69" s="444">
        <v>0</v>
      </c>
      <c r="O69" s="444">
        <v>0</v>
      </c>
      <c r="P69" s="444">
        <v>0</v>
      </c>
      <c r="Q69" s="444">
        <v>0</v>
      </c>
      <c r="R69" s="444">
        <f t="shared" si="115"/>
        <v>0</v>
      </c>
      <c r="S69" s="444">
        <f t="shared" ref="S69" si="120">$U69*AL69</f>
        <v>0</v>
      </c>
      <c r="U69" s="477">
        <f>'T_Stock_TOTAL_&amp;_City'!U69-'T_Stock_TOTAL_&amp;_City'!V69</f>
        <v>0</v>
      </c>
      <c r="W69" s="909">
        <f t="shared" si="119"/>
        <v>0</v>
      </c>
      <c r="X69" s="909">
        <f t="shared" si="116"/>
        <v>0</v>
      </c>
      <c r="Y69" s="909">
        <f t="shared" si="116"/>
        <v>0</v>
      </c>
      <c r="Z69" s="909">
        <f t="shared" si="116"/>
        <v>0</v>
      </c>
      <c r="AA69" s="909">
        <f t="shared" si="116"/>
        <v>0</v>
      </c>
      <c r="AB69" s="909">
        <f t="shared" si="116"/>
        <v>0</v>
      </c>
      <c r="AC69" s="909">
        <f t="shared" si="116"/>
        <v>0</v>
      </c>
      <c r="AD69" s="909">
        <f t="shared" si="116"/>
        <v>0</v>
      </c>
      <c r="AE69" s="909">
        <f t="shared" si="116"/>
        <v>0</v>
      </c>
      <c r="AF69" s="909">
        <f t="shared" si="116"/>
        <v>0</v>
      </c>
      <c r="AG69" s="909">
        <f t="shared" si="116"/>
        <v>0</v>
      </c>
      <c r="AH69" s="909">
        <f t="shared" si="116"/>
        <v>0</v>
      </c>
      <c r="AI69" s="909">
        <f t="shared" si="116"/>
        <v>0</v>
      </c>
      <c r="AJ69" s="909">
        <f t="shared" si="116"/>
        <v>0</v>
      </c>
      <c r="AK69" s="909">
        <f t="shared" si="116"/>
        <v>0</v>
      </c>
      <c r="AL69" s="532">
        <f t="shared" si="117"/>
        <v>0</v>
      </c>
    </row>
    <row r="70" spans="2:38" x14ac:dyDescent="0.25">
      <c r="B70" s="131" t="s">
        <v>119</v>
      </c>
      <c r="C70" s="131"/>
      <c r="D70" s="681">
        <f>SUM(D58:D69)</f>
        <v>0</v>
      </c>
      <c r="E70" s="681">
        <f t="shared" ref="E70" si="121">SUM(E58:E69)</f>
        <v>0</v>
      </c>
      <c r="F70" s="681">
        <f t="shared" ref="F70" si="122">SUM(F58:F69)</f>
        <v>0</v>
      </c>
      <c r="G70" s="681">
        <f t="shared" ref="G70" si="123">SUM(G58:G69)</f>
        <v>0</v>
      </c>
      <c r="H70" s="681">
        <f t="shared" ref="H70" si="124">SUM(H58:H69)</f>
        <v>0</v>
      </c>
      <c r="I70" s="681">
        <f t="shared" ref="I70" si="125">SUM(I58:I69)</f>
        <v>0</v>
      </c>
      <c r="J70" s="681">
        <f t="shared" ref="J70" si="126">SUM(J58:J69)</f>
        <v>0</v>
      </c>
      <c r="K70" s="681">
        <f t="shared" ref="K70" si="127">SUM(K58:K69)</f>
        <v>0</v>
      </c>
      <c r="L70" s="681">
        <f t="shared" ref="L70" si="128">SUM(L58:L69)</f>
        <v>0</v>
      </c>
      <c r="M70" s="681">
        <f t="shared" ref="M70" si="129">SUM(M58:M69)</f>
        <v>0</v>
      </c>
      <c r="N70" s="681">
        <f t="shared" ref="N70" si="130">SUM(N58:N69)</f>
        <v>0</v>
      </c>
      <c r="O70" s="681">
        <f t="shared" ref="O70" si="131">SUM(O58:O69)</f>
        <v>0</v>
      </c>
      <c r="P70" s="681">
        <f t="shared" ref="P70" si="132">SUM(P58:P69)</f>
        <v>0</v>
      </c>
      <c r="Q70" s="681">
        <f t="shared" ref="Q70" si="133">SUM(Q58:Q69)</f>
        <v>0</v>
      </c>
      <c r="R70" s="681">
        <f t="shared" ref="R70" si="134">SUM(R58:R69)</f>
        <v>0</v>
      </c>
      <c r="S70" s="681">
        <f>SUM(S58:S69)</f>
        <v>0</v>
      </c>
      <c r="U70" s="130">
        <f>SUM(U59:U67)</f>
        <v>32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2" spans="2:38" x14ac:dyDescent="0.25">
      <c r="B72" s="476" t="s">
        <v>125</v>
      </c>
      <c r="C72" s="339"/>
      <c r="W72" s="3" t="s">
        <v>299</v>
      </c>
    </row>
    <row r="73" spans="2:38" x14ac:dyDescent="0.25">
      <c r="B73" s="476" t="s">
        <v>103</v>
      </c>
      <c r="C73" s="264" t="s">
        <v>104</v>
      </c>
      <c r="D73" s="121" t="str">
        <f>D$9</f>
        <v>Z01</v>
      </c>
      <c r="E73" s="121" t="str">
        <f t="shared" ref="E73:R73" si="135">E$9</f>
        <v>Z02</v>
      </c>
      <c r="F73" s="121" t="str">
        <f t="shared" si="135"/>
        <v>Z03</v>
      </c>
      <c r="G73" s="121" t="str">
        <f t="shared" si="135"/>
        <v>Z04</v>
      </c>
      <c r="H73" s="121" t="str">
        <f t="shared" si="135"/>
        <v>Z05</v>
      </c>
      <c r="I73" s="121" t="str">
        <f t="shared" si="135"/>
        <v>Z06</v>
      </c>
      <c r="J73" s="121" t="str">
        <f t="shared" si="135"/>
        <v>Z07</v>
      </c>
      <c r="K73" s="121" t="str">
        <f t="shared" si="135"/>
        <v>Z08</v>
      </c>
      <c r="L73" s="121" t="str">
        <f t="shared" si="135"/>
        <v>Z09</v>
      </c>
      <c r="M73" s="121" t="str">
        <f t="shared" si="135"/>
        <v>Z10</v>
      </c>
      <c r="N73" s="121" t="str">
        <f t="shared" si="135"/>
        <v>Z11</v>
      </c>
      <c r="O73" s="121" t="str">
        <f t="shared" si="135"/>
        <v>Z12</v>
      </c>
      <c r="P73" s="121" t="str">
        <f t="shared" si="135"/>
        <v>Z13</v>
      </c>
      <c r="Q73" s="121" t="str">
        <f t="shared" si="135"/>
        <v>Z14</v>
      </c>
      <c r="R73" s="121" t="str">
        <f t="shared" si="135"/>
        <v>Z15</v>
      </c>
      <c r="S73" s="121" t="s">
        <v>100</v>
      </c>
      <c r="U73" s="17" t="str">
        <f>U$9</f>
        <v>Private stock</v>
      </c>
      <c r="W73" s="121" t="str">
        <f t="shared" ref="W73:AK73" si="136">D73</f>
        <v>Z01</v>
      </c>
      <c r="X73" s="121" t="str">
        <f t="shared" si="136"/>
        <v>Z02</v>
      </c>
      <c r="Y73" s="121" t="str">
        <f t="shared" si="136"/>
        <v>Z03</v>
      </c>
      <c r="Z73" s="121" t="str">
        <f t="shared" si="136"/>
        <v>Z04</v>
      </c>
      <c r="AA73" s="121" t="str">
        <f t="shared" si="136"/>
        <v>Z05</v>
      </c>
      <c r="AB73" s="121" t="str">
        <f t="shared" si="136"/>
        <v>Z06</v>
      </c>
      <c r="AC73" s="121" t="str">
        <f t="shared" si="136"/>
        <v>Z07</v>
      </c>
      <c r="AD73" s="121" t="str">
        <f t="shared" si="136"/>
        <v>Z08</v>
      </c>
      <c r="AE73" s="121" t="str">
        <f t="shared" si="136"/>
        <v>Z09</v>
      </c>
      <c r="AF73" s="121" t="str">
        <f t="shared" si="136"/>
        <v>Z10</v>
      </c>
      <c r="AG73" s="121" t="str">
        <f t="shared" si="136"/>
        <v>Z11</v>
      </c>
      <c r="AH73" s="121" t="str">
        <f t="shared" si="136"/>
        <v>Z12</v>
      </c>
      <c r="AI73" s="121" t="str">
        <f t="shared" si="136"/>
        <v>Z13</v>
      </c>
      <c r="AJ73" s="121" t="str">
        <f t="shared" si="136"/>
        <v>Z14</v>
      </c>
      <c r="AK73" s="121" t="str">
        <f t="shared" si="136"/>
        <v>Z15</v>
      </c>
      <c r="AL73" s="121" t="s">
        <v>100</v>
      </c>
    </row>
    <row r="74" spans="2:38" x14ac:dyDescent="0.25">
      <c r="B74" s="245" t="str">
        <f>'T_Stock_TOTAL_&amp;_City'!B74</f>
        <v>Biodiesel</v>
      </c>
      <c r="C74" s="245" t="s">
        <v>336</v>
      </c>
      <c r="D74" s="680">
        <f>$U74*W74</f>
        <v>0</v>
      </c>
      <c r="E74" s="680">
        <f t="shared" ref="E74:E85" si="137">$U74*X74</f>
        <v>0</v>
      </c>
      <c r="F74" s="680">
        <f t="shared" ref="F74:F85" si="138">$U74*Y74</f>
        <v>0</v>
      </c>
      <c r="G74" s="680">
        <f t="shared" ref="G74:G85" si="139">$U74*Z74</f>
        <v>0</v>
      </c>
      <c r="H74" s="680">
        <f t="shared" ref="H74:H85" si="140">$U74*AA74</f>
        <v>0</v>
      </c>
      <c r="I74" s="680">
        <f t="shared" ref="I74:I85" si="141">$U74*AB74</f>
        <v>0</v>
      </c>
      <c r="J74" s="680">
        <f t="shared" ref="J74:J85" si="142">$U74*AC74</f>
        <v>0</v>
      </c>
      <c r="K74" s="680">
        <f t="shared" ref="K74:K85" si="143">$U74*AD74</f>
        <v>0</v>
      </c>
      <c r="L74" s="680">
        <f t="shared" ref="L74:L85" si="144">$U74*AE74</f>
        <v>0</v>
      </c>
      <c r="M74" s="680">
        <f t="shared" ref="M74:M85" si="145">$U74*AF74</f>
        <v>0</v>
      </c>
      <c r="N74" s="680">
        <f t="shared" ref="N74:N85" si="146">$U74*AG74</f>
        <v>0</v>
      </c>
      <c r="O74" s="680">
        <f t="shared" ref="O74:O85" si="147">$U74*AH74</f>
        <v>0</v>
      </c>
      <c r="P74" s="680">
        <f t="shared" ref="P74:P85" si="148">$U74*AI74</f>
        <v>0</v>
      </c>
      <c r="Q74" s="680">
        <f t="shared" ref="Q74:Q85" si="149">$U74*AJ74</f>
        <v>0</v>
      </c>
      <c r="R74" s="680">
        <f t="shared" ref="R74:R85" si="150">$U74*AK74</f>
        <v>0</v>
      </c>
      <c r="S74" s="680">
        <f t="shared" ref="S74:S85" si="151">$U74*AL74</f>
        <v>0</v>
      </c>
      <c r="U74" s="311">
        <f>'T_Stock_TOTAL_&amp;_City'!U74-'T_Stock_TOTAL_&amp;_City'!V74</f>
        <v>0</v>
      </c>
      <c r="W74" s="909">
        <f>W$6</f>
        <v>0</v>
      </c>
      <c r="X74" s="909">
        <f t="shared" ref="X74:AK85" si="152">X$6</f>
        <v>0</v>
      </c>
      <c r="Y74" s="909">
        <f t="shared" si="152"/>
        <v>0</v>
      </c>
      <c r="Z74" s="909">
        <f t="shared" si="152"/>
        <v>0</v>
      </c>
      <c r="AA74" s="909">
        <f t="shared" si="152"/>
        <v>0</v>
      </c>
      <c r="AB74" s="909">
        <f t="shared" si="152"/>
        <v>0</v>
      </c>
      <c r="AC74" s="909">
        <f t="shared" si="152"/>
        <v>0</v>
      </c>
      <c r="AD74" s="909">
        <f t="shared" si="152"/>
        <v>0</v>
      </c>
      <c r="AE74" s="909">
        <f t="shared" si="152"/>
        <v>0</v>
      </c>
      <c r="AF74" s="909">
        <f t="shared" si="152"/>
        <v>0</v>
      </c>
      <c r="AG74" s="909">
        <f t="shared" si="152"/>
        <v>0</v>
      </c>
      <c r="AH74" s="909">
        <f t="shared" si="152"/>
        <v>0</v>
      </c>
      <c r="AI74" s="909">
        <f t="shared" si="152"/>
        <v>0</v>
      </c>
      <c r="AJ74" s="909">
        <f t="shared" si="152"/>
        <v>0</v>
      </c>
      <c r="AK74" s="909">
        <f t="shared" si="152"/>
        <v>0</v>
      </c>
      <c r="AL74" s="532">
        <f t="shared" ref="AL74:AL85" si="153">SUM(W74:AK74)</f>
        <v>0</v>
      </c>
    </row>
    <row r="75" spans="2:38" x14ac:dyDescent="0.25">
      <c r="B75" s="245" t="str">
        <f>'T_Stock_TOTAL_&amp;_City'!B75</f>
        <v>Diesel</v>
      </c>
      <c r="C75" s="245" t="s">
        <v>337</v>
      </c>
      <c r="D75" s="680">
        <v>2421</v>
      </c>
      <c r="E75" s="798"/>
      <c r="F75" s="798"/>
      <c r="G75" s="798"/>
      <c r="H75" s="798"/>
      <c r="I75" s="798"/>
      <c r="J75" s="798"/>
      <c r="K75" s="798"/>
      <c r="L75" s="798"/>
      <c r="M75" s="798"/>
      <c r="N75" s="798"/>
      <c r="O75" s="798"/>
      <c r="P75" s="798"/>
      <c r="Q75" s="798"/>
      <c r="R75" s="798"/>
      <c r="S75" s="680">
        <f t="shared" ref="S75:S84" si="154">SUM(D75:R75)</f>
        <v>2421</v>
      </c>
      <c r="U75" s="311">
        <v>363</v>
      </c>
      <c r="W75" s="909">
        <f t="shared" ref="W75:W85" si="155">W$6</f>
        <v>0</v>
      </c>
      <c r="X75" s="909">
        <f t="shared" si="152"/>
        <v>0</v>
      </c>
      <c r="Y75" s="909">
        <f t="shared" si="152"/>
        <v>0</v>
      </c>
      <c r="Z75" s="909">
        <f t="shared" si="152"/>
        <v>0</v>
      </c>
      <c r="AA75" s="909">
        <f t="shared" si="152"/>
        <v>0</v>
      </c>
      <c r="AB75" s="909">
        <f t="shared" si="152"/>
        <v>0</v>
      </c>
      <c r="AC75" s="909">
        <f t="shared" si="152"/>
        <v>0</v>
      </c>
      <c r="AD75" s="909">
        <f t="shared" si="152"/>
        <v>0</v>
      </c>
      <c r="AE75" s="909">
        <f t="shared" si="152"/>
        <v>0</v>
      </c>
      <c r="AF75" s="909">
        <f t="shared" si="152"/>
        <v>0</v>
      </c>
      <c r="AG75" s="909">
        <f t="shared" si="152"/>
        <v>0</v>
      </c>
      <c r="AH75" s="909">
        <f t="shared" si="152"/>
        <v>0</v>
      </c>
      <c r="AI75" s="909">
        <f t="shared" si="152"/>
        <v>0</v>
      </c>
      <c r="AJ75" s="909">
        <f t="shared" si="152"/>
        <v>0</v>
      </c>
      <c r="AK75" s="909">
        <f t="shared" si="152"/>
        <v>0</v>
      </c>
      <c r="AL75" s="532">
        <f t="shared" si="153"/>
        <v>0</v>
      </c>
    </row>
    <row r="76" spans="2:38" x14ac:dyDescent="0.25">
      <c r="B76" s="245" t="str">
        <f>'T_Stock_TOTAL_&amp;_City'!B76</f>
        <v>Battery electric (BEV)</v>
      </c>
      <c r="C76" s="245" t="s">
        <v>338</v>
      </c>
      <c r="D76" s="680">
        <v>31</v>
      </c>
      <c r="E76" s="798"/>
      <c r="F76" s="798"/>
      <c r="G76" s="798"/>
      <c r="H76" s="798"/>
      <c r="I76" s="798"/>
      <c r="J76" s="798"/>
      <c r="K76" s="798"/>
      <c r="L76" s="798"/>
      <c r="M76" s="798"/>
      <c r="N76" s="798"/>
      <c r="O76" s="798"/>
      <c r="P76" s="798"/>
      <c r="Q76" s="798"/>
      <c r="R76" s="798"/>
      <c r="S76" s="680">
        <f t="shared" si="154"/>
        <v>31</v>
      </c>
      <c r="U76" s="311">
        <f>'T_Stock_TOTAL_&amp;_City'!U76-'T_Stock_TOTAL_&amp;_City'!V76</f>
        <v>0</v>
      </c>
      <c r="W76" s="909">
        <f t="shared" si="155"/>
        <v>0</v>
      </c>
      <c r="X76" s="909">
        <f t="shared" si="152"/>
        <v>0</v>
      </c>
      <c r="Y76" s="909">
        <f t="shared" si="152"/>
        <v>0</v>
      </c>
      <c r="Z76" s="909">
        <f t="shared" si="152"/>
        <v>0</v>
      </c>
      <c r="AA76" s="909">
        <f t="shared" si="152"/>
        <v>0</v>
      </c>
      <c r="AB76" s="909">
        <f t="shared" si="152"/>
        <v>0</v>
      </c>
      <c r="AC76" s="909">
        <f t="shared" si="152"/>
        <v>0</v>
      </c>
      <c r="AD76" s="909">
        <f t="shared" si="152"/>
        <v>0</v>
      </c>
      <c r="AE76" s="909">
        <f t="shared" si="152"/>
        <v>0</v>
      </c>
      <c r="AF76" s="909">
        <f t="shared" si="152"/>
        <v>0</v>
      </c>
      <c r="AG76" s="909">
        <f t="shared" si="152"/>
        <v>0</v>
      </c>
      <c r="AH76" s="909">
        <f t="shared" si="152"/>
        <v>0</v>
      </c>
      <c r="AI76" s="909">
        <f t="shared" si="152"/>
        <v>0</v>
      </c>
      <c r="AJ76" s="909">
        <f t="shared" si="152"/>
        <v>0</v>
      </c>
      <c r="AK76" s="909">
        <f t="shared" si="152"/>
        <v>0</v>
      </c>
      <c r="AL76" s="532">
        <f t="shared" si="153"/>
        <v>0</v>
      </c>
    </row>
    <row r="77" spans="2:38" x14ac:dyDescent="0.25">
      <c r="B77" s="245" t="str">
        <f>'T_Stock_TOTAL_&amp;_City'!B77</f>
        <v>Ethanol</v>
      </c>
      <c r="C77" s="245" t="s">
        <v>339</v>
      </c>
      <c r="D77" s="680">
        <v>116</v>
      </c>
      <c r="E77" s="798"/>
      <c r="F77" s="798"/>
      <c r="G77" s="798"/>
      <c r="H77" s="798"/>
      <c r="I77" s="798"/>
      <c r="J77" s="798"/>
      <c r="K77" s="798"/>
      <c r="L77" s="798"/>
      <c r="M77" s="798"/>
      <c r="N77" s="798"/>
      <c r="O77" s="798"/>
      <c r="P77" s="798"/>
      <c r="Q77" s="798"/>
      <c r="R77" s="798"/>
      <c r="S77" s="680">
        <f t="shared" si="154"/>
        <v>116</v>
      </c>
      <c r="U77" s="311">
        <v>0</v>
      </c>
      <c r="W77" s="909">
        <f t="shared" si="155"/>
        <v>0</v>
      </c>
      <c r="X77" s="909">
        <f t="shared" si="152"/>
        <v>0</v>
      </c>
      <c r="Y77" s="909">
        <f t="shared" si="152"/>
        <v>0</v>
      </c>
      <c r="Z77" s="909">
        <f t="shared" si="152"/>
        <v>0</v>
      </c>
      <c r="AA77" s="909">
        <f t="shared" si="152"/>
        <v>0</v>
      </c>
      <c r="AB77" s="909">
        <f t="shared" si="152"/>
        <v>0</v>
      </c>
      <c r="AC77" s="909">
        <f t="shared" si="152"/>
        <v>0</v>
      </c>
      <c r="AD77" s="909">
        <f t="shared" si="152"/>
        <v>0</v>
      </c>
      <c r="AE77" s="909">
        <f t="shared" si="152"/>
        <v>0</v>
      </c>
      <c r="AF77" s="909">
        <f t="shared" si="152"/>
        <v>0</v>
      </c>
      <c r="AG77" s="909">
        <f t="shared" si="152"/>
        <v>0</v>
      </c>
      <c r="AH77" s="909">
        <f t="shared" si="152"/>
        <v>0</v>
      </c>
      <c r="AI77" s="909">
        <f t="shared" si="152"/>
        <v>0</v>
      </c>
      <c r="AJ77" s="909">
        <f t="shared" si="152"/>
        <v>0</v>
      </c>
      <c r="AK77" s="909">
        <f t="shared" si="152"/>
        <v>0</v>
      </c>
      <c r="AL77" s="532">
        <f t="shared" si="153"/>
        <v>0</v>
      </c>
    </row>
    <row r="78" spans="2:38" x14ac:dyDescent="0.25">
      <c r="B78" s="245" t="str">
        <f>'T_Stock_TOTAL_&amp;_City'!B78</f>
        <v>Gas (CNG)</v>
      </c>
      <c r="C78" s="245" t="s">
        <v>340</v>
      </c>
      <c r="D78" s="680">
        <v>443</v>
      </c>
      <c r="E78" s="798"/>
      <c r="F78" s="798"/>
      <c r="G78" s="798"/>
      <c r="H78" s="798"/>
      <c r="I78" s="798"/>
      <c r="J78" s="798"/>
      <c r="K78" s="798"/>
      <c r="L78" s="798"/>
      <c r="M78" s="798"/>
      <c r="N78" s="798"/>
      <c r="O78" s="798"/>
      <c r="P78" s="798"/>
      <c r="Q78" s="798"/>
      <c r="R78" s="798"/>
      <c r="S78" s="680">
        <f t="shared" si="154"/>
        <v>443</v>
      </c>
      <c r="U78" s="311">
        <v>0</v>
      </c>
      <c r="W78" s="909">
        <f t="shared" si="155"/>
        <v>0</v>
      </c>
      <c r="X78" s="909">
        <f t="shared" si="152"/>
        <v>0</v>
      </c>
      <c r="Y78" s="909">
        <f t="shared" si="152"/>
        <v>0</v>
      </c>
      <c r="Z78" s="909">
        <f t="shared" si="152"/>
        <v>0</v>
      </c>
      <c r="AA78" s="909">
        <f t="shared" si="152"/>
        <v>0</v>
      </c>
      <c r="AB78" s="909">
        <f t="shared" si="152"/>
        <v>0</v>
      </c>
      <c r="AC78" s="909">
        <f t="shared" si="152"/>
        <v>0</v>
      </c>
      <c r="AD78" s="909">
        <f t="shared" si="152"/>
        <v>0</v>
      </c>
      <c r="AE78" s="909">
        <f t="shared" si="152"/>
        <v>0</v>
      </c>
      <c r="AF78" s="909">
        <f t="shared" si="152"/>
        <v>0</v>
      </c>
      <c r="AG78" s="909">
        <f t="shared" si="152"/>
        <v>0</v>
      </c>
      <c r="AH78" s="909">
        <f t="shared" si="152"/>
        <v>0</v>
      </c>
      <c r="AI78" s="909">
        <f t="shared" si="152"/>
        <v>0</v>
      </c>
      <c r="AJ78" s="909">
        <f t="shared" si="152"/>
        <v>0</v>
      </c>
      <c r="AK78" s="909">
        <f t="shared" si="152"/>
        <v>0</v>
      </c>
      <c r="AL78" s="532">
        <f t="shared" si="153"/>
        <v>0</v>
      </c>
    </row>
    <row r="79" spans="2:38" x14ac:dyDescent="0.25">
      <c r="B79" s="245" t="str">
        <f>'T_Stock_TOTAL_&amp;_City'!B79</f>
        <v>Gasoline</v>
      </c>
      <c r="C79" s="245" t="s">
        <v>341</v>
      </c>
      <c r="D79" s="680">
        <v>7</v>
      </c>
      <c r="E79" s="798"/>
      <c r="F79" s="798"/>
      <c r="G79" s="798"/>
      <c r="H79" s="798"/>
      <c r="I79" s="798"/>
      <c r="J79" s="798"/>
      <c r="K79" s="798"/>
      <c r="L79" s="798"/>
      <c r="M79" s="798"/>
      <c r="N79" s="798"/>
      <c r="O79" s="798"/>
      <c r="P79" s="798"/>
      <c r="Q79" s="798"/>
      <c r="R79" s="798"/>
      <c r="S79" s="680">
        <f t="shared" si="154"/>
        <v>7</v>
      </c>
      <c r="U79" s="311">
        <v>0</v>
      </c>
      <c r="W79" s="909">
        <f t="shared" si="155"/>
        <v>0</v>
      </c>
      <c r="X79" s="909">
        <f t="shared" si="152"/>
        <v>0</v>
      </c>
      <c r="Y79" s="909">
        <f t="shared" si="152"/>
        <v>0</v>
      </c>
      <c r="Z79" s="909">
        <f t="shared" si="152"/>
        <v>0</v>
      </c>
      <c r="AA79" s="909">
        <f t="shared" si="152"/>
        <v>0</v>
      </c>
      <c r="AB79" s="909">
        <f t="shared" si="152"/>
        <v>0</v>
      </c>
      <c r="AC79" s="909">
        <f t="shared" si="152"/>
        <v>0</v>
      </c>
      <c r="AD79" s="909">
        <f t="shared" si="152"/>
        <v>0</v>
      </c>
      <c r="AE79" s="909">
        <f t="shared" si="152"/>
        <v>0</v>
      </c>
      <c r="AF79" s="909">
        <f t="shared" si="152"/>
        <v>0</v>
      </c>
      <c r="AG79" s="909">
        <f t="shared" si="152"/>
        <v>0</v>
      </c>
      <c r="AH79" s="909">
        <f t="shared" si="152"/>
        <v>0</v>
      </c>
      <c r="AI79" s="909">
        <f t="shared" si="152"/>
        <v>0</v>
      </c>
      <c r="AJ79" s="909">
        <f t="shared" si="152"/>
        <v>0</v>
      </c>
      <c r="AK79" s="909">
        <f t="shared" si="152"/>
        <v>0</v>
      </c>
      <c r="AL79" s="532">
        <f t="shared" si="153"/>
        <v>0</v>
      </c>
    </row>
    <row r="80" spans="2:38" x14ac:dyDescent="0.25">
      <c r="B80" s="245" t="str">
        <f>'T_Stock_TOTAL_&amp;_City'!B80</f>
        <v>Hybrid Electric - diesel</v>
      </c>
      <c r="C80" s="245" t="s">
        <v>342</v>
      </c>
      <c r="D80" s="680">
        <f>$U80*W80</f>
        <v>0</v>
      </c>
      <c r="E80" s="798"/>
      <c r="F80" s="798"/>
      <c r="G80" s="798"/>
      <c r="H80" s="798"/>
      <c r="I80" s="798"/>
      <c r="J80" s="798"/>
      <c r="K80" s="798"/>
      <c r="L80" s="798"/>
      <c r="M80" s="798"/>
      <c r="N80" s="798"/>
      <c r="O80" s="798"/>
      <c r="P80" s="798"/>
      <c r="Q80" s="798"/>
      <c r="R80" s="798"/>
      <c r="S80" s="680">
        <f t="shared" si="154"/>
        <v>0</v>
      </c>
      <c r="U80" s="311">
        <f>'T_Stock_TOTAL_&amp;_City'!U80-'T_Stock_TOTAL_&amp;_City'!V80</f>
        <v>0</v>
      </c>
      <c r="W80" s="909">
        <f t="shared" si="155"/>
        <v>0</v>
      </c>
      <c r="X80" s="909">
        <f t="shared" si="152"/>
        <v>0</v>
      </c>
      <c r="Y80" s="909">
        <f t="shared" si="152"/>
        <v>0</v>
      </c>
      <c r="Z80" s="909">
        <f t="shared" si="152"/>
        <v>0</v>
      </c>
      <c r="AA80" s="909">
        <f t="shared" si="152"/>
        <v>0</v>
      </c>
      <c r="AB80" s="909">
        <f t="shared" si="152"/>
        <v>0</v>
      </c>
      <c r="AC80" s="909">
        <f t="shared" si="152"/>
        <v>0</v>
      </c>
      <c r="AD80" s="909">
        <f t="shared" si="152"/>
        <v>0</v>
      </c>
      <c r="AE80" s="909">
        <f t="shared" si="152"/>
        <v>0</v>
      </c>
      <c r="AF80" s="909">
        <f t="shared" si="152"/>
        <v>0</v>
      </c>
      <c r="AG80" s="909">
        <f t="shared" si="152"/>
        <v>0</v>
      </c>
      <c r="AH80" s="909">
        <f t="shared" si="152"/>
        <v>0</v>
      </c>
      <c r="AI80" s="909">
        <f t="shared" si="152"/>
        <v>0</v>
      </c>
      <c r="AJ80" s="909">
        <f t="shared" si="152"/>
        <v>0</v>
      </c>
      <c r="AK80" s="909">
        <f t="shared" si="152"/>
        <v>0</v>
      </c>
      <c r="AL80" s="532">
        <f t="shared" si="153"/>
        <v>0</v>
      </c>
    </row>
    <row r="81" spans="2:38" x14ac:dyDescent="0.25">
      <c r="B81" s="245" t="str">
        <f>'T_Stock_TOTAL_&amp;_City'!B81</f>
        <v>Hybrid Electric - gasoline</v>
      </c>
      <c r="C81" s="245" t="s">
        <v>343</v>
      </c>
      <c r="D81" s="680">
        <v>0</v>
      </c>
      <c r="E81" s="798"/>
      <c r="F81" s="798"/>
      <c r="G81" s="798"/>
      <c r="H81" s="798"/>
      <c r="I81" s="798"/>
      <c r="J81" s="798"/>
      <c r="K81" s="798"/>
      <c r="L81" s="798"/>
      <c r="M81" s="798"/>
      <c r="N81" s="798"/>
      <c r="O81" s="798"/>
      <c r="P81" s="798"/>
      <c r="Q81" s="798"/>
      <c r="R81" s="798"/>
      <c r="S81" s="680">
        <f t="shared" si="154"/>
        <v>0</v>
      </c>
      <c r="U81" s="311">
        <f>'T_Stock_TOTAL_&amp;_City'!U81-'T_Stock_TOTAL_&amp;_City'!V81</f>
        <v>0</v>
      </c>
      <c r="W81" s="909">
        <f t="shared" si="155"/>
        <v>0</v>
      </c>
      <c r="X81" s="909">
        <f t="shared" si="152"/>
        <v>0</v>
      </c>
      <c r="Y81" s="909">
        <f t="shared" si="152"/>
        <v>0</v>
      </c>
      <c r="Z81" s="909">
        <f t="shared" si="152"/>
        <v>0</v>
      </c>
      <c r="AA81" s="909">
        <f t="shared" si="152"/>
        <v>0</v>
      </c>
      <c r="AB81" s="909">
        <f t="shared" si="152"/>
        <v>0</v>
      </c>
      <c r="AC81" s="909">
        <f t="shared" si="152"/>
        <v>0</v>
      </c>
      <c r="AD81" s="909">
        <f t="shared" si="152"/>
        <v>0</v>
      </c>
      <c r="AE81" s="909">
        <f t="shared" si="152"/>
        <v>0</v>
      </c>
      <c r="AF81" s="909">
        <f t="shared" si="152"/>
        <v>0</v>
      </c>
      <c r="AG81" s="909">
        <f t="shared" si="152"/>
        <v>0</v>
      </c>
      <c r="AH81" s="909">
        <f t="shared" si="152"/>
        <v>0</v>
      </c>
      <c r="AI81" s="909">
        <f t="shared" si="152"/>
        <v>0</v>
      </c>
      <c r="AJ81" s="909">
        <f t="shared" si="152"/>
        <v>0</v>
      </c>
      <c r="AK81" s="909">
        <f t="shared" si="152"/>
        <v>0</v>
      </c>
      <c r="AL81" s="532">
        <f t="shared" si="153"/>
        <v>0</v>
      </c>
    </row>
    <row r="82" spans="2:38" x14ac:dyDescent="0.25">
      <c r="B82" s="245" t="str">
        <f>'T_Stock_TOTAL_&amp;_City'!B82</f>
        <v>LPG</v>
      </c>
      <c r="C82" s="245" t="s">
        <v>344</v>
      </c>
      <c r="D82" s="680">
        <f>$U82*W82</f>
        <v>0</v>
      </c>
      <c r="E82" s="798"/>
      <c r="F82" s="798"/>
      <c r="G82" s="798"/>
      <c r="H82" s="798"/>
      <c r="I82" s="798"/>
      <c r="J82" s="798"/>
      <c r="K82" s="798"/>
      <c r="L82" s="798"/>
      <c r="M82" s="798"/>
      <c r="N82" s="798"/>
      <c r="O82" s="798"/>
      <c r="P82" s="798"/>
      <c r="Q82" s="798"/>
      <c r="R82" s="798"/>
      <c r="S82" s="680">
        <f t="shared" si="154"/>
        <v>0</v>
      </c>
      <c r="U82" s="311">
        <f>'T_Stock_TOTAL_&amp;_City'!U82-'T_Stock_TOTAL_&amp;_City'!V82</f>
        <v>0</v>
      </c>
      <c r="W82" s="909">
        <f t="shared" si="155"/>
        <v>0</v>
      </c>
      <c r="X82" s="909">
        <f t="shared" si="152"/>
        <v>0</v>
      </c>
      <c r="Y82" s="909">
        <f t="shared" si="152"/>
        <v>0</v>
      </c>
      <c r="Z82" s="909">
        <f t="shared" si="152"/>
        <v>0</v>
      </c>
      <c r="AA82" s="909">
        <f t="shared" si="152"/>
        <v>0</v>
      </c>
      <c r="AB82" s="909">
        <f t="shared" si="152"/>
        <v>0</v>
      </c>
      <c r="AC82" s="909">
        <f t="shared" si="152"/>
        <v>0</v>
      </c>
      <c r="AD82" s="909">
        <f t="shared" si="152"/>
        <v>0</v>
      </c>
      <c r="AE82" s="909">
        <f t="shared" si="152"/>
        <v>0</v>
      </c>
      <c r="AF82" s="909">
        <f t="shared" si="152"/>
        <v>0</v>
      </c>
      <c r="AG82" s="909">
        <f t="shared" si="152"/>
        <v>0</v>
      </c>
      <c r="AH82" s="909">
        <f t="shared" si="152"/>
        <v>0</v>
      </c>
      <c r="AI82" s="909">
        <f t="shared" si="152"/>
        <v>0</v>
      </c>
      <c r="AJ82" s="909">
        <f t="shared" si="152"/>
        <v>0</v>
      </c>
      <c r="AK82" s="909">
        <f t="shared" si="152"/>
        <v>0</v>
      </c>
      <c r="AL82" s="532">
        <f t="shared" si="153"/>
        <v>0</v>
      </c>
    </row>
    <row r="83" spans="2:38" x14ac:dyDescent="0.25">
      <c r="B83" s="245" t="str">
        <f>'T_Stock_TOTAL_&amp;_City'!B83</f>
        <v>Plugin Hybrid Electric - diesel</v>
      </c>
      <c r="C83" s="245" t="s">
        <v>345</v>
      </c>
      <c r="D83" s="680">
        <f>$U83*W83</f>
        <v>0</v>
      </c>
      <c r="E83" s="798"/>
      <c r="F83" s="798"/>
      <c r="G83" s="798"/>
      <c r="H83" s="798"/>
      <c r="I83" s="798"/>
      <c r="J83" s="798"/>
      <c r="K83" s="798"/>
      <c r="L83" s="798"/>
      <c r="M83" s="798"/>
      <c r="N83" s="798"/>
      <c r="O83" s="798"/>
      <c r="P83" s="798"/>
      <c r="Q83" s="798"/>
      <c r="R83" s="798"/>
      <c r="S83" s="680">
        <f t="shared" si="154"/>
        <v>0</v>
      </c>
      <c r="U83" s="311">
        <f>'T_Stock_TOTAL_&amp;_City'!U83-'T_Stock_TOTAL_&amp;_City'!V83</f>
        <v>0</v>
      </c>
      <c r="W83" s="909">
        <f t="shared" si="155"/>
        <v>0</v>
      </c>
      <c r="X83" s="909">
        <f t="shared" si="152"/>
        <v>0</v>
      </c>
      <c r="Y83" s="909">
        <f t="shared" si="152"/>
        <v>0</v>
      </c>
      <c r="Z83" s="909">
        <f t="shared" si="152"/>
        <v>0</v>
      </c>
      <c r="AA83" s="909">
        <f t="shared" si="152"/>
        <v>0</v>
      </c>
      <c r="AB83" s="909">
        <f t="shared" si="152"/>
        <v>0</v>
      </c>
      <c r="AC83" s="909">
        <f t="shared" si="152"/>
        <v>0</v>
      </c>
      <c r="AD83" s="909">
        <f t="shared" si="152"/>
        <v>0</v>
      </c>
      <c r="AE83" s="909">
        <f t="shared" si="152"/>
        <v>0</v>
      </c>
      <c r="AF83" s="909">
        <f t="shared" si="152"/>
        <v>0</v>
      </c>
      <c r="AG83" s="909">
        <f t="shared" si="152"/>
        <v>0</v>
      </c>
      <c r="AH83" s="909">
        <f t="shared" si="152"/>
        <v>0</v>
      </c>
      <c r="AI83" s="909">
        <f t="shared" si="152"/>
        <v>0</v>
      </c>
      <c r="AJ83" s="909">
        <f t="shared" si="152"/>
        <v>0</v>
      </c>
      <c r="AK83" s="909">
        <f t="shared" si="152"/>
        <v>0</v>
      </c>
      <c r="AL83" s="532">
        <f t="shared" si="153"/>
        <v>0</v>
      </c>
    </row>
    <row r="84" spans="2:38" x14ac:dyDescent="0.25">
      <c r="B84" s="245" t="str">
        <f>'T_Stock_TOTAL_&amp;_City'!B84</f>
        <v>Plugin Hybrid Electric - gasoline</v>
      </c>
      <c r="C84" s="245" t="s">
        <v>346</v>
      </c>
      <c r="D84" s="680">
        <v>0</v>
      </c>
      <c r="E84" s="798"/>
      <c r="F84" s="798"/>
      <c r="G84" s="798"/>
      <c r="H84" s="798"/>
      <c r="I84" s="798"/>
      <c r="J84" s="798"/>
      <c r="K84" s="798"/>
      <c r="L84" s="798"/>
      <c r="M84" s="798"/>
      <c r="N84" s="798"/>
      <c r="O84" s="798"/>
      <c r="P84" s="798"/>
      <c r="Q84" s="798"/>
      <c r="R84" s="798"/>
      <c r="S84" s="680">
        <f t="shared" si="154"/>
        <v>0</v>
      </c>
      <c r="U84" s="311">
        <f>'T_Stock_TOTAL_&amp;_City'!U84-'T_Stock_TOTAL_&amp;_City'!V84</f>
        <v>0</v>
      </c>
      <c r="W84" s="909">
        <f t="shared" si="155"/>
        <v>0</v>
      </c>
      <c r="X84" s="909">
        <f t="shared" si="152"/>
        <v>0</v>
      </c>
      <c r="Y84" s="909">
        <f t="shared" si="152"/>
        <v>0</v>
      </c>
      <c r="Z84" s="909">
        <f t="shared" si="152"/>
        <v>0</v>
      </c>
      <c r="AA84" s="909">
        <f t="shared" si="152"/>
        <v>0</v>
      </c>
      <c r="AB84" s="909">
        <f t="shared" si="152"/>
        <v>0</v>
      </c>
      <c r="AC84" s="909">
        <f t="shared" si="152"/>
        <v>0</v>
      </c>
      <c r="AD84" s="909">
        <f t="shared" si="152"/>
        <v>0</v>
      </c>
      <c r="AE84" s="909">
        <f t="shared" si="152"/>
        <v>0</v>
      </c>
      <c r="AF84" s="909">
        <f t="shared" si="152"/>
        <v>0</v>
      </c>
      <c r="AG84" s="909">
        <f t="shared" si="152"/>
        <v>0</v>
      </c>
      <c r="AH84" s="909">
        <f t="shared" si="152"/>
        <v>0</v>
      </c>
      <c r="AI84" s="909">
        <f t="shared" si="152"/>
        <v>0</v>
      </c>
      <c r="AJ84" s="909">
        <f t="shared" si="152"/>
        <v>0</v>
      </c>
      <c r="AK84" s="909">
        <f t="shared" si="152"/>
        <v>0</v>
      </c>
      <c r="AL84" s="532">
        <f t="shared" si="153"/>
        <v>0</v>
      </c>
    </row>
    <row r="85" spans="2:38" x14ac:dyDescent="0.25">
      <c r="B85" s="250" t="str">
        <f>'T_Stock_TOTAL_&amp;_City'!B85</f>
        <v>Other</v>
      </c>
      <c r="C85" s="250"/>
      <c r="D85" s="444">
        <f t="shared" ref="D85" si="156">$U85*W85</f>
        <v>0</v>
      </c>
      <c r="E85" s="444">
        <f t="shared" si="137"/>
        <v>0</v>
      </c>
      <c r="F85" s="444">
        <f t="shared" si="138"/>
        <v>0</v>
      </c>
      <c r="G85" s="444">
        <f t="shared" si="139"/>
        <v>0</v>
      </c>
      <c r="H85" s="444">
        <f t="shared" si="140"/>
        <v>0</v>
      </c>
      <c r="I85" s="444">
        <f t="shared" si="141"/>
        <v>0</v>
      </c>
      <c r="J85" s="444">
        <f t="shared" si="142"/>
        <v>0</v>
      </c>
      <c r="K85" s="444">
        <f t="shared" si="143"/>
        <v>0</v>
      </c>
      <c r="L85" s="444">
        <f t="shared" si="144"/>
        <v>0</v>
      </c>
      <c r="M85" s="444">
        <f t="shared" si="145"/>
        <v>0</v>
      </c>
      <c r="N85" s="444">
        <f t="shared" si="146"/>
        <v>0</v>
      </c>
      <c r="O85" s="444">
        <f t="shared" si="147"/>
        <v>0</v>
      </c>
      <c r="P85" s="444">
        <f t="shared" si="148"/>
        <v>0</v>
      </c>
      <c r="Q85" s="444">
        <f t="shared" si="149"/>
        <v>0</v>
      </c>
      <c r="R85" s="444">
        <f t="shared" si="150"/>
        <v>0</v>
      </c>
      <c r="S85" s="444">
        <f t="shared" si="151"/>
        <v>0</v>
      </c>
      <c r="U85" s="335">
        <f>'T_Stock_TOTAL_&amp;_City'!U85-'T_Stock_TOTAL_&amp;_City'!V85</f>
        <v>0</v>
      </c>
      <c r="W85" s="909">
        <f t="shared" si="155"/>
        <v>0</v>
      </c>
      <c r="X85" s="909">
        <f t="shared" si="152"/>
        <v>0</v>
      </c>
      <c r="Y85" s="909">
        <f t="shared" si="152"/>
        <v>0</v>
      </c>
      <c r="Z85" s="909">
        <f t="shared" si="152"/>
        <v>0</v>
      </c>
      <c r="AA85" s="909">
        <f t="shared" si="152"/>
        <v>0</v>
      </c>
      <c r="AB85" s="909">
        <f t="shared" si="152"/>
        <v>0</v>
      </c>
      <c r="AC85" s="909">
        <f t="shared" si="152"/>
        <v>0</v>
      </c>
      <c r="AD85" s="909">
        <f t="shared" si="152"/>
        <v>0</v>
      </c>
      <c r="AE85" s="909">
        <f t="shared" si="152"/>
        <v>0</v>
      </c>
      <c r="AF85" s="909">
        <f t="shared" si="152"/>
        <v>0</v>
      </c>
      <c r="AG85" s="909">
        <f t="shared" si="152"/>
        <v>0</v>
      </c>
      <c r="AH85" s="909">
        <f t="shared" si="152"/>
        <v>0</v>
      </c>
      <c r="AI85" s="909">
        <f t="shared" si="152"/>
        <v>0</v>
      </c>
      <c r="AJ85" s="909">
        <f t="shared" si="152"/>
        <v>0</v>
      </c>
      <c r="AK85" s="909">
        <f t="shared" si="152"/>
        <v>0</v>
      </c>
      <c r="AL85" s="532">
        <f t="shared" si="153"/>
        <v>0</v>
      </c>
    </row>
    <row r="86" spans="2:38" x14ac:dyDescent="0.25">
      <c r="B86" s="131" t="s">
        <v>119</v>
      </c>
      <c r="C86" s="131"/>
      <c r="D86" s="681">
        <f>SUM(D74:D85)</f>
        <v>3018</v>
      </c>
      <c r="E86" s="681">
        <f t="shared" ref="E86" si="157">SUM(E74:E85)</f>
        <v>0</v>
      </c>
      <c r="F86" s="681">
        <f t="shared" ref="F86" si="158">SUM(F74:F85)</f>
        <v>0</v>
      </c>
      <c r="G86" s="681">
        <f t="shared" ref="G86" si="159">SUM(G74:G85)</f>
        <v>0</v>
      </c>
      <c r="H86" s="681">
        <f t="shared" ref="H86" si="160">SUM(H74:H85)</f>
        <v>0</v>
      </c>
      <c r="I86" s="681">
        <f t="shared" ref="I86" si="161">SUM(I74:I85)</f>
        <v>0</v>
      </c>
      <c r="J86" s="681">
        <f t="shared" ref="J86" si="162">SUM(J74:J85)</f>
        <v>0</v>
      </c>
      <c r="K86" s="681">
        <f t="shared" ref="K86" si="163">SUM(K74:K85)</f>
        <v>0</v>
      </c>
      <c r="L86" s="681">
        <f t="shared" ref="L86" si="164">SUM(L74:L85)</f>
        <v>0</v>
      </c>
      <c r="M86" s="681">
        <f t="shared" ref="M86" si="165">SUM(M74:M85)</f>
        <v>0</v>
      </c>
      <c r="N86" s="681">
        <f t="shared" ref="N86" si="166">SUM(N74:N85)</f>
        <v>0</v>
      </c>
      <c r="O86" s="681">
        <f t="shared" ref="O86" si="167">SUM(O74:O85)</f>
        <v>0</v>
      </c>
      <c r="P86" s="681">
        <f t="shared" ref="P86" si="168">SUM(P74:P85)</f>
        <v>0</v>
      </c>
      <c r="Q86" s="681">
        <f t="shared" ref="Q86" si="169">SUM(Q74:Q85)</f>
        <v>0</v>
      </c>
      <c r="R86" s="681">
        <f t="shared" ref="R86" si="170">SUM(R74:R85)</f>
        <v>0</v>
      </c>
      <c r="S86" s="681">
        <f t="shared" ref="S86" si="171">SUM(S74:S85)</f>
        <v>3018</v>
      </c>
      <c r="U86" s="130">
        <f>SUM(U75:U83)</f>
        <v>363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8" spans="2:38" x14ac:dyDescent="0.25">
      <c r="B88" s="441" t="s">
        <v>126</v>
      </c>
      <c r="C88" s="339"/>
      <c r="W88" s="3" t="s">
        <v>299</v>
      </c>
    </row>
    <row r="89" spans="2:38" x14ac:dyDescent="0.25">
      <c r="B89" s="476" t="s">
        <v>103</v>
      </c>
      <c r="C89" s="264" t="s">
        <v>104</v>
      </c>
      <c r="D89" s="121" t="str">
        <f>D$9</f>
        <v>Z01</v>
      </c>
      <c r="E89" s="121" t="str">
        <f t="shared" ref="E89:R89" si="172">E$9</f>
        <v>Z02</v>
      </c>
      <c r="F89" s="121" t="str">
        <f t="shared" si="172"/>
        <v>Z03</v>
      </c>
      <c r="G89" s="121" t="str">
        <f t="shared" si="172"/>
        <v>Z04</v>
      </c>
      <c r="H89" s="121" t="str">
        <f t="shared" si="172"/>
        <v>Z05</v>
      </c>
      <c r="I89" s="121" t="str">
        <f t="shared" si="172"/>
        <v>Z06</v>
      </c>
      <c r="J89" s="121" t="str">
        <f t="shared" si="172"/>
        <v>Z07</v>
      </c>
      <c r="K89" s="121" t="str">
        <f t="shared" si="172"/>
        <v>Z08</v>
      </c>
      <c r="L89" s="121" t="str">
        <f t="shared" si="172"/>
        <v>Z09</v>
      </c>
      <c r="M89" s="121" t="str">
        <f t="shared" si="172"/>
        <v>Z10</v>
      </c>
      <c r="N89" s="121" t="str">
        <f t="shared" si="172"/>
        <v>Z11</v>
      </c>
      <c r="O89" s="121" t="str">
        <f t="shared" si="172"/>
        <v>Z12</v>
      </c>
      <c r="P89" s="121" t="str">
        <f t="shared" si="172"/>
        <v>Z13</v>
      </c>
      <c r="Q89" s="121" t="str">
        <f t="shared" si="172"/>
        <v>Z14</v>
      </c>
      <c r="R89" s="121" t="str">
        <f t="shared" si="172"/>
        <v>Z15</v>
      </c>
      <c r="S89" s="121" t="s">
        <v>100</v>
      </c>
      <c r="U89" s="17" t="str">
        <f>U$9</f>
        <v>Private stock</v>
      </c>
      <c r="W89" s="121" t="str">
        <f t="shared" ref="W89:AK89" si="173">D89</f>
        <v>Z01</v>
      </c>
      <c r="X89" s="121" t="str">
        <f t="shared" si="173"/>
        <v>Z02</v>
      </c>
      <c r="Y89" s="121" t="str">
        <f t="shared" si="173"/>
        <v>Z03</v>
      </c>
      <c r="Z89" s="121" t="str">
        <f t="shared" si="173"/>
        <v>Z04</v>
      </c>
      <c r="AA89" s="121" t="str">
        <f t="shared" si="173"/>
        <v>Z05</v>
      </c>
      <c r="AB89" s="121" t="str">
        <f t="shared" si="173"/>
        <v>Z06</v>
      </c>
      <c r="AC89" s="121" t="str">
        <f t="shared" si="173"/>
        <v>Z07</v>
      </c>
      <c r="AD89" s="121" t="str">
        <f t="shared" si="173"/>
        <v>Z08</v>
      </c>
      <c r="AE89" s="121" t="str">
        <f t="shared" si="173"/>
        <v>Z09</v>
      </c>
      <c r="AF89" s="121" t="str">
        <f t="shared" si="173"/>
        <v>Z10</v>
      </c>
      <c r="AG89" s="121" t="str">
        <f t="shared" si="173"/>
        <v>Z11</v>
      </c>
      <c r="AH89" s="121" t="str">
        <f t="shared" si="173"/>
        <v>Z12</v>
      </c>
      <c r="AI89" s="121" t="str">
        <f t="shared" si="173"/>
        <v>Z13</v>
      </c>
      <c r="AJ89" s="121" t="str">
        <f t="shared" si="173"/>
        <v>Z14</v>
      </c>
      <c r="AK89" s="121" t="str">
        <f t="shared" si="173"/>
        <v>Z15</v>
      </c>
      <c r="AL89" s="121" t="s">
        <v>100</v>
      </c>
    </row>
    <row r="90" spans="2:38" x14ac:dyDescent="0.25">
      <c r="B90" s="245" t="str">
        <f>'T_Stock_TOTAL_&amp;_City'!B90</f>
        <v>Biodiesel</v>
      </c>
      <c r="C90" s="245" t="s">
        <v>347</v>
      </c>
      <c r="D90" s="680">
        <f t="shared" ref="D90" si="174">$U90*W90</f>
        <v>0</v>
      </c>
      <c r="E90" s="680">
        <f t="shared" ref="E90" si="175">$U90*X90</f>
        <v>0</v>
      </c>
      <c r="F90" s="680">
        <f t="shared" ref="F90" si="176">$U90*Y90</f>
        <v>0</v>
      </c>
      <c r="G90" s="680">
        <f t="shared" ref="G90" si="177">$U90*Z90</f>
        <v>0</v>
      </c>
      <c r="H90" s="680">
        <f t="shared" ref="H90" si="178">$U90*AA90</f>
        <v>0</v>
      </c>
      <c r="I90" s="680">
        <f t="shared" ref="I90" si="179">$U90*AB90</f>
        <v>0</v>
      </c>
      <c r="J90" s="680">
        <f t="shared" ref="J90" si="180">$U90*AC90</f>
        <v>0</v>
      </c>
      <c r="K90" s="680">
        <f t="shared" ref="K90" si="181">$U90*AD90</f>
        <v>0</v>
      </c>
      <c r="L90" s="680">
        <f t="shared" ref="L90" si="182">$U90*AE90</f>
        <v>0</v>
      </c>
      <c r="M90" s="680">
        <f t="shared" ref="M90" si="183">$U90*AF90</f>
        <v>0</v>
      </c>
      <c r="N90" s="680">
        <f t="shared" ref="N90" si="184">$U90*AG90</f>
        <v>0</v>
      </c>
      <c r="O90" s="680">
        <f t="shared" ref="O90" si="185">$U90*AH90</f>
        <v>0</v>
      </c>
      <c r="P90" s="680">
        <f t="shared" ref="P90" si="186">$U90*AI90</f>
        <v>0</v>
      </c>
      <c r="Q90" s="680">
        <f t="shared" ref="Q90" si="187">$U90*AJ90</f>
        <v>0</v>
      </c>
      <c r="R90" s="680">
        <f t="shared" ref="R90" si="188">$U90*AK90</f>
        <v>0</v>
      </c>
      <c r="S90" s="680">
        <f>SUM(D90:R90)</f>
        <v>0</v>
      </c>
      <c r="U90" s="311">
        <f>'T_Stock_TOTAL_&amp;_City'!U90-'T_Stock_TOTAL_&amp;_City'!V90</f>
        <v>0</v>
      </c>
      <c r="W90" s="909">
        <f>W$6</f>
        <v>0</v>
      </c>
      <c r="X90" s="909">
        <f t="shared" ref="X90:AK101" si="189">X$6</f>
        <v>0</v>
      </c>
      <c r="Y90" s="909">
        <f t="shared" si="189"/>
        <v>0</v>
      </c>
      <c r="Z90" s="909">
        <f t="shared" si="189"/>
        <v>0</v>
      </c>
      <c r="AA90" s="909">
        <f t="shared" si="189"/>
        <v>0</v>
      </c>
      <c r="AB90" s="909">
        <f t="shared" si="189"/>
        <v>0</v>
      </c>
      <c r="AC90" s="909">
        <f t="shared" si="189"/>
        <v>0</v>
      </c>
      <c r="AD90" s="909">
        <f t="shared" si="189"/>
        <v>0</v>
      </c>
      <c r="AE90" s="909">
        <f t="shared" si="189"/>
        <v>0</v>
      </c>
      <c r="AF90" s="909">
        <f t="shared" si="189"/>
        <v>0</v>
      </c>
      <c r="AG90" s="909">
        <f t="shared" si="189"/>
        <v>0</v>
      </c>
      <c r="AH90" s="909">
        <f t="shared" si="189"/>
        <v>0</v>
      </c>
      <c r="AI90" s="909">
        <f t="shared" si="189"/>
        <v>0</v>
      </c>
      <c r="AJ90" s="909">
        <f t="shared" si="189"/>
        <v>0</v>
      </c>
      <c r="AK90" s="909">
        <f t="shared" si="189"/>
        <v>0</v>
      </c>
      <c r="AL90" s="532">
        <f>SUM(W90:AK90)</f>
        <v>0</v>
      </c>
    </row>
    <row r="91" spans="2:38" x14ac:dyDescent="0.25">
      <c r="B91" s="245" t="str">
        <f>'T_Stock_TOTAL_&amp;_City'!B91</f>
        <v>Diesel</v>
      </c>
      <c r="C91" s="245" t="s">
        <v>348</v>
      </c>
      <c r="D91" s="680">
        <v>121242</v>
      </c>
      <c r="E91" s="798"/>
      <c r="F91" s="798"/>
      <c r="G91" s="798"/>
      <c r="H91" s="798"/>
      <c r="I91" s="798"/>
      <c r="J91" s="798"/>
      <c r="K91" s="798"/>
      <c r="L91" s="798"/>
      <c r="M91" s="798"/>
      <c r="N91" s="798"/>
      <c r="O91" s="798"/>
      <c r="P91" s="798"/>
      <c r="Q91" s="798"/>
      <c r="R91" s="798"/>
      <c r="S91" s="680">
        <f t="shared" ref="S91:S100" si="190">SUM(D91:R91)</f>
        <v>121242</v>
      </c>
      <c r="U91" s="311">
        <f>'T_Stock_TOTAL_&amp;_City'!U91-'T_Stock_TOTAL_&amp;_City'!V91</f>
        <v>0</v>
      </c>
      <c r="W91" s="909">
        <f t="shared" ref="W91:W101" si="191">W$6</f>
        <v>0</v>
      </c>
      <c r="X91" s="909">
        <f t="shared" si="189"/>
        <v>0</v>
      </c>
      <c r="Y91" s="909">
        <f t="shared" si="189"/>
        <v>0</v>
      </c>
      <c r="Z91" s="909">
        <f t="shared" si="189"/>
        <v>0</v>
      </c>
      <c r="AA91" s="909">
        <f t="shared" si="189"/>
        <v>0</v>
      </c>
      <c r="AB91" s="909">
        <f t="shared" si="189"/>
        <v>0</v>
      </c>
      <c r="AC91" s="909">
        <f t="shared" si="189"/>
        <v>0</v>
      </c>
      <c r="AD91" s="909">
        <f t="shared" si="189"/>
        <v>0</v>
      </c>
      <c r="AE91" s="909">
        <f t="shared" si="189"/>
        <v>0</v>
      </c>
      <c r="AF91" s="909">
        <f t="shared" si="189"/>
        <v>0</v>
      </c>
      <c r="AG91" s="909">
        <f t="shared" si="189"/>
        <v>0</v>
      </c>
      <c r="AH91" s="909">
        <f t="shared" si="189"/>
        <v>0</v>
      </c>
      <c r="AI91" s="909">
        <f t="shared" si="189"/>
        <v>0</v>
      </c>
      <c r="AJ91" s="909">
        <f t="shared" si="189"/>
        <v>0</v>
      </c>
      <c r="AK91" s="909">
        <f t="shared" si="189"/>
        <v>0</v>
      </c>
      <c r="AL91" s="532">
        <f t="shared" ref="AL91:AL101" si="192">SUM(W91:AK91)</f>
        <v>0</v>
      </c>
    </row>
    <row r="92" spans="2:38" x14ac:dyDescent="0.25">
      <c r="B92" s="245" t="str">
        <f>'T_Stock_TOTAL_&amp;_City'!B92</f>
        <v>Battery electric (BEV)</v>
      </c>
      <c r="C92" s="245" t="s">
        <v>349</v>
      </c>
      <c r="D92" s="680">
        <v>1405</v>
      </c>
      <c r="E92" s="798"/>
      <c r="F92" s="798"/>
      <c r="G92" s="798"/>
      <c r="H92" s="798"/>
      <c r="I92" s="798"/>
      <c r="J92" s="798"/>
      <c r="K92" s="798"/>
      <c r="L92" s="798"/>
      <c r="M92" s="798"/>
      <c r="N92" s="798"/>
      <c r="O92" s="798"/>
      <c r="P92" s="798"/>
      <c r="Q92" s="798"/>
      <c r="R92" s="798"/>
      <c r="S92" s="680">
        <f t="shared" si="190"/>
        <v>1405</v>
      </c>
      <c r="U92" s="311">
        <f>'T_Stock_TOTAL_&amp;_City'!U92-'T_Stock_TOTAL_&amp;_City'!V92</f>
        <v>0</v>
      </c>
      <c r="W92" s="909">
        <f t="shared" si="191"/>
        <v>0</v>
      </c>
      <c r="X92" s="909">
        <f t="shared" si="189"/>
        <v>0</v>
      </c>
      <c r="Y92" s="909">
        <f t="shared" si="189"/>
        <v>0</v>
      </c>
      <c r="Z92" s="909">
        <f t="shared" si="189"/>
        <v>0</v>
      </c>
      <c r="AA92" s="909">
        <f t="shared" si="189"/>
        <v>0</v>
      </c>
      <c r="AB92" s="909">
        <f t="shared" si="189"/>
        <v>0</v>
      </c>
      <c r="AC92" s="909">
        <f t="shared" si="189"/>
        <v>0</v>
      </c>
      <c r="AD92" s="909">
        <f t="shared" si="189"/>
        <v>0</v>
      </c>
      <c r="AE92" s="909">
        <f t="shared" si="189"/>
        <v>0</v>
      </c>
      <c r="AF92" s="909">
        <f t="shared" si="189"/>
        <v>0</v>
      </c>
      <c r="AG92" s="909">
        <f t="shared" si="189"/>
        <v>0</v>
      </c>
      <c r="AH92" s="909">
        <f t="shared" si="189"/>
        <v>0</v>
      </c>
      <c r="AI92" s="909">
        <f t="shared" si="189"/>
        <v>0</v>
      </c>
      <c r="AJ92" s="909">
        <f t="shared" si="189"/>
        <v>0</v>
      </c>
      <c r="AK92" s="909">
        <f t="shared" si="189"/>
        <v>0</v>
      </c>
      <c r="AL92" s="532">
        <f t="shared" si="192"/>
        <v>0</v>
      </c>
    </row>
    <row r="93" spans="2:38" x14ac:dyDescent="0.25">
      <c r="B93" s="245" t="str">
        <f>'T_Stock_TOTAL_&amp;_City'!B93</f>
        <v>Ethanol</v>
      </c>
      <c r="C93" s="245" t="s">
        <v>350</v>
      </c>
      <c r="D93" s="680">
        <v>546</v>
      </c>
      <c r="E93" s="798"/>
      <c r="F93" s="798"/>
      <c r="G93" s="798"/>
      <c r="H93" s="798"/>
      <c r="I93" s="798"/>
      <c r="J93" s="798"/>
      <c r="K93" s="798"/>
      <c r="L93" s="798"/>
      <c r="M93" s="798"/>
      <c r="N93" s="798"/>
      <c r="O93" s="798"/>
      <c r="P93" s="798"/>
      <c r="Q93" s="798"/>
      <c r="R93" s="798"/>
      <c r="S93" s="680">
        <f t="shared" si="190"/>
        <v>546</v>
      </c>
      <c r="U93" s="311">
        <f>'T_Stock_TOTAL_&amp;_City'!U93-'T_Stock_TOTAL_&amp;_City'!V93</f>
        <v>0</v>
      </c>
      <c r="W93" s="909">
        <f t="shared" si="191"/>
        <v>0</v>
      </c>
      <c r="X93" s="909">
        <f t="shared" si="189"/>
        <v>0</v>
      </c>
      <c r="Y93" s="909">
        <f t="shared" si="189"/>
        <v>0</v>
      </c>
      <c r="Z93" s="909">
        <f t="shared" si="189"/>
        <v>0</v>
      </c>
      <c r="AA93" s="909">
        <f t="shared" si="189"/>
        <v>0</v>
      </c>
      <c r="AB93" s="909">
        <f t="shared" si="189"/>
        <v>0</v>
      </c>
      <c r="AC93" s="909">
        <f t="shared" si="189"/>
        <v>0</v>
      </c>
      <c r="AD93" s="909">
        <f t="shared" si="189"/>
        <v>0</v>
      </c>
      <c r="AE93" s="909">
        <f t="shared" si="189"/>
        <v>0</v>
      </c>
      <c r="AF93" s="909">
        <f t="shared" si="189"/>
        <v>0</v>
      </c>
      <c r="AG93" s="909">
        <f t="shared" si="189"/>
        <v>0</v>
      </c>
      <c r="AH93" s="909">
        <f t="shared" si="189"/>
        <v>0</v>
      </c>
      <c r="AI93" s="909">
        <f t="shared" si="189"/>
        <v>0</v>
      </c>
      <c r="AJ93" s="909">
        <f t="shared" si="189"/>
        <v>0</v>
      </c>
      <c r="AK93" s="909">
        <f t="shared" si="189"/>
        <v>0</v>
      </c>
      <c r="AL93" s="532">
        <f t="shared" si="192"/>
        <v>0</v>
      </c>
    </row>
    <row r="94" spans="2:38" x14ac:dyDescent="0.25">
      <c r="B94" s="245" t="str">
        <f>'T_Stock_TOTAL_&amp;_City'!B94</f>
        <v>Gas (CNG)</v>
      </c>
      <c r="C94" s="245" t="s">
        <v>351</v>
      </c>
      <c r="D94" s="680">
        <v>2363</v>
      </c>
      <c r="E94" s="798"/>
      <c r="F94" s="798"/>
      <c r="G94" s="798"/>
      <c r="H94" s="798"/>
      <c r="I94" s="798"/>
      <c r="J94" s="798"/>
      <c r="K94" s="798"/>
      <c r="L94" s="798"/>
      <c r="M94" s="798"/>
      <c r="N94" s="798"/>
      <c r="O94" s="798"/>
      <c r="P94" s="798"/>
      <c r="Q94" s="798"/>
      <c r="R94" s="798"/>
      <c r="S94" s="680">
        <f t="shared" si="190"/>
        <v>2363</v>
      </c>
      <c r="U94" s="311">
        <f>'T_Stock_TOTAL_&amp;_City'!U94-'T_Stock_TOTAL_&amp;_City'!V94</f>
        <v>0</v>
      </c>
      <c r="W94" s="909">
        <f t="shared" si="191"/>
        <v>0</v>
      </c>
      <c r="X94" s="909">
        <f t="shared" si="189"/>
        <v>0</v>
      </c>
      <c r="Y94" s="909">
        <f t="shared" si="189"/>
        <v>0</v>
      </c>
      <c r="Z94" s="909">
        <f t="shared" si="189"/>
        <v>0</v>
      </c>
      <c r="AA94" s="909">
        <f t="shared" si="189"/>
        <v>0</v>
      </c>
      <c r="AB94" s="909">
        <f t="shared" si="189"/>
        <v>0</v>
      </c>
      <c r="AC94" s="909">
        <f t="shared" si="189"/>
        <v>0</v>
      </c>
      <c r="AD94" s="909">
        <f t="shared" si="189"/>
        <v>0</v>
      </c>
      <c r="AE94" s="909">
        <f t="shared" si="189"/>
        <v>0</v>
      </c>
      <c r="AF94" s="909">
        <f t="shared" si="189"/>
        <v>0</v>
      </c>
      <c r="AG94" s="909">
        <f t="shared" si="189"/>
        <v>0</v>
      </c>
      <c r="AH94" s="909">
        <f t="shared" si="189"/>
        <v>0</v>
      </c>
      <c r="AI94" s="909">
        <f t="shared" si="189"/>
        <v>0</v>
      </c>
      <c r="AJ94" s="909">
        <f t="shared" si="189"/>
        <v>0</v>
      </c>
      <c r="AK94" s="909">
        <f t="shared" si="189"/>
        <v>0</v>
      </c>
      <c r="AL94" s="532">
        <f t="shared" si="192"/>
        <v>0</v>
      </c>
    </row>
    <row r="95" spans="2:38" x14ac:dyDescent="0.25">
      <c r="B95" s="245" t="str">
        <f>'T_Stock_TOTAL_&amp;_City'!B95</f>
        <v>Gasoline</v>
      </c>
      <c r="C95" s="245" t="s">
        <v>352</v>
      </c>
      <c r="D95" s="680">
        <v>7347</v>
      </c>
      <c r="E95" s="798"/>
      <c r="F95" s="798"/>
      <c r="G95" s="798"/>
      <c r="H95" s="798"/>
      <c r="I95" s="798"/>
      <c r="J95" s="798"/>
      <c r="K95" s="798"/>
      <c r="L95" s="798"/>
      <c r="M95" s="798"/>
      <c r="N95" s="798"/>
      <c r="O95" s="798"/>
      <c r="P95" s="798"/>
      <c r="Q95" s="798"/>
      <c r="R95" s="798"/>
      <c r="S95" s="680">
        <f t="shared" si="190"/>
        <v>7347</v>
      </c>
      <c r="U95" s="311">
        <f>'T_Stock_TOTAL_&amp;_City'!U95-'T_Stock_TOTAL_&amp;_City'!V95</f>
        <v>0</v>
      </c>
      <c r="W95" s="909">
        <f t="shared" si="191"/>
        <v>0</v>
      </c>
      <c r="X95" s="909">
        <f t="shared" si="189"/>
        <v>0</v>
      </c>
      <c r="Y95" s="909">
        <f t="shared" si="189"/>
        <v>0</v>
      </c>
      <c r="Z95" s="909">
        <f t="shared" si="189"/>
        <v>0</v>
      </c>
      <c r="AA95" s="909">
        <f t="shared" si="189"/>
        <v>0</v>
      </c>
      <c r="AB95" s="909">
        <f t="shared" si="189"/>
        <v>0</v>
      </c>
      <c r="AC95" s="909">
        <f t="shared" si="189"/>
        <v>0</v>
      </c>
      <c r="AD95" s="909">
        <f t="shared" si="189"/>
        <v>0</v>
      </c>
      <c r="AE95" s="909">
        <f t="shared" si="189"/>
        <v>0</v>
      </c>
      <c r="AF95" s="909">
        <f t="shared" si="189"/>
        <v>0</v>
      </c>
      <c r="AG95" s="909">
        <f t="shared" si="189"/>
        <v>0</v>
      </c>
      <c r="AH95" s="909">
        <f t="shared" si="189"/>
        <v>0</v>
      </c>
      <c r="AI95" s="909">
        <f t="shared" si="189"/>
        <v>0</v>
      </c>
      <c r="AJ95" s="909">
        <f t="shared" si="189"/>
        <v>0</v>
      </c>
      <c r="AK95" s="909">
        <f t="shared" si="189"/>
        <v>0</v>
      </c>
      <c r="AL95" s="532">
        <f t="shared" si="192"/>
        <v>0</v>
      </c>
    </row>
    <row r="96" spans="2:38" x14ac:dyDescent="0.25">
      <c r="B96" s="245" t="str">
        <f>'T_Stock_TOTAL_&amp;_City'!B96</f>
        <v>Hybrid Electric - diesel</v>
      </c>
      <c r="C96" s="245" t="s">
        <v>353</v>
      </c>
      <c r="D96" s="680">
        <f t="shared" ref="D96:D99" si="193">$U96*W96</f>
        <v>0</v>
      </c>
      <c r="E96" s="798"/>
      <c r="F96" s="798"/>
      <c r="G96" s="798"/>
      <c r="H96" s="798"/>
      <c r="I96" s="798"/>
      <c r="J96" s="798"/>
      <c r="K96" s="798"/>
      <c r="L96" s="798"/>
      <c r="M96" s="798"/>
      <c r="N96" s="798"/>
      <c r="O96" s="798"/>
      <c r="P96" s="798"/>
      <c r="Q96" s="798"/>
      <c r="R96" s="798"/>
      <c r="S96" s="680">
        <f t="shared" si="190"/>
        <v>0</v>
      </c>
      <c r="U96" s="311">
        <f>'T_Stock_TOTAL_&amp;_City'!U96-'T_Stock_TOTAL_&amp;_City'!V96</f>
        <v>0</v>
      </c>
      <c r="W96" s="909">
        <f t="shared" si="191"/>
        <v>0</v>
      </c>
      <c r="X96" s="909">
        <f t="shared" si="189"/>
        <v>0</v>
      </c>
      <c r="Y96" s="909">
        <f t="shared" si="189"/>
        <v>0</v>
      </c>
      <c r="Z96" s="909">
        <f t="shared" si="189"/>
        <v>0</v>
      </c>
      <c r="AA96" s="909">
        <f t="shared" si="189"/>
        <v>0</v>
      </c>
      <c r="AB96" s="909">
        <f t="shared" si="189"/>
        <v>0</v>
      </c>
      <c r="AC96" s="909">
        <f t="shared" si="189"/>
        <v>0</v>
      </c>
      <c r="AD96" s="909">
        <f t="shared" si="189"/>
        <v>0</v>
      </c>
      <c r="AE96" s="909">
        <f t="shared" si="189"/>
        <v>0</v>
      </c>
      <c r="AF96" s="909">
        <f t="shared" si="189"/>
        <v>0</v>
      </c>
      <c r="AG96" s="909">
        <f t="shared" si="189"/>
        <v>0</v>
      </c>
      <c r="AH96" s="909">
        <f t="shared" si="189"/>
        <v>0</v>
      </c>
      <c r="AI96" s="909">
        <f t="shared" si="189"/>
        <v>0</v>
      </c>
      <c r="AJ96" s="909">
        <f t="shared" si="189"/>
        <v>0</v>
      </c>
      <c r="AK96" s="909">
        <f t="shared" si="189"/>
        <v>0</v>
      </c>
      <c r="AL96" s="532">
        <f t="shared" si="192"/>
        <v>0</v>
      </c>
    </row>
    <row r="97" spans="2:38" x14ac:dyDescent="0.25">
      <c r="B97" s="245" t="str">
        <f>'T_Stock_TOTAL_&amp;_City'!B97</f>
        <v>Hybrid Electric - gasoline</v>
      </c>
      <c r="C97" s="245" t="s">
        <v>354</v>
      </c>
      <c r="D97" s="680">
        <v>30</v>
      </c>
      <c r="E97" s="798"/>
      <c r="F97" s="798"/>
      <c r="G97" s="798"/>
      <c r="H97" s="798"/>
      <c r="I97" s="798"/>
      <c r="J97" s="798"/>
      <c r="K97" s="798"/>
      <c r="L97" s="798"/>
      <c r="M97" s="798"/>
      <c r="N97" s="798"/>
      <c r="O97" s="798"/>
      <c r="P97" s="798"/>
      <c r="Q97" s="798"/>
      <c r="R97" s="798"/>
      <c r="S97" s="680">
        <f t="shared" si="190"/>
        <v>30</v>
      </c>
      <c r="U97" s="311">
        <f>'T_Stock_TOTAL_&amp;_City'!U97-'T_Stock_TOTAL_&amp;_City'!V97</f>
        <v>0</v>
      </c>
      <c r="W97" s="909">
        <f t="shared" si="191"/>
        <v>0</v>
      </c>
      <c r="X97" s="909">
        <f t="shared" si="189"/>
        <v>0</v>
      </c>
      <c r="Y97" s="909">
        <f t="shared" si="189"/>
        <v>0</v>
      </c>
      <c r="Z97" s="909">
        <f t="shared" si="189"/>
        <v>0</v>
      </c>
      <c r="AA97" s="909">
        <f t="shared" si="189"/>
        <v>0</v>
      </c>
      <c r="AB97" s="909">
        <f t="shared" si="189"/>
        <v>0</v>
      </c>
      <c r="AC97" s="909">
        <f t="shared" si="189"/>
        <v>0</v>
      </c>
      <c r="AD97" s="909">
        <f t="shared" si="189"/>
        <v>0</v>
      </c>
      <c r="AE97" s="909">
        <f t="shared" si="189"/>
        <v>0</v>
      </c>
      <c r="AF97" s="909">
        <f t="shared" si="189"/>
        <v>0</v>
      </c>
      <c r="AG97" s="909">
        <f t="shared" si="189"/>
        <v>0</v>
      </c>
      <c r="AH97" s="909">
        <f t="shared" si="189"/>
        <v>0</v>
      </c>
      <c r="AI97" s="909">
        <f t="shared" si="189"/>
        <v>0</v>
      </c>
      <c r="AJ97" s="909">
        <f t="shared" si="189"/>
        <v>0</v>
      </c>
      <c r="AK97" s="909">
        <f t="shared" si="189"/>
        <v>0</v>
      </c>
      <c r="AL97" s="532">
        <f t="shared" si="192"/>
        <v>0</v>
      </c>
    </row>
    <row r="98" spans="2:38" x14ac:dyDescent="0.25">
      <c r="B98" s="245" t="str">
        <f>'T_Stock_TOTAL_&amp;_City'!B98</f>
        <v>LPG</v>
      </c>
      <c r="C98" s="245" t="s">
        <v>355</v>
      </c>
      <c r="D98" s="680">
        <f t="shared" si="193"/>
        <v>0</v>
      </c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680">
        <f t="shared" si="190"/>
        <v>0</v>
      </c>
      <c r="U98" s="311">
        <f>'T_Stock_TOTAL_&amp;_City'!U98-'T_Stock_TOTAL_&amp;_City'!V98</f>
        <v>0</v>
      </c>
      <c r="W98" s="909">
        <f t="shared" si="191"/>
        <v>0</v>
      </c>
      <c r="X98" s="909">
        <f t="shared" si="189"/>
        <v>0</v>
      </c>
      <c r="Y98" s="909">
        <f t="shared" si="189"/>
        <v>0</v>
      </c>
      <c r="Z98" s="909">
        <f t="shared" si="189"/>
        <v>0</v>
      </c>
      <c r="AA98" s="909">
        <f t="shared" si="189"/>
        <v>0</v>
      </c>
      <c r="AB98" s="909">
        <f t="shared" si="189"/>
        <v>0</v>
      </c>
      <c r="AC98" s="909">
        <f t="shared" si="189"/>
        <v>0</v>
      </c>
      <c r="AD98" s="909">
        <f t="shared" si="189"/>
        <v>0</v>
      </c>
      <c r="AE98" s="909">
        <f t="shared" si="189"/>
        <v>0</v>
      </c>
      <c r="AF98" s="909">
        <f t="shared" si="189"/>
        <v>0</v>
      </c>
      <c r="AG98" s="909">
        <f t="shared" si="189"/>
        <v>0</v>
      </c>
      <c r="AH98" s="909">
        <f t="shared" si="189"/>
        <v>0</v>
      </c>
      <c r="AI98" s="909">
        <f t="shared" si="189"/>
        <v>0</v>
      </c>
      <c r="AJ98" s="909">
        <f t="shared" si="189"/>
        <v>0</v>
      </c>
      <c r="AK98" s="909">
        <f t="shared" si="189"/>
        <v>0</v>
      </c>
      <c r="AL98" s="532">
        <f t="shared" si="192"/>
        <v>0</v>
      </c>
    </row>
    <row r="99" spans="2:38" x14ac:dyDescent="0.25">
      <c r="B99" s="245" t="str">
        <f>'T_Stock_TOTAL_&amp;_City'!B99</f>
        <v>Plugin Hybrid Electric - diesel</v>
      </c>
      <c r="C99" s="245" t="s">
        <v>356</v>
      </c>
      <c r="D99" s="680">
        <f t="shared" si="193"/>
        <v>0</v>
      </c>
      <c r="E99" s="798"/>
      <c r="F99" s="798"/>
      <c r="G99" s="798"/>
      <c r="H99" s="798"/>
      <c r="I99" s="798"/>
      <c r="J99" s="798"/>
      <c r="K99" s="798"/>
      <c r="L99" s="798"/>
      <c r="M99" s="798"/>
      <c r="N99" s="798"/>
      <c r="O99" s="798"/>
      <c r="P99" s="798"/>
      <c r="Q99" s="798"/>
      <c r="R99" s="798"/>
      <c r="S99" s="680">
        <f t="shared" si="190"/>
        <v>0</v>
      </c>
      <c r="U99" s="311">
        <f>'T_Stock_TOTAL_&amp;_City'!U99-'T_Stock_TOTAL_&amp;_City'!V99</f>
        <v>0</v>
      </c>
      <c r="W99" s="909">
        <f t="shared" si="191"/>
        <v>0</v>
      </c>
      <c r="X99" s="909">
        <f t="shared" si="189"/>
        <v>0</v>
      </c>
      <c r="Y99" s="909">
        <f t="shared" si="189"/>
        <v>0</v>
      </c>
      <c r="Z99" s="909">
        <f t="shared" si="189"/>
        <v>0</v>
      </c>
      <c r="AA99" s="909">
        <f t="shared" si="189"/>
        <v>0</v>
      </c>
      <c r="AB99" s="909">
        <f t="shared" si="189"/>
        <v>0</v>
      </c>
      <c r="AC99" s="909">
        <f t="shared" si="189"/>
        <v>0</v>
      </c>
      <c r="AD99" s="909">
        <f t="shared" si="189"/>
        <v>0</v>
      </c>
      <c r="AE99" s="909">
        <f t="shared" si="189"/>
        <v>0</v>
      </c>
      <c r="AF99" s="909">
        <f t="shared" si="189"/>
        <v>0</v>
      </c>
      <c r="AG99" s="909">
        <f t="shared" si="189"/>
        <v>0</v>
      </c>
      <c r="AH99" s="909">
        <f t="shared" si="189"/>
        <v>0</v>
      </c>
      <c r="AI99" s="909">
        <f t="shared" si="189"/>
        <v>0</v>
      </c>
      <c r="AJ99" s="909">
        <f t="shared" si="189"/>
        <v>0</v>
      </c>
      <c r="AK99" s="909">
        <f t="shared" si="189"/>
        <v>0</v>
      </c>
      <c r="AL99" s="532">
        <f t="shared" si="192"/>
        <v>0</v>
      </c>
    </row>
    <row r="100" spans="2:38" x14ac:dyDescent="0.25">
      <c r="B100" s="245" t="str">
        <f>'T_Stock_TOTAL_&amp;_City'!B100</f>
        <v>Plugin Hybrid Electric - gasoline</v>
      </c>
      <c r="C100" s="245" t="s">
        <v>357</v>
      </c>
      <c r="D100" s="680">
        <v>1</v>
      </c>
      <c r="E100" s="798"/>
      <c r="F100" s="798"/>
      <c r="G100" s="798"/>
      <c r="H100" s="798"/>
      <c r="I100" s="798"/>
      <c r="J100" s="798"/>
      <c r="K100" s="798"/>
      <c r="L100" s="798"/>
      <c r="M100" s="798"/>
      <c r="N100" s="798"/>
      <c r="O100" s="798"/>
      <c r="P100" s="798"/>
      <c r="Q100" s="798"/>
      <c r="R100" s="798"/>
      <c r="S100" s="680">
        <f t="shared" si="190"/>
        <v>1</v>
      </c>
      <c r="U100" s="311">
        <f>'T_Stock_TOTAL_&amp;_City'!U100-'T_Stock_TOTAL_&amp;_City'!V100</f>
        <v>0</v>
      </c>
      <c r="W100" s="909">
        <f t="shared" si="191"/>
        <v>0</v>
      </c>
      <c r="X100" s="909">
        <f t="shared" si="189"/>
        <v>0</v>
      </c>
      <c r="Y100" s="909">
        <f t="shared" si="189"/>
        <v>0</v>
      </c>
      <c r="Z100" s="909">
        <f t="shared" si="189"/>
        <v>0</v>
      </c>
      <c r="AA100" s="909">
        <f t="shared" si="189"/>
        <v>0</v>
      </c>
      <c r="AB100" s="909">
        <f t="shared" si="189"/>
        <v>0</v>
      </c>
      <c r="AC100" s="909">
        <f t="shared" si="189"/>
        <v>0</v>
      </c>
      <c r="AD100" s="909">
        <f t="shared" si="189"/>
        <v>0</v>
      </c>
      <c r="AE100" s="909">
        <f t="shared" si="189"/>
        <v>0</v>
      </c>
      <c r="AF100" s="909">
        <f t="shared" si="189"/>
        <v>0</v>
      </c>
      <c r="AG100" s="909">
        <f t="shared" si="189"/>
        <v>0</v>
      </c>
      <c r="AH100" s="909">
        <f t="shared" si="189"/>
        <v>0</v>
      </c>
      <c r="AI100" s="909">
        <f t="shared" si="189"/>
        <v>0</v>
      </c>
      <c r="AJ100" s="909">
        <f t="shared" si="189"/>
        <v>0</v>
      </c>
      <c r="AK100" s="909">
        <f t="shared" si="189"/>
        <v>0</v>
      </c>
      <c r="AL100" s="532">
        <f t="shared" si="192"/>
        <v>0</v>
      </c>
    </row>
    <row r="101" spans="2:38" x14ac:dyDescent="0.25">
      <c r="B101" s="250" t="str">
        <f>'T_Stock_TOTAL_&amp;_City'!B101</f>
        <v>Other</v>
      </c>
      <c r="C101" s="250"/>
      <c r="D101" s="444">
        <f t="shared" ref="D101" si="194">$U101*W101</f>
        <v>0</v>
      </c>
      <c r="E101" s="444">
        <f t="shared" ref="E101" si="195">$U101*X101</f>
        <v>0</v>
      </c>
      <c r="F101" s="444">
        <f t="shared" ref="F101" si="196">$U101*Y101</f>
        <v>0</v>
      </c>
      <c r="G101" s="444">
        <f t="shared" ref="G101" si="197">$U101*Z101</f>
        <v>0</v>
      </c>
      <c r="H101" s="444">
        <f t="shared" ref="H101" si="198">$U101*AA101</f>
        <v>0</v>
      </c>
      <c r="I101" s="444">
        <f t="shared" ref="I101" si="199">$U101*AB101</f>
        <v>0</v>
      </c>
      <c r="J101" s="444">
        <f t="shared" ref="J101" si="200">$U101*AC101</f>
        <v>0</v>
      </c>
      <c r="K101" s="444">
        <f t="shared" ref="K101" si="201">$U101*AD101</f>
        <v>0</v>
      </c>
      <c r="L101" s="444">
        <f t="shared" ref="L101" si="202">$U101*AE101</f>
        <v>0</v>
      </c>
      <c r="M101" s="444">
        <f t="shared" ref="M101" si="203">$U101*AF101</f>
        <v>0</v>
      </c>
      <c r="N101" s="444">
        <f t="shared" ref="N101" si="204">$U101*AG101</f>
        <v>0</v>
      </c>
      <c r="O101" s="444">
        <f t="shared" ref="O101" si="205">$U101*AH101</f>
        <v>0</v>
      </c>
      <c r="P101" s="444">
        <f t="shared" ref="P101" si="206">$U101*AI101</f>
        <v>0</v>
      </c>
      <c r="Q101" s="444">
        <f t="shared" ref="Q101" si="207">$U101*AJ101</f>
        <v>0</v>
      </c>
      <c r="R101" s="444">
        <f t="shared" ref="R101" si="208">$U101*AK101</f>
        <v>0</v>
      </c>
      <c r="S101" s="444">
        <f>SUM(D101:R101)</f>
        <v>0</v>
      </c>
      <c r="U101" s="335">
        <v>0</v>
      </c>
      <c r="W101" s="909">
        <f t="shared" si="191"/>
        <v>0</v>
      </c>
      <c r="X101" s="909">
        <f t="shared" si="189"/>
        <v>0</v>
      </c>
      <c r="Y101" s="909">
        <f t="shared" si="189"/>
        <v>0</v>
      </c>
      <c r="Z101" s="909">
        <f t="shared" si="189"/>
        <v>0</v>
      </c>
      <c r="AA101" s="909">
        <f t="shared" si="189"/>
        <v>0</v>
      </c>
      <c r="AB101" s="909">
        <f t="shared" si="189"/>
        <v>0</v>
      </c>
      <c r="AC101" s="909">
        <f t="shared" si="189"/>
        <v>0</v>
      </c>
      <c r="AD101" s="909">
        <f t="shared" si="189"/>
        <v>0</v>
      </c>
      <c r="AE101" s="909">
        <f t="shared" si="189"/>
        <v>0</v>
      </c>
      <c r="AF101" s="909">
        <f t="shared" si="189"/>
        <v>0</v>
      </c>
      <c r="AG101" s="909">
        <f t="shared" si="189"/>
        <v>0</v>
      </c>
      <c r="AH101" s="909">
        <f t="shared" si="189"/>
        <v>0</v>
      </c>
      <c r="AI101" s="909">
        <f t="shared" si="189"/>
        <v>0</v>
      </c>
      <c r="AJ101" s="909">
        <f t="shared" si="189"/>
        <v>0</v>
      </c>
      <c r="AK101" s="909">
        <f t="shared" si="189"/>
        <v>0</v>
      </c>
      <c r="AL101" s="532">
        <f t="shared" si="192"/>
        <v>0</v>
      </c>
    </row>
    <row r="102" spans="2:38" x14ac:dyDescent="0.25">
      <c r="B102" s="131" t="s">
        <v>119</v>
      </c>
      <c r="C102" s="131"/>
      <c r="D102" s="130">
        <f>SUM(D90:D101)</f>
        <v>132934</v>
      </c>
      <c r="E102" s="130">
        <f t="shared" ref="E102" si="209">SUM(E90:E101)</f>
        <v>0</v>
      </c>
      <c r="F102" s="130">
        <f t="shared" ref="F102" si="210">SUM(F90:F101)</f>
        <v>0</v>
      </c>
      <c r="G102" s="130">
        <f t="shared" ref="G102" si="211">SUM(G90:G101)</f>
        <v>0</v>
      </c>
      <c r="H102" s="130">
        <f t="shared" ref="H102" si="212">SUM(H90:H101)</f>
        <v>0</v>
      </c>
      <c r="I102" s="130">
        <f t="shared" ref="I102" si="213">SUM(I90:I101)</f>
        <v>0</v>
      </c>
      <c r="J102" s="130">
        <f t="shared" ref="J102" si="214">SUM(J90:J101)</f>
        <v>0</v>
      </c>
      <c r="K102" s="130">
        <f t="shared" ref="K102" si="215">SUM(K90:K101)</f>
        <v>0</v>
      </c>
      <c r="L102" s="130">
        <f t="shared" ref="L102" si="216">SUM(L90:L101)</f>
        <v>0</v>
      </c>
      <c r="M102" s="130">
        <f t="shared" ref="M102" si="217">SUM(M90:M101)</f>
        <v>0</v>
      </c>
      <c r="N102" s="130">
        <f t="shared" ref="N102" si="218">SUM(N90:N101)</f>
        <v>0</v>
      </c>
      <c r="O102" s="130">
        <f t="shared" ref="O102" si="219">SUM(O90:O101)</f>
        <v>0</v>
      </c>
      <c r="P102" s="130">
        <f t="shared" ref="P102" si="220">SUM(P90:P101)</f>
        <v>0</v>
      </c>
      <c r="Q102" s="130">
        <f t="shared" ref="Q102" si="221">SUM(Q90:Q101)</f>
        <v>0</v>
      </c>
      <c r="R102" s="130">
        <f t="shared" ref="R102" si="222">SUM(R90:R101)</f>
        <v>0</v>
      </c>
      <c r="S102" s="130">
        <f t="shared" ref="S102" si="223">SUM(S90:S101)</f>
        <v>132934</v>
      </c>
      <c r="U102" s="130">
        <f>SUM(U91:U100)</f>
        <v>0</v>
      </c>
    </row>
    <row r="104" spans="2:38" x14ac:dyDescent="0.25">
      <c r="B104" s="441" t="s">
        <v>138</v>
      </c>
      <c r="C104" s="339"/>
      <c r="W104" s="3" t="s">
        <v>299</v>
      </c>
    </row>
    <row r="105" spans="2:38" x14ac:dyDescent="0.25">
      <c r="B105" s="476" t="s">
        <v>103</v>
      </c>
      <c r="C105" s="264" t="s">
        <v>104</v>
      </c>
      <c r="D105" s="121" t="str">
        <f>D$9</f>
        <v>Z01</v>
      </c>
      <c r="E105" s="121" t="str">
        <f t="shared" ref="E105:R105" si="224">E$9</f>
        <v>Z02</v>
      </c>
      <c r="F105" s="121" t="str">
        <f t="shared" si="224"/>
        <v>Z03</v>
      </c>
      <c r="G105" s="121" t="str">
        <f t="shared" si="224"/>
        <v>Z04</v>
      </c>
      <c r="H105" s="121" t="str">
        <f t="shared" si="224"/>
        <v>Z05</v>
      </c>
      <c r="I105" s="121" t="str">
        <f t="shared" si="224"/>
        <v>Z06</v>
      </c>
      <c r="J105" s="121" t="str">
        <f t="shared" si="224"/>
        <v>Z07</v>
      </c>
      <c r="K105" s="121" t="str">
        <f t="shared" si="224"/>
        <v>Z08</v>
      </c>
      <c r="L105" s="121" t="str">
        <f t="shared" si="224"/>
        <v>Z09</v>
      </c>
      <c r="M105" s="121" t="str">
        <f t="shared" si="224"/>
        <v>Z10</v>
      </c>
      <c r="N105" s="121" t="str">
        <f t="shared" si="224"/>
        <v>Z11</v>
      </c>
      <c r="O105" s="121" t="str">
        <f t="shared" si="224"/>
        <v>Z12</v>
      </c>
      <c r="P105" s="121" t="str">
        <f t="shared" si="224"/>
        <v>Z13</v>
      </c>
      <c r="Q105" s="121" t="str">
        <f t="shared" si="224"/>
        <v>Z14</v>
      </c>
      <c r="R105" s="121" t="str">
        <f t="shared" si="224"/>
        <v>Z15</v>
      </c>
      <c r="S105" s="121" t="s">
        <v>100</v>
      </c>
      <c r="U105" s="17" t="str">
        <f>U$9</f>
        <v>Private stock</v>
      </c>
      <c r="W105" s="121" t="str">
        <f t="shared" ref="W105:AK105" si="225">D105</f>
        <v>Z01</v>
      </c>
      <c r="X105" s="121" t="str">
        <f t="shared" si="225"/>
        <v>Z02</v>
      </c>
      <c r="Y105" s="121" t="str">
        <f t="shared" si="225"/>
        <v>Z03</v>
      </c>
      <c r="Z105" s="121" t="str">
        <f t="shared" si="225"/>
        <v>Z04</v>
      </c>
      <c r="AA105" s="121" t="str">
        <f t="shared" si="225"/>
        <v>Z05</v>
      </c>
      <c r="AB105" s="121" t="str">
        <f t="shared" si="225"/>
        <v>Z06</v>
      </c>
      <c r="AC105" s="121" t="str">
        <f t="shared" si="225"/>
        <v>Z07</v>
      </c>
      <c r="AD105" s="121" t="str">
        <f t="shared" si="225"/>
        <v>Z08</v>
      </c>
      <c r="AE105" s="121" t="str">
        <f t="shared" si="225"/>
        <v>Z09</v>
      </c>
      <c r="AF105" s="121" t="str">
        <f t="shared" si="225"/>
        <v>Z10</v>
      </c>
      <c r="AG105" s="121" t="str">
        <f t="shared" si="225"/>
        <v>Z11</v>
      </c>
      <c r="AH105" s="121" t="str">
        <f t="shared" si="225"/>
        <v>Z12</v>
      </c>
      <c r="AI105" s="121" t="str">
        <f t="shared" si="225"/>
        <v>Z13</v>
      </c>
      <c r="AJ105" s="121" t="str">
        <f t="shared" si="225"/>
        <v>Z14</v>
      </c>
      <c r="AK105" s="121" t="str">
        <f t="shared" si="225"/>
        <v>Z15</v>
      </c>
      <c r="AL105" s="121" t="s">
        <v>100</v>
      </c>
    </row>
    <row r="106" spans="2:38" x14ac:dyDescent="0.25">
      <c r="B106" s="245" t="str">
        <f>'T_Stock_TOTAL_&amp;_City'!B106</f>
        <v>Biodiesel</v>
      </c>
      <c r="C106" s="245" t="s">
        <v>358</v>
      </c>
      <c r="D106" s="680">
        <f>$U106*W106</f>
        <v>0</v>
      </c>
      <c r="E106" s="680">
        <f t="shared" ref="E106:E117" si="226">$U106*X106</f>
        <v>0</v>
      </c>
      <c r="F106" s="680">
        <f t="shared" ref="F106:F117" si="227">$U106*Y106</f>
        <v>0</v>
      </c>
      <c r="G106" s="680">
        <f t="shared" ref="G106:G117" si="228">$U106*Z106</f>
        <v>0</v>
      </c>
      <c r="H106" s="680">
        <f t="shared" ref="H106:H117" si="229">$U106*AA106</f>
        <v>0</v>
      </c>
      <c r="I106" s="680">
        <f t="shared" ref="I106:I117" si="230">$U106*AB106</f>
        <v>0</v>
      </c>
      <c r="J106" s="680">
        <f t="shared" ref="J106:J117" si="231">$U106*AC106</f>
        <v>0</v>
      </c>
      <c r="K106" s="680">
        <f t="shared" ref="K106:K117" si="232">$U106*AD106</f>
        <v>0</v>
      </c>
      <c r="L106" s="680">
        <f t="shared" ref="L106:L117" si="233">$U106*AE106</f>
        <v>0</v>
      </c>
      <c r="M106" s="680">
        <f t="shared" ref="M106:M117" si="234">$U106*AF106</f>
        <v>0</v>
      </c>
      <c r="N106" s="680">
        <f t="shared" ref="N106:N117" si="235">$U106*AG106</f>
        <v>0</v>
      </c>
      <c r="O106" s="680">
        <f t="shared" ref="O106:O117" si="236">$U106*AH106</f>
        <v>0</v>
      </c>
      <c r="P106" s="680">
        <f t="shared" ref="P106:P117" si="237">$U106*AI106</f>
        <v>0</v>
      </c>
      <c r="Q106" s="680">
        <f t="shared" ref="Q106:Q117" si="238">$U106*AJ106</f>
        <v>0</v>
      </c>
      <c r="R106" s="680">
        <f t="shared" ref="R106:R117" si="239">$U106*AK106</f>
        <v>0</v>
      </c>
      <c r="S106" s="680">
        <f>SUM(D106:R106)</f>
        <v>0</v>
      </c>
      <c r="U106" s="311">
        <f>'T_Stock_TOTAL_&amp;_City'!U106-'T_Stock_TOTAL_&amp;_City'!V106</f>
        <v>0</v>
      </c>
      <c r="W106" s="520">
        <f>W$6</f>
        <v>0</v>
      </c>
      <c r="X106" s="520">
        <f t="shared" ref="X106:AK117" si="240">X$6</f>
        <v>0</v>
      </c>
      <c r="Y106" s="520">
        <f t="shared" si="240"/>
        <v>0</v>
      </c>
      <c r="Z106" s="520">
        <f t="shared" si="240"/>
        <v>0</v>
      </c>
      <c r="AA106" s="520">
        <f t="shared" si="240"/>
        <v>0</v>
      </c>
      <c r="AB106" s="520">
        <f t="shared" si="240"/>
        <v>0</v>
      </c>
      <c r="AC106" s="520">
        <f t="shared" si="240"/>
        <v>0</v>
      </c>
      <c r="AD106" s="520">
        <f t="shared" si="240"/>
        <v>0</v>
      </c>
      <c r="AE106" s="520">
        <f t="shared" si="240"/>
        <v>0</v>
      </c>
      <c r="AF106" s="520">
        <f t="shared" si="240"/>
        <v>0</v>
      </c>
      <c r="AG106" s="520">
        <f t="shared" si="240"/>
        <v>0</v>
      </c>
      <c r="AH106" s="520">
        <f t="shared" si="240"/>
        <v>0</v>
      </c>
      <c r="AI106" s="520">
        <f t="shared" si="240"/>
        <v>0</v>
      </c>
      <c r="AJ106" s="520">
        <f t="shared" si="240"/>
        <v>0</v>
      </c>
      <c r="AK106" s="520">
        <f t="shared" si="240"/>
        <v>0</v>
      </c>
      <c r="AL106" s="532">
        <f>SUM(W106:AK106)</f>
        <v>0</v>
      </c>
    </row>
    <row r="107" spans="2:38" x14ac:dyDescent="0.25">
      <c r="B107" s="245" t="str">
        <f>'T_Stock_TOTAL_&amp;_City'!B107</f>
        <v>Diesel</v>
      </c>
      <c r="C107" s="245" t="s">
        <v>359</v>
      </c>
      <c r="D107" s="680">
        <f t="shared" ref="D107:D117" si="241">$U107*W107</f>
        <v>0</v>
      </c>
      <c r="E107" s="680">
        <f t="shared" si="226"/>
        <v>0</v>
      </c>
      <c r="F107" s="680">
        <f t="shared" si="227"/>
        <v>0</v>
      </c>
      <c r="G107" s="680">
        <f t="shared" si="228"/>
        <v>0</v>
      </c>
      <c r="H107" s="680">
        <f t="shared" si="229"/>
        <v>0</v>
      </c>
      <c r="I107" s="680">
        <f t="shared" si="230"/>
        <v>0</v>
      </c>
      <c r="J107" s="680">
        <f t="shared" si="231"/>
        <v>0</v>
      </c>
      <c r="K107" s="680">
        <f t="shared" si="232"/>
        <v>0</v>
      </c>
      <c r="L107" s="680">
        <f t="shared" si="233"/>
        <v>0</v>
      </c>
      <c r="M107" s="680">
        <f t="shared" si="234"/>
        <v>0</v>
      </c>
      <c r="N107" s="680">
        <f t="shared" si="235"/>
        <v>0</v>
      </c>
      <c r="O107" s="680">
        <f t="shared" si="236"/>
        <v>0</v>
      </c>
      <c r="P107" s="680">
        <f t="shared" si="237"/>
        <v>0</v>
      </c>
      <c r="Q107" s="680">
        <f t="shared" si="238"/>
        <v>0</v>
      </c>
      <c r="R107" s="680">
        <f t="shared" si="239"/>
        <v>0</v>
      </c>
      <c r="S107" s="680">
        <f t="shared" ref="S107:S116" si="242">SUM(D107:R107)</f>
        <v>0</v>
      </c>
      <c r="U107" s="311">
        <f>'T_Stock_TOTAL_&amp;_City'!U107-'T_Stock_TOTAL_&amp;_City'!V107</f>
        <v>0</v>
      </c>
      <c r="W107" s="520">
        <f t="shared" ref="W107:W117" si="243">W$6</f>
        <v>0</v>
      </c>
      <c r="X107" s="520">
        <f t="shared" si="240"/>
        <v>0</v>
      </c>
      <c r="Y107" s="520">
        <f t="shared" si="240"/>
        <v>0</v>
      </c>
      <c r="Z107" s="520">
        <f t="shared" si="240"/>
        <v>0</v>
      </c>
      <c r="AA107" s="520">
        <f t="shared" si="240"/>
        <v>0</v>
      </c>
      <c r="AB107" s="520">
        <f t="shared" si="240"/>
        <v>0</v>
      </c>
      <c r="AC107" s="520">
        <f t="shared" si="240"/>
        <v>0</v>
      </c>
      <c r="AD107" s="520">
        <f t="shared" si="240"/>
        <v>0</v>
      </c>
      <c r="AE107" s="520">
        <f t="shared" si="240"/>
        <v>0</v>
      </c>
      <c r="AF107" s="520">
        <f t="shared" si="240"/>
        <v>0</v>
      </c>
      <c r="AG107" s="520">
        <f t="shared" si="240"/>
        <v>0</v>
      </c>
      <c r="AH107" s="520">
        <f t="shared" si="240"/>
        <v>0</v>
      </c>
      <c r="AI107" s="520">
        <f t="shared" si="240"/>
        <v>0</v>
      </c>
      <c r="AJ107" s="520">
        <f t="shared" si="240"/>
        <v>0</v>
      </c>
      <c r="AK107" s="520">
        <f t="shared" si="240"/>
        <v>0</v>
      </c>
      <c r="AL107" s="532">
        <f t="shared" ref="AL107:AL117" si="244">SUM(W107:AK107)</f>
        <v>0</v>
      </c>
    </row>
    <row r="108" spans="2:38" x14ac:dyDescent="0.25">
      <c r="B108" s="245" t="str">
        <f>'T_Stock_TOTAL_&amp;_City'!B108</f>
        <v>Battery electric (BEV)</v>
      </c>
      <c r="C108" s="245" t="s">
        <v>360</v>
      </c>
      <c r="D108" s="680">
        <f t="shared" si="241"/>
        <v>0</v>
      </c>
      <c r="E108" s="680">
        <f t="shared" si="226"/>
        <v>0</v>
      </c>
      <c r="F108" s="680">
        <f t="shared" si="227"/>
        <v>0</v>
      </c>
      <c r="G108" s="680">
        <f t="shared" si="228"/>
        <v>0</v>
      </c>
      <c r="H108" s="680">
        <f t="shared" si="229"/>
        <v>0</v>
      </c>
      <c r="I108" s="680">
        <f t="shared" si="230"/>
        <v>0</v>
      </c>
      <c r="J108" s="680">
        <f t="shared" si="231"/>
        <v>0</v>
      </c>
      <c r="K108" s="680">
        <f t="shared" si="232"/>
        <v>0</v>
      </c>
      <c r="L108" s="680">
        <f t="shared" si="233"/>
        <v>0</v>
      </c>
      <c r="M108" s="680">
        <f t="shared" si="234"/>
        <v>0</v>
      </c>
      <c r="N108" s="680">
        <f t="shared" si="235"/>
        <v>0</v>
      </c>
      <c r="O108" s="680">
        <f t="shared" si="236"/>
        <v>0</v>
      </c>
      <c r="P108" s="680">
        <f t="shared" si="237"/>
        <v>0</v>
      </c>
      <c r="Q108" s="680">
        <f t="shared" si="238"/>
        <v>0</v>
      </c>
      <c r="R108" s="680">
        <f t="shared" si="239"/>
        <v>0</v>
      </c>
      <c r="S108" s="680">
        <f t="shared" si="242"/>
        <v>0</v>
      </c>
      <c r="U108" s="311">
        <f>'T_Stock_TOTAL_&amp;_City'!U108-'T_Stock_TOTAL_&amp;_City'!V108</f>
        <v>0</v>
      </c>
      <c r="W108" s="520">
        <f t="shared" si="243"/>
        <v>0</v>
      </c>
      <c r="X108" s="520">
        <f t="shared" si="240"/>
        <v>0</v>
      </c>
      <c r="Y108" s="520">
        <f t="shared" si="240"/>
        <v>0</v>
      </c>
      <c r="Z108" s="520">
        <f t="shared" si="240"/>
        <v>0</v>
      </c>
      <c r="AA108" s="520">
        <f t="shared" si="240"/>
        <v>0</v>
      </c>
      <c r="AB108" s="520">
        <f t="shared" si="240"/>
        <v>0</v>
      </c>
      <c r="AC108" s="520">
        <f t="shared" si="240"/>
        <v>0</v>
      </c>
      <c r="AD108" s="520">
        <f t="shared" si="240"/>
        <v>0</v>
      </c>
      <c r="AE108" s="520">
        <f t="shared" si="240"/>
        <v>0</v>
      </c>
      <c r="AF108" s="520">
        <f t="shared" si="240"/>
        <v>0</v>
      </c>
      <c r="AG108" s="520">
        <f t="shared" si="240"/>
        <v>0</v>
      </c>
      <c r="AH108" s="520">
        <f t="shared" si="240"/>
        <v>0</v>
      </c>
      <c r="AI108" s="520">
        <f t="shared" si="240"/>
        <v>0</v>
      </c>
      <c r="AJ108" s="520">
        <f t="shared" si="240"/>
        <v>0</v>
      </c>
      <c r="AK108" s="520">
        <f t="shared" si="240"/>
        <v>0</v>
      </c>
      <c r="AL108" s="532">
        <f t="shared" si="244"/>
        <v>0</v>
      </c>
    </row>
    <row r="109" spans="2:38" x14ac:dyDescent="0.25">
      <c r="B109" s="245" t="str">
        <f>'T_Stock_TOTAL_&amp;_City'!B109</f>
        <v>Ethanol</v>
      </c>
      <c r="C109" s="245" t="s">
        <v>361</v>
      </c>
      <c r="D109" s="680">
        <f t="shared" si="241"/>
        <v>0</v>
      </c>
      <c r="E109" s="680">
        <f t="shared" si="226"/>
        <v>0</v>
      </c>
      <c r="F109" s="680">
        <f t="shared" si="227"/>
        <v>0</v>
      </c>
      <c r="G109" s="680">
        <f t="shared" si="228"/>
        <v>0</v>
      </c>
      <c r="H109" s="680">
        <f t="shared" si="229"/>
        <v>0</v>
      </c>
      <c r="I109" s="680">
        <f t="shared" si="230"/>
        <v>0</v>
      </c>
      <c r="J109" s="680">
        <f t="shared" si="231"/>
        <v>0</v>
      </c>
      <c r="K109" s="680">
        <f t="shared" si="232"/>
        <v>0</v>
      </c>
      <c r="L109" s="680">
        <f t="shared" si="233"/>
        <v>0</v>
      </c>
      <c r="M109" s="680">
        <f t="shared" si="234"/>
        <v>0</v>
      </c>
      <c r="N109" s="680">
        <f t="shared" si="235"/>
        <v>0</v>
      </c>
      <c r="O109" s="680">
        <f t="shared" si="236"/>
        <v>0</v>
      </c>
      <c r="P109" s="680">
        <f t="shared" si="237"/>
        <v>0</v>
      </c>
      <c r="Q109" s="680">
        <f t="shared" si="238"/>
        <v>0</v>
      </c>
      <c r="R109" s="680">
        <f t="shared" si="239"/>
        <v>0</v>
      </c>
      <c r="S109" s="680">
        <f t="shared" si="242"/>
        <v>0</v>
      </c>
      <c r="U109" s="311">
        <f>'T_Stock_TOTAL_&amp;_City'!U109-'T_Stock_TOTAL_&amp;_City'!V109</f>
        <v>0</v>
      </c>
      <c r="W109" s="520">
        <f t="shared" si="243"/>
        <v>0</v>
      </c>
      <c r="X109" s="520">
        <f t="shared" si="240"/>
        <v>0</v>
      </c>
      <c r="Y109" s="520">
        <f t="shared" si="240"/>
        <v>0</v>
      </c>
      <c r="Z109" s="520">
        <f t="shared" si="240"/>
        <v>0</v>
      </c>
      <c r="AA109" s="520">
        <f t="shared" si="240"/>
        <v>0</v>
      </c>
      <c r="AB109" s="520">
        <f t="shared" si="240"/>
        <v>0</v>
      </c>
      <c r="AC109" s="520">
        <f t="shared" si="240"/>
        <v>0</v>
      </c>
      <c r="AD109" s="520">
        <f t="shared" si="240"/>
        <v>0</v>
      </c>
      <c r="AE109" s="520">
        <f t="shared" si="240"/>
        <v>0</v>
      </c>
      <c r="AF109" s="520">
        <f t="shared" si="240"/>
        <v>0</v>
      </c>
      <c r="AG109" s="520">
        <f t="shared" si="240"/>
        <v>0</v>
      </c>
      <c r="AH109" s="520">
        <f t="shared" si="240"/>
        <v>0</v>
      </c>
      <c r="AI109" s="520">
        <f t="shared" si="240"/>
        <v>0</v>
      </c>
      <c r="AJ109" s="520">
        <f t="shared" si="240"/>
        <v>0</v>
      </c>
      <c r="AK109" s="520">
        <f t="shared" si="240"/>
        <v>0</v>
      </c>
      <c r="AL109" s="532">
        <f t="shared" si="244"/>
        <v>0</v>
      </c>
    </row>
    <row r="110" spans="2:38" x14ac:dyDescent="0.25">
      <c r="B110" s="245" t="str">
        <f>'T_Stock_TOTAL_&amp;_City'!B110</f>
        <v>Gas (CNG)</v>
      </c>
      <c r="C110" s="245" t="s">
        <v>362</v>
      </c>
      <c r="D110" s="680">
        <f t="shared" si="241"/>
        <v>0</v>
      </c>
      <c r="E110" s="680">
        <f t="shared" si="226"/>
        <v>0</v>
      </c>
      <c r="F110" s="680">
        <f t="shared" si="227"/>
        <v>0</v>
      </c>
      <c r="G110" s="680">
        <f t="shared" si="228"/>
        <v>0</v>
      </c>
      <c r="H110" s="680">
        <f t="shared" si="229"/>
        <v>0</v>
      </c>
      <c r="I110" s="680">
        <f t="shared" si="230"/>
        <v>0</v>
      </c>
      <c r="J110" s="680">
        <f t="shared" si="231"/>
        <v>0</v>
      </c>
      <c r="K110" s="680">
        <f t="shared" si="232"/>
        <v>0</v>
      </c>
      <c r="L110" s="680">
        <f t="shared" si="233"/>
        <v>0</v>
      </c>
      <c r="M110" s="680">
        <f t="shared" si="234"/>
        <v>0</v>
      </c>
      <c r="N110" s="680">
        <f t="shared" si="235"/>
        <v>0</v>
      </c>
      <c r="O110" s="680">
        <f t="shared" si="236"/>
        <v>0</v>
      </c>
      <c r="P110" s="680">
        <f t="shared" si="237"/>
        <v>0</v>
      </c>
      <c r="Q110" s="680">
        <f t="shared" si="238"/>
        <v>0</v>
      </c>
      <c r="R110" s="680">
        <f t="shared" si="239"/>
        <v>0</v>
      </c>
      <c r="S110" s="680">
        <f t="shared" si="242"/>
        <v>0</v>
      </c>
      <c r="U110" s="311">
        <f>'T_Stock_TOTAL_&amp;_City'!U110-'T_Stock_TOTAL_&amp;_City'!V110</f>
        <v>0</v>
      </c>
      <c r="W110" s="520">
        <f t="shared" si="243"/>
        <v>0</v>
      </c>
      <c r="X110" s="520">
        <f t="shared" si="240"/>
        <v>0</v>
      </c>
      <c r="Y110" s="520">
        <f t="shared" si="240"/>
        <v>0</v>
      </c>
      <c r="Z110" s="520">
        <f t="shared" si="240"/>
        <v>0</v>
      </c>
      <c r="AA110" s="520">
        <f t="shared" si="240"/>
        <v>0</v>
      </c>
      <c r="AB110" s="520">
        <f t="shared" si="240"/>
        <v>0</v>
      </c>
      <c r="AC110" s="520">
        <f t="shared" si="240"/>
        <v>0</v>
      </c>
      <c r="AD110" s="520">
        <f t="shared" si="240"/>
        <v>0</v>
      </c>
      <c r="AE110" s="520">
        <f t="shared" si="240"/>
        <v>0</v>
      </c>
      <c r="AF110" s="520">
        <f t="shared" si="240"/>
        <v>0</v>
      </c>
      <c r="AG110" s="520">
        <f t="shared" si="240"/>
        <v>0</v>
      </c>
      <c r="AH110" s="520">
        <f t="shared" si="240"/>
        <v>0</v>
      </c>
      <c r="AI110" s="520">
        <f t="shared" si="240"/>
        <v>0</v>
      </c>
      <c r="AJ110" s="520">
        <f t="shared" si="240"/>
        <v>0</v>
      </c>
      <c r="AK110" s="520">
        <f t="shared" si="240"/>
        <v>0</v>
      </c>
      <c r="AL110" s="532">
        <f t="shared" si="244"/>
        <v>0</v>
      </c>
    </row>
    <row r="111" spans="2:38" x14ac:dyDescent="0.25">
      <c r="B111" s="245" t="str">
        <f>'T_Stock_TOTAL_&amp;_City'!B111</f>
        <v>Gasoline</v>
      </c>
      <c r="C111" s="245" t="s">
        <v>363</v>
      </c>
      <c r="D111" s="680">
        <f t="shared" si="241"/>
        <v>0</v>
      </c>
      <c r="E111" s="680">
        <f t="shared" si="226"/>
        <v>0</v>
      </c>
      <c r="F111" s="680">
        <f t="shared" si="227"/>
        <v>0</v>
      </c>
      <c r="G111" s="680">
        <f t="shared" si="228"/>
        <v>0</v>
      </c>
      <c r="H111" s="680">
        <f t="shared" si="229"/>
        <v>0</v>
      </c>
      <c r="I111" s="680">
        <f t="shared" si="230"/>
        <v>0</v>
      </c>
      <c r="J111" s="680">
        <f t="shared" si="231"/>
        <v>0</v>
      </c>
      <c r="K111" s="680">
        <f t="shared" si="232"/>
        <v>0</v>
      </c>
      <c r="L111" s="680">
        <f t="shared" si="233"/>
        <v>0</v>
      </c>
      <c r="M111" s="680">
        <f t="shared" si="234"/>
        <v>0</v>
      </c>
      <c r="N111" s="680">
        <f t="shared" si="235"/>
        <v>0</v>
      </c>
      <c r="O111" s="680">
        <f t="shared" si="236"/>
        <v>0</v>
      </c>
      <c r="P111" s="680">
        <f t="shared" si="237"/>
        <v>0</v>
      </c>
      <c r="Q111" s="680">
        <f t="shared" si="238"/>
        <v>0</v>
      </c>
      <c r="R111" s="680">
        <f t="shared" si="239"/>
        <v>0</v>
      </c>
      <c r="S111" s="680">
        <f t="shared" si="242"/>
        <v>0</v>
      </c>
      <c r="U111" s="311">
        <f>'T_Stock_TOTAL_&amp;_City'!U111-'T_Stock_TOTAL_&amp;_City'!V111</f>
        <v>0</v>
      </c>
      <c r="W111" s="520">
        <f t="shared" si="243"/>
        <v>0</v>
      </c>
      <c r="X111" s="520">
        <f t="shared" si="240"/>
        <v>0</v>
      </c>
      <c r="Y111" s="520">
        <f t="shared" si="240"/>
        <v>0</v>
      </c>
      <c r="Z111" s="520">
        <f t="shared" si="240"/>
        <v>0</v>
      </c>
      <c r="AA111" s="520">
        <f t="shared" si="240"/>
        <v>0</v>
      </c>
      <c r="AB111" s="520">
        <f t="shared" si="240"/>
        <v>0</v>
      </c>
      <c r="AC111" s="520">
        <f t="shared" si="240"/>
        <v>0</v>
      </c>
      <c r="AD111" s="520">
        <f t="shared" si="240"/>
        <v>0</v>
      </c>
      <c r="AE111" s="520">
        <f t="shared" si="240"/>
        <v>0</v>
      </c>
      <c r="AF111" s="520">
        <f t="shared" si="240"/>
        <v>0</v>
      </c>
      <c r="AG111" s="520">
        <f t="shared" si="240"/>
        <v>0</v>
      </c>
      <c r="AH111" s="520">
        <f t="shared" si="240"/>
        <v>0</v>
      </c>
      <c r="AI111" s="520">
        <f t="shared" si="240"/>
        <v>0</v>
      </c>
      <c r="AJ111" s="520">
        <f t="shared" si="240"/>
        <v>0</v>
      </c>
      <c r="AK111" s="520">
        <f t="shared" si="240"/>
        <v>0</v>
      </c>
      <c r="AL111" s="532">
        <f t="shared" si="244"/>
        <v>0</v>
      </c>
    </row>
    <row r="112" spans="2:38" x14ac:dyDescent="0.25">
      <c r="B112" s="245" t="str">
        <f>'T_Stock_TOTAL_&amp;_City'!B112</f>
        <v>Hybrid Electric - diesel</v>
      </c>
      <c r="C112" s="245" t="s">
        <v>364</v>
      </c>
      <c r="D112" s="680">
        <f t="shared" si="241"/>
        <v>0</v>
      </c>
      <c r="E112" s="680">
        <f t="shared" si="226"/>
        <v>0</v>
      </c>
      <c r="F112" s="680">
        <f t="shared" si="227"/>
        <v>0</v>
      </c>
      <c r="G112" s="680">
        <f t="shared" si="228"/>
        <v>0</v>
      </c>
      <c r="H112" s="680">
        <f t="shared" si="229"/>
        <v>0</v>
      </c>
      <c r="I112" s="680">
        <f t="shared" si="230"/>
        <v>0</v>
      </c>
      <c r="J112" s="680">
        <f t="shared" si="231"/>
        <v>0</v>
      </c>
      <c r="K112" s="680">
        <f t="shared" si="232"/>
        <v>0</v>
      </c>
      <c r="L112" s="680">
        <f t="shared" si="233"/>
        <v>0</v>
      </c>
      <c r="M112" s="680">
        <f t="shared" si="234"/>
        <v>0</v>
      </c>
      <c r="N112" s="680">
        <f t="shared" si="235"/>
        <v>0</v>
      </c>
      <c r="O112" s="680">
        <f t="shared" si="236"/>
        <v>0</v>
      </c>
      <c r="P112" s="680">
        <f t="shared" si="237"/>
        <v>0</v>
      </c>
      <c r="Q112" s="680">
        <f t="shared" si="238"/>
        <v>0</v>
      </c>
      <c r="R112" s="680">
        <f t="shared" si="239"/>
        <v>0</v>
      </c>
      <c r="S112" s="680">
        <f t="shared" si="242"/>
        <v>0</v>
      </c>
      <c r="U112" s="311">
        <f>'T_Stock_TOTAL_&amp;_City'!U112-'T_Stock_TOTAL_&amp;_City'!V112</f>
        <v>0</v>
      </c>
      <c r="W112" s="520">
        <f t="shared" si="243"/>
        <v>0</v>
      </c>
      <c r="X112" s="520">
        <f t="shared" si="240"/>
        <v>0</v>
      </c>
      <c r="Y112" s="520">
        <f t="shared" si="240"/>
        <v>0</v>
      </c>
      <c r="Z112" s="520">
        <f t="shared" si="240"/>
        <v>0</v>
      </c>
      <c r="AA112" s="520">
        <f t="shared" si="240"/>
        <v>0</v>
      </c>
      <c r="AB112" s="520">
        <f t="shared" si="240"/>
        <v>0</v>
      </c>
      <c r="AC112" s="520">
        <f t="shared" si="240"/>
        <v>0</v>
      </c>
      <c r="AD112" s="520">
        <f t="shared" si="240"/>
        <v>0</v>
      </c>
      <c r="AE112" s="520">
        <f t="shared" si="240"/>
        <v>0</v>
      </c>
      <c r="AF112" s="520">
        <f t="shared" si="240"/>
        <v>0</v>
      </c>
      <c r="AG112" s="520">
        <f t="shared" si="240"/>
        <v>0</v>
      </c>
      <c r="AH112" s="520">
        <f t="shared" si="240"/>
        <v>0</v>
      </c>
      <c r="AI112" s="520">
        <f t="shared" si="240"/>
        <v>0</v>
      </c>
      <c r="AJ112" s="520">
        <f t="shared" si="240"/>
        <v>0</v>
      </c>
      <c r="AK112" s="520">
        <f t="shared" si="240"/>
        <v>0</v>
      </c>
      <c r="AL112" s="532">
        <f t="shared" si="244"/>
        <v>0</v>
      </c>
    </row>
    <row r="113" spans="2:38" x14ac:dyDescent="0.25">
      <c r="B113" s="245" t="str">
        <f>'T_Stock_TOTAL_&amp;_City'!B113</f>
        <v>Hybrid Electric - gasoline</v>
      </c>
      <c r="C113" s="245" t="s">
        <v>365</v>
      </c>
      <c r="D113" s="680">
        <f t="shared" si="241"/>
        <v>0</v>
      </c>
      <c r="E113" s="680">
        <f t="shared" si="226"/>
        <v>0</v>
      </c>
      <c r="F113" s="680">
        <f t="shared" si="227"/>
        <v>0</v>
      </c>
      <c r="G113" s="680">
        <f t="shared" si="228"/>
        <v>0</v>
      </c>
      <c r="H113" s="680">
        <f t="shared" si="229"/>
        <v>0</v>
      </c>
      <c r="I113" s="680">
        <f t="shared" si="230"/>
        <v>0</v>
      </c>
      <c r="J113" s="680">
        <f t="shared" si="231"/>
        <v>0</v>
      </c>
      <c r="K113" s="680">
        <f t="shared" si="232"/>
        <v>0</v>
      </c>
      <c r="L113" s="680">
        <f t="shared" si="233"/>
        <v>0</v>
      </c>
      <c r="M113" s="680">
        <f t="shared" si="234"/>
        <v>0</v>
      </c>
      <c r="N113" s="680">
        <f t="shared" si="235"/>
        <v>0</v>
      </c>
      <c r="O113" s="680">
        <f t="shared" si="236"/>
        <v>0</v>
      </c>
      <c r="P113" s="680">
        <f t="shared" si="237"/>
        <v>0</v>
      </c>
      <c r="Q113" s="680">
        <f t="shared" si="238"/>
        <v>0</v>
      </c>
      <c r="R113" s="680">
        <f t="shared" si="239"/>
        <v>0</v>
      </c>
      <c r="S113" s="680">
        <f t="shared" si="242"/>
        <v>0</v>
      </c>
      <c r="U113" s="311">
        <f>'T_Stock_TOTAL_&amp;_City'!U113-'T_Stock_TOTAL_&amp;_City'!V113</f>
        <v>0</v>
      </c>
      <c r="W113" s="520">
        <f t="shared" si="243"/>
        <v>0</v>
      </c>
      <c r="X113" s="520">
        <f t="shared" si="240"/>
        <v>0</v>
      </c>
      <c r="Y113" s="520">
        <f t="shared" si="240"/>
        <v>0</v>
      </c>
      <c r="Z113" s="520">
        <f t="shared" si="240"/>
        <v>0</v>
      </c>
      <c r="AA113" s="520">
        <f t="shared" si="240"/>
        <v>0</v>
      </c>
      <c r="AB113" s="520">
        <f t="shared" si="240"/>
        <v>0</v>
      </c>
      <c r="AC113" s="520">
        <f t="shared" si="240"/>
        <v>0</v>
      </c>
      <c r="AD113" s="520">
        <f t="shared" si="240"/>
        <v>0</v>
      </c>
      <c r="AE113" s="520">
        <f t="shared" si="240"/>
        <v>0</v>
      </c>
      <c r="AF113" s="520">
        <f t="shared" si="240"/>
        <v>0</v>
      </c>
      <c r="AG113" s="520">
        <f t="shared" si="240"/>
        <v>0</v>
      </c>
      <c r="AH113" s="520">
        <f t="shared" si="240"/>
        <v>0</v>
      </c>
      <c r="AI113" s="520">
        <f t="shared" si="240"/>
        <v>0</v>
      </c>
      <c r="AJ113" s="520">
        <f t="shared" si="240"/>
        <v>0</v>
      </c>
      <c r="AK113" s="520">
        <f t="shared" si="240"/>
        <v>0</v>
      </c>
      <c r="AL113" s="532">
        <f t="shared" si="244"/>
        <v>0</v>
      </c>
    </row>
    <row r="114" spans="2:38" x14ac:dyDescent="0.25">
      <c r="B114" s="245" t="str">
        <f>'T_Stock_TOTAL_&amp;_City'!B114</f>
        <v>LPG</v>
      </c>
      <c r="C114" s="245" t="s">
        <v>366</v>
      </c>
      <c r="D114" s="680">
        <f t="shared" si="241"/>
        <v>0</v>
      </c>
      <c r="E114" s="680">
        <f t="shared" si="226"/>
        <v>0</v>
      </c>
      <c r="F114" s="680">
        <f t="shared" si="227"/>
        <v>0</v>
      </c>
      <c r="G114" s="680">
        <f t="shared" si="228"/>
        <v>0</v>
      </c>
      <c r="H114" s="680">
        <f t="shared" si="229"/>
        <v>0</v>
      </c>
      <c r="I114" s="680">
        <f t="shared" si="230"/>
        <v>0</v>
      </c>
      <c r="J114" s="680">
        <f t="shared" si="231"/>
        <v>0</v>
      </c>
      <c r="K114" s="680">
        <f t="shared" si="232"/>
        <v>0</v>
      </c>
      <c r="L114" s="680">
        <f t="shared" si="233"/>
        <v>0</v>
      </c>
      <c r="M114" s="680">
        <f t="shared" si="234"/>
        <v>0</v>
      </c>
      <c r="N114" s="680">
        <f t="shared" si="235"/>
        <v>0</v>
      </c>
      <c r="O114" s="680">
        <f t="shared" si="236"/>
        <v>0</v>
      </c>
      <c r="P114" s="680">
        <f t="shared" si="237"/>
        <v>0</v>
      </c>
      <c r="Q114" s="680">
        <f t="shared" si="238"/>
        <v>0</v>
      </c>
      <c r="R114" s="680">
        <f t="shared" si="239"/>
        <v>0</v>
      </c>
      <c r="S114" s="680">
        <f t="shared" si="242"/>
        <v>0</v>
      </c>
      <c r="U114" s="311">
        <f>'T_Stock_TOTAL_&amp;_City'!U114-'T_Stock_TOTAL_&amp;_City'!V114</f>
        <v>0</v>
      </c>
      <c r="W114" s="520">
        <f t="shared" si="243"/>
        <v>0</v>
      </c>
      <c r="X114" s="520">
        <f t="shared" si="240"/>
        <v>0</v>
      </c>
      <c r="Y114" s="520">
        <f t="shared" si="240"/>
        <v>0</v>
      </c>
      <c r="Z114" s="520">
        <f t="shared" si="240"/>
        <v>0</v>
      </c>
      <c r="AA114" s="520">
        <f t="shared" si="240"/>
        <v>0</v>
      </c>
      <c r="AB114" s="520">
        <f t="shared" si="240"/>
        <v>0</v>
      </c>
      <c r="AC114" s="520">
        <f t="shared" si="240"/>
        <v>0</v>
      </c>
      <c r="AD114" s="520">
        <f t="shared" si="240"/>
        <v>0</v>
      </c>
      <c r="AE114" s="520">
        <f t="shared" si="240"/>
        <v>0</v>
      </c>
      <c r="AF114" s="520">
        <f t="shared" si="240"/>
        <v>0</v>
      </c>
      <c r="AG114" s="520">
        <f t="shared" si="240"/>
        <v>0</v>
      </c>
      <c r="AH114" s="520">
        <f t="shared" si="240"/>
        <v>0</v>
      </c>
      <c r="AI114" s="520">
        <f t="shared" si="240"/>
        <v>0</v>
      </c>
      <c r="AJ114" s="520">
        <f t="shared" si="240"/>
        <v>0</v>
      </c>
      <c r="AK114" s="520">
        <f t="shared" si="240"/>
        <v>0</v>
      </c>
      <c r="AL114" s="532">
        <f t="shared" si="244"/>
        <v>0</v>
      </c>
    </row>
    <row r="115" spans="2:38" x14ac:dyDescent="0.25">
      <c r="B115" s="245" t="str">
        <f>'T_Stock_TOTAL_&amp;_City'!B115</f>
        <v>Plugin Hybrid Electric - diesel</v>
      </c>
      <c r="C115" s="245" t="s">
        <v>367</v>
      </c>
      <c r="D115" s="680">
        <f t="shared" si="241"/>
        <v>0</v>
      </c>
      <c r="E115" s="680">
        <f t="shared" si="226"/>
        <v>0</v>
      </c>
      <c r="F115" s="680">
        <f t="shared" si="227"/>
        <v>0</v>
      </c>
      <c r="G115" s="680">
        <f t="shared" si="228"/>
        <v>0</v>
      </c>
      <c r="H115" s="680">
        <f t="shared" si="229"/>
        <v>0</v>
      </c>
      <c r="I115" s="680">
        <f t="shared" si="230"/>
        <v>0</v>
      </c>
      <c r="J115" s="680">
        <f t="shared" si="231"/>
        <v>0</v>
      </c>
      <c r="K115" s="680">
        <f t="shared" si="232"/>
        <v>0</v>
      </c>
      <c r="L115" s="680">
        <f t="shared" si="233"/>
        <v>0</v>
      </c>
      <c r="M115" s="680">
        <f t="shared" si="234"/>
        <v>0</v>
      </c>
      <c r="N115" s="680">
        <f t="shared" si="235"/>
        <v>0</v>
      </c>
      <c r="O115" s="680">
        <f t="shared" si="236"/>
        <v>0</v>
      </c>
      <c r="P115" s="680">
        <f t="shared" si="237"/>
        <v>0</v>
      </c>
      <c r="Q115" s="680">
        <f t="shared" si="238"/>
        <v>0</v>
      </c>
      <c r="R115" s="680">
        <f t="shared" si="239"/>
        <v>0</v>
      </c>
      <c r="S115" s="680">
        <f t="shared" si="242"/>
        <v>0</v>
      </c>
      <c r="U115" s="311">
        <f>'T_Stock_TOTAL_&amp;_City'!U115-'T_Stock_TOTAL_&amp;_City'!V115</f>
        <v>0</v>
      </c>
      <c r="W115" s="520">
        <f t="shared" si="243"/>
        <v>0</v>
      </c>
      <c r="X115" s="520">
        <f t="shared" si="240"/>
        <v>0</v>
      </c>
      <c r="Y115" s="520">
        <f t="shared" si="240"/>
        <v>0</v>
      </c>
      <c r="Z115" s="520">
        <f t="shared" si="240"/>
        <v>0</v>
      </c>
      <c r="AA115" s="520">
        <f t="shared" si="240"/>
        <v>0</v>
      </c>
      <c r="AB115" s="520">
        <f t="shared" si="240"/>
        <v>0</v>
      </c>
      <c r="AC115" s="520">
        <f t="shared" si="240"/>
        <v>0</v>
      </c>
      <c r="AD115" s="520">
        <f t="shared" si="240"/>
        <v>0</v>
      </c>
      <c r="AE115" s="520">
        <f t="shared" si="240"/>
        <v>0</v>
      </c>
      <c r="AF115" s="520">
        <f t="shared" si="240"/>
        <v>0</v>
      </c>
      <c r="AG115" s="520">
        <f t="shared" si="240"/>
        <v>0</v>
      </c>
      <c r="AH115" s="520">
        <f t="shared" si="240"/>
        <v>0</v>
      </c>
      <c r="AI115" s="520">
        <f t="shared" si="240"/>
        <v>0</v>
      </c>
      <c r="AJ115" s="520">
        <f t="shared" si="240"/>
        <v>0</v>
      </c>
      <c r="AK115" s="520">
        <f t="shared" si="240"/>
        <v>0</v>
      </c>
      <c r="AL115" s="532">
        <f t="shared" si="244"/>
        <v>0</v>
      </c>
    </row>
    <row r="116" spans="2:38" x14ac:dyDescent="0.25">
      <c r="B116" s="245" t="str">
        <f>'T_Stock_TOTAL_&amp;_City'!B116</f>
        <v>Plugin Hybrid Electric - gasoline</v>
      </c>
      <c r="C116" s="245" t="s">
        <v>368</v>
      </c>
      <c r="D116" s="680">
        <f t="shared" si="241"/>
        <v>0</v>
      </c>
      <c r="E116" s="680">
        <f t="shared" si="226"/>
        <v>0</v>
      </c>
      <c r="F116" s="680">
        <f t="shared" si="227"/>
        <v>0</v>
      </c>
      <c r="G116" s="680">
        <f t="shared" si="228"/>
        <v>0</v>
      </c>
      <c r="H116" s="680">
        <f t="shared" si="229"/>
        <v>0</v>
      </c>
      <c r="I116" s="680">
        <f t="shared" si="230"/>
        <v>0</v>
      </c>
      <c r="J116" s="680">
        <f t="shared" si="231"/>
        <v>0</v>
      </c>
      <c r="K116" s="680">
        <f t="shared" si="232"/>
        <v>0</v>
      </c>
      <c r="L116" s="680">
        <f t="shared" si="233"/>
        <v>0</v>
      </c>
      <c r="M116" s="680">
        <f t="shared" si="234"/>
        <v>0</v>
      </c>
      <c r="N116" s="680">
        <f t="shared" si="235"/>
        <v>0</v>
      </c>
      <c r="O116" s="680">
        <f t="shared" si="236"/>
        <v>0</v>
      </c>
      <c r="P116" s="680">
        <f t="shared" si="237"/>
        <v>0</v>
      </c>
      <c r="Q116" s="680">
        <f t="shared" si="238"/>
        <v>0</v>
      </c>
      <c r="R116" s="680">
        <f t="shared" si="239"/>
        <v>0</v>
      </c>
      <c r="S116" s="680">
        <f t="shared" si="242"/>
        <v>0</v>
      </c>
      <c r="U116" s="311">
        <f>'T_Stock_TOTAL_&amp;_City'!U116-'T_Stock_TOTAL_&amp;_City'!V116</f>
        <v>0</v>
      </c>
      <c r="W116" s="520">
        <f t="shared" si="243"/>
        <v>0</v>
      </c>
      <c r="X116" s="520">
        <f t="shared" si="240"/>
        <v>0</v>
      </c>
      <c r="Y116" s="520">
        <f t="shared" si="240"/>
        <v>0</v>
      </c>
      <c r="Z116" s="520">
        <f t="shared" si="240"/>
        <v>0</v>
      </c>
      <c r="AA116" s="520">
        <f t="shared" si="240"/>
        <v>0</v>
      </c>
      <c r="AB116" s="520">
        <f t="shared" si="240"/>
        <v>0</v>
      </c>
      <c r="AC116" s="520">
        <f t="shared" si="240"/>
        <v>0</v>
      </c>
      <c r="AD116" s="520">
        <f t="shared" si="240"/>
        <v>0</v>
      </c>
      <c r="AE116" s="520">
        <f t="shared" si="240"/>
        <v>0</v>
      </c>
      <c r="AF116" s="520">
        <f t="shared" si="240"/>
        <v>0</v>
      </c>
      <c r="AG116" s="520">
        <f t="shared" si="240"/>
        <v>0</v>
      </c>
      <c r="AH116" s="520">
        <f t="shared" si="240"/>
        <v>0</v>
      </c>
      <c r="AI116" s="520">
        <f t="shared" si="240"/>
        <v>0</v>
      </c>
      <c r="AJ116" s="520">
        <f t="shared" si="240"/>
        <v>0</v>
      </c>
      <c r="AK116" s="520">
        <f t="shared" si="240"/>
        <v>0</v>
      </c>
      <c r="AL116" s="532">
        <f t="shared" si="244"/>
        <v>0</v>
      </c>
    </row>
    <row r="117" spans="2:38" x14ac:dyDescent="0.25">
      <c r="B117" s="250" t="str">
        <f>'T_Stock_TOTAL_&amp;_City'!B117</f>
        <v>Other</v>
      </c>
      <c r="C117" s="250"/>
      <c r="D117" s="444">
        <f t="shared" si="241"/>
        <v>0</v>
      </c>
      <c r="E117" s="444">
        <f t="shared" si="226"/>
        <v>0</v>
      </c>
      <c r="F117" s="444">
        <f t="shared" si="227"/>
        <v>0</v>
      </c>
      <c r="G117" s="444">
        <f t="shared" si="228"/>
        <v>0</v>
      </c>
      <c r="H117" s="444">
        <f t="shared" si="229"/>
        <v>0</v>
      </c>
      <c r="I117" s="444">
        <f t="shared" si="230"/>
        <v>0</v>
      </c>
      <c r="J117" s="444">
        <f t="shared" si="231"/>
        <v>0</v>
      </c>
      <c r="K117" s="444">
        <f t="shared" si="232"/>
        <v>0</v>
      </c>
      <c r="L117" s="444">
        <f t="shared" si="233"/>
        <v>0</v>
      </c>
      <c r="M117" s="444">
        <f t="shared" si="234"/>
        <v>0</v>
      </c>
      <c r="N117" s="444">
        <f t="shared" si="235"/>
        <v>0</v>
      </c>
      <c r="O117" s="444">
        <f t="shared" si="236"/>
        <v>0</v>
      </c>
      <c r="P117" s="444">
        <f t="shared" si="237"/>
        <v>0</v>
      </c>
      <c r="Q117" s="444">
        <f t="shared" si="238"/>
        <v>0</v>
      </c>
      <c r="R117" s="444">
        <f t="shared" si="239"/>
        <v>0</v>
      </c>
      <c r="S117" s="444">
        <f>SUM(D117:R117)</f>
        <v>0</v>
      </c>
      <c r="U117" s="335">
        <f>'T_Stock_TOTAL_&amp;_City'!U117-'T_Stock_TOTAL_&amp;_City'!V117</f>
        <v>0</v>
      </c>
      <c r="W117" s="520">
        <f t="shared" si="243"/>
        <v>0</v>
      </c>
      <c r="X117" s="520">
        <f t="shared" si="240"/>
        <v>0</v>
      </c>
      <c r="Y117" s="520">
        <f t="shared" si="240"/>
        <v>0</v>
      </c>
      <c r="Z117" s="520">
        <f t="shared" si="240"/>
        <v>0</v>
      </c>
      <c r="AA117" s="520">
        <f t="shared" si="240"/>
        <v>0</v>
      </c>
      <c r="AB117" s="520">
        <f t="shared" si="240"/>
        <v>0</v>
      </c>
      <c r="AC117" s="520">
        <f t="shared" si="240"/>
        <v>0</v>
      </c>
      <c r="AD117" s="520">
        <f t="shared" si="240"/>
        <v>0</v>
      </c>
      <c r="AE117" s="520">
        <f t="shared" si="240"/>
        <v>0</v>
      </c>
      <c r="AF117" s="520">
        <f t="shared" si="240"/>
        <v>0</v>
      </c>
      <c r="AG117" s="520">
        <f t="shared" si="240"/>
        <v>0</v>
      </c>
      <c r="AH117" s="520">
        <f t="shared" si="240"/>
        <v>0</v>
      </c>
      <c r="AI117" s="520">
        <f t="shared" si="240"/>
        <v>0</v>
      </c>
      <c r="AJ117" s="520">
        <f t="shared" si="240"/>
        <v>0</v>
      </c>
      <c r="AK117" s="520">
        <f t="shared" si="240"/>
        <v>0</v>
      </c>
      <c r="AL117" s="532">
        <f t="shared" si="244"/>
        <v>0</v>
      </c>
    </row>
    <row r="118" spans="2:38" x14ac:dyDescent="0.25">
      <c r="B118" s="131" t="s">
        <v>119</v>
      </c>
      <c r="C118" s="131"/>
      <c r="D118" s="130">
        <f>SUM(D106:D117)</f>
        <v>0</v>
      </c>
      <c r="E118" s="130">
        <f t="shared" ref="E118" si="245">SUM(E106:E117)</f>
        <v>0</v>
      </c>
      <c r="F118" s="130">
        <f t="shared" ref="F118" si="246">SUM(F106:F117)</f>
        <v>0</v>
      </c>
      <c r="G118" s="130">
        <f t="shared" ref="G118" si="247">SUM(G106:G117)</f>
        <v>0</v>
      </c>
      <c r="H118" s="130">
        <f t="shared" ref="H118" si="248">SUM(H106:H117)</f>
        <v>0</v>
      </c>
      <c r="I118" s="130">
        <f t="shared" ref="I118" si="249">SUM(I106:I117)</f>
        <v>0</v>
      </c>
      <c r="J118" s="130">
        <f t="shared" ref="J118" si="250">SUM(J106:J117)</f>
        <v>0</v>
      </c>
      <c r="K118" s="130">
        <f t="shared" ref="K118" si="251">SUM(K106:K117)</f>
        <v>0</v>
      </c>
      <c r="L118" s="130">
        <f t="shared" ref="L118" si="252">SUM(L106:L117)</f>
        <v>0</v>
      </c>
      <c r="M118" s="130">
        <f t="shared" ref="M118" si="253">SUM(M106:M117)</f>
        <v>0</v>
      </c>
      <c r="N118" s="130">
        <f t="shared" ref="N118" si="254">SUM(N106:N117)</f>
        <v>0</v>
      </c>
      <c r="O118" s="130">
        <f t="shared" ref="O118" si="255">SUM(O106:O117)</f>
        <v>0</v>
      </c>
      <c r="P118" s="130">
        <f t="shared" ref="P118" si="256">SUM(P106:P117)</f>
        <v>0</v>
      </c>
      <c r="Q118" s="130">
        <f t="shared" ref="Q118" si="257">SUM(Q106:Q117)</f>
        <v>0</v>
      </c>
      <c r="R118" s="130">
        <f t="shared" ref="R118" si="258">SUM(R106:R117)</f>
        <v>0</v>
      </c>
      <c r="S118" s="130">
        <f t="shared" ref="S118" si="259">SUM(S106:S117)</f>
        <v>0</v>
      </c>
      <c r="U118" s="130">
        <f>SUM(U107:U116)</f>
        <v>0</v>
      </c>
    </row>
    <row r="120" spans="2:38" x14ac:dyDescent="0.25">
      <c r="B120" s="441" t="s">
        <v>150</v>
      </c>
      <c r="C120" s="339"/>
      <c r="W120" s="3" t="s">
        <v>299</v>
      </c>
    </row>
    <row r="121" spans="2:38" x14ac:dyDescent="0.25">
      <c r="B121" s="476" t="s">
        <v>103</v>
      </c>
      <c r="C121" s="264" t="s">
        <v>104</v>
      </c>
      <c r="D121" s="121" t="str">
        <f>D$9</f>
        <v>Z01</v>
      </c>
      <c r="E121" s="121" t="str">
        <f t="shared" ref="E121:R121" si="260">E$9</f>
        <v>Z02</v>
      </c>
      <c r="F121" s="121" t="str">
        <f t="shared" si="260"/>
        <v>Z03</v>
      </c>
      <c r="G121" s="121" t="str">
        <f t="shared" si="260"/>
        <v>Z04</v>
      </c>
      <c r="H121" s="121" t="str">
        <f t="shared" si="260"/>
        <v>Z05</v>
      </c>
      <c r="I121" s="121" t="str">
        <f t="shared" si="260"/>
        <v>Z06</v>
      </c>
      <c r="J121" s="121" t="str">
        <f t="shared" si="260"/>
        <v>Z07</v>
      </c>
      <c r="K121" s="121" t="str">
        <f t="shared" si="260"/>
        <v>Z08</v>
      </c>
      <c r="L121" s="121" t="str">
        <f t="shared" si="260"/>
        <v>Z09</v>
      </c>
      <c r="M121" s="121" t="str">
        <f t="shared" si="260"/>
        <v>Z10</v>
      </c>
      <c r="N121" s="121" t="str">
        <f t="shared" si="260"/>
        <v>Z11</v>
      </c>
      <c r="O121" s="121" t="str">
        <f t="shared" si="260"/>
        <v>Z12</v>
      </c>
      <c r="P121" s="121" t="str">
        <f t="shared" si="260"/>
        <v>Z13</v>
      </c>
      <c r="Q121" s="121" t="str">
        <f t="shared" si="260"/>
        <v>Z14</v>
      </c>
      <c r="R121" s="121" t="str">
        <f t="shared" si="260"/>
        <v>Z15</v>
      </c>
      <c r="S121" s="121" t="s">
        <v>100</v>
      </c>
      <c r="U121" s="17" t="str">
        <f>U$9</f>
        <v>Private stock</v>
      </c>
      <c r="W121" s="121" t="str">
        <f t="shared" ref="W121:AK121" si="261">D121</f>
        <v>Z01</v>
      </c>
      <c r="X121" s="121" t="str">
        <f t="shared" si="261"/>
        <v>Z02</v>
      </c>
      <c r="Y121" s="121" t="str">
        <f t="shared" si="261"/>
        <v>Z03</v>
      </c>
      <c r="Z121" s="121" t="str">
        <f t="shared" si="261"/>
        <v>Z04</v>
      </c>
      <c r="AA121" s="121" t="str">
        <f t="shared" si="261"/>
        <v>Z05</v>
      </c>
      <c r="AB121" s="121" t="str">
        <f t="shared" si="261"/>
        <v>Z06</v>
      </c>
      <c r="AC121" s="121" t="str">
        <f t="shared" si="261"/>
        <v>Z07</v>
      </c>
      <c r="AD121" s="121" t="str">
        <f t="shared" si="261"/>
        <v>Z08</v>
      </c>
      <c r="AE121" s="121" t="str">
        <f t="shared" si="261"/>
        <v>Z09</v>
      </c>
      <c r="AF121" s="121" t="str">
        <f t="shared" si="261"/>
        <v>Z10</v>
      </c>
      <c r="AG121" s="121" t="str">
        <f t="shared" si="261"/>
        <v>Z11</v>
      </c>
      <c r="AH121" s="121" t="str">
        <f t="shared" si="261"/>
        <v>Z12</v>
      </c>
      <c r="AI121" s="121" t="str">
        <f t="shared" si="261"/>
        <v>Z13</v>
      </c>
      <c r="AJ121" s="121" t="str">
        <f t="shared" si="261"/>
        <v>Z14</v>
      </c>
      <c r="AK121" s="121" t="str">
        <f t="shared" si="261"/>
        <v>Z15</v>
      </c>
      <c r="AL121" s="121" t="s">
        <v>100</v>
      </c>
    </row>
    <row r="122" spans="2:38" x14ac:dyDescent="0.25">
      <c r="B122" s="245" t="str">
        <f>'T_Stock_TOTAL_&amp;_City'!B122</f>
        <v>Biodiesel</v>
      </c>
      <c r="C122" s="286" t="s">
        <v>369</v>
      </c>
      <c r="D122" s="680">
        <v>0</v>
      </c>
      <c r="E122" s="680">
        <v>0</v>
      </c>
      <c r="F122" s="680">
        <v>0</v>
      </c>
      <c r="G122" s="680">
        <v>0</v>
      </c>
      <c r="H122" s="680">
        <v>0</v>
      </c>
      <c r="I122" s="680">
        <v>0</v>
      </c>
      <c r="J122" s="680">
        <v>0</v>
      </c>
      <c r="K122" s="680">
        <v>0</v>
      </c>
      <c r="L122" s="680">
        <v>0</v>
      </c>
      <c r="M122" s="680">
        <v>0</v>
      </c>
      <c r="N122" s="680">
        <v>0</v>
      </c>
      <c r="O122" s="680">
        <v>0</v>
      </c>
      <c r="P122" s="680">
        <v>0</v>
      </c>
      <c r="Q122" s="680">
        <v>0</v>
      </c>
      <c r="R122" s="680">
        <v>0</v>
      </c>
      <c r="S122" s="680">
        <f>SUM(D122:R122)</f>
        <v>0</v>
      </c>
      <c r="U122" s="311">
        <f>'T_Stock_TOTAL_&amp;_City'!U122-'T_Stock_TOTAL_&amp;_City'!V122</f>
        <v>0</v>
      </c>
      <c r="W122" s="909">
        <f>W$6</f>
        <v>0</v>
      </c>
      <c r="X122" s="909">
        <f t="shared" ref="X122:AK133" si="262">X$6</f>
        <v>0</v>
      </c>
      <c r="Y122" s="909">
        <f t="shared" si="262"/>
        <v>0</v>
      </c>
      <c r="Z122" s="909">
        <f t="shared" si="262"/>
        <v>0</v>
      </c>
      <c r="AA122" s="909">
        <f t="shared" si="262"/>
        <v>0</v>
      </c>
      <c r="AB122" s="909">
        <f t="shared" si="262"/>
        <v>0</v>
      </c>
      <c r="AC122" s="909">
        <f t="shared" si="262"/>
        <v>0</v>
      </c>
      <c r="AD122" s="909">
        <f t="shared" si="262"/>
        <v>0</v>
      </c>
      <c r="AE122" s="909">
        <f t="shared" si="262"/>
        <v>0</v>
      </c>
      <c r="AF122" s="909">
        <f t="shared" si="262"/>
        <v>0</v>
      </c>
      <c r="AG122" s="909">
        <f t="shared" si="262"/>
        <v>0</v>
      </c>
      <c r="AH122" s="909">
        <f t="shared" si="262"/>
        <v>0</v>
      </c>
      <c r="AI122" s="909">
        <f t="shared" si="262"/>
        <v>0</v>
      </c>
      <c r="AJ122" s="909">
        <f t="shared" si="262"/>
        <v>0</v>
      </c>
      <c r="AK122" s="909">
        <f t="shared" si="262"/>
        <v>0</v>
      </c>
      <c r="AL122" s="532">
        <f>SUM(W122:AK122)</f>
        <v>0</v>
      </c>
    </row>
    <row r="123" spans="2:38" x14ac:dyDescent="0.25">
      <c r="B123" s="245" t="str">
        <f>'T_Stock_TOTAL_&amp;_City'!B123</f>
        <v>Diesel</v>
      </c>
      <c r="C123" s="286" t="s">
        <v>370</v>
      </c>
      <c r="D123" s="680">
        <v>13617</v>
      </c>
      <c r="E123" s="798"/>
      <c r="F123" s="798"/>
      <c r="G123" s="798"/>
      <c r="H123" s="798"/>
      <c r="I123" s="798"/>
      <c r="J123" s="798"/>
      <c r="K123" s="798"/>
      <c r="L123" s="798"/>
      <c r="M123" s="798"/>
      <c r="N123" s="798"/>
      <c r="O123" s="798"/>
      <c r="P123" s="798"/>
      <c r="Q123" s="798"/>
      <c r="R123" s="798"/>
      <c r="S123" s="680">
        <f t="shared" ref="S123:S132" si="263">SUM(D123:R123)</f>
        <v>13617</v>
      </c>
      <c r="U123" s="311">
        <f>'T_Stock_TOTAL_&amp;_City'!U123-'T_Stock_TOTAL_&amp;_City'!V123</f>
        <v>0</v>
      </c>
      <c r="W123" s="909">
        <f t="shared" ref="W123:W133" si="264">W$6</f>
        <v>0</v>
      </c>
      <c r="X123" s="909">
        <f t="shared" si="262"/>
        <v>0</v>
      </c>
      <c r="Y123" s="909">
        <f t="shared" si="262"/>
        <v>0</v>
      </c>
      <c r="Z123" s="909">
        <f t="shared" si="262"/>
        <v>0</v>
      </c>
      <c r="AA123" s="909">
        <f t="shared" si="262"/>
        <v>0</v>
      </c>
      <c r="AB123" s="909">
        <f t="shared" si="262"/>
        <v>0</v>
      </c>
      <c r="AC123" s="909">
        <f t="shared" si="262"/>
        <v>0</v>
      </c>
      <c r="AD123" s="909">
        <f t="shared" si="262"/>
        <v>0</v>
      </c>
      <c r="AE123" s="909">
        <f t="shared" si="262"/>
        <v>0</v>
      </c>
      <c r="AF123" s="909">
        <f t="shared" si="262"/>
        <v>0</v>
      </c>
      <c r="AG123" s="909">
        <f t="shared" si="262"/>
        <v>0</v>
      </c>
      <c r="AH123" s="909">
        <f t="shared" si="262"/>
        <v>0</v>
      </c>
      <c r="AI123" s="909">
        <f t="shared" si="262"/>
        <v>0</v>
      </c>
      <c r="AJ123" s="909">
        <f t="shared" si="262"/>
        <v>0</v>
      </c>
      <c r="AK123" s="909">
        <f t="shared" si="262"/>
        <v>0</v>
      </c>
      <c r="AL123" s="532">
        <f t="shared" ref="AL123:AL133" si="265">SUM(W123:AK123)</f>
        <v>0</v>
      </c>
    </row>
    <row r="124" spans="2:38" x14ac:dyDescent="0.25">
      <c r="B124" s="245" t="str">
        <f>'T_Stock_TOTAL_&amp;_City'!B124</f>
        <v>Battery electric (BEV)</v>
      </c>
      <c r="C124" s="286" t="s">
        <v>371</v>
      </c>
      <c r="D124" s="680">
        <v>3</v>
      </c>
      <c r="E124" s="798"/>
      <c r="F124" s="798"/>
      <c r="G124" s="798"/>
      <c r="H124" s="798"/>
      <c r="I124" s="798"/>
      <c r="J124" s="798"/>
      <c r="K124" s="798"/>
      <c r="L124" s="798"/>
      <c r="M124" s="798"/>
      <c r="N124" s="798"/>
      <c r="O124" s="798"/>
      <c r="P124" s="798"/>
      <c r="Q124" s="798"/>
      <c r="R124" s="798"/>
      <c r="S124" s="680">
        <f t="shared" si="263"/>
        <v>3</v>
      </c>
      <c r="U124" s="311">
        <f>'T_Stock_TOTAL_&amp;_City'!U124-'T_Stock_TOTAL_&amp;_City'!V124</f>
        <v>0</v>
      </c>
      <c r="W124" s="909">
        <f t="shared" si="264"/>
        <v>0</v>
      </c>
      <c r="X124" s="909">
        <f t="shared" si="262"/>
        <v>0</v>
      </c>
      <c r="Y124" s="909">
        <f t="shared" si="262"/>
        <v>0</v>
      </c>
      <c r="Z124" s="909">
        <f t="shared" si="262"/>
        <v>0</v>
      </c>
      <c r="AA124" s="909">
        <f t="shared" si="262"/>
        <v>0</v>
      </c>
      <c r="AB124" s="909">
        <f t="shared" si="262"/>
        <v>0</v>
      </c>
      <c r="AC124" s="909">
        <f t="shared" si="262"/>
        <v>0</v>
      </c>
      <c r="AD124" s="909">
        <f t="shared" si="262"/>
        <v>0</v>
      </c>
      <c r="AE124" s="909">
        <f t="shared" si="262"/>
        <v>0</v>
      </c>
      <c r="AF124" s="909">
        <f t="shared" si="262"/>
        <v>0</v>
      </c>
      <c r="AG124" s="909">
        <f t="shared" si="262"/>
        <v>0</v>
      </c>
      <c r="AH124" s="909">
        <f t="shared" si="262"/>
        <v>0</v>
      </c>
      <c r="AI124" s="909">
        <f t="shared" si="262"/>
        <v>0</v>
      </c>
      <c r="AJ124" s="909">
        <f t="shared" si="262"/>
        <v>0</v>
      </c>
      <c r="AK124" s="909">
        <f t="shared" si="262"/>
        <v>0</v>
      </c>
      <c r="AL124" s="532">
        <f t="shared" si="265"/>
        <v>0</v>
      </c>
    </row>
    <row r="125" spans="2:38" x14ac:dyDescent="0.25">
      <c r="B125" s="245" t="str">
        <f>'T_Stock_TOTAL_&amp;_City'!B125</f>
        <v>Ethanol</v>
      </c>
      <c r="C125" s="286" t="s">
        <v>372</v>
      </c>
      <c r="D125" s="680">
        <v>60</v>
      </c>
      <c r="E125" s="798"/>
      <c r="F125" s="798"/>
      <c r="G125" s="798"/>
      <c r="H125" s="798"/>
      <c r="I125" s="798"/>
      <c r="J125" s="798"/>
      <c r="K125" s="798"/>
      <c r="L125" s="798"/>
      <c r="M125" s="798"/>
      <c r="N125" s="798"/>
      <c r="O125" s="798"/>
      <c r="P125" s="798"/>
      <c r="Q125" s="798"/>
      <c r="R125" s="798"/>
      <c r="S125" s="680">
        <f t="shared" si="263"/>
        <v>60</v>
      </c>
      <c r="U125" s="311">
        <f>'T_Stock_TOTAL_&amp;_City'!U125-'T_Stock_TOTAL_&amp;_City'!V125</f>
        <v>0</v>
      </c>
      <c r="W125" s="909">
        <f t="shared" si="264"/>
        <v>0</v>
      </c>
      <c r="X125" s="909">
        <f t="shared" si="262"/>
        <v>0</v>
      </c>
      <c r="Y125" s="909">
        <f t="shared" si="262"/>
        <v>0</v>
      </c>
      <c r="Z125" s="909">
        <f t="shared" si="262"/>
        <v>0</v>
      </c>
      <c r="AA125" s="909">
        <f t="shared" si="262"/>
        <v>0</v>
      </c>
      <c r="AB125" s="909">
        <f t="shared" si="262"/>
        <v>0</v>
      </c>
      <c r="AC125" s="909">
        <f t="shared" si="262"/>
        <v>0</v>
      </c>
      <c r="AD125" s="909">
        <f t="shared" si="262"/>
        <v>0</v>
      </c>
      <c r="AE125" s="909">
        <f t="shared" si="262"/>
        <v>0</v>
      </c>
      <c r="AF125" s="909">
        <f t="shared" si="262"/>
        <v>0</v>
      </c>
      <c r="AG125" s="909">
        <f t="shared" si="262"/>
        <v>0</v>
      </c>
      <c r="AH125" s="909">
        <f t="shared" si="262"/>
        <v>0</v>
      </c>
      <c r="AI125" s="909">
        <f t="shared" si="262"/>
        <v>0</v>
      </c>
      <c r="AJ125" s="909">
        <f t="shared" si="262"/>
        <v>0</v>
      </c>
      <c r="AK125" s="909">
        <f t="shared" si="262"/>
        <v>0</v>
      </c>
      <c r="AL125" s="532">
        <f t="shared" si="265"/>
        <v>0</v>
      </c>
    </row>
    <row r="126" spans="2:38" x14ac:dyDescent="0.25">
      <c r="B126" s="245" t="str">
        <f>'T_Stock_TOTAL_&amp;_City'!B126</f>
        <v>Gas (CNG)</v>
      </c>
      <c r="C126" s="286" t="s">
        <v>373</v>
      </c>
      <c r="D126" s="680">
        <v>301</v>
      </c>
      <c r="E126" s="798"/>
      <c r="F126" s="798"/>
      <c r="G126" s="798"/>
      <c r="H126" s="798"/>
      <c r="I126" s="798"/>
      <c r="J126" s="798"/>
      <c r="K126" s="798"/>
      <c r="L126" s="798"/>
      <c r="M126" s="798"/>
      <c r="N126" s="798"/>
      <c r="O126" s="798"/>
      <c r="P126" s="798"/>
      <c r="Q126" s="798"/>
      <c r="R126" s="798"/>
      <c r="S126" s="680">
        <f t="shared" si="263"/>
        <v>301</v>
      </c>
      <c r="U126" s="311">
        <f>'T_Stock_TOTAL_&amp;_City'!U126-'T_Stock_TOTAL_&amp;_City'!V126</f>
        <v>0</v>
      </c>
      <c r="W126" s="909">
        <f t="shared" si="264"/>
        <v>0</v>
      </c>
      <c r="X126" s="909">
        <f t="shared" si="262"/>
        <v>0</v>
      </c>
      <c r="Y126" s="909">
        <f t="shared" si="262"/>
        <v>0</v>
      </c>
      <c r="Z126" s="909">
        <f t="shared" si="262"/>
        <v>0</v>
      </c>
      <c r="AA126" s="909">
        <f t="shared" si="262"/>
        <v>0</v>
      </c>
      <c r="AB126" s="909">
        <f t="shared" si="262"/>
        <v>0</v>
      </c>
      <c r="AC126" s="909">
        <f t="shared" si="262"/>
        <v>0</v>
      </c>
      <c r="AD126" s="909">
        <f t="shared" si="262"/>
        <v>0</v>
      </c>
      <c r="AE126" s="909">
        <f t="shared" si="262"/>
        <v>0</v>
      </c>
      <c r="AF126" s="909">
        <f t="shared" si="262"/>
        <v>0</v>
      </c>
      <c r="AG126" s="909">
        <f t="shared" si="262"/>
        <v>0</v>
      </c>
      <c r="AH126" s="909">
        <f t="shared" si="262"/>
        <v>0</v>
      </c>
      <c r="AI126" s="909">
        <f t="shared" si="262"/>
        <v>0</v>
      </c>
      <c r="AJ126" s="909">
        <f t="shared" si="262"/>
        <v>0</v>
      </c>
      <c r="AK126" s="909">
        <f t="shared" si="262"/>
        <v>0</v>
      </c>
      <c r="AL126" s="532">
        <f t="shared" si="265"/>
        <v>0</v>
      </c>
    </row>
    <row r="127" spans="2:38" x14ac:dyDescent="0.25">
      <c r="B127" s="245" t="str">
        <f>'T_Stock_TOTAL_&amp;_City'!B127</f>
        <v>Gasoline</v>
      </c>
      <c r="C127" s="286" t="s">
        <v>374</v>
      </c>
      <c r="D127" s="680">
        <v>165</v>
      </c>
      <c r="E127" s="798"/>
      <c r="F127" s="798"/>
      <c r="G127" s="798"/>
      <c r="H127" s="798"/>
      <c r="I127" s="798"/>
      <c r="J127" s="798"/>
      <c r="K127" s="798"/>
      <c r="L127" s="798"/>
      <c r="M127" s="798"/>
      <c r="N127" s="798"/>
      <c r="O127" s="798"/>
      <c r="P127" s="798"/>
      <c r="Q127" s="798"/>
      <c r="R127" s="798"/>
      <c r="S127" s="680">
        <f t="shared" si="263"/>
        <v>165</v>
      </c>
      <c r="U127" s="311">
        <f>'T_Stock_TOTAL_&amp;_City'!U127-'T_Stock_TOTAL_&amp;_City'!V127</f>
        <v>0</v>
      </c>
      <c r="W127" s="909">
        <f t="shared" si="264"/>
        <v>0</v>
      </c>
      <c r="X127" s="909">
        <f t="shared" si="262"/>
        <v>0</v>
      </c>
      <c r="Y127" s="909">
        <f t="shared" si="262"/>
        <v>0</v>
      </c>
      <c r="Z127" s="909">
        <f t="shared" si="262"/>
        <v>0</v>
      </c>
      <c r="AA127" s="909">
        <f t="shared" si="262"/>
        <v>0</v>
      </c>
      <c r="AB127" s="909">
        <f t="shared" si="262"/>
        <v>0</v>
      </c>
      <c r="AC127" s="909">
        <f t="shared" si="262"/>
        <v>0</v>
      </c>
      <c r="AD127" s="909">
        <f t="shared" si="262"/>
        <v>0</v>
      </c>
      <c r="AE127" s="909">
        <f t="shared" si="262"/>
        <v>0</v>
      </c>
      <c r="AF127" s="909">
        <f t="shared" si="262"/>
        <v>0</v>
      </c>
      <c r="AG127" s="909">
        <f t="shared" si="262"/>
        <v>0</v>
      </c>
      <c r="AH127" s="909">
        <f t="shared" si="262"/>
        <v>0</v>
      </c>
      <c r="AI127" s="909">
        <f t="shared" si="262"/>
        <v>0</v>
      </c>
      <c r="AJ127" s="909">
        <f t="shared" si="262"/>
        <v>0</v>
      </c>
      <c r="AK127" s="909">
        <f t="shared" si="262"/>
        <v>0</v>
      </c>
      <c r="AL127" s="532">
        <f t="shared" si="265"/>
        <v>0</v>
      </c>
    </row>
    <row r="128" spans="2:38" x14ac:dyDescent="0.25">
      <c r="B128" s="245" t="str">
        <f>'T_Stock_TOTAL_&amp;_City'!B128</f>
        <v>Hybrid Electric - diesel</v>
      </c>
      <c r="C128" s="286" t="s">
        <v>375</v>
      </c>
      <c r="D128" s="680">
        <f t="shared" ref="D128:D132" si="266">$U128*W128</f>
        <v>0</v>
      </c>
      <c r="E128" s="798"/>
      <c r="F128" s="798"/>
      <c r="G128" s="798"/>
      <c r="H128" s="798"/>
      <c r="I128" s="798"/>
      <c r="J128" s="798"/>
      <c r="K128" s="798"/>
      <c r="L128" s="798"/>
      <c r="M128" s="798"/>
      <c r="N128" s="798"/>
      <c r="O128" s="798"/>
      <c r="P128" s="798"/>
      <c r="Q128" s="798"/>
      <c r="R128" s="798"/>
      <c r="S128" s="680">
        <f t="shared" si="263"/>
        <v>0</v>
      </c>
      <c r="U128" s="311">
        <f>'T_Stock_TOTAL_&amp;_City'!U128-'T_Stock_TOTAL_&amp;_City'!V128</f>
        <v>0</v>
      </c>
      <c r="W128" s="909">
        <f t="shared" si="264"/>
        <v>0</v>
      </c>
      <c r="X128" s="909">
        <f t="shared" si="262"/>
        <v>0</v>
      </c>
      <c r="Y128" s="909">
        <f t="shared" si="262"/>
        <v>0</v>
      </c>
      <c r="Z128" s="909">
        <f t="shared" si="262"/>
        <v>0</v>
      </c>
      <c r="AA128" s="909">
        <f t="shared" si="262"/>
        <v>0</v>
      </c>
      <c r="AB128" s="909">
        <f t="shared" si="262"/>
        <v>0</v>
      </c>
      <c r="AC128" s="909">
        <f t="shared" si="262"/>
        <v>0</v>
      </c>
      <c r="AD128" s="909">
        <f t="shared" si="262"/>
        <v>0</v>
      </c>
      <c r="AE128" s="909">
        <f t="shared" si="262"/>
        <v>0</v>
      </c>
      <c r="AF128" s="909">
        <f t="shared" si="262"/>
        <v>0</v>
      </c>
      <c r="AG128" s="909">
        <f t="shared" si="262"/>
        <v>0</v>
      </c>
      <c r="AH128" s="909">
        <f t="shared" si="262"/>
        <v>0</v>
      </c>
      <c r="AI128" s="909">
        <f t="shared" si="262"/>
        <v>0</v>
      </c>
      <c r="AJ128" s="909">
        <f t="shared" si="262"/>
        <v>0</v>
      </c>
      <c r="AK128" s="909">
        <f t="shared" si="262"/>
        <v>0</v>
      </c>
      <c r="AL128" s="532">
        <f t="shared" si="265"/>
        <v>0</v>
      </c>
    </row>
    <row r="129" spans="2:38" x14ac:dyDescent="0.25">
      <c r="B129" s="245" t="str">
        <f>'T_Stock_TOTAL_&amp;_City'!B129</f>
        <v>Hybrid Electric - gasoline</v>
      </c>
      <c r="C129" s="286" t="s">
        <v>376</v>
      </c>
      <c r="D129" s="680">
        <v>15</v>
      </c>
      <c r="E129" s="798"/>
      <c r="F129" s="798"/>
      <c r="G129" s="798"/>
      <c r="H129" s="798"/>
      <c r="I129" s="798"/>
      <c r="J129" s="798"/>
      <c r="K129" s="798"/>
      <c r="L129" s="798"/>
      <c r="M129" s="798"/>
      <c r="N129" s="798"/>
      <c r="O129" s="798"/>
      <c r="P129" s="798"/>
      <c r="Q129" s="798"/>
      <c r="R129" s="798"/>
      <c r="S129" s="680">
        <f t="shared" si="263"/>
        <v>15</v>
      </c>
      <c r="U129" s="311">
        <f>'T_Stock_TOTAL_&amp;_City'!U129-'T_Stock_TOTAL_&amp;_City'!V129</f>
        <v>0</v>
      </c>
      <c r="W129" s="909">
        <f t="shared" si="264"/>
        <v>0</v>
      </c>
      <c r="X129" s="909">
        <f t="shared" si="262"/>
        <v>0</v>
      </c>
      <c r="Y129" s="909">
        <f t="shared" si="262"/>
        <v>0</v>
      </c>
      <c r="Z129" s="909">
        <f t="shared" si="262"/>
        <v>0</v>
      </c>
      <c r="AA129" s="909">
        <f t="shared" si="262"/>
        <v>0</v>
      </c>
      <c r="AB129" s="909">
        <f t="shared" si="262"/>
        <v>0</v>
      </c>
      <c r="AC129" s="909">
        <f t="shared" si="262"/>
        <v>0</v>
      </c>
      <c r="AD129" s="909">
        <f t="shared" si="262"/>
        <v>0</v>
      </c>
      <c r="AE129" s="909">
        <f t="shared" si="262"/>
        <v>0</v>
      </c>
      <c r="AF129" s="909">
        <f t="shared" si="262"/>
        <v>0</v>
      </c>
      <c r="AG129" s="909">
        <f t="shared" si="262"/>
        <v>0</v>
      </c>
      <c r="AH129" s="909">
        <f t="shared" si="262"/>
        <v>0</v>
      </c>
      <c r="AI129" s="909">
        <f t="shared" si="262"/>
        <v>0</v>
      </c>
      <c r="AJ129" s="909">
        <f t="shared" si="262"/>
        <v>0</v>
      </c>
      <c r="AK129" s="909">
        <f t="shared" si="262"/>
        <v>0</v>
      </c>
      <c r="AL129" s="532">
        <f t="shared" si="265"/>
        <v>0</v>
      </c>
    </row>
    <row r="130" spans="2:38" x14ac:dyDescent="0.25">
      <c r="B130" s="245" t="str">
        <f>'T_Stock_TOTAL_&amp;_City'!B130</f>
        <v>LPG</v>
      </c>
      <c r="C130" s="286" t="s">
        <v>377</v>
      </c>
      <c r="D130" s="680">
        <f t="shared" si="266"/>
        <v>0</v>
      </c>
      <c r="E130" s="798"/>
      <c r="F130" s="798"/>
      <c r="G130" s="798"/>
      <c r="H130" s="798"/>
      <c r="I130" s="798"/>
      <c r="J130" s="798"/>
      <c r="K130" s="798"/>
      <c r="L130" s="798"/>
      <c r="M130" s="798"/>
      <c r="N130" s="798"/>
      <c r="O130" s="798"/>
      <c r="P130" s="798"/>
      <c r="Q130" s="798"/>
      <c r="R130" s="798"/>
      <c r="S130" s="680">
        <f t="shared" si="263"/>
        <v>0</v>
      </c>
      <c r="U130" s="311">
        <f>'T_Stock_TOTAL_&amp;_City'!U130-'T_Stock_TOTAL_&amp;_City'!V130</f>
        <v>0</v>
      </c>
      <c r="W130" s="909">
        <f t="shared" si="264"/>
        <v>0</v>
      </c>
      <c r="X130" s="909">
        <f t="shared" si="262"/>
        <v>0</v>
      </c>
      <c r="Y130" s="909">
        <f t="shared" si="262"/>
        <v>0</v>
      </c>
      <c r="Z130" s="909">
        <f t="shared" si="262"/>
        <v>0</v>
      </c>
      <c r="AA130" s="909">
        <f t="shared" si="262"/>
        <v>0</v>
      </c>
      <c r="AB130" s="909">
        <f t="shared" si="262"/>
        <v>0</v>
      </c>
      <c r="AC130" s="909">
        <f t="shared" si="262"/>
        <v>0</v>
      </c>
      <c r="AD130" s="909">
        <f t="shared" si="262"/>
        <v>0</v>
      </c>
      <c r="AE130" s="909">
        <f t="shared" si="262"/>
        <v>0</v>
      </c>
      <c r="AF130" s="909">
        <f t="shared" si="262"/>
        <v>0</v>
      </c>
      <c r="AG130" s="909">
        <f t="shared" si="262"/>
        <v>0</v>
      </c>
      <c r="AH130" s="909">
        <f t="shared" si="262"/>
        <v>0</v>
      </c>
      <c r="AI130" s="909">
        <f t="shared" si="262"/>
        <v>0</v>
      </c>
      <c r="AJ130" s="909">
        <f t="shared" si="262"/>
        <v>0</v>
      </c>
      <c r="AK130" s="909">
        <f t="shared" si="262"/>
        <v>0</v>
      </c>
      <c r="AL130" s="532">
        <f t="shared" si="265"/>
        <v>0</v>
      </c>
    </row>
    <row r="131" spans="2:38" x14ac:dyDescent="0.25">
      <c r="B131" s="245" t="str">
        <f>'T_Stock_TOTAL_&amp;_City'!B131</f>
        <v>Plugin Hybrid Electric - diesel</v>
      </c>
      <c r="C131" s="286" t="s">
        <v>378</v>
      </c>
      <c r="D131" s="680">
        <f t="shared" si="266"/>
        <v>0</v>
      </c>
      <c r="E131" s="798"/>
      <c r="F131" s="798"/>
      <c r="G131" s="798"/>
      <c r="H131" s="798"/>
      <c r="I131" s="798"/>
      <c r="J131" s="798"/>
      <c r="K131" s="798"/>
      <c r="L131" s="798"/>
      <c r="M131" s="798"/>
      <c r="N131" s="798"/>
      <c r="O131" s="798"/>
      <c r="P131" s="798"/>
      <c r="Q131" s="798"/>
      <c r="R131" s="798"/>
      <c r="S131" s="680">
        <f t="shared" si="263"/>
        <v>0</v>
      </c>
      <c r="U131" s="311">
        <f>'T_Stock_TOTAL_&amp;_City'!U131-'T_Stock_TOTAL_&amp;_City'!V131</f>
        <v>0</v>
      </c>
      <c r="W131" s="909">
        <f t="shared" si="264"/>
        <v>0</v>
      </c>
      <c r="X131" s="909">
        <f t="shared" si="262"/>
        <v>0</v>
      </c>
      <c r="Y131" s="909">
        <f t="shared" si="262"/>
        <v>0</v>
      </c>
      <c r="Z131" s="909">
        <f t="shared" si="262"/>
        <v>0</v>
      </c>
      <c r="AA131" s="909">
        <f t="shared" si="262"/>
        <v>0</v>
      </c>
      <c r="AB131" s="909">
        <f t="shared" si="262"/>
        <v>0</v>
      </c>
      <c r="AC131" s="909">
        <f t="shared" si="262"/>
        <v>0</v>
      </c>
      <c r="AD131" s="909">
        <f t="shared" si="262"/>
        <v>0</v>
      </c>
      <c r="AE131" s="909">
        <f t="shared" si="262"/>
        <v>0</v>
      </c>
      <c r="AF131" s="909">
        <f t="shared" si="262"/>
        <v>0</v>
      </c>
      <c r="AG131" s="909">
        <f t="shared" si="262"/>
        <v>0</v>
      </c>
      <c r="AH131" s="909">
        <f t="shared" si="262"/>
        <v>0</v>
      </c>
      <c r="AI131" s="909">
        <f t="shared" si="262"/>
        <v>0</v>
      </c>
      <c r="AJ131" s="909">
        <f t="shared" si="262"/>
        <v>0</v>
      </c>
      <c r="AK131" s="909">
        <f t="shared" si="262"/>
        <v>0</v>
      </c>
      <c r="AL131" s="532">
        <f t="shared" si="265"/>
        <v>0</v>
      </c>
    </row>
    <row r="132" spans="2:38" x14ac:dyDescent="0.25">
      <c r="B132" s="245" t="str">
        <f>'T_Stock_TOTAL_&amp;_City'!B132</f>
        <v>Plugin Hybrid Electric - gasoline</v>
      </c>
      <c r="C132" s="286" t="s">
        <v>379</v>
      </c>
      <c r="D132" s="680">
        <f t="shared" si="266"/>
        <v>0</v>
      </c>
      <c r="E132" s="798"/>
      <c r="F132" s="798"/>
      <c r="G132" s="798"/>
      <c r="H132" s="798"/>
      <c r="I132" s="798"/>
      <c r="J132" s="798"/>
      <c r="K132" s="798"/>
      <c r="L132" s="798"/>
      <c r="M132" s="798"/>
      <c r="N132" s="798"/>
      <c r="O132" s="798"/>
      <c r="P132" s="798"/>
      <c r="Q132" s="798"/>
      <c r="R132" s="798"/>
      <c r="S132" s="680">
        <f t="shared" si="263"/>
        <v>0</v>
      </c>
      <c r="U132" s="311">
        <f>'T_Stock_TOTAL_&amp;_City'!U132-'T_Stock_TOTAL_&amp;_City'!V132</f>
        <v>0</v>
      </c>
      <c r="W132" s="909">
        <f t="shared" si="264"/>
        <v>0</v>
      </c>
      <c r="X132" s="909">
        <f t="shared" si="262"/>
        <v>0</v>
      </c>
      <c r="Y132" s="909">
        <f t="shared" si="262"/>
        <v>0</v>
      </c>
      <c r="Z132" s="909">
        <f t="shared" si="262"/>
        <v>0</v>
      </c>
      <c r="AA132" s="909">
        <f t="shared" si="262"/>
        <v>0</v>
      </c>
      <c r="AB132" s="909">
        <f t="shared" si="262"/>
        <v>0</v>
      </c>
      <c r="AC132" s="909">
        <f t="shared" si="262"/>
        <v>0</v>
      </c>
      <c r="AD132" s="909">
        <f t="shared" si="262"/>
        <v>0</v>
      </c>
      <c r="AE132" s="909">
        <f t="shared" si="262"/>
        <v>0</v>
      </c>
      <c r="AF132" s="909">
        <f t="shared" si="262"/>
        <v>0</v>
      </c>
      <c r="AG132" s="909">
        <f t="shared" si="262"/>
        <v>0</v>
      </c>
      <c r="AH132" s="909">
        <f t="shared" si="262"/>
        <v>0</v>
      </c>
      <c r="AI132" s="909">
        <f t="shared" si="262"/>
        <v>0</v>
      </c>
      <c r="AJ132" s="909">
        <f t="shared" si="262"/>
        <v>0</v>
      </c>
      <c r="AK132" s="909">
        <f t="shared" si="262"/>
        <v>0</v>
      </c>
      <c r="AL132" s="532">
        <f t="shared" si="265"/>
        <v>0</v>
      </c>
    </row>
    <row r="133" spans="2:38" x14ac:dyDescent="0.25">
      <c r="B133" s="250" t="str">
        <f>'T_Stock_TOTAL_&amp;_City'!B133</f>
        <v>Other</v>
      </c>
      <c r="C133" s="250"/>
      <c r="D133" s="444">
        <f t="shared" ref="D133" si="267">$U133*W133</f>
        <v>0</v>
      </c>
      <c r="E133" s="444">
        <f t="shared" ref="E133" si="268">$U133*X133</f>
        <v>0</v>
      </c>
      <c r="F133" s="444">
        <f t="shared" ref="F133" si="269">$U133*Y133</f>
        <v>0</v>
      </c>
      <c r="G133" s="444">
        <f t="shared" ref="G133" si="270">$U133*Z133</f>
        <v>0</v>
      </c>
      <c r="H133" s="444">
        <f t="shared" ref="H133" si="271">$U133*AA133</f>
        <v>0</v>
      </c>
      <c r="I133" s="444">
        <f t="shared" ref="I133" si="272">$U133*AB133</f>
        <v>0</v>
      </c>
      <c r="J133" s="444">
        <f t="shared" ref="J133" si="273">$U133*AC133</f>
        <v>0</v>
      </c>
      <c r="K133" s="444">
        <f t="shared" ref="K133" si="274">$U133*AD133</f>
        <v>0</v>
      </c>
      <c r="L133" s="444">
        <f t="shared" ref="L133" si="275">$U133*AE133</f>
        <v>0</v>
      </c>
      <c r="M133" s="444">
        <f t="shared" ref="M133" si="276">$U133*AF133</f>
        <v>0</v>
      </c>
      <c r="N133" s="444">
        <f t="shared" ref="N133" si="277">$U133*AG133</f>
        <v>0</v>
      </c>
      <c r="O133" s="444">
        <f t="shared" ref="O133" si="278">$U133*AH133</f>
        <v>0</v>
      </c>
      <c r="P133" s="444">
        <f t="shared" ref="P133" si="279">$U133*AI133</f>
        <v>0</v>
      </c>
      <c r="Q133" s="444">
        <f t="shared" ref="Q133" si="280">$U133*AJ133</f>
        <v>0</v>
      </c>
      <c r="R133" s="444">
        <f t="shared" ref="R133" si="281">$U133*AK133</f>
        <v>0</v>
      </c>
      <c r="S133" s="444">
        <f>SUM(D133:R133)</f>
        <v>0</v>
      </c>
      <c r="U133" s="335">
        <f>'T_Stock_TOTAL_&amp;_City'!U133-'T_Stock_TOTAL_&amp;_City'!V133</f>
        <v>0</v>
      </c>
      <c r="W133" s="909">
        <f t="shared" si="264"/>
        <v>0</v>
      </c>
      <c r="X133" s="909">
        <f t="shared" si="262"/>
        <v>0</v>
      </c>
      <c r="Y133" s="909">
        <f t="shared" si="262"/>
        <v>0</v>
      </c>
      <c r="Z133" s="909">
        <f t="shared" si="262"/>
        <v>0</v>
      </c>
      <c r="AA133" s="909">
        <f t="shared" si="262"/>
        <v>0</v>
      </c>
      <c r="AB133" s="909">
        <f t="shared" si="262"/>
        <v>0</v>
      </c>
      <c r="AC133" s="909">
        <f t="shared" si="262"/>
        <v>0</v>
      </c>
      <c r="AD133" s="909">
        <f t="shared" si="262"/>
        <v>0</v>
      </c>
      <c r="AE133" s="909">
        <f t="shared" si="262"/>
        <v>0</v>
      </c>
      <c r="AF133" s="909">
        <f t="shared" si="262"/>
        <v>0</v>
      </c>
      <c r="AG133" s="909">
        <f t="shared" si="262"/>
        <v>0</v>
      </c>
      <c r="AH133" s="909">
        <f t="shared" si="262"/>
        <v>0</v>
      </c>
      <c r="AI133" s="909">
        <f t="shared" si="262"/>
        <v>0</v>
      </c>
      <c r="AJ133" s="909">
        <f t="shared" si="262"/>
        <v>0</v>
      </c>
      <c r="AK133" s="909">
        <f t="shared" si="262"/>
        <v>0</v>
      </c>
      <c r="AL133" s="532">
        <f t="shared" si="265"/>
        <v>0</v>
      </c>
    </row>
    <row r="134" spans="2:38" x14ac:dyDescent="0.25">
      <c r="B134" s="131" t="s">
        <v>119</v>
      </c>
      <c r="C134" s="131"/>
      <c r="D134" s="130">
        <f>SUM(D122:D133)</f>
        <v>14161</v>
      </c>
      <c r="E134" s="130">
        <f t="shared" ref="E134" si="282">SUM(E122:E133)</f>
        <v>0</v>
      </c>
      <c r="F134" s="130">
        <f t="shared" ref="F134" si="283">SUM(F122:F133)</f>
        <v>0</v>
      </c>
      <c r="G134" s="130">
        <f t="shared" ref="G134" si="284">SUM(G122:G133)</f>
        <v>0</v>
      </c>
      <c r="H134" s="130">
        <f t="shared" ref="H134" si="285">SUM(H122:H133)</f>
        <v>0</v>
      </c>
      <c r="I134" s="130">
        <f t="shared" ref="I134" si="286">SUM(I122:I133)</f>
        <v>0</v>
      </c>
      <c r="J134" s="130">
        <f t="shared" ref="J134" si="287">SUM(J122:J133)</f>
        <v>0</v>
      </c>
      <c r="K134" s="130">
        <f t="shared" ref="K134" si="288">SUM(K122:K133)</f>
        <v>0</v>
      </c>
      <c r="L134" s="130">
        <f t="shared" ref="L134" si="289">SUM(L122:L133)</f>
        <v>0</v>
      </c>
      <c r="M134" s="130">
        <f t="shared" ref="M134" si="290">SUM(M122:M133)</f>
        <v>0</v>
      </c>
      <c r="N134" s="130">
        <f t="shared" ref="N134" si="291">SUM(N122:N133)</f>
        <v>0</v>
      </c>
      <c r="O134" s="130">
        <f t="shared" ref="O134" si="292">SUM(O122:O133)</f>
        <v>0</v>
      </c>
      <c r="P134" s="130">
        <f t="shared" ref="P134" si="293">SUM(P122:P133)</f>
        <v>0</v>
      </c>
      <c r="Q134" s="130">
        <f t="shared" ref="Q134" si="294">SUM(Q122:Q133)</f>
        <v>0</v>
      </c>
      <c r="R134" s="130">
        <f t="shared" ref="R134" si="295">SUM(R122:R133)</f>
        <v>0</v>
      </c>
      <c r="S134" s="130">
        <f t="shared" ref="S134" si="296">SUM(S122:S133)</f>
        <v>14161</v>
      </c>
      <c r="U134" s="130">
        <f>SUM(U122:U132)</f>
        <v>0</v>
      </c>
    </row>
    <row r="136" spans="2:38" x14ac:dyDescent="0.25">
      <c r="B136" s="476" t="s">
        <v>162</v>
      </c>
      <c r="C136" s="339"/>
      <c r="W136" s="3" t="s">
        <v>299</v>
      </c>
    </row>
    <row r="137" spans="2:38" x14ac:dyDescent="0.25">
      <c r="B137" s="476" t="s">
        <v>103</v>
      </c>
      <c r="C137" s="264" t="s">
        <v>104</v>
      </c>
      <c r="D137" s="121" t="str">
        <f>D$9</f>
        <v>Z01</v>
      </c>
      <c r="E137" s="121" t="str">
        <f t="shared" ref="E137:R137" si="297">E$9</f>
        <v>Z02</v>
      </c>
      <c r="F137" s="121" t="str">
        <f t="shared" si="297"/>
        <v>Z03</v>
      </c>
      <c r="G137" s="121" t="str">
        <f t="shared" si="297"/>
        <v>Z04</v>
      </c>
      <c r="H137" s="121" t="str">
        <f t="shared" si="297"/>
        <v>Z05</v>
      </c>
      <c r="I137" s="121" t="str">
        <f t="shared" si="297"/>
        <v>Z06</v>
      </c>
      <c r="J137" s="121" t="str">
        <f t="shared" si="297"/>
        <v>Z07</v>
      </c>
      <c r="K137" s="121" t="str">
        <f t="shared" si="297"/>
        <v>Z08</v>
      </c>
      <c r="L137" s="121" t="str">
        <f t="shared" si="297"/>
        <v>Z09</v>
      </c>
      <c r="M137" s="121" t="str">
        <f t="shared" si="297"/>
        <v>Z10</v>
      </c>
      <c r="N137" s="121" t="str">
        <f t="shared" si="297"/>
        <v>Z11</v>
      </c>
      <c r="O137" s="121" t="str">
        <f t="shared" si="297"/>
        <v>Z12</v>
      </c>
      <c r="P137" s="121" t="str">
        <f t="shared" si="297"/>
        <v>Z13</v>
      </c>
      <c r="Q137" s="121" t="str">
        <f t="shared" si="297"/>
        <v>Z14</v>
      </c>
      <c r="R137" s="121" t="str">
        <f t="shared" si="297"/>
        <v>Z15</v>
      </c>
      <c r="S137" s="121" t="s">
        <v>100</v>
      </c>
      <c r="U137" s="17" t="str">
        <f>U$9</f>
        <v>Private stock</v>
      </c>
      <c r="W137" s="121" t="str">
        <f t="shared" ref="W137:AK137" si="298">D137</f>
        <v>Z01</v>
      </c>
      <c r="X137" s="121" t="str">
        <f t="shared" si="298"/>
        <v>Z02</v>
      </c>
      <c r="Y137" s="121" t="str">
        <f t="shared" si="298"/>
        <v>Z03</v>
      </c>
      <c r="Z137" s="121" t="str">
        <f t="shared" si="298"/>
        <v>Z04</v>
      </c>
      <c r="AA137" s="121" t="str">
        <f t="shared" si="298"/>
        <v>Z05</v>
      </c>
      <c r="AB137" s="121" t="str">
        <f t="shared" si="298"/>
        <v>Z06</v>
      </c>
      <c r="AC137" s="121" t="str">
        <f t="shared" si="298"/>
        <v>Z07</v>
      </c>
      <c r="AD137" s="121" t="str">
        <f t="shared" si="298"/>
        <v>Z08</v>
      </c>
      <c r="AE137" s="121" t="str">
        <f t="shared" si="298"/>
        <v>Z09</v>
      </c>
      <c r="AF137" s="121" t="str">
        <f t="shared" si="298"/>
        <v>Z10</v>
      </c>
      <c r="AG137" s="121" t="str">
        <f t="shared" si="298"/>
        <v>Z11</v>
      </c>
      <c r="AH137" s="121" t="str">
        <f t="shared" si="298"/>
        <v>Z12</v>
      </c>
      <c r="AI137" s="121" t="str">
        <f t="shared" si="298"/>
        <v>Z13</v>
      </c>
      <c r="AJ137" s="121" t="str">
        <f t="shared" si="298"/>
        <v>Z14</v>
      </c>
      <c r="AK137" s="121" t="str">
        <f t="shared" si="298"/>
        <v>Z15</v>
      </c>
      <c r="AL137" s="121" t="s">
        <v>100</v>
      </c>
    </row>
    <row r="138" spans="2:38" x14ac:dyDescent="0.25">
      <c r="B138" s="245" t="str">
        <f>'T_Stock_TOTAL_&amp;_City'!B138</f>
        <v>Electric</v>
      </c>
      <c r="C138" s="245" t="s">
        <v>380</v>
      </c>
      <c r="D138" s="680">
        <f>$U138*W138</f>
        <v>0</v>
      </c>
      <c r="E138" s="680">
        <f t="shared" ref="E138:E139" si="299">$U138*X138</f>
        <v>0</v>
      </c>
      <c r="F138" s="680">
        <f t="shared" ref="F138:F139" si="300">$U138*Y138</f>
        <v>0</v>
      </c>
      <c r="G138" s="680">
        <f t="shared" ref="G138:G139" si="301">$U138*Z138</f>
        <v>0</v>
      </c>
      <c r="H138" s="680">
        <f t="shared" ref="H138:H139" si="302">$U138*AA138</f>
        <v>0</v>
      </c>
      <c r="I138" s="680">
        <f t="shared" ref="I138:I139" si="303">$U138*AB138</f>
        <v>0</v>
      </c>
      <c r="J138" s="680">
        <f t="shared" ref="J138:J139" si="304">$U138*AC138</f>
        <v>0</v>
      </c>
      <c r="K138" s="680">
        <f t="shared" ref="K138:K139" si="305">$U138*AD138</f>
        <v>0</v>
      </c>
      <c r="L138" s="680">
        <f t="shared" ref="L138:L139" si="306">$U138*AE138</f>
        <v>0</v>
      </c>
      <c r="M138" s="680">
        <f t="shared" ref="M138:M139" si="307">$U138*AF138</f>
        <v>0</v>
      </c>
      <c r="N138" s="680">
        <f t="shared" ref="N138:N139" si="308">$U138*AG138</f>
        <v>0</v>
      </c>
      <c r="O138" s="680">
        <f t="shared" ref="O138:O139" si="309">$U138*AH138</f>
        <v>0</v>
      </c>
      <c r="P138" s="680">
        <f t="shared" ref="P138:P139" si="310">$U138*AI138</f>
        <v>0</v>
      </c>
      <c r="Q138" s="680">
        <f t="shared" ref="Q138:Q139" si="311">$U138*AJ138</f>
        <v>0</v>
      </c>
      <c r="R138" s="680">
        <f t="shared" ref="R138:R139" si="312">$U138*AK138</f>
        <v>0</v>
      </c>
      <c r="S138" s="680">
        <f t="shared" ref="S138:S139" si="313">$U138*AL138</f>
        <v>0</v>
      </c>
      <c r="U138" s="311">
        <f>'T_Stock_TOTAL_&amp;_City'!U138-'T_Stock_TOTAL_&amp;_City'!V138</f>
        <v>0</v>
      </c>
      <c r="W138" s="520">
        <f t="shared" ref="W138:AK139" si="314">W$6</f>
        <v>0</v>
      </c>
      <c r="X138" s="520">
        <f t="shared" si="314"/>
        <v>0</v>
      </c>
      <c r="Y138" s="520">
        <f t="shared" si="314"/>
        <v>0</v>
      </c>
      <c r="Z138" s="520">
        <f t="shared" si="314"/>
        <v>0</v>
      </c>
      <c r="AA138" s="520">
        <f t="shared" si="314"/>
        <v>0</v>
      </c>
      <c r="AB138" s="520">
        <f t="shared" si="314"/>
        <v>0</v>
      </c>
      <c r="AC138" s="520">
        <f t="shared" si="314"/>
        <v>0</v>
      </c>
      <c r="AD138" s="520">
        <f t="shared" si="314"/>
        <v>0</v>
      </c>
      <c r="AE138" s="520">
        <f t="shared" si="314"/>
        <v>0</v>
      </c>
      <c r="AF138" s="520">
        <f t="shared" si="314"/>
        <v>0</v>
      </c>
      <c r="AG138" s="520">
        <f t="shared" si="314"/>
        <v>0</v>
      </c>
      <c r="AH138" s="520">
        <f t="shared" si="314"/>
        <v>0</v>
      </c>
      <c r="AI138" s="520">
        <f t="shared" si="314"/>
        <v>0</v>
      </c>
      <c r="AJ138" s="520">
        <f t="shared" si="314"/>
        <v>0</v>
      </c>
      <c r="AK138" s="520">
        <f t="shared" si="314"/>
        <v>0</v>
      </c>
      <c r="AL138" s="532">
        <f>SUM(W138:AK138)</f>
        <v>0</v>
      </c>
    </row>
    <row r="139" spans="2:38" x14ac:dyDescent="0.25">
      <c r="B139" s="250" t="s">
        <v>164</v>
      </c>
      <c r="C139" s="250" t="s">
        <v>381</v>
      </c>
      <c r="D139" s="444">
        <f t="shared" ref="D139" si="315">$U139*W139</f>
        <v>0</v>
      </c>
      <c r="E139" s="444">
        <f t="shared" si="299"/>
        <v>0</v>
      </c>
      <c r="F139" s="444">
        <f t="shared" si="300"/>
        <v>0</v>
      </c>
      <c r="G139" s="444">
        <f t="shared" si="301"/>
        <v>0</v>
      </c>
      <c r="H139" s="444">
        <f t="shared" si="302"/>
        <v>0</v>
      </c>
      <c r="I139" s="444">
        <f t="shared" si="303"/>
        <v>0</v>
      </c>
      <c r="J139" s="444">
        <f t="shared" si="304"/>
        <v>0</v>
      </c>
      <c r="K139" s="444">
        <f t="shared" si="305"/>
        <v>0</v>
      </c>
      <c r="L139" s="444">
        <f t="shared" si="306"/>
        <v>0</v>
      </c>
      <c r="M139" s="444">
        <f t="shared" si="307"/>
        <v>0</v>
      </c>
      <c r="N139" s="444">
        <f t="shared" si="308"/>
        <v>0</v>
      </c>
      <c r="O139" s="444">
        <f t="shared" si="309"/>
        <v>0</v>
      </c>
      <c r="P139" s="444">
        <f t="shared" si="310"/>
        <v>0</v>
      </c>
      <c r="Q139" s="444">
        <f t="shared" si="311"/>
        <v>0</v>
      </c>
      <c r="R139" s="444">
        <f t="shared" si="312"/>
        <v>0</v>
      </c>
      <c r="S139" s="444">
        <f t="shared" si="313"/>
        <v>0</v>
      </c>
      <c r="U139" s="335">
        <f>'T_Stock_TOTAL_&amp;_City'!U139-'T_Stock_TOTAL_&amp;_City'!V139</f>
        <v>0</v>
      </c>
      <c r="W139" s="520">
        <f t="shared" si="314"/>
        <v>0</v>
      </c>
      <c r="X139" s="520">
        <f t="shared" si="314"/>
        <v>0</v>
      </c>
      <c r="Y139" s="520">
        <f t="shared" si="314"/>
        <v>0</v>
      </c>
      <c r="Z139" s="520">
        <f t="shared" si="314"/>
        <v>0</v>
      </c>
      <c r="AA139" s="520">
        <f t="shared" si="314"/>
        <v>0</v>
      </c>
      <c r="AB139" s="520">
        <f t="shared" si="314"/>
        <v>0</v>
      </c>
      <c r="AC139" s="520">
        <f t="shared" si="314"/>
        <v>0</v>
      </c>
      <c r="AD139" s="520">
        <f t="shared" si="314"/>
        <v>0</v>
      </c>
      <c r="AE139" s="520">
        <f t="shared" si="314"/>
        <v>0</v>
      </c>
      <c r="AF139" s="520">
        <f t="shared" si="314"/>
        <v>0</v>
      </c>
      <c r="AG139" s="520">
        <f t="shared" si="314"/>
        <v>0</v>
      </c>
      <c r="AH139" s="520">
        <f t="shared" si="314"/>
        <v>0</v>
      </c>
      <c r="AI139" s="520">
        <f t="shared" si="314"/>
        <v>0</v>
      </c>
      <c r="AJ139" s="520">
        <f t="shared" si="314"/>
        <v>0</v>
      </c>
      <c r="AK139" s="520">
        <f t="shared" si="314"/>
        <v>0</v>
      </c>
      <c r="AL139" s="532">
        <f t="shared" ref="AL139" si="316">SUM(W139:AK139)</f>
        <v>0</v>
      </c>
    </row>
    <row r="140" spans="2:38" x14ac:dyDescent="0.25">
      <c r="B140" s="131" t="s">
        <v>119</v>
      </c>
      <c r="C140" s="131"/>
      <c r="D140" s="130">
        <f t="shared" ref="D140:S140" si="317">SUM(D138:D139)</f>
        <v>0</v>
      </c>
      <c r="E140" s="130">
        <f t="shared" si="317"/>
        <v>0</v>
      </c>
      <c r="F140" s="130">
        <f t="shared" si="317"/>
        <v>0</v>
      </c>
      <c r="G140" s="130">
        <f t="shared" si="317"/>
        <v>0</v>
      </c>
      <c r="H140" s="130">
        <f t="shared" si="317"/>
        <v>0</v>
      </c>
      <c r="I140" s="130">
        <f t="shared" si="317"/>
        <v>0</v>
      </c>
      <c r="J140" s="130">
        <f t="shared" si="317"/>
        <v>0</v>
      </c>
      <c r="K140" s="130">
        <f t="shared" si="317"/>
        <v>0</v>
      </c>
      <c r="L140" s="130">
        <f t="shared" si="317"/>
        <v>0</v>
      </c>
      <c r="M140" s="130">
        <f t="shared" si="317"/>
        <v>0</v>
      </c>
      <c r="N140" s="130">
        <f t="shared" si="317"/>
        <v>0</v>
      </c>
      <c r="O140" s="130">
        <f t="shared" si="317"/>
        <v>0</v>
      </c>
      <c r="P140" s="130">
        <f t="shared" si="317"/>
        <v>0</v>
      </c>
      <c r="Q140" s="130">
        <f t="shared" si="317"/>
        <v>0</v>
      </c>
      <c r="R140" s="130">
        <f t="shared" si="317"/>
        <v>0</v>
      </c>
      <c r="S140" s="130">
        <f t="shared" si="317"/>
        <v>0</v>
      </c>
      <c r="U140" s="130">
        <f>SUM(U138:U139)</f>
        <v>0</v>
      </c>
    </row>
    <row r="142" spans="2:38" x14ac:dyDescent="0.25">
      <c r="B142" s="476" t="s">
        <v>165</v>
      </c>
      <c r="C142" s="339"/>
      <c r="W142" s="3" t="s">
        <v>299</v>
      </c>
    </row>
    <row r="143" spans="2:38" x14ac:dyDescent="0.25">
      <c r="B143" s="476" t="s">
        <v>103</v>
      </c>
      <c r="C143" s="264" t="s">
        <v>104</v>
      </c>
      <c r="D143" s="121" t="str">
        <f>D$9</f>
        <v>Z01</v>
      </c>
      <c r="E143" s="121" t="str">
        <f t="shared" ref="E143:R143" si="318">E$9</f>
        <v>Z02</v>
      </c>
      <c r="F143" s="121" t="str">
        <f t="shared" si="318"/>
        <v>Z03</v>
      </c>
      <c r="G143" s="121" t="str">
        <f t="shared" si="318"/>
        <v>Z04</v>
      </c>
      <c r="H143" s="121" t="str">
        <f t="shared" si="318"/>
        <v>Z05</v>
      </c>
      <c r="I143" s="121" t="str">
        <f t="shared" si="318"/>
        <v>Z06</v>
      </c>
      <c r="J143" s="121" t="str">
        <f t="shared" si="318"/>
        <v>Z07</v>
      </c>
      <c r="K143" s="121" t="str">
        <f t="shared" si="318"/>
        <v>Z08</v>
      </c>
      <c r="L143" s="121" t="str">
        <f t="shared" si="318"/>
        <v>Z09</v>
      </c>
      <c r="M143" s="121" t="str">
        <f t="shared" si="318"/>
        <v>Z10</v>
      </c>
      <c r="N143" s="121" t="str">
        <f t="shared" si="318"/>
        <v>Z11</v>
      </c>
      <c r="O143" s="121" t="str">
        <f t="shared" si="318"/>
        <v>Z12</v>
      </c>
      <c r="P143" s="121" t="str">
        <f t="shared" si="318"/>
        <v>Z13</v>
      </c>
      <c r="Q143" s="121" t="str">
        <f t="shared" si="318"/>
        <v>Z14</v>
      </c>
      <c r="R143" s="121" t="str">
        <f t="shared" si="318"/>
        <v>Z15</v>
      </c>
      <c r="S143" s="121" t="s">
        <v>100</v>
      </c>
      <c r="U143" s="17" t="str">
        <f>U$9</f>
        <v>Private stock</v>
      </c>
      <c r="W143" s="121" t="str">
        <f t="shared" ref="W143" si="319">D143</f>
        <v>Z01</v>
      </c>
      <c r="X143" s="121" t="str">
        <f t="shared" ref="X143" si="320">E143</f>
        <v>Z02</v>
      </c>
      <c r="Y143" s="121" t="str">
        <f t="shared" ref="Y143" si="321">F143</f>
        <v>Z03</v>
      </c>
      <c r="Z143" s="121" t="str">
        <f t="shared" ref="Z143" si="322">G143</f>
        <v>Z04</v>
      </c>
      <c r="AA143" s="121" t="str">
        <f t="shared" ref="AA143" si="323">H143</f>
        <v>Z05</v>
      </c>
      <c r="AB143" s="121" t="str">
        <f t="shared" ref="AB143" si="324">I143</f>
        <v>Z06</v>
      </c>
      <c r="AC143" s="121" t="str">
        <f t="shared" ref="AC143" si="325">J143</f>
        <v>Z07</v>
      </c>
      <c r="AD143" s="121" t="str">
        <f t="shared" ref="AD143" si="326">K143</f>
        <v>Z08</v>
      </c>
      <c r="AE143" s="121" t="str">
        <f t="shared" ref="AE143" si="327">L143</f>
        <v>Z09</v>
      </c>
      <c r="AF143" s="121" t="str">
        <f t="shared" ref="AF143" si="328">M143</f>
        <v>Z10</v>
      </c>
      <c r="AG143" s="121" t="str">
        <f t="shared" ref="AG143" si="329">N143</f>
        <v>Z11</v>
      </c>
      <c r="AH143" s="121" t="str">
        <f t="shared" ref="AH143" si="330">O143</f>
        <v>Z12</v>
      </c>
      <c r="AI143" s="121" t="str">
        <f t="shared" ref="AI143" si="331">P143</f>
        <v>Z13</v>
      </c>
      <c r="AJ143" s="121" t="str">
        <f t="shared" ref="AJ143" si="332">Q143</f>
        <v>Z14</v>
      </c>
      <c r="AK143" s="121" t="str">
        <f t="shared" ref="AK143" si="333">R143</f>
        <v>Z15</v>
      </c>
      <c r="AL143" s="121" t="s">
        <v>100</v>
      </c>
    </row>
    <row r="144" spans="2:38" x14ac:dyDescent="0.25">
      <c r="B144" s="245" t="str">
        <f>'T_Stock_TOTAL_&amp;_City'!B144</f>
        <v>Electric</v>
      </c>
      <c r="C144" s="245"/>
      <c r="D144" s="680">
        <f>$U144*W144</f>
        <v>0</v>
      </c>
      <c r="E144" s="680">
        <f t="shared" ref="E144:E145" si="334">$U144*X144</f>
        <v>0</v>
      </c>
      <c r="F144" s="680">
        <f t="shared" ref="F144:F145" si="335">$U144*Y144</f>
        <v>0</v>
      </c>
      <c r="G144" s="680">
        <f t="shared" ref="G144:G145" si="336">$U144*Z144</f>
        <v>0</v>
      </c>
      <c r="H144" s="680">
        <f t="shared" ref="H144:H145" si="337">$U144*AA144</f>
        <v>0</v>
      </c>
      <c r="I144" s="680">
        <f t="shared" ref="I144:I145" si="338">$U144*AB144</f>
        <v>0</v>
      </c>
      <c r="J144" s="680">
        <f t="shared" ref="J144:J145" si="339">$U144*AC144</f>
        <v>0</v>
      </c>
      <c r="K144" s="680">
        <f t="shared" ref="K144:K145" si="340">$U144*AD144</f>
        <v>0</v>
      </c>
      <c r="L144" s="680">
        <f t="shared" ref="L144:L145" si="341">$U144*AE144</f>
        <v>0</v>
      </c>
      <c r="M144" s="680">
        <f t="shared" ref="M144:M145" si="342">$U144*AF144</f>
        <v>0</v>
      </c>
      <c r="N144" s="680">
        <f t="shared" ref="N144:N145" si="343">$U144*AG144</f>
        <v>0</v>
      </c>
      <c r="O144" s="680">
        <f t="shared" ref="O144:O145" si="344">$U144*AH144</f>
        <v>0</v>
      </c>
      <c r="P144" s="680">
        <f t="shared" ref="P144:P145" si="345">$U144*AI144</f>
        <v>0</v>
      </c>
      <c r="Q144" s="680">
        <f t="shared" ref="Q144:Q145" si="346">$U144*AJ144</f>
        <v>0</v>
      </c>
      <c r="R144" s="680">
        <f t="shared" ref="R144:R145" si="347">$U144*AK144</f>
        <v>0</v>
      </c>
      <c r="S144" s="680">
        <f t="shared" ref="S144:S145" si="348">$U144*AL144</f>
        <v>0</v>
      </c>
      <c r="U144" s="311">
        <f>'T_Stock_TOTAL_&amp;_City'!U144-'T_Stock_TOTAL_&amp;_City'!V144</f>
        <v>0</v>
      </c>
      <c r="W144" s="520">
        <f t="shared" ref="W144:AK145" si="349">W$6</f>
        <v>0</v>
      </c>
      <c r="X144" s="520">
        <f t="shared" si="349"/>
        <v>0</v>
      </c>
      <c r="Y144" s="520">
        <f t="shared" si="349"/>
        <v>0</v>
      </c>
      <c r="Z144" s="520">
        <f t="shared" si="349"/>
        <v>0</v>
      </c>
      <c r="AA144" s="520">
        <f t="shared" si="349"/>
        <v>0</v>
      </c>
      <c r="AB144" s="520">
        <f t="shared" si="349"/>
        <v>0</v>
      </c>
      <c r="AC144" s="520">
        <f t="shared" si="349"/>
        <v>0</v>
      </c>
      <c r="AD144" s="520">
        <f t="shared" si="349"/>
        <v>0</v>
      </c>
      <c r="AE144" s="520">
        <f t="shared" si="349"/>
        <v>0</v>
      </c>
      <c r="AF144" s="520">
        <f t="shared" si="349"/>
        <v>0</v>
      </c>
      <c r="AG144" s="520">
        <f t="shared" si="349"/>
        <v>0</v>
      </c>
      <c r="AH144" s="520">
        <f t="shared" si="349"/>
        <v>0</v>
      </c>
      <c r="AI144" s="520">
        <f t="shared" si="349"/>
        <v>0</v>
      </c>
      <c r="AJ144" s="520">
        <f t="shared" si="349"/>
        <v>0</v>
      </c>
      <c r="AK144" s="520">
        <f t="shared" si="349"/>
        <v>0</v>
      </c>
      <c r="AL144" s="532">
        <f>SUM(W144:AK144)</f>
        <v>0</v>
      </c>
    </row>
    <row r="145" spans="2:38" x14ac:dyDescent="0.25">
      <c r="B145" s="250" t="s">
        <v>164</v>
      </c>
      <c r="C145" s="250"/>
      <c r="D145" s="444">
        <f t="shared" ref="D145" si="350">$U145*W145</f>
        <v>0</v>
      </c>
      <c r="E145" s="444">
        <f t="shared" si="334"/>
        <v>0</v>
      </c>
      <c r="F145" s="444">
        <f t="shared" si="335"/>
        <v>0</v>
      </c>
      <c r="G145" s="444">
        <f t="shared" si="336"/>
        <v>0</v>
      </c>
      <c r="H145" s="444">
        <f t="shared" si="337"/>
        <v>0</v>
      </c>
      <c r="I145" s="444">
        <f t="shared" si="338"/>
        <v>0</v>
      </c>
      <c r="J145" s="444">
        <f t="shared" si="339"/>
        <v>0</v>
      </c>
      <c r="K145" s="444">
        <f t="shared" si="340"/>
        <v>0</v>
      </c>
      <c r="L145" s="444">
        <f t="shared" si="341"/>
        <v>0</v>
      </c>
      <c r="M145" s="444">
        <f t="shared" si="342"/>
        <v>0</v>
      </c>
      <c r="N145" s="444">
        <f t="shared" si="343"/>
        <v>0</v>
      </c>
      <c r="O145" s="444">
        <f t="shared" si="344"/>
        <v>0</v>
      </c>
      <c r="P145" s="444">
        <f t="shared" si="345"/>
        <v>0</v>
      </c>
      <c r="Q145" s="444">
        <f t="shared" si="346"/>
        <v>0</v>
      </c>
      <c r="R145" s="444">
        <f t="shared" si="347"/>
        <v>0</v>
      </c>
      <c r="S145" s="444">
        <f t="shared" si="348"/>
        <v>0</v>
      </c>
      <c r="U145" s="335">
        <f>'T_Stock_TOTAL_&amp;_City'!U146-'T_Stock_TOTAL_&amp;_City'!V146</f>
        <v>0</v>
      </c>
      <c r="W145" s="520">
        <f t="shared" si="349"/>
        <v>0</v>
      </c>
      <c r="X145" s="520">
        <f t="shared" si="349"/>
        <v>0</v>
      </c>
      <c r="Y145" s="520">
        <f t="shared" si="349"/>
        <v>0</v>
      </c>
      <c r="Z145" s="520">
        <f t="shared" si="349"/>
        <v>0</v>
      </c>
      <c r="AA145" s="520">
        <f t="shared" si="349"/>
        <v>0</v>
      </c>
      <c r="AB145" s="520">
        <f t="shared" si="349"/>
        <v>0</v>
      </c>
      <c r="AC145" s="520">
        <f t="shared" si="349"/>
        <v>0</v>
      </c>
      <c r="AD145" s="520">
        <f t="shared" si="349"/>
        <v>0</v>
      </c>
      <c r="AE145" s="520">
        <f t="shared" si="349"/>
        <v>0</v>
      </c>
      <c r="AF145" s="520">
        <f t="shared" si="349"/>
        <v>0</v>
      </c>
      <c r="AG145" s="520">
        <f t="shared" si="349"/>
        <v>0</v>
      </c>
      <c r="AH145" s="520">
        <f t="shared" si="349"/>
        <v>0</v>
      </c>
      <c r="AI145" s="520">
        <f t="shared" si="349"/>
        <v>0</v>
      </c>
      <c r="AJ145" s="520">
        <f t="shared" si="349"/>
        <v>0</v>
      </c>
      <c r="AK145" s="520">
        <f t="shared" si="349"/>
        <v>0</v>
      </c>
      <c r="AL145" s="532">
        <f t="shared" ref="AL145" si="351">SUM(W145:AK145)</f>
        <v>0</v>
      </c>
    </row>
    <row r="146" spans="2:38" x14ac:dyDescent="0.25">
      <c r="B146" s="131" t="s">
        <v>119</v>
      </c>
      <c r="C146" s="131"/>
      <c r="D146" s="681">
        <f t="shared" ref="D146" si="352">SUM(D144:D145)</f>
        <v>0</v>
      </c>
      <c r="E146" s="681">
        <f t="shared" ref="E146" si="353">SUM(E144:E145)</f>
        <v>0</v>
      </c>
      <c r="F146" s="681">
        <f t="shared" ref="F146" si="354">SUM(F144:F145)</f>
        <v>0</v>
      </c>
      <c r="G146" s="681">
        <f t="shared" ref="G146" si="355">SUM(G144:G145)</f>
        <v>0</v>
      </c>
      <c r="H146" s="681">
        <f t="shared" ref="H146" si="356">SUM(H144:H145)</f>
        <v>0</v>
      </c>
      <c r="I146" s="681">
        <f t="shared" ref="I146" si="357">SUM(I144:I145)</f>
        <v>0</v>
      </c>
      <c r="J146" s="681">
        <f t="shared" ref="J146" si="358">SUM(J144:J145)</f>
        <v>0</v>
      </c>
      <c r="K146" s="681">
        <f t="shared" ref="K146" si="359">SUM(K144:K145)</f>
        <v>0</v>
      </c>
      <c r="L146" s="681">
        <f t="shared" ref="L146" si="360">SUM(L144:L145)</f>
        <v>0</v>
      </c>
      <c r="M146" s="681">
        <f t="shared" ref="M146" si="361">SUM(M144:M145)</f>
        <v>0</v>
      </c>
      <c r="N146" s="681">
        <f t="shared" ref="N146" si="362">SUM(N144:N145)</f>
        <v>0</v>
      </c>
      <c r="O146" s="681">
        <f t="shared" ref="O146" si="363">SUM(O144:O145)</f>
        <v>0</v>
      </c>
      <c r="P146" s="681">
        <f t="shared" ref="P146" si="364">SUM(P144:P145)</f>
        <v>0</v>
      </c>
      <c r="Q146" s="681">
        <f t="shared" ref="Q146" si="365">SUM(Q144:Q145)</f>
        <v>0</v>
      </c>
      <c r="R146" s="681">
        <f>SUM(R144:R145)</f>
        <v>0</v>
      </c>
      <c r="S146" s="681">
        <f>SUM(S144:S145)</f>
        <v>0</v>
      </c>
      <c r="U146" s="130">
        <f>SUM(U144:U145)</f>
        <v>0</v>
      </c>
    </row>
    <row r="148" spans="2:38" x14ac:dyDescent="0.25">
      <c r="B148" s="476" t="s">
        <v>197</v>
      </c>
      <c r="C148" s="339"/>
      <c r="W148" s="3" t="s">
        <v>299</v>
      </c>
    </row>
    <row r="149" spans="2:38" x14ac:dyDescent="0.25">
      <c r="B149" s="476" t="s">
        <v>103</v>
      </c>
      <c r="C149" s="264" t="s">
        <v>104</v>
      </c>
      <c r="D149" s="121" t="str">
        <f>D$9</f>
        <v>Z01</v>
      </c>
      <c r="E149" s="121" t="str">
        <f t="shared" ref="E149:R149" si="366">E$9</f>
        <v>Z02</v>
      </c>
      <c r="F149" s="121" t="str">
        <f t="shared" si="366"/>
        <v>Z03</v>
      </c>
      <c r="G149" s="121" t="str">
        <f t="shared" si="366"/>
        <v>Z04</v>
      </c>
      <c r="H149" s="121" t="str">
        <f t="shared" si="366"/>
        <v>Z05</v>
      </c>
      <c r="I149" s="121" t="str">
        <f t="shared" si="366"/>
        <v>Z06</v>
      </c>
      <c r="J149" s="121" t="str">
        <f t="shared" si="366"/>
        <v>Z07</v>
      </c>
      <c r="K149" s="121" t="str">
        <f t="shared" si="366"/>
        <v>Z08</v>
      </c>
      <c r="L149" s="121" t="str">
        <f t="shared" si="366"/>
        <v>Z09</v>
      </c>
      <c r="M149" s="121" t="str">
        <f t="shared" si="366"/>
        <v>Z10</v>
      </c>
      <c r="N149" s="121" t="str">
        <f t="shared" si="366"/>
        <v>Z11</v>
      </c>
      <c r="O149" s="121" t="str">
        <f t="shared" si="366"/>
        <v>Z12</v>
      </c>
      <c r="P149" s="121" t="str">
        <f t="shared" si="366"/>
        <v>Z13</v>
      </c>
      <c r="Q149" s="121" t="str">
        <f t="shared" si="366"/>
        <v>Z14</v>
      </c>
      <c r="R149" s="121" t="str">
        <f t="shared" si="366"/>
        <v>Z15</v>
      </c>
      <c r="S149" s="121" t="s">
        <v>100</v>
      </c>
      <c r="U149" s="17" t="str">
        <f>U$9</f>
        <v>Private stock</v>
      </c>
      <c r="W149" s="121" t="str">
        <f t="shared" ref="W149" si="367">D149</f>
        <v>Z01</v>
      </c>
      <c r="X149" s="121" t="str">
        <f t="shared" ref="X149" si="368">E149</f>
        <v>Z02</v>
      </c>
      <c r="Y149" s="121" t="str">
        <f t="shared" ref="Y149" si="369">F149</f>
        <v>Z03</v>
      </c>
      <c r="Z149" s="121" t="str">
        <f t="shared" ref="Z149" si="370">G149</f>
        <v>Z04</v>
      </c>
      <c r="AA149" s="121" t="str">
        <f t="shared" ref="AA149" si="371">H149</f>
        <v>Z05</v>
      </c>
      <c r="AB149" s="121" t="str">
        <f t="shared" ref="AB149" si="372">I149</f>
        <v>Z06</v>
      </c>
      <c r="AC149" s="121" t="str">
        <f t="shared" ref="AC149" si="373">J149</f>
        <v>Z07</v>
      </c>
      <c r="AD149" s="121" t="str">
        <f t="shared" ref="AD149" si="374">K149</f>
        <v>Z08</v>
      </c>
      <c r="AE149" s="121" t="str">
        <f t="shared" ref="AE149" si="375">L149</f>
        <v>Z09</v>
      </c>
      <c r="AF149" s="121" t="str">
        <f t="shared" ref="AF149" si="376">M149</f>
        <v>Z10</v>
      </c>
      <c r="AG149" s="121" t="str">
        <f t="shared" ref="AG149" si="377">N149</f>
        <v>Z11</v>
      </c>
      <c r="AH149" s="121" t="str">
        <f t="shared" ref="AH149" si="378">O149</f>
        <v>Z12</v>
      </c>
      <c r="AI149" s="121" t="str">
        <f t="shared" ref="AI149" si="379">P149</f>
        <v>Z13</v>
      </c>
      <c r="AJ149" s="121" t="str">
        <f t="shared" ref="AJ149" si="380">Q149</f>
        <v>Z14</v>
      </c>
      <c r="AK149" s="121" t="str">
        <f t="shared" ref="AK149" si="381">R149</f>
        <v>Z15</v>
      </c>
      <c r="AL149" s="121" t="s">
        <v>100</v>
      </c>
    </row>
    <row r="150" spans="2:38" x14ac:dyDescent="0.25">
      <c r="B150" s="250" t="str">
        <f>'T_Stock_TOTAL_&amp;_City'!B150</f>
        <v>Electric</v>
      </c>
      <c r="C150" s="250"/>
      <c r="D150" s="444">
        <f>$U150*W150</f>
        <v>0</v>
      </c>
      <c r="E150" s="444">
        <f t="shared" ref="E150:S150" si="382">$U150*X150</f>
        <v>0</v>
      </c>
      <c r="F150" s="444">
        <f t="shared" si="382"/>
        <v>0</v>
      </c>
      <c r="G150" s="444">
        <f t="shared" si="382"/>
        <v>0</v>
      </c>
      <c r="H150" s="444">
        <f t="shared" si="382"/>
        <v>0</v>
      </c>
      <c r="I150" s="444">
        <f t="shared" si="382"/>
        <v>0</v>
      </c>
      <c r="J150" s="444">
        <f t="shared" si="382"/>
        <v>0</v>
      </c>
      <c r="K150" s="444">
        <f t="shared" si="382"/>
        <v>0</v>
      </c>
      <c r="L150" s="444">
        <f t="shared" si="382"/>
        <v>0</v>
      </c>
      <c r="M150" s="444">
        <f t="shared" si="382"/>
        <v>0</v>
      </c>
      <c r="N150" s="444">
        <f t="shared" si="382"/>
        <v>0</v>
      </c>
      <c r="O150" s="444">
        <f t="shared" si="382"/>
        <v>0</v>
      </c>
      <c r="P150" s="444">
        <f t="shared" si="382"/>
        <v>0</v>
      </c>
      <c r="Q150" s="444">
        <f t="shared" si="382"/>
        <v>0</v>
      </c>
      <c r="R150" s="444">
        <f t="shared" si="382"/>
        <v>0</v>
      </c>
      <c r="S150" s="444">
        <f t="shared" si="382"/>
        <v>0</v>
      </c>
      <c r="U150" s="335">
        <f>'T_Stock_TOTAL_&amp;_City'!U144-'T_Stock_TOTAL_&amp;_City'!V144</f>
        <v>0</v>
      </c>
      <c r="W150" s="520">
        <f t="shared" ref="W150:AK150" si="383">W$6</f>
        <v>0</v>
      </c>
      <c r="X150" s="520">
        <f t="shared" si="383"/>
        <v>0</v>
      </c>
      <c r="Y150" s="520">
        <f t="shared" si="383"/>
        <v>0</v>
      </c>
      <c r="Z150" s="520">
        <f t="shared" si="383"/>
        <v>0</v>
      </c>
      <c r="AA150" s="520">
        <f t="shared" si="383"/>
        <v>0</v>
      </c>
      <c r="AB150" s="520">
        <f t="shared" si="383"/>
        <v>0</v>
      </c>
      <c r="AC150" s="520">
        <f t="shared" si="383"/>
        <v>0</v>
      </c>
      <c r="AD150" s="520">
        <f t="shared" si="383"/>
        <v>0</v>
      </c>
      <c r="AE150" s="520">
        <f t="shared" si="383"/>
        <v>0</v>
      </c>
      <c r="AF150" s="520">
        <f t="shared" si="383"/>
        <v>0</v>
      </c>
      <c r="AG150" s="520">
        <f t="shared" si="383"/>
        <v>0</v>
      </c>
      <c r="AH150" s="520">
        <f t="shared" si="383"/>
        <v>0</v>
      </c>
      <c r="AI150" s="520">
        <f t="shared" si="383"/>
        <v>0</v>
      </c>
      <c r="AJ150" s="520">
        <f t="shared" si="383"/>
        <v>0</v>
      </c>
      <c r="AK150" s="520">
        <f t="shared" si="383"/>
        <v>0</v>
      </c>
      <c r="AL150" s="532">
        <f t="shared" ref="AL150" si="384">SUM(W150:AK150)</f>
        <v>0</v>
      </c>
    </row>
    <row r="151" spans="2:38" x14ac:dyDescent="0.25">
      <c r="B151" s="131" t="s">
        <v>119</v>
      </c>
      <c r="C151" s="131"/>
      <c r="D151" s="681">
        <f t="shared" ref="D151:S151" si="385">SUM(D150:D150)</f>
        <v>0</v>
      </c>
      <c r="E151" s="681">
        <f t="shared" si="385"/>
        <v>0</v>
      </c>
      <c r="F151" s="681">
        <f t="shared" si="385"/>
        <v>0</v>
      </c>
      <c r="G151" s="681">
        <f t="shared" si="385"/>
        <v>0</v>
      </c>
      <c r="H151" s="681">
        <f t="shared" si="385"/>
        <v>0</v>
      </c>
      <c r="I151" s="681">
        <f t="shared" si="385"/>
        <v>0</v>
      </c>
      <c r="J151" s="681">
        <f t="shared" si="385"/>
        <v>0</v>
      </c>
      <c r="K151" s="681">
        <f t="shared" si="385"/>
        <v>0</v>
      </c>
      <c r="L151" s="681">
        <f t="shared" si="385"/>
        <v>0</v>
      </c>
      <c r="M151" s="681">
        <f t="shared" si="385"/>
        <v>0</v>
      </c>
      <c r="N151" s="681">
        <f t="shared" si="385"/>
        <v>0</v>
      </c>
      <c r="O151" s="681">
        <f t="shared" si="385"/>
        <v>0</v>
      </c>
      <c r="P151" s="681">
        <f t="shared" si="385"/>
        <v>0</v>
      </c>
      <c r="Q151" s="681">
        <f t="shared" si="385"/>
        <v>0</v>
      </c>
      <c r="R151" s="681">
        <f t="shared" si="385"/>
        <v>0</v>
      </c>
      <c r="S151" s="681">
        <f t="shared" si="385"/>
        <v>0</v>
      </c>
      <c r="U151" s="130">
        <f>SUM(U150:U150)</f>
        <v>0</v>
      </c>
    </row>
    <row r="153" spans="2:38" x14ac:dyDescent="0.25">
      <c r="B153" s="476" t="s">
        <v>169</v>
      </c>
      <c r="C153" s="339"/>
      <c r="W153" s="3" t="s">
        <v>299</v>
      </c>
    </row>
    <row r="154" spans="2:38" x14ac:dyDescent="0.25">
      <c r="B154" s="476" t="s">
        <v>103</v>
      </c>
      <c r="C154" s="264" t="s">
        <v>104</v>
      </c>
      <c r="D154" s="121" t="str">
        <f>D$9</f>
        <v>Z01</v>
      </c>
      <c r="E154" s="121" t="str">
        <f t="shared" ref="E154:R154" si="386">E$9</f>
        <v>Z02</v>
      </c>
      <c r="F154" s="121" t="str">
        <f t="shared" si="386"/>
        <v>Z03</v>
      </c>
      <c r="G154" s="121" t="str">
        <f t="shared" si="386"/>
        <v>Z04</v>
      </c>
      <c r="H154" s="121" t="str">
        <f t="shared" si="386"/>
        <v>Z05</v>
      </c>
      <c r="I154" s="121" t="str">
        <f t="shared" si="386"/>
        <v>Z06</v>
      </c>
      <c r="J154" s="121" t="str">
        <f t="shared" si="386"/>
        <v>Z07</v>
      </c>
      <c r="K154" s="121" t="str">
        <f t="shared" si="386"/>
        <v>Z08</v>
      </c>
      <c r="L154" s="121" t="str">
        <f t="shared" si="386"/>
        <v>Z09</v>
      </c>
      <c r="M154" s="121" t="str">
        <f t="shared" si="386"/>
        <v>Z10</v>
      </c>
      <c r="N154" s="121" t="str">
        <f t="shared" si="386"/>
        <v>Z11</v>
      </c>
      <c r="O154" s="121" t="str">
        <f t="shared" si="386"/>
        <v>Z12</v>
      </c>
      <c r="P154" s="121" t="str">
        <f t="shared" si="386"/>
        <v>Z13</v>
      </c>
      <c r="Q154" s="121" t="str">
        <f t="shared" si="386"/>
        <v>Z14</v>
      </c>
      <c r="R154" s="121" t="str">
        <f t="shared" si="386"/>
        <v>Z15</v>
      </c>
      <c r="S154" s="121" t="s">
        <v>100</v>
      </c>
      <c r="U154" s="17" t="str">
        <f>U$9</f>
        <v>Private stock</v>
      </c>
      <c r="W154" s="121" t="str">
        <f t="shared" ref="W154" si="387">D154</f>
        <v>Z01</v>
      </c>
      <c r="X154" s="121" t="str">
        <f t="shared" ref="X154" si="388">E154</f>
        <v>Z02</v>
      </c>
      <c r="Y154" s="121" t="str">
        <f t="shared" ref="Y154" si="389">F154</f>
        <v>Z03</v>
      </c>
      <c r="Z154" s="121" t="str">
        <f t="shared" ref="Z154" si="390">G154</f>
        <v>Z04</v>
      </c>
      <c r="AA154" s="121" t="str">
        <f t="shared" ref="AA154" si="391">H154</f>
        <v>Z05</v>
      </c>
      <c r="AB154" s="121" t="str">
        <f t="shared" ref="AB154" si="392">I154</f>
        <v>Z06</v>
      </c>
      <c r="AC154" s="121" t="str">
        <f t="shared" ref="AC154" si="393">J154</f>
        <v>Z07</v>
      </c>
      <c r="AD154" s="121" t="str">
        <f t="shared" ref="AD154" si="394">K154</f>
        <v>Z08</v>
      </c>
      <c r="AE154" s="121" t="str">
        <f t="shared" ref="AE154" si="395">L154</f>
        <v>Z09</v>
      </c>
      <c r="AF154" s="121" t="str">
        <f t="shared" ref="AF154" si="396">M154</f>
        <v>Z10</v>
      </c>
      <c r="AG154" s="121" t="str">
        <f t="shared" ref="AG154" si="397">N154</f>
        <v>Z11</v>
      </c>
      <c r="AH154" s="121" t="str">
        <f t="shared" ref="AH154" si="398">O154</f>
        <v>Z12</v>
      </c>
      <c r="AI154" s="121" t="str">
        <f t="shared" ref="AI154" si="399">P154</f>
        <v>Z13</v>
      </c>
      <c r="AJ154" s="121" t="str">
        <f t="shared" ref="AJ154" si="400">Q154</f>
        <v>Z14</v>
      </c>
      <c r="AK154" s="121" t="str">
        <f t="shared" ref="AK154" si="401">R154</f>
        <v>Z15</v>
      </c>
      <c r="AL154" s="121" t="s">
        <v>100</v>
      </c>
    </row>
    <row r="155" spans="2:38" x14ac:dyDescent="0.25">
      <c r="B155" s="250" t="str">
        <f>'T_Stock_TOTAL_&amp;_City'!B155</f>
        <v>Electric</v>
      </c>
      <c r="C155" s="250"/>
      <c r="D155" s="444">
        <f>$U155*W155</f>
        <v>0</v>
      </c>
      <c r="E155" s="444">
        <f t="shared" ref="E155:S155" si="402">$U155*X155</f>
        <v>0</v>
      </c>
      <c r="F155" s="444">
        <f t="shared" si="402"/>
        <v>0</v>
      </c>
      <c r="G155" s="444">
        <f t="shared" si="402"/>
        <v>0</v>
      </c>
      <c r="H155" s="444">
        <f t="shared" si="402"/>
        <v>0</v>
      </c>
      <c r="I155" s="444">
        <f t="shared" si="402"/>
        <v>0</v>
      </c>
      <c r="J155" s="444">
        <f t="shared" si="402"/>
        <v>0</v>
      </c>
      <c r="K155" s="444">
        <f t="shared" si="402"/>
        <v>0</v>
      </c>
      <c r="L155" s="444">
        <f t="shared" si="402"/>
        <v>0</v>
      </c>
      <c r="M155" s="444">
        <f t="shared" si="402"/>
        <v>0</v>
      </c>
      <c r="N155" s="444">
        <f t="shared" si="402"/>
        <v>0</v>
      </c>
      <c r="O155" s="444">
        <f t="shared" si="402"/>
        <v>0</v>
      </c>
      <c r="P155" s="444">
        <f t="shared" si="402"/>
        <v>0</v>
      </c>
      <c r="Q155" s="444">
        <f t="shared" si="402"/>
        <v>0</v>
      </c>
      <c r="R155" s="444">
        <f t="shared" si="402"/>
        <v>0</v>
      </c>
      <c r="S155" s="444">
        <f t="shared" si="402"/>
        <v>0</v>
      </c>
      <c r="U155" s="335">
        <f>'T_Stock_TOTAL_&amp;_City'!U155-'T_Stock_TOTAL_&amp;_City'!V155</f>
        <v>0</v>
      </c>
      <c r="W155" s="520">
        <f t="shared" ref="W155:AK155" si="403">W$6</f>
        <v>0</v>
      </c>
      <c r="X155" s="520">
        <f t="shared" si="403"/>
        <v>0</v>
      </c>
      <c r="Y155" s="520">
        <f t="shared" si="403"/>
        <v>0</v>
      </c>
      <c r="Z155" s="520">
        <f t="shared" si="403"/>
        <v>0</v>
      </c>
      <c r="AA155" s="520">
        <f t="shared" si="403"/>
        <v>0</v>
      </c>
      <c r="AB155" s="520">
        <f t="shared" si="403"/>
        <v>0</v>
      </c>
      <c r="AC155" s="520">
        <f t="shared" si="403"/>
        <v>0</v>
      </c>
      <c r="AD155" s="520">
        <f t="shared" si="403"/>
        <v>0</v>
      </c>
      <c r="AE155" s="520">
        <f t="shared" si="403"/>
        <v>0</v>
      </c>
      <c r="AF155" s="520">
        <f t="shared" si="403"/>
        <v>0</v>
      </c>
      <c r="AG155" s="520">
        <f t="shared" si="403"/>
        <v>0</v>
      </c>
      <c r="AH155" s="520">
        <f t="shared" si="403"/>
        <v>0</v>
      </c>
      <c r="AI155" s="520">
        <f t="shared" si="403"/>
        <v>0</v>
      </c>
      <c r="AJ155" s="520">
        <f t="shared" si="403"/>
        <v>0</v>
      </c>
      <c r="AK155" s="520">
        <f t="shared" si="403"/>
        <v>0</v>
      </c>
      <c r="AL155" s="532">
        <f t="shared" ref="AL155" si="404">SUM(W155:AK155)</f>
        <v>0</v>
      </c>
    </row>
    <row r="156" spans="2:38" x14ac:dyDescent="0.25">
      <c r="B156" s="131" t="s">
        <v>119</v>
      </c>
      <c r="C156" s="131"/>
      <c r="D156" s="681">
        <f t="shared" ref="D156:S156" si="405">SUM(D155:D155)</f>
        <v>0</v>
      </c>
      <c r="E156" s="681">
        <f t="shared" si="405"/>
        <v>0</v>
      </c>
      <c r="F156" s="681">
        <f t="shared" si="405"/>
        <v>0</v>
      </c>
      <c r="G156" s="681">
        <f t="shared" si="405"/>
        <v>0</v>
      </c>
      <c r="H156" s="681">
        <f t="shared" si="405"/>
        <v>0</v>
      </c>
      <c r="I156" s="681">
        <f t="shared" si="405"/>
        <v>0</v>
      </c>
      <c r="J156" s="681">
        <f t="shared" si="405"/>
        <v>0</v>
      </c>
      <c r="K156" s="681">
        <f t="shared" si="405"/>
        <v>0</v>
      </c>
      <c r="L156" s="681">
        <f t="shared" si="405"/>
        <v>0</v>
      </c>
      <c r="M156" s="681">
        <f t="shared" si="405"/>
        <v>0</v>
      </c>
      <c r="N156" s="681">
        <f t="shared" si="405"/>
        <v>0</v>
      </c>
      <c r="O156" s="681">
        <f t="shared" si="405"/>
        <v>0</v>
      </c>
      <c r="P156" s="681">
        <f t="shared" si="405"/>
        <v>0</v>
      </c>
      <c r="Q156" s="681">
        <f t="shared" si="405"/>
        <v>0</v>
      </c>
      <c r="R156" s="681">
        <f t="shared" si="405"/>
        <v>0</v>
      </c>
      <c r="S156" s="681">
        <f t="shared" si="405"/>
        <v>0</v>
      </c>
      <c r="U156" s="130">
        <f>SUM(U155:U155)</f>
        <v>0</v>
      </c>
    </row>
    <row r="158" spans="2:38" x14ac:dyDescent="0.25">
      <c r="B158" s="476" t="s">
        <v>170</v>
      </c>
      <c r="C158" s="339"/>
      <c r="W158" s="3" t="s">
        <v>299</v>
      </c>
    </row>
    <row r="159" spans="2:38" x14ac:dyDescent="0.25">
      <c r="B159" s="476" t="s">
        <v>103</v>
      </c>
      <c r="C159" s="264" t="s">
        <v>104</v>
      </c>
      <c r="D159" s="121" t="str">
        <f>D$9</f>
        <v>Z01</v>
      </c>
      <c r="E159" s="121" t="str">
        <f t="shared" ref="E159:R159" si="406">E$9</f>
        <v>Z02</v>
      </c>
      <c r="F159" s="121" t="str">
        <f t="shared" si="406"/>
        <v>Z03</v>
      </c>
      <c r="G159" s="121" t="str">
        <f t="shared" si="406"/>
        <v>Z04</v>
      </c>
      <c r="H159" s="121" t="str">
        <f t="shared" si="406"/>
        <v>Z05</v>
      </c>
      <c r="I159" s="121" t="str">
        <f t="shared" si="406"/>
        <v>Z06</v>
      </c>
      <c r="J159" s="121" t="str">
        <f t="shared" si="406"/>
        <v>Z07</v>
      </c>
      <c r="K159" s="121" t="str">
        <f t="shared" si="406"/>
        <v>Z08</v>
      </c>
      <c r="L159" s="121" t="str">
        <f t="shared" si="406"/>
        <v>Z09</v>
      </c>
      <c r="M159" s="121" t="str">
        <f t="shared" si="406"/>
        <v>Z10</v>
      </c>
      <c r="N159" s="121" t="str">
        <f t="shared" si="406"/>
        <v>Z11</v>
      </c>
      <c r="O159" s="121" t="str">
        <f t="shared" si="406"/>
        <v>Z12</v>
      </c>
      <c r="P159" s="121" t="str">
        <f t="shared" si="406"/>
        <v>Z13</v>
      </c>
      <c r="Q159" s="121" t="str">
        <f t="shared" si="406"/>
        <v>Z14</v>
      </c>
      <c r="R159" s="121" t="str">
        <f t="shared" si="406"/>
        <v>Z15</v>
      </c>
      <c r="S159" s="121" t="s">
        <v>100</v>
      </c>
      <c r="U159" s="17" t="str">
        <f>U$9</f>
        <v>Private stock</v>
      </c>
      <c r="W159" s="121" t="str">
        <f t="shared" ref="W159:AK159" si="407">D159</f>
        <v>Z01</v>
      </c>
      <c r="X159" s="121" t="str">
        <f t="shared" si="407"/>
        <v>Z02</v>
      </c>
      <c r="Y159" s="121" t="str">
        <f t="shared" si="407"/>
        <v>Z03</v>
      </c>
      <c r="Z159" s="121" t="str">
        <f t="shared" si="407"/>
        <v>Z04</v>
      </c>
      <c r="AA159" s="121" t="str">
        <f t="shared" si="407"/>
        <v>Z05</v>
      </c>
      <c r="AB159" s="121" t="str">
        <f t="shared" si="407"/>
        <v>Z06</v>
      </c>
      <c r="AC159" s="121" t="str">
        <f t="shared" si="407"/>
        <v>Z07</v>
      </c>
      <c r="AD159" s="121" t="str">
        <f t="shared" si="407"/>
        <v>Z08</v>
      </c>
      <c r="AE159" s="121" t="str">
        <f t="shared" si="407"/>
        <v>Z09</v>
      </c>
      <c r="AF159" s="121" t="str">
        <f t="shared" si="407"/>
        <v>Z10</v>
      </c>
      <c r="AG159" s="121" t="str">
        <f t="shared" si="407"/>
        <v>Z11</v>
      </c>
      <c r="AH159" s="121" t="str">
        <f t="shared" si="407"/>
        <v>Z12</v>
      </c>
      <c r="AI159" s="121" t="str">
        <f t="shared" si="407"/>
        <v>Z13</v>
      </c>
      <c r="AJ159" s="121" t="str">
        <f t="shared" si="407"/>
        <v>Z14</v>
      </c>
      <c r="AK159" s="121" t="str">
        <f t="shared" si="407"/>
        <v>Z15</v>
      </c>
      <c r="AL159" s="121" t="s">
        <v>100</v>
      </c>
    </row>
    <row r="160" spans="2:38" x14ac:dyDescent="0.25">
      <c r="B160" s="250" t="s">
        <v>164</v>
      </c>
      <c r="C160" s="250" t="s">
        <v>382</v>
      </c>
      <c r="D160" s="444">
        <f>$U160*W160</f>
        <v>0</v>
      </c>
      <c r="E160" s="497">
        <f t="shared" ref="E160:S160" si="408">$U160*X160</f>
        <v>0</v>
      </c>
      <c r="F160" s="497">
        <f t="shared" si="408"/>
        <v>0</v>
      </c>
      <c r="G160" s="497">
        <f t="shared" si="408"/>
        <v>0</v>
      </c>
      <c r="H160" s="497">
        <f t="shared" si="408"/>
        <v>0</v>
      </c>
      <c r="I160" s="497">
        <f t="shared" si="408"/>
        <v>0</v>
      </c>
      <c r="J160" s="497">
        <f t="shared" si="408"/>
        <v>0</v>
      </c>
      <c r="K160" s="497">
        <f t="shared" si="408"/>
        <v>0</v>
      </c>
      <c r="L160" s="497">
        <f t="shared" si="408"/>
        <v>0</v>
      </c>
      <c r="M160" s="497">
        <f t="shared" si="408"/>
        <v>0</v>
      </c>
      <c r="N160" s="497">
        <f t="shared" si="408"/>
        <v>0</v>
      </c>
      <c r="O160" s="497">
        <f t="shared" si="408"/>
        <v>0</v>
      </c>
      <c r="P160" s="497">
        <f t="shared" si="408"/>
        <v>0</v>
      </c>
      <c r="Q160" s="497">
        <f t="shared" si="408"/>
        <v>0</v>
      </c>
      <c r="R160" s="497">
        <f t="shared" si="408"/>
        <v>0</v>
      </c>
      <c r="S160" s="444">
        <f t="shared" si="408"/>
        <v>0</v>
      </c>
      <c r="U160" s="335">
        <f>'T_Stock_TOTAL_&amp;_City'!U160-'T_Stock_TOTAL_&amp;_City'!V160</f>
        <v>0</v>
      </c>
      <c r="W160" s="520">
        <f t="shared" ref="W160:AK160" si="409">W$6</f>
        <v>0</v>
      </c>
      <c r="X160" s="520">
        <f t="shared" si="409"/>
        <v>0</v>
      </c>
      <c r="Y160" s="520">
        <f t="shared" si="409"/>
        <v>0</v>
      </c>
      <c r="Z160" s="520">
        <f t="shared" si="409"/>
        <v>0</v>
      </c>
      <c r="AA160" s="520">
        <f t="shared" si="409"/>
        <v>0</v>
      </c>
      <c r="AB160" s="520">
        <f t="shared" si="409"/>
        <v>0</v>
      </c>
      <c r="AC160" s="520">
        <f t="shared" si="409"/>
        <v>0</v>
      </c>
      <c r="AD160" s="520">
        <f t="shared" si="409"/>
        <v>0</v>
      </c>
      <c r="AE160" s="520">
        <f t="shared" si="409"/>
        <v>0</v>
      </c>
      <c r="AF160" s="520">
        <f t="shared" si="409"/>
        <v>0</v>
      </c>
      <c r="AG160" s="520">
        <f t="shared" si="409"/>
        <v>0</v>
      </c>
      <c r="AH160" s="520">
        <f t="shared" si="409"/>
        <v>0</v>
      </c>
      <c r="AI160" s="520">
        <f t="shared" si="409"/>
        <v>0</v>
      </c>
      <c r="AJ160" s="520">
        <f t="shared" si="409"/>
        <v>0</v>
      </c>
      <c r="AK160" s="520">
        <f t="shared" si="409"/>
        <v>0</v>
      </c>
      <c r="AL160" s="532">
        <f t="shared" ref="AL160" si="410">SUM(W160:AK160)</f>
        <v>0</v>
      </c>
    </row>
    <row r="161" spans="2:38" x14ac:dyDescent="0.25">
      <c r="B161" s="131" t="s">
        <v>119</v>
      </c>
      <c r="C161" s="131"/>
      <c r="D161" s="130">
        <f t="shared" ref="D161:S161" si="411">SUM(D160:D160)</f>
        <v>0</v>
      </c>
      <c r="E161" s="130">
        <f t="shared" si="411"/>
        <v>0</v>
      </c>
      <c r="F161" s="130">
        <f t="shared" si="411"/>
        <v>0</v>
      </c>
      <c r="G161" s="130">
        <f t="shared" si="411"/>
        <v>0</v>
      </c>
      <c r="H161" s="130">
        <f t="shared" si="411"/>
        <v>0</v>
      </c>
      <c r="I161" s="130">
        <f t="shared" si="411"/>
        <v>0</v>
      </c>
      <c r="J161" s="130">
        <f t="shared" si="411"/>
        <v>0</v>
      </c>
      <c r="K161" s="130">
        <f t="shared" si="411"/>
        <v>0</v>
      </c>
      <c r="L161" s="130">
        <f t="shared" si="411"/>
        <v>0</v>
      </c>
      <c r="M161" s="130">
        <f t="shared" si="411"/>
        <v>0</v>
      </c>
      <c r="N161" s="130">
        <f t="shared" si="411"/>
        <v>0</v>
      </c>
      <c r="O161" s="130">
        <f t="shared" si="411"/>
        <v>0</v>
      </c>
      <c r="P161" s="130">
        <f t="shared" si="411"/>
        <v>0</v>
      </c>
      <c r="Q161" s="130">
        <f t="shared" si="411"/>
        <v>0</v>
      </c>
      <c r="R161" s="130">
        <f t="shared" si="411"/>
        <v>0</v>
      </c>
      <c r="S161" s="130">
        <f t="shared" si="411"/>
        <v>0</v>
      </c>
      <c r="U161" s="130">
        <f>U160</f>
        <v>0</v>
      </c>
    </row>
    <row r="163" spans="2:38" x14ac:dyDescent="0.25">
      <c r="B163" s="476" t="s">
        <v>172</v>
      </c>
      <c r="C163" s="339"/>
      <c r="W163" s="3" t="s">
        <v>299</v>
      </c>
    </row>
    <row r="164" spans="2:38" x14ac:dyDescent="0.25">
      <c r="B164" s="476" t="s">
        <v>103</v>
      </c>
      <c r="C164" s="264" t="s">
        <v>104</v>
      </c>
      <c r="D164" s="121" t="str">
        <f>D$9</f>
        <v>Z01</v>
      </c>
      <c r="E164" s="121" t="str">
        <f t="shared" ref="E164:R164" si="412">E$9</f>
        <v>Z02</v>
      </c>
      <c r="F164" s="121" t="str">
        <f t="shared" si="412"/>
        <v>Z03</v>
      </c>
      <c r="G164" s="121" t="str">
        <f t="shared" si="412"/>
        <v>Z04</v>
      </c>
      <c r="H164" s="121" t="str">
        <f t="shared" si="412"/>
        <v>Z05</v>
      </c>
      <c r="I164" s="121" t="str">
        <f t="shared" si="412"/>
        <v>Z06</v>
      </c>
      <c r="J164" s="121" t="str">
        <f t="shared" si="412"/>
        <v>Z07</v>
      </c>
      <c r="K164" s="121" t="str">
        <f t="shared" si="412"/>
        <v>Z08</v>
      </c>
      <c r="L164" s="121" t="str">
        <f t="shared" si="412"/>
        <v>Z09</v>
      </c>
      <c r="M164" s="121" t="str">
        <f t="shared" si="412"/>
        <v>Z10</v>
      </c>
      <c r="N164" s="121" t="str">
        <f t="shared" si="412"/>
        <v>Z11</v>
      </c>
      <c r="O164" s="121" t="str">
        <f t="shared" si="412"/>
        <v>Z12</v>
      </c>
      <c r="P164" s="121" t="str">
        <f t="shared" si="412"/>
        <v>Z13</v>
      </c>
      <c r="Q164" s="121" t="str">
        <f t="shared" si="412"/>
        <v>Z14</v>
      </c>
      <c r="R164" s="121" t="str">
        <f t="shared" si="412"/>
        <v>Z15</v>
      </c>
      <c r="S164" s="121" t="s">
        <v>100</v>
      </c>
      <c r="U164" s="17" t="str">
        <f>U$9</f>
        <v>Private stock</v>
      </c>
      <c r="W164" s="121" t="str">
        <f t="shared" ref="W164:AK164" si="413">D164</f>
        <v>Z01</v>
      </c>
      <c r="X164" s="121" t="str">
        <f t="shared" si="413"/>
        <v>Z02</v>
      </c>
      <c r="Y164" s="121" t="str">
        <f t="shared" si="413"/>
        <v>Z03</v>
      </c>
      <c r="Z164" s="121" t="str">
        <f t="shared" si="413"/>
        <v>Z04</v>
      </c>
      <c r="AA164" s="121" t="str">
        <f t="shared" si="413"/>
        <v>Z05</v>
      </c>
      <c r="AB164" s="121" t="str">
        <f t="shared" si="413"/>
        <v>Z06</v>
      </c>
      <c r="AC164" s="121" t="str">
        <f t="shared" si="413"/>
        <v>Z07</v>
      </c>
      <c r="AD164" s="121" t="str">
        <f t="shared" si="413"/>
        <v>Z08</v>
      </c>
      <c r="AE164" s="121" t="str">
        <f t="shared" si="413"/>
        <v>Z09</v>
      </c>
      <c r="AF164" s="121" t="str">
        <f t="shared" si="413"/>
        <v>Z10</v>
      </c>
      <c r="AG164" s="121" t="str">
        <f t="shared" si="413"/>
        <v>Z11</v>
      </c>
      <c r="AH164" s="121" t="str">
        <f t="shared" si="413"/>
        <v>Z12</v>
      </c>
      <c r="AI164" s="121" t="str">
        <f t="shared" si="413"/>
        <v>Z13</v>
      </c>
      <c r="AJ164" s="121" t="str">
        <f t="shared" si="413"/>
        <v>Z14</v>
      </c>
      <c r="AK164" s="121" t="str">
        <f t="shared" si="413"/>
        <v>Z15</v>
      </c>
      <c r="AL164" s="121" t="s">
        <v>100</v>
      </c>
    </row>
    <row r="165" spans="2:38" s="123" customFormat="1" x14ac:dyDescent="0.25">
      <c r="B165" s="385" t="s">
        <v>178</v>
      </c>
      <c r="C165" s="403" t="s">
        <v>216</v>
      </c>
      <c r="D165" s="684">
        <f>$U165*W165</f>
        <v>0</v>
      </c>
      <c r="E165" s="684">
        <f t="shared" ref="E165:E175" si="414">$U165*X165</f>
        <v>0</v>
      </c>
      <c r="F165" s="684">
        <f t="shared" ref="F165:F175" si="415">$U165*Y165</f>
        <v>0</v>
      </c>
      <c r="G165" s="684">
        <f t="shared" ref="G165:G175" si="416">$U165*Z165</f>
        <v>0</v>
      </c>
      <c r="H165" s="684">
        <f t="shared" ref="H165:H175" si="417">$U165*AA165</f>
        <v>0</v>
      </c>
      <c r="I165" s="684">
        <f t="shared" ref="I165:I175" si="418">$U165*AB165</f>
        <v>0</v>
      </c>
      <c r="J165" s="684">
        <f t="shared" ref="J165:J175" si="419">$U165*AC165</f>
        <v>0</v>
      </c>
      <c r="K165" s="684">
        <f t="shared" ref="K165:K175" si="420">$U165*AD165</f>
        <v>0</v>
      </c>
      <c r="L165" s="684">
        <f t="shared" ref="L165:L175" si="421">$U165*AE165</f>
        <v>0</v>
      </c>
      <c r="M165" s="684">
        <f t="shared" ref="M165:M175" si="422">$U165*AF165</f>
        <v>0</v>
      </c>
      <c r="N165" s="684">
        <f t="shared" ref="N165:N175" si="423">$U165*AG165</f>
        <v>0</v>
      </c>
      <c r="O165" s="684">
        <f t="shared" ref="O165:O175" si="424">$U165*AH165</f>
        <v>0</v>
      </c>
      <c r="P165" s="684">
        <f t="shared" ref="P165:P175" si="425">$U165*AI165</f>
        <v>0</v>
      </c>
      <c r="Q165" s="684">
        <f t="shared" ref="Q165:Q175" si="426">$U165*AJ165</f>
        <v>0</v>
      </c>
      <c r="R165" s="684">
        <f t="shared" ref="R165:R175" si="427">$U165*AK165</f>
        <v>0</v>
      </c>
      <c r="S165" s="684">
        <f t="shared" ref="S165:S175" si="428">$U165*AL165</f>
        <v>0</v>
      </c>
      <c r="U165" s="534">
        <f>'T_Stock_TOTAL_&amp;_City'!U165-'T_Stock_TOTAL_&amp;_City'!V165</f>
        <v>0</v>
      </c>
      <c r="W165" s="521">
        <f t="shared" ref="W165:AK175" si="429">W$6</f>
        <v>0</v>
      </c>
      <c r="X165" s="521">
        <f t="shared" si="429"/>
        <v>0</v>
      </c>
      <c r="Y165" s="521">
        <f t="shared" si="429"/>
        <v>0</v>
      </c>
      <c r="Z165" s="521">
        <f t="shared" si="429"/>
        <v>0</v>
      </c>
      <c r="AA165" s="521">
        <f t="shared" si="429"/>
        <v>0</v>
      </c>
      <c r="AB165" s="521">
        <f t="shared" si="429"/>
        <v>0</v>
      </c>
      <c r="AC165" s="521">
        <f t="shared" si="429"/>
        <v>0</v>
      </c>
      <c r="AD165" s="521">
        <f t="shared" si="429"/>
        <v>0</v>
      </c>
      <c r="AE165" s="521">
        <f t="shared" si="429"/>
        <v>0</v>
      </c>
      <c r="AF165" s="521">
        <f t="shared" si="429"/>
        <v>0</v>
      </c>
      <c r="AG165" s="521">
        <f t="shared" si="429"/>
        <v>0</v>
      </c>
      <c r="AH165" s="521">
        <f t="shared" si="429"/>
        <v>0</v>
      </c>
      <c r="AI165" s="521">
        <f t="shared" si="429"/>
        <v>0</v>
      </c>
      <c r="AJ165" s="521">
        <f t="shared" si="429"/>
        <v>0</v>
      </c>
      <c r="AK165" s="521">
        <f t="shared" si="429"/>
        <v>0</v>
      </c>
      <c r="AL165" s="533">
        <f t="shared" ref="AL165:AL175" si="430">SUM(W165:AH165)</f>
        <v>0</v>
      </c>
    </row>
    <row r="166" spans="2:38" s="123" customFormat="1" x14ac:dyDescent="0.25">
      <c r="B166" s="385" t="s">
        <v>179</v>
      </c>
      <c r="C166" s="403" t="s">
        <v>217</v>
      </c>
      <c r="D166" s="684">
        <f t="shared" ref="D166:D175" si="431">$U166*W166</f>
        <v>0</v>
      </c>
      <c r="E166" s="684">
        <f t="shared" si="414"/>
        <v>0</v>
      </c>
      <c r="F166" s="684">
        <f t="shared" si="415"/>
        <v>0</v>
      </c>
      <c r="G166" s="684">
        <f t="shared" si="416"/>
        <v>0</v>
      </c>
      <c r="H166" s="684">
        <f t="shared" si="417"/>
        <v>0</v>
      </c>
      <c r="I166" s="684">
        <f t="shared" si="418"/>
        <v>0</v>
      </c>
      <c r="J166" s="684">
        <f t="shared" si="419"/>
        <v>0</v>
      </c>
      <c r="K166" s="684">
        <f t="shared" si="420"/>
        <v>0</v>
      </c>
      <c r="L166" s="684">
        <f t="shared" si="421"/>
        <v>0</v>
      </c>
      <c r="M166" s="684">
        <f t="shared" si="422"/>
        <v>0</v>
      </c>
      <c r="N166" s="684">
        <f t="shared" si="423"/>
        <v>0</v>
      </c>
      <c r="O166" s="684">
        <f t="shared" si="424"/>
        <v>0</v>
      </c>
      <c r="P166" s="684">
        <f t="shared" si="425"/>
        <v>0</v>
      </c>
      <c r="Q166" s="684">
        <f t="shared" si="426"/>
        <v>0</v>
      </c>
      <c r="R166" s="684">
        <f t="shared" si="427"/>
        <v>0</v>
      </c>
      <c r="S166" s="684">
        <f t="shared" si="428"/>
        <v>0</v>
      </c>
      <c r="U166" s="534">
        <f>'T_Stock_TOTAL_&amp;_City'!U166-'T_Stock_TOTAL_&amp;_City'!V166</f>
        <v>0</v>
      </c>
      <c r="W166" s="521">
        <f t="shared" si="429"/>
        <v>0</v>
      </c>
      <c r="X166" s="521">
        <f t="shared" si="429"/>
        <v>0</v>
      </c>
      <c r="Y166" s="521">
        <f t="shared" si="429"/>
        <v>0</v>
      </c>
      <c r="Z166" s="521">
        <f t="shared" si="429"/>
        <v>0</v>
      </c>
      <c r="AA166" s="521">
        <f t="shared" si="429"/>
        <v>0</v>
      </c>
      <c r="AB166" s="521">
        <f t="shared" si="429"/>
        <v>0</v>
      </c>
      <c r="AC166" s="521">
        <f t="shared" si="429"/>
        <v>0</v>
      </c>
      <c r="AD166" s="521">
        <f t="shared" si="429"/>
        <v>0</v>
      </c>
      <c r="AE166" s="521">
        <f t="shared" si="429"/>
        <v>0</v>
      </c>
      <c r="AF166" s="521">
        <f t="shared" si="429"/>
        <v>0</v>
      </c>
      <c r="AG166" s="521">
        <f t="shared" si="429"/>
        <v>0</v>
      </c>
      <c r="AH166" s="521">
        <f t="shared" si="429"/>
        <v>0</v>
      </c>
      <c r="AI166" s="521">
        <f t="shared" si="429"/>
        <v>0</v>
      </c>
      <c r="AJ166" s="521">
        <f t="shared" si="429"/>
        <v>0</v>
      </c>
      <c r="AK166" s="521">
        <f t="shared" si="429"/>
        <v>0</v>
      </c>
      <c r="AL166" s="533">
        <f t="shared" si="430"/>
        <v>0</v>
      </c>
    </row>
    <row r="167" spans="2:38" s="123" customFormat="1" x14ac:dyDescent="0.25">
      <c r="B167" s="384" t="s">
        <v>182</v>
      </c>
      <c r="C167" s="403" t="s">
        <v>383</v>
      </c>
      <c r="D167" s="684">
        <f t="shared" si="431"/>
        <v>0</v>
      </c>
      <c r="E167" s="684">
        <f t="shared" si="414"/>
        <v>0</v>
      </c>
      <c r="F167" s="684">
        <f t="shared" si="415"/>
        <v>0</v>
      </c>
      <c r="G167" s="684">
        <f t="shared" si="416"/>
        <v>0</v>
      </c>
      <c r="H167" s="684">
        <f t="shared" si="417"/>
        <v>0</v>
      </c>
      <c r="I167" s="684">
        <f t="shared" si="418"/>
        <v>0</v>
      </c>
      <c r="J167" s="684">
        <f t="shared" si="419"/>
        <v>0</v>
      </c>
      <c r="K167" s="684">
        <f t="shared" si="420"/>
        <v>0</v>
      </c>
      <c r="L167" s="684">
        <f t="shared" si="421"/>
        <v>0</v>
      </c>
      <c r="M167" s="684">
        <f t="shared" si="422"/>
        <v>0</v>
      </c>
      <c r="N167" s="684">
        <f t="shared" si="423"/>
        <v>0</v>
      </c>
      <c r="O167" s="684">
        <f t="shared" si="424"/>
        <v>0</v>
      </c>
      <c r="P167" s="684">
        <f t="shared" si="425"/>
        <v>0</v>
      </c>
      <c r="Q167" s="684">
        <f t="shared" si="426"/>
        <v>0</v>
      </c>
      <c r="R167" s="684">
        <f t="shared" si="427"/>
        <v>0</v>
      </c>
      <c r="S167" s="684">
        <f t="shared" si="428"/>
        <v>0</v>
      </c>
      <c r="U167" s="534">
        <f>'T_Stock_TOTAL_&amp;_City'!U167-'T_Stock_TOTAL_&amp;_City'!V167</f>
        <v>0</v>
      </c>
      <c r="W167" s="521">
        <f t="shared" si="429"/>
        <v>0</v>
      </c>
      <c r="X167" s="521">
        <f t="shared" si="429"/>
        <v>0</v>
      </c>
      <c r="Y167" s="521">
        <f t="shared" si="429"/>
        <v>0</v>
      </c>
      <c r="Z167" s="521">
        <f t="shared" si="429"/>
        <v>0</v>
      </c>
      <c r="AA167" s="521">
        <f t="shared" si="429"/>
        <v>0</v>
      </c>
      <c r="AB167" s="521">
        <f t="shared" si="429"/>
        <v>0</v>
      </c>
      <c r="AC167" s="521">
        <f t="shared" si="429"/>
        <v>0</v>
      </c>
      <c r="AD167" s="521">
        <f t="shared" si="429"/>
        <v>0</v>
      </c>
      <c r="AE167" s="521">
        <f t="shared" si="429"/>
        <v>0</v>
      </c>
      <c r="AF167" s="521">
        <f t="shared" si="429"/>
        <v>0</v>
      </c>
      <c r="AG167" s="521">
        <f t="shared" si="429"/>
        <v>0</v>
      </c>
      <c r="AH167" s="521">
        <f t="shared" si="429"/>
        <v>0</v>
      </c>
      <c r="AI167" s="521">
        <f t="shared" si="429"/>
        <v>0</v>
      </c>
      <c r="AJ167" s="521">
        <f t="shared" si="429"/>
        <v>0</v>
      </c>
      <c r="AK167" s="521">
        <f t="shared" si="429"/>
        <v>0</v>
      </c>
      <c r="AL167" s="533">
        <f t="shared" si="430"/>
        <v>0</v>
      </c>
    </row>
    <row r="168" spans="2:38" s="123" customFormat="1" x14ac:dyDescent="0.25">
      <c r="B168" s="384" t="s">
        <v>183</v>
      </c>
      <c r="C168" s="403" t="s">
        <v>384</v>
      </c>
      <c r="D168" s="684">
        <f t="shared" si="431"/>
        <v>0</v>
      </c>
      <c r="E168" s="684">
        <f t="shared" si="414"/>
        <v>0</v>
      </c>
      <c r="F168" s="684">
        <f t="shared" si="415"/>
        <v>0</v>
      </c>
      <c r="G168" s="684">
        <f t="shared" si="416"/>
        <v>0</v>
      </c>
      <c r="H168" s="684">
        <f t="shared" si="417"/>
        <v>0</v>
      </c>
      <c r="I168" s="684">
        <f t="shared" si="418"/>
        <v>0</v>
      </c>
      <c r="J168" s="684">
        <f t="shared" si="419"/>
        <v>0</v>
      </c>
      <c r="K168" s="684">
        <f t="shared" si="420"/>
        <v>0</v>
      </c>
      <c r="L168" s="684">
        <f t="shared" si="421"/>
        <v>0</v>
      </c>
      <c r="M168" s="684">
        <f t="shared" si="422"/>
        <v>0</v>
      </c>
      <c r="N168" s="684">
        <f t="shared" si="423"/>
        <v>0</v>
      </c>
      <c r="O168" s="684">
        <f t="shared" si="424"/>
        <v>0</v>
      </c>
      <c r="P168" s="684">
        <f t="shared" si="425"/>
        <v>0</v>
      </c>
      <c r="Q168" s="684">
        <f t="shared" si="426"/>
        <v>0</v>
      </c>
      <c r="R168" s="684">
        <f t="shared" si="427"/>
        <v>0</v>
      </c>
      <c r="S168" s="684">
        <f t="shared" si="428"/>
        <v>0</v>
      </c>
      <c r="U168" s="534">
        <f>'T_Stock_TOTAL_&amp;_City'!U168-'T_Stock_TOTAL_&amp;_City'!V168</f>
        <v>0</v>
      </c>
      <c r="W168" s="521">
        <f t="shared" si="429"/>
        <v>0</v>
      </c>
      <c r="X168" s="521">
        <f t="shared" si="429"/>
        <v>0</v>
      </c>
      <c r="Y168" s="521">
        <f t="shared" si="429"/>
        <v>0</v>
      </c>
      <c r="Z168" s="521">
        <f t="shared" si="429"/>
        <v>0</v>
      </c>
      <c r="AA168" s="521">
        <f t="shared" si="429"/>
        <v>0</v>
      </c>
      <c r="AB168" s="521">
        <f t="shared" si="429"/>
        <v>0</v>
      </c>
      <c r="AC168" s="521">
        <f t="shared" si="429"/>
        <v>0</v>
      </c>
      <c r="AD168" s="521">
        <f t="shared" si="429"/>
        <v>0</v>
      </c>
      <c r="AE168" s="521">
        <f t="shared" si="429"/>
        <v>0</v>
      </c>
      <c r="AF168" s="521">
        <f t="shared" si="429"/>
        <v>0</v>
      </c>
      <c r="AG168" s="521">
        <f t="shared" si="429"/>
        <v>0</v>
      </c>
      <c r="AH168" s="521">
        <f t="shared" si="429"/>
        <v>0</v>
      </c>
      <c r="AI168" s="521">
        <f t="shared" si="429"/>
        <v>0</v>
      </c>
      <c r="AJ168" s="521">
        <f t="shared" si="429"/>
        <v>0</v>
      </c>
      <c r="AK168" s="521">
        <f t="shared" si="429"/>
        <v>0</v>
      </c>
      <c r="AL168" s="533">
        <f t="shared" si="430"/>
        <v>0</v>
      </c>
    </row>
    <row r="169" spans="2:38" s="123" customFormat="1" x14ac:dyDescent="0.25">
      <c r="B169" s="383" t="s">
        <v>173</v>
      </c>
      <c r="C169" s="403" t="s">
        <v>218</v>
      </c>
      <c r="D169" s="684">
        <f t="shared" si="431"/>
        <v>0</v>
      </c>
      <c r="E169" s="684">
        <f t="shared" si="414"/>
        <v>0</v>
      </c>
      <c r="F169" s="684">
        <f t="shared" si="415"/>
        <v>0</v>
      </c>
      <c r="G169" s="684">
        <f t="shared" si="416"/>
        <v>0</v>
      </c>
      <c r="H169" s="684">
        <f t="shared" si="417"/>
        <v>0</v>
      </c>
      <c r="I169" s="684">
        <f t="shared" si="418"/>
        <v>0</v>
      </c>
      <c r="J169" s="684">
        <f t="shared" si="419"/>
        <v>0</v>
      </c>
      <c r="K169" s="684">
        <f t="shared" si="420"/>
        <v>0</v>
      </c>
      <c r="L169" s="684">
        <f t="shared" si="421"/>
        <v>0</v>
      </c>
      <c r="M169" s="684">
        <f t="shared" si="422"/>
        <v>0</v>
      </c>
      <c r="N169" s="684">
        <f t="shared" si="423"/>
        <v>0</v>
      </c>
      <c r="O169" s="684">
        <f t="shared" si="424"/>
        <v>0</v>
      </c>
      <c r="P169" s="684">
        <f t="shared" si="425"/>
        <v>0</v>
      </c>
      <c r="Q169" s="684">
        <f t="shared" si="426"/>
        <v>0</v>
      </c>
      <c r="R169" s="684">
        <f t="shared" si="427"/>
        <v>0</v>
      </c>
      <c r="S169" s="684">
        <f t="shared" si="428"/>
        <v>0</v>
      </c>
      <c r="U169" s="534">
        <f>'T_Stock_TOTAL_&amp;_City'!U169-'T_Stock_TOTAL_&amp;_City'!V169</f>
        <v>0</v>
      </c>
      <c r="W169" s="521">
        <f t="shared" si="429"/>
        <v>0</v>
      </c>
      <c r="X169" s="521">
        <f t="shared" si="429"/>
        <v>0</v>
      </c>
      <c r="Y169" s="521">
        <f t="shared" si="429"/>
        <v>0</v>
      </c>
      <c r="Z169" s="521">
        <f t="shared" si="429"/>
        <v>0</v>
      </c>
      <c r="AA169" s="521">
        <f t="shared" si="429"/>
        <v>0</v>
      </c>
      <c r="AB169" s="521">
        <f t="shared" si="429"/>
        <v>0</v>
      </c>
      <c r="AC169" s="521">
        <f t="shared" si="429"/>
        <v>0</v>
      </c>
      <c r="AD169" s="521">
        <f t="shared" si="429"/>
        <v>0</v>
      </c>
      <c r="AE169" s="521">
        <f t="shared" si="429"/>
        <v>0</v>
      </c>
      <c r="AF169" s="521">
        <f t="shared" si="429"/>
        <v>0</v>
      </c>
      <c r="AG169" s="521">
        <f t="shared" si="429"/>
        <v>0</v>
      </c>
      <c r="AH169" s="521">
        <f t="shared" si="429"/>
        <v>0</v>
      </c>
      <c r="AI169" s="521">
        <f t="shared" si="429"/>
        <v>0</v>
      </c>
      <c r="AJ169" s="521">
        <f t="shared" si="429"/>
        <v>0</v>
      </c>
      <c r="AK169" s="521">
        <f t="shared" si="429"/>
        <v>0</v>
      </c>
      <c r="AL169" s="533">
        <f t="shared" si="430"/>
        <v>0</v>
      </c>
    </row>
    <row r="170" spans="2:38" s="123" customFormat="1" x14ac:dyDescent="0.25">
      <c r="B170" s="384" t="s">
        <v>174</v>
      </c>
      <c r="C170" s="403" t="s">
        <v>219</v>
      </c>
      <c r="D170" s="684">
        <f t="shared" si="431"/>
        <v>0</v>
      </c>
      <c r="E170" s="684">
        <f t="shared" si="414"/>
        <v>0</v>
      </c>
      <c r="F170" s="684">
        <f t="shared" si="415"/>
        <v>0</v>
      </c>
      <c r="G170" s="684">
        <f t="shared" si="416"/>
        <v>0</v>
      </c>
      <c r="H170" s="684">
        <f t="shared" si="417"/>
        <v>0</v>
      </c>
      <c r="I170" s="684">
        <f t="shared" si="418"/>
        <v>0</v>
      </c>
      <c r="J170" s="684">
        <f t="shared" si="419"/>
        <v>0</v>
      </c>
      <c r="K170" s="684">
        <f t="shared" si="420"/>
        <v>0</v>
      </c>
      <c r="L170" s="684">
        <f t="shared" si="421"/>
        <v>0</v>
      </c>
      <c r="M170" s="684">
        <f t="shared" si="422"/>
        <v>0</v>
      </c>
      <c r="N170" s="684">
        <f t="shared" si="423"/>
        <v>0</v>
      </c>
      <c r="O170" s="684">
        <f t="shared" si="424"/>
        <v>0</v>
      </c>
      <c r="P170" s="684">
        <f t="shared" si="425"/>
        <v>0</v>
      </c>
      <c r="Q170" s="684">
        <f t="shared" si="426"/>
        <v>0</v>
      </c>
      <c r="R170" s="684">
        <f t="shared" si="427"/>
        <v>0</v>
      </c>
      <c r="S170" s="684">
        <f t="shared" si="428"/>
        <v>0</v>
      </c>
      <c r="U170" s="534">
        <f>'T_Stock_TOTAL_&amp;_City'!U170-'T_Stock_TOTAL_&amp;_City'!V170</f>
        <v>0</v>
      </c>
      <c r="W170" s="521">
        <f t="shared" si="429"/>
        <v>0</v>
      </c>
      <c r="X170" s="521">
        <f t="shared" si="429"/>
        <v>0</v>
      </c>
      <c r="Y170" s="521">
        <f t="shared" si="429"/>
        <v>0</v>
      </c>
      <c r="Z170" s="521">
        <f t="shared" si="429"/>
        <v>0</v>
      </c>
      <c r="AA170" s="521">
        <f t="shared" si="429"/>
        <v>0</v>
      </c>
      <c r="AB170" s="521">
        <f t="shared" si="429"/>
        <v>0</v>
      </c>
      <c r="AC170" s="521">
        <f t="shared" si="429"/>
        <v>0</v>
      </c>
      <c r="AD170" s="521">
        <f t="shared" si="429"/>
        <v>0</v>
      </c>
      <c r="AE170" s="521">
        <f t="shared" si="429"/>
        <v>0</v>
      </c>
      <c r="AF170" s="521">
        <f t="shared" si="429"/>
        <v>0</v>
      </c>
      <c r="AG170" s="521">
        <f t="shared" si="429"/>
        <v>0</v>
      </c>
      <c r="AH170" s="521">
        <f t="shared" si="429"/>
        <v>0</v>
      </c>
      <c r="AI170" s="521">
        <f t="shared" si="429"/>
        <v>0</v>
      </c>
      <c r="AJ170" s="521">
        <f t="shared" si="429"/>
        <v>0</v>
      </c>
      <c r="AK170" s="521">
        <f t="shared" si="429"/>
        <v>0</v>
      </c>
      <c r="AL170" s="533">
        <f t="shared" si="430"/>
        <v>0</v>
      </c>
    </row>
    <row r="171" spans="2:38" s="123" customFormat="1" x14ac:dyDescent="0.25">
      <c r="B171" s="384" t="s">
        <v>177</v>
      </c>
      <c r="C171" s="403" t="s">
        <v>224</v>
      </c>
      <c r="D171" s="684">
        <f t="shared" si="431"/>
        <v>0</v>
      </c>
      <c r="E171" s="684">
        <f t="shared" si="414"/>
        <v>0</v>
      </c>
      <c r="F171" s="684">
        <f t="shared" si="415"/>
        <v>0</v>
      </c>
      <c r="G171" s="684">
        <f t="shared" si="416"/>
        <v>0</v>
      </c>
      <c r="H171" s="684">
        <f t="shared" si="417"/>
        <v>0</v>
      </c>
      <c r="I171" s="684">
        <f t="shared" si="418"/>
        <v>0</v>
      </c>
      <c r="J171" s="684">
        <f t="shared" si="419"/>
        <v>0</v>
      </c>
      <c r="K171" s="684">
        <f t="shared" si="420"/>
        <v>0</v>
      </c>
      <c r="L171" s="684">
        <f t="shared" si="421"/>
        <v>0</v>
      </c>
      <c r="M171" s="684">
        <f t="shared" si="422"/>
        <v>0</v>
      </c>
      <c r="N171" s="684">
        <f t="shared" si="423"/>
        <v>0</v>
      </c>
      <c r="O171" s="684">
        <f t="shared" si="424"/>
        <v>0</v>
      </c>
      <c r="P171" s="684">
        <f t="shared" si="425"/>
        <v>0</v>
      </c>
      <c r="Q171" s="684">
        <f t="shared" si="426"/>
        <v>0</v>
      </c>
      <c r="R171" s="684">
        <f t="shared" si="427"/>
        <v>0</v>
      </c>
      <c r="S171" s="684">
        <f t="shared" si="428"/>
        <v>0</v>
      </c>
      <c r="U171" s="534">
        <f>'T_Stock_TOTAL_&amp;_City'!U171-'T_Stock_TOTAL_&amp;_City'!V171</f>
        <v>0</v>
      </c>
      <c r="W171" s="521">
        <f t="shared" si="429"/>
        <v>0</v>
      </c>
      <c r="X171" s="521">
        <f t="shared" si="429"/>
        <v>0</v>
      </c>
      <c r="Y171" s="521">
        <f t="shared" si="429"/>
        <v>0</v>
      </c>
      <c r="Z171" s="521">
        <f t="shared" si="429"/>
        <v>0</v>
      </c>
      <c r="AA171" s="521">
        <f t="shared" si="429"/>
        <v>0</v>
      </c>
      <c r="AB171" s="521">
        <f t="shared" si="429"/>
        <v>0</v>
      </c>
      <c r="AC171" s="521">
        <f t="shared" si="429"/>
        <v>0</v>
      </c>
      <c r="AD171" s="521">
        <f t="shared" si="429"/>
        <v>0</v>
      </c>
      <c r="AE171" s="521">
        <f t="shared" si="429"/>
        <v>0</v>
      </c>
      <c r="AF171" s="521">
        <f t="shared" si="429"/>
        <v>0</v>
      </c>
      <c r="AG171" s="521">
        <f t="shared" si="429"/>
        <v>0</v>
      </c>
      <c r="AH171" s="521">
        <f t="shared" si="429"/>
        <v>0</v>
      </c>
      <c r="AI171" s="521">
        <f t="shared" si="429"/>
        <v>0</v>
      </c>
      <c r="AJ171" s="521">
        <f t="shared" si="429"/>
        <v>0</v>
      </c>
      <c r="AK171" s="521">
        <f t="shared" si="429"/>
        <v>0</v>
      </c>
      <c r="AL171" s="533">
        <f t="shared" si="430"/>
        <v>0</v>
      </c>
    </row>
    <row r="172" spans="2:38" s="123" customFormat="1" x14ac:dyDescent="0.25">
      <c r="B172" s="385" t="s">
        <v>181</v>
      </c>
      <c r="C172" s="403" t="s">
        <v>385</v>
      </c>
      <c r="D172" s="684">
        <f t="shared" si="431"/>
        <v>0</v>
      </c>
      <c r="E172" s="684">
        <f t="shared" si="414"/>
        <v>0</v>
      </c>
      <c r="F172" s="684">
        <f t="shared" si="415"/>
        <v>0</v>
      </c>
      <c r="G172" s="684">
        <f t="shared" si="416"/>
        <v>0</v>
      </c>
      <c r="H172" s="684">
        <f t="shared" si="417"/>
        <v>0</v>
      </c>
      <c r="I172" s="684">
        <f t="shared" si="418"/>
        <v>0</v>
      </c>
      <c r="J172" s="684">
        <f t="shared" si="419"/>
        <v>0</v>
      </c>
      <c r="K172" s="684">
        <f t="shared" si="420"/>
        <v>0</v>
      </c>
      <c r="L172" s="684">
        <f t="shared" si="421"/>
        <v>0</v>
      </c>
      <c r="M172" s="684">
        <f t="shared" si="422"/>
        <v>0</v>
      </c>
      <c r="N172" s="684">
        <f t="shared" si="423"/>
        <v>0</v>
      </c>
      <c r="O172" s="684">
        <f t="shared" si="424"/>
        <v>0</v>
      </c>
      <c r="P172" s="684">
        <f t="shared" si="425"/>
        <v>0</v>
      </c>
      <c r="Q172" s="684">
        <f t="shared" si="426"/>
        <v>0</v>
      </c>
      <c r="R172" s="684">
        <f t="shared" si="427"/>
        <v>0</v>
      </c>
      <c r="S172" s="684">
        <f t="shared" si="428"/>
        <v>0</v>
      </c>
      <c r="U172" s="534">
        <f>'T_Stock_TOTAL_&amp;_City'!U172-'T_Stock_TOTAL_&amp;_City'!V172</f>
        <v>0</v>
      </c>
      <c r="W172" s="521">
        <f t="shared" si="429"/>
        <v>0</v>
      </c>
      <c r="X172" s="521">
        <f t="shared" si="429"/>
        <v>0</v>
      </c>
      <c r="Y172" s="521">
        <f t="shared" si="429"/>
        <v>0</v>
      </c>
      <c r="Z172" s="521">
        <f t="shared" si="429"/>
        <v>0</v>
      </c>
      <c r="AA172" s="521">
        <f t="shared" si="429"/>
        <v>0</v>
      </c>
      <c r="AB172" s="521">
        <f t="shared" si="429"/>
        <v>0</v>
      </c>
      <c r="AC172" s="521">
        <f t="shared" si="429"/>
        <v>0</v>
      </c>
      <c r="AD172" s="521">
        <f t="shared" si="429"/>
        <v>0</v>
      </c>
      <c r="AE172" s="521">
        <f t="shared" si="429"/>
        <v>0</v>
      </c>
      <c r="AF172" s="521">
        <f t="shared" si="429"/>
        <v>0</v>
      </c>
      <c r="AG172" s="521">
        <f t="shared" si="429"/>
        <v>0</v>
      </c>
      <c r="AH172" s="521">
        <f t="shared" si="429"/>
        <v>0</v>
      </c>
      <c r="AI172" s="521">
        <f t="shared" si="429"/>
        <v>0</v>
      </c>
      <c r="AJ172" s="521">
        <f t="shared" si="429"/>
        <v>0</v>
      </c>
      <c r="AK172" s="521">
        <f t="shared" si="429"/>
        <v>0</v>
      </c>
      <c r="AL172" s="533">
        <f t="shared" si="430"/>
        <v>0</v>
      </c>
    </row>
    <row r="173" spans="2:38" s="123" customFormat="1" x14ac:dyDescent="0.25">
      <c r="B173" s="384" t="s">
        <v>176</v>
      </c>
      <c r="C173" s="403" t="s">
        <v>386</v>
      </c>
      <c r="D173" s="684">
        <f t="shared" si="431"/>
        <v>0</v>
      </c>
      <c r="E173" s="684">
        <f t="shared" si="414"/>
        <v>0</v>
      </c>
      <c r="F173" s="684">
        <f t="shared" si="415"/>
        <v>0</v>
      </c>
      <c r="G173" s="684">
        <f t="shared" si="416"/>
        <v>0</v>
      </c>
      <c r="H173" s="684">
        <f t="shared" si="417"/>
        <v>0</v>
      </c>
      <c r="I173" s="684">
        <f t="shared" si="418"/>
        <v>0</v>
      </c>
      <c r="J173" s="684">
        <f t="shared" si="419"/>
        <v>0</v>
      </c>
      <c r="K173" s="684">
        <f t="shared" si="420"/>
        <v>0</v>
      </c>
      <c r="L173" s="684">
        <f t="shared" si="421"/>
        <v>0</v>
      </c>
      <c r="M173" s="684">
        <f t="shared" si="422"/>
        <v>0</v>
      </c>
      <c r="N173" s="684">
        <f t="shared" si="423"/>
        <v>0</v>
      </c>
      <c r="O173" s="684">
        <f t="shared" si="424"/>
        <v>0</v>
      </c>
      <c r="P173" s="684">
        <f t="shared" si="425"/>
        <v>0</v>
      </c>
      <c r="Q173" s="684">
        <f t="shared" si="426"/>
        <v>0</v>
      </c>
      <c r="R173" s="684">
        <f t="shared" si="427"/>
        <v>0</v>
      </c>
      <c r="S173" s="684">
        <f t="shared" si="428"/>
        <v>0</v>
      </c>
      <c r="U173" s="534">
        <f>'T_Stock_TOTAL_&amp;_City'!U173-'T_Stock_TOTAL_&amp;_City'!V173</f>
        <v>0</v>
      </c>
      <c r="W173" s="521">
        <f t="shared" si="429"/>
        <v>0</v>
      </c>
      <c r="X173" s="521">
        <f t="shared" si="429"/>
        <v>0</v>
      </c>
      <c r="Y173" s="521">
        <f t="shared" si="429"/>
        <v>0</v>
      </c>
      <c r="Z173" s="521">
        <f t="shared" si="429"/>
        <v>0</v>
      </c>
      <c r="AA173" s="521">
        <f t="shared" si="429"/>
        <v>0</v>
      </c>
      <c r="AB173" s="521">
        <f t="shared" si="429"/>
        <v>0</v>
      </c>
      <c r="AC173" s="521">
        <f t="shared" si="429"/>
        <v>0</v>
      </c>
      <c r="AD173" s="521">
        <f t="shared" si="429"/>
        <v>0</v>
      </c>
      <c r="AE173" s="521">
        <f t="shared" si="429"/>
        <v>0</v>
      </c>
      <c r="AF173" s="521">
        <f t="shared" si="429"/>
        <v>0</v>
      </c>
      <c r="AG173" s="521">
        <f t="shared" si="429"/>
        <v>0</v>
      </c>
      <c r="AH173" s="521">
        <f t="shared" si="429"/>
        <v>0</v>
      </c>
      <c r="AI173" s="521">
        <f t="shared" si="429"/>
        <v>0</v>
      </c>
      <c r="AJ173" s="521">
        <f t="shared" si="429"/>
        <v>0</v>
      </c>
      <c r="AK173" s="521">
        <f t="shared" si="429"/>
        <v>0</v>
      </c>
      <c r="AL173" s="533">
        <f t="shared" si="430"/>
        <v>0</v>
      </c>
    </row>
    <row r="174" spans="2:38" s="123" customFormat="1" x14ac:dyDescent="0.25">
      <c r="B174" s="385" t="s">
        <v>180</v>
      </c>
      <c r="C174" s="403" t="s">
        <v>387</v>
      </c>
      <c r="D174" s="684">
        <f t="shared" si="431"/>
        <v>0</v>
      </c>
      <c r="E174" s="684">
        <f t="shared" si="414"/>
        <v>0</v>
      </c>
      <c r="F174" s="684">
        <f t="shared" si="415"/>
        <v>0</v>
      </c>
      <c r="G174" s="684">
        <f t="shared" si="416"/>
        <v>0</v>
      </c>
      <c r="H174" s="684">
        <f t="shared" si="417"/>
        <v>0</v>
      </c>
      <c r="I174" s="684">
        <f t="shared" si="418"/>
        <v>0</v>
      </c>
      <c r="J174" s="684">
        <f t="shared" si="419"/>
        <v>0</v>
      </c>
      <c r="K174" s="684">
        <f t="shared" si="420"/>
        <v>0</v>
      </c>
      <c r="L174" s="684">
        <f t="shared" si="421"/>
        <v>0</v>
      </c>
      <c r="M174" s="684">
        <f t="shared" si="422"/>
        <v>0</v>
      </c>
      <c r="N174" s="684">
        <f t="shared" si="423"/>
        <v>0</v>
      </c>
      <c r="O174" s="684">
        <f t="shared" si="424"/>
        <v>0</v>
      </c>
      <c r="P174" s="684">
        <f t="shared" si="425"/>
        <v>0</v>
      </c>
      <c r="Q174" s="684">
        <f t="shared" si="426"/>
        <v>0</v>
      </c>
      <c r="R174" s="684">
        <f t="shared" si="427"/>
        <v>0</v>
      </c>
      <c r="S174" s="684">
        <f t="shared" si="428"/>
        <v>0</v>
      </c>
      <c r="U174" s="534">
        <f>'T_Stock_TOTAL_&amp;_City'!U174-'T_Stock_TOTAL_&amp;_City'!V174</f>
        <v>0</v>
      </c>
      <c r="W174" s="521">
        <f t="shared" si="429"/>
        <v>0</v>
      </c>
      <c r="X174" s="521">
        <f t="shared" si="429"/>
        <v>0</v>
      </c>
      <c r="Y174" s="521">
        <f t="shared" si="429"/>
        <v>0</v>
      </c>
      <c r="Z174" s="521">
        <f t="shared" si="429"/>
        <v>0</v>
      </c>
      <c r="AA174" s="521">
        <f t="shared" si="429"/>
        <v>0</v>
      </c>
      <c r="AB174" s="521">
        <f t="shared" si="429"/>
        <v>0</v>
      </c>
      <c r="AC174" s="521">
        <f t="shared" si="429"/>
        <v>0</v>
      </c>
      <c r="AD174" s="521">
        <f t="shared" si="429"/>
        <v>0</v>
      </c>
      <c r="AE174" s="521">
        <f t="shared" si="429"/>
        <v>0</v>
      </c>
      <c r="AF174" s="521">
        <f t="shared" si="429"/>
        <v>0</v>
      </c>
      <c r="AG174" s="521">
        <f t="shared" si="429"/>
        <v>0</v>
      </c>
      <c r="AH174" s="521">
        <f t="shared" si="429"/>
        <v>0</v>
      </c>
      <c r="AI174" s="521">
        <f t="shared" si="429"/>
        <v>0</v>
      </c>
      <c r="AJ174" s="521">
        <f t="shared" si="429"/>
        <v>0</v>
      </c>
      <c r="AK174" s="521">
        <f t="shared" si="429"/>
        <v>0</v>
      </c>
      <c r="AL174" s="533">
        <f t="shared" si="430"/>
        <v>0</v>
      </c>
    </row>
    <row r="175" spans="2:38" s="123" customFormat="1" x14ac:dyDescent="0.25">
      <c r="B175" s="386" t="s">
        <v>175</v>
      </c>
      <c r="C175" s="404" t="s">
        <v>388</v>
      </c>
      <c r="D175" s="685">
        <f t="shared" si="431"/>
        <v>0</v>
      </c>
      <c r="E175" s="685">
        <f t="shared" si="414"/>
        <v>0</v>
      </c>
      <c r="F175" s="685">
        <f t="shared" si="415"/>
        <v>0</v>
      </c>
      <c r="G175" s="685">
        <f t="shared" si="416"/>
        <v>0</v>
      </c>
      <c r="H175" s="685">
        <f t="shared" si="417"/>
        <v>0</v>
      </c>
      <c r="I175" s="685">
        <f t="shared" si="418"/>
        <v>0</v>
      </c>
      <c r="J175" s="685">
        <f t="shared" si="419"/>
        <v>0</v>
      </c>
      <c r="K175" s="685">
        <f t="shared" si="420"/>
        <v>0</v>
      </c>
      <c r="L175" s="685">
        <f t="shared" si="421"/>
        <v>0</v>
      </c>
      <c r="M175" s="685">
        <f t="shared" si="422"/>
        <v>0</v>
      </c>
      <c r="N175" s="685">
        <f t="shared" si="423"/>
        <v>0</v>
      </c>
      <c r="O175" s="685">
        <f t="shared" si="424"/>
        <v>0</v>
      </c>
      <c r="P175" s="685">
        <f t="shared" si="425"/>
        <v>0</v>
      </c>
      <c r="Q175" s="685">
        <f t="shared" si="426"/>
        <v>0</v>
      </c>
      <c r="R175" s="685">
        <f t="shared" si="427"/>
        <v>0</v>
      </c>
      <c r="S175" s="685">
        <f t="shared" si="428"/>
        <v>0</v>
      </c>
      <c r="U175" s="535">
        <f>'T_Stock_TOTAL_&amp;_City'!U175-'T_Stock_TOTAL_&amp;_City'!V175</f>
        <v>0</v>
      </c>
      <c r="W175" s="521">
        <f t="shared" si="429"/>
        <v>0</v>
      </c>
      <c r="X175" s="521">
        <f t="shared" si="429"/>
        <v>0</v>
      </c>
      <c r="Y175" s="521">
        <f t="shared" si="429"/>
        <v>0</v>
      </c>
      <c r="Z175" s="521">
        <f t="shared" si="429"/>
        <v>0</v>
      </c>
      <c r="AA175" s="521">
        <f t="shared" si="429"/>
        <v>0</v>
      </c>
      <c r="AB175" s="521">
        <f t="shared" si="429"/>
        <v>0</v>
      </c>
      <c r="AC175" s="521">
        <f t="shared" si="429"/>
        <v>0</v>
      </c>
      <c r="AD175" s="521">
        <f t="shared" si="429"/>
        <v>0</v>
      </c>
      <c r="AE175" s="521">
        <f t="shared" si="429"/>
        <v>0</v>
      </c>
      <c r="AF175" s="521">
        <f t="shared" si="429"/>
        <v>0</v>
      </c>
      <c r="AG175" s="521">
        <f t="shared" si="429"/>
        <v>0</v>
      </c>
      <c r="AH175" s="521">
        <f t="shared" si="429"/>
        <v>0</v>
      </c>
      <c r="AI175" s="521">
        <f t="shared" si="429"/>
        <v>0</v>
      </c>
      <c r="AJ175" s="521">
        <f t="shared" si="429"/>
        <v>0</v>
      </c>
      <c r="AK175" s="521">
        <f t="shared" si="429"/>
        <v>0</v>
      </c>
      <c r="AL175" s="533">
        <f t="shared" si="430"/>
        <v>0</v>
      </c>
    </row>
    <row r="176" spans="2:38" s="123" customFormat="1" x14ac:dyDescent="0.25">
      <c r="B176" s="387" t="s">
        <v>119</v>
      </c>
      <c r="C176" s="387"/>
      <c r="D176" s="686">
        <f>SUM(D165:D175)</f>
        <v>0</v>
      </c>
      <c r="E176" s="686">
        <f t="shared" ref="E176:S176" si="432">SUM(E165:E175)</f>
        <v>0</v>
      </c>
      <c r="F176" s="686">
        <f t="shared" si="432"/>
        <v>0</v>
      </c>
      <c r="G176" s="686">
        <f t="shared" si="432"/>
        <v>0</v>
      </c>
      <c r="H176" s="686">
        <f t="shared" si="432"/>
        <v>0</v>
      </c>
      <c r="I176" s="686">
        <f t="shared" si="432"/>
        <v>0</v>
      </c>
      <c r="J176" s="686">
        <f t="shared" si="432"/>
        <v>0</v>
      </c>
      <c r="K176" s="686">
        <f t="shared" si="432"/>
        <v>0</v>
      </c>
      <c r="L176" s="686">
        <f t="shared" si="432"/>
        <v>0</v>
      </c>
      <c r="M176" s="686">
        <f t="shared" si="432"/>
        <v>0</v>
      </c>
      <c r="N176" s="686">
        <f t="shared" si="432"/>
        <v>0</v>
      </c>
      <c r="O176" s="686">
        <f t="shared" si="432"/>
        <v>0</v>
      </c>
      <c r="P176" s="686">
        <f t="shared" si="432"/>
        <v>0</v>
      </c>
      <c r="Q176" s="686">
        <f t="shared" si="432"/>
        <v>0</v>
      </c>
      <c r="R176" s="686">
        <f t="shared" si="432"/>
        <v>0</v>
      </c>
      <c r="S176" s="686">
        <f t="shared" si="432"/>
        <v>0</v>
      </c>
      <c r="U176" s="536">
        <f>SUM(U165:U175)</f>
        <v>0</v>
      </c>
    </row>
    <row r="178" spans="2:38" x14ac:dyDescent="0.25">
      <c r="B178" s="441" t="s">
        <v>184</v>
      </c>
      <c r="C178" s="339"/>
      <c r="W178" s="3" t="s">
        <v>299</v>
      </c>
    </row>
    <row r="179" spans="2:38" x14ac:dyDescent="0.25">
      <c r="B179" s="441" t="s">
        <v>103</v>
      </c>
      <c r="C179" s="264" t="s">
        <v>104</v>
      </c>
      <c r="D179" s="121" t="str">
        <f t="shared" ref="D179:R179" si="433">D9</f>
        <v>Z01</v>
      </c>
      <c r="E179" s="121" t="str">
        <f t="shared" si="433"/>
        <v>Z02</v>
      </c>
      <c r="F179" s="121" t="str">
        <f t="shared" si="433"/>
        <v>Z03</v>
      </c>
      <c r="G179" s="121" t="str">
        <f t="shared" si="433"/>
        <v>Z04</v>
      </c>
      <c r="H179" s="121" t="str">
        <f t="shared" si="433"/>
        <v>Z05</v>
      </c>
      <c r="I179" s="121" t="str">
        <f t="shared" si="433"/>
        <v>Z06</v>
      </c>
      <c r="J179" s="121" t="str">
        <f t="shared" si="433"/>
        <v>Z07</v>
      </c>
      <c r="K179" s="121" t="str">
        <f t="shared" si="433"/>
        <v>Z08</v>
      </c>
      <c r="L179" s="121" t="str">
        <f t="shared" si="433"/>
        <v>Z09</v>
      </c>
      <c r="M179" s="121" t="str">
        <f t="shared" si="433"/>
        <v>Z10</v>
      </c>
      <c r="N179" s="121" t="str">
        <f t="shared" si="433"/>
        <v>Z11</v>
      </c>
      <c r="O179" s="121" t="str">
        <f t="shared" si="433"/>
        <v>Z12</v>
      </c>
      <c r="P179" s="121" t="str">
        <f t="shared" si="433"/>
        <v>Z13</v>
      </c>
      <c r="Q179" s="121" t="str">
        <f t="shared" si="433"/>
        <v>Z14</v>
      </c>
      <c r="R179" s="121" t="str">
        <f t="shared" si="433"/>
        <v>Z15</v>
      </c>
      <c r="S179" s="121" t="s">
        <v>100</v>
      </c>
      <c r="U179" s="17" t="str">
        <f>U$9</f>
        <v>Private stock</v>
      </c>
      <c r="W179" s="121" t="str">
        <f t="shared" ref="W179:AK179" si="434">D179</f>
        <v>Z01</v>
      </c>
      <c r="X179" s="121" t="str">
        <f t="shared" si="434"/>
        <v>Z02</v>
      </c>
      <c r="Y179" s="121" t="str">
        <f t="shared" si="434"/>
        <v>Z03</v>
      </c>
      <c r="Z179" s="121" t="str">
        <f t="shared" si="434"/>
        <v>Z04</v>
      </c>
      <c r="AA179" s="121" t="str">
        <f t="shared" si="434"/>
        <v>Z05</v>
      </c>
      <c r="AB179" s="121" t="str">
        <f t="shared" si="434"/>
        <v>Z06</v>
      </c>
      <c r="AC179" s="121" t="str">
        <f t="shared" si="434"/>
        <v>Z07</v>
      </c>
      <c r="AD179" s="121" t="str">
        <f t="shared" si="434"/>
        <v>Z08</v>
      </c>
      <c r="AE179" s="121" t="str">
        <f t="shared" si="434"/>
        <v>Z09</v>
      </c>
      <c r="AF179" s="121" t="str">
        <f t="shared" si="434"/>
        <v>Z10</v>
      </c>
      <c r="AG179" s="121" t="str">
        <f t="shared" si="434"/>
        <v>Z11</v>
      </c>
      <c r="AH179" s="121" t="str">
        <f t="shared" si="434"/>
        <v>Z12</v>
      </c>
      <c r="AI179" s="121" t="str">
        <f t="shared" si="434"/>
        <v>Z13</v>
      </c>
      <c r="AJ179" s="121" t="str">
        <f t="shared" si="434"/>
        <v>Z14</v>
      </c>
      <c r="AK179" s="121" t="str">
        <f t="shared" si="434"/>
        <v>Z15</v>
      </c>
      <c r="AL179" s="121" t="s">
        <v>100</v>
      </c>
    </row>
    <row r="180" spans="2:38" s="123" customFormat="1" ht="14.1" customHeight="1" x14ac:dyDescent="0.25">
      <c r="B180" s="386" t="s">
        <v>185</v>
      </c>
      <c r="C180" s="386" t="s">
        <v>186</v>
      </c>
      <c r="D180" s="685">
        <f>$U$180*W180</f>
        <v>0</v>
      </c>
      <c r="E180" s="685">
        <f t="shared" ref="E180:S180" si="435">$U$180*X180</f>
        <v>0</v>
      </c>
      <c r="F180" s="685">
        <f t="shared" si="435"/>
        <v>0</v>
      </c>
      <c r="G180" s="685">
        <f t="shared" si="435"/>
        <v>0</v>
      </c>
      <c r="H180" s="685">
        <f t="shared" si="435"/>
        <v>0</v>
      </c>
      <c r="I180" s="685">
        <f t="shared" si="435"/>
        <v>0</v>
      </c>
      <c r="J180" s="685">
        <f t="shared" si="435"/>
        <v>0</v>
      </c>
      <c r="K180" s="685">
        <f t="shared" si="435"/>
        <v>0</v>
      </c>
      <c r="L180" s="685">
        <f t="shared" si="435"/>
        <v>0</v>
      </c>
      <c r="M180" s="685">
        <f t="shared" si="435"/>
        <v>0</v>
      </c>
      <c r="N180" s="685">
        <f t="shared" si="435"/>
        <v>0</v>
      </c>
      <c r="O180" s="685">
        <f t="shared" si="435"/>
        <v>0</v>
      </c>
      <c r="P180" s="685">
        <f t="shared" si="435"/>
        <v>0</v>
      </c>
      <c r="Q180" s="685">
        <f t="shared" si="435"/>
        <v>0</v>
      </c>
      <c r="R180" s="685">
        <f t="shared" si="435"/>
        <v>0</v>
      </c>
      <c r="S180" s="685">
        <f t="shared" si="435"/>
        <v>0</v>
      </c>
      <c r="U180" s="537">
        <f>'T_Stock_TOTAL_&amp;_City'!U180-'T_Stock_TOTAL_&amp;_City'!V180</f>
        <v>0</v>
      </c>
      <c r="W180" s="521">
        <f t="shared" ref="W180:AK180" si="436">W$6</f>
        <v>0</v>
      </c>
      <c r="X180" s="521">
        <f t="shared" si="436"/>
        <v>0</v>
      </c>
      <c r="Y180" s="521">
        <f t="shared" si="436"/>
        <v>0</v>
      </c>
      <c r="Z180" s="521">
        <f t="shared" si="436"/>
        <v>0</v>
      </c>
      <c r="AA180" s="521">
        <f t="shared" si="436"/>
        <v>0</v>
      </c>
      <c r="AB180" s="521">
        <f t="shared" si="436"/>
        <v>0</v>
      </c>
      <c r="AC180" s="521">
        <f t="shared" si="436"/>
        <v>0</v>
      </c>
      <c r="AD180" s="521">
        <f t="shared" si="436"/>
        <v>0</v>
      </c>
      <c r="AE180" s="521">
        <f t="shared" si="436"/>
        <v>0</v>
      </c>
      <c r="AF180" s="521">
        <f t="shared" si="436"/>
        <v>0</v>
      </c>
      <c r="AG180" s="521">
        <f t="shared" si="436"/>
        <v>0</v>
      </c>
      <c r="AH180" s="521">
        <f t="shared" si="436"/>
        <v>0</v>
      </c>
      <c r="AI180" s="521">
        <f t="shared" si="436"/>
        <v>0</v>
      </c>
      <c r="AJ180" s="521">
        <f t="shared" si="436"/>
        <v>0</v>
      </c>
      <c r="AK180" s="521">
        <f t="shared" si="436"/>
        <v>0</v>
      </c>
      <c r="AL180" s="533">
        <f t="shared" ref="AL180" si="437">SUM(W180:AH180)</f>
        <v>0</v>
      </c>
    </row>
    <row r="181" spans="2:38" s="123" customFormat="1" x14ac:dyDescent="0.25">
      <c r="B181" s="387" t="s">
        <v>119</v>
      </c>
      <c r="C181" s="387"/>
      <c r="D181" s="686">
        <f>SUM(D180:D180)</f>
        <v>0</v>
      </c>
      <c r="E181" s="686">
        <f t="shared" ref="E181:S181" si="438">SUM(E180:E180)</f>
        <v>0</v>
      </c>
      <c r="F181" s="686">
        <f t="shared" si="438"/>
        <v>0</v>
      </c>
      <c r="G181" s="686">
        <f t="shared" si="438"/>
        <v>0</v>
      </c>
      <c r="H181" s="686">
        <f t="shared" si="438"/>
        <v>0</v>
      </c>
      <c r="I181" s="686">
        <f t="shared" si="438"/>
        <v>0</v>
      </c>
      <c r="J181" s="686">
        <f t="shared" si="438"/>
        <v>0</v>
      </c>
      <c r="K181" s="686">
        <f t="shared" si="438"/>
        <v>0</v>
      </c>
      <c r="L181" s="686">
        <f t="shared" si="438"/>
        <v>0</v>
      </c>
      <c r="M181" s="686">
        <f t="shared" si="438"/>
        <v>0</v>
      </c>
      <c r="N181" s="686">
        <f t="shared" si="438"/>
        <v>0</v>
      </c>
      <c r="O181" s="686">
        <f t="shared" si="438"/>
        <v>0</v>
      </c>
      <c r="P181" s="686">
        <f t="shared" si="438"/>
        <v>0</v>
      </c>
      <c r="Q181" s="686">
        <f t="shared" si="438"/>
        <v>0</v>
      </c>
      <c r="R181" s="686">
        <f t="shared" si="438"/>
        <v>0</v>
      </c>
      <c r="S181" s="686">
        <f t="shared" si="438"/>
        <v>0</v>
      </c>
      <c r="U181" s="538">
        <f>SUM(U180)</f>
        <v>0</v>
      </c>
    </row>
    <row r="183" spans="2:38" x14ac:dyDescent="0.25">
      <c r="B183" s="441" t="s">
        <v>187</v>
      </c>
      <c r="C183" s="339"/>
      <c r="W183" s="3" t="s">
        <v>299</v>
      </c>
    </row>
    <row r="184" spans="2:38" x14ac:dyDescent="0.25">
      <c r="B184" s="441" t="s">
        <v>103</v>
      </c>
      <c r="C184" s="264" t="s">
        <v>104</v>
      </c>
      <c r="D184" s="121" t="str">
        <f>D179</f>
        <v>Z01</v>
      </c>
      <c r="E184" s="121" t="str">
        <f t="shared" ref="E184:R184" si="439">E179</f>
        <v>Z02</v>
      </c>
      <c r="F184" s="121" t="str">
        <f t="shared" si="439"/>
        <v>Z03</v>
      </c>
      <c r="G184" s="121" t="str">
        <f t="shared" si="439"/>
        <v>Z04</v>
      </c>
      <c r="H184" s="121" t="str">
        <f t="shared" si="439"/>
        <v>Z05</v>
      </c>
      <c r="I184" s="121" t="str">
        <f t="shared" si="439"/>
        <v>Z06</v>
      </c>
      <c r="J184" s="121" t="str">
        <f t="shared" si="439"/>
        <v>Z07</v>
      </c>
      <c r="K184" s="121" t="str">
        <f t="shared" si="439"/>
        <v>Z08</v>
      </c>
      <c r="L184" s="121" t="str">
        <f t="shared" si="439"/>
        <v>Z09</v>
      </c>
      <c r="M184" s="121" t="str">
        <f t="shared" si="439"/>
        <v>Z10</v>
      </c>
      <c r="N184" s="121" t="str">
        <f t="shared" si="439"/>
        <v>Z11</v>
      </c>
      <c r="O184" s="121" t="str">
        <f t="shared" si="439"/>
        <v>Z12</v>
      </c>
      <c r="P184" s="121" t="str">
        <f t="shared" si="439"/>
        <v>Z13</v>
      </c>
      <c r="Q184" s="121" t="str">
        <f t="shared" si="439"/>
        <v>Z14</v>
      </c>
      <c r="R184" s="121" t="str">
        <f t="shared" si="439"/>
        <v>Z15</v>
      </c>
      <c r="S184" s="121" t="s">
        <v>100</v>
      </c>
      <c r="U184" s="17" t="s">
        <v>85</v>
      </c>
      <c r="W184" s="121" t="str">
        <f t="shared" ref="W184" si="440">D184</f>
        <v>Z01</v>
      </c>
      <c r="X184" s="121" t="str">
        <f t="shared" ref="X184" si="441">E184</f>
        <v>Z02</v>
      </c>
      <c r="Y184" s="121" t="str">
        <f t="shared" ref="Y184" si="442">F184</f>
        <v>Z03</v>
      </c>
      <c r="Z184" s="121" t="str">
        <f t="shared" ref="Z184" si="443">G184</f>
        <v>Z04</v>
      </c>
      <c r="AA184" s="121" t="str">
        <f t="shared" ref="AA184" si="444">H184</f>
        <v>Z05</v>
      </c>
      <c r="AB184" s="121" t="str">
        <f t="shared" ref="AB184" si="445">I184</f>
        <v>Z06</v>
      </c>
      <c r="AC184" s="121" t="str">
        <f t="shared" ref="AC184" si="446">J184</f>
        <v>Z07</v>
      </c>
      <c r="AD184" s="121" t="str">
        <f t="shared" ref="AD184" si="447">K184</f>
        <v>Z08</v>
      </c>
      <c r="AE184" s="121" t="str">
        <f t="shared" ref="AE184" si="448">L184</f>
        <v>Z09</v>
      </c>
      <c r="AF184" s="121" t="str">
        <f t="shared" ref="AF184" si="449">M184</f>
        <v>Z10</v>
      </c>
      <c r="AG184" s="121" t="str">
        <f t="shared" ref="AG184" si="450">N184</f>
        <v>Z11</v>
      </c>
      <c r="AH184" s="121" t="str">
        <f t="shared" ref="AH184" si="451">O184</f>
        <v>Z12</v>
      </c>
      <c r="AI184" s="121" t="str">
        <f t="shared" ref="AI184" si="452">P184</f>
        <v>Z13</v>
      </c>
      <c r="AJ184" s="121" t="str">
        <f t="shared" ref="AJ184" si="453">Q184</f>
        <v>Z14</v>
      </c>
      <c r="AK184" s="121" t="str">
        <f t="shared" ref="AK184" si="454">R184</f>
        <v>Z15</v>
      </c>
      <c r="AL184" s="121" t="s">
        <v>100</v>
      </c>
    </row>
    <row r="185" spans="2:38" ht="14.1" customHeight="1" x14ac:dyDescent="0.25">
      <c r="B185" s="250" t="s">
        <v>185</v>
      </c>
      <c r="C185" s="250" t="s">
        <v>389</v>
      </c>
      <c r="D185" s="444">
        <f>$U$185*W185</f>
        <v>0</v>
      </c>
      <c r="E185" s="444">
        <f t="shared" ref="E185:S185" si="455">$U$185*X185</f>
        <v>0</v>
      </c>
      <c r="F185" s="444">
        <f t="shared" si="455"/>
        <v>0</v>
      </c>
      <c r="G185" s="444">
        <f t="shared" si="455"/>
        <v>0</v>
      </c>
      <c r="H185" s="444">
        <f t="shared" si="455"/>
        <v>0</v>
      </c>
      <c r="I185" s="444">
        <f t="shared" si="455"/>
        <v>0</v>
      </c>
      <c r="J185" s="444">
        <f t="shared" si="455"/>
        <v>0</v>
      </c>
      <c r="K185" s="444">
        <f t="shared" si="455"/>
        <v>0</v>
      </c>
      <c r="L185" s="444">
        <f t="shared" si="455"/>
        <v>0</v>
      </c>
      <c r="M185" s="444">
        <f t="shared" si="455"/>
        <v>0</v>
      </c>
      <c r="N185" s="444">
        <f t="shared" si="455"/>
        <v>0</v>
      </c>
      <c r="O185" s="444">
        <f t="shared" si="455"/>
        <v>0</v>
      </c>
      <c r="P185" s="444">
        <f t="shared" si="455"/>
        <v>0</v>
      </c>
      <c r="Q185" s="444">
        <f t="shared" si="455"/>
        <v>0</v>
      </c>
      <c r="R185" s="444">
        <f t="shared" si="455"/>
        <v>0</v>
      </c>
      <c r="S185" s="444">
        <f t="shared" si="455"/>
        <v>0</v>
      </c>
      <c r="U185" s="335">
        <f>'T_Stock_TOTAL_&amp;_City'!U185-'T_Stock_TOTAL_&amp;_City'!V185</f>
        <v>0</v>
      </c>
      <c r="W185" s="520">
        <f t="shared" ref="W185:AK185" si="456">W$6</f>
        <v>0</v>
      </c>
      <c r="X185" s="520">
        <f t="shared" si="456"/>
        <v>0</v>
      </c>
      <c r="Y185" s="520">
        <f t="shared" si="456"/>
        <v>0</v>
      </c>
      <c r="Z185" s="520">
        <f t="shared" si="456"/>
        <v>0</v>
      </c>
      <c r="AA185" s="520">
        <f t="shared" si="456"/>
        <v>0</v>
      </c>
      <c r="AB185" s="520">
        <f t="shared" si="456"/>
        <v>0</v>
      </c>
      <c r="AC185" s="520">
        <f t="shared" si="456"/>
        <v>0</v>
      </c>
      <c r="AD185" s="520">
        <f t="shared" si="456"/>
        <v>0</v>
      </c>
      <c r="AE185" s="520">
        <f t="shared" si="456"/>
        <v>0</v>
      </c>
      <c r="AF185" s="520">
        <f t="shared" si="456"/>
        <v>0</v>
      </c>
      <c r="AG185" s="520">
        <f t="shared" si="456"/>
        <v>0</v>
      </c>
      <c r="AH185" s="520">
        <f t="shared" si="456"/>
        <v>0</v>
      </c>
      <c r="AI185" s="520">
        <f t="shared" si="456"/>
        <v>0</v>
      </c>
      <c r="AJ185" s="520">
        <f t="shared" si="456"/>
        <v>0</v>
      </c>
      <c r="AK185" s="520">
        <f t="shared" si="456"/>
        <v>0</v>
      </c>
      <c r="AL185" s="532">
        <f t="shared" ref="AL185" si="457">SUM(W185:AH185)</f>
        <v>0</v>
      </c>
    </row>
    <row r="186" spans="2:38" x14ac:dyDescent="0.25">
      <c r="B186" s="131" t="s">
        <v>119</v>
      </c>
      <c r="C186" s="131"/>
      <c r="D186" s="681">
        <f>SUM(D185:D185)</f>
        <v>0</v>
      </c>
      <c r="E186" s="681">
        <f t="shared" ref="E186:S186" si="458">SUM(E185:E185)</f>
        <v>0</v>
      </c>
      <c r="F186" s="681">
        <f t="shared" si="458"/>
        <v>0</v>
      </c>
      <c r="G186" s="681">
        <f t="shared" si="458"/>
        <v>0</v>
      </c>
      <c r="H186" s="681">
        <f t="shared" si="458"/>
        <v>0</v>
      </c>
      <c r="I186" s="681">
        <f t="shared" si="458"/>
        <v>0</v>
      </c>
      <c r="J186" s="681">
        <f t="shared" si="458"/>
        <v>0</v>
      </c>
      <c r="K186" s="681">
        <f t="shared" si="458"/>
        <v>0</v>
      </c>
      <c r="L186" s="681">
        <f t="shared" si="458"/>
        <v>0</v>
      </c>
      <c r="M186" s="681">
        <f t="shared" si="458"/>
        <v>0</v>
      </c>
      <c r="N186" s="681">
        <f t="shared" si="458"/>
        <v>0</v>
      </c>
      <c r="O186" s="681">
        <f t="shared" si="458"/>
        <v>0</v>
      </c>
      <c r="P186" s="681">
        <f t="shared" si="458"/>
        <v>0</v>
      </c>
      <c r="Q186" s="681">
        <f t="shared" si="458"/>
        <v>0</v>
      </c>
      <c r="R186" s="681">
        <f t="shared" si="458"/>
        <v>0</v>
      </c>
      <c r="S186" s="681">
        <f t="shared" si="458"/>
        <v>0</v>
      </c>
      <c r="U186" s="480">
        <f>SUM(U185)</f>
        <v>0</v>
      </c>
    </row>
  </sheetData>
  <sortState xmlns:xlrd2="http://schemas.microsoft.com/office/spreadsheetml/2017/richdata2" ref="B165:C175">
    <sortCondition ref="C165:C175"/>
  </sortState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B2:S27"/>
  <sheetViews>
    <sheetView tabSelected="1" zoomScale="75" zoomScaleNormal="75" workbookViewId="0">
      <pane xSplit="3" topLeftCell="D1" activePane="topRight" state="frozen"/>
      <selection activeCell="A78" sqref="A78"/>
      <selection pane="topRight" activeCell="D36" sqref="D36"/>
    </sheetView>
  </sheetViews>
  <sheetFormatPr defaultRowHeight="15" x14ac:dyDescent="0.25"/>
  <cols>
    <col min="2" max="2" width="30.7109375" bestFit="1" customWidth="1"/>
    <col min="3" max="3" width="19.5703125" customWidth="1"/>
    <col min="4" max="4" width="13.7109375" bestFit="1" customWidth="1"/>
    <col min="5" max="7" width="14.5703125" bestFit="1" customWidth="1"/>
    <col min="8" max="8" width="16.28515625" bestFit="1" customWidth="1"/>
    <col min="9" max="9" width="15.7109375" bestFit="1" customWidth="1"/>
    <col min="10" max="10" width="16.7109375" bestFit="1" customWidth="1"/>
    <col min="11" max="11" width="16" style="309" customWidth="1"/>
    <col min="12" max="12" width="14" style="309" bestFit="1" customWidth="1"/>
    <col min="13" max="13" width="15.7109375" bestFit="1" customWidth="1"/>
    <col min="14" max="14" width="13.28515625" bestFit="1" customWidth="1"/>
    <col min="15" max="15" width="16.28515625" bestFit="1" customWidth="1"/>
    <col min="16" max="16" width="17.42578125" bestFit="1" customWidth="1"/>
    <col min="17" max="17" width="17.28515625" customWidth="1"/>
    <col min="18" max="18" width="14.7109375" bestFit="1" customWidth="1"/>
    <col min="19" max="19" width="15.28515625" bestFit="1" customWidth="1"/>
  </cols>
  <sheetData>
    <row r="2" spans="2:19" ht="18.75" x14ac:dyDescent="0.3">
      <c r="B2" s="799" t="s">
        <v>390</v>
      </c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</row>
    <row r="3" spans="2:19" x14ac:dyDescent="0.25">
      <c r="C3" s="132"/>
      <c r="E3" s="933"/>
    </row>
    <row r="4" spans="2:19" x14ac:dyDescent="0.25">
      <c r="B4" s="132"/>
      <c r="C4" s="907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/>
      <c r="Q4" s="480"/>
      <c r="R4" s="480"/>
      <c r="S4" s="15"/>
    </row>
    <row r="5" spans="2:19" x14ac:dyDescent="0.25">
      <c r="B5" s="132"/>
      <c r="C5" s="907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480"/>
      <c r="R5" s="480"/>
      <c r="S5" s="15"/>
    </row>
    <row r="6" spans="2:19" x14ac:dyDescent="0.25">
      <c r="B6" s="800" t="s">
        <v>100</v>
      </c>
      <c r="C6" s="901"/>
      <c r="D6" s="817"/>
      <c r="E6" s="817"/>
      <c r="F6" s="817"/>
      <c r="G6" s="817"/>
      <c r="H6" s="817"/>
      <c r="I6" s="817"/>
      <c r="J6" s="817"/>
      <c r="K6" s="817"/>
      <c r="L6" s="817"/>
      <c r="M6" s="817"/>
      <c r="N6" s="817"/>
      <c r="O6" s="817"/>
      <c r="P6" s="817"/>
      <c r="Q6" s="817"/>
      <c r="R6" s="817"/>
    </row>
    <row r="7" spans="2:19" x14ac:dyDescent="0.25">
      <c r="B7" s="898" t="s">
        <v>391</v>
      </c>
      <c r="C7" s="899" t="s">
        <v>392</v>
      </c>
      <c r="D7" s="900" t="s">
        <v>18</v>
      </c>
      <c r="E7" s="900" t="s">
        <v>19</v>
      </c>
      <c r="F7" s="900" t="s">
        <v>20</v>
      </c>
      <c r="G7" s="900" t="s">
        <v>21</v>
      </c>
      <c r="H7" s="900" t="s">
        <v>22</v>
      </c>
      <c r="I7" s="900" t="s">
        <v>23</v>
      </c>
      <c r="J7" s="900" t="s">
        <v>24</v>
      </c>
      <c r="K7" s="900" t="s">
        <v>25</v>
      </c>
      <c r="L7" s="900" t="s">
        <v>26</v>
      </c>
      <c r="M7" s="900" t="s">
        <v>27</v>
      </c>
      <c r="N7" s="900" t="s">
        <v>28</v>
      </c>
      <c r="O7" s="900" t="s">
        <v>29</v>
      </c>
      <c r="P7" s="900" t="s">
        <v>30</v>
      </c>
      <c r="Q7" s="900" t="s">
        <v>31</v>
      </c>
      <c r="R7" s="900" t="s">
        <v>32</v>
      </c>
      <c r="S7" s="900" t="s">
        <v>393</v>
      </c>
    </row>
    <row r="8" spans="2:19" x14ac:dyDescent="0.25">
      <c r="B8" s="423" t="s">
        <v>170</v>
      </c>
      <c r="C8" s="807" t="s">
        <v>394</v>
      </c>
      <c r="D8" s="913"/>
      <c r="E8" s="931"/>
      <c r="F8" s="931"/>
      <c r="G8" s="931"/>
      <c r="H8" s="931"/>
      <c r="I8" s="931"/>
      <c r="J8" s="931"/>
      <c r="K8" s="931"/>
      <c r="L8" s="931"/>
      <c r="M8" s="931"/>
      <c r="N8" s="931"/>
      <c r="O8" s="931"/>
      <c r="P8" s="931"/>
      <c r="Q8" s="931"/>
      <c r="R8" s="931"/>
      <c r="S8" s="903">
        <f>SUM(D8:R8)</f>
        <v>0</v>
      </c>
    </row>
    <row r="9" spans="2:19" x14ac:dyDescent="0.25">
      <c r="B9" s="424" t="s">
        <v>395</v>
      </c>
      <c r="C9" s="809" t="s">
        <v>396</v>
      </c>
      <c r="D9" s="913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03">
        <f t="shared" ref="S9:S23" si="0">SUM(D9:R9)</f>
        <v>0</v>
      </c>
    </row>
    <row r="10" spans="2:19" x14ac:dyDescent="0.25">
      <c r="B10" s="424" t="s">
        <v>397</v>
      </c>
      <c r="C10" s="809" t="s">
        <v>398</v>
      </c>
      <c r="D10" s="913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03">
        <f t="shared" si="0"/>
        <v>0</v>
      </c>
    </row>
    <row r="11" spans="2:19" x14ac:dyDescent="0.25">
      <c r="B11" s="424" t="s">
        <v>399</v>
      </c>
      <c r="C11" s="809" t="s">
        <v>400</v>
      </c>
      <c r="D11" s="913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03">
        <f t="shared" si="0"/>
        <v>0</v>
      </c>
    </row>
    <row r="12" spans="2:19" x14ac:dyDescent="0.25">
      <c r="B12" s="424" t="s">
        <v>401</v>
      </c>
      <c r="C12" s="809" t="s">
        <v>402</v>
      </c>
      <c r="D12" s="807">
        <f>7990.2*0.6</f>
        <v>4794.12</v>
      </c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03">
        <f t="shared" si="0"/>
        <v>4794.12</v>
      </c>
    </row>
    <row r="13" spans="2:19" x14ac:dyDescent="0.25">
      <c r="B13" s="424" t="s">
        <v>403</v>
      </c>
      <c r="C13" s="809" t="s">
        <v>404</v>
      </c>
      <c r="D13" s="807">
        <f>7990.2*0.4</f>
        <v>3196.08</v>
      </c>
      <c r="E13" s="931"/>
      <c r="F13" s="931"/>
      <c r="G13" s="931"/>
      <c r="H13" s="931"/>
      <c r="I13" s="931"/>
      <c r="J13" s="931"/>
      <c r="K13" s="931"/>
      <c r="L13" s="931"/>
      <c r="M13" s="931"/>
      <c r="N13" s="931"/>
      <c r="O13" s="931"/>
      <c r="P13" s="931"/>
      <c r="Q13" s="931"/>
      <c r="R13" s="931"/>
      <c r="S13" s="903">
        <f t="shared" si="0"/>
        <v>3196.08</v>
      </c>
    </row>
    <row r="14" spans="2:19" x14ac:dyDescent="0.25">
      <c r="B14" s="424" t="s">
        <v>405</v>
      </c>
      <c r="C14" s="809" t="s">
        <v>406</v>
      </c>
      <c r="D14" s="807"/>
      <c r="E14" s="931"/>
      <c r="F14" s="931"/>
      <c r="G14" s="931"/>
      <c r="H14" s="931"/>
      <c r="I14" s="931"/>
      <c r="J14" s="931"/>
      <c r="K14" s="931"/>
      <c r="L14" s="931"/>
      <c r="M14" s="931"/>
      <c r="N14" s="931"/>
      <c r="O14" s="931"/>
      <c r="P14" s="931"/>
      <c r="Q14" s="931"/>
      <c r="R14" s="931"/>
      <c r="S14" s="903">
        <f t="shared" si="0"/>
        <v>0</v>
      </c>
    </row>
    <row r="15" spans="2:19" x14ac:dyDescent="0.25">
      <c r="B15" s="424" t="s">
        <v>407</v>
      </c>
      <c r="C15" s="809" t="s">
        <v>408</v>
      </c>
      <c r="D15" s="913"/>
      <c r="E15" s="931"/>
      <c r="F15" s="931"/>
      <c r="G15" s="931"/>
      <c r="H15" s="931"/>
      <c r="I15" s="931"/>
      <c r="J15" s="931"/>
      <c r="K15" s="931"/>
      <c r="L15" s="931"/>
      <c r="M15" s="931"/>
      <c r="N15" s="931"/>
      <c r="O15" s="931"/>
      <c r="P15" s="931"/>
      <c r="Q15" s="931"/>
      <c r="R15" s="931"/>
      <c r="S15" s="903">
        <f t="shared" si="0"/>
        <v>0</v>
      </c>
    </row>
    <row r="16" spans="2:19" x14ac:dyDescent="0.25">
      <c r="B16" s="424" t="s">
        <v>409</v>
      </c>
      <c r="C16" s="809" t="s">
        <v>410</v>
      </c>
      <c r="D16" s="807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03">
        <f t="shared" si="0"/>
        <v>0</v>
      </c>
    </row>
    <row r="17" spans="2:19" x14ac:dyDescent="0.25">
      <c r="B17" s="424" t="s">
        <v>411</v>
      </c>
      <c r="C17" s="809" t="s">
        <v>412</v>
      </c>
      <c r="D17" s="807"/>
      <c r="E17" s="931"/>
      <c r="F17" s="931"/>
      <c r="G17" s="931"/>
      <c r="H17" s="931"/>
      <c r="I17" s="931"/>
      <c r="J17" s="931"/>
      <c r="K17" s="931"/>
      <c r="L17" s="931"/>
      <c r="M17" s="931"/>
      <c r="N17" s="931"/>
      <c r="O17" s="931"/>
      <c r="P17" s="931"/>
      <c r="Q17" s="931"/>
      <c r="R17" s="931"/>
      <c r="S17" s="903">
        <f t="shared" si="0"/>
        <v>0</v>
      </c>
    </row>
    <row r="18" spans="2:19" x14ac:dyDescent="0.25">
      <c r="B18" s="424" t="s">
        <v>413</v>
      </c>
      <c r="C18" s="809" t="s">
        <v>76</v>
      </c>
      <c r="D18" s="807"/>
      <c r="E18" s="931"/>
      <c r="F18" s="931"/>
      <c r="G18" s="931"/>
      <c r="H18" s="931"/>
      <c r="I18" s="931"/>
      <c r="J18" s="931"/>
      <c r="K18" s="931"/>
      <c r="L18" s="931"/>
      <c r="M18" s="931"/>
      <c r="N18" s="931"/>
      <c r="O18" s="931"/>
      <c r="P18" s="931"/>
      <c r="Q18" s="931"/>
      <c r="R18" s="931"/>
      <c r="S18" s="903">
        <f t="shared" si="0"/>
        <v>0</v>
      </c>
    </row>
    <row r="19" spans="2:19" x14ac:dyDescent="0.25">
      <c r="B19" s="424" t="s">
        <v>125</v>
      </c>
      <c r="C19" s="809" t="s">
        <v>414</v>
      </c>
      <c r="D19" s="807">
        <v>2000</v>
      </c>
      <c r="E19" s="932"/>
      <c r="F19" s="932"/>
      <c r="G19" s="932"/>
      <c r="H19" s="932"/>
      <c r="I19" s="932"/>
      <c r="J19" s="932"/>
      <c r="K19" s="932"/>
      <c r="L19" s="932"/>
      <c r="M19" s="932"/>
      <c r="N19" s="932"/>
      <c r="O19" s="932"/>
      <c r="P19" s="932"/>
      <c r="Q19" s="932"/>
      <c r="R19" s="932"/>
      <c r="S19" s="903">
        <f t="shared" si="0"/>
        <v>2000</v>
      </c>
    </row>
    <row r="20" spans="2:19" x14ac:dyDescent="0.25">
      <c r="B20" s="424" t="s">
        <v>124</v>
      </c>
      <c r="C20" s="809" t="s">
        <v>415</v>
      </c>
      <c r="D20" s="913"/>
      <c r="E20" s="931"/>
      <c r="F20" s="931"/>
      <c r="G20" s="931"/>
      <c r="H20" s="931"/>
      <c r="I20" s="931"/>
      <c r="J20" s="931"/>
      <c r="K20" s="931"/>
      <c r="L20" s="931"/>
      <c r="M20" s="931"/>
      <c r="N20" s="931"/>
      <c r="O20" s="931"/>
      <c r="P20" s="932"/>
      <c r="Q20" s="931"/>
      <c r="R20" s="932"/>
      <c r="S20" s="903">
        <f>SUM(D20:R20)</f>
        <v>0</v>
      </c>
    </row>
    <row r="21" spans="2:19" x14ac:dyDescent="0.25">
      <c r="B21" s="424" t="s">
        <v>416</v>
      </c>
      <c r="C21" s="809" t="s">
        <v>417</v>
      </c>
      <c r="D21" s="913"/>
      <c r="E21" s="931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1"/>
      <c r="R21" s="931"/>
      <c r="S21" s="903">
        <f t="shared" si="0"/>
        <v>0</v>
      </c>
    </row>
    <row r="22" spans="2:19" x14ac:dyDescent="0.25">
      <c r="B22" s="424" t="s">
        <v>418</v>
      </c>
      <c r="C22" s="809" t="s">
        <v>419</v>
      </c>
      <c r="D22" s="807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  <c r="Q22" s="903"/>
      <c r="R22" s="903"/>
      <c r="S22" s="903">
        <f t="shared" si="0"/>
        <v>0</v>
      </c>
    </row>
    <row r="23" spans="2:19" x14ac:dyDescent="0.25">
      <c r="B23" s="443"/>
      <c r="C23" s="810" t="s">
        <v>420</v>
      </c>
      <c r="D23" s="810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>
        <f t="shared" si="0"/>
        <v>0</v>
      </c>
    </row>
    <row r="24" spans="2:19" x14ac:dyDescent="0.25">
      <c r="B24" s="418" t="s">
        <v>421</v>
      </c>
      <c r="C24" s="580"/>
      <c r="D24" s="902">
        <f>SUM(D8:D23)</f>
        <v>9990.2000000000007</v>
      </c>
      <c r="E24" s="902">
        <f t="shared" ref="E24:S24" si="1">SUM(E8:E23)</f>
        <v>0</v>
      </c>
      <c r="F24" s="902">
        <f t="shared" si="1"/>
        <v>0</v>
      </c>
      <c r="G24" s="902">
        <f t="shared" si="1"/>
        <v>0</v>
      </c>
      <c r="H24" s="902">
        <f t="shared" si="1"/>
        <v>0</v>
      </c>
      <c r="I24" s="902">
        <f t="shared" si="1"/>
        <v>0</v>
      </c>
      <c r="J24" s="902">
        <f t="shared" si="1"/>
        <v>0</v>
      </c>
      <c r="K24" s="902">
        <f t="shared" si="1"/>
        <v>0</v>
      </c>
      <c r="L24" s="902">
        <f t="shared" si="1"/>
        <v>0</v>
      </c>
      <c r="M24" s="902">
        <f t="shared" si="1"/>
        <v>0</v>
      </c>
      <c r="N24" s="902">
        <f t="shared" si="1"/>
        <v>0</v>
      </c>
      <c r="O24" s="902">
        <f t="shared" si="1"/>
        <v>0</v>
      </c>
      <c r="P24" s="902">
        <f t="shared" si="1"/>
        <v>0</v>
      </c>
      <c r="Q24" s="902">
        <f t="shared" si="1"/>
        <v>0</v>
      </c>
      <c r="R24" s="902">
        <f t="shared" si="1"/>
        <v>0</v>
      </c>
      <c r="S24" s="902">
        <f t="shared" si="1"/>
        <v>9990.2000000000007</v>
      </c>
    </row>
    <row r="25" spans="2:19" x14ac:dyDescent="0.25">
      <c r="B25" s="3"/>
      <c r="C25" s="3"/>
      <c r="K25"/>
      <c r="L25"/>
    </row>
    <row r="26" spans="2:19" x14ac:dyDescent="0.25">
      <c r="B26" s="3"/>
      <c r="D26" s="910"/>
      <c r="E26" s="910"/>
      <c r="F26" s="911"/>
      <c r="G26" s="911"/>
      <c r="H26" s="911"/>
      <c r="I26" s="911"/>
      <c r="J26" s="911"/>
      <c r="K26" s="911"/>
      <c r="L26" s="911"/>
      <c r="M26" s="911"/>
      <c r="N26" s="911"/>
      <c r="O26" s="911"/>
      <c r="P26" s="911"/>
      <c r="Q26" s="911"/>
      <c r="R26" s="911"/>
      <c r="S26" s="912"/>
    </row>
    <row r="27" spans="2:19" x14ac:dyDescent="0.25">
      <c r="B27" s="3"/>
      <c r="D27" s="910"/>
      <c r="E27" s="910"/>
      <c r="F27" s="911"/>
      <c r="G27" s="911"/>
      <c r="H27" s="911"/>
      <c r="I27" s="911"/>
      <c r="J27" s="911"/>
      <c r="K27" s="911"/>
      <c r="L27" s="911"/>
      <c r="M27" s="911"/>
      <c r="N27" s="911"/>
      <c r="O27" s="911"/>
      <c r="P27" s="911"/>
      <c r="Q27" s="911"/>
      <c r="R27" s="911"/>
      <c r="S27" s="91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B2:X17"/>
  <sheetViews>
    <sheetView zoomScale="75" zoomScaleNormal="75" workbookViewId="0">
      <selection activeCell="F31" sqref="F31"/>
    </sheetView>
  </sheetViews>
  <sheetFormatPr defaultRowHeight="15" x14ac:dyDescent="0.25"/>
  <cols>
    <col min="2" max="2" width="33.7109375" customWidth="1"/>
    <col min="3" max="3" width="15.7109375" customWidth="1"/>
    <col min="4" max="19" width="14.5703125" customWidth="1"/>
    <col min="20" max="20" width="12.28515625" bestFit="1" customWidth="1"/>
  </cols>
  <sheetData>
    <row r="2" spans="2:24" ht="18.75" x14ac:dyDescent="0.3">
      <c r="B2" s="799" t="s">
        <v>422</v>
      </c>
    </row>
    <row r="4" spans="2:24" x14ac:dyDescent="0.25">
      <c r="B4" s="800" t="s">
        <v>100</v>
      </c>
      <c r="C4" s="801"/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</row>
    <row r="5" spans="2:24" x14ac:dyDescent="0.25">
      <c r="B5" s="802" t="s">
        <v>391</v>
      </c>
      <c r="C5" s="811" t="s">
        <v>392</v>
      </c>
      <c r="D5" s="803" t="s">
        <v>18</v>
      </c>
      <c r="E5" s="803" t="s">
        <v>19</v>
      </c>
      <c r="F5" s="803" t="s">
        <v>20</v>
      </c>
      <c r="G5" s="803" t="s">
        <v>21</v>
      </c>
      <c r="H5" s="803" t="s">
        <v>22</v>
      </c>
      <c r="I5" s="803" t="s">
        <v>23</v>
      </c>
      <c r="J5" s="803" t="s">
        <v>24</v>
      </c>
      <c r="K5" s="803" t="s">
        <v>25</v>
      </c>
      <c r="L5" s="803" t="s">
        <v>26</v>
      </c>
      <c r="M5" s="803" t="s">
        <v>27</v>
      </c>
      <c r="N5" s="803" t="s">
        <v>28</v>
      </c>
      <c r="O5" s="803" t="s">
        <v>29</v>
      </c>
      <c r="P5" s="803" t="s">
        <v>30</v>
      </c>
      <c r="Q5" s="803" t="s">
        <v>31</v>
      </c>
      <c r="R5" s="803" t="s">
        <v>32</v>
      </c>
      <c r="S5" s="803" t="s">
        <v>393</v>
      </c>
      <c r="T5" s="804"/>
      <c r="U5" s="804"/>
      <c r="V5" s="804"/>
      <c r="W5" s="804"/>
      <c r="X5" s="804"/>
    </row>
    <row r="6" spans="2:24" x14ac:dyDescent="0.25">
      <c r="B6" s="423" t="s">
        <v>162</v>
      </c>
      <c r="C6" s="807" t="s">
        <v>423</v>
      </c>
      <c r="D6" s="812"/>
      <c r="E6" s="808"/>
      <c r="F6" s="808"/>
      <c r="G6" s="808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>
        <f>SUM(D6:R6)</f>
        <v>0</v>
      </c>
      <c r="W6" s="805"/>
      <c r="X6" s="805"/>
    </row>
    <row r="7" spans="2:24" x14ac:dyDescent="0.25">
      <c r="B7" s="424" t="s">
        <v>424</v>
      </c>
      <c r="C7" s="809" t="s">
        <v>425</v>
      </c>
      <c r="D7" s="813"/>
      <c r="E7" s="808"/>
      <c r="F7" s="808"/>
      <c r="G7" s="808"/>
      <c r="H7" s="808"/>
      <c r="I7" s="808"/>
      <c r="J7" s="808"/>
      <c r="K7" s="808"/>
      <c r="L7" s="808"/>
      <c r="M7" s="808"/>
      <c r="N7" s="808"/>
      <c r="O7" s="808"/>
      <c r="P7" s="808"/>
      <c r="Q7" s="808"/>
      <c r="R7" s="808"/>
      <c r="S7" s="808">
        <f t="shared" ref="S7:S16" si="0">SUM(D7:R7)</f>
        <v>0</v>
      </c>
      <c r="W7" s="805"/>
      <c r="X7" s="805"/>
    </row>
    <row r="8" spans="2:24" x14ac:dyDescent="0.25">
      <c r="B8" s="424" t="s">
        <v>426</v>
      </c>
      <c r="C8" s="809" t="s">
        <v>427</v>
      </c>
      <c r="D8" s="813"/>
      <c r="E8" s="808"/>
      <c r="F8" s="808"/>
      <c r="G8" s="808"/>
      <c r="H8" s="808"/>
      <c r="I8" s="808"/>
      <c r="J8" s="808"/>
      <c r="K8" s="808"/>
      <c r="L8" s="808"/>
      <c r="M8" s="808"/>
      <c r="N8" s="808"/>
      <c r="O8" s="808"/>
      <c r="P8" s="808"/>
      <c r="Q8" s="808"/>
      <c r="R8" s="808"/>
      <c r="S8" s="808">
        <f t="shared" si="0"/>
        <v>0</v>
      </c>
      <c r="W8" s="805"/>
      <c r="X8" s="805"/>
    </row>
    <row r="9" spans="2:24" x14ac:dyDescent="0.25">
      <c r="B9" s="424" t="s">
        <v>428</v>
      </c>
      <c r="C9" s="809" t="s">
        <v>429</v>
      </c>
      <c r="D9" s="813">
        <v>1511</v>
      </c>
      <c r="E9" s="808"/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808"/>
      <c r="Q9" s="808"/>
      <c r="R9" s="808"/>
      <c r="S9" s="808">
        <f t="shared" si="0"/>
        <v>1511</v>
      </c>
      <c r="W9" s="805"/>
      <c r="X9" s="805"/>
    </row>
    <row r="10" spans="2:24" x14ac:dyDescent="0.25">
      <c r="B10" s="424" t="s">
        <v>430</v>
      </c>
      <c r="C10" s="809" t="s">
        <v>431</v>
      </c>
      <c r="D10" s="813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>
        <f t="shared" si="0"/>
        <v>0</v>
      </c>
      <c r="W10" s="805"/>
      <c r="X10" s="805"/>
    </row>
    <row r="11" spans="2:24" x14ac:dyDescent="0.25">
      <c r="B11" s="424" t="s">
        <v>432</v>
      </c>
      <c r="C11" s="809" t="s">
        <v>433</v>
      </c>
      <c r="D11" s="813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>
        <f t="shared" si="0"/>
        <v>0</v>
      </c>
      <c r="W11" s="805"/>
      <c r="X11" s="805"/>
    </row>
    <row r="12" spans="2:24" x14ac:dyDescent="0.25">
      <c r="B12" s="424" t="s">
        <v>434</v>
      </c>
      <c r="C12" s="809" t="s">
        <v>435</v>
      </c>
      <c r="D12" s="813"/>
      <c r="E12" s="808"/>
      <c r="F12" s="808"/>
      <c r="G12" s="808"/>
      <c r="H12" s="808"/>
      <c r="I12" s="808"/>
      <c r="J12" s="808"/>
      <c r="K12" s="808"/>
      <c r="L12" s="808"/>
      <c r="M12" s="808"/>
      <c r="N12" s="808"/>
      <c r="O12" s="808"/>
      <c r="P12" s="808"/>
      <c r="Q12" s="808"/>
      <c r="R12" s="808"/>
      <c r="S12" s="808">
        <f t="shared" si="0"/>
        <v>0</v>
      </c>
      <c r="W12" s="805"/>
      <c r="X12" s="805"/>
    </row>
    <row r="13" spans="2:24" x14ac:dyDescent="0.25">
      <c r="B13" s="424" t="s">
        <v>436</v>
      </c>
      <c r="C13" s="809" t="s">
        <v>437</v>
      </c>
      <c r="D13" s="813">
        <v>3321</v>
      </c>
      <c r="E13" s="808"/>
      <c r="F13" s="808"/>
      <c r="G13" s="808"/>
      <c r="H13" s="808"/>
      <c r="I13" s="808"/>
      <c r="J13" s="808"/>
      <c r="K13" s="808"/>
      <c r="L13" s="808"/>
      <c r="M13" s="808"/>
      <c r="N13" s="808"/>
      <c r="O13" s="808"/>
      <c r="P13" s="808"/>
      <c r="Q13" s="808"/>
      <c r="R13" s="808"/>
      <c r="S13" s="808">
        <f t="shared" si="0"/>
        <v>3321</v>
      </c>
      <c r="W13" s="805"/>
      <c r="X13" s="805"/>
    </row>
    <row r="14" spans="2:24" x14ac:dyDescent="0.25">
      <c r="B14" s="424" t="s">
        <v>438</v>
      </c>
      <c r="C14" s="809" t="s">
        <v>439</v>
      </c>
      <c r="D14" s="813"/>
      <c r="E14" s="808"/>
      <c r="F14" s="808"/>
      <c r="G14" s="808"/>
      <c r="H14" s="808"/>
      <c r="I14" s="808"/>
      <c r="J14" s="808"/>
      <c r="K14" s="808"/>
      <c r="L14" s="808"/>
      <c r="M14" s="808"/>
      <c r="N14" s="808"/>
      <c r="O14" s="808"/>
      <c r="P14" s="808"/>
      <c r="Q14" s="808"/>
      <c r="R14" s="808"/>
      <c r="S14" s="808">
        <f t="shared" si="0"/>
        <v>0</v>
      </c>
      <c r="W14" s="805"/>
      <c r="X14" s="805"/>
    </row>
    <row r="15" spans="2:24" x14ac:dyDescent="0.25">
      <c r="B15" s="424" t="s">
        <v>440</v>
      </c>
      <c r="C15" s="809" t="s">
        <v>441</v>
      </c>
      <c r="D15" s="813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>
        <f t="shared" si="0"/>
        <v>0</v>
      </c>
      <c r="W15" s="805"/>
      <c r="X15" s="805"/>
    </row>
    <row r="16" spans="2:24" x14ac:dyDescent="0.25">
      <c r="B16" s="425" t="s">
        <v>442</v>
      </c>
      <c r="C16" s="810" t="s">
        <v>443</v>
      </c>
      <c r="D16" s="815"/>
      <c r="E16" s="816"/>
      <c r="F16" s="816"/>
      <c r="G16" s="816"/>
      <c r="H16" s="816"/>
      <c r="I16" s="816"/>
      <c r="J16" s="816"/>
      <c r="K16" s="816"/>
      <c r="L16" s="816"/>
      <c r="M16" s="816"/>
      <c r="N16" s="816"/>
      <c r="O16" s="816"/>
      <c r="P16" s="816"/>
      <c r="Q16" s="816"/>
      <c r="R16" s="816"/>
      <c r="S16" s="816">
        <f t="shared" si="0"/>
        <v>0</v>
      </c>
      <c r="W16" s="805"/>
      <c r="X16" s="805"/>
    </row>
    <row r="17" spans="2:19" x14ac:dyDescent="0.25">
      <c r="B17" s="418" t="s">
        <v>421</v>
      </c>
      <c r="C17" s="580"/>
      <c r="D17" s="419">
        <f>SUM(D6:D16)</f>
        <v>4832</v>
      </c>
      <c r="E17" s="419">
        <f t="shared" ref="E17:S17" si="1">SUM(E6:E16)</f>
        <v>0</v>
      </c>
      <c r="F17" s="419">
        <f t="shared" si="1"/>
        <v>0</v>
      </c>
      <c r="G17" s="419">
        <f t="shared" si="1"/>
        <v>0</v>
      </c>
      <c r="H17" s="419">
        <f t="shared" si="1"/>
        <v>0</v>
      </c>
      <c r="I17" s="419">
        <f t="shared" si="1"/>
        <v>0</v>
      </c>
      <c r="J17" s="419">
        <f t="shared" si="1"/>
        <v>0</v>
      </c>
      <c r="K17" s="419">
        <f t="shared" si="1"/>
        <v>0</v>
      </c>
      <c r="L17" s="419">
        <f t="shared" si="1"/>
        <v>0</v>
      </c>
      <c r="M17" s="419">
        <f t="shared" si="1"/>
        <v>0</v>
      </c>
      <c r="N17" s="419">
        <f t="shared" si="1"/>
        <v>0</v>
      </c>
      <c r="O17" s="419">
        <f t="shared" si="1"/>
        <v>0</v>
      </c>
      <c r="P17" s="419">
        <f t="shared" si="1"/>
        <v>0</v>
      </c>
      <c r="Q17" s="419">
        <f t="shared" si="1"/>
        <v>0</v>
      </c>
      <c r="R17" s="419">
        <f t="shared" si="1"/>
        <v>0</v>
      </c>
      <c r="S17" s="419">
        <f t="shared" si="1"/>
        <v>4832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B2:E20"/>
  <sheetViews>
    <sheetView zoomScale="75" zoomScaleNormal="75" workbookViewId="0">
      <selection activeCell="C18" sqref="C18"/>
    </sheetView>
  </sheetViews>
  <sheetFormatPr defaultRowHeight="15" x14ac:dyDescent="0.25"/>
  <cols>
    <col min="2" max="2" width="59" customWidth="1"/>
    <col min="5" max="5" width="18" customWidth="1"/>
  </cols>
  <sheetData>
    <row r="2" spans="2:5" x14ac:dyDescent="0.25">
      <c r="B2" s="113" t="s">
        <v>444</v>
      </c>
    </row>
    <row r="3" spans="2:5" x14ac:dyDescent="0.25">
      <c r="B3" s="113" t="s">
        <v>189</v>
      </c>
    </row>
    <row r="4" spans="2:5" x14ac:dyDescent="0.25">
      <c r="B4" s="113"/>
    </row>
    <row r="5" spans="2:5" x14ac:dyDescent="0.25">
      <c r="B5" s="441" t="s">
        <v>445</v>
      </c>
      <c r="C5" s="264">
        <v>2015</v>
      </c>
      <c r="D5" s="264">
        <v>2020</v>
      </c>
      <c r="E5" s="264" t="s">
        <v>446</v>
      </c>
    </row>
    <row r="6" spans="2:5" x14ac:dyDescent="0.25">
      <c r="B6" s="441"/>
      <c r="C6" s="264" t="s">
        <v>447</v>
      </c>
      <c r="D6" s="264" t="s">
        <v>447</v>
      </c>
      <c r="E6" s="441"/>
    </row>
    <row r="7" spans="2:5" x14ac:dyDescent="0.25">
      <c r="B7" s="169" t="s">
        <v>448</v>
      </c>
      <c r="C7" s="449">
        <v>0.9</v>
      </c>
      <c r="D7" s="445">
        <f>C7</f>
        <v>0.9</v>
      </c>
      <c r="E7" s="918" t="s">
        <v>449</v>
      </c>
    </row>
    <row r="8" spans="2:5" x14ac:dyDescent="0.25">
      <c r="B8" s="169" t="s">
        <v>450</v>
      </c>
      <c r="C8" s="449">
        <v>7.0000000000000007E-2</v>
      </c>
      <c r="D8" s="445">
        <v>7.0000000000000007E-2</v>
      </c>
      <c r="E8" s="918" t="s">
        <v>449</v>
      </c>
    </row>
    <row r="9" spans="2:5" x14ac:dyDescent="0.25">
      <c r="B9" s="169" t="s">
        <v>451</v>
      </c>
      <c r="C9" s="449">
        <v>0.15</v>
      </c>
      <c r="D9" s="445">
        <f t="shared" ref="D9:D12" si="0">C9</f>
        <v>0.15</v>
      </c>
      <c r="E9" s="918" t="s">
        <v>449</v>
      </c>
    </row>
    <row r="10" spans="2:5" x14ac:dyDescent="0.25">
      <c r="B10" s="169" t="s">
        <v>452</v>
      </c>
      <c r="C10" s="449">
        <v>0.03</v>
      </c>
      <c r="D10" s="445">
        <f t="shared" si="0"/>
        <v>0.03</v>
      </c>
      <c r="E10" s="918" t="s">
        <v>449</v>
      </c>
    </row>
    <row r="11" spans="2:5" x14ac:dyDescent="0.25">
      <c r="B11" s="169" t="s">
        <v>453</v>
      </c>
      <c r="C11" s="449">
        <v>0</v>
      </c>
      <c r="D11" s="445">
        <v>0</v>
      </c>
      <c r="E11" s="918" t="s">
        <v>449</v>
      </c>
    </row>
    <row r="12" spans="2:5" x14ac:dyDescent="0.25">
      <c r="B12" s="169" t="s">
        <v>454</v>
      </c>
      <c r="C12" s="449">
        <v>0.85</v>
      </c>
      <c r="D12" s="445">
        <f t="shared" si="0"/>
        <v>0.85</v>
      </c>
      <c r="E12" s="918" t="s">
        <v>449</v>
      </c>
    </row>
    <row r="13" spans="2:5" x14ac:dyDescent="0.25">
      <c r="B13" s="169" t="s">
        <v>455</v>
      </c>
      <c r="C13" s="449">
        <v>0.95</v>
      </c>
      <c r="D13" s="445">
        <v>0.95</v>
      </c>
      <c r="E13" s="918" t="s">
        <v>449</v>
      </c>
    </row>
    <row r="14" spans="2:5" x14ac:dyDescent="0.25">
      <c r="B14" s="14"/>
      <c r="C14" s="442"/>
      <c r="E14" s="421"/>
    </row>
    <row r="15" spans="2:5" x14ac:dyDescent="0.25">
      <c r="B15" s="14"/>
      <c r="C15" s="442"/>
      <c r="E15" s="421"/>
    </row>
    <row r="16" spans="2:5" x14ac:dyDescent="0.25">
      <c r="B16" s="441" t="s">
        <v>456</v>
      </c>
      <c r="C16" s="264">
        <v>2015</v>
      </c>
      <c r="D16" s="264">
        <v>2020</v>
      </c>
      <c r="E16" s="264" t="s">
        <v>446</v>
      </c>
    </row>
    <row r="17" spans="2:5" x14ac:dyDescent="0.25">
      <c r="B17" s="441"/>
      <c r="C17" s="264" t="s">
        <v>447</v>
      </c>
      <c r="D17" s="264" t="s">
        <v>447</v>
      </c>
      <c r="E17" s="264"/>
    </row>
    <row r="18" spans="2:5" x14ac:dyDescent="0.25">
      <c r="B18" s="169" t="s">
        <v>457</v>
      </c>
      <c r="C18" s="449">
        <v>0.8</v>
      </c>
      <c r="D18" s="445">
        <f>C18</f>
        <v>0.8</v>
      </c>
      <c r="E18" s="951" t="s">
        <v>449</v>
      </c>
    </row>
    <row r="19" spans="2:5" x14ac:dyDescent="0.25">
      <c r="B19" s="169" t="s">
        <v>458</v>
      </c>
      <c r="C19" s="449">
        <v>0.75</v>
      </c>
      <c r="D19" s="445">
        <f t="shared" ref="D19:D20" si="1">C19</f>
        <v>0.75</v>
      </c>
      <c r="E19" s="951"/>
    </row>
    <row r="20" spans="2:5" x14ac:dyDescent="0.25">
      <c r="B20" s="169" t="s">
        <v>459</v>
      </c>
      <c r="C20" s="449">
        <v>0.8</v>
      </c>
      <c r="D20" s="445">
        <f t="shared" si="1"/>
        <v>0.8</v>
      </c>
      <c r="E20" s="951"/>
    </row>
  </sheetData>
  <mergeCells count="1">
    <mergeCell ref="E18:E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rgb="FFFFC409"/>
  </sheetPr>
  <dimension ref="B2:X63"/>
  <sheetViews>
    <sheetView topLeftCell="A11" zoomScale="75" zoomScaleNormal="75" workbookViewId="0">
      <selection activeCell="E8" sqref="E8"/>
    </sheetView>
  </sheetViews>
  <sheetFormatPr defaultColWidth="9.28515625" defaultRowHeight="15" x14ac:dyDescent="0.25"/>
  <cols>
    <col min="1" max="1" width="9.28515625" style="2"/>
    <col min="2" max="3" width="15.28515625" style="2" customWidth="1"/>
    <col min="4" max="4" width="34.7109375" style="2" customWidth="1"/>
    <col min="5" max="18" width="10.7109375" style="2" customWidth="1"/>
    <col min="19" max="19" width="9.28515625" style="2"/>
    <col min="20" max="20" width="9.7109375" style="2" bestFit="1" customWidth="1"/>
    <col min="21" max="21" width="9.28515625" style="2"/>
    <col min="22" max="22" width="139" style="2" bestFit="1" customWidth="1"/>
    <col min="23" max="16384" width="9.28515625" style="2"/>
  </cols>
  <sheetData>
    <row r="2" spans="2:24" x14ac:dyDescent="0.25">
      <c r="B2" s="106" t="s">
        <v>460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2:24" customFormat="1" x14ac:dyDescent="0.25"/>
    <row r="4" spans="2:24" customFormat="1" x14ac:dyDescent="0.25">
      <c r="B4" s="42" t="s">
        <v>461</v>
      </c>
      <c r="C4" s="42"/>
      <c r="D4" s="42"/>
    </row>
    <row r="5" spans="2:24" customFormat="1" ht="18.75" x14ac:dyDescent="0.3">
      <c r="B5" s="186" t="s">
        <v>462</v>
      </c>
      <c r="C5" s="186"/>
      <c r="D5" s="186"/>
      <c r="E5" s="320"/>
    </row>
    <row r="6" spans="2:24" customFormat="1" x14ac:dyDescent="0.25">
      <c r="E6" s="106"/>
      <c r="F6" s="106"/>
      <c r="U6" s="106" t="s">
        <v>190</v>
      </c>
    </row>
    <row r="7" spans="2:24" customFormat="1" x14ac:dyDescent="0.25">
      <c r="B7" s="125" t="s">
        <v>463</v>
      </c>
      <c r="C7" s="125" t="s">
        <v>464</v>
      </c>
      <c r="D7" s="125" t="s">
        <v>465</v>
      </c>
      <c r="E7" s="125" t="str">
        <f>INFO!C10</f>
        <v>Z01</v>
      </c>
      <c r="F7" s="125" t="str">
        <f>INFO!D10</f>
        <v>Z02</v>
      </c>
      <c r="G7" s="125" t="str">
        <f>INFO!E10</f>
        <v>Z03</v>
      </c>
      <c r="H7" s="125" t="str">
        <f>INFO!F10</f>
        <v>Z04</v>
      </c>
      <c r="I7" s="125" t="str">
        <f>INFO!G10</f>
        <v>Z05</v>
      </c>
      <c r="J7" s="125" t="str">
        <f>INFO!H10</f>
        <v>Z06</v>
      </c>
      <c r="K7" s="125" t="str">
        <f>INFO!I10</f>
        <v>Z07</v>
      </c>
      <c r="L7" s="125" t="str">
        <f>INFO!J10</f>
        <v>Z08</v>
      </c>
      <c r="M7" s="125" t="str">
        <f>INFO!K10</f>
        <v>Z09</v>
      </c>
      <c r="N7" s="125" t="str">
        <f>INFO!L10</f>
        <v>Z10</v>
      </c>
      <c r="O7" s="125" t="str">
        <f>INFO!M10</f>
        <v>Z11</v>
      </c>
      <c r="P7" s="125" t="str">
        <f>INFO!N10</f>
        <v>Z12</v>
      </c>
      <c r="Q7" s="125" t="str">
        <f>INFO!O10</f>
        <v>Z13</v>
      </c>
      <c r="R7" s="125" t="str">
        <f>INFO!P10</f>
        <v>Z14</v>
      </c>
      <c r="S7" s="125" t="str">
        <f>INFO!Q10</f>
        <v>Z15</v>
      </c>
      <c r="U7" s="109" t="s">
        <v>466</v>
      </c>
      <c r="V7" s="124" t="s">
        <v>467</v>
      </c>
      <c r="X7" s="109" t="s">
        <v>468</v>
      </c>
    </row>
    <row r="8" spans="2:24" customFormat="1" x14ac:dyDescent="0.25">
      <c r="B8" s="186" t="s">
        <v>72</v>
      </c>
      <c r="C8" s="219" t="s">
        <v>394</v>
      </c>
      <c r="D8" s="186" t="s">
        <v>469</v>
      </c>
      <c r="E8" s="500">
        <f t="shared" ref="E8:E13" si="0">U8</f>
        <v>0</v>
      </c>
      <c r="F8" s="500"/>
      <c r="G8" s="500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U8" s="467">
        <v>0</v>
      </c>
      <c r="V8" s="394"/>
      <c r="X8" s="632" t="str">
        <f>IF(U8=0, "0", "ok")</f>
        <v>0</v>
      </c>
    </row>
    <row r="9" spans="2:24" customFormat="1" x14ac:dyDescent="0.25">
      <c r="B9" s="186" t="s">
        <v>72</v>
      </c>
      <c r="C9" s="219" t="s">
        <v>470</v>
      </c>
      <c r="D9" s="186" t="s">
        <v>471</v>
      </c>
      <c r="E9" s="500">
        <f t="shared" si="0"/>
        <v>0</v>
      </c>
      <c r="F9" s="500"/>
      <c r="G9" s="500"/>
      <c r="H9" s="500"/>
      <c r="I9" s="500"/>
      <c r="J9" s="500"/>
      <c r="K9" s="500"/>
      <c r="L9" s="500"/>
      <c r="M9" s="500"/>
      <c r="N9" s="500"/>
      <c r="O9" s="500"/>
      <c r="P9" s="500"/>
      <c r="Q9" s="500"/>
      <c r="R9" s="500"/>
      <c r="S9" s="500"/>
      <c r="U9" s="467">
        <v>0</v>
      </c>
      <c r="V9" s="394"/>
      <c r="X9" s="632" t="str">
        <f t="shared" ref="X9:X47" si="1">IF(U9=0, "0", "ok")</f>
        <v>0</v>
      </c>
    </row>
    <row r="10" spans="2:24" customFormat="1" x14ac:dyDescent="0.25">
      <c r="B10" s="186" t="s">
        <v>72</v>
      </c>
      <c r="C10" s="219" t="s">
        <v>398</v>
      </c>
      <c r="D10" s="186" t="s">
        <v>472</v>
      </c>
      <c r="E10" s="500">
        <f t="shared" si="0"/>
        <v>0</v>
      </c>
      <c r="F10" s="500"/>
      <c r="G10" s="500"/>
      <c r="H10" s="500"/>
      <c r="I10" s="500"/>
      <c r="J10" s="500"/>
      <c r="K10" s="500"/>
      <c r="L10" s="500"/>
      <c r="M10" s="500"/>
      <c r="N10" s="500"/>
      <c r="O10" s="500"/>
      <c r="P10" s="500"/>
      <c r="Q10" s="500"/>
      <c r="R10" s="500"/>
      <c r="S10" s="500"/>
      <c r="U10" s="467">
        <v>0</v>
      </c>
      <c r="V10" s="394"/>
      <c r="X10" s="632" t="str">
        <f t="shared" si="1"/>
        <v>0</v>
      </c>
    </row>
    <row r="11" spans="2:24" customFormat="1" x14ac:dyDescent="0.25">
      <c r="B11" s="186" t="s">
        <v>72</v>
      </c>
      <c r="C11" s="219" t="s">
        <v>473</v>
      </c>
      <c r="D11" s="186" t="s">
        <v>474</v>
      </c>
      <c r="E11" s="500">
        <f t="shared" si="0"/>
        <v>0</v>
      </c>
      <c r="F11" s="500"/>
      <c r="G11" s="500"/>
      <c r="H11" s="500"/>
      <c r="I11" s="500"/>
      <c r="J11" s="500"/>
      <c r="K11" s="500"/>
      <c r="L11" s="500"/>
      <c r="M11" s="500"/>
      <c r="N11" s="500"/>
      <c r="O11" s="500"/>
      <c r="P11" s="500"/>
      <c r="Q11" s="500"/>
      <c r="R11" s="500"/>
      <c r="S11" s="500"/>
      <c r="U11" s="467">
        <v>0</v>
      </c>
      <c r="V11" s="394"/>
      <c r="X11" s="632" t="str">
        <f t="shared" si="1"/>
        <v>0</v>
      </c>
    </row>
    <row r="12" spans="2:24" customFormat="1" x14ac:dyDescent="0.25">
      <c r="B12" s="186" t="s">
        <v>72</v>
      </c>
      <c r="C12" s="219" t="s">
        <v>396</v>
      </c>
      <c r="D12" s="186" t="s">
        <v>475</v>
      </c>
      <c r="E12" s="500">
        <f t="shared" si="0"/>
        <v>0</v>
      </c>
      <c r="F12" s="500"/>
      <c r="G12" s="500"/>
      <c r="H12" s="500"/>
      <c r="I12" s="500"/>
      <c r="J12" s="500"/>
      <c r="K12" s="500"/>
      <c r="L12" s="500"/>
      <c r="M12" s="500"/>
      <c r="N12" s="500"/>
      <c r="O12" s="500"/>
      <c r="P12" s="500"/>
      <c r="Q12" s="500"/>
      <c r="R12" s="500"/>
      <c r="S12" s="500"/>
      <c r="U12" s="467">
        <v>0</v>
      </c>
      <c r="V12" s="394"/>
      <c r="X12" s="632" t="str">
        <f t="shared" si="1"/>
        <v>0</v>
      </c>
    </row>
    <row r="13" spans="2:24" customFormat="1" x14ac:dyDescent="0.25">
      <c r="B13" s="186" t="s">
        <v>72</v>
      </c>
      <c r="C13" s="219" t="s">
        <v>476</v>
      </c>
      <c r="D13" s="186" t="s">
        <v>477</v>
      </c>
      <c r="E13" s="500">
        <f t="shared" si="0"/>
        <v>0</v>
      </c>
      <c r="F13" s="500"/>
      <c r="G13" s="500"/>
      <c r="H13" s="500"/>
      <c r="I13" s="500"/>
      <c r="J13" s="500"/>
      <c r="K13" s="500"/>
      <c r="L13" s="500"/>
      <c r="M13" s="500"/>
      <c r="N13" s="500"/>
      <c r="O13" s="500"/>
      <c r="P13" s="500"/>
      <c r="Q13" s="500"/>
      <c r="R13" s="500"/>
      <c r="S13" s="500"/>
      <c r="U13" s="467">
        <v>0</v>
      </c>
      <c r="V13" s="394"/>
      <c r="X13" s="632" t="str">
        <f t="shared" si="1"/>
        <v>0</v>
      </c>
    </row>
    <row r="14" spans="2:24" customFormat="1" x14ac:dyDescent="0.25">
      <c r="B14" s="186" t="s">
        <v>72</v>
      </c>
      <c r="C14" s="219" t="s">
        <v>400</v>
      </c>
      <c r="D14" s="186" t="s">
        <v>478</v>
      </c>
      <c r="E14" s="500">
        <f t="shared" ref="E14:E15" si="2">U14</f>
        <v>0</v>
      </c>
      <c r="F14" s="500"/>
      <c r="G14" s="500"/>
      <c r="H14" s="500"/>
      <c r="I14" s="500"/>
      <c r="J14" s="500"/>
      <c r="K14" s="500"/>
      <c r="L14" s="500"/>
      <c r="M14" s="500"/>
      <c r="N14" s="500"/>
      <c r="O14" s="500"/>
      <c r="P14" s="500"/>
      <c r="Q14" s="500"/>
      <c r="R14" s="500"/>
      <c r="S14" s="500"/>
      <c r="U14" s="467">
        <v>0</v>
      </c>
      <c r="V14" s="394"/>
      <c r="X14" s="632" t="str">
        <f t="shared" si="1"/>
        <v>0</v>
      </c>
    </row>
    <row r="15" spans="2:24" customFormat="1" x14ac:dyDescent="0.25">
      <c r="B15" s="186" t="s">
        <v>72</v>
      </c>
      <c r="C15" s="219" t="s">
        <v>479</v>
      </c>
      <c r="D15" s="186" t="s">
        <v>480</v>
      </c>
      <c r="E15" s="500">
        <f t="shared" si="2"/>
        <v>0</v>
      </c>
      <c r="F15" s="500"/>
      <c r="G15" s="500"/>
      <c r="H15" s="500"/>
      <c r="I15" s="500"/>
      <c r="J15" s="500"/>
      <c r="K15" s="500"/>
      <c r="L15" s="500"/>
      <c r="M15" s="500"/>
      <c r="N15" s="500"/>
      <c r="O15" s="500"/>
      <c r="P15" s="500"/>
      <c r="Q15" s="500"/>
      <c r="R15" s="500"/>
      <c r="S15" s="500"/>
      <c r="U15" s="467">
        <v>0</v>
      </c>
      <c r="V15" s="394"/>
      <c r="X15" s="632" t="str">
        <f t="shared" si="1"/>
        <v>0</v>
      </c>
    </row>
    <row r="16" spans="2:24" customFormat="1" x14ac:dyDescent="0.25">
      <c r="B16" s="186" t="s">
        <v>420</v>
      </c>
      <c r="C16" s="219" t="s">
        <v>420</v>
      </c>
      <c r="D16" s="186" t="s">
        <v>481</v>
      </c>
      <c r="E16" s="500">
        <f t="shared" ref="E16:E17" si="3">U16</f>
        <v>999</v>
      </c>
      <c r="F16" s="500"/>
      <c r="G16" s="500"/>
      <c r="H16" s="500"/>
      <c r="I16" s="500"/>
      <c r="J16" s="500"/>
      <c r="K16" s="500"/>
      <c r="L16" s="500"/>
      <c r="M16" s="500"/>
      <c r="N16" s="500"/>
      <c r="O16" s="500"/>
      <c r="P16" s="500"/>
      <c r="Q16" s="500"/>
      <c r="R16" s="500"/>
      <c r="S16" s="500"/>
      <c r="U16" s="610">
        <v>999</v>
      </c>
      <c r="V16" s="468" t="s">
        <v>482</v>
      </c>
      <c r="X16" s="632" t="str">
        <f t="shared" si="1"/>
        <v>ok</v>
      </c>
    </row>
    <row r="17" spans="2:24" customFormat="1" x14ac:dyDescent="0.25">
      <c r="B17" s="186" t="s">
        <v>420</v>
      </c>
      <c r="C17" s="219" t="s">
        <v>483</v>
      </c>
      <c r="D17" s="186" t="s">
        <v>484</v>
      </c>
      <c r="E17" s="500">
        <f t="shared" si="3"/>
        <v>999</v>
      </c>
      <c r="F17" s="500"/>
      <c r="G17" s="500"/>
      <c r="H17" s="500"/>
      <c r="I17" s="500"/>
      <c r="J17" s="500"/>
      <c r="K17" s="500"/>
      <c r="L17" s="500"/>
      <c r="M17" s="500"/>
      <c r="N17" s="500"/>
      <c r="O17" s="500"/>
      <c r="P17" s="500"/>
      <c r="Q17" s="500"/>
      <c r="R17" s="500"/>
      <c r="S17" s="500"/>
      <c r="U17" s="610">
        <v>999</v>
      </c>
      <c r="V17" s="468" t="s">
        <v>482</v>
      </c>
      <c r="X17" s="632" t="str">
        <f t="shared" si="1"/>
        <v>ok</v>
      </c>
    </row>
    <row r="18" spans="2:24" customFormat="1" x14ac:dyDescent="0.25">
      <c r="B18" s="186" t="s">
        <v>75</v>
      </c>
      <c r="C18" s="186" t="s">
        <v>485</v>
      </c>
      <c r="D18" s="186" t="s">
        <v>486</v>
      </c>
      <c r="E18" s="500">
        <f>U18</f>
        <v>0</v>
      </c>
      <c r="F18" s="500"/>
      <c r="G18" s="500"/>
      <c r="H18" s="500"/>
      <c r="I18" s="500"/>
      <c r="J18" s="500"/>
      <c r="K18" s="500"/>
      <c r="L18" s="500"/>
      <c r="M18" s="500"/>
      <c r="N18" s="500"/>
      <c r="O18" s="500"/>
      <c r="P18" s="500"/>
      <c r="Q18" s="500"/>
      <c r="R18" s="500"/>
      <c r="S18" s="500"/>
      <c r="U18" s="451">
        <v>0</v>
      </c>
      <c r="V18" s="468"/>
      <c r="W18" s="123"/>
      <c r="X18" s="632" t="str">
        <f t="shared" si="1"/>
        <v>0</v>
      </c>
    </row>
    <row r="19" spans="2:24" customFormat="1" x14ac:dyDescent="0.25">
      <c r="B19" s="186" t="s">
        <v>74</v>
      </c>
      <c r="C19" s="186" t="s">
        <v>487</v>
      </c>
      <c r="D19" s="186" t="s">
        <v>488</v>
      </c>
      <c r="E19" s="500">
        <f>U19</f>
        <v>1.2</v>
      </c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U19" s="519">
        <v>1.2</v>
      </c>
      <c r="V19" s="485" t="s">
        <v>489</v>
      </c>
      <c r="W19" s="123"/>
      <c r="X19" s="632" t="str">
        <f t="shared" si="1"/>
        <v>ok</v>
      </c>
    </row>
    <row r="20" spans="2:24" customFormat="1" x14ac:dyDescent="0.25">
      <c r="B20" s="186" t="s">
        <v>490</v>
      </c>
      <c r="C20" s="186" t="s">
        <v>491</v>
      </c>
      <c r="D20" s="186" t="s">
        <v>492</v>
      </c>
      <c r="E20" s="500">
        <f>U20</f>
        <v>0</v>
      </c>
      <c r="F20" s="500"/>
      <c r="G20" s="500"/>
      <c r="H20" s="500"/>
      <c r="I20" s="500"/>
      <c r="J20" s="500"/>
      <c r="K20" s="500"/>
      <c r="L20" s="500"/>
      <c r="M20" s="500"/>
      <c r="N20" s="500"/>
      <c r="O20" s="500"/>
      <c r="P20" s="500"/>
      <c r="Q20" s="500"/>
      <c r="R20" s="500"/>
      <c r="S20" s="500"/>
      <c r="U20" s="451">
        <v>0</v>
      </c>
      <c r="V20" s="468"/>
      <c r="W20" s="123"/>
      <c r="X20" s="632" t="str">
        <f t="shared" si="1"/>
        <v>0</v>
      </c>
    </row>
    <row r="21" spans="2:24" customFormat="1" x14ac:dyDescent="0.25">
      <c r="B21" s="186" t="s">
        <v>76</v>
      </c>
      <c r="C21" s="186" t="s">
        <v>76</v>
      </c>
      <c r="D21" s="186" t="s">
        <v>493</v>
      </c>
      <c r="E21" s="500">
        <f t="shared" ref="E21:E47" si="4">U21</f>
        <v>0</v>
      </c>
      <c r="F21" s="500"/>
      <c r="G21" s="500"/>
      <c r="H21" s="500"/>
      <c r="I21" s="500"/>
      <c r="J21" s="500"/>
      <c r="K21" s="500"/>
      <c r="L21" s="500"/>
      <c r="M21" s="500"/>
      <c r="N21" s="500"/>
      <c r="O21" s="500"/>
      <c r="P21" s="500"/>
      <c r="Q21" s="500"/>
      <c r="R21" s="500"/>
      <c r="S21" s="500"/>
      <c r="U21" s="451">
        <v>0</v>
      </c>
      <c r="V21" s="468"/>
      <c r="W21" s="123"/>
      <c r="X21" s="632" t="str">
        <f t="shared" si="1"/>
        <v>0</v>
      </c>
    </row>
    <row r="22" spans="2:24" customFormat="1" x14ac:dyDescent="0.25">
      <c r="B22" s="186" t="s">
        <v>76</v>
      </c>
      <c r="C22" s="186" t="s">
        <v>494</v>
      </c>
      <c r="D22" s="186" t="s">
        <v>495</v>
      </c>
      <c r="E22" s="500">
        <f t="shared" si="4"/>
        <v>0</v>
      </c>
      <c r="F22" s="500"/>
      <c r="G22" s="500"/>
      <c r="H22" s="500"/>
      <c r="I22" s="500"/>
      <c r="J22" s="500"/>
      <c r="K22" s="500"/>
      <c r="L22" s="500"/>
      <c r="M22" s="500"/>
      <c r="N22" s="500"/>
      <c r="O22" s="500"/>
      <c r="P22" s="500"/>
      <c r="Q22" s="500"/>
      <c r="R22" s="500"/>
      <c r="S22" s="500"/>
      <c r="U22" s="451">
        <v>0</v>
      </c>
      <c r="V22" s="468"/>
      <c r="W22" s="123"/>
      <c r="X22" s="632" t="str">
        <f t="shared" si="1"/>
        <v>0</v>
      </c>
    </row>
    <row r="23" spans="2:24" customFormat="1" x14ac:dyDescent="0.25">
      <c r="B23" s="186" t="s">
        <v>77</v>
      </c>
      <c r="C23" s="186" t="s">
        <v>415</v>
      </c>
      <c r="D23" s="186" t="s">
        <v>496</v>
      </c>
      <c r="E23" s="500">
        <f t="shared" si="4"/>
        <v>0</v>
      </c>
      <c r="F23" s="500"/>
      <c r="G23" s="500"/>
      <c r="H23" s="500"/>
      <c r="I23" s="500"/>
      <c r="J23" s="500"/>
      <c r="K23" s="500"/>
      <c r="L23" s="500"/>
      <c r="M23" s="500"/>
      <c r="N23" s="500"/>
      <c r="O23" s="500"/>
      <c r="P23" s="500"/>
      <c r="Q23" s="500"/>
      <c r="R23" s="500"/>
      <c r="S23" s="500"/>
      <c r="T23" s="693"/>
      <c r="U23" s="451">
        <v>0</v>
      </c>
      <c r="V23" s="485"/>
      <c r="W23" s="123"/>
      <c r="X23" s="632" t="str">
        <f t="shared" si="1"/>
        <v>0</v>
      </c>
    </row>
    <row r="24" spans="2:24" customFormat="1" x14ac:dyDescent="0.25">
      <c r="B24" s="186" t="s">
        <v>77</v>
      </c>
      <c r="C24" s="186" t="s">
        <v>414</v>
      </c>
      <c r="D24" s="186" t="s">
        <v>497</v>
      </c>
      <c r="E24" s="500">
        <f t="shared" si="4"/>
        <v>12</v>
      </c>
      <c r="F24" s="500"/>
      <c r="G24" s="500"/>
      <c r="H24" s="500"/>
      <c r="I24" s="500"/>
      <c r="J24" s="500"/>
      <c r="K24" s="500"/>
      <c r="L24" s="500"/>
      <c r="M24" s="500"/>
      <c r="N24" s="500"/>
      <c r="O24" s="500"/>
      <c r="P24" s="500"/>
      <c r="Q24" s="500"/>
      <c r="R24" s="500"/>
      <c r="S24" s="500"/>
      <c r="T24" s="693"/>
      <c r="U24" s="451">
        <v>12</v>
      </c>
      <c r="V24" s="485" t="s">
        <v>498</v>
      </c>
      <c r="W24" s="123"/>
      <c r="X24" s="632" t="str">
        <f t="shared" si="1"/>
        <v>ok</v>
      </c>
    </row>
    <row r="25" spans="2:24" customFormat="1" x14ac:dyDescent="0.25">
      <c r="B25" s="191" t="s">
        <v>78</v>
      </c>
      <c r="C25" s="191" t="s">
        <v>499</v>
      </c>
      <c r="D25" s="191" t="s">
        <v>426</v>
      </c>
      <c r="E25" s="500">
        <f t="shared" si="4"/>
        <v>0</v>
      </c>
      <c r="F25" s="500"/>
      <c r="G25" s="500"/>
      <c r="H25" s="500"/>
      <c r="I25" s="500"/>
      <c r="J25" s="500"/>
      <c r="K25" s="500"/>
      <c r="L25" s="500"/>
      <c r="M25" s="500"/>
      <c r="N25" s="500"/>
      <c r="O25" s="500"/>
      <c r="P25" s="500"/>
      <c r="Q25" s="500"/>
      <c r="R25" s="500"/>
      <c r="S25" s="500"/>
      <c r="U25" s="451">
        <v>0</v>
      </c>
      <c r="V25" s="468">
        <v>0</v>
      </c>
      <c r="W25" s="123"/>
      <c r="X25" s="632" t="str">
        <f t="shared" si="1"/>
        <v>0</v>
      </c>
    </row>
    <row r="26" spans="2:24" customFormat="1" x14ac:dyDescent="0.25">
      <c r="B26" s="191" t="s">
        <v>78</v>
      </c>
      <c r="C26" s="191" t="s">
        <v>423</v>
      </c>
      <c r="D26" s="186" t="s">
        <v>162</v>
      </c>
      <c r="E26" s="500">
        <f t="shared" ref="E26:E27" si="5">U26</f>
        <v>0</v>
      </c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500"/>
      <c r="U26" s="451">
        <v>0</v>
      </c>
      <c r="V26" s="468">
        <v>0</v>
      </c>
      <c r="W26" s="123"/>
      <c r="X26" s="632" t="str">
        <f t="shared" si="1"/>
        <v>0</v>
      </c>
    </row>
    <row r="27" spans="2:24" customFormat="1" x14ac:dyDescent="0.25">
      <c r="B27" s="191" t="s">
        <v>78</v>
      </c>
      <c r="C27" s="191" t="s">
        <v>425</v>
      </c>
      <c r="D27" s="186" t="s">
        <v>196</v>
      </c>
      <c r="E27" s="500">
        <f t="shared" si="5"/>
        <v>0</v>
      </c>
      <c r="F27" s="500"/>
      <c r="G27" s="500"/>
      <c r="H27" s="500"/>
      <c r="I27" s="500"/>
      <c r="J27" s="500"/>
      <c r="K27" s="500"/>
      <c r="L27" s="500"/>
      <c r="M27" s="500"/>
      <c r="N27" s="500"/>
      <c r="O27" s="500"/>
      <c r="P27" s="500"/>
      <c r="Q27" s="500"/>
      <c r="R27" s="500"/>
      <c r="S27" s="500"/>
      <c r="U27" s="451">
        <v>0</v>
      </c>
      <c r="V27" s="468">
        <v>0</v>
      </c>
      <c r="W27" s="123"/>
      <c r="X27" s="632" t="str">
        <f t="shared" si="1"/>
        <v>0</v>
      </c>
    </row>
    <row r="28" spans="2:24" customFormat="1" x14ac:dyDescent="0.25">
      <c r="B28" s="191" t="s">
        <v>78</v>
      </c>
      <c r="C28" s="191" t="s">
        <v>500</v>
      </c>
      <c r="D28" s="191" t="s">
        <v>501</v>
      </c>
      <c r="E28" s="500">
        <f t="shared" si="4"/>
        <v>0.76</v>
      </c>
      <c r="F28" s="500"/>
      <c r="G28" s="500"/>
      <c r="H28" s="500"/>
      <c r="I28" s="500"/>
      <c r="J28" s="500"/>
      <c r="K28" s="500"/>
      <c r="L28" s="500"/>
      <c r="M28" s="500"/>
      <c r="N28" s="500"/>
      <c r="O28" s="500"/>
      <c r="P28" s="500"/>
      <c r="Q28" s="500"/>
      <c r="R28" s="500"/>
      <c r="S28" s="500"/>
      <c r="U28" s="519">
        <v>0.76</v>
      </c>
      <c r="V28" s="485" t="s">
        <v>502</v>
      </c>
      <c r="W28" s="123"/>
      <c r="X28" s="632" t="str">
        <f t="shared" si="1"/>
        <v>ok</v>
      </c>
    </row>
    <row r="29" spans="2:24" customFormat="1" x14ac:dyDescent="0.25">
      <c r="B29" s="191" t="s">
        <v>78</v>
      </c>
      <c r="C29" s="191" t="s">
        <v>503</v>
      </c>
      <c r="D29" s="191" t="s">
        <v>504</v>
      </c>
      <c r="E29" s="500">
        <f t="shared" si="4"/>
        <v>0</v>
      </c>
      <c r="F29" s="500"/>
      <c r="G29" s="500"/>
      <c r="H29" s="500"/>
      <c r="I29" s="500"/>
      <c r="J29" s="500"/>
      <c r="K29" s="500"/>
      <c r="L29" s="500"/>
      <c r="M29" s="500"/>
      <c r="N29" s="500"/>
      <c r="O29" s="500"/>
      <c r="P29" s="500"/>
      <c r="Q29" s="500"/>
      <c r="R29" s="500"/>
      <c r="S29" s="500"/>
      <c r="U29" s="451">
        <v>0</v>
      </c>
      <c r="V29" s="485"/>
      <c r="W29" s="123"/>
      <c r="X29" s="632" t="str">
        <f t="shared" si="1"/>
        <v>0</v>
      </c>
    </row>
    <row r="30" spans="2:24" customFormat="1" x14ac:dyDescent="0.25">
      <c r="B30" s="191" t="s">
        <v>78</v>
      </c>
      <c r="C30" s="191" t="s">
        <v>505</v>
      </c>
      <c r="D30" s="191" t="s">
        <v>506</v>
      </c>
      <c r="E30" s="500">
        <f t="shared" si="4"/>
        <v>8.61</v>
      </c>
      <c r="F30" s="500"/>
      <c r="G30" s="500"/>
      <c r="H30" s="500"/>
      <c r="I30" s="500"/>
      <c r="J30" s="500"/>
      <c r="K30" s="500"/>
      <c r="L30" s="500"/>
      <c r="M30" s="500"/>
      <c r="N30" s="500"/>
      <c r="O30" s="500"/>
      <c r="P30" s="500"/>
      <c r="Q30" s="500"/>
      <c r="R30" s="500"/>
      <c r="S30" s="500"/>
      <c r="U30" s="451">
        <v>8.61</v>
      </c>
      <c r="V30" s="485" t="s">
        <v>502</v>
      </c>
      <c r="W30" s="123"/>
      <c r="X30" s="632" t="str">
        <f t="shared" si="1"/>
        <v>ok</v>
      </c>
    </row>
    <row r="31" spans="2:24" customFormat="1" x14ac:dyDescent="0.25">
      <c r="B31" s="191" t="s">
        <v>507</v>
      </c>
      <c r="C31" s="186" t="s">
        <v>508</v>
      </c>
      <c r="D31" s="186" t="s">
        <v>426</v>
      </c>
      <c r="E31" s="500">
        <f t="shared" si="4"/>
        <v>0</v>
      </c>
      <c r="F31" s="500"/>
      <c r="G31" s="500"/>
      <c r="H31" s="500"/>
      <c r="I31" s="500"/>
      <c r="J31" s="500"/>
      <c r="K31" s="500"/>
      <c r="L31" s="500"/>
      <c r="M31" s="500"/>
      <c r="N31" s="500"/>
      <c r="O31" s="500"/>
      <c r="P31" s="500"/>
      <c r="Q31" s="500"/>
      <c r="R31" s="500"/>
      <c r="S31" s="500"/>
      <c r="U31" s="451">
        <v>0</v>
      </c>
      <c r="V31" s="468"/>
      <c r="W31" s="123"/>
      <c r="X31" s="632" t="str">
        <f t="shared" si="1"/>
        <v>0</v>
      </c>
    </row>
    <row r="32" spans="2:24" customFormat="1" x14ac:dyDescent="0.25">
      <c r="B32" s="191" t="s">
        <v>507</v>
      </c>
      <c r="C32" s="186" t="s">
        <v>509</v>
      </c>
      <c r="D32" s="186" t="s">
        <v>162</v>
      </c>
      <c r="E32" s="500">
        <f t="shared" ref="E32:E33" si="6">U32</f>
        <v>0</v>
      </c>
      <c r="F32" s="500"/>
      <c r="G32" s="500"/>
      <c r="H32" s="500"/>
      <c r="I32" s="500"/>
      <c r="J32" s="500"/>
      <c r="K32" s="500"/>
      <c r="L32" s="500"/>
      <c r="M32" s="500"/>
      <c r="N32" s="500"/>
      <c r="O32" s="500"/>
      <c r="P32" s="500"/>
      <c r="Q32" s="500"/>
      <c r="R32" s="500"/>
      <c r="S32" s="500"/>
      <c r="U32" s="451">
        <v>0</v>
      </c>
      <c r="V32" s="468"/>
      <c r="W32" s="123"/>
      <c r="X32" s="632" t="str">
        <f t="shared" si="1"/>
        <v>0</v>
      </c>
    </row>
    <row r="33" spans="2:24" customFormat="1" x14ac:dyDescent="0.25">
      <c r="B33" s="191" t="s">
        <v>507</v>
      </c>
      <c r="C33" s="186" t="s">
        <v>510</v>
      </c>
      <c r="D33" s="186" t="s">
        <v>196</v>
      </c>
      <c r="E33" s="500">
        <f t="shared" si="6"/>
        <v>0</v>
      </c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500"/>
      <c r="U33" s="451">
        <v>0</v>
      </c>
      <c r="V33" s="468"/>
      <c r="W33" s="123"/>
      <c r="X33" s="632" t="str">
        <f t="shared" si="1"/>
        <v>0</v>
      </c>
    </row>
    <row r="34" spans="2:24" customFormat="1" x14ac:dyDescent="0.25">
      <c r="B34" s="191" t="s">
        <v>507</v>
      </c>
      <c r="C34" s="191" t="s">
        <v>500</v>
      </c>
      <c r="D34" s="191" t="s">
        <v>501</v>
      </c>
      <c r="E34" s="500">
        <f t="shared" si="4"/>
        <v>0.76</v>
      </c>
      <c r="F34" s="500"/>
      <c r="G34" s="500"/>
      <c r="H34" s="500"/>
      <c r="I34" s="500"/>
      <c r="J34" s="500"/>
      <c r="K34" s="500"/>
      <c r="L34" s="500"/>
      <c r="M34" s="500"/>
      <c r="N34" s="500"/>
      <c r="O34" s="500"/>
      <c r="P34" s="500"/>
      <c r="Q34" s="500"/>
      <c r="R34" s="500"/>
      <c r="S34" s="500"/>
      <c r="U34" s="451">
        <f>U28</f>
        <v>0.76</v>
      </c>
      <c r="V34" s="468"/>
      <c r="W34" s="123"/>
      <c r="X34" s="632" t="str">
        <f t="shared" si="1"/>
        <v>ok</v>
      </c>
    </row>
    <row r="35" spans="2:24" customFormat="1" x14ac:dyDescent="0.25">
      <c r="B35" s="191" t="s">
        <v>507</v>
      </c>
      <c r="C35" s="191" t="s">
        <v>503</v>
      </c>
      <c r="D35" s="191" t="s">
        <v>504</v>
      </c>
      <c r="E35" s="500">
        <f t="shared" si="4"/>
        <v>0</v>
      </c>
      <c r="F35" s="500"/>
      <c r="G35" s="500"/>
      <c r="H35" s="500"/>
      <c r="I35" s="500"/>
      <c r="J35" s="500"/>
      <c r="K35" s="500"/>
      <c r="L35" s="500"/>
      <c r="M35" s="500"/>
      <c r="N35" s="500"/>
      <c r="O35" s="500"/>
      <c r="P35" s="500"/>
      <c r="Q35" s="500"/>
      <c r="R35" s="500"/>
      <c r="S35" s="500"/>
      <c r="U35" s="451">
        <v>0</v>
      </c>
      <c r="V35" s="468"/>
      <c r="W35" s="123"/>
      <c r="X35" s="632" t="str">
        <f t="shared" si="1"/>
        <v>0</v>
      </c>
    </row>
    <row r="36" spans="2:24" customFormat="1" x14ac:dyDescent="0.25">
      <c r="B36" s="191" t="s">
        <v>507</v>
      </c>
      <c r="C36" s="191" t="s">
        <v>505</v>
      </c>
      <c r="D36" s="191" t="s">
        <v>506</v>
      </c>
      <c r="E36" s="500">
        <f t="shared" si="4"/>
        <v>0</v>
      </c>
      <c r="F36" s="500"/>
      <c r="G36" s="500"/>
      <c r="H36" s="500"/>
      <c r="I36" s="500"/>
      <c r="J36" s="500"/>
      <c r="K36" s="500"/>
      <c r="L36" s="500"/>
      <c r="M36" s="500"/>
      <c r="N36" s="500"/>
      <c r="O36" s="500"/>
      <c r="P36" s="500"/>
      <c r="Q36" s="500"/>
      <c r="R36" s="500"/>
      <c r="S36" s="500"/>
      <c r="U36" s="451">
        <v>0</v>
      </c>
      <c r="V36" s="468"/>
      <c r="W36" s="123"/>
      <c r="X36" s="632" t="str">
        <f t="shared" si="1"/>
        <v>0</v>
      </c>
    </row>
    <row r="37" spans="2:24" customFormat="1" x14ac:dyDescent="0.25">
      <c r="B37" s="186" t="s">
        <v>80</v>
      </c>
      <c r="C37" s="186" t="s">
        <v>511</v>
      </c>
      <c r="D37" s="186" t="s">
        <v>512</v>
      </c>
      <c r="E37" s="500">
        <f t="shared" si="4"/>
        <v>0</v>
      </c>
      <c r="F37" s="500"/>
      <c r="G37" s="500"/>
      <c r="H37" s="500"/>
      <c r="I37" s="500"/>
      <c r="J37" s="500"/>
      <c r="K37" s="500"/>
      <c r="L37" s="500"/>
      <c r="M37" s="500"/>
      <c r="N37" s="500"/>
      <c r="O37" s="500"/>
      <c r="P37" s="500"/>
      <c r="Q37" s="500"/>
      <c r="R37" s="500"/>
      <c r="S37" s="500"/>
      <c r="U37" s="451">
        <v>0</v>
      </c>
      <c r="V37" s="468"/>
      <c r="W37" s="123"/>
      <c r="X37" s="632" t="str">
        <f t="shared" si="1"/>
        <v>0</v>
      </c>
    </row>
    <row r="38" spans="2:24" customFormat="1" x14ac:dyDescent="0.25">
      <c r="B38" s="186" t="s">
        <v>80</v>
      </c>
      <c r="C38" s="186" t="s">
        <v>513</v>
      </c>
      <c r="D38" s="186" t="s">
        <v>514</v>
      </c>
      <c r="E38" s="500">
        <f t="shared" si="4"/>
        <v>0</v>
      </c>
      <c r="F38" s="500"/>
      <c r="G38" s="500"/>
      <c r="H38" s="500"/>
      <c r="I38" s="500"/>
      <c r="J38" s="500"/>
      <c r="K38" s="500"/>
      <c r="L38" s="500"/>
      <c r="M38" s="500"/>
      <c r="N38" s="500"/>
      <c r="O38" s="500"/>
      <c r="P38" s="500"/>
      <c r="Q38" s="500"/>
      <c r="R38" s="500"/>
      <c r="S38" s="500"/>
      <c r="U38" s="451">
        <v>0</v>
      </c>
      <c r="V38" s="468"/>
      <c r="W38" s="123"/>
      <c r="X38" s="632" t="str">
        <f t="shared" si="1"/>
        <v>0</v>
      </c>
    </row>
    <row r="39" spans="2:24" customFormat="1" x14ac:dyDescent="0.25">
      <c r="B39" s="186" t="s">
        <v>80</v>
      </c>
      <c r="C39" s="186" t="s">
        <v>417</v>
      </c>
      <c r="D39" s="186" t="s">
        <v>515</v>
      </c>
      <c r="E39" s="500">
        <f t="shared" si="4"/>
        <v>0</v>
      </c>
      <c r="F39" s="500"/>
      <c r="G39" s="500"/>
      <c r="H39" s="500"/>
      <c r="I39" s="500"/>
      <c r="J39" s="500"/>
      <c r="K39" s="500"/>
      <c r="L39" s="500"/>
      <c r="M39" s="500"/>
      <c r="N39" s="500"/>
      <c r="O39" s="500"/>
      <c r="P39" s="500"/>
      <c r="Q39" s="500"/>
      <c r="R39" s="500"/>
      <c r="S39" s="500"/>
      <c r="U39" s="451">
        <v>0</v>
      </c>
      <c r="V39" s="468"/>
      <c r="W39" s="123"/>
      <c r="X39" s="632" t="str">
        <f t="shared" si="1"/>
        <v>0</v>
      </c>
    </row>
    <row r="40" spans="2:24" customFormat="1" x14ac:dyDescent="0.25">
      <c r="B40" s="186" t="s">
        <v>80</v>
      </c>
      <c r="C40" s="186" t="s">
        <v>417</v>
      </c>
      <c r="D40" s="186" t="s">
        <v>516</v>
      </c>
      <c r="E40" s="500">
        <f t="shared" ref="E40" si="7">U40</f>
        <v>0</v>
      </c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500"/>
      <c r="U40" s="451">
        <v>0</v>
      </c>
      <c r="V40" s="468"/>
      <c r="W40" s="123"/>
      <c r="X40" s="632" t="str">
        <f t="shared" si="1"/>
        <v>0</v>
      </c>
    </row>
    <row r="41" spans="2:24" customFormat="1" x14ac:dyDescent="0.25">
      <c r="B41" s="186" t="s">
        <v>80</v>
      </c>
      <c r="C41" s="186" t="s">
        <v>419</v>
      </c>
      <c r="D41" s="186" t="s">
        <v>517</v>
      </c>
      <c r="E41" s="500">
        <f t="shared" si="4"/>
        <v>0</v>
      </c>
      <c r="F41" s="500"/>
      <c r="G41" s="500"/>
      <c r="H41" s="500"/>
      <c r="I41" s="500"/>
      <c r="J41" s="500"/>
      <c r="K41" s="500"/>
      <c r="L41" s="500"/>
      <c r="M41" s="500"/>
      <c r="N41" s="500"/>
      <c r="O41" s="500"/>
      <c r="P41" s="500"/>
      <c r="Q41" s="500"/>
      <c r="R41" s="500"/>
      <c r="S41" s="500"/>
      <c r="U41" s="451">
        <v>0</v>
      </c>
      <c r="V41" s="468"/>
      <c r="W41" s="123"/>
      <c r="X41" s="632" t="str">
        <f t="shared" si="1"/>
        <v>0</v>
      </c>
    </row>
    <row r="42" spans="2:24" customFormat="1" x14ac:dyDescent="0.25">
      <c r="B42" s="186" t="s">
        <v>80</v>
      </c>
      <c r="C42" s="186" t="s">
        <v>441</v>
      </c>
      <c r="D42" s="186" t="s">
        <v>518</v>
      </c>
      <c r="E42" s="500">
        <f t="shared" si="4"/>
        <v>0</v>
      </c>
      <c r="F42" s="500"/>
      <c r="G42" s="500"/>
      <c r="H42" s="500"/>
      <c r="I42" s="500"/>
      <c r="J42" s="500"/>
      <c r="K42" s="500"/>
      <c r="L42" s="500"/>
      <c r="M42" s="500"/>
      <c r="N42" s="500"/>
      <c r="O42" s="500"/>
      <c r="P42" s="500"/>
      <c r="Q42" s="500"/>
      <c r="R42" s="500"/>
      <c r="S42" s="500"/>
      <c r="U42" s="451">
        <v>0</v>
      </c>
      <c r="V42" s="468"/>
      <c r="W42" s="123"/>
      <c r="X42" s="632" t="str">
        <f t="shared" si="1"/>
        <v>0</v>
      </c>
    </row>
    <row r="43" spans="2:24" customFormat="1" x14ac:dyDescent="0.25">
      <c r="B43" s="191" t="s">
        <v>81</v>
      </c>
      <c r="C43" s="191" t="s">
        <v>81</v>
      </c>
      <c r="D43" s="191" t="s">
        <v>519</v>
      </c>
      <c r="E43" s="500">
        <f t="shared" si="4"/>
        <v>0</v>
      </c>
      <c r="F43" s="500"/>
      <c r="G43" s="500"/>
      <c r="H43" s="500"/>
      <c r="I43" s="500"/>
      <c r="J43" s="500"/>
      <c r="K43" s="500"/>
      <c r="L43" s="500"/>
      <c r="M43" s="500"/>
      <c r="N43" s="500"/>
      <c r="O43" s="500"/>
      <c r="P43" s="500"/>
      <c r="Q43" s="500"/>
      <c r="R43" s="500"/>
      <c r="S43" s="500"/>
      <c r="U43" s="451">
        <v>0</v>
      </c>
      <c r="V43" s="468"/>
      <c r="W43" s="123"/>
      <c r="X43" s="632" t="str">
        <f t="shared" si="1"/>
        <v>0</v>
      </c>
    </row>
    <row r="44" spans="2:24" customFormat="1" x14ac:dyDescent="0.25">
      <c r="B44" s="191" t="s">
        <v>81</v>
      </c>
      <c r="C44" s="191" t="s">
        <v>443</v>
      </c>
      <c r="D44" s="191" t="s">
        <v>520</v>
      </c>
      <c r="E44" s="500">
        <f t="shared" si="4"/>
        <v>0</v>
      </c>
      <c r="F44" s="500"/>
      <c r="G44" s="500"/>
      <c r="H44" s="500"/>
      <c r="I44" s="500"/>
      <c r="J44" s="500"/>
      <c r="K44" s="500"/>
      <c r="L44" s="500"/>
      <c r="M44" s="500"/>
      <c r="N44" s="500"/>
      <c r="O44" s="500"/>
      <c r="P44" s="500"/>
      <c r="Q44" s="500"/>
      <c r="R44" s="500"/>
      <c r="S44" s="500"/>
      <c r="U44" s="451">
        <v>0</v>
      </c>
      <c r="V44" s="468"/>
      <c r="W44" s="123"/>
      <c r="X44" s="632" t="str">
        <f t="shared" si="1"/>
        <v>0</v>
      </c>
    </row>
    <row r="45" spans="2:24" customFormat="1" x14ac:dyDescent="0.25">
      <c r="B45" s="191" t="s">
        <v>81</v>
      </c>
      <c r="C45" s="191" t="s">
        <v>521</v>
      </c>
      <c r="D45" s="191" t="s">
        <v>522</v>
      </c>
      <c r="E45" s="500">
        <f t="shared" si="4"/>
        <v>0</v>
      </c>
      <c r="F45" s="500"/>
      <c r="G45" s="500"/>
      <c r="H45" s="500"/>
      <c r="I45" s="500"/>
      <c r="J45" s="500"/>
      <c r="K45" s="500"/>
      <c r="L45" s="500"/>
      <c r="M45" s="500"/>
      <c r="N45" s="500"/>
      <c r="O45" s="500"/>
      <c r="P45" s="500"/>
      <c r="Q45" s="500"/>
      <c r="R45" s="500"/>
      <c r="S45" s="500"/>
      <c r="U45" s="451">
        <v>0</v>
      </c>
      <c r="V45" s="468"/>
      <c r="W45" s="123"/>
      <c r="X45" s="632" t="str">
        <f t="shared" si="1"/>
        <v>0</v>
      </c>
    </row>
    <row r="46" spans="2:24" customFormat="1" x14ac:dyDescent="0.25">
      <c r="B46" s="186" t="s">
        <v>82</v>
      </c>
      <c r="C46" s="186" t="s">
        <v>523</v>
      </c>
      <c r="D46" s="186" t="s">
        <v>524</v>
      </c>
      <c r="E46" s="500">
        <f t="shared" si="4"/>
        <v>0</v>
      </c>
      <c r="F46" s="500"/>
      <c r="G46" s="500"/>
      <c r="H46" s="500"/>
      <c r="I46" s="500"/>
      <c r="J46" s="500"/>
      <c r="K46" s="500"/>
      <c r="L46" s="500"/>
      <c r="M46" s="500"/>
      <c r="N46" s="500"/>
      <c r="O46" s="500"/>
      <c r="P46" s="500"/>
      <c r="Q46" s="500"/>
      <c r="R46" s="500"/>
      <c r="S46" s="500"/>
      <c r="U46" s="451">
        <v>0</v>
      </c>
      <c r="V46" s="468"/>
      <c r="X46" s="632" t="str">
        <f t="shared" si="1"/>
        <v>0</v>
      </c>
    </row>
    <row r="47" spans="2:24" customFormat="1" x14ac:dyDescent="0.25">
      <c r="B47" s="186" t="s">
        <v>82</v>
      </c>
      <c r="C47" s="186" t="s">
        <v>82</v>
      </c>
      <c r="D47" s="186" t="s">
        <v>525</v>
      </c>
      <c r="E47" s="500">
        <f t="shared" si="4"/>
        <v>0</v>
      </c>
      <c r="F47" s="500"/>
      <c r="G47" s="500"/>
      <c r="H47" s="500"/>
      <c r="I47" s="500"/>
      <c r="J47" s="500"/>
      <c r="K47" s="500"/>
      <c r="L47" s="500"/>
      <c r="M47" s="500"/>
      <c r="N47" s="500"/>
      <c r="O47" s="500"/>
      <c r="P47" s="500"/>
      <c r="Q47" s="500"/>
      <c r="R47" s="500"/>
      <c r="S47" s="500"/>
      <c r="U47" s="451">
        <v>0</v>
      </c>
      <c r="V47" s="468"/>
      <c r="X47" s="632" t="str">
        <f t="shared" si="1"/>
        <v>0</v>
      </c>
    </row>
    <row r="48" spans="2:24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</sheetData>
  <sortState xmlns:xlrd2="http://schemas.microsoft.com/office/spreadsheetml/2017/richdata2" ref="B18:V42">
    <sortCondition ref="B6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>
    <tabColor rgb="FFFFC000"/>
  </sheetPr>
  <dimension ref="A1:U368"/>
  <sheetViews>
    <sheetView zoomScale="75" zoomScaleNormal="75" workbookViewId="0">
      <selection activeCell="E17" sqref="E17"/>
    </sheetView>
  </sheetViews>
  <sheetFormatPr defaultColWidth="9.28515625" defaultRowHeight="15" x14ac:dyDescent="0.25"/>
  <cols>
    <col min="1" max="1" width="11.7109375" style="14" customWidth="1"/>
    <col min="2" max="2" width="41.28515625" style="14" customWidth="1"/>
    <col min="3" max="3" width="15.5703125" style="14" customWidth="1"/>
    <col min="4" max="4" width="10.42578125" style="14" bestFit="1" customWidth="1"/>
    <col min="5" max="5" width="10.42578125" style="14" customWidth="1"/>
    <col min="6" max="11" width="10" style="14" bestFit="1" customWidth="1"/>
    <col min="12" max="12" width="10.42578125" style="14" bestFit="1" customWidth="1"/>
    <col min="13" max="18" width="10" style="14" bestFit="1" customWidth="1"/>
    <col min="19" max="19" width="10.5703125" style="14" customWidth="1"/>
    <col min="20" max="20" width="12.5703125" style="14" customWidth="1"/>
    <col min="21" max="21" width="12.28515625" style="14" customWidth="1"/>
    <col min="22" max="16384" width="9.28515625" style="14"/>
  </cols>
  <sheetData>
    <row r="1" spans="2:21" x14ac:dyDescent="0.25">
      <c r="T1" s="120"/>
    </row>
    <row r="2" spans="2:21" x14ac:dyDescent="0.25">
      <c r="B2" s="149"/>
      <c r="C2" s="149"/>
    </row>
    <row r="3" spans="2:21" x14ac:dyDescent="0.25">
      <c r="B3" s="441" t="s">
        <v>526</v>
      </c>
      <c r="C3" s="339"/>
    </row>
    <row r="4" spans="2:21" x14ac:dyDescent="0.25">
      <c r="B4" s="441" t="s">
        <v>103</v>
      </c>
      <c r="C4" s="264" t="s">
        <v>104</v>
      </c>
      <c r="D4" s="121" t="str">
        <f>INFO!C10</f>
        <v>Z01</v>
      </c>
      <c r="E4" s="121" t="str">
        <f>INFO!D10</f>
        <v>Z02</v>
      </c>
      <c r="F4" s="121" t="str">
        <f>INFO!E10</f>
        <v>Z03</v>
      </c>
      <c r="G4" s="121" t="str">
        <f>INFO!F10</f>
        <v>Z04</v>
      </c>
      <c r="H4" s="121" t="str">
        <f>INFO!G10</f>
        <v>Z05</v>
      </c>
      <c r="I4" s="121" t="str">
        <f>INFO!H10</f>
        <v>Z06</v>
      </c>
      <c r="J4" s="121" t="str">
        <f>INFO!I10</f>
        <v>Z07</v>
      </c>
      <c r="K4" s="121" t="str">
        <f>INFO!J10</f>
        <v>Z08</v>
      </c>
      <c r="L4" s="121" t="str">
        <f>INFO!K10</f>
        <v>Z09</v>
      </c>
      <c r="M4" s="121" t="str">
        <f>INFO!L10</f>
        <v>Z10</v>
      </c>
      <c r="N4" s="121" t="str">
        <f>INFO!M10</f>
        <v>Z11</v>
      </c>
      <c r="O4" s="121" t="str">
        <f>INFO!N10</f>
        <v>Z12</v>
      </c>
      <c r="P4" s="121" t="str">
        <f>INFO!O10</f>
        <v>Z13</v>
      </c>
      <c r="Q4" s="121" t="str">
        <f>INFO!P10</f>
        <v>Z14</v>
      </c>
      <c r="R4" s="121" t="str">
        <f>INFO!Q10</f>
        <v>Z15</v>
      </c>
      <c r="T4" s="17" t="s">
        <v>527</v>
      </c>
      <c r="U4" s="260"/>
    </row>
    <row r="5" spans="2:21" x14ac:dyDescent="0.25">
      <c r="B5" s="169" t="s">
        <v>107</v>
      </c>
      <c r="C5" s="169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T5" s="820"/>
      <c r="U5" s="16"/>
    </row>
    <row r="6" spans="2:21" x14ac:dyDescent="0.25">
      <c r="B6" s="169" t="s">
        <v>108</v>
      </c>
      <c r="C6" s="169" t="s">
        <v>302</v>
      </c>
      <c r="D6" s="265">
        <v>16.350000000000001</v>
      </c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T6" s="820"/>
      <c r="U6" s="16"/>
    </row>
    <row r="7" spans="2:21" x14ac:dyDescent="0.25">
      <c r="B7" s="169" t="s">
        <v>203</v>
      </c>
      <c r="C7" s="169" t="s">
        <v>303</v>
      </c>
      <c r="D7" s="265">
        <v>10.75</v>
      </c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T7" s="820"/>
      <c r="U7" s="16"/>
    </row>
    <row r="8" spans="2:21" x14ac:dyDescent="0.25">
      <c r="B8" s="169" t="s">
        <v>110</v>
      </c>
      <c r="C8" s="169" t="s">
        <v>304</v>
      </c>
      <c r="D8" s="265">
        <v>11.54</v>
      </c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T8" s="820"/>
      <c r="U8" s="16"/>
    </row>
    <row r="9" spans="2:21" x14ac:dyDescent="0.25">
      <c r="B9" s="169" t="s">
        <v>111</v>
      </c>
      <c r="C9" s="169" t="s">
        <v>305</v>
      </c>
      <c r="D9" s="265">
        <v>17.59</v>
      </c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T9" s="820"/>
      <c r="U9" s="16"/>
    </row>
    <row r="10" spans="2:21" x14ac:dyDescent="0.25">
      <c r="B10" s="169" t="s">
        <v>112</v>
      </c>
      <c r="C10" s="169" t="s">
        <v>306</v>
      </c>
      <c r="D10" s="265">
        <v>8.7799999999999994</v>
      </c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T10" s="820"/>
      <c r="U10" s="16"/>
    </row>
    <row r="11" spans="2:21" x14ac:dyDescent="0.25">
      <c r="B11" s="169" t="s">
        <v>204</v>
      </c>
      <c r="C11" s="169" t="s">
        <v>307</v>
      </c>
      <c r="D11" s="265">
        <v>12.8</v>
      </c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  <c r="P11" s="265"/>
      <c r="Q11" s="265"/>
      <c r="R11" s="265"/>
      <c r="T11" s="820"/>
      <c r="U11" s="16"/>
    </row>
    <row r="12" spans="2:21" x14ac:dyDescent="0.25">
      <c r="B12" s="169" t="s">
        <v>205</v>
      </c>
      <c r="C12" s="169" t="s">
        <v>308</v>
      </c>
      <c r="D12" s="265">
        <v>12.8</v>
      </c>
      <c r="E12" s="265"/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T12" s="820"/>
      <c r="U12" s="16"/>
    </row>
    <row r="13" spans="2:21" x14ac:dyDescent="0.25">
      <c r="B13" s="169" t="s">
        <v>115</v>
      </c>
      <c r="C13" s="169" t="s">
        <v>309</v>
      </c>
      <c r="D13" s="265"/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T13" s="820"/>
      <c r="U13" s="16"/>
    </row>
    <row r="14" spans="2:21" x14ac:dyDescent="0.25">
      <c r="B14" s="169" t="s">
        <v>206</v>
      </c>
      <c r="C14" s="169" t="s">
        <v>310</v>
      </c>
      <c r="D14" s="265">
        <v>13.15</v>
      </c>
      <c r="E14" s="265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T14" s="820"/>
      <c r="U14" s="16"/>
    </row>
    <row r="15" spans="2:21" x14ac:dyDescent="0.25">
      <c r="B15" s="169" t="s">
        <v>207</v>
      </c>
      <c r="C15" s="169" t="s">
        <v>311</v>
      </c>
      <c r="D15" s="265">
        <v>13.15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T15" s="820"/>
      <c r="U15" s="267"/>
    </row>
    <row r="16" spans="2:21" x14ac:dyDescent="0.25">
      <c r="B16" s="114"/>
      <c r="C16" s="114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T16" s="269"/>
      <c r="U16" s="269"/>
    </row>
    <row r="17" spans="2:21" x14ac:dyDescent="0.25">
      <c r="B17" s="149"/>
      <c r="C17" s="149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T17" s="269"/>
      <c r="U17" s="269"/>
    </row>
    <row r="18" spans="2:21" x14ac:dyDescent="0.25">
      <c r="B18" s="441" t="s">
        <v>528</v>
      </c>
      <c r="C18" s="339"/>
      <c r="U18" s="269"/>
    </row>
    <row r="19" spans="2:21" x14ac:dyDescent="0.25">
      <c r="B19" s="441" t="s">
        <v>103</v>
      </c>
      <c r="C19" s="264" t="s">
        <v>104</v>
      </c>
      <c r="D19" s="121" t="str">
        <f>D$4</f>
        <v>Z01</v>
      </c>
      <c r="E19" s="121" t="str">
        <f t="shared" ref="E19:R19" si="0">E$4</f>
        <v>Z02</v>
      </c>
      <c r="F19" s="121" t="str">
        <f t="shared" si="0"/>
        <v>Z03</v>
      </c>
      <c r="G19" s="121" t="str">
        <f t="shared" si="0"/>
        <v>Z04</v>
      </c>
      <c r="H19" s="121" t="str">
        <f t="shared" si="0"/>
        <v>Z05</v>
      </c>
      <c r="I19" s="121" t="str">
        <f t="shared" si="0"/>
        <v>Z06</v>
      </c>
      <c r="J19" s="121" t="str">
        <f t="shared" si="0"/>
        <v>Z07</v>
      </c>
      <c r="K19" s="121" t="str">
        <f t="shared" si="0"/>
        <v>Z08</v>
      </c>
      <c r="L19" s="121" t="str">
        <f t="shared" si="0"/>
        <v>Z09</v>
      </c>
      <c r="M19" s="121" t="str">
        <f t="shared" si="0"/>
        <v>Z10</v>
      </c>
      <c r="N19" s="121" t="str">
        <f t="shared" si="0"/>
        <v>Z11</v>
      </c>
      <c r="O19" s="121" t="str">
        <f t="shared" si="0"/>
        <v>Z12</v>
      </c>
      <c r="P19" s="121" t="str">
        <f t="shared" si="0"/>
        <v>Z13</v>
      </c>
      <c r="Q19" s="121" t="str">
        <f t="shared" si="0"/>
        <v>Z14</v>
      </c>
      <c r="R19" s="121" t="str">
        <f t="shared" si="0"/>
        <v>Z15</v>
      </c>
      <c r="T19" s="17" t="s">
        <v>527</v>
      </c>
      <c r="U19" s="269"/>
    </row>
    <row r="20" spans="2:21" x14ac:dyDescent="0.25">
      <c r="B20" s="169" t="s">
        <v>107</v>
      </c>
      <c r="C20" s="169"/>
      <c r="D20" s="265">
        <v>0</v>
      </c>
      <c r="E20" s="265">
        <v>0</v>
      </c>
      <c r="F20" s="265">
        <v>0</v>
      </c>
      <c r="G20" s="265">
        <v>0</v>
      </c>
      <c r="H20" s="265">
        <v>0</v>
      </c>
      <c r="I20" s="265">
        <v>0</v>
      </c>
      <c r="J20" s="265">
        <v>0</v>
      </c>
      <c r="K20" s="265">
        <v>0</v>
      </c>
      <c r="L20" s="265">
        <v>0</v>
      </c>
      <c r="M20" s="265">
        <v>0</v>
      </c>
      <c r="N20" s="265">
        <v>0</v>
      </c>
      <c r="O20" s="265">
        <v>0</v>
      </c>
      <c r="P20" s="265">
        <v>0</v>
      </c>
      <c r="Q20" s="265">
        <v>0</v>
      </c>
      <c r="R20" s="265">
        <v>0</v>
      </c>
      <c r="T20" s="820"/>
      <c r="U20" s="269"/>
    </row>
    <row r="21" spans="2:21" x14ac:dyDescent="0.25">
      <c r="B21" s="169" t="s">
        <v>108</v>
      </c>
      <c r="C21" s="169" t="s">
        <v>529</v>
      </c>
      <c r="D21" s="265">
        <v>0</v>
      </c>
      <c r="E21" s="265">
        <v>0</v>
      </c>
      <c r="F21" s="265">
        <v>0</v>
      </c>
      <c r="G21" s="265">
        <v>0</v>
      </c>
      <c r="H21" s="265">
        <v>0</v>
      </c>
      <c r="I21" s="265">
        <v>0</v>
      </c>
      <c r="J21" s="265">
        <v>0</v>
      </c>
      <c r="K21" s="265">
        <v>0</v>
      </c>
      <c r="L21" s="265">
        <v>0</v>
      </c>
      <c r="M21" s="265">
        <v>0</v>
      </c>
      <c r="N21" s="265">
        <v>0</v>
      </c>
      <c r="O21" s="265">
        <v>0</v>
      </c>
      <c r="P21" s="265">
        <v>0</v>
      </c>
      <c r="Q21" s="265">
        <v>0</v>
      </c>
      <c r="R21" s="265">
        <v>0</v>
      </c>
      <c r="T21" s="820"/>
      <c r="U21" s="269"/>
    </row>
    <row r="22" spans="2:21" x14ac:dyDescent="0.25">
      <c r="B22" s="169" t="s">
        <v>203</v>
      </c>
      <c r="C22" s="169" t="s">
        <v>530</v>
      </c>
      <c r="D22" s="265">
        <v>0</v>
      </c>
      <c r="E22" s="265">
        <v>0</v>
      </c>
      <c r="F22" s="265">
        <v>0</v>
      </c>
      <c r="G22" s="265">
        <v>0</v>
      </c>
      <c r="H22" s="265">
        <v>0</v>
      </c>
      <c r="I22" s="265">
        <v>0</v>
      </c>
      <c r="J22" s="265">
        <v>0</v>
      </c>
      <c r="K22" s="265">
        <v>0</v>
      </c>
      <c r="L22" s="265">
        <v>0</v>
      </c>
      <c r="M22" s="265">
        <v>0</v>
      </c>
      <c r="N22" s="265">
        <v>0</v>
      </c>
      <c r="O22" s="265">
        <v>0</v>
      </c>
      <c r="P22" s="265">
        <v>0</v>
      </c>
      <c r="Q22" s="265">
        <v>0</v>
      </c>
      <c r="R22" s="265">
        <v>0</v>
      </c>
      <c r="T22" s="820"/>
      <c r="U22" s="269"/>
    </row>
    <row r="23" spans="2:21" x14ac:dyDescent="0.25">
      <c r="B23" s="169" t="s">
        <v>110</v>
      </c>
      <c r="C23" s="169" t="s">
        <v>531</v>
      </c>
      <c r="D23" s="265">
        <v>0</v>
      </c>
      <c r="E23" s="265">
        <v>0</v>
      </c>
      <c r="F23" s="265">
        <v>0</v>
      </c>
      <c r="G23" s="265">
        <v>0</v>
      </c>
      <c r="H23" s="265">
        <v>0</v>
      </c>
      <c r="I23" s="265">
        <v>0</v>
      </c>
      <c r="J23" s="265">
        <v>0</v>
      </c>
      <c r="K23" s="265">
        <v>0</v>
      </c>
      <c r="L23" s="265">
        <v>0</v>
      </c>
      <c r="M23" s="265">
        <v>0</v>
      </c>
      <c r="N23" s="265">
        <v>0</v>
      </c>
      <c r="O23" s="265">
        <v>0</v>
      </c>
      <c r="P23" s="265">
        <v>0</v>
      </c>
      <c r="Q23" s="265">
        <v>0</v>
      </c>
      <c r="R23" s="265">
        <v>0</v>
      </c>
      <c r="T23" s="820"/>
      <c r="U23" s="269"/>
    </row>
    <row r="24" spans="2:21" x14ac:dyDescent="0.25">
      <c r="B24" s="169" t="s">
        <v>111</v>
      </c>
      <c r="C24" s="169" t="s">
        <v>532</v>
      </c>
      <c r="D24" s="265">
        <v>0</v>
      </c>
      <c r="E24" s="265">
        <v>0</v>
      </c>
      <c r="F24" s="265">
        <v>0</v>
      </c>
      <c r="G24" s="265">
        <v>0</v>
      </c>
      <c r="H24" s="265">
        <v>0</v>
      </c>
      <c r="I24" s="265">
        <v>0</v>
      </c>
      <c r="J24" s="265">
        <v>0</v>
      </c>
      <c r="K24" s="265">
        <v>0</v>
      </c>
      <c r="L24" s="265">
        <v>0</v>
      </c>
      <c r="M24" s="265">
        <v>0</v>
      </c>
      <c r="N24" s="265">
        <v>0</v>
      </c>
      <c r="O24" s="265">
        <v>0</v>
      </c>
      <c r="P24" s="265">
        <v>0</v>
      </c>
      <c r="Q24" s="265">
        <v>0</v>
      </c>
      <c r="R24" s="265">
        <v>0</v>
      </c>
      <c r="T24" s="820"/>
      <c r="U24" s="269"/>
    </row>
    <row r="25" spans="2:21" x14ac:dyDescent="0.25">
      <c r="B25" s="169" t="s">
        <v>112</v>
      </c>
      <c r="C25" s="169" t="s">
        <v>533</v>
      </c>
      <c r="D25" s="265">
        <v>0</v>
      </c>
      <c r="E25" s="265">
        <v>0</v>
      </c>
      <c r="F25" s="265">
        <v>0</v>
      </c>
      <c r="G25" s="265">
        <v>0</v>
      </c>
      <c r="H25" s="265">
        <v>0</v>
      </c>
      <c r="I25" s="265">
        <v>0</v>
      </c>
      <c r="J25" s="265">
        <v>0</v>
      </c>
      <c r="K25" s="265">
        <v>0</v>
      </c>
      <c r="L25" s="265">
        <v>0</v>
      </c>
      <c r="M25" s="265">
        <v>0</v>
      </c>
      <c r="N25" s="265">
        <v>0</v>
      </c>
      <c r="O25" s="265">
        <v>0</v>
      </c>
      <c r="P25" s="265">
        <v>0</v>
      </c>
      <c r="Q25" s="265">
        <v>0</v>
      </c>
      <c r="R25" s="265">
        <v>0</v>
      </c>
      <c r="T25" s="820"/>
      <c r="U25" s="269"/>
    </row>
    <row r="26" spans="2:21" x14ac:dyDescent="0.25">
      <c r="B26" s="169" t="s">
        <v>204</v>
      </c>
      <c r="C26" s="169" t="s">
        <v>534</v>
      </c>
      <c r="D26" s="265">
        <v>0</v>
      </c>
      <c r="E26" s="265">
        <v>0</v>
      </c>
      <c r="F26" s="265">
        <v>0</v>
      </c>
      <c r="G26" s="265">
        <v>0</v>
      </c>
      <c r="H26" s="265">
        <v>0</v>
      </c>
      <c r="I26" s="265">
        <v>0</v>
      </c>
      <c r="J26" s="265">
        <v>0</v>
      </c>
      <c r="K26" s="265">
        <v>0</v>
      </c>
      <c r="L26" s="265">
        <v>0</v>
      </c>
      <c r="M26" s="265">
        <v>0</v>
      </c>
      <c r="N26" s="265">
        <v>0</v>
      </c>
      <c r="O26" s="265">
        <v>0</v>
      </c>
      <c r="P26" s="265">
        <v>0</v>
      </c>
      <c r="Q26" s="265">
        <v>0</v>
      </c>
      <c r="R26" s="265">
        <v>0</v>
      </c>
      <c r="T26" s="820"/>
      <c r="U26" s="269"/>
    </row>
    <row r="27" spans="2:21" x14ac:dyDescent="0.25">
      <c r="B27" s="169" t="s">
        <v>205</v>
      </c>
      <c r="C27" s="169" t="s">
        <v>535</v>
      </c>
      <c r="D27" s="265">
        <v>0</v>
      </c>
      <c r="E27" s="265">
        <v>0</v>
      </c>
      <c r="F27" s="265">
        <v>0</v>
      </c>
      <c r="G27" s="265">
        <v>0</v>
      </c>
      <c r="H27" s="265">
        <v>0</v>
      </c>
      <c r="I27" s="265">
        <v>0</v>
      </c>
      <c r="J27" s="265">
        <v>0</v>
      </c>
      <c r="K27" s="265">
        <v>0</v>
      </c>
      <c r="L27" s="265">
        <v>0</v>
      </c>
      <c r="M27" s="265">
        <v>0</v>
      </c>
      <c r="N27" s="265">
        <v>0</v>
      </c>
      <c r="O27" s="265">
        <v>0</v>
      </c>
      <c r="P27" s="265">
        <v>0</v>
      </c>
      <c r="Q27" s="265">
        <v>0</v>
      </c>
      <c r="R27" s="265">
        <v>0</v>
      </c>
      <c r="T27" s="820"/>
      <c r="U27" s="269"/>
    </row>
    <row r="28" spans="2:21" x14ac:dyDescent="0.25">
      <c r="B28" s="169" t="s">
        <v>115</v>
      </c>
      <c r="C28" s="169" t="s">
        <v>536</v>
      </c>
      <c r="D28" s="265">
        <v>0</v>
      </c>
      <c r="E28" s="265">
        <v>0</v>
      </c>
      <c r="F28" s="265">
        <v>0</v>
      </c>
      <c r="G28" s="265">
        <v>0</v>
      </c>
      <c r="H28" s="265">
        <v>0</v>
      </c>
      <c r="I28" s="265">
        <v>0</v>
      </c>
      <c r="J28" s="265">
        <v>0</v>
      </c>
      <c r="K28" s="265">
        <v>0</v>
      </c>
      <c r="L28" s="265">
        <v>0</v>
      </c>
      <c r="M28" s="265">
        <v>0</v>
      </c>
      <c r="N28" s="265">
        <v>0</v>
      </c>
      <c r="O28" s="265">
        <v>0</v>
      </c>
      <c r="P28" s="265">
        <v>0</v>
      </c>
      <c r="Q28" s="265">
        <v>0</v>
      </c>
      <c r="R28" s="265">
        <v>0</v>
      </c>
      <c r="T28" s="820"/>
      <c r="U28" s="269"/>
    </row>
    <row r="29" spans="2:21" x14ac:dyDescent="0.25">
      <c r="B29" s="169" t="s">
        <v>206</v>
      </c>
      <c r="C29" s="169" t="s">
        <v>537</v>
      </c>
      <c r="D29" s="265">
        <v>0</v>
      </c>
      <c r="E29" s="265">
        <v>0</v>
      </c>
      <c r="F29" s="265">
        <v>0</v>
      </c>
      <c r="G29" s="265">
        <v>0</v>
      </c>
      <c r="H29" s="265">
        <v>0</v>
      </c>
      <c r="I29" s="265">
        <v>0</v>
      </c>
      <c r="J29" s="265">
        <v>0</v>
      </c>
      <c r="K29" s="265">
        <v>0</v>
      </c>
      <c r="L29" s="265">
        <v>0</v>
      </c>
      <c r="M29" s="265">
        <v>0</v>
      </c>
      <c r="N29" s="265">
        <v>0</v>
      </c>
      <c r="O29" s="265">
        <v>0</v>
      </c>
      <c r="P29" s="265">
        <v>0</v>
      </c>
      <c r="Q29" s="265">
        <v>0</v>
      </c>
      <c r="R29" s="265">
        <v>0</v>
      </c>
      <c r="T29" s="820"/>
      <c r="U29" s="269"/>
    </row>
    <row r="30" spans="2:21" x14ac:dyDescent="0.25">
      <c r="B30" s="169" t="s">
        <v>207</v>
      </c>
      <c r="C30" s="169" t="s">
        <v>538</v>
      </c>
      <c r="D30" s="265">
        <v>0</v>
      </c>
      <c r="E30" s="265">
        <v>0</v>
      </c>
      <c r="F30" s="265">
        <v>0</v>
      </c>
      <c r="G30" s="265">
        <v>0</v>
      </c>
      <c r="H30" s="265">
        <v>0</v>
      </c>
      <c r="I30" s="265">
        <v>0</v>
      </c>
      <c r="J30" s="265">
        <v>0</v>
      </c>
      <c r="K30" s="265">
        <v>0</v>
      </c>
      <c r="L30" s="265">
        <v>0</v>
      </c>
      <c r="M30" s="265">
        <v>0</v>
      </c>
      <c r="N30" s="265">
        <v>0</v>
      </c>
      <c r="O30" s="265">
        <v>0</v>
      </c>
      <c r="P30" s="265">
        <v>0</v>
      </c>
      <c r="Q30" s="265">
        <v>0</v>
      </c>
      <c r="R30" s="265">
        <v>0</v>
      </c>
      <c r="T30" s="820"/>
      <c r="U30" s="269"/>
    </row>
    <row r="31" spans="2:21" x14ac:dyDescent="0.25">
      <c r="B31" s="114"/>
      <c r="C31" s="114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T31" s="269"/>
      <c r="U31" s="269"/>
    </row>
    <row r="32" spans="2:21" x14ac:dyDescent="0.25">
      <c r="B32" s="114"/>
      <c r="C32" s="114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T32" s="269"/>
      <c r="U32" s="269"/>
    </row>
    <row r="33" spans="2:21" x14ac:dyDescent="0.25">
      <c r="B33" s="441" t="s">
        <v>312</v>
      </c>
      <c r="C33" s="339"/>
    </row>
    <row r="34" spans="2:21" x14ac:dyDescent="0.25">
      <c r="B34" s="441" t="s">
        <v>103</v>
      </c>
      <c r="C34" s="264" t="s">
        <v>104</v>
      </c>
      <c r="D34" s="121" t="str">
        <f>D$4</f>
        <v>Z01</v>
      </c>
      <c r="E34" s="121" t="str">
        <f t="shared" ref="E34:R34" si="1">E$4</f>
        <v>Z02</v>
      </c>
      <c r="F34" s="121" t="str">
        <f t="shared" si="1"/>
        <v>Z03</v>
      </c>
      <c r="G34" s="121" t="str">
        <f t="shared" si="1"/>
        <v>Z04</v>
      </c>
      <c r="H34" s="121" t="str">
        <f t="shared" si="1"/>
        <v>Z05</v>
      </c>
      <c r="I34" s="121" t="str">
        <f t="shared" si="1"/>
        <v>Z06</v>
      </c>
      <c r="J34" s="121" t="str">
        <f t="shared" si="1"/>
        <v>Z07</v>
      </c>
      <c r="K34" s="121" t="str">
        <f t="shared" si="1"/>
        <v>Z08</v>
      </c>
      <c r="L34" s="121" t="str">
        <f t="shared" si="1"/>
        <v>Z09</v>
      </c>
      <c r="M34" s="121" t="str">
        <f t="shared" si="1"/>
        <v>Z10</v>
      </c>
      <c r="N34" s="121" t="str">
        <f t="shared" si="1"/>
        <v>Z11</v>
      </c>
      <c r="O34" s="121" t="str">
        <f t="shared" si="1"/>
        <v>Z12</v>
      </c>
      <c r="P34" s="121" t="str">
        <f t="shared" si="1"/>
        <v>Z13</v>
      </c>
      <c r="Q34" s="121" t="str">
        <f t="shared" si="1"/>
        <v>Z14</v>
      </c>
      <c r="R34" s="121" t="str">
        <f t="shared" si="1"/>
        <v>Z15</v>
      </c>
      <c r="T34" s="17" t="s">
        <v>527</v>
      </c>
      <c r="U34" s="260"/>
    </row>
    <row r="35" spans="2:21" x14ac:dyDescent="0.25">
      <c r="B35" s="169" t="s">
        <v>107</v>
      </c>
      <c r="C35" s="169"/>
      <c r="D35" s="265">
        <f>$T35</f>
        <v>0</v>
      </c>
      <c r="E35" s="265">
        <f t="shared" ref="E35:R45" si="2">$T35</f>
        <v>0</v>
      </c>
      <c r="F35" s="265">
        <f t="shared" si="2"/>
        <v>0</v>
      </c>
      <c r="G35" s="265">
        <f t="shared" si="2"/>
        <v>0</v>
      </c>
      <c r="H35" s="265">
        <f t="shared" si="2"/>
        <v>0</v>
      </c>
      <c r="I35" s="265">
        <f t="shared" si="2"/>
        <v>0</v>
      </c>
      <c r="J35" s="265">
        <f t="shared" si="2"/>
        <v>0</v>
      </c>
      <c r="K35" s="265">
        <f t="shared" si="2"/>
        <v>0</v>
      </c>
      <c r="L35" s="265">
        <f t="shared" si="2"/>
        <v>0</v>
      </c>
      <c r="M35" s="265">
        <f t="shared" si="2"/>
        <v>0</v>
      </c>
      <c r="N35" s="265">
        <f t="shared" si="2"/>
        <v>0</v>
      </c>
      <c r="O35" s="265">
        <f t="shared" si="2"/>
        <v>0</v>
      </c>
      <c r="P35" s="265">
        <f t="shared" si="2"/>
        <v>0</v>
      </c>
      <c r="Q35" s="265">
        <f t="shared" si="2"/>
        <v>0</v>
      </c>
      <c r="R35" s="265">
        <f t="shared" si="2"/>
        <v>0</v>
      </c>
      <c r="T35" s="291">
        <f>STAT_TRA_Mileage!G9/1000</f>
        <v>0</v>
      </c>
      <c r="U35" s="16"/>
    </row>
    <row r="36" spans="2:21" x14ac:dyDescent="0.25">
      <c r="B36" s="169" t="s">
        <v>108</v>
      </c>
      <c r="C36" s="169" t="s">
        <v>313</v>
      </c>
      <c r="D36" s="265">
        <f t="shared" ref="D36:D45" si="3">$T36</f>
        <v>0</v>
      </c>
      <c r="E36" s="265">
        <f t="shared" si="2"/>
        <v>0</v>
      </c>
      <c r="F36" s="265">
        <f t="shared" si="2"/>
        <v>0</v>
      </c>
      <c r="G36" s="265">
        <f t="shared" si="2"/>
        <v>0</v>
      </c>
      <c r="H36" s="265">
        <f t="shared" si="2"/>
        <v>0</v>
      </c>
      <c r="I36" s="265">
        <f t="shared" si="2"/>
        <v>0</v>
      </c>
      <c r="J36" s="265">
        <f t="shared" si="2"/>
        <v>0</v>
      </c>
      <c r="K36" s="265">
        <f t="shared" si="2"/>
        <v>0</v>
      </c>
      <c r="L36" s="265">
        <f t="shared" si="2"/>
        <v>0</v>
      </c>
      <c r="M36" s="265">
        <f t="shared" si="2"/>
        <v>0</v>
      </c>
      <c r="N36" s="265">
        <f t="shared" si="2"/>
        <v>0</v>
      </c>
      <c r="O36" s="265">
        <f t="shared" si="2"/>
        <v>0</v>
      </c>
      <c r="P36" s="265">
        <f t="shared" si="2"/>
        <v>0</v>
      </c>
      <c r="Q36" s="265">
        <f t="shared" si="2"/>
        <v>0</v>
      </c>
      <c r="R36" s="265">
        <f t="shared" si="2"/>
        <v>0</v>
      </c>
      <c r="T36" s="291">
        <f>STAT_TRA_Mileage!G10/1000</f>
        <v>0</v>
      </c>
      <c r="U36" s="16"/>
    </row>
    <row r="37" spans="2:21" x14ac:dyDescent="0.25">
      <c r="B37" s="169" t="s">
        <v>203</v>
      </c>
      <c r="C37" s="169" t="s">
        <v>314</v>
      </c>
      <c r="D37" s="265">
        <f t="shared" si="3"/>
        <v>0</v>
      </c>
      <c r="E37" s="265">
        <f t="shared" si="2"/>
        <v>0</v>
      </c>
      <c r="F37" s="265">
        <f t="shared" si="2"/>
        <v>0</v>
      </c>
      <c r="G37" s="265">
        <f t="shared" si="2"/>
        <v>0</v>
      </c>
      <c r="H37" s="265">
        <f t="shared" si="2"/>
        <v>0</v>
      </c>
      <c r="I37" s="265">
        <f t="shared" si="2"/>
        <v>0</v>
      </c>
      <c r="J37" s="265">
        <f t="shared" si="2"/>
        <v>0</v>
      </c>
      <c r="K37" s="265">
        <f t="shared" si="2"/>
        <v>0</v>
      </c>
      <c r="L37" s="265">
        <f t="shared" si="2"/>
        <v>0</v>
      </c>
      <c r="M37" s="265">
        <f t="shared" si="2"/>
        <v>0</v>
      </c>
      <c r="N37" s="265">
        <f t="shared" si="2"/>
        <v>0</v>
      </c>
      <c r="O37" s="265">
        <f t="shared" si="2"/>
        <v>0</v>
      </c>
      <c r="P37" s="265">
        <f t="shared" si="2"/>
        <v>0</v>
      </c>
      <c r="Q37" s="265">
        <f t="shared" si="2"/>
        <v>0</v>
      </c>
      <c r="R37" s="265">
        <f t="shared" si="2"/>
        <v>0</v>
      </c>
      <c r="T37" s="291">
        <f>STAT_TRA_Mileage!G11/1000</f>
        <v>0</v>
      </c>
      <c r="U37" s="16"/>
    </row>
    <row r="38" spans="2:21" x14ac:dyDescent="0.25">
      <c r="B38" s="169" t="s">
        <v>110</v>
      </c>
      <c r="C38" s="169" t="s">
        <v>315</v>
      </c>
      <c r="D38" s="265">
        <f t="shared" si="3"/>
        <v>0</v>
      </c>
      <c r="E38" s="265">
        <f t="shared" si="2"/>
        <v>0</v>
      </c>
      <c r="F38" s="265">
        <f t="shared" si="2"/>
        <v>0</v>
      </c>
      <c r="G38" s="265">
        <f t="shared" si="2"/>
        <v>0</v>
      </c>
      <c r="H38" s="265">
        <f t="shared" si="2"/>
        <v>0</v>
      </c>
      <c r="I38" s="265">
        <f t="shared" si="2"/>
        <v>0</v>
      </c>
      <c r="J38" s="265">
        <f t="shared" si="2"/>
        <v>0</v>
      </c>
      <c r="K38" s="265">
        <f t="shared" si="2"/>
        <v>0</v>
      </c>
      <c r="L38" s="265">
        <f t="shared" si="2"/>
        <v>0</v>
      </c>
      <c r="M38" s="265">
        <f t="shared" si="2"/>
        <v>0</v>
      </c>
      <c r="N38" s="265">
        <f t="shared" si="2"/>
        <v>0</v>
      </c>
      <c r="O38" s="265">
        <f t="shared" si="2"/>
        <v>0</v>
      </c>
      <c r="P38" s="265">
        <f t="shared" si="2"/>
        <v>0</v>
      </c>
      <c r="Q38" s="265">
        <f t="shared" si="2"/>
        <v>0</v>
      </c>
      <c r="R38" s="265">
        <f t="shared" si="2"/>
        <v>0</v>
      </c>
      <c r="T38" s="291">
        <f>STAT_TRA_Mileage!G12/1000</f>
        <v>0</v>
      </c>
      <c r="U38" s="16"/>
    </row>
    <row r="39" spans="2:21" x14ac:dyDescent="0.25">
      <c r="B39" s="169" t="s">
        <v>111</v>
      </c>
      <c r="C39" s="169" t="s">
        <v>316</v>
      </c>
      <c r="D39" s="265">
        <f t="shared" si="3"/>
        <v>0</v>
      </c>
      <c r="E39" s="265">
        <f t="shared" si="2"/>
        <v>0</v>
      </c>
      <c r="F39" s="265">
        <f t="shared" si="2"/>
        <v>0</v>
      </c>
      <c r="G39" s="265">
        <f t="shared" si="2"/>
        <v>0</v>
      </c>
      <c r="H39" s="265">
        <f t="shared" si="2"/>
        <v>0</v>
      </c>
      <c r="I39" s="265">
        <f t="shared" si="2"/>
        <v>0</v>
      </c>
      <c r="J39" s="265">
        <f t="shared" si="2"/>
        <v>0</v>
      </c>
      <c r="K39" s="265">
        <f t="shared" si="2"/>
        <v>0</v>
      </c>
      <c r="L39" s="265">
        <f t="shared" si="2"/>
        <v>0</v>
      </c>
      <c r="M39" s="265">
        <f t="shared" si="2"/>
        <v>0</v>
      </c>
      <c r="N39" s="265">
        <f t="shared" si="2"/>
        <v>0</v>
      </c>
      <c r="O39" s="265">
        <f t="shared" si="2"/>
        <v>0</v>
      </c>
      <c r="P39" s="265">
        <f t="shared" si="2"/>
        <v>0</v>
      </c>
      <c r="Q39" s="265">
        <f t="shared" si="2"/>
        <v>0</v>
      </c>
      <c r="R39" s="265">
        <f t="shared" si="2"/>
        <v>0</v>
      </c>
      <c r="T39" s="291">
        <f>STAT_TRA_Mileage!G13/1000</f>
        <v>0</v>
      </c>
      <c r="U39" s="16"/>
    </row>
    <row r="40" spans="2:21" x14ac:dyDescent="0.25">
      <c r="B40" s="169" t="s">
        <v>112</v>
      </c>
      <c r="C40" s="169" t="s">
        <v>317</v>
      </c>
      <c r="D40" s="265">
        <f t="shared" si="3"/>
        <v>0</v>
      </c>
      <c r="E40" s="265">
        <f t="shared" si="2"/>
        <v>0</v>
      </c>
      <c r="F40" s="265">
        <f t="shared" si="2"/>
        <v>0</v>
      </c>
      <c r="G40" s="265">
        <f t="shared" si="2"/>
        <v>0</v>
      </c>
      <c r="H40" s="265">
        <f t="shared" si="2"/>
        <v>0</v>
      </c>
      <c r="I40" s="265">
        <f t="shared" si="2"/>
        <v>0</v>
      </c>
      <c r="J40" s="265">
        <f t="shared" si="2"/>
        <v>0</v>
      </c>
      <c r="K40" s="265">
        <f t="shared" si="2"/>
        <v>0</v>
      </c>
      <c r="L40" s="265">
        <f t="shared" si="2"/>
        <v>0</v>
      </c>
      <c r="M40" s="265">
        <f t="shared" si="2"/>
        <v>0</v>
      </c>
      <c r="N40" s="265">
        <f t="shared" si="2"/>
        <v>0</v>
      </c>
      <c r="O40" s="265">
        <f t="shared" si="2"/>
        <v>0</v>
      </c>
      <c r="P40" s="265">
        <f t="shared" si="2"/>
        <v>0</v>
      </c>
      <c r="Q40" s="265">
        <f t="shared" si="2"/>
        <v>0</v>
      </c>
      <c r="R40" s="265">
        <f t="shared" si="2"/>
        <v>0</v>
      </c>
      <c r="T40" s="291">
        <f>STAT_TRA_Mileage!G14/1000</f>
        <v>0</v>
      </c>
      <c r="U40" s="16"/>
    </row>
    <row r="41" spans="2:21" x14ac:dyDescent="0.25">
      <c r="B41" s="169" t="s">
        <v>204</v>
      </c>
      <c r="C41" s="169" t="s">
        <v>318</v>
      </c>
      <c r="D41" s="265">
        <f t="shared" si="3"/>
        <v>0</v>
      </c>
      <c r="E41" s="265">
        <f t="shared" si="2"/>
        <v>0</v>
      </c>
      <c r="F41" s="265">
        <f t="shared" si="2"/>
        <v>0</v>
      </c>
      <c r="G41" s="265">
        <f t="shared" si="2"/>
        <v>0</v>
      </c>
      <c r="H41" s="265">
        <f t="shared" si="2"/>
        <v>0</v>
      </c>
      <c r="I41" s="265">
        <f t="shared" si="2"/>
        <v>0</v>
      </c>
      <c r="J41" s="265">
        <f t="shared" si="2"/>
        <v>0</v>
      </c>
      <c r="K41" s="265">
        <f t="shared" si="2"/>
        <v>0</v>
      </c>
      <c r="L41" s="265">
        <f t="shared" si="2"/>
        <v>0</v>
      </c>
      <c r="M41" s="265">
        <f t="shared" si="2"/>
        <v>0</v>
      </c>
      <c r="N41" s="265">
        <f t="shared" si="2"/>
        <v>0</v>
      </c>
      <c r="O41" s="265">
        <f t="shared" si="2"/>
        <v>0</v>
      </c>
      <c r="P41" s="265">
        <f t="shared" si="2"/>
        <v>0</v>
      </c>
      <c r="Q41" s="265">
        <f t="shared" si="2"/>
        <v>0</v>
      </c>
      <c r="R41" s="265">
        <f t="shared" si="2"/>
        <v>0</v>
      </c>
      <c r="T41" s="291">
        <f>STAT_TRA_Mileage!G15/1000</f>
        <v>0</v>
      </c>
      <c r="U41" s="16"/>
    </row>
    <row r="42" spans="2:21" x14ac:dyDescent="0.25">
      <c r="B42" s="169" t="s">
        <v>205</v>
      </c>
      <c r="C42" s="169" t="s">
        <v>319</v>
      </c>
      <c r="D42" s="265">
        <f t="shared" si="3"/>
        <v>0</v>
      </c>
      <c r="E42" s="265">
        <f t="shared" si="2"/>
        <v>0</v>
      </c>
      <c r="F42" s="265">
        <f t="shared" si="2"/>
        <v>0</v>
      </c>
      <c r="G42" s="265">
        <f t="shared" si="2"/>
        <v>0</v>
      </c>
      <c r="H42" s="265">
        <f t="shared" si="2"/>
        <v>0</v>
      </c>
      <c r="I42" s="265">
        <f t="shared" si="2"/>
        <v>0</v>
      </c>
      <c r="J42" s="265">
        <f t="shared" si="2"/>
        <v>0</v>
      </c>
      <c r="K42" s="265">
        <f t="shared" si="2"/>
        <v>0</v>
      </c>
      <c r="L42" s="265">
        <f t="shared" si="2"/>
        <v>0</v>
      </c>
      <c r="M42" s="265">
        <f t="shared" si="2"/>
        <v>0</v>
      </c>
      <c r="N42" s="265">
        <f t="shared" si="2"/>
        <v>0</v>
      </c>
      <c r="O42" s="265">
        <f t="shared" si="2"/>
        <v>0</v>
      </c>
      <c r="P42" s="265">
        <f t="shared" si="2"/>
        <v>0</v>
      </c>
      <c r="Q42" s="265">
        <f t="shared" si="2"/>
        <v>0</v>
      </c>
      <c r="R42" s="265">
        <f t="shared" si="2"/>
        <v>0</v>
      </c>
      <c r="T42" s="291">
        <f>STAT_TRA_Mileage!G16/1000</f>
        <v>0</v>
      </c>
      <c r="U42" s="16"/>
    </row>
    <row r="43" spans="2:21" x14ac:dyDescent="0.25">
      <c r="B43" s="169" t="s">
        <v>115</v>
      </c>
      <c r="C43" s="169" t="s">
        <v>320</v>
      </c>
      <c r="D43" s="265">
        <f t="shared" si="3"/>
        <v>0</v>
      </c>
      <c r="E43" s="265">
        <f t="shared" si="2"/>
        <v>0</v>
      </c>
      <c r="F43" s="265">
        <f t="shared" si="2"/>
        <v>0</v>
      </c>
      <c r="G43" s="265">
        <f t="shared" si="2"/>
        <v>0</v>
      </c>
      <c r="H43" s="265">
        <f t="shared" si="2"/>
        <v>0</v>
      </c>
      <c r="I43" s="265">
        <f t="shared" si="2"/>
        <v>0</v>
      </c>
      <c r="J43" s="265">
        <f t="shared" si="2"/>
        <v>0</v>
      </c>
      <c r="K43" s="265">
        <f t="shared" si="2"/>
        <v>0</v>
      </c>
      <c r="L43" s="265">
        <f t="shared" si="2"/>
        <v>0</v>
      </c>
      <c r="M43" s="265">
        <f t="shared" si="2"/>
        <v>0</v>
      </c>
      <c r="N43" s="265">
        <f t="shared" si="2"/>
        <v>0</v>
      </c>
      <c r="O43" s="265">
        <f t="shared" si="2"/>
        <v>0</v>
      </c>
      <c r="P43" s="265">
        <f t="shared" si="2"/>
        <v>0</v>
      </c>
      <c r="Q43" s="265">
        <f t="shared" si="2"/>
        <v>0</v>
      </c>
      <c r="R43" s="265">
        <f t="shared" si="2"/>
        <v>0</v>
      </c>
      <c r="T43" s="291">
        <f>STAT_TRA_Mileage!G17/1000</f>
        <v>0</v>
      </c>
      <c r="U43" s="16"/>
    </row>
    <row r="44" spans="2:21" x14ac:dyDescent="0.25">
      <c r="B44" s="169" t="s">
        <v>206</v>
      </c>
      <c r="C44" s="169" t="s">
        <v>321</v>
      </c>
      <c r="D44" s="265">
        <f t="shared" si="3"/>
        <v>0</v>
      </c>
      <c r="E44" s="265">
        <f t="shared" si="2"/>
        <v>0</v>
      </c>
      <c r="F44" s="265">
        <f t="shared" si="2"/>
        <v>0</v>
      </c>
      <c r="G44" s="265">
        <f t="shared" si="2"/>
        <v>0</v>
      </c>
      <c r="H44" s="265">
        <f t="shared" si="2"/>
        <v>0</v>
      </c>
      <c r="I44" s="265">
        <f t="shared" si="2"/>
        <v>0</v>
      </c>
      <c r="J44" s="265">
        <f t="shared" si="2"/>
        <v>0</v>
      </c>
      <c r="K44" s="265">
        <f t="shared" si="2"/>
        <v>0</v>
      </c>
      <c r="L44" s="265">
        <f t="shared" si="2"/>
        <v>0</v>
      </c>
      <c r="M44" s="265">
        <f t="shared" si="2"/>
        <v>0</v>
      </c>
      <c r="N44" s="265">
        <f t="shared" si="2"/>
        <v>0</v>
      </c>
      <c r="O44" s="265">
        <f t="shared" si="2"/>
        <v>0</v>
      </c>
      <c r="P44" s="265">
        <f t="shared" si="2"/>
        <v>0</v>
      </c>
      <c r="Q44" s="265">
        <f t="shared" si="2"/>
        <v>0</v>
      </c>
      <c r="R44" s="265">
        <f t="shared" si="2"/>
        <v>0</v>
      </c>
      <c r="T44" s="291">
        <f>STAT_TRA_Mileage!G18/1000</f>
        <v>0</v>
      </c>
      <c r="U44" s="16"/>
    </row>
    <row r="45" spans="2:21" x14ac:dyDescent="0.25">
      <c r="B45" s="169" t="s">
        <v>207</v>
      </c>
      <c r="C45" s="169" t="s">
        <v>322</v>
      </c>
      <c r="D45" s="265">
        <f t="shared" si="3"/>
        <v>0</v>
      </c>
      <c r="E45" s="265">
        <f t="shared" si="2"/>
        <v>0</v>
      </c>
      <c r="F45" s="265">
        <f t="shared" si="2"/>
        <v>0</v>
      </c>
      <c r="G45" s="265">
        <f t="shared" si="2"/>
        <v>0</v>
      </c>
      <c r="H45" s="265">
        <f t="shared" si="2"/>
        <v>0</v>
      </c>
      <c r="I45" s="265">
        <f t="shared" si="2"/>
        <v>0</v>
      </c>
      <c r="J45" s="265">
        <f t="shared" si="2"/>
        <v>0</v>
      </c>
      <c r="K45" s="265">
        <f t="shared" si="2"/>
        <v>0</v>
      </c>
      <c r="L45" s="265">
        <f t="shared" si="2"/>
        <v>0</v>
      </c>
      <c r="M45" s="265">
        <f t="shared" si="2"/>
        <v>0</v>
      </c>
      <c r="N45" s="265">
        <f t="shared" si="2"/>
        <v>0</v>
      </c>
      <c r="O45" s="265">
        <f t="shared" si="2"/>
        <v>0</v>
      </c>
      <c r="P45" s="265">
        <f t="shared" si="2"/>
        <v>0</v>
      </c>
      <c r="Q45" s="265">
        <f t="shared" si="2"/>
        <v>0</v>
      </c>
      <c r="R45" s="265">
        <f t="shared" si="2"/>
        <v>0</v>
      </c>
      <c r="T45" s="291">
        <f>STAT_TRA_Mileage!G19/1000</f>
        <v>0</v>
      </c>
      <c r="U45" s="267"/>
    </row>
    <row r="46" spans="2:21" x14ac:dyDescent="0.25">
      <c r="B46" s="114"/>
      <c r="C46" s="114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268"/>
      <c r="Q46" s="268"/>
      <c r="R46" s="268"/>
      <c r="T46" s="269"/>
      <c r="U46" s="269"/>
    </row>
    <row r="47" spans="2:21" x14ac:dyDescent="0.25">
      <c r="B47" s="114"/>
      <c r="C47" s="114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268"/>
      <c r="Q47" s="268"/>
      <c r="R47" s="268"/>
      <c r="T47" s="269"/>
      <c r="U47" s="269"/>
    </row>
    <row r="48" spans="2:21" x14ac:dyDescent="0.25">
      <c r="B48" s="441" t="s">
        <v>539</v>
      </c>
      <c r="C48" s="339"/>
    </row>
    <row r="49" spans="2:21" x14ac:dyDescent="0.25">
      <c r="B49" s="441" t="s">
        <v>103</v>
      </c>
      <c r="C49" s="264" t="s">
        <v>104</v>
      </c>
      <c r="D49" s="121" t="str">
        <f>D$4</f>
        <v>Z01</v>
      </c>
      <c r="E49" s="121" t="str">
        <f t="shared" ref="E49:R49" si="4">E$4</f>
        <v>Z02</v>
      </c>
      <c r="F49" s="121" t="str">
        <f t="shared" si="4"/>
        <v>Z03</v>
      </c>
      <c r="G49" s="121" t="str">
        <f t="shared" si="4"/>
        <v>Z04</v>
      </c>
      <c r="H49" s="121" t="str">
        <f t="shared" si="4"/>
        <v>Z05</v>
      </c>
      <c r="I49" s="121" t="str">
        <f t="shared" si="4"/>
        <v>Z06</v>
      </c>
      <c r="J49" s="121" t="str">
        <f t="shared" si="4"/>
        <v>Z07</v>
      </c>
      <c r="K49" s="121" t="str">
        <f t="shared" si="4"/>
        <v>Z08</v>
      </c>
      <c r="L49" s="121" t="str">
        <f t="shared" si="4"/>
        <v>Z09</v>
      </c>
      <c r="M49" s="121" t="str">
        <f t="shared" si="4"/>
        <v>Z10</v>
      </c>
      <c r="N49" s="121" t="str">
        <f t="shared" si="4"/>
        <v>Z11</v>
      </c>
      <c r="O49" s="121" t="str">
        <f t="shared" si="4"/>
        <v>Z12</v>
      </c>
      <c r="P49" s="121" t="str">
        <f t="shared" si="4"/>
        <v>Z13</v>
      </c>
      <c r="Q49" s="121" t="str">
        <f t="shared" si="4"/>
        <v>Z14</v>
      </c>
      <c r="R49" s="121" t="str">
        <f t="shared" si="4"/>
        <v>Z15</v>
      </c>
      <c r="T49" s="17" t="s">
        <v>527</v>
      </c>
      <c r="U49" s="260"/>
    </row>
    <row r="50" spans="2:21" x14ac:dyDescent="0.25">
      <c r="B50" s="169" t="s">
        <v>107</v>
      </c>
      <c r="C50" s="169"/>
      <c r="D50" s="265">
        <f>$T50</f>
        <v>0</v>
      </c>
      <c r="E50" s="265">
        <f t="shared" ref="E50:R60" si="5">$T50</f>
        <v>0</v>
      </c>
      <c r="F50" s="265">
        <f t="shared" si="5"/>
        <v>0</v>
      </c>
      <c r="G50" s="265">
        <f t="shared" si="5"/>
        <v>0</v>
      </c>
      <c r="H50" s="265">
        <f t="shared" si="5"/>
        <v>0</v>
      </c>
      <c r="I50" s="265">
        <f t="shared" si="5"/>
        <v>0</v>
      </c>
      <c r="J50" s="265">
        <f t="shared" si="5"/>
        <v>0</v>
      </c>
      <c r="K50" s="265">
        <f t="shared" si="5"/>
        <v>0</v>
      </c>
      <c r="L50" s="265">
        <f t="shared" si="5"/>
        <v>0</v>
      </c>
      <c r="M50" s="265">
        <f t="shared" si="5"/>
        <v>0</v>
      </c>
      <c r="N50" s="265">
        <f t="shared" si="5"/>
        <v>0</v>
      </c>
      <c r="O50" s="265">
        <f t="shared" si="5"/>
        <v>0</v>
      </c>
      <c r="P50" s="265">
        <f t="shared" si="5"/>
        <v>0</v>
      </c>
      <c r="Q50" s="265">
        <f t="shared" si="5"/>
        <v>0</v>
      </c>
      <c r="R50" s="265">
        <f t="shared" si="5"/>
        <v>0</v>
      </c>
      <c r="T50" s="291">
        <f>STAT_TRA_Mileage!H9/1000</f>
        <v>0</v>
      </c>
      <c r="U50" s="16"/>
    </row>
    <row r="51" spans="2:21" x14ac:dyDescent="0.25">
      <c r="B51" s="169" t="s">
        <v>108</v>
      </c>
      <c r="C51" s="169"/>
      <c r="D51" s="265">
        <f t="shared" ref="D51:D60" si="6">$T51</f>
        <v>0</v>
      </c>
      <c r="E51" s="265">
        <f t="shared" si="5"/>
        <v>0</v>
      </c>
      <c r="F51" s="265">
        <f t="shared" si="5"/>
        <v>0</v>
      </c>
      <c r="G51" s="265">
        <f t="shared" si="5"/>
        <v>0</v>
      </c>
      <c r="H51" s="265">
        <f t="shared" si="5"/>
        <v>0</v>
      </c>
      <c r="I51" s="265">
        <f t="shared" si="5"/>
        <v>0</v>
      </c>
      <c r="J51" s="265">
        <f t="shared" si="5"/>
        <v>0</v>
      </c>
      <c r="K51" s="265">
        <f t="shared" si="5"/>
        <v>0</v>
      </c>
      <c r="L51" s="265">
        <f t="shared" si="5"/>
        <v>0</v>
      </c>
      <c r="M51" s="265">
        <f t="shared" si="5"/>
        <v>0</v>
      </c>
      <c r="N51" s="265">
        <f t="shared" si="5"/>
        <v>0</v>
      </c>
      <c r="O51" s="265">
        <f t="shared" si="5"/>
        <v>0</v>
      </c>
      <c r="P51" s="265">
        <f t="shared" si="5"/>
        <v>0</v>
      </c>
      <c r="Q51" s="265">
        <f t="shared" si="5"/>
        <v>0</v>
      </c>
      <c r="R51" s="265">
        <f t="shared" si="5"/>
        <v>0</v>
      </c>
      <c r="T51" s="291">
        <f>STAT_TRA_Mileage!H10/1000</f>
        <v>0</v>
      </c>
      <c r="U51" s="16"/>
    </row>
    <row r="52" spans="2:21" x14ac:dyDescent="0.25">
      <c r="B52" s="169" t="s">
        <v>203</v>
      </c>
      <c r="C52" s="169"/>
      <c r="D52" s="265">
        <f t="shared" si="6"/>
        <v>0</v>
      </c>
      <c r="E52" s="265">
        <f t="shared" si="5"/>
        <v>0</v>
      </c>
      <c r="F52" s="265">
        <f t="shared" si="5"/>
        <v>0</v>
      </c>
      <c r="G52" s="265">
        <f t="shared" si="5"/>
        <v>0</v>
      </c>
      <c r="H52" s="265">
        <f t="shared" si="5"/>
        <v>0</v>
      </c>
      <c r="I52" s="265">
        <f t="shared" si="5"/>
        <v>0</v>
      </c>
      <c r="J52" s="265">
        <f t="shared" si="5"/>
        <v>0</v>
      </c>
      <c r="K52" s="265">
        <f t="shared" si="5"/>
        <v>0</v>
      </c>
      <c r="L52" s="265">
        <f t="shared" si="5"/>
        <v>0</v>
      </c>
      <c r="M52" s="265">
        <f t="shared" si="5"/>
        <v>0</v>
      </c>
      <c r="N52" s="265">
        <f t="shared" si="5"/>
        <v>0</v>
      </c>
      <c r="O52" s="265">
        <f t="shared" si="5"/>
        <v>0</v>
      </c>
      <c r="P52" s="265">
        <f t="shared" si="5"/>
        <v>0</v>
      </c>
      <c r="Q52" s="265">
        <f t="shared" si="5"/>
        <v>0</v>
      </c>
      <c r="R52" s="265">
        <f t="shared" si="5"/>
        <v>0</v>
      </c>
      <c r="T52" s="291">
        <f>STAT_TRA_Mileage!H11/1000</f>
        <v>0</v>
      </c>
      <c r="U52" s="16"/>
    </row>
    <row r="53" spans="2:21" x14ac:dyDescent="0.25">
      <c r="B53" s="169" t="s">
        <v>110</v>
      </c>
      <c r="C53" s="169"/>
      <c r="D53" s="265">
        <f t="shared" si="6"/>
        <v>0</v>
      </c>
      <c r="E53" s="265">
        <f t="shared" si="5"/>
        <v>0</v>
      </c>
      <c r="F53" s="265">
        <f t="shared" si="5"/>
        <v>0</v>
      </c>
      <c r="G53" s="265">
        <f t="shared" si="5"/>
        <v>0</v>
      </c>
      <c r="H53" s="265">
        <f t="shared" si="5"/>
        <v>0</v>
      </c>
      <c r="I53" s="265">
        <f t="shared" si="5"/>
        <v>0</v>
      </c>
      <c r="J53" s="265">
        <f t="shared" si="5"/>
        <v>0</v>
      </c>
      <c r="K53" s="265">
        <f t="shared" si="5"/>
        <v>0</v>
      </c>
      <c r="L53" s="265">
        <f t="shared" si="5"/>
        <v>0</v>
      </c>
      <c r="M53" s="265">
        <f t="shared" si="5"/>
        <v>0</v>
      </c>
      <c r="N53" s="265">
        <f t="shared" si="5"/>
        <v>0</v>
      </c>
      <c r="O53" s="265">
        <f t="shared" si="5"/>
        <v>0</v>
      </c>
      <c r="P53" s="265">
        <f t="shared" si="5"/>
        <v>0</v>
      </c>
      <c r="Q53" s="265">
        <f t="shared" si="5"/>
        <v>0</v>
      </c>
      <c r="R53" s="265">
        <f t="shared" si="5"/>
        <v>0</v>
      </c>
      <c r="T53" s="291">
        <f>STAT_TRA_Mileage!H12/1000</f>
        <v>0</v>
      </c>
      <c r="U53" s="16"/>
    </row>
    <row r="54" spans="2:21" x14ac:dyDescent="0.25">
      <c r="B54" s="169" t="s">
        <v>111</v>
      </c>
      <c r="C54" s="169"/>
      <c r="D54" s="265">
        <f t="shared" si="6"/>
        <v>0</v>
      </c>
      <c r="E54" s="265">
        <f t="shared" si="5"/>
        <v>0</v>
      </c>
      <c r="F54" s="265">
        <f t="shared" si="5"/>
        <v>0</v>
      </c>
      <c r="G54" s="265">
        <f t="shared" si="5"/>
        <v>0</v>
      </c>
      <c r="H54" s="265">
        <f t="shared" si="5"/>
        <v>0</v>
      </c>
      <c r="I54" s="265">
        <f t="shared" si="5"/>
        <v>0</v>
      </c>
      <c r="J54" s="265">
        <f t="shared" si="5"/>
        <v>0</v>
      </c>
      <c r="K54" s="265">
        <f t="shared" si="5"/>
        <v>0</v>
      </c>
      <c r="L54" s="265">
        <f t="shared" si="5"/>
        <v>0</v>
      </c>
      <c r="M54" s="265">
        <f t="shared" si="5"/>
        <v>0</v>
      </c>
      <c r="N54" s="265">
        <f t="shared" si="5"/>
        <v>0</v>
      </c>
      <c r="O54" s="265">
        <f t="shared" si="5"/>
        <v>0</v>
      </c>
      <c r="P54" s="265">
        <f t="shared" si="5"/>
        <v>0</v>
      </c>
      <c r="Q54" s="265">
        <f t="shared" si="5"/>
        <v>0</v>
      </c>
      <c r="R54" s="265">
        <f t="shared" si="5"/>
        <v>0</v>
      </c>
      <c r="T54" s="291">
        <f>STAT_TRA_Mileage!H13/1000</f>
        <v>0</v>
      </c>
      <c r="U54" s="16"/>
    </row>
    <row r="55" spans="2:21" x14ac:dyDescent="0.25">
      <c r="B55" s="169" t="s">
        <v>112</v>
      </c>
      <c r="C55" s="169"/>
      <c r="D55" s="265">
        <f t="shared" si="6"/>
        <v>0</v>
      </c>
      <c r="E55" s="265">
        <f t="shared" si="5"/>
        <v>0</v>
      </c>
      <c r="F55" s="265">
        <f t="shared" si="5"/>
        <v>0</v>
      </c>
      <c r="G55" s="265">
        <f t="shared" si="5"/>
        <v>0</v>
      </c>
      <c r="H55" s="265">
        <f t="shared" si="5"/>
        <v>0</v>
      </c>
      <c r="I55" s="265">
        <f t="shared" si="5"/>
        <v>0</v>
      </c>
      <c r="J55" s="265">
        <f t="shared" si="5"/>
        <v>0</v>
      </c>
      <c r="K55" s="265">
        <f t="shared" si="5"/>
        <v>0</v>
      </c>
      <c r="L55" s="265">
        <f t="shared" si="5"/>
        <v>0</v>
      </c>
      <c r="M55" s="265">
        <f t="shared" si="5"/>
        <v>0</v>
      </c>
      <c r="N55" s="265">
        <f t="shared" si="5"/>
        <v>0</v>
      </c>
      <c r="O55" s="265">
        <f t="shared" si="5"/>
        <v>0</v>
      </c>
      <c r="P55" s="265">
        <f t="shared" si="5"/>
        <v>0</v>
      </c>
      <c r="Q55" s="265">
        <f t="shared" si="5"/>
        <v>0</v>
      </c>
      <c r="R55" s="265">
        <f t="shared" si="5"/>
        <v>0</v>
      </c>
      <c r="T55" s="291">
        <f>STAT_TRA_Mileage!H14/1000</f>
        <v>0</v>
      </c>
      <c r="U55" s="16"/>
    </row>
    <row r="56" spans="2:21" x14ac:dyDescent="0.25">
      <c r="B56" s="169" t="s">
        <v>204</v>
      </c>
      <c r="C56" s="169"/>
      <c r="D56" s="265">
        <f t="shared" si="6"/>
        <v>0</v>
      </c>
      <c r="E56" s="265">
        <f t="shared" si="5"/>
        <v>0</v>
      </c>
      <c r="F56" s="265">
        <f t="shared" si="5"/>
        <v>0</v>
      </c>
      <c r="G56" s="265">
        <f t="shared" si="5"/>
        <v>0</v>
      </c>
      <c r="H56" s="265">
        <f t="shared" si="5"/>
        <v>0</v>
      </c>
      <c r="I56" s="265">
        <f t="shared" si="5"/>
        <v>0</v>
      </c>
      <c r="J56" s="265">
        <f t="shared" si="5"/>
        <v>0</v>
      </c>
      <c r="K56" s="265">
        <f t="shared" si="5"/>
        <v>0</v>
      </c>
      <c r="L56" s="265">
        <f t="shared" si="5"/>
        <v>0</v>
      </c>
      <c r="M56" s="265">
        <f t="shared" si="5"/>
        <v>0</v>
      </c>
      <c r="N56" s="265">
        <f t="shared" si="5"/>
        <v>0</v>
      </c>
      <c r="O56" s="265">
        <f t="shared" si="5"/>
        <v>0</v>
      </c>
      <c r="P56" s="265">
        <f t="shared" si="5"/>
        <v>0</v>
      </c>
      <c r="Q56" s="265">
        <f t="shared" si="5"/>
        <v>0</v>
      </c>
      <c r="R56" s="265">
        <f t="shared" si="5"/>
        <v>0</v>
      </c>
      <c r="T56" s="291">
        <f>STAT_TRA_Mileage!H15/1000</f>
        <v>0</v>
      </c>
      <c r="U56" s="16"/>
    </row>
    <row r="57" spans="2:21" x14ac:dyDescent="0.25">
      <c r="B57" s="169" t="s">
        <v>205</v>
      </c>
      <c r="C57" s="169"/>
      <c r="D57" s="265">
        <f t="shared" si="6"/>
        <v>0</v>
      </c>
      <c r="E57" s="265">
        <f t="shared" si="5"/>
        <v>0</v>
      </c>
      <c r="F57" s="265">
        <f t="shared" si="5"/>
        <v>0</v>
      </c>
      <c r="G57" s="265">
        <f t="shared" si="5"/>
        <v>0</v>
      </c>
      <c r="H57" s="265">
        <f t="shared" si="5"/>
        <v>0</v>
      </c>
      <c r="I57" s="265">
        <f t="shared" si="5"/>
        <v>0</v>
      </c>
      <c r="J57" s="265">
        <f t="shared" si="5"/>
        <v>0</v>
      </c>
      <c r="K57" s="265">
        <f t="shared" si="5"/>
        <v>0</v>
      </c>
      <c r="L57" s="265">
        <f t="shared" si="5"/>
        <v>0</v>
      </c>
      <c r="M57" s="265">
        <f t="shared" si="5"/>
        <v>0</v>
      </c>
      <c r="N57" s="265">
        <f t="shared" si="5"/>
        <v>0</v>
      </c>
      <c r="O57" s="265">
        <f t="shared" si="5"/>
        <v>0</v>
      </c>
      <c r="P57" s="265">
        <f t="shared" si="5"/>
        <v>0</v>
      </c>
      <c r="Q57" s="265">
        <f t="shared" si="5"/>
        <v>0</v>
      </c>
      <c r="R57" s="265">
        <f t="shared" si="5"/>
        <v>0</v>
      </c>
      <c r="T57" s="291">
        <f>STAT_TRA_Mileage!H16/1000</f>
        <v>0</v>
      </c>
      <c r="U57" s="16"/>
    </row>
    <row r="58" spans="2:21" x14ac:dyDescent="0.25">
      <c r="B58" s="169" t="s">
        <v>115</v>
      </c>
      <c r="C58" s="169"/>
      <c r="D58" s="265">
        <f t="shared" si="6"/>
        <v>0</v>
      </c>
      <c r="E58" s="265">
        <f t="shared" si="5"/>
        <v>0</v>
      </c>
      <c r="F58" s="265">
        <f t="shared" si="5"/>
        <v>0</v>
      </c>
      <c r="G58" s="265">
        <f t="shared" si="5"/>
        <v>0</v>
      </c>
      <c r="H58" s="265">
        <f t="shared" si="5"/>
        <v>0</v>
      </c>
      <c r="I58" s="265">
        <f t="shared" si="5"/>
        <v>0</v>
      </c>
      <c r="J58" s="265">
        <f t="shared" si="5"/>
        <v>0</v>
      </c>
      <c r="K58" s="265">
        <f t="shared" si="5"/>
        <v>0</v>
      </c>
      <c r="L58" s="265">
        <f t="shared" si="5"/>
        <v>0</v>
      </c>
      <c r="M58" s="265">
        <f t="shared" si="5"/>
        <v>0</v>
      </c>
      <c r="N58" s="265">
        <f t="shared" si="5"/>
        <v>0</v>
      </c>
      <c r="O58" s="265">
        <f t="shared" si="5"/>
        <v>0</v>
      </c>
      <c r="P58" s="265">
        <f t="shared" si="5"/>
        <v>0</v>
      </c>
      <c r="Q58" s="265">
        <f t="shared" si="5"/>
        <v>0</v>
      </c>
      <c r="R58" s="265">
        <f t="shared" si="5"/>
        <v>0</v>
      </c>
      <c r="T58" s="291">
        <f>STAT_TRA_Mileage!H17/1000</f>
        <v>0</v>
      </c>
      <c r="U58" s="16"/>
    </row>
    <row r="59" spans="2:21" x14ac:dyDescent="0.25">
      <c r="B59" s="169" t="s">
        <v>206</v>
      </c>
      <c r="C59" s="169"/>
      <c r="D59" s="265">
        <f t="shared" si="6"/>
        <v>0</v>
      </c>
      <c r="E59" s="265">
        <f t="shared" si="5"/>
        <v>0</v>
      </c>
      <c r="F59" s="265">
        <f t="shared" si="5"/>
        <v>0</v>
      </c>
      <c r="G59" s="265">
        <f t="shared" si="5"/>
        <v>0</v>
      </c>
      <c r="H59" s="265">
        <f t="shared" si="5"/>
        <v>0</v>
      </c>
      <c r="I59" s="265">
        <f t="shared" si="5"/>
        <v>0</v>
      </c>
      <c r="J59" s="265">
        <f t="shared" si="5"/>
        <v>0</v>
      </c>
      <c r="K59" s="265">
        <f t="shared" si="5"/>
        <v>0</v>
      </c>
      <c r="L59" s="265">
        <f t="shared" si="5"/>
        <v>0</v>
      </c>
      <c r="M59" s="265">
        <f t="shared" si="5"/>
        <v>0</v>
      </c>
      <c r="N59" s="265">
        <f t="shared" si="5"/>
        <v>0</v>
      </c>
      <c r="O59" s="265">
        <f t="shared" si="5"/>
        <v>0</v>
      </c>
      <c r="P59" s="265">
        <f t="shared" si="5"/>
        <v>0</v>
      </c>
      <c r="Q59" s="265">
        <f t="shared" si="5"/>
        <v>0</v>
      </c>
      <c r="R59" s="265">
        <f t="shared" si="5"/>
        <v>0</v>
      </c>
      <c r="T59" s="291">
        <f>STAT_TRA_Mileage!H18/1000</f>
        <v>0</v>
      </c>
      <c r="U59" s="16"/>
    </row>
    <row r="60" spans="2:21" x14ac:dyDescent="0.25">
      <c r="B60" s="169" t="s">
        <v>207</v>
      </c>
      <c r="C60" s="169"/>
      <c r="D60" s="265">
        <f t="shared" si="6"/>
        <v>0</v>
      </c>
      <c r="E60" s="265">
        <f t="shared" si="5"/>
        <v>0</v>
      </c>
      <c r="F60" s="265">
        <f t="shared" si="5"/>
        <v>0</v>
      </c>
      <c r="G60" s="265">
        <f t="shared" si="5"/>
        <v>0</v>
      </c>
      <c r="H60" s="265">
        <f t="shared" si="5"/>
        <v>0</v>
      </c>
      <c r="I60" s="265">
        <f t="shared" si="5"/>
        <v>0</v>
      </c>
      <c r="J60" s="265">
        <f t="shared" si="5"/>
        <v>0</v>
      </c>
      <c r="K60" s="265">
        <f t="shared" si="5"/>
        <v>0</v>
      </c>
      <c r="L60" s="265">
        <f t="shared" si="5"/>
        <v>0</v>
      </c>
      <c r="M60" s="265">
        <f t="shared" si="5"/>
        <v>0</v>
      </c>
      <c r="N60" s="265">
        <f t="shared" si="5"/>
        <v>0</v>
      </c>
      <c r="O60" s="265">
        <f t="shared" si="5"/>
        <v>0</v>
      </c>
      <c r="P60" s="265">
        <f t="shared" si="5"/>
        <v>0</v>
      </c>
      <c r="Q60" s="265">
        <f t="shared" si="5"/>
        <v>0</v>
      </c>
      <c r="R60" s="265">
        <f t="shared" si="5"/>
        <v>0</v>
      </c>
      <c r="T60" s="291">
        <f>STAT_TRA_Mileage!H19/1000</f>
        <v>0</v>
      </c>
      <c r="U60" s="267"/>
    </row>
    <row r="61" spans="2:21" x14ac:dyDescent="0.25">
      <c r="B61" s="114"/>
      <c r="C61" s="114"/>
      <c r="D61" s="268"/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T61" s="269"/>
      <c r="U61" s="269"/>
    </row>
    <row r="62" spans="2:21" x14ac:dyDescent="0.25">
      <c r="B62" s="149"/>
      <c r="C62" s="149"/>
    </row>
    <row r="63" spans="2:21" x14ac:dyDescent="0.25">
      <c r="B63" s="441" t="s">
        <v>540</v>
      </c>
      <c r="C63" s="339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</row>
    <row r="64" spans="2:21" x14ac:dyDescent="0.25">
      <c r="B64" s="441" t="s">
        <v>103</v>
      </c>
      <c r="C64" s="264" t="s">
        <v>104</v>
      </c>
      <c r="D64" s="121" t="str">
        <f>D$4</f>
        <v>Z01</v>
      </c>
      <c r="E64" s="121" t="str">
        <f t="shared" ref="E64:R64" si="7">E$4</f>
        <v>Z02</v>
      </c>
      <c r="F64" s="121" t="str">
        <f t="shared" si="7"/>
        <v>Z03</v>
      </c>
      <c r="G64" s="121" t="str">
        <f t="shared" si="7"/>
        <v>Z04</v>
      </c>
      <c r="H64" s="121" t="str">
        <f t="shared" si="7"/>
        <v>Z05</v>
      </c>
      <c r="I64" s="121" t="str">
        <f t="shared" si="7"/>
        <v>Z06</v>
      </c>
      <c r="J64" s="121" t="str">
        <f t="shared" si="7"/>
        <v>Z07</v>
      </c>
      <c r="K64" s="121" t="str">
        <f t="shared" si="7"/>
        <v>Z08</v>
      </c>
      <c r="L64" s="121" t="str">
        <f t="shared" si="7"/>
        <v>Z09</v>
      </c>
      <c r="M64" s="121" t="str">
        <f t="shared" si="7"/>
        <v>Z10</v>
      </c>
      <c r="N64" s="121" t="str">
        <f t="shared" si="7"/>
        <v>Z11</v>
      </c>
      <c r="O64" s="121" t="str">
        <f t="shared" si="7"/>
        <v>Z12</v>
      </c>
      <c r="P64" s="121" t="str">
        <f t="shared" si="7"/>
        <v>Z13</v>
      </c>
      <c r="Q64" s="121" t="str">
        <f t="shared" si="7"/>
        <v>Z14</v>
      </c>
      <c r="R64" s="121" t="str">
        <f t="shared" si="7"/>
        <v>Z15</v>
      </c>
      <c r="T64" s="17" t="str">
        <f>T$4</f>
        <v>Average</v>
      </c>
      <c r="U64" s="60"/>
    </row>
    <row r="65" spans="2:21" x14ac:dyDescent="0.25">
      <c r="B65" s="169" t="s">
        <v>107</v>
      </c>
      <c r="C65" s="169"/>
      <c r="D65" s="265">
        <f>$T65</f>
        <v>0</v>
      </c>
      <c r="E65" s="265">
        <f t="shared" ref="E65:R75" si="8">$T65</f>
        <v>0</v>
      </c>
      <c r="F65" s="265">
        <f t="shared" si="8"/>
        <v>0</v>
      </c>
      <c r="G65" s="265">
        <f t="shared" si="8"/>
        <v>0</v>
      </c>
      <c r="H65" s="265">
        <f t="shared" si="8"/>
        <v>0</v>
      </c>
      <c r="I65" s="265">
        <f t="shared" si="8"/>
        <v>0</v>
      </c>
      <c r="J65" s="265">
        <f t="shared" si="8"/>
        <v>0</v>
      </c>
      <c r="K65" s="265">
        <f t="shared" si="8"/>
        <v>0</v>
      </c>
      <c r="L65" s="265">
        <f t="shared" si="8"/>
        <v>0</v>
      </c>
      <c r="M65" s="265">
        <f t="shared" si="8"/>
        <v>0</v>
      </c>
      <c r="N65" s="265">
        <f t="shared" si="8"/>
        <v>0</v>
      </c>
      <c r="O65" s="265">
        <f t="shared" si="8"/>
        <v>0</v>
      </c>
      <c r="P65" s="265">
        <f t="shared" si="8"/>
        <v>0</v>
      </c>
      <c r="Q65" s="265">
        <f t="shared" si="8"/>
        <v>0</v>
      </c>
      <c r="R65" s="265">
        <f t="shared" si="8"/>
        <v>0</v>
      </c>
      <c r="T65" s="270">
        <f>STAT_TRA_Mileage!E9/1000</f>
        <v>0</v>
      </c>
      <c r="U65" s="16"/>
    </row>
    <row r="66" spans="2:21" x14ac:dyDescent="0.25">
      <c r="B66" s="169" t="s">
        <v>108</v>
      </c>
      <c r="C66" s="169"/>
      <c r="D66" s="265">
        <f t="shared" ref="D66:D75" si="9">$T66</f>
        <v>0</v>
      </c>
      <c r="E66" s="265">
        <f t="shared" si="8"/>
        <v>0</v>
      </c>
      <c r="F66" s="265">
        <f t="shared" si="8"/>
        <v>0</v>
      </c>
      <c r="G66" s="265">
        <f t="shared" si="8"/>
        <v>0</v>
      </c>
      <c r="H66" s="265">
        <f t="shared" si="8"/>
        <v>0</v>
      </c>
      <c r="I66" s="265">
        <f t="shared" si="8"/>
        <v>0</v>
      </c>
      <c r="J66" s="265">
        <f t="shared" si="8"/>
        <v>0</v>
      </c>
      <c r="K66" s="265">
        <f t="shared" si="8"/>
        <v>0</v>
      </c>
      <c r="L66" s="265">
        <f t="shared" si="8"/>
        <v>0</v>
      </c>
      <c r="M66" s="265">
        <f t="shared" si="8"/>
        <v>0</v>
      </c>
      <c r="N66" s="265">
        <f t="shared" si="8"/>
        <v>0</v>
      </c>
      <c r="O66" s="265">
        <f t="shared" si="8"/>
        <v>0</v>
      </c>
      <c r="P66" s="265">
        <f t="shared" si="8"/>
        <v>0</v>
      </c>
      <c r="Q66" s="265">
        <f t="shared" si="8"/>
        <v>0</v>
      </c>
      <c r="R66" s="265">
        <f t="shared" si="8"/>
        <v>0</v>
      </c>
      <c r="T66" s="270">
        <f>STAT_TRA_Mileage!E10/1000</f>
        <v>0</v>
      </c>
      <c r="U66" s="16"/>
    </row>
    <row r="67" spans="2:21" x14ac:dyDescent="0.25">
      <c r="B67" s="169" t="s">
        <v>203</v>
      </c>
      <c r="C67" s="169" t="s">
        <v>323</v>
      </c>
      <c r="D67" s="265">
        <f t="shared" si="9"/>
        <v>0</v>
      </c>
      <c r="E67" s="265">
        <f t="shared" si="8"/>
        <v>0</v>
      </c>
      <c r="F67" s="265">
        <f t="shared" si="8"/>
        <v>0</v>
      </c>
      <c r="G67" s="265">
        <f t="shared" si="8"/>
        <v>0</v>
      </c>
      <c r="H67" s="265">
        <f t="shared" si="8"/>
        <v>0</v>
      </c>
      <c r="I67" s="265">
        <f t="shared" si="8"/>
        <v>0</v>
      </c>
      <c r="J67" s="265">
        <f t="shared" si="8"/>
        <v>0</v>
      </c>
      <c r="K67" s="265">
        <f t="shared" si="8"/>
        <v>0</v>
      </c>
      <c r="L67" s="265">
        <f t="shared" si="8"/>
        <v>0</v>
      </c>
      <c r="M67" s="265">
        <f t="shared" si="8"/>
        <v>0</v>
      </c>
      <c r="N67" s="265">
        <f t="shared" si="8"/>
        <v>0</v>
      </c>
      <c r="O67" s="265">
        <f t="shared" si="8"/>
        <v>0</v>
      </c>
      <c r="P67" s="265">
        <f t="shared" si="8"/>
        <v>0</v>
      </c>
      <c r="Q67" s="265">
        <f t="shared" si="8"/>
        <v>0</v>
      </c>
      <c r="R67" s="265">
        <f t="shared" si="8"/>
        <v>0</v>
      </c>
      <c r="T67" s="270">
        <f>STAT_TRA_Mileage!E11/1000</f>
        <v>0</v>
      </c>
      <c r="U67" s="16"/>
    </row>
    <row r="68" spans="2:21" x14ac:dyDescent="0.25">
      <c r="B68" s="169" t="s">
        <v>110</v>
      </c>
      <c r="C68" s="169"/>
      <c r="D68" s="265">
        <f t="shared" si="9"/>
        <v>0</v>
      </c>
      <c r="E68" s="265">
        <f t="shared" si="8"/>
        <v>0</v>
      </c>
      <c r="F68" s="265">
        <f t="shared" si="8"/>
        <v>0</v>
      </c>
      <c r="G68" s="265">
        <f t="shared" si="8"/>
        <v>0</v>
      </c>
      <c r="H68" s="265">
        <f t="shared" si="8"/>
        <v>0</v>
      </c>
      <c r="I68" s="265">
        <f t="shared" si="8"/>
        <v>0</v>
      </c>
      <c r="J68" s="265">
        <f t="shared" si="8"/>
        <v>0</v>
      </c>
      <c r="K68" s="265">
        <f t="shared" si="8"/>
        <v>0</v>
      </c>
      <c r="L68" s="265">
        <f t="shared" si="8"/>
        <v>0</v>
      </c>
      <c r="M68" s="265">
        <f t="shared" si="8"/>
        <v>0</v>
      </c>
      <c r="N68" s="265">
        <f t="shared" si="8"/>
        <v>0</v>
      </c>
      <c r="O68" s="265">
        <f t="shared" si="8"/>
        <v>0</v>
      </c>
      <c r="P68" s="265">
        <f t="shared" si="8"/>
        <v>0</v>
      </c>
      <c r="Q68" s="265">
        <f t="shared" si="8"/>
        <v>0</v>
      </c>
      <c r="R68" s="265">
        <f t="shared" si="8"/>
        <v>0</v>
      </c>
      <c r="T68" s="270">
        <f>STAT_TRA_Mileage!E12/1000</f>
        <v>0</v>
      </c>
      <c r="U68" s="16"/>
    </row>
    <row r="69" spans="2:21" x14ac:dyDescent="0.25">
      <c r="B69" s="169" t="s">
        <v>111</v>
      </c>
      <c r="C69" s="169"/>
      <c r="D69" s="265">
        <f t="shared" si="9"/>
        <v>0</v>
      </c>
      <c r="E69" s="265">
        <f t="shared" si="8"/>
        <v>0</v>
      </c>
      <c r="F69" s="265">
        <f t="shared" si="8"/>
        <v>0</v>
      </c>
      <c r="G69" s="265">
        <f t="shared" si="8"/>
        <v>0</v>
      </c>
      <c r="H69" s="265">
        <f t="shared" si="8"/>
        <v>0</v>
      </c>
      <c r="I69" s="265">
        <f t="shared" si="8"/>
        <v>0</v>
      </c>
      <c r="J69" s="265">
        <f t="shared" si="8"/>
        <v>0</v>
      </c>
      <c r="K69" s="265">
        <f t="shared" si="8"/>
        <v>0</v>
      </c>
      <c r="L69" s="265">
        <f t="shared" si="8"/>
        <v>0</v>
      </c>
      <c r="M69" s="265">
        <f t="shared" si="8"/>
        <v>0</v>
      </c>
      <c r="N69" s="265">
        <f t="shared" si="8"/>
        <v>0</v>
      </c>
      <c r="O69" s="265">
        <f t="shared" si="8"/>
        <v>0</v>
      </c>
      <c r="P69" s="265">
        <f t="shared" si="8"/>
        <v>0</v>
      </c>
      <c r="Q69" s="265">
        <f t="shared" si="8"/>
        <v>0</v>
      </c>
      <c r="R69" s="265">
        <f t="shared" si="8"/>
        <v>0</v>
      </c>
      <c r="T69" s="270">
        <f>STAT_TRA_Mileage!E13/1000</f>
        <v>0</v>
      </c>
      <c r="U69" s="16"/>
    </row>
    <row r="70" spans="2:21" x14ac:dyDescent="0.25">
      <c r="B70" s="169" t="s">
        <v>112</v>
      </c>
      <c r="C70" s="169" t="s">
        <v>324</v>
      </c>
      <c r="D70" s="265">
        <f t="shared" si="9"/>
        <v>0</v>
      </c>
      <c r="E70" s="265">
        <f t="shared" si="8"/>
        <v>0</v>
      </c>
      <c r="F70" s="265">
        <f t="shared" si="8"/>
        <v>0</v>
      </c>
      <c r="G70" s="265">
        <f t="shared" si="8"/>
        <v>0</v>
      </c>
      <c r="H70" s="265">
        <f t="shared" si="8"/>
        <v>0</v>
      </c>
      <c r="I70" s="265">
        <f t="shared" si="8"/>
        <v>0</v>
      </c>
      <c r="J70" s="265">
        <f t="shared" si="8"/>
        <v>0</v>
      </c>
      <c r="K70" s="265">
        <f t="shared" si="8"/>
        <v>0</v>
      </c>
      <c r="L70" s="265">
        <f t="shared" si="8"/>
        <v>0</v>
      </c>
      <c r="M70" s="265">
        <f t="shared" si="8"/>
        <v>0</v>
      </c>
      <c r="N70" s="265">
        <f t="shared" si="8"/>
        <v>0</v>
      </c>
      <c r="O70" s="265">
        <f t="shared" si="8"/>
        <v>0</v>
      </c>
      <c r="P70" s="265">
        <f t="shared" si="8"/>
        <v>0</v>
      </c>
      <c r="Q70" s="265">
        <f t="shared" si="8"/>
        <v>0</v>
      </c>
      <c r="R70" s="265">
        <f t="shared" si="8"/>
        <v>0</v>
      </c>
      <c r="T70" s="270">
        <f>STAT_TRA_Mileage!E14/1000</f>
        <v>0</v>
      </c>
      <c r="U70" s="16"/>
    </row>
    <row r="71" spans="2:21" x14ac:dyDescent="0.25">
      <c r="B71" s="169" t="s">
        <v>204</v>
      </c>
      <c r="C71" s="169"/>
      <c r="D71" s="265">
        <f t="shared" si="9"/>
        <v>0</v>
      </c>
      <c r="E71" s="265">
        <f t="shared" si="8"/>
        <v>0</v>
      </c>
      <c r="F71" s="265">
        <f t="shared" si="8"/>
        <v>0</v>
      </c>
      <c r="G71" s="265">
        <f t="shared" si="8"/>
        <v>0</v>
      </c>
      <c r="H71" s="265">
        <f t="shared" si="8"/>
        <v>0</v>
      </c>
      <c r="I71" s="265">
        <f t="shared" si="8"/>
        <v>0</v>
      </c>
      <c r="J71" s="265">
        <f t="shared" si="8"/>
        <v>0</v>
      </c>
      <c r="K71" s="265">
        <f t="shared" si="8"/>
        <v>0</v>
      </c>
      <c r="L71" s="265">
        <f t="shared" si="8"/>
        <v>0</v>
      </c>
      <c r="M71" s="265">
        <f t="shared" si="8"/>
        <v>0</v>
      </c>
      <c r="N71" s="265">
        <f t="shared" si="8"/>
        <v>0</v>
      </c>
      <c r="O71" s="265">
        <f t="shared" si="8"/>
        <v>0</v>
      </c>
      <c r="P71" s="265">
        <f t="shared" si="8"/>
        <v>0</v>
      </c>
      <c r="Q71" s="265">
        <f t="shared" si="8"/>
        <v>0</v>
      </c>
      <c r="R71" s="265">
        <f t="shared" si="8"/>
        <v>0</v>
      </c>
      <c r="T71" s="270">
        <f>STAT_TRA_Mileage!E15/1000</f>
        <v>0</v>
      </c>
      <c r="U71" s="16"/>
    </row>
    <row r="72" spans="2:21" x14ac:dyDescent="0.25">
      <c r="B72" s="169" t="s">
        <v>205</v>
      </c>
      <c r="C72" s="169"/>
      <c r="D72" s="265">
        <f t="shared" si="9"/>
        <v>0</v>
      </c>
      <c r="E72" s="265">
        <f t="shared" si="8"/>
        <v>0</v>
      </c>
      <c r="F72" s="265">
        <f t="shared" si="8"/>
        <v>0</v>
      </c>
      <c r="G72" s="265">
        <f t="shared" si="8"/>
        <v>0</v>
      </c>
      <c r="H72" s="265">
        <f t="shared" si="8"/>
        <v>0</v>
      </c>
      <c r="I72" s="265">
        <f t="shared" si="8"/>
        <v>0</v>
      </c>
      <c r="J72" s="265">
        <f t="shared" si="8"/>
        <v>0</v>
      </c>
      <c r="K72" s="265">
        <f t="shared" si="8"/>
        <v>0</v>
      </c>
      <c r="L72" s="265">
        <f t="shared" si="8"/>
        <v>0</v>
      </c>
      <c r="M72" s="265">
        <f t="shared" si="8"/>
        <v>0</v>
      </c>
      <c r="N72" s="265">
        <f t="shared" si="8"/>
        <v>0</v>
      </c>
      <c r="O72" s="265">
        <f t="shared" si="8"/>
        <v>0</v>
      </c>
      <c r="P72" s="265">
        <f t="shared" si="8"/>
        <v>0</v>
      </c>
      <c r="Q72" s="265">
        <f t="shared" si="8"/>
        <v>0</v>
      </c>
      <c r="R72" s="265">
        <f t="shared" si="8"/>
        <v>0</v>
      </c>
      <c r="T72" s="270">
        <f>STAT_TRA_Mileage!E16/1000</f>
        <v>0</v>
      </c>
      <c r="U72" s="16"/>
    </row>
    <row r="73" spans="2:21" x14ac:dyDescent="0.25">
      <c r="B73" s="169" t="s">
        <v>115</v>
      </c>
      <c r="C73" s="169"/>
      <c r="D73" s="265">
        <f t="shared" si="9"/>
        <v>0</v>
      </c>
      <c r="E73" s="265">
        <f t="shared" si="8"/>
        <v>0</v>
      </c>
      <c r="F73" s="265">
        <f t="shared" si="8"/>
        <v>0</v>
      </c>
      <c r="G73" s="265">
        <f t="shared" si="8"/>
        <v>0</v>
      </c>
      <c r="H73" s="265">
        <f t="shared" si="8"/>
        <v>0</v>
      </c>
      <c r="I73" s="265">
        <f t="shared" si="8"/>
        <v>0</v>
      </c>
      <c r="J73" s="265">
        <f t="shared" si="8"/>
        <v>0</v>
      </c>
      <c r="K73" s="265">
        <f t="shared" si="8"/>
        <v>0</v>
      </c>
      <c r="L73" s="265">
        <f t="shared" si="8"/>
        <v>0</v>
      </c>
      <c r="M73" s="265">
        <f t="shared" si="8"/>
        <v>0</v>
      </c>
      <c r="N73" s="265">
        <f t="shared" si="8"/>
        <v>0</v>
      </c>
      <c r="O73" s="265">
        <f t="shared" si="8"/>
        <v>0</v>
      </c>
      <c r="P73" s="265">
        <f t="shared" si="8"/>
        <v>0</v>
      </c>
      <c r="Q73" s="265">
        <f t="shared" si="8"/>
        <v>0</v>
      </c>
      <c r="R73" s="265">
        <f t="shared" si="8"/>
        <v>0</v>
      </c>
      <c r="T73" s="270">
        <f>STAT_TRA_Mileage!E17/1000</f>
        <v>0</v>
      </c>
      <c r="U73" s="16"/>
    </row>
    <row r="74" spans="2:21" x14ac:dyDescent="0.25">
      <c r="B74" s="169" t="s">
        <v>206</v>
      </c>
      <c r="C74" s="169"/>
      <c r="D74" s="265">
        <f t="shared" si="9"/>
        <v>0</v>
      </c>
      <c r="E74" s="265">
        <f t="shared" si="8"/>
        <v>0</v>
      </c>
      <c r="F74" s="265">
        <f t="shared" si="8"/>
        <v>0</v>
      </c>
      <c r="G74" s="265">
        <f t="shared" si="8"/>
        <v>0</v>
      </c>
      <c r="H74" s="265">
        <f t="shared" si="8"/>
        <v>0</v>
      </c>
      <c r="I74" s="265">
        <f t="shared" si="8"/>
        <v>0</v>
      </c>
      <c r="J74" s="265">
        <f t="shared" si="8"/>
        <v>0</v>
      </c>
      <c r="K74" s="265">
        <f t="shared" si="8"/>
        <v>0</v>
      </c>
      <c r="L74" s="265">
        <f t="shared" si="8"/>
        <v>0</v>
      </c>
      <c r="M74" s="265">
        <f t="shared" si="8"/>
        <v>0</v>
      </c>
      <c r="N74" s="265">
        <f t="shared" si="8"/>
        <v>0</v>
      </c>
      <c r="O74" s="265">
        <f t="shared" si="8"/>
        <v>0</v>
      </c>
      <c r="P74" s="265">
        <f t="shared" si="8"/>
        <v>0</v>
      </c>
      <c r="Q74" s="265">
        <f t="shared" si="8"/>
        <v>0</v>
      </c>
      <c r="R74" s="265">
        <f t="shared" si="8"/>
        <v>0</v>
      </c>
      <c r="T74" s="270">
        <f>STAT_TRA_Mileage!E18/1000</f>
        <v>0</v>
      </c>
      <c r="U74" s="16"/>
    </row>
    <row r="75" spans="2:21" x14ac:dyDescent="0.25">
      <c r="B75" s="169" t="s">
        <v>207</v>
      </c>
      <c r="C75" s="169"/>
      <c r="D75" s="265">
        <f t="shared" si="9"/>
        <v>0</v>
      </c>
      <c r="E75" s="265">
        <f t="shared" si="8"/>
        <v>0</v>
      </c>
      <c r="F75" s="265">
        <f t="shared" si="8"/>
        <v>0</v>
      </c>
      <c r="G75" s="265">
        <f t="shared" si="8"/>
        <v>0</v>
      </c>
      <c r="H75" s="265">
        <f t="shared" si="8"/>
        <v>0</v>
      </c>
      <c r="I75" s="265">
        <f t="shared" si="8"/>
        <v>0</v>
      </c>
      <c r="J75" s="265">
        <f t="shared" si="8"/>
        <v>0</v>
      </c>
      <c r="K75" s="265">
        <f t="shared" si="8"/>
        <v>0</v>
      </c>
      <c r="L75" s="265">
        <f t="shared" si="8"/>
        <v>0</v>
      </c>
      <c r="M75" s="265">
        <f t="shared" si="8"/>
        <v>0</v>
      </c>
      <c r="N75" s="265">
        <f t="shared" si="8"/>
        <v>0</v>
      </c>
      <c r="O75" s="265">
        <f t="shared" si="8"/>
        <v>0</v>
      </c>
      <c r="P75" s="265">
        <f t="shared" si="8"/>
        <v>0</v>
      </c>
      <c r="Q75" s="265">
        <f t="shared" si="8"/>
        <v>0</v>
      </c>
      <c r="R75" s="265">
        <f t="shared" si="8"/>
        <v>0</v>
      </c>
      <c r="T75" s="270">
        <f>STAT_TRA_Mileage!E19/1000</f>
        <v>0</v>
      </c>
      <c r="U75" s="16"/>
    </row>
    <row r="77" spans="2:21" x14ac:dyDescent="0.25">
      <c r="B77" s="149"/>
      <c r="C77" s="149"/>
    </row>
    <row r="78" spans="2:21" x14ac:dyDescent="0.25">
      <c r="B78" s="441" t="s">
        <v>541</v>
      </c>
      <c r="C78" s="339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</row>
    <row r="79" spans="2:21" x14ac:dyDescent="0.25">
      <c r="B79" s="441" t="s">
        <v>103</v>
      </c>
      <c r="C79" s="264" t="s">
        <v>104</v>
      </c>
      <c r="D79" s="17" t="str">
        <f>D$4</f>
        <v>Z01</v>
      </c>
      <c r="E79" s="17" t="str">
        <f t="shared" ref="E79:R79" si="10">E$4</f>
        <v>Z02</v>
      </c>
      <c r="F79" s="17" t="str">
        <f t="shared" si="10"/>
        <v>Z03</v>
      </c>
      <c r="G79" s="17" t="str">
        <f t="shared" si="10"/>
        <v>Z04</v>
      </c>
      <c r="H79" s="17" t="str">
        <f t="shared" si="10"/>
        <v>Z05</v>
      </c>
      <c r="I79" s="17" t="str">
        <f t="shared" si="10"/>
        <v>Z06</v>
      </c>
      <c r="J79" s="17" t="str">
        <f t="shared" si="10"/>
        <v>Z07</v>
      </c>
      <c r="K79" s="17" t="str">
        <f t="shared" si="10"/>
        <v>Z08</v>
      </c>
      <c r="L79" s="17" t="str">
        <f t="shared" si="10"/>
        <v>Z09</v>
      </c>
      <c r="M79" s="17" t="str">
        <f t="shared" si="10"/>
        <v>Z10</v>
      </c>
      <c r="N79" s="17" t="str">
        <f t="shared" si="10"/>
        <v>Z11</v>
      </c>
      <c r="O79" s="17" t="str">
        <f t="shared" si="10"/>
        <v>Z12</v>
      </c>
      <c r="P79" s="17" t="str">
        <f t="shared" si="10"/>
        <v>Z13</v>
      </c>
      <c r="Q79" s="17" t="str">
        <f t="shared" si="10"/>
        <v>Z14</v>
      </c>
      <c r="R79" s="17" t="str">
        <f t="shared" si="10"/>
        <v>Z15</v>
      </c>
      <c r="T79" s="17" t="str">
        <f>T$4</f>
        <v>Average</v>
      </c>
      <c r="U79" s="60"/>
    </row>
    <row r="80" spans="2:21" x14ac:dyDescent="0.25">
      <c r="B80" s="169" t="s">
        <v>107</v>
      </c>
      <c r="C80" s="169"/>
      <c r="D80" s="265">
        <f>$T80</f>
        <v>0</v>
      </c>
      <c r="E80" s="265">
        <f t="shared" ref="E80:R90" si="11">$T80</f>
        <v>0</v>
      </c>
      <c r="F80" s="265">
        <f t="shared" si="11"/>
        <v>0</v>
      </c>
      <c r="G80" s="265">
        <f t="shared" si="11"/>
        <v>0</v>
      </c>
      <c r="H80" s="265">
        <f t="shared" si="11"/>
        <v>0</v>
      </c>
      <c r="I80" s="265">
        <f t="shared" si="11"/>
        <v>0</v>
      </c>
      <c r="J80" s="265">
        <f t="shared" si="11"/>
        <v>0</v>
      </c>
      <c r="K80" s="265">
        <f t="shared" si="11"/>
        <v>0</v>
      </c>
      <c r="L80" s="265">
        <f t="shared" si="11"/>
        <v>0</v>
      </c>
      <c r="M80" s="265">
        <f t="shared" si="11"/>
        <v>0</v>
      </c>
      <c r="N80" s="265">
        <f t="shared" si="11"/>
        <v>0</v>
      </c>
      <c r="O80" s="265">
        <f t="shared" si="11"/>
        <v>0</v>
      </c>
      <c r="P80" s="265">
        <f t="shared" si="11"/>
        <v>0</v>
      </c>
      <c r="Q80" s="265">
        <f t="shared" si="11"/>
        <v>0</v>
      </c>
      <c r="R80" s="265">
        <f t="shared" si="11"/>
        <v>0</v>
      </c>
      <c r="T80" s="270">
        <f>STAT_TRA_Mileage!F9/1000</f>
        <v>0</v>
      </c>
      <c r="U80" s="16"/>
    </row>
    <row r="81" spans="2:21" x14ac:dyDescent="0.25">
      <c r="B81" s="169" t="s">
        <v>108</v>
      </c>
      <c r="C81" s="169"/>
      <c r="D81" s="265">
        <f t="shared" ref="D81:D90" si="12">$T81</f>
        <v>0</v>
      </c>
      <c r="E81" s="265">
        <f t="shared" si="11"/>
        <v>0</v>
      </c>
      <c r="F81" s="265">
        <f t="shared" si="11"/>
        <v>0</v>
      </c>
      <c r="G81" s="265">
        <f t="shared" si="11"/>
        <v>0</v>
      </c>
      <c r="H81" s="265">
        <f t="shared" si="11"/>
        <v>0</v>
      </c>
      <c r="I81" s="265">
        <f t="shared" si="11"/>
        <v>0</v>
      </c>
      <c r="J81" s="265">
        <f t="shared" si="11"/>
        <v>0</v>
      </c>
      <c r="K81" s="265">
        <f t="shared" si="11"/>
        <v>0</v>
      </c>
      <c r="L81" s="265">
        <f t="shared" si="11"/>
        <v>0</v>
      </c>
      <c r="M81" s="265">
        <f t="shared" si="11"/>
        <v>0</v>
      </c>
      <c r="N81" s="265">
        <f t="shared" si="11"/>
        <v>0</v>
      </c>
      <c r="O81" s="265">
        <f t="shared" si="11"/>
        <v>0</v>
      </c>
      <c r="P81" s="265">
        <f t="shared" si="11"/>
        <v>0</v>
      </c>
      <c r="Q81" s="265">
        <f t="shared" si="11"/>
        <v>0</v>
      </c>
      <c r="R81" s="265">
        <f t="shared" si="11"/>
        <v>0</v>
      </c>
      <c r="T81" s="270">
        <f>STAT_TRA_Mileage!F10/1000</f>
        <v>0</v>
      </c>
      <c r="U81" s="16"/>
    </row>
    <row r="82" spans="2:21" x14ac:dyDescent="0.25">
      <c r="B82" s="169" t="s">
        <v>203</v>
      </c>
      <c r="C82" s="169" t="s">
        <v>542</v>
      </c>
      <c r="D82" s="265">
        <f t="shared" si="12"/>
        <v>0</v>
      </c>
      <c r="E82" s="265">
        <f t="shared" si="11"/>
        <v>0</v>
      </c>
      <c r="F82" s="265">
        <f t="shared" si="11"/>
        <v>0</v>
      </c>
      <c r="G82" s="265">
        <f t="shared" si="11"/>
        <v>0</v>
      </c>
      <c r="H82" s="265">
        <f t="shared" si="11"/>
        <v>0</v>
      </c>
      <c r="I82" s="265">
        <f t="shared" si="11"/>
        <v>0</v>
      </c>
      <c r="J82" s="265">
        <f t="shared" si="11"/>
        <v>0</v>
      </c>
      <c r="K82" s="265">
        <f t="shared" si="11"/>
        <v>0</v>
      </c>
      <c r="L82" s="265">
        <f t="shared" si="11"/>
        <v>0</v>
      </c>
      <c r="M82" s="265">
        <f t="shared" si="11"/>
        <v>0</v>
      </c>
      <c r="N82" s="265">
        <f t="shared" si="11"/>
        <v>0</v>
      </c>
      <c r="O82" s="265">
        <f t="shared" si="11"/>
        <v>0</v>
      </c>
      <c r="P82" s="265">
        <f t="shared" si="11"/>
        <v>0</v>
      </c>
      <c r="Q82" s="265">
        <f t="shared" si="11"/>
        <v>0</v>
      </c>
      <c r="R82" s="265">
        <f t="shared" si="11"/>
        <v>0</v>
      </c>
      <c r="T82" s="270">
        <f>STAT_TRA_Mileage!F11/1000</f>
        <v>0</v>
      </c>
      <c r="U82" s="16"/>
    </row>
    <row r="83" spans="2:21" x14ac:dyDescent="0.25">
      <c r="B83" s="169" t="s">
        <v>110</v>
      </c>
      <c r="C83" s="169"/>
      <c r="D83" s="265">
        <f t="shared" si="12"/>
        <v>0</v>
      </c>
      <c r="E83" s="265">
        <f t="shared" si="11"/>
        <v>0</v>
      </c>
      <c r="F83" s="265">
        <f t="shared" si="11"/>
        <v>0</v>
      </c>
      <c r="G83" s="265">
        <f t="shared" si="11"/>
        <v>0</v>
      </c>
      <c r="H83" s="265">
        <f t="shared" si="11"/>
        <v>0</v>
      </c>
      <c r="I83" s="265">
        <f t="shared" si="11"/>
        <v>0</v>
      </c>
      <c r="J83" s="265">
        <f t="shared" si="11"/>
        <v>0</v>
      </c>
      <c r="K83" s="265">
        <f t="shared" si="11"/>
        <v>0</v>
      </c>
      <c r="L83" s="265">
        <f t="shared" si="11"/>
        <v>0</v>
      </c>
      <c r="M83" s="265">
        <f t="shared" si="11"/>
        <v>0</v>
      </c>
      <c r="N83" s="265">
        <f t="shared" si="11"/>
        <v>0</v>
      </c>
      <c r="O83" s="265">
        <f t="shared" si="11"/>
        <v>0</v>
      </c>
      <c r="P83" s="265">
        <f t="shared" si="11"/>
        <v>0</v>
      </c>
      <c r="Q83" s="265">
        <f t="shared" si="11"/>
        <v>0</v>
      </c>
      <c r="R83" s="265">
        <f t="shared" si="11"/>
        <v>0</v>
      </c>
      <c r="T83" s="270">
        <f>STAT_TRA_Mileage!F12/1000</f>
        <v>0</v>
      </c>
      <c r="U83" s="16"/>
    </row>
    <row r="84" spans="2:21" x14ac:dyDescent="0.25">
      <c r="B84" s="169" t="s">
        <v>111</v>
      </c>
      <c r="C84" s="169"/>
      <c r="D84" s="265">
        <f t="shared" si="12"/>
        <v>0</v>
      </c>
      <c r="E84" s="265">
        <f t="shared" si="11"/>
        <v>0</v>
      </c>
      <c r="F84" s="265">
        <f t="shared" si="11"/>
        <v>0</v>
      </c>
      <c r="G84" s="265">
        <f t="shared" si="11"/>
        <v>0</v>
      </c>
      <c r="H84" s="265">
        <f t="shared" si="11"/>
        <v>0</v>
      </c>
      <c r="I84" s="265">
        <f t="shared" si="11"/>
        <v>0</v>
      </c>
      <c r="J84" s="265">
        <f t="shared" si="11"/>
        <v>0</v>
      </c>
      <c r="K84" s="265">
        <f t="shared" si="11"/>
        <v>0</v>
      </c>
      <c r="L84" s="265">
        <f t="shared" si="11"/>
        <v>0</v>
      </c>
      <c r="M84" s="265">
        <f t="shared" si="11"/>
        <v>0</v>
      </c>
      <c r="N84" s="265">
        <f t="shared" si="11"/>
        <v>0</v>
      </c>
      <c r="O84" s="265">
        <f t="shared" si="11"/>
        <v>0</v>
      </c>
      <c r="P84" s="265">
        <f t="shared" si="11"/>
        <v>0</v>
      </c>
      <c r="Q84" s="265">
        <f t="shared" si="11"/>
        <v>0</v>
      </c>
      <c r="R84" s="265">
        <f t="shared" si="11"/>
        <v>0</v>
      </c>
      <c r="T84" s="270">
        <f>STAT_TRA_Mileage!F13/1000</f>
        <v>0</v>
      </c>
      <c r="U84" s="16"/>
    </row>
    <row r="85" spans="2:21" x14ac:dyDescent="0.25">
      <c r="B85" s="169" t="s">
        <v>112</v>
      </c>
      <c r="C85" s="169" t="s">
        <v>543</v>
      </c>
      <c r="D85" s="265">
        <f>$T85</f>
        <v>0</v>
      </c>
      <c r="E85" s="265">
        <f t="shared" si="11"/>
        <v>0</v>
      </c>
      <c r="F85" s="265">
        <f t="shared" si="11"/>
        <v>0</v>
      </c>
      <c r="G85" s="265">
        <f t="shared" si="11"/>
        <v>0</v>
      </c>
      <c r="H85" s="265">
        <f t="shared" si="11"/>
        <v>0</v>
      </c>
      <c r="I85" s="265">
        <f t="shared" si="11"/>
        <v>0</v>
      </c>
      <c r="J85" s="265">
        <f t="shared" si="11"/>
        <v>0</v>
      </c>
      <c r="K85" s="265">
        <f t="shared" si="11"/>
        <v>0</v>
      </c>
      <c r="L85" s="265">
        <f t="shared" si="11"/>
        <v>0</v>
      </c>
      <c r="M85" s="265">
        <f t="shared" si="11"/>
        <v>0</v>
      </c>
      <c r="N85" s="265">
        <f t="shared" si="11"/>
        <v>0</v>
      </c>
      <c r="O85" s="265">
        <f t="shared" si="11"/>
        <v>0</v>
      </c>
      <c r="P85" s="265">
        <f t="shared" si="11"/>
        <v>0</v>
      </c>
      <c r="Q85" s="265">
        <f t="shared" si="11"/>
        <v>0</v>
      </c>
      <c r="R85" s="265">
        <f t="shared" si="11"/>
        <v>0</v>
      </c>
      <c r="T85" s="270">
        <f>STAT_TRA_Mileage!F14/1000</f>
        <v>0</v>
      </c>
      <c r="U85" s="16"/>
    </row>
    <row r="86" spans="2:21" x14ac:dyDescent="0.25">
      <c r="B86" s="169" t="s">
        <v>204</v>
      </c>
      <c r="C86" s="169"/>
      <c r="D86" s="265">
        <f t="shared" si="12"/>
        <v>0</v>
      </c>
      <c r="E86" s="265">
        <f t="shared" si="11"/>
        <v>0</v>
      </c>
      <c r="F86" s="265">
        <f t="shared" si="11"/>
        <v>0</v>
      </c>
      <c r="G86" s="265">
        <f t="shared" si="11"/>
        <v>0</v>
      </c>
      <c r="H86" s="265">
        <f t="shared" si="11"/>
        <v>0</v>
      </c>
      <c r="I86" s="265">
        <f t="shared" si="11"/>
        <v>0</v>
      </c>
      <c r="J86" s="265">
        <f t="shared" si="11"/>
        <v>0</v>
      </c>
      <c r="K86" s="265">
        <f t="shared" si="11"/>
        <v>0</v>
      </c>
      <c r="L86" s="265">
        <f t="shared" si="11"/>
        <v>0</v>
      </c>
      <c r="M86" s="265">
        <f t="shared" si="11"/>
        <v>0</v>
      </c>
      <c r="N86" s="265">
        <f t="shared" si="11"/>
        <v>0</v>
      </c>
      <c r="O86" s="265">
        <f t="shared" si="11"/>
        <v>0</v>
      </c>
      <c r="P86" s="265">
        <f t="shared" si="11"/>
        <v>0</v>
      </c>
      <c r="Q86" s="265">
        <f t="shared" si="11"/>
        <v>0</v>
      </c>
      <c r="R86" s="265">
        <f t="shared" si="11"/>
        <v>0</v>
      </c>
      <c r="T86" s="270">
        <f>STAT_TRA_Mileage!F15/1000</f>
        <v>0</v>
      </c>
      <c r="U86" s="16"/>
    </row>
    <row r="87" spans="2:21" x14ac:dyDescent="0.25">
      <c r="B87" s="169" t="s">
        <v>205</v>
      </c>
      <c r="C87" s="169"/>
      <c r="D87" s="265">
        <f t="shared" si="12"/>
        <v>0</v>
      </c>
      <c r="E87" s="265">
        <f t="shared" si="11"/>
        <v>0</v>
      </c>
      <c r="F87" s="265">
        <f t="shared" si="11"/>
        <v>0</v>
      </c>
      <c r="G87" s="265">
        <f t="shared" si="11"/>
        <v>0</v>
      </c>
      <c r="H87" s="265">
        <f t="shared" si="11"/>
        <v>0</v>
      </c>
      <c r="I87" s="265">
        <f t="shared" si="11"/>
        <v>0</v>
      </c>
      <c r="J87" s="265">
        <f t="shared" si="11"/>
        <v>0</v>
      </c>
      <c r="K87" s="265">
        <f t="shared" si="11"/>
        <v>0</v>
      </c>
      <c r="L87" s="265">
        <f t="shared" si="11"/>
        <v>0</v>
      </c>
      <c r="M87" s="265">
        <f t="shared" si="11"/>
        <v>0</v>
      </c>
      <c r="N87" s="265">
        <f t="shared" si="11"/>
        <v>0</v>
      </c>
      <c r="O87" s="265">
        <f t="shared" si="11"/>
        <v>0</v>
      </c>
      <c r="P87" s="265">
        <f t="shared" si="11"/>
        <v>0</v>
      </c>
      <c r="Q87" s="265">
        <f t="shared" si="11"/>
        <v>0</v>
      </c>
      <c r="R87" s="265">
        <f t="shared" si="11"/>
        <v>0</v>
      </c>
      <c r="T87" s="270">
        <f>STAT_TRA_Mileage!F16/1000</f>
        <v>0</v>
      </c>
      <c r="U87" s="16"/>
    </row>
    <row r="88" spans="2:21" x14ac:dyDescent="0.25">
      <c r="B88" s="169" t="s">
        <v>115</v>
      </c>
      <c r="C88" s="169"/>
      <c r="D88" s="265">
        <f t="shared" si="12"/>
        <v>0</v>
      </c>
      <c r="E88" s="265">
        <f t="shared" si="11"/>
        <v>0</v>
      </c>
      <c r="F88" s="265">
        <f t="shared" si="11"/>
        <v>0</v>
      </c>
      <c r="G88" s="265">
        <f t="shared" si="11"/>
        <v>0</v>
      </c>
      <c r="H88" s="265">
        <f t="shared" si="11"/>
        <v>0</v>
      </c>
      <c r="I88" s="265">
        <f t="shared" si="11"/>
        <v>0</v>
      </c>
      <c r="J88" s="265">
        <f t="shared" si="11"/>
        <v>0</v>
      </c>
      <c r="K88" s="265">
        <f t="shared" si="11"/>
        <v>0</v>
      </c>
      <c r="L88" s="265">
        <f t="shared" si="11"/>
        <v>0</v>
      </c>
      <c r="M88" s="265">
        <f t="shared" si="11"/>
        <v>0</v>
      </c>
      <c r="N88" s="265">
        <f t="shared" si="11"/>
        <v>0</v>
      </c>
      <c r="O88" s="265">
        <f t="shared" si="11"/>
        <v>0</v>
      </c>
      <c r="P88" s="265">
        <f t="shared" si="11"/>
        <v>0</v>
      </c>
      <c r="Q88" s="265">
        <f t="shared" si="11"/>
        <v>0</v>
      </c>
      <c r="R88" s="265">
        <f t="shared" si="11"/>
        <v>0</v>
      </c>
      <c r="T88" s="270">
        <f>STAT_TRA_Mileage!F17/1000</f>
        <v>0</v>
      </c>
      <c r="U88" s="16"/>
    </row>
    <row r="89" spans="2:21" x14ac:dyDescent="0.25">
      <c r="B89" s="169" t="s">
        <v>206</v>
      </c>
      <c r="C89" s="169"/>
      <c r="D89" s="265">
        <f t="shared" si="12"/>
        <v>0</v>
      </c>
      <c r="E89" s="265">
        <f t="shared" si="11"/>
        <v>0</v>
      </c>
      <c r="F89" s="265">
        <f t="shared" si="11"/>
        <v>0</v>
      </c>
      <c r="G89" s="265">
        <f t="shared" si="11"/>
        <v>0</v>
      </c>
      <c r="H89" s="265">
        <f t="shared" si="11"/>
        <v>0</v>
      </c>
      <c r="I89" s="265">
        <f t="shared" si="11"/>
        <v>0</v>
      </c>
      <c r="J89" s="265">
        <f t="shared" si="11"/>
        <v>0</v>
      </c>
      <c r="K89" s="265">
        <f t="shared" si="11"/>
        <v>0</v>
      </c>
      <c r="L89" s="265">
        <f t="shared" si="11"/>
        <v>0</v>
      </c>
      <c r="M89" s="265">
        <f t="shared" si="11"/>
        <v>0</v>
      </c>
      <c r="N89" s="265">
        <f t="shared" si="11"/>
        <v>0</v>
      </c>
      <c r="O89" s="265">
        <f t="shared" si="11"/>
        <v>0</v>
      </c>
      <c r="P89" s="265">
        <f t="shared" si="11"/>
        <v>0</v>
      </c>
      <c r="Q89" s="265">
        <f t="shared" si="11"/>
        <v>0</v>
      </c>
      <c r="R89" s="265">
        <f t="shared" si="11"/>
        <v>0</v>
      </c>
      <c r="T89" s="270">
        <f>STAT_TRA_Mileage!F18/1000</f>
        <v>0</v>
      </c>
      <c r="U89" s="16"/>
    </row>
    <row r="90" spans="2:21" x14ac:dyDescent="0.25">
      <c r="B90" s="169" t="s">
        <v>207</v>
      </c>
      <c r="C90" s="169"/>
      <c r="D90" s="265">
        <f t="shared" si="12"/>
        <v>0</v>
      </c>
      <c r="E90" s="265">
        <f t="shared" si="11"/>
        <v>0</v>
      </c>
      <c r="F90" s="265">
        <f t="shared" si="11"/>
        <v>0</v>
      </c>
      <c r="G90" s="265">
        <f t="shared" si="11"/>
        <v>0</v>
      </c>
      <c r="H90" s="265">
        <f t="shared" si="11"/>
        <v>0</v>
      </c>
      <c r="I90" s="265">
        <f t="shared" si="11"/>
        <v>0</v>
      </c>
      <c r="J90" s="265">
        <f t="shared" si="11"/>
        <v>0</v>
      </c>
      <c r="K90" s="265">
        <f t="shared" si="11"/>
        <v>0</v>
      </c>
      <c r="L90" s="265">
        <f t="shared" si="11"/>
        <v>0</v>
      </c>
      <c r="M90" s="265">
        <f t="shared" si="11"/>
        <v>0</v>
      </c>
      <c r="N90" s="265">
        <f t="shared" si="11"/>
        <v>0</v>
      </c>
      <c r="O90" s="265">
        <f t="shared" si="11"/>
        <v>0</v>
      </c>
      <c r="P90" s="265">
        <f t="shared" si="11"/>
        <v>0</v>
      </c>
      <c r="Q90" s="265">
        <f t="shared" si="11"/>
        <v>0</v>
      </c>
      <c r="R90" s="265">
        <f t="shared" si="11"/>
        <v>0</v>
      </c>
      <c r="T90" s="270">
        <f>STAT_TRA_Mileage!F19/1000</f>
        <v>0</v>
      </c>
      <c r="U90" s="16"/>
    </row>
    <row r="92" spans="2:21" x14ac:dyDescent="0.25">
      <c r="B92" s="149"/>
      <c r="C92" s="149"/>
    </row>
    <row r="93" spans="2:21" x14ac:dyDescent="0.25">
      <c r="B93" s="441" t="s">
        <v>544</v>
      </c>
      <c r="C93" s="339"/>
    </row>
    <row r="94" spans="2:21" x14ac:dyDescent="0.25">
      <c r="B94" s="441" t="s">
        <v>103</v>
      </c>
      <c r="C94" s="264" t="s">
        <v>104</v>
      </c>
      <c r="D94" s="17" t="str">
        <f>D$4</f>
        <v>Z01</v>
      </c>
      <c r="E94" s="17" t="str">
        <f t="shared" ref="E94:R94" si="13">E$4</f>
        <v>Z02</v>
      </c>
      <c r="F94" s="17" t="str">
        <f t="shared" si="13"/>
        <v>Z03</v>
      </c>
      <c r="G94" s="17" t="str">
        <f t="shared" si="13"/>
        <v>Z04</v>
      </c>
      <c r="H94" s="17" t="str">
        <f t="shared" si="13"/>
        <v>Z05</v>
      </c>
      <c r="I94" s="17" t="str">
        <f t="shared" si="13"/>
        <v>Z06</v>
      </c>
      <c r="J94" s="17" t="str">
        <f t="shared" si="13"/>
        <v>Z07</v>
      </c>
      <c r="K94" s="17" t="str">
        <f t="shared" si="13"/>
        <v>Z08</v>
      </c>
      <c r="L94" s="17" t="str">
        <f t="shared" si="13"/>
        <v>Z09</v>
      </c>
      <c r="M94" s="17" t="str">
        <f t="shared" si="13"/>
        <v>Z10</v>
      </c>
      <c r="N94" s="17" t="str">
        <f t="shared" si="13"/>
        <v>Z11</v>
      </c>
      <c r="O94" s="17" t="str">
        <f t="shared" si="13"/>
        <v>Z12</v>
      </c>
      <c r="P94" s="17" t="str">
        <f t="shared" si="13"/>
        <v>Z13</v>
      </c>
      <c r="Q94" s="17" t="str">
        <f t="shared" si="13"/>
        <v>Z14</v>
      </c>
      <c r="R94" s="17" t="str">
        <f t="shared" si="13"/>
        <v>Z15</v>
      </c>
      <c r="T94" s="17" t="str">
        <f>T$4</f>
        <v>Average</v>
      </c>
      <c r="U94" s="260"/>
    </row>
    <row r="95" spans="2:21" x14ac:dyDescent="0.25">
      <c r="B95" s="169" t="s">
        <v>107</v>
      </c>
      <c r="C95" s="169" t="s">
        <v>325</v>
      </c>
      <c r="D95" s="265"/>
      <c r="E95" s="265"/>
      <c r="F95" s="265"/>
      <c r="G95" s="265"/>
      <c r="H95" s="265"/>
      <c r="I95" s="265"/>
      <c r="J95" s="265"/>
      <c r="K95" s="265"/>
      <c r="L95" s="265"/>
      <c r="M95" s="265"/>
      <c r="N95" s="265"/>
      <c r="O95" s="265"/>
      <c r="P95" s="265"/>
      <c r="Q95" s="265"/>
      <c r="R95" s="265"/>
      <c r="T95" s="820"/>
      <c r="U95" s="16"/>
    </row>
    <row r="96" spans="2:21" x14ac:dyDescent="0.25">
      <c r="B96" s="169" t="s">
        <v>108</v>
      </c>
      <c r="C96" s="169" t="s">
        <v>326</v>
      </c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265"/>
      <c r="T96" s="820"/>
      <c r="U96" s="16"/>
    </row>
    <row r="97" spans="2:21" x14ac:dyDescent="0.25">
      <c r="B97" s="169" t="s">
        <v>203</v>
      </c>
      <c r="C97" s="169" t="s">
        <v>327</v>
      </c>
      <c r="E97" s="265"/>
      <c r="F97" s="265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265"/>
      <c r="T97" s="820"/>
      <c r="U97" s="16"/>
    </row>
    <row r="98" spans="2:21" x14ac:dyDescent="0.25">
      <c r="B98" s="169" t="s">
        <v>110</v>
      </c>
      <c r="C98" s="169" t="s">
        <v>328</v>
      </c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265"/>
      <c r="T98" s="820"/>
      <c r="U98" s="16"/>
    </row>
    <row r="99" spans="2:21" x14ac:dyDescent="0.25">
      <c r="B99" s="169" t="s">
        <v>111</v>
      </c>
      <c r="C99" s="169" t="s">
        <v>329</v>
      </c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265"/>
      <c r="T99" s="820"/>
      <c r="U99" s="16"/>
    </row>
    <row r="100" spans="2:21" x14ac:dyDescent="0.25">
      <c r="B100" s="169" t="s">
        <v>112</v>
      </c>
      <c r="C100" s="169" t="s">
        <v>330</v>
      </c>
      <c r="E100" s="265"/>
      <c r="F100" s="265"/>
      <c r="G100" s="265"/>
      <c r="H100" s="265"/>
      <c r="I100" s="265"/>
      <c r="J100" s="265"/>
      <c r="K100" s="265"/>
      <c r="L100" s="265"/>
      <c r="M100" s="265"/>
      <c r="N100" s="265"/>
      <c r="O100" s="265"/>
      <c r="P100" s="265"/>
      <c r="Q100" s="265"/>
      <c r="R100" s="265"/>
      <c r="T100" s="820"/>
      <c r="U100" s="16"/>
    </row>
    <row r="101" spans="2:21" x14ac:dyDescent="0.25">
      <c r="B101" s="169" t="s">
        <v>204</v>
      </c>
      <c r="C101" s="169" t="s">
        <v>331</v>
      </c>
      <c r="D101" s="265"/>
      <c r="E101" s="265"/>
      <c r="F101" s="265"/>
      <c r="G101" s="265"/>
      <c r="H101" s="265"/>
      <c r="I101" s="265"/>
      <c r="J101" s="265"/>
      <c r="K101" s="265"/>
      <c r="L101" s="265"/>
      <c r="M101" s="265"/>
      <c r="N101" s="265"/>
      <c r="O101" s="265"/>
      <c r="P101" s="265"/>
      <c r="Q101" s="265"/>
      <c r="R101" s="265"/>
      <c r="T101" s="820"/>
      <c r="U101" s="16"/>
    </row>
    <row r="102" spans="2:21" x14ac:dyDescent="0.25">
      <c r="B102" s="169" t="s">
        <v>205</v>
      </c>
      <c r="C102" s="169" t="s">
        <v>332</v>
      </c>
      <c r="D102" s="265"/>
      <c r="E102" s="265"/>
      <c r="F102" s="265"/>
      <c r="G102" s="265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T102" s="820"/>
      <c r="U102" s="16"/>
    </row>
    <row r="103" spans="2:21" x14ac:dyDescent="0.25">
      <c r="B103" s="169" t="s">
        <v>115</v>
      </c>
      <c r="C103" s="169" t="s">
        <v>333</v>
      </c>
      <c r="D103" s="265"/>
      <c r="E103" s="265"/>
      <c r="F103" s="265"/>
      <c r="G103" s="265"/>
      <c r="H103" s="265"/>
      <c r="I103" s="265"/>
      <c r="J103" s="265"/>
      <c r="K103" s="265"/>
      <c r="L103" s="265"/>
      <c r="M103" s="265"/>
      <c r="N103" s="265"/>
      <c r="O103" s="265"/>
      <c r="P103" s="265"/>
      <c r="Q103" s="265"/>
      <c r="R103" s="265"/>
      <c r="T103" s="820"/>
      <c r="U103" s="16"/>
    </row>
    <row r="104" spans="2:21" x14ac:dyDescent="0.25">
      <c r="B104" s="169" t="s">
        <v>206</v>
      </c>
      <c r="C104" s="169" t="s">
        <v>334</v>
      </c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265"/>
      <c r="T104" s="820"/>
      <c r="U104" s="16"/>
    </row>
    <row r="105" spans="2:21" x14ac:dyDescent="0.25">
      <c r="B105" s="169" t="s">
        <v>207</v>
      </c>
      <c r="C105" s="169" t="s">
        <v>335</v>
      </c>
      <c r="D105" s="265"/>
      <c r="E105" s="265"/>
      <c r="F105" s="265"/>
      <c r="G105" s="265"/>
      <c r="H105" s="265"/>
      <c r="I105" s="265"/>
      <c r="J105" s="265"/>
      <c r="K105" s="265"/>
      <c r="L105" s="265"/>
      <c r="M105" s="265"/>
      <c r="N105" s="265"/>
      <c r="O105" s="265"/>
      <c r="P105" s="265"/>
      <c r="Q105" s="265"/>
      <c r="R105" s="265"/>
      <c r="T105" s="820"/>
      <c r="U105" s="16"/>
    </row>
    <row r="106" spans="2:21" x14ac:dyDescent="0.25"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2:21" x14ac:dyDescent="0.25">
      <c r="B107" s="149"/>
      <c r="C107" s="149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2:21" x14ac:dyDescent="0.25">
      <c r="B108" s="441" t="s">
        <v>545</v>
      </c>
      <c r="C108" s="339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2:21" x14ac:dyDescent="0.25">
      <c r="B109" s="441" t="s">
        <v>103</v>
      </c>
      <c r="C109" s="264" t="s">
        <v>104</v>
      </c>
      <c r="D109" s="263" t="str">
        <f>D$4</f>
        <v>Z01</v>
      </c>
      <c r="E109" s="263" t="str">
        <f t="shared" ref="E109:R109" si="14">E$4</f>
        <v>Z02</v>
      </c>
      <c r="F109" s="263" t="str">
        <f t="shared" si="14"/>
        <v>Z03</v>
      </c>
      <c r="G109" s="263" t="str">
        <f t="shared" si="14"/>
        <v>Z04</v>
      </c>
      <c r="H109" s="263" t="str">
        <f t="shared" si="14"/>
        <v>Z05</v>
      </c>
      <c r="I109" s="263" t="str">
        <f t="shared" si="14"/>
        <v>Z06</v>
      </c>
      <c r="J109" s="263" t="str">
        <f t="shared" si="14"/>
        <v>Z07</v>
      </c>
      <c r="K109" s="263" t="str">
        <f t="shared" si="14"/>
        <v>Z08</v>
      </c>
      <c r="L109" s="263" t="str">
        <f t="shared" si="14"/>
        <v>Z09</v>
      </c>
      <c r="M109" s="263" t="str">
        <f t="shared" si="14"/>
        <v>Z10</v>
      </c>
      <c r="N109" s="263" t="str">
        <f t="shared" si="14"/>
        <v>Z11</v>
      </c>
      <c r="O109" s="263" t="str">
        <f t="shared" si="14"/>
        <v>Z12</v>
      </c>
      <c r="P109" s="263" t="str">
        <f t="shared" si="14"/>
        <v>Z13</v>
      </c>
      <c r="Q109" s="263" t="str">
        <f t="shared" si="14"/>
        <v>Z14</v>
      </c>
      <c r="R109" s="263" t="str">
        <f t="shared" si="14"/>
        <v>Z15</v>
      </c>
      <c r="T109" s="17" t="str">
        <f>T$4</f>
        <v>Average</v>
      </c>
      <c r="U109" s="260"/>
    </row>
    <row r="110" spans="2:21" x14ac:dyDescent="0.25">
      <c r="B110" s="169" t="s">
        <v>107</v>
      </c>
      <c r="C110" s="169" t="s">
        <v>336</v>
      </c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5"/>
      <c r="R110" s="265"/>
      <c r="T110" s="820"/>
      <c r="U110" s="16"/>
    </row>
    <row r="111" spans="2:21" x14ac:dyDescent="0.25">
      <c r="B111" s="169" t="s">
        <v>108</v>
      </c>
      <c r="C111" s="169" t="s">
        <v>337</v>
      </c>
      <c r="D111" s="265">
        <v>54.96</v>
      </c>
      <c r="E111" s="265"/>
      <c r="F111" s="265"/>
      <c r="G111" s="265"/>
      <c r="H111" s="265"/>
      <c r="I111" s="265"/>
      <c r="J111" s="265"/>
      <c r="K111" s="265"/>
      <c r="L111" s="265"/>
      <c r="M111" s="265"/>
      <c r="N111" s="265"/>
      <c r="O111" s="265"/>
      <c r="P111" s="265"/>
      <c r="Q111" s="265"/>
      <c r="R111" s="265"/>
      <c r="T111" s="820"/>
      <c r="U111" s="16"/>
    </row>
    <row r="112" spans="2:21" x14ac:dyDescent="0.25">
      <c r="B112" s="169" t="s">
        <v>203</v>
      </c>
      <c r="C112" s="169" t="s">
        <v>338</v>
      </c>
      <c r="D112" s="265">
        <v>32.75</v>
      </c>
      <c r="E112" s="265"/>
      <c r="F112" s="265"/>
      <c r="G112" s="265"/>
      <c r="H112" s="265"/>
      <c r="I112" s="265"/>
      <c r="J112" s="265"/>
      <c r="K112" s="265"/>
      <c r="L112" s="265"/>
      <c r="M112" s="265"/>
      <c r="N112" s="265"/>
      <c r="O112" s="265"/>
      <c r="P112" s="265"/>
      <c r="Q112" s="265"/>
      <c r="R112" s="265"/>
      <c r="T112" s="820"/>
      <c r="U112" s="16"/>
    </row>
    <row r="113" spans="2:21" x14ac:dyDescent="0.25">
      <c r="B113" s="169" t="s">
        <v>110</v>
      </c>
      <c r="C113" s="169" t="s">
        <v>339</v>
      </c>
      <c r="D113" s="265">
        <v>44.82</v>
      </c>
      <c r="E113" s="265"/>
      <c r="F113" s="265"/>
      <c r="G113" s="265"/>
      <c r="H113" s="265"/>
      <c r="I113" s="265"/>
      <c r="J113" s="265"/>
      <c r="K113" s="265"/>
      <c r="L113" s="265"/>
      <c r="M113" s="265"/>
      <c r="N113" s="265"/>
      <c r="O113" s="265"/>
      <c r="P113" s="265"/>
      <c r="Q113" s="265"/>
      <c r="R113" s="265"/>
      <c r="T113" s="820"/>
      <c r="U113" s="16"/>
    </row>
    <row r="114" spans="2:21" x14ac:dyDescent="0.25">
      <c r="B114" s="169" t="s">
        <v>111</v>
      </c>
      <c r="C114" s="169" t="s">
        <v>340</v>
      </c>
      <c r="D114" s="265">
        <v>65.709999999999994</v>
      </c>
      <c r="E114" s="265"/>
      <c r="F114" s="265"/>
      <c r="G114" s="265"/>
      <c r="H114" s="265"/>
      <c r="I114" s="265"/>
      <c r="J114" s="265"/>
      <c r="K114" s="265"/>
      <c r="L114" s="265"/>
      <c r="M114" s="265"/>
      <c r="N114" s="265"/>
      <c r="O114" s="265"/>
      <c r="P114" s="265"/>
      <c r="Q114" s="265"/>
      <c r="R114" s="265"/>
      <c r="T114" s="820"/>
      <c r="U114" s="16"/>
    </row>
    <row r="115" spans="2:21" x14ac:dyDescent="0.25">
      <c r="B115" s="169" t="s">
        <v>112</v>
      </c>
      <c r="C115" s="169" t="s">
        <v>341</v>
      </c>
      <c r="D115" s="265">
        <v>13.71</v>
      </c>
      <c r="E115" s="265"/>
      <c r="F115" s="265"/>
      <c r="G115" s="265"/>
      <c r="H115" s="265"/>
      <c r="I115" s="265"/>
      <c r="J115" s="265"/>
      <c r="K115" s="265"/>
      <c r="L115" s="265"/>
      <c r="M115" s="265"/>
      <c r="N115" s="265"/>
      <c r="O115" s="265"/>
      <c r="P115" s="265"/>
      <c r="Q115" s="265"/>
      <c r="R115" s="265"/>
      <c r="T115" s="820"/>
      <c r="U115" s="16"/>
    </row>
    <row r="116" spans="2:21" x14ac:dyDescent="0.25">
      <c r="B116" s="169" t="s">
        <v>204</v>
      </c>
      <c r="C116" s="169" t="s">
        <v>342</v>
      </c>
      <c r="D116" s="265"/>
      <c r="E116" s="265"/>
      <c r="F116" s="265"/>
      <c r="G116" s="265"/>
      <c r="H116" s="265"/>
      <c r="I116" s="265"/>
      <c r="J116" s="265"/>
      <c r="K116" s="265"/>
      <c r="L116" s="265"/>
      <c r="M116" s="265"/>
      <c r="N116" s="265"/>
      <c r="O116" s="265"/>
      <c r="P116" s="265"/>
      <c r="Q116" s="265"/>
      <c r="R116" s="265"/>
      <c r="T116" s="820"/>
      <c r="U116" s="16"/>
    </row>
    <row r="117" spans="2:21" x14ac:dyDescent="0.25">
      <c r="B117" s="169" t="s">
        <v>205</v>
      </c>
      <c r="C117" s="169" t="s">
        <v>343</v>
      </c>
      <c r="D117" s="265"/>
      <c r="E117" s="265"/>
      <c r="F117" s="265"/>
      <c r="G117" s="265"/>
      <c r="H117" s="265"/>
      <c r="I117" s="265"/>
      <c r="J117" s="265"/>
      <c r="K117" s="265"/>
      <c r="L117" s="265"/>
      <c r="M117" s="265"/>
      <c r="N117" s="265"/>
      <c r="O117" s="265"/>
      <c r="P117" s="265"/>
      <c r="Q117" s="265"/>
      <c r="R117" s="265"/>
      <c r="T117" s="820"/>
      <c r="U117" s="16"/>
    </row>
    <row r="118" spans="2:21" x14ac:dyDescent="0.25">
      <c r="B118" s="169" t="s">
        <v>115</v>
      </c>
      <c r="C118" s="169" t="s">
        <v>344</v>
      </c>
      <c r="D118" s="265"/>
      <c r="E118" s="265"/>
      <c r="F118" s="265"/>
      <c r="G118" s="265"/>
      <c r="H118" s="265"/>
      <c r="I118" s="265"/>
      <c r="J118" s="265"/>
      <c r="K118" s="265"/>
      <c r="L118" s="265"/>
      <c r="M118" s="265"/>
      <c r="N118" s="265"/>
      <c r="O118" s="265"/>
      <c r="P118" s="265"/>
      <c r="Q118" s="265"/>
      <c r="R118" s="265"/>
      <c r="T118" s="820"/>
      <c r="U118" s="16"/>
    </row>
    <row r="119" spans="2:21" x14ac:dyDescent="0.25">
      <c r="B119" s="169" t="s">
        <v>206</v>
      </c>
      <c r="C119" s="169" t="s">
        <v>345</v>
      </c>
      <c r="D119" s="265"/>
      <c r="E119" s="265"/>
      <c r="F119" s="265"/>
      <c r="G119" s="265"/>
      <c r="H119" s="265"/>
      <c r="I119" s="265"/>
      <c r="J119" s="265"/>
      <c r="K119" s="265"/>
      <c r="L119" s="265"/>
      <c r="M119" s="265"/>
      <c r="N119" s="265"/>
      <c r="O119" s="265"/>
      <c r="P119" s="265"/>
      <c r="Q119" s="265"/>
      <c r="R119" s="265"/>
      <c r="T119" s="820"/>
      <c r="U119" s="16"/>
    </row>
    <row r="120" spans="2:21" x14ac:dyDescent="0.25">
      <c r="B120" s="169" t="s">
        <v>207</v>
      </c>
      <c r="C120" s="169" t="s">
        <v>346</v>
      </c>
      <c r="D120" s="265"/>
      <c r="E120" s="265"/>
      <c r="F120" s="265"/>
      <c r="G120" s="265"/>
      <c r="H120" s="265"/>
      <c r="I120" s="265"/>
      <c r="J120" s="265"/>
      <c r="K120" s="265"/>
      <c r="L120" s="265"/>
      <c r="M120" s="265"/>
      <c r="N120" s="265"/>
      <c r="O120" s="265"/>
      <c r="P120" s="265"/>
      <c r="Q120" s="265"/>
      <c r="R120" s="265"/>
      <c r="T120" s="820"/>
      <c r="U120" s="16"/>
    </row>
    <row r="121" spans="2:21" x14ac:dyDescent="0.25">
      <c r="B121" s="114"/>
      <c r="C121" s="114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68"/>
      <c r="R121" s="268"/>
      <c r="T121" s="269"/>
    </row>
    <row r="122" spans="2:21" x14ac:dyDescent="0.25">
      <c r="B122" s="149"/>
      <c r="C122" s="149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T122" s="269"/>
    </row>
    <row r="123" spans="2:21" x14ac:dyDescent="0.25">
      <c r="B123" s="441" t="s">
        <v>546</v>
      </c>
      <c r="C123" s="339"/>
    </row>
    <row r="124" spans="2:21" x14ac:dyDescent="0.25">
      <c r="B124" s="441" t="s">
        <v>103</v>
      </c>
      <c r="C124" s="264" t="s">
        <v>104</v>
      </c>
      <c r="D124" s="17" t="str">
        <f>D$4</f>
        <v>Z01</v>
      </c>
      <c r="E124" s="17" t="str">
        <f t="shared" ref="E124:R124" si="15">E$4</f>
        <v>Z02</v>
      </c>
      <c r="F124" s="17" t="str">
        <f t="shared" si="15"/>
        <v>Z03</v>
      </c>
      <c r="G124" s="17" t="str">
        <f t="shared" si="15"/>
        <v>Z04</v>
      </c>
      <c r="H124" s="17" t="str">
        <f t="shared" si="15"/>
        <v>Z05</v>
      </c>
      <c r="I124" s="17" t="str">
        <f t="shared" si="15"/>
        <v>Z06</v>
      </c>
      <c r="J124" s="17" t="str">
        <f t="shared" si="15"/>
        <v>Z07</v>
      </c>
      <c r="K124" s="17" t="str">
        <f t="shared" si="15"/>
        <v>Z08</v>
      </c>
      <c r="L124" s="17" t="str">
        <f t="shared" si="15"/>
        <v>Z09</v>
      </c>
      <c r="M124" s="17" t="str">
        <f t="shared" si="15"/>
        <v>Z10</v>
      </c>
      <c r="N124" s="17" t="str">
        <f t="shared" si="15"/>
        <v>Z11</v>
      </c>
      <c r="O124" s="17" t="str">
        <f t="shared" si="15"/>
        <v>Z12</v>
      </c>
      <c r="P124" s="17" t="str">
        <f t="shared" si="15"/>
        <v>Z13</v>
      </c>
      <c r="Q124" s="17" t="str">
        <f t="shared" si="15"/>
        <v>Z14</v>
      </c>
      <c r="R124" s="17" t="str">
        <f t="shared" si="15"/>
        <v>Z15</v>
      </c>
      <c r="T124" s="17" t="str">
        <f>T$4</f>
        <v>Average</v>
      </c>
    </row>
    <row r="125" spans="2:21" x14ac:dyDescent="0.25">
      <c r="B125" s="169" t="s">
        <v>107</v>
      </c>
      <c r="C125" s="169" t="s">
        <v>347</v>
      </c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T125" s="820"/>
    </row>
    <row r="126" spans="2:21" x14ac:dyDescent="0.25">
      <c r="B126" s="169" t="s">
        <v>108</v>
      </c>
      <c r="C126" s="169" t="s">
        <v>348</v>
      </c>
      <c r="D126" s="265">
        <f>14940/1000</f>
        <v>14.94</v>
      </c>
      <c r="E126" s="265"/>
      <c r="F126" s="265"/>
      <c r="G126" s="265"/>
      <c r="H126" s="265"/>
      <c r="I126" s="265"/>
      <c r="J126" s="265"/>
      <c r="K126" s="265"/>
      <c r="L126" s="265"/>
      <c r="M126" s="265"/>
      <c r="N126" s="265"/>
      <c r="O126" s="265"/>
      <c r="P126" s="265"/>
      <c r="Q126" s="265"/>
      <c r="R126" s="265"/>
      <c r="T126" s="820"/>
    </row>
    <row r="127" spans="2:21" x14ac:dyDescent="0.25">
      <c r="B127" s="169" t="s">
        <v>203</v>
      </c>
      <c r="C127" s="169" t="s">
        <v>349</v>
      </c>
      <c r="D127" s="265">
        <f t="shared" ref="D127:D135" si="16">14940/1000</f>
        <v>14.94</v>
      </c>
      <c r="E127" s="265"/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T127" s="820"/>
    </row>
    <row r="128" spans="2:21" x14ac:dyDescent="0.25">
      <c r="B128" s="169" t="s">
        <v>110</v>
      </c>
      <c r="C128" s="169" t="s">
        <v>350</v>
      </c>
      <c r="D128" s="265">
        <f t="shared" si="16"/>
        <v>14.94</v>
      </c>
      <c r="E128" s="265"/>
      <c r="F128" s="265"/>
      <c r="G128" s="265"/>
      <c r="H128" s="265"/>
      <c r="I128" s="265"/>
      <c r="J128" s="265"/>
      <c r="K128" s="265"/>
      <c r="L128" s="265"/>
      <c r="M128" s="265"/>
      <c r="N128" s="265"/>
      <c r="O128" s="265"/>
      <c r="P128" s="265"/>
      <c r="Q128" s="265"/>
      <c r="R128" s="265"/>
      <c r="T128" s="820"/>
    </row>
    <row r="129" spans="2:20" x14ac:dyDescent="0.25">
      <c r="B129" s="169" t="s">
        <v>111</v>
      </c>
      <c r="C129" s="169" t="s">
        <v>351</v>
      </c>
      <c r="D129" s="265">
        <f t="shared" si="16"/>
        <v>14.94</v>
      </c>
      <c r="E129" s="265"/>
      <c r="F129" s="265"/>
      <c r="G129" s="265"/>
      <c r="H129" s="265"/>
      <c r="I129" s="265"/>
      <c r="J129" s="265"/>
      <c r="K129" s="265"/>
      <c r="L129" s="265"/>
      <c r="M129" s="265"/>
      <c r="N129" s="265"/>
      <c r="O129" s="265"/>
      <c r="P129" s="265"/>
      <c r="Q129" s="265"/>
      <c r="R129" s="265"/>
      <c r="T129" s="820"/>
    </row>
    <row r="130" spans="2:20" x14ac:dyDescent="0.25">
      <c r="B130" s="169" t="s">
        <v>112</v>
      </c>
      <c r="C130" s="169" t="s">
        <v>352</v>
      </c>
      <c r="D130" s="265">
        <f t="shared" si="16"/>
        <v>14.94</v>
      </c>
      <c r="E130" s="265"/>
      <c r="F130" s="265"/>
      <c r="G130" s="265"/>
      <c r="H130" s="265"/>
      <c r="I130" s="265"/>
      <c r="J130" s="265"/>
      <c r="K130" s="265"/>
      <c r="L130" s="265"/>
      <c r="M130" s="265"/>
      <c r="N130" s="265"/>
      <c r="O130" s="265"/>
      <c r="P130" s="265"/>
      <c r="Q130" s="265"/>
      <c r="R130" s="265"/>
      <c r="T130" s="820"/>
    </row>
    <row r="131" spans="2:20" x14ac:dyDescent="0.25">
      <c r="B131" s="169" t="s">
        <v>204</v>
      </c>
      <c r="C131" s="169" t="s">
        <v>353</v>
      </c>
      <c r="D131" s="265">
        <f t="shared" si="16"/>
        <v>14.94</v>
      </c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T131" s="820"/>
    </row>
    <row r="132" spans="2:20" x14ac:dyDescent="0.25">
      <c r="B132" s="169" t="s">
        <v>205</v>
      </c>
      <c r="C132" s="169" t="s">
        <v>354</v>
      </c>
      <c r="D132" s="265">
        <f t="shared" si="16"/>
        <v>14.94</v>
      </c>
      <c r="E132" s="265"/>
      <c r="F132" s="265"/>
      <c r="G132" s="265"/>
      <c r="H132" s="265"/>
      <c r="I132" s="265"/>
      <c r="J132" s="265"/>
      <c r="K132" s="265"/>
      <c r="L132" s="265"/>
      <c r="M132" s="265"/>
      <c r="N132" s="265"/>
      <c r="O132" s="265"/>
      <c r="P132" s="265"/>
      <c r="Q132" s="265"/>
      <c r="R132" s="265"/>
      <c r="T132" s="820"/>
    </row>
    <row r="133" spans="2:20" x14ac:dyDescent="0.25">
      <c r="B133" s="169" t="s">
        <v>115</v>
      </c>
      <c r="C133" s="169" t="s">
        <v>355</v>
      </c>
      <c r="D133" s="265">
        <f t="shared" si="16"/>
        <v>14.94</v>
      </c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T133" s="820"/>
    </row>
    <row r="134" spans="2:20" x14ac:dyDescent="0.25">
      <c r="B134" s="169" t="s">
        <v>206</v>
      </c>
      <c r="C134" s="169" t="s">
        <v>356</v>
      </c>
      <c r="D134" s="265">
        <f t="shared" si="16"/>
        <v>14.94</v>
      </c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T134" s="820"/>
    </row>
    <row r="135" spans="2:20" x14ac:dyDescent="0.25">
      <c r="B135" s="169" t="s">
        <v>207</v>
      </c>
      <c r="C135" s="169" t="s">
        <v>357</v>
      </c>
      <c r="D135" s="265">
        <f t="shared" si="16"/>
        <v>14.94</v>
      </c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T135" s="820"/>
    </row>
    <row r="136" spans="2:20" x14ac:dyDescent="0.25">
      <c r="B136" s="114"/>
      <c r="C136" s="114"/>
      <c r="D136" s="268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268"/>
      <c r="Q136" s="268"/>
      <c r="R136" s="268"/>
      <c r="T136" s="269"/>
    </row>
    <row r="137" spans="2:20" x14ac:dyDescent="0.25">
      <c r="B137" s="149"/>
      <c r="C137" s="149"/>
      <c r="D137" s="268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268"/>
      <c r="Q137" s="268"/>
      <c r="R137" s="268"/>
      <c r="T137" s="269"/>
    </row>
    <row r="138" spans="2:20" x14ac:dyDescent="0.25">
      <c r="B138" s="441" t="s">
        <v>547</v>
      </c>
      <c r="C138" s="339"/>
    </row>
    <row r="139" spans="2:20" x14ac:dyDescent="0.25">
      <c r="B139" s="441" t="s">
        <v>103</v>
      </c>
      <c r="C139" s="264" t="s">
        <v>104</v>
      </c>
      <c r="D139" s="17" t="str">
        <f>D$4</f>
        <v>Z01</v>
      </c>
      <c r="E139" s="17" t="str">
        <f t="shared" ref="E139:R139" si="17">E$4</f>
        <v>Z02</v>
      </c>
      <c r="F139" s="17" t="str">
        <f t="shared" si="17"/>
        <v>Z03</v>
      </c>
      <c r="G139" s="17" t="str">
        <f t="shared" si="17"/>
        <v>Z04</v>
      </c>
      <c r="H139" s="17" t="str">
        <f t="shared" si="17"/>
        <v>Z05</v>
      </c>
      <c r="I139" s="17" t="str">
        <f t="shared" si="17"/>
        <v>Z06</v>
      </c>
      <c r="J139" s="17" t="str">
        <f t="shared" si="17"/>
        <v>Z07</v>
      </c>
      <c r="K139" s="17" t="str">
        <f t="shared" si="17"/>
        <v>Z08</v>
      </c>
      <c r="L139" s="17" t="str">
        <f t="shared" si="17"/>
        <v>Z09</v>
      </c>
      <c r="M139" s="17" t="str">
        <f t="shared" si="17"/>
        <v>Z10</v>
      </c>
      <c r="N139" s="17" t="str">
        <f t="shared" si="17"/>
        <v>Z11</v>
      </c>
      <c r="O139" s="17" t="str">
        <f t="shared" si="17"/>
        <v>Z12</v>
      </c>
      <c r="P139" s="17" t="str">
        <f t="shared" si="17"/>
        <v>Z13</v>
      </c>
      <c r="Q139" s="17" t="str">
        <f t="shared" si="17"/>
        <v>Z14</v>
      </c>
      <c r="R139" s="17" t="str">
        <f t="shared" si="17"/>
        <v>Z15</v>
      </c>
      <c r="T139" s="17" t="str">
        <f>T$4</f>
        <v>Average</v>
      </c>
    </row>
    <row r="140" spans="2:20" x14ac:dyDescent="0.25">
      <c r="B140" s="169" t="s">
        <v>107</v>
      </c>
      <c r="C140" s="169" t="s">
        <v>127</v>
      </c>
      <c r="D140" s="265">
        <f>$T140</f>
        <v>0</v>
      </c>
      <c r="E140" s="265">
        <f t="shared" ref="E140:R150" si="18">$T140</f>
        <v>0</v>
      </c>
      <c r="F140" s="265">
        <f t="shared" si="18"/>
        <v>0</v>
      </c>
      <c r="G140" s="265">
        <f t="shared" si="18"/>
        <v>0</v>
      </c>
      <c r="H140" s="265">
        <f t="shared" si="18"/>
        <v>0</v>
      </c>
      <c r="I140" s="265">
        <f t="shared" si="18"/>
        <v>0</v>
      </c>
      <c r="J140" s="265">
        <f t="shared" si="18"/>
        <v>0</v>
      </c>
      <c r="K140" s="265">
        <f t="shared" si="18"/>
        <v>0</v>
      </c>
      <c r="L140" s="265">
        <f t="shared" si="18"/>
        <v>0</v>
      </c>
      <c r="M140" s="265">
        <f t="shared" si="18"/>
        <v>0</v>
      </c>
      <c r="N140" s="265">
        <f t="shared" si="18"/>
        <v>0</v>
      </c>
      <c r="O140" s="265">
        <f t="shared" si="18"/>
        <v>0</v>
      </c>
      <c r="P140" s="265">
        <f t="shared" si="18"/>
        <v>0</v>
      </c>
      <c r="Q140" s="265">
        <f t="shared" si="18"/>
        <v>0</v>
      </c>
      <c r="R140" s="265">
        <f t="shared" si="18"/>
        <v>0</v>
      </c>
      <c r="T140" s="820"/>
    </row>
    <row r="141" spans="2:20" x14ac:dyDescent="0.25">
      <c r="B141" s="169" t="s">
        <v>108</v>
      </c>
      <c r="C141" s="169" t="s">
        <v>128</v>
      </c>
      <c r="D141" s="265">
        <f t="shared" ref="D141:D150" si="19">$T141</f>
        <v>0</v>
      </c>
      <c r="E141" s="265">
        <f t="shared" si="18"/>
        <v>0</v>
      </c>
      <c r="F141" s="265">
        <f t="shared" si="18"/>
        <v>0</v>
      </c>
      <c r="G141" s="265">
        <f t="shared" si="18"/>
        <v>0</v>
      </c>
      <c r="H141" s="265">
        <f t="shared" si="18"/>
        <v>0</v>
      </c>
      <c r="I141" s="265">
        <f t="shared" si="18"/>
        <v>0</v>
      </c>
      <c r="J141" s="265">
        <f t="shared" si="18"/>
        <v>0</v>
      </c>
      <c r="K141" s="265">
        <f t="shared" si="18"/>
        <v>0</v>
      </c>
      <c r="L141" s="265">
        <f t="shared" si="18"/>
        <v>0</v>
      </c>
      <c r="M141" s="265">
        <f t="shared" si="18"/>
        <v>0</v>
      </c>
      <c r="N141" s="265">
        <f t="shared" si="18"/>
        <v>0</v>
      </c>
      <c r="O141" s="265">
        <f t="shared" si="18"/>
        <v>0</v>
      </c>
      <c r="P141" s="265">
        <f t="shared" si="18"/>
        <v>0</v>
      </c>
      <c r="Q141" s="265">
        <f t="shared" si="18"/>
        <v>0</v>
      </c>
      <c r="R141" s="265">
        <f t="shared" si="18"/>
        <v>0</v>
      </c>
      <c r="T141" s="820"/>
    </row>
    <row r="142" spans="2:20" x14ac:dyDescent="0.25">
      <c r="B142" s="169" t="s">
        <v>203</v>
      </c>
      <c r="C142" s="169" t="s">
        <v>129</v>
      </c>
      <c r="D142" s="265">
        <f t="shared" si="19"/>
        <v>0</v>
      </c>
      <c r="E142" s="265">
        <f t="shared" si="18"/>
        <v>0</v>
      </c>
      <c r="F142" s="265">
        <f t="shared" si="18"/>
        <v>0</v>
      </c>
      <c r="G142" s="265">
        <f t="shared" si="18"/>
        <v>0</v>
      </c>
      <c r="H142" s="265">
        <f t="shared" si="18"/>
        <v>0</v>
      </c>
      <c r="I142" s="265">
        <f t="shared" si="18"/>
        <v>0</v>
      </c>
      <c r="J142" s="265">
        <f t="shared" si="18"/>
        <v>0</v>
      </c>
      <c r="K142" s="265">
        <f t="shared" si="18"/>
        <v>0</v>
      </c>
      <c r="L142" s="265">
        <f t="shared" si="18"/>
        <v>0</v>
      </c>
      <c r="M142" s="265">
        <f t="shared" si="18"/>
        <v>0</v>
      </c>
      <c r="N142" s="265">
        <f t="shared" si="18"/>
        <v>0</v>
      </c>
      <c r="O142" s="265">
        <f t="shared" si="18"/>
        <v>0</v>
      </c>
      <c r="P142" s="265">
        <f t="shared" si="18"/>
        <v>0</v>
      </c>
      <c r="Q142" s="265">
        <f t="shared" si="18"/>
        <v>0</v>
      </c>
      <c r="R142" s="265">
        <f t="shared" si="18"/>
        <v>0</v>
      </c>
      <c r="T142" s="820"/>
    </row>
    <row r="143" spans="2:20" x14ac:dyDescent="0.25">
      <c r="B143" s="169" t="s">
        <v>110</v>
      </c>
      <c r="C143" s="169" t="s">
        <v>130</v>
      </c>
      <c r="D143" s="265">
        <f t="shared" si="19"/>
        <v>0</v>
      </c>
      <c r="E143" s="265">
        <f t="shared" si="18"/>
        <v>0</v>
      </c>
      <c r="F143" s="265">
        <f t="shared" si="18"/>
        <v>0</v>
      </c>
      <c r="G143" s="265">
        <f t="shared" si="18"/>
        <v>0</v>
      </c>
      <c r="H143" s="265">
        <f t="shared" si="18"/>
        <v>0</v>
      </c>
      <c r="I143" s="265">
        <f t="shared" si="18"/>
        <v>0</v>
      </c>
      <c r="J143" s="265">
        <f t="shared" si="18"/>
        <v>0</v>
      </c>
      <c r="K143" s="265">
        <f t="shared" si="18"/>
        <v>0</v>
      </c>
      <c r="L143" s="265">
        <f t="shared" si="18"/>
        <v>0</v>
      </c>
      <c r="M143" s="265">
        <f t="shared" si="18"/>
        <v>0</v>
      </c>
      <c r="N143" s="265">
        <f t="shared" si="18"/>
        <v>0</v>
      </c>
      <c r="O143" s="265">
        <f t="shared" si="18"/>
        <v>0</v>
      </c>
      <c r="P143" s="265">
        <f t="shared" si="18"/>
        <v>0</v>
      </c>
      <c r="Q143" s="265">
        <f t="shared" si="18"/>
        <v>0</v>
      </c>
      <c r="R143" s="265">
        <f t="shared" si="18"/>
        <v>0</v>
      </c>
      <c r="T143" s="820"/>
    </row>
    <row r="144" spans="2:20" x14ac:dyDescent="0.25">
      <c r="B144" s="169" t="s">
        <v>111</v>
      </c>
      <c r="C144" s="169" t="s">
        <v>131</v>
      </c>
      <c r="D144" s="265">
        <f t="shared" si="19"/>
        <v>0</v>
      </c>
      <c r="E144" s="265">
        <f t="shared" si="18"/>
        <v>0</v>
      </c>
      <c r="F144" s="265">
        <f t="shared" si="18"/>
        <v>0</v>
      </c>
      <c r="G144" s="265">
        <f t="shared" si="18"/>
        <v>0</v>
      </c>
      <c r="H144" s="265">
        <f t="shared" si="18"/>
        <v>0</v>
      </c>
      <c r="I144" s="265">
        <f t="shared" si="18"/>
        <v>0</v>
      </c>
      <c r="J144" s="265">
        <f t="shared" si="18"/>
        <v>0</v>
      </c>
      <c r="K144" s="265">
        <f t="shared" si="18"/>
        <v>0</v>
      </c>
      <c r="L144" s="265">
        <f t="shared" si="18"/>
        <v>0</v>
      </c>
      <c r="M144" s="265">
        <f t="shared" si="18"/>
        <v>0</v>
      </c>
      <c r="N144" s="265">
        <f t="shared" si="18"/>
        <v>0</v>
      </c>
      <c r="O144" s="265">
        <f t="shared" si="18"/>
        <v>0</v>
      </c>
      <c r="P144" s="265">
        <f t="shared" si="18"/>
        <v>0</v>
      </c>
      <c r="Q144" s="265">
        <f t="shared" si="18"/>
        <v>0</v>
      </c>
      <c r="R144" s="265">
        <f t="shared" si="18"/>
        <v>0</v>
      </c>
      <c r="T144" s="820"/>
    </row>
    <row r="145" spans="2:20" x14ac:dyDescent="0.25">
      <c r="B145" s="169" t="s">
        <v>112</v>
      </c>
      <c r="C145" s="169" t="s">
        <v>132</v>
      </c>
      <c r="D145" s="265">
        <f t="shared" si="19"/>
        <v>0</v>
      </c>
      <c r="E145" s="265">
        <f t="shared" si="18"/>
        <v>0</v>
      </c>
      <c r="F145" s="265">
        <f t="shared" si="18"/>
        <v>0</v>
      </c>
      <c r="G145" s="265">
        <f t="shared" si="18"/>
        <v>0</v>
      </c>
      <c r="H145" s="265">
        <f t="shared" si="18"/>
        <v>0</v>
      </c>
      <c r="I145" s="265">
        <f t="shared" si="18"/>
        <v>0</v>
      </c>
      <c r="J145" s="265">
        <f t="shared" si="18"/>
        <v>0</v>
      </c>
      <c r="K145" s="265">
        <f t="shared" si="18"/>
        <v>0</v>
      </c>
      <c r="L145" s="265">
        <f t="shared" si="18"/>
        <v>0</v>
      </c>
      <c r="M145" s="265">
        <f t="shared" si="18"/>
        <v>0</v>
      </c>
      <c r="N145" s="265">
        <f t="shared" si="18"/>
        <v>0</v>
      </c>
      <c r="O145" s="265">
        <f t="shared" si="18"/>
        <v>0</v>
      </c>
      <c r="P145" s="265">
        <f t="shared" si="18"/>
        <v>0</v>
      </c>
      <c r="Q145" s="265">
        <f t="shared" si="18"/>
        <v>0</v>
      </c>
      <c r="R145" s="265">
        <f t="shared" si="18"/>
        <v>0</v>
      </c>
      <c r="T145" s="820"/>
    </row>
    <row r="146" spans="2:20" x14ac:dyDescent="0.25">
      <c r="B146" s="169" t="s">
        <v>204</v>
      </c>
      <c r="C146" s="169" t="s">
        <v>133</v>
      </c>
      <c r="D146" s="265">
        <f t="shared" si="19"/>
        <v>0</v>
      </c>
      <c r="E146" s="265">
        <f t="shared" si="18"/>
        <v>0</v>
      </c>
      <c r="F146" s="265">
        <f t="shared" si="18"/>
        <v>0</v>
      </c>
      <c r="G146" s="265">
        <f t="shared" si="18"/>
        <v>0</v>
      </c>
      <c r="H146" s="265">
        <f t="shared" si="18"/>
        <v>0</v>
      </c>
      <c r="I146" s="265">
        <f t="shared" si="18"/>
        <v>0</v>
      </c>
      <c r="J146" s="265">
        <f t="shared" si="18"/>
        <v>0</v>
      </c>
      <c r="K146" s="265">
        <f t="shared" si="18"/>
        <v>0</v>
      </c>
      <c r="L146" s="265">
        <f t="shared" si="18"/>
        <v>0</v>
      </c>
      <c r="M146" s="265">
        <f t="shared" si="18"/>
        <v>0</v>
      </c>
      <c r="N146" s="265">
        <f t="shared" si="18"/>
        <v>0</v>
      </c>
      <c r="O146" s="265">
        <f t="shared" si="18"/>
        <v>0</v>
      </c>
      <c r="P146" s="265">
        <f t="shared" si="18"/>
        <v>0</v>
      </c>
      <c r="Q146" s="265">
        <f t="shared" si="18"/>
        <v>0</v>
      </c>
      <c r="R146" s="265">
        <f t="shared" si="18"/>
        <v>0</v>
      </c>
      <c r="T146" s="820"/>
    </row>
    <row r="147" spans="2:20" x14ac:dyDescent="0.25">
      <c r="B147" s="169" t="s">
        <v>205</v>
      </c>
      <c r="C147" s="169" t="s">
        <v>134</v>
      </c>
      <c r="D147" s="265">
        <f t="shared" si="19"/>
        <v>0</v>
      </c>
      <c r="E147" s="265">
        <f t="shared" si="18"/>
        <v>0</v>
      </c>
      <c r="F147" s="265">
        <f t="shared" si="18"/>
        <v>0</v>
      </c>
      <c r="G147" s="265">
        <f t="shared" si="18"/>
        <v>0</v>
      </c>
      <c r="H147" s="265">
        <f t="shared" si="18"/>
        <v>0</v>
      </c>
      <c r="I147" s="265">
        <f t="shared" si="18"/>
        <v>0</v>
      </c>
      <c r="J147" s="265">
        <f t="shared" si="18"/>
        <v>0</v>
      </c>
      <c r="K147" s="265">
        <f t="shared" si="18"/>
        <v>0</v>
      </c>
      <c r="L147" s="265">
        <f t="shared" si="18"/>
        <v>0</v>
      </c>
      <c r="M147" s="265">
        <f t="shared" si="18"/>
        <v>0</v>
      </c>
      <c r="N147" s="265">
        <f t="shared" si="18"/>
        <v>0</v>
      </c>
      <c r="O147" s="265">
        <f t="shared" si="18"/>
        <v>0</v>
      </c>
      <c r="P147" s="265">
        <f t="shared" si="18"/>
        <v>0</v>
      </c>
      <c r="Q147" s="265">
        <f t="shared" si="18"/>
        <v>0</v>
      </c>
      <c r="R147" s="265">
        <f t="shared" si="18"/>
        <v>0</v>
      </c>
      <c r="T147" s="820"/>
    </row>
    <row r="148" spans="2:20" x14ac:dyDescent="0.25">
      <c r="B148" s="169" t="s">
        <v>115</v>
      </c>
      <c r="C148" s="169" t="s">
        <v>135</v>
      </c>
      <c r="D148" s="265">
        <f t="shared" si="19"/>
        <v>0</v>
      </c>
      <c r="E148" s="265">
        <f t="shared" si="18"/>
        <v>0</v>
      </c>
      <c r="F148" s="265">
        <f t="shared" si="18"/>
        <v>0</v>
      </c>
      <c r="G148" s="265">
        <f t="shared" si="18"/>
        <v>0</v>
      </c>
      <c r="H148" s="265">
        <f t="shared" si="18"/>
        <v>0</v>
      </c>
      <c r="I148" s="265">
        <f t="shared" si="18"/>
        <v>0</v>
      </c>
      <c r="J148" s="265">
        <f t="shared" si="18"/>
        <v>0</v>
      </c>
      <c r="K148" s="265">
        <f t="shared" si="18"/>
        <v>0</v>
      </c>
      <c r="L148" s="265">
        <f t="shared" si="18"/>
        <v>0</v>
      </c>
      <c r="M148" s="265">
        <f t="shared" si="18"/>
        <v>0</v>
      </c>
      <c r="N148" s="265">
        <f t="shared" si="18"/>
        <v>0</v>
      </c>
      <c r="O148" s="265">
        <f t="shared" si="18"/>
        <v>0</v>
      </c>
      <c r="P148" s="265">
        <f t="shared" si="18"/>
        <v>0</v>
      </c>
      <c r="Q148" s="265">
        <f t="shared" si="18"/>
        <v>0</v>
      </c>
      <c r="R148" s="265">
        <f t="shared" si="18"/>
        <v>0</v>
      </c>
      <c r="T148" s="820"/>
    </row>
    <row r="149" spans="2:20" x14ac:dyDescent="0.25">
      <c r="B149" s="169" t="s">
        <v>206</v>
      </c>
      <c r="C149" s="169" t="s">
        <v>136</v>
      </c>
      <c r="D149" s="265">
        <f t="shared" si="19"/>
        <v>0</v>
      </c>
      <c r="E149" s="265">
        <f t="shared" si="18"/>
        <v>0</v>
      </c>
      <c r="F149" s="265">
        <f t="shared" si="18"/>
        <v>0</v>
      </c>
      <c r="G149" s="265">
        <f t="shared" si="18"/>
        <v>0</v>
      </c>
      <c r="H149" s="265">
        <f t="shared" si="18"/>
        <v>0</v>
      </c>
      <c r="I149" s="265">
        <f t="shared" si="18"/>
        <v>0</v>
      </c>
      <c r="J149" s="265">
        <f t="shared" si="18"/>
        <v>0</v>
      </c>
      <c r="K149" s="265">
        <f t="shared" si="18"/>
        <v>0</v>
      </c>
      <c r="L149" s="265">
        <f t="shared" si="18"/>
        <v>0</v>
      </c>
      <c r="M149" s="265">
        <f t="shared" si="18"/>
        <v>0</v>
      </c>
      <c r="N149" s="265">
        <f t="shared" si="18"/>
        <v>0</v>
      </c>
      <c r="O149" s="265">
        <f t="shared" si="18"/>
        <v>0</v>
      </c>
      <c r="P149" s="265">
        <f t="shared" si="18"/>
        <v>0</v>
      </c>
      <c r="Q149" s="265">
        <f t="shared" si="18"/>
        <v>0</v>
      </c>
      <c r="R149" s="265">
        <f t="shared" si="18"/>
        <v>0</v>
      </c>
      <c r="T149" s="820"/>
    </row>
    <row r="150" spans="2:20" x14ac:dyDescent="0.25">
      <c r="B150" s="169" t="s">
        <v>207</v>
      </c>
      <c r="C150" s="169" t="s">
        <v>137</v>
      </c>
      <c r="D150" s="265">
        <f t="shared" si="19"/>
        <v>0</v>
      </c>
      <c r="E150" s="265">
        <f t="shared" si="18"/>
        <v>0</v>
      </c>
      <c r="F150" s="265">
        <f t="shared" si="18"/>
        <v>0</v>
      </c>
      <c r="G150" s="265">
        <f t="shared" si="18"/>
        <v>0</v>
      </c>
      <c r="H150" s="265">
        <f t="shared" si="18"/>
        <v>0</v>
      </c>
      <c r="I150" s="265">
        <f t="shared" si="18"/>
        <v>0</v>
      </c>
      <c r="J150" s="265">
        <f t="shared" si="18"/>
        <v>0</v>
      </c>
      <c r="K150" s="265">
        <f t="shared" si="18"/>
        <v>0</v>
      </c>
      <c r="L150" s="265">
        <f t="shared" si="18"/>
        <v>0</v>
      </c>
      <c r="M150" s="265">
        <f t="shared" si="18"/>
        <v>0</v>
      </c>
      <c r="N150" s="265">
        <f t="shared" si="18"/>
        <v>0</v>
      </c>
      <c r="O150" s="265">
        <f t="shared" si="18"/>
        <v>0</v>
      </c>
      <c r="P150" s="265">
        <f t="shared" si="18"/>
        <v>0</v>
      </c>
      <c r="Q150" s="265">
        <f t="shared" si="18"/>
        <v>0</v>
      </c>
      <c r="R150" s="265">
        <f t="shared" si="18"/>
        <v>0</v>
      </c>
      <c r="T150" s="820"/>
    </row>
    <row r="152" spans="2:20" x14ac:dyDescent="0.25">
      <c r="B152" s="149"/>
      <c r="C152" s="149"/>
      <c r="D152" s="268"/>
      <c r="E152" s="268"/>
      <c r="F152" s="268"/>
      <c r="G152" s="268"/>
      <c r="H152" s="268"/>
      <c r="I152" s="268"/>
      <c r="J152" s="268"/>
      <c r="K152" s="268"/>
      <c r="L152" s="268"/>
      <c r="M152" s="268"/>
      <c r="N152" s="268"/>
      <c r="O152" s="268"/>
      <c r="P152" s="268"/>
      <c r="Q152" s="268"/>
      <c r="R152" s="268"/>
      <c r="T152" s="269"/>
    </row>
    <row r="153" spans="2:20" x14ac:dyDescent="0.25">
      <c r="B153" s="441" t="s">
        <v>548</v>
      </c>
      <c r="C153" s="339"/>
    </row>
    <row r="154" spans="2:20" x14ac:dyDescent="0.25">
      <c r="B154" s="441" t="s">
        <v>103</v>
      </c>
      <c r="C154" s="264" t="s">
        <v>104</v>
      </c>
      <c r="D154" s="17" t="str">
        <f>D$4</f>
        <v>Z01</v>
      </c>
      <c r="E154" s="17" t="str">
        <f t="shared" ref="E154:R154" si="20">E$4</f>
        <v>Z02</v>
      </c>
      <c r="F154" s="17" t="str">
        <f t="shared" si="20"/>
        <v>Z03</v>
      </c>
      <c r="G154" s="17" t="str">
        <f t="shared" si="20"/>
        <v>Z04</v>
      </c>
      <c r="H154" s="17" t="str">
        <f t="shared" si="20"/>
        <v>Z05</v>
      </c>
      <c r="I154" s="17" t="str">
        <f t="shared" si="20"/>
        <v>Z06</v>
      </c>
      <c r="J154" s="17" t="str">
        <f t="shared" si="20"/>
        <v>Z07</v>
      </c>
      <c r="K154" s="17" t="str">
        <f t="shared" si="20"/>
        <v>Z08</v>
      </c>
      <c r="L154" s="17" t="str">
        <f t="shared" si="20"/>
        <v>Z09</v>
      </c>
      <c r="M154" s="17" t="str">
        <f t="shared" si="20"/>
        <v>Z10</v>
      </c>
      <c r="N154" s="17" t="str">
        <f t="shared" si="20"/>
        <v>Z11</v>
      </c>
      <c r="O154" s="17" t="str">
        <f t="shared" si="20"/>
        <v>Z12</v>
      </c>
      <c r="P154" s="17" t="str">
        <f t="shared" si="20"/>
        <v>Z13</v>
      </c>
      <c r="Q154" s="17" t="str">
        <f t="shared" si="20"/>
        <v>Z14</v>
      </c>
      <c r="R154" s="17" t="str">
        <f t="shared" si="20"/>
        <v>Z15</v>
      </c>
      <c r="T154" s="17" t="str">
        <f>T$4</f>
        <v>Average</v>
      </c>
    </row>
    <row r="155" spans="2:20" x14ac:dyDescent="0.25">
      <c r="B155" s="169" t="s">
        <v>107</v>
      </c>
      <c r="C155" s="169" t="s">
        <v>358</v>
      </c>
      <c r="D155" s="265"/>
      <c r="E155" s="265"/>
      <c r="F155" s="265"/>
      <c r="G155" s="265"/>
      <c r="H155" s="265"/>
      <c r="I155" s="265"/>
      <c r="J155" s="265"/>
      <c r="K155" s="265"/>
      <c r="L155" s="265"/>
      <c r="M155" s="265"/>
      <c r="N155" s="265"/>
      <c r="O155" s="265"/>
      <c r="P155" s="265"/>
      <c r="Q155" s="265"/>
      <c r="R155" s="265"/>
      <c r="T155" s="820"/>
    </row>
    <row r="156" spans="2:20" x14ac:dyDescent="0.25">
      <c r="B156" s="169" t="s">
        <v>108</v>
      </c>
      <c r="C156" s="169" t="s">
        <v>359</v>
      </c>
      <c r="D156" s="265"/>
      <c r="E156" s="265"/>
      <c r="F156" s="265"/>
      <c r="G156" s="265"/>
      <c r="H156" s="265"/>
      <c r="I156" s="265"/>
      <c r="J156" s="265"/>
      <c r="K156" s="265"/>
      <c r="L156" s="265"/>
      <c r="M156" s="265"/>
      <c r="N156" s="265"/>
      <c r="O156" s="265"/>
      <c r="P156" s="265"/>
      <c r="Q156" s="265"/>
      <c r="R156" s="265"/>
      <c r="T156" s="820"/>
    </row>
    <row r="157" spans="2:20" x14ac:dyDescent="0.25">
      <c r="B157" s="169" t="s">
        <v>203</v>
      </c>
      <c r="C157" s="169" t="s">
        <v>360</v>
      </c>
      <c r="D157" s="265"/>
      <c r="E157" s="265"/>
      <c r="F157" s="265"/>
      <c r="G157" s="265"/>
      <c r="H157" s="265"/>
      <c r="I157" s="265"/>
      <c r="J157" s="265"/>
      <c r="K157" s="265"/>
      <c r="L157" s="265"/>
      <c r="M157" s="265"/>
      <c r="N157" s="265"/>
      <c r="O157" s="265"/>
      <c r="P157" s="265"/>
      <c r="Q157" s="265"/>
      <c r="R157" s="265"/>
      <c r="T157" s="820"/>
    </row>
    <row r="158" spans="2:20" x14ac:dyDescent="0.25">
      <c r="B158" s="169" t="s">
        <v>110</v>
      </c>
      <c r="C158" s="169" t="s">
        <v>361</v>
      </c>
      <c r="D158" s="265"/>
      <c r="E158" s="265"/>
      <c r="F158" s="265"/>
      <c r="G158" s="265"/>
      <c r="H158" s="265"/>
      <c r="I158" s="265"/>
      <c r="J158" s="265"/>
      <c r="K158" s="265"/>
      <c r="L158" s="265"/>
      <c r="M158" s="265"/>
      <c r="N158" s="265"/>
      <c r="O158" s="265"/>
      <c r="P158" s="265"/>
      <c r="Q158" s="265"/>
      <c r="R158" s="265"/>
      <c r="T158" s="820"/>
    </row>
    <row r="159" spans="2:20" x14ac:dyDescent="0.25">
      <c r="B159" s="169" t="s">
        <v>111</v>
      </c>
      <c r="C159" s="169" t="s">
        <v>362</v>
      </c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T159" s="820"/>
    </row>
    <row r="160" spans="2:20" x14ac:dyDescent="0.25">
      <c r="B160" s="169" t="s">
        <v>112</v>
      </c>
      <c r="C160" s="169" t="s">
        <v>363</v>
      </c>
      <c r="D160" s="265"/>
      <c r="E160" s="265"/>
      <c r="F160" s="265"/>
      <c r="G160" s="265"/>
      <c r="H160" s="265"/>
      <c r="I160" s="265"/>
      <c r="J160" s="265"/>
      <c r="K160" s="265"/>
      <c r="L160" s="265"/>
      <c r="M160" s="265"/>
      <c r="N160" s="265"/>
      <c r="O160" s="265"/>
      <c r="P160" s="265"/>
      <c r="Q160" s="265"/>
      <c r="R160" s="265"/>
      <c r="T160" s="820"/>
    </row>
    <row r="161" spans="2:20" x14ac:dyDescent="0.25">
      <c r="B161" s="169" t="s">
        <v>204</v>
      </c>
      <c r="C161" s="169" t="s">
        <v>364</v>
      </c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T161" s="820"/>
    </row>
    <row r="162" spans="2:20" x14ac:dyDescent="0.25">
      <c r="B162" s="169" t="s">
        <v>205</v>
      </c>
      <c r="C162" s="169" t="s">
        <v>365</v>
      </c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T162" s="820"/>
    </row>
    <row r="163" spans="2:20" x14ac:dyDescent="0.25">
      <c r="B163" s="169" t="s">
        <v>115</v>
      </c>
      <c r="C163" s="169" t="s">
        <v>366</v>
      </c>
      <c r="D163" s="265"/>
      <c r="E163" s="265"/>
      <c r="F163" s="265"/>
      <c r="G163" s="265"/>
      <c r="H163" s="265"/>
      <c r="I163" s="265"/>
      <c r="J163" s="265"/>
      <c r="K163" s="265"/>
      <c r="L163" s="265"/>
      <c r="M163" s="265"/>
      <c r="N163" s="265"/>
      <c r="O163" s="265"/>
      <c r="P163" s="265"/>
      <c r="Q163" s="265"/>
      <c r="R163" s="265"/>
      <c r="T163" s="820"/>
    </row>
    <row r="164" spans="2:20" x14ac:dyDescent="0.25">
      <c r="B164" s="169" t="s">
        <v>206</v>
      </c>
      <c r="C164" s="169" t="s">
        <v>367</v>
      </c>
      <c r="D164" s="265"/>
      <c r="E164" s="265"/>
      <c r="F164" s="265"/>
      <c r="G164" s="265"/>
      <c r="H164" s="265"/>
      <c r="I164" s="265"/>
      <c r="J164" s="265"/>
      <c r="K164" s="265"/>
      <c r="L164" s="265"/>
      <c r="M164" s="265"/>
      <c r="N164" s="265"/>
      <c r="O164" s="265"/>
      <c r="P164" s="265"/>
      <c r="Q164" s="265"/>
      <c r="R164" s="265"/>
      <c r="T164" s="820"/>
    </row>
    <row r="165" spans="2:20" x14ac:dyDescent="0.25">
      <c r="B165" s="169" t="s">
        <v>207</v>
      </c>
      <c r="C165" s="169" t="s">
        <v>368</v>
      </c>
      <c r="D165" s="265"/>
      <c r="E165" s="265"/>
      <c r="F165" s="265"/>
      <c r="G165" s="265"/>
      <c r="H165" s="265"/>
      <c r="I165" s="265"/>
      <c r="J165" s="265"/>
      <c r="K165" s="265"/>
      <c r="L165" s="265"/>
      <c r="M165" s="265"/>
      <c r="N165" s="265"/>
      <c r="O165" s="265"/>
      <c r="P165" s="265"/>
      <c r="Q165" s="265"/>
      <c r="R165" s="265"/>
      <c r="T165" s="820"/>
    </row>
    <row r="166" spans="2:20" x14ac:dyDescent="0.25">
      <c r="B166" s="114"/>
      <c r="C166" s="114"/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268"/>
      <c r="Q166" s="268"/>
      <c r="R166" s="268"/>
      <c r="T166" s="269"/>
    </row>
    <row r="167" spans="2:20" x14ac:dyDescent="0.25">
      <c r="B167" s="149"/>
      <c r="C167" s="149"/>
      <c r="D167" s="268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8"/>
      <c r="P167" s="268"/>
      <c r="Q167" s="268"/>
      <c r="R167" s="268"/>
      <c r="T167" s="269"/>
    </row>
    <row r="168" spans="2:20" x14ac:dyDescent="0.25">
      <c r="B168" s="441" t="s">
        <v>549</v>
      </c>
      <c r="C168" s="339"/>
    </row>
    <row r="169" spans="2:20" x14ac:dyDescent="0.25">
      <c r="B169" s="441" t="s">
        <v>103</v>
      </c>
      <c r="C169" s="264" t="s">
        <v>104</v>
      </c>
      <c r="D169" s="17" t="str">
        <f>D$4</f>
        <v>Z01</v>
      </c>
      <c r="E169" s="17" t="str">
        <f t="shared" ref="E169:R169" si="21">E$4</f>
        <v>Z02</v>
      </c>
      <c r="F169" s="17" t="str">
        <f t="shared" si="21"/>
        <v>Z03</v>
      </c>
      <c r="G169" s="17" t="str">
        <f t="shared" si="21"/>
        <v>Z04</v>
      </c>
      <c r="H169" s="17" t="str">
        <f t="shared" si="21"/>
        <v>Z05</v>
      </c>
      <c r="I169" s="17" t="str">
        <f t="shared" si="21"/>
        <v>Z06</v>
      </c>
      <c r="J169" s="17" t="str">
        <f t="shared" si="21"/>
        <v>Z07</v>
      </c>
      <c r="K169" s="17" t="str">
        <f t="shared" si="21"/>
        <v>Z08</v>
      </c>
      <c r="L169" s="17" t="str">
        <f t="shared" si="21"/>
        <v>Z09</v>
      </c>
      <c r="M169" s="17" t="str">
        <f t="shared" si="21"/>
        <v>Z10</v>
      </c>
      <c r="N169" s="17" t="str">
        <f t="shared" si="21"/>
        <v>Z11</v>
      </c>
      <c r="O169" s="17" t="str">
        <f t="shared" si="21"/>
        <v>Z12</v>
      </c>
      <c r="P169" s="17" t="str">
        <f t="shared" si="21"/>
        <v>Z13</v>
      </c>
      <c r="Q169" s="17" t="str">
        <f t="shared" si="21"/>
        <v>Z14</v>
      </c>
      <c r="R169" s="17" t="str">
        <f t="shared" si="21"/>
        <v>Z15</v>
      </c>
      <c r="T169" s="17" t="str">
        <f>T$4</f>
        <v>Average</v>
      </c>
    </row>
    <row r="170" spans="2:20" x14ac:dyDescent="0.25">
      <c r="B170" s="169" t="s">
        <v>107</v>
      </c>
      <c r="C170" s="169" t="s">
        <v>139</v>
      </c>
      <c r="D170" s="265">
        <f t="shared" ref="D170:R180" si="22">$T170</f>
        <v>0</v>
      </c>
      <c r="E170" s="265">
        <f t="shared" si="22"/>
        <v>0</v>
      </c>
      <c r="F170" s="265">
        <f t="shared" si="22"/>
        <v>0</v>
      </c>
      <c r="G170" s="265">
        <f t="shared" si="22"/>
        <v>0</v>
      </c>
      <c r="H170" s="265">
        <f t="shared" si="22"/>
        <v>0</v>
      </c>
      <c r="I170" s="265">
        <f t="shared" si="22"/>
        <v>0</v>
      </c>
      <c r="J170" s="265">
        <f t="shared" si="22"/>
        <v>0</v>
      </c>
      <c r="K170" s="265">
        <f t="shared" si="22"/>
        <v>0</v>
      </c>
      <c r="L170" s="265">
        <f t="shared" si="22"/>
        <v>0</v>
      </c>
      <c r="M170" s="265">
        <f t="shared" si="22"/>
        <v>0</v>
      </c>
      <c r="N170" s="265">
        <f t="shared" si="22"/>
        <v>0</v>
      </c>
      <c r="O170" s="265">
        <f t="shared" si="22"/>
        <v>0</v>
      </c>
      <c r="P170" s="265">
        <f t="shared" si="22"/>
        <v>0</v>
      </c>
      <c r="Q170" s="265">
        <f t="shared" si="22"/>
        <v>0</v>
      </c>
      <c r="R170" s="265">
        <f t="shared" si="22"/>
        <v>0</v>
      </c>
      <c r="T170" s="820"/>
    </row>
    <row r="171" spans="2:20" x14ac:dyDescent="0.25">
      <c r="B171" s="169" t="s">
        <v>108</v>
      </c>
      <c r="C171" s="169" t="s">
        <v>140</v>
      </c>
      <c r="D171" s="265">
        <f t="shared" si="22"/>
        <v>0</v>
      </c>
      <c r="E171" s="265">
        <f t="shared" si="22"/>
        <v>0</v>
      </c>
      <c r="F171" s="265">
        <f t="shared" si="22"/>
        <v>0</v>
      </c>
      <c r="G171" s="265">
        <f t="shared" si="22"/>
        <v>0</v>
      </c>
      <c r="H171" s="265">
        <f t="shared" si="22"/>
        <v>0</v>
      </c>
      <c r="I171" s="265">
        <f t="shared" si="22"/>
        <v>0</v>
      </c>
      <c r="J171" s="265">
        <f t="shared" si="22"/>
        <v>0</v>
      </c>
      <c r="K171" s="265">
        <f t="shared" si="22"/>
        <v>0</v>
      </c>
      <c r="L171" s="265">
        <f t="shared" si="22"/>
        <v>0</v>
      </c>
      <c r="M171" s="265">
        <f t="shared" si="22"/>
        <v>0</v>
      </c>
      <c r="N171" s="265">
        <f t="shared" si="22"/>
        <v>0</v>
      </c>
      <c r="O171" s="265">
        <f t="shared" si="22"/>
        <v>0</v>
      </c>
      <c r="P171" s="265">
        <f t="shared" si="22"/>
        <v>0</v>
      </c>
      <c r="Q171" s="265">
        <f t="shared" si="22"/>
        <v>0</v>
      </c>
      <c r="R171" s="265">
        <f t="shared" si="22"/>
        <v>0</v>
      </c>
      <c r="T171" s="820"/>
    </row>
    <row r="172" spans="2:20" x14ac:dyDescent="0.25">
      <c r="B172" s="169" t="s">
        <v>203</v>
      </c>
      <c r="C172" s="169" t="s">
        <v>141</v>
      </c>
      <c r="D172" s="265">
        <f t="shared" si="22"/>
        <v>0</v>
      </c>
      <c r="E172" s="265">
        <f t="shared" si="22"/>
        <v>0</v>
      </c>
      <c r="F172" s="265">
        <f t="shared" si="22"/>
        <v>0</v>
      </c>
      <c r="G172" s="265">
        <f t="shared" si="22"/>
        <v>0</v>
      </c>
      <c r="H172" s="265">
        <f t="shared" si="22"/>
        <v>0</v>
      </c>
      <c r="I172" s="265">
        <f t="shared" si="22"/>
        <v>0</v>
      </c>
      <c r="J172" s="265">
        <f t="shared" si="22"/>
        <v>0</v>
      </c>
      <c r="K172" s="265">
        <f t="shared" si="22"/>
        <v>0</v>
      </c>
      <c r="L172" s="265">
        <f t="shared" si="22"/>
        <v>0</v>
      </c>
      <c r="M172" s="265">
        <f t="shared" si="22"/>
        <v>0</v>
      </c>
      <c r="N172" s="265">
        <f t="shared" si="22"/>
        <v>0</v>
      </c>
      <c r="O172" s="265">
        <f t="shared" si="22"/>
        <v>0</v>
      </c>
      <c r="P172" s="265">
        <f t="shared" si="22"/>
        <v>0</v>
      </c>
      <c r="Q172" s="265">
        <f t="shared" si="22"/>
        <v>0</v>
      </c>
      <c r="R172" s="265">
        <f t="shared" si="22"/>
        <v>0</v>
      </c>
      <c r="T172" s="820"/>
    </row>
    <row r="173" spans="2:20" x14ac:dyDescent="0.25">
      <c r="B173" s="169" t="s">
        <v>110</v>
      </c>
      <c r="C173" s="169" t="s">
        <v>142</v>
      </c>
      <c r="D173" s="265">
        <f t="shared" si="22"/>
        <v>0</v>
      </c>
      <c r="E173" s="265">
        <f t="shared" si="22"/>
        <v>0</v>
      </c>
      <c r="F173" s="265">
        <f t="shared" si="22"/>
        <v>0</v>
      </c>
      <c r="G173" s="265">
        <f t="shared" si="22"/>
        <v>0</v>
      </c>
      <c r="H173" s="265">
        <f t="shared" si="22"/>
        <v>0</v>
      </c>
      <c r="I173" s="265">
        <f t="shared" si="22"/>
        <v>0</v>
      </c>
      <c r="J173" s="265">
        <f t="shared" si="22"/>
        <v>0</v>
      </c>
      <c r="K173" s="265">
        <f t="shared" si="22"/>
        <v>0</v>
      </c>
      <c r="L173" s="265">
        <f t="shared" si="22"/>
        <v>0</v>
      </c>
      <c r="M173" s="265">
        <f t="shared" si="22"/>
        <v>0</v>
      </c>
      <c r="N173" s="265">
        <f t="shared" si="22"/>
        <v>0</v>
      </c>
      <c r="O173" s="265">
        <f t="shared" si="22"/>
        <v>0</v>
      </c>
      <c r="P173" s="265">
        <f t="shared" si="22"/>
        <v>0</v>
      </c>
      <c r="Q173" s="265">
        <f t="shared" si="22"/>
        <v>0</v>
      </c>
      <c r="R173" s="265">
        <f t="shared" si="22"/>
        <v>0</v>
      </c>
      <c r="T173" s="820"/>
    </row>
    <row r="174" spans="2:20" x14ac:dyDescent="0.25">
      <c r="B174" s="169" t="s">
        <v>111</v>
      </c>
      <c r="C174" s="169" t="s">
        <v>143</v>
      </c>
      <c r="D174" s="265">
        <f t="shared" si="22"/>
        <v>0</v>
      </c>
      <c r="E174" s="265">
        <f t="shared" si="22"/>
        <v>0</v>
      </c>
      <c r="F174" s="265">
        <f t="shared" si="22"/>
        <v>0</v>
      </c>
      <c r="G174" s="265">
        <f t="shared" si="22"/>
        <v>0</v>
      </c>
      <c r="H174" s="265">
        <f t="shared" si="22"/>
        <v>0</v>
      </c>
      <c r="I174" s="265">
        <f t="shared" si="22"/>
        <v>0</v>
      </c>
      <c r="J174" s="265">
        <f t="shared" si="22"/>
        <v>0</v>
      </c>
      <c r="K174" s="265">
        <f t="shared" si="22"/>
        <v>0</v>
      </c>
      <c r="L174" s="265">
        <f t="shared" si="22"/>
        <v>0</v>
      </c>
      <c r="M174" s="265">
        <f t="shared" si="22"/>
        <v>0</v>
      </c>
      <c r="N174" s="265">
        <f t="shared" si="22"/>
        <v>0</v>
      </c>
      <c r="O174" s="265">
        <f t="shared" si="22"/>
        <v>0</v>
      </c>
      <c r="P174" s="265">
        <f t="shared" si="22"/>
        <v>0</v>
      </c>
      <c r="Q174" s="265">
        <f t="shared" si="22"/>
        <v>0</v>
      </c>
      <c r="R174" s="265">
        <f t="shared" si="22"/>
        <v>0</v>
      </c>
      <c r="T174" s="820"/>
    </row>
    <row r="175" spans="2:20" x14ac:dyDescent="0.25">
      <c r="B175" s="169" t="s">
        <v>112</v>
      </c>
      <c r="C175" s="169" t="s">
        <v>144</v>
      </c>
      <c r="D175" s="265">
        <f t="shared" si="22"/>
        <v>0</v>
      </c>
      <c r="E175" s="265">
        <f t="shared" si="22"/>
        <v>0</v>
      </c>
      <c r="F175" s="265">
        <f t="shared" si="22"/>
        <v>0</v>
      </c>
      <c r="G175" s="265">
        <f t="shared" si="22"/>
        <v>0</v>
      </c>
      <c r="H175" s="265">
        <f t="shared" si="22"/>
        <v>0</v>
      </c>
      <c r="I175" s="265">
        <f t="shared" si="22"/>
        <v>0</v>
      </c>
      <c r="J175" s="265">
        <f t="shared" si="22"/>
        <v>0</v>
      </c>
      <c r="K175" s="265">
        <f t="shared" si="22"/>
        <v>0</v>
      </c>
      <c r="L175" s="265">
        <f t="shared" si="22"/>
        <v>0</v>
      </c>
      <c r="M175" s="265">
        <f t="shared" si="22"/>
        <v>0</v>
      </c>
      <c r="N175" s="265">
        <f t="shared" si="22"/>
        <v>0</v>
      </c>
      <c r="O175" s="265">
        <f t="shared" si="22"/>
        <v>0</v>
      </c>
      <c r="P175" s="265">
        <f t="shared" si="22"/>
        <v>0</v>
      </c>
      <c r="Q175" s="265">
        <f t="shared" si="22"/>
        <v>0</v>
      </c>
      <c r="R175" s="265">
        <f t="shared" si="22"/>
        <v>0</v>
      </c>
      <c r="T175" s="820"/>
    </row>
    <row r="176" spans="2:20" x14ac:dyDescent="0.25">
      <c r="B176" s="169" t="s">
        <v>204</v>
      </c>
      <c r="C176" s="169" t="s">
        <v>145</v>
      </c>
      <c r="D176" s="265">
        <f t="shared" si="22"/>
        <v>0</v>
      </c>
      <c r="E176" s="265">
        <f t="shared" si="22"/>
        <v>0</v>
      </c>
      <c r="F176" s="265">
        <f t="shared" si="22"/>
        <v>0</v>
      </c>
      <c r="G176" s="265">
        <f t="shared" si="22"/>
        <v>0</v>
      </c>
      <c r="H176" s="265">
        <f t="shared" si="22"/>
        <v>0</v>
      </c>
      <c r="I176" s="265">
        <f t="shared" si="22"/>
        <v>0</v>
      </c>
      <c r="J176" s="265">
        <f t="shared" si="22"/>
        <v>0</v>
      </c>
      <c r="K176" s="265">
        <f t="shared" si="22"/>
        <v>0</v>
      </c>
      <c r="L176" s="265">
        <f t="shared" si="22"/>
        <v>0</v>
      </c>
      <c r="M176" s="265">
        <f t="shared" si="22"/>
        <v>0</v>
      </c>
      <c r="N176" s="265">
        <f t="shared" si="22"/>
        <v>0</v>
      </c>
      <c r="O176" s="265">
        <f t="shared" si="22"/>
        <v>0</v>
      </c>
      <c r="P176" s="265">
        <f t="shared" si="22"/>
        <v>0</v>
      </c>
      <c r="Q176" s="265">
        <f t="shared" si="22"/>
        <v>0</v>
      </c>
      <c r="R176" s="265">
        <f t="shared" si="22"/>
        <v>0</v>
      </c>
      <c r="T176" s="820"/>
    </row>
    <row r="177" spans="1:21" x14ac:dyDescent="0.25">
      <c r="B177" s="169" t="s">
        <v>205</v>
      </c>
      <c r="C177" s="169" t="s">
        <v>146</v>
      </c>
      <c r="D177" s="265">
        <f t="shared" si="22"/>
        <v>0</v>
      </c>
      <c r="E177" s="265">
        <f t="shared" si="22"/>
        <v>0</v>
      </c>
      <c r="F177" s="265">
        <f t="shared" si="22"/>
        <v>0</v>
      </c>
      <c r="G177" s="265">
        <f t="shared" si="22"/>
        <v>0</v>
      </c>
      <c r="H177" s="265">
        <f t="shared" si="22"/>
        <v>0</v>
      </c>
      <c r="I177" s="265">
        <f t="shared" si="22"/>
        <v>0</v>
      </c>
      <c r="J177" s="265">
        <f t="shared" si="22"/>
        <v>0</v>
      </c>
      <c r="K177" s="265">
        <f t="shared" si="22"/>
        <v>0</v>
      </c>
      <c r="L177" s="265">
        <f t="shared" si="22"/>
        <v>0</v>
      </c>
      <c r="M177" s="265">
        <f t="shared" si="22"/>
        <v>0</v>
      </c>
      <c r="N177" s="265">
        <f t="shared" si="22"/>
        <v>0</v>
      </c>
      <c r="O177" s="265">
        <f t="shared" si="22"/>
        <v>0</v>
      </c>
      <c r="P177" s="265">
        <f t="shared" si="22"/>
        <v>0</v>
      </c>
      <c r="Q177" s="265">
        <f t="shared" si="22"/>
        <v>0</v>
      </c>
      <c r="R177" s="265">
        <f t="shared" si="22"/>
        <v>0</v>
      </c>
      <c r="T177" s="820"/>
    </row>
    <row r="178" spans="1:21" x14ac:dyDescent="0.25">
      <c r="B178" s="169" t="s">
        <v>115</v>
      </c>
      <c r="C178" s="169" t="s">
        <v>147</v>
      </c>
      <c r="D178" s="265">
        <f t="shared" si="22"/>
        <v>0</v>
      </c>
      <c r="E178" s="265">
        <f t="shared" si="22"/>
        <v>0</v>
      </c>
      <c r="F178" s="265">
        <f t="shared" si="22"/>
        <v>0</v>
      </c>
      <c r="G178" s="265">
        <f t="shared" si="22"/>
        <v>0</v>
      </c>
      <c r="H178" s="265">
        <f t="shared" si="22"/>
        <v>0</v>
      </c>
      <c r="I178" s="265">
        <f t="shared" si="22"/>
        <v>0</v>
      </c>
      <c r="J178" s="265">
        <f t="shared" si="22"/>
        <v>0</v>
      </c>
      <c r="K178" s="265">
        <f t="shared" si="22"/>
        <v>0</v>
      </c>
      <c r="L178" s="265">
        <f t="shared" si="22"/>
        <v>0</v>
      </c>
      <c r="M178" s="265">
        <f t="shared" si="22"/>
        <v>0</v>
      </c>
      <c r="N178" s="265">
        <f t="shared" si="22"/>
        <v>0</v>
      </c>
      <c r="O178" s="265">
        <f t="shared" si="22"/>
        <v>0</v>
      </c>
      <c r="P178" s="265">
        <f t="shared" si="22"/>
        <v>0</v>
      </c>
      <c r="Q178" s="265">
        <f t="shared" si="22"/>
        <v>0</v>
      </c>
      <c r="R178" s="265">
        <f t="shared" si="22"/>
        <v>0</v>
      </c>
      <c r="T178" s="820"/>
    </row>
    <row r="179" spans="1:21" x14ac:dyDescent="0.25">
      <c r="B179" s="169" t="s">
        <v>206</v>
      </c>
      <c r="C179" s="169" t="s">
        <v>148</v>
      </c>
      <c r="D179" s="265">
        <f t="shared" si="22"/>
        <v>0</v>
      </c>
      <c r="E179" s="265">
        <f t="shared" si="22"/>
        <v>0</v>
      </c>
      <c r="F179" s="265">
        <f t="shared" si="22"/>
        <v>0</v>
      </c>
      <c r="G179" s="265">
        <f t="shared" si="22"/>
        <v>0</v>
      </c>
      <c r="H179" s="265">
        <f t="shared" si="22"/>
        <v>0</v>
      </c>
      <c r="I179" s="265">
        <f t="shared" si="22"/>
        <v>0</v>
      </c>
      <c r="J179" s="265">
        <f t="shared" si="22"/>
        <v>0</v>
      </c>
      <c r="K179" s="265">
        <f t="shared" si="22"/>
        <v>0</v>
      </c>
      <c r="L179" s="265">
        <f t="shared" si="22"/>
        <v>0</v>
      </c>
      <c r="M179" s="265">
        <f t="shared" si="22"/>
        <v>0</v>
      </c>
      <c r="N179" s="265">
        <f t="shared" si="22"/>
        <v>0</v>
      </c>
      <c r="O179" s="265">
        <f t="shared" si="22"/>
        <v>0</v>
      </c>
      <c r="P179" s="265">
        <f t="shared" si="22"/>
        <v>0</v>
      </c>
      <c r="Q179" s="265">
        <f t="shared" si="22"/>
        <v>0</v>
      </c>
      <c r="R179" s="265">
        <f t="shared" si="22"/>
        <v>0</v>
      </c>
      <c r="T179" s="820"/>
    </row>
    <row r="180" spans="1:21" x14ac:dyDescent="0.25">
      <c r="B180" s="169" t="s">
        <v>207</v>
      </c>
      <c r="C180" s="169" t="s">
        <v>149</v>
      </c>
      <c r="D180" s="265">
        <f t="shared" si="22"/>
        <v>0</v>
      </c>
      <c r="E180" s="265">
        <f t="shared" si="22"/>
        <v>0</v>
      </c>
      <c r="F180" s="265">
        <f t="shared" si="22"/>
        <v>0</v>
      </c>
      <c r="G180" s="265">
        <f t="shared" si="22"/>
        <v>0</v>
      </c>
      <c r="H180" s="265">
        <f t="shared" si="22"/>
        <v>0</v>
      </c>
      <c r="I180" s="265">
        <f t="shared" si="22"/>
        <v>0</v>
      </c>
      <c r="J180" s="265">
        <f t="shared" si="22"/>
        <v>0</v>
      </c>
      <c r="K180" s="265">
        <f t="shared" si="22"/>
        <v>0</v>
      </c>
      <c r="L180" s="265">
        <f t="shared" si="22"/>
        <v>0</v>
      </c>
      <c r="M180" s="265">
        <f t="shared" si="22"/>
        <v>0</v>
      </c>
      <c r="N180" s="265">
        <f t="shared" si="22"/>
        <v>0</v>
      </c>
      <c r="O180" s="265">
        <f t="shared" si="22"/>
        <v>0</v>
      </c>
      <c r="P180" s="265">
        <f t="shared" si="22"/>
        <v>0</v>
      </c>
      <c r="Q180" s="265">
        <f t="shared" si="22"/>
        <v>0</v>
      </c>
      <c r="R180" s="265">
        <f t="shared" si="22"/>
        <v>0</v>
      </c>
      <c r="T180" s="820"/>
    </row>
    <row r="182" spans="1:21" x14ac:dyDescent="0.25">
      <c r="B182" s="149"/>
      <c r="C182" s="149"/>
    </row>
    <row r="183" spans="1:21" x14ac:dyDescent="0.25">
      <c r="B183" s="441" t="s">
        <v>550</v>
      </c>
      <c r="C183" s="339"/>
    </row>
    <row r="184" spans="1:21" x14ac:dyDescent="0.25">
      <c r="B184" s="441" t="s">
        <v>103</v>
      </c>
      <c r="C184" s="264" t="s">
        <v>104</v>
      </c>
      <c r="D184" s="17" t="str">
        <f>D$4</f>
        <v>Z01</v>
      </c>
      <c r="E184" s="17" t="str">
        <f t="shared" ref="E184:R184" si="23">E$4</f>
        <v>Z02</v>
      </c>
      <c r="F184" s="17" t="str">
        <f t="shared" si="23"/>
        <v>Z03</v>
      </c>
      <c r="G184" s="17" t="str">
        <f t="shared" si="23"/>
        <v>Z04</v>
      </c>
      <c r="H184" s="17" t="str">
        <f t="shared" si="23"/>
        <v>Z05</v>
      </c>
      <c r="I184" s="17" t="str">
        <f t="shared" si="23"/>
        <v>Z06</v>
      </c>
      <c r="J184" s="17" t="str">
        <f t="shared" si="23"/>
        <v>Z07</v>
      </c>
      <c r="K184" s="17" t="str">
        <f t="shared" si="23"/>
        <v>Z08</v>
      </c>
      <c r="L184" s="17" t="str">
        <f t="shared" si="23"/>
        <v>Z09</v>
      </c>
      <c r="M184" s="17" t="str">
        <f t="shared" si="23"/>
        <v>Z10</v>
      </c>
      <c r="N184" s="17" t="str">
        <f t="shared" si="23"/>
        <v>Z11</v>
      </c>
      <c r="O184" s="17" t="str">
        <f t="shared" si="23"/>
        <v>Z12</v>
      </c>
      <c r="P184" s="17" t="str">
        <f t="shared" si="23"/>
        <v>Z13</v>
      </c>
      <c r="Q184" s="17" t="str">
        <f t="shared" si="23"/>
        <v>Z14</v>
      </c>
      <c r="R184" s="17" t="str">
        <f t="shared" si="23"/>
        <v>Z15</v>
      </c>
      <c r="T184" s="17" t="str">
        <f>T$4</f>
        <v>Average</v>
      </c>
      <c r="U184" s="260"/>
    </row>
    <row r="185" spans="1:21" x14ac:dyDescent="0.25">
      <c r="A185" s="292"/>
      <c r="B185" s="271" t="s">
        <v>107</v>
      </c>
      <c r="C185" s="271" t="s">
        <v>369</v>
      </c>
      <c r="D185" s="265"/>
      <c r="E185" s="265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T185" s="820"/>
      <c r="U185" s="16"/>
    </row>
    <row r="186" spans="1:21" x14ac:dyDescent="0.25">
      <c r="A186" s="292"/>
      <c r="B186" s="169" t="s">
        <v>108</v>
      </c>
      <c r="C186" s="271" t="s">
        <v>370</v>
      </c>
      <c r="D186" s="265">
        <v>22.84</v>
      </c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T186" s="820"/>
    </row>
    <row r="187" spans="1:21" x14ac:dyDescent="0.25">
      <c r="A187" s="292"/>
      <c r="B187" s="169" t="s">
        <v>203</v>
      </c>
      <c r="C187" s="271" t="s">
        <v>371</v>
      </c>
      <c r="D187" s="265">
        <v>22.84</v>
      </c>
      <c r="E187" s="265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T187" s="820"/>
      <c r="U187" s="16"/>
    </row>
    <row r="188" spans="1:21" x14ac:dyDescent="0.25">
      <c r="A188" s="293"/>
      <c r="B188" s="169" t="s">
        <v>110</v>
      </c>
      <c r="C188" s="271" t="s">
        <v>372</v>
      </c>
      <c r="D188" s="265">
        <v>22.84</v>
      </c>
      <c r="E188" s="265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T188" s="820"/>
      <c r="U188" s="16"/>
    </row>
    <row r="189" spans="1:21" x14ac:dyDescent="0.25">
      <c r="A189" s="292"/>
      <c r="B189" s="169" t="s">
        <v>111</v>
      </c>
      <c r="C189" s="271" t="s">
        <v>373</v>
      </c>
      <c r="D189" s="265">
        <v>22.84</v>
      </c>
      <c r="E189" s="265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T189" s="820"/>
      <c r="U189" s="16"/>
    </row>
    <row r="190" spans="1:21" x14ac:dyDescent="0.25">
      <c r="A190" s="292"/>
      <c r="B190" s="169" t="s">
        <v>112</v>
      </c>
      <c r="C190" s="271" t="s">
        <v>374</v>
      </c>
      <c r="D190" s="265">
        <v>22.84</v>
      </c>
      <c r="E190" s="265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T190" s="820"/>
      <c r="U190" s="16"/>
    </row>
    <row r="191" spans="1:21" x14ac:dyDescent="0.25">
      <c r="A191" s="292"/>
      <c r="B191" s="169" t="s">
        <v>204</v>
      </c>
      <c r="C191" s="271" t="s">
        <v>375</v>
      </c>
      <c r="D191" s="265">
        <v>22.84</v>
      </c>
      <c r="E191" s="265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T191" s="820"/>
      <c r="U191" s="16"/>
    </row>
    <row r="192" spans="1:21" x14ac:dyDescent="0.25">
      <c r="A192" s="292"/>
      <c r="B192" s="169" t="s">
        <v>205</v>
      </c>
      <c r="C192" s="271" t="s">
        <v>376</v>
      </c>
      <c r="D192" s="265">
        <v>22.84</v>
      </c>
      <c r="E192" s="265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T192" s="820"/>
      <c r="U192" s="16"/>
    </row>
    <row r="193" spans="1:21" x14ac:dyDescent="0.25">
      <c r="A193" s="293"/>
      <c r="B193" s="169" t="s">
        <v>115</v>
      </c>
      <c r="C193" s="271" t="s">
        <v>377</v>
      </c>
      <c r="D193" s="265">
        <v>22.84</v>
      </c>
      <c r="E193" s="265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T193" s="820"/>
      <c r="U193" s="16"/>
    </row>
    <row r="194" spans="1:21" x14ac:dyDescent="0.25">
      <c r="A194" s="293"/>
      <c r="B194" s="169" t="s">
        <v>206</v>
      </c>
      <c r="C194" s="271" t="s">
        <v>378</v>
      </c>
      <c r="D194" s="265">
        <v>22.84</v>
      </c>
      <c r="E194" s="265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T194" s="820"/>
      <c r="U194" s="16"/>
    </row>
    <row r="195" spans="1:21" x14ac:dyDescent="0.25">
      <c r="B195" s="169" t="s">
        <v>207</v>
      </c>
      <c r="C195" s="271" t="s">
        <v>379</v>
      </c>
      <c r="D195" s="265">
        <v>22.84</v>
      </c>
      <c r="E195" s="265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T195" s="820"/>
      <c r="U195" s="16"/>
    </row>
    <row r="196" spans="1:21" x14ac:dyDescent="0.25">
      <c r="B196" s="114"/>
      <c r="C196" s="114"/>
      <c r="D196" s="268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268"/>
      <c r="Q196" s="268"/>
      <c r="R196" s="268"/>
      <c r="T196" s="269"/>
      <c r="U196" s="269"/>
    </row>
    <row r="197" spans="1:21" x14ac:dyDescent="0.25">
      <c r="B197" s="149"/>
      <c r="C197" s="149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T197" s="269"/>
      <c r="U197" s="269"/>
    </row>
    <row r="198" spans="1:21" x14ac:dyDescent="0.25">
      <c r="B198" s="441" t="s">
        <v>551</v>
      </c>
      <c r="C198" s="339"/>
    </row>
    <row r="199" spans="1:21" x14ac:dyDescent="0.25">
      <c r="B199" s="441" t="s">
        <v>103</v>
      </c>
      <c r="C199" s="264" t="s">
        <v>104</v>
      </c>
      <c r="D199" s="17" t="str">
        <f>D$4</f>
        <v>Z01</v>
      </c>
      <c r="E199" s="17" t="str">
        <f t="shared" ref="E199:R199" si="24">E$4</f>
        <v>Z02</v>
      </c>
      <c r="F199" s="17" t="str">
        <f t="shared" si="24"/>
        <v>Z03</v>
      </c>
      <c r="G199" s="17" t="str">
        <f t="shared" si="24"/>
        <v>Z04</v>
      </c>
      <c r="H199" s="17" t="str">
        <f t="shared" si="24"/>
        <v>Z05</v>
      </c>
      <c r="I199" s="17" t="str">
        <f t="shared" si="24"/>
        <v>Z06</v>
      </c>
      <c r="J199" s="17" t="str">
        <f t="shared" si="24"/>
        <v>Z07</v>
      </c>
      <c r="K199" s="17" t="str">
        <f t="shared" si="24"/>
        <v>Z08</v>
      </c>
      <c r="L199" s="17" t="str">
        <f t="shared" si="24"/>
        <v>Z09</v>
      </c>
      <c r="M199" s="17" t="str">
        <f t="shared" si="24"/>
        <v>Z10</v>
      </c>
      <c r="N199" s="17" t="str">
        <f t="shared" si="24"/>
        <v>Z11</v>
      </c>
      <c r="O199" s="17" t="str">
        <f t="shared" si="24"/>
        <v>Z12</v>
      </c>
      <c r="P199" s="17" t="str">
        <f t="shared" si="24"/>
        <v>Z13</v>
      </c>
      <c r="Q199" s="17" t="str">
        <f t="shared" si="24"/>
        <v>Z14</v>
      </c>
      <c r="R199" s="17" t="str">
        <f t="shared" si="24"/>
        <v>Z15</v>
      </c>
      <c r="T199" s="17" t="str">
        <f>T$4</f>
        <v>Average</v>
      </c>
      <c r="U199" s="260"/>
    </row>
    <row r="200" spans="1:21" x14ac:dyDescent="0.25">
      <c r="B200" s="271" t="s">
        <v>107</v>
      </c>
      <c r="C200" s="271" t="s">
        <v>151</v>
      </c>
      <c r="D200" s="272">
        <f>$T200</f>
        <v>0</v>
      </c>
      <c r="E200" s="272">
        <f t="shared" ref="E200:R210" si="25">$T200</f>
        <v>0</v>
      </c>
      <c r="F200" s="272">
        <f t="shared" si="25"/>
        <v>0</v>
      </c>
      <c r="G200" s="272">
        <f t="shared" si="25"/>
        <v>0</v>
      </c>
      <c r="H200" s="272">
        <f t="shared" si="25"/>
        <v>0</v>
      </c>
      <c r="I200" s="272">
        <f t="shared" si="25"/>
        <v>0</v>
      </c>
      <c r="J200" s="272">
        <f t="shared" si="25"/>
        <v>0</v>
      </c>
      <c r="K200" s="272">
        <f t="shared" si="25"/>
        <v>0</v>
      </c>
      <c r="L200" s="272">
        <f t="shared" si="25"/>
        <v>0</v>
      </c>
      <c r="M200" s="272">
        <f t="shared" si="25"/>
        <v>0</v>
      </c>
      <c r="N200" s="272">
        <f t="shared" si="25"/>
        <v>0</v>
      </c>
      <c r="O200" s="272">
        <f t="shared" si="25"/>
        <v>0</v>
      </c>
      <c r="P200" s="272">
        <f t="shared" si="25"/>
        <v>0</v>
      </c>
      <c r="Q200" s="272">
        <f t="shared" si="25"/>
        <v>0</v>
      </c>
      <c r="R200" s="272">
        <f t="shared" si="25"/>
        <v>0</v>
      </c>
      <c r="T200" s="820"/>
      <c r="U200" s="16"/>
    </row>
    <row r="201" spans="1:21" x14ac:dyDescent="0.25">
      <c r="B201" s="169" t="s">
        <v>108</v>
      </c>
      <c r="C201" s="271" t="s">
        <v>152</v>
      </c>
      <c r="D201" s="606">
        <f t="shared" ref="D201:D210" si="26">$T201</f>
        <v>0</v>
      </c>
      <c r="E201" s="606">
        <f t="shared" si="25"/>
        <v>0</v>
      </c>
      <c r="F201" s="606">
        <f t="shared" si="25"/>
        <v>0</v>
      </c>
      <c r="G201" s="606">
        <f t="shared" si="25"/>
        <v>0</v>
      </c>
      <c r="H201" s="606">
        <f t="shared" si="25"/>
        <v>0</v>
      </c>
      <c r="I201" s="606">
        <f t="shared" si="25"/>
        <v>0</v>
      </c>
      <c r="J201" s="606">
        <f t="shared" si="25"/>
        <v>0</v>
      </c>
      <c r="K201" s="606">
        <f t="shared" si="25"/>
        <v>0</v>
      </c>
      <c r="L201" s="606">
        <f t="shared" si="25"/>
        <v>0</v>
      </c>
      <c r="M201" s="606">
        <f t="shared" si="25"/>
        <v>0</v>
      </c>
      <c r="N201" s="606">
        <f t="shared" si="25"/>
        <v>0</v>
      </c>
      <c r="O201" s="606">
        <f t="shared" si="25"/>
        <v>0</v>
      </c>
      <c r="P201" s="606">
        <f t="shared" si="25"/>
        <v>0</v>
      </c>
      <c r="Q201" s="606">
        <f t="shared" si="25"/>
        <v>0</v>
      </c>
      <c r="R201" s="606">
        <f t="shared" si="25"/>
        <v>0</v>
      </c>
      <c r="T201" s="820"/>
      <c r="U201" s="16"/>
    </row>
    <row r="202" spans="1:21" x14ac:dyDescent="0.25">
      <c r="B202" s="169" t="s">
        <v>203</v>
      </c>
      <c r="C202" s="271" t="s">
        <v>153</v>
      </c>
      <c r="D202" s="272">
        <f t="shared" si="26"/>
        <v>0</v>
      </c>
      <c r="E202" s="272">
        <f t="shared" si="25"/>
        <v>0</v>
      </c>
      <c r="F202" s="272">
        <f t="shared" si="25"/>
        <v>0</v>
      </c>
      <c r="G202" s="272">
        <f t="shared" si="25"/>
        <v>0</v>
      </c>
      <c r="H202" s="272">
        <f t="shared" si="25"/>
        <v>0</v>
      </c>
      <c r="I202" s="272">
        <f t="shared" si="25"/>
        <v>0</v>
      </c>
      <c r="J202" s="272">
        <f t="shared" si="25"/>
        <v>0</v>
      </c>
      <c r="K202" s="272">
        <f t="shared" si="25"/>
        <v>0</v>
      </c>
      <c r="L202" s="272">
        <f t="shared" si="25"/>
        <v>0</v>
      </c>
      <c r="M202" s="272">
        <f t="shared" si="25"/>
        <v>0</v>
      </c>
      <c r="N202" s="272">
        <f t="shared" si="25"/>
        <v>0</v>
      </c>
      <c r="O202" s="272">
        <f t="shared" si="25"/>
        <v>0</v>
      </c>
      <c r="P202" s="272">
        <f t="shared" si="25"/>
        <v>0</v>
      </c>
      <c r="Q202" s="272">
        <f t="shared" si="25"/>
        <v>0</v>
      </c>
      <c r="R202" s="272">
        <f t="shared" si="25"/>
        <v>0</v>
      </c>
      <c r="T202" s="820"/>
      <c r="U202" s="16"/>
    </row>
    <row r="203" spans="1:21" x14ac:dyDescent="0.25">
      <c r="B203" s="169" t="s">
        <v>110</v>
      </c>
      <c r="C203" s="271" t="s">
        <v>154</v>
      </c>
      <c r="D203" s="272">
        <f t="shared" si="26"/>
        <v>0</v>
      </c>
      <c r="E203" s="272">
        <f t="shared" si="25"/>
        <v>0</v>
      </c>
      <c r="F203" s="272">
        <f t="shared" si="25"/>
        <v>0</v>
      </c>
      <c r="G203" s="272">
        <f t="shared" si="25"/>
        <v>0</v>
      </c>
      <c r="H203" s="272">
        <f t="shared" si="25"/>
        <v>0</v>
      </c>
      <c r="I203" s="272">
        <f t="shared" si="25"/>
        <v>0</v>
      </c>
      <c r="J203" s="272">
        <f t="shared" si="25"/>
        <v>0</v>
      </c>
      <c r="K203" s="272">
        <f t="shared" si="25"/>
        <v>0</v>
      </c>
      <c r="L203" s="272">
        <f t="shared" si="25"/>
        <v>0</v>
      </c>
      <c r="M203" s="272">
        <f t="shared" si="25"/>
        <v>0</v>
      </c>
      <c r="N203" s="272">
        <f t="shared" si="25"/>
        <v>0</v>
      </c>
      <c r="O203" s="272">
        <f t="shared" si="25"/>
        <v>0</v>
      </c>
      <c r="P203" s="272">
        <f t="shared" si="25"/>
        <v>0</v>
      </c>
      <c r="Q203" s="272">
        <f t="shared" si="25"/>
        <v>0</v>
      </c>
      <c r="R203" s="272">
        <f t="shared" si="25"/>
        <v>0</v>
      </c>
      <c r="T203" s="820"/>
      <c r="U203" s="16"/>
    </row>
    <row r="204" spans="1:21" x14ac:dyDescent="0.25">
      <c r="B204" s="169" t="s">
        <v>111</v>
      </c>
      <c r="C204" s="271" t="s">
        <v>155</v>
      </c>
      <c r="D204" s="272">
        <f t="shared" si="26"/>
        <v>0</v>
      </c>
      <c r="E204" s="272">
        <f t="shared" si="25"/>
        <v>0</v>
      </c>
      <c r="F204" s="272">
        <f t="shared" si="25"/>
        <v>0</v>
      </c>
      <c r="G204" s="272">
        <f t="shared" si="25"/>
        <v>0</v>
      </c>
      <c r="H204" s="272">
        <f t="shared" si="25"/>
        <v>0</v>
      </c>
      <c r="I204" s="272">
        <f t="shared" si="25"/>
        <v>0</v>
      </c>
      <c r="J204" s="272">
        <f t="shared" si="25"/>
        <v>0</v>
      </c>
      <c r="K204" s="272">
        <f t="shared" si="25"/>
        <v>0</v>
      </c>
      <c r="L204" s="272">
        <f t="shared" si="25"/>
        <v>0</v>
      </c>
      <c r="M204" s="272">
        <f t="shared" si="25"/>
        <v>0</v>
      </c>
      <c r="N204" s="272">
        <f t="shared" si="25"/>
        <v>0</v>
      </c>
      <c r="O204" s="272">
        <f t="shared" si="25"/>
        <v>0</v>
      </c>
      <c r="P204" s="272">
        <f t="shared" si="25"/>
        <v>0</v>
      </c>
      <c r="Q204" s="272">
        <f t="shared" si="25"/>
        <v>0</v>
      </c>
      <c r="R204" s="272">
        <f t="shared" si="25"/>
        <v>0</v>
      </c>
      <c r="T204" s="820"/>
      <c r="U204" s="16"/>
    </row>
    <row r="205" spans="1:21" x14ac:dyDescent="0.25">
      <c r="B205" s="169" t="s">
        <v>112</v>
      </c>
      <c r="C205" s="271" t="s">
        <v>156</v>
      </c>
      <c r="D205" s="272">
        <f t="shared" si="26"/>
        <v>0</v>
      </c>
      <c r="E205" s="272">
        <f t="shared" si="25"/>
        <v>0</v>
      </c>
      <c r="F205" s="272">
        <f t="shared" si="25"/>
        <v>0</v>
      </c>
      <c r="G205" s="272">
        <f t="shared" si="25"/>
        <v>0</v>
      </c>
      <c r="H205" s="272">
        <f t="shared" si="25"/>
        <v>0</v>
      </c>
      <c r="I205" s="272">
        <f t="shared" si="25"/>
        <v>0</v>
      </c>
      <c r="J205" s="272">
        <f t="shared" si="25"/>
        <v>0</v>
      </c>
      <c r="K205" s="272">
        <f t="shared" si="25"/>
        <v>0</v>
      </c>
      <c r="L205" s="272">
        <f t="shared" si="25"/>
        <v>0</v>
      </c>
      <c r="M205" s="272">
        <f t="shared" si="25"/>
        <v>0</v>
      </c>
      <c r="N205" s="272">
        <f t="shared" si="25"/>
        <v>0</v>
      </c>
      <c r="O205" s="272">
        <f t="shared" si="25"/>
        <v>0</v>
      </c>
      <c r="P205" s="272">
        <f t="shared" si="25"/>
        <v>0</v>
      </c>
      <c r="Q205" s="272">
        <f t="shared" si="25"/>
        <v>0</v>
      </c>
      <c r="R205" s="272">
        <f t="shared" si="25"/>
        <v>0</v>
      </c>
      <c r="T205" s="820"/>
      <c r="U205" s="16"/>
    </row>
    <row r="206" spans="1:21" x14ac:dyDescent="0.25">
      <c r="B206" s="169" t="s">
        <v>204</v>
      </c>
      <c r="C206" s="271" t="s">
        <v>157</v>
      </c>
      <c r="D206" s="272">
        <f t="shared" si="26"/>
        <v>0</v>
      </c>
      <c r="E206" s="272">
        <f t="shared" si="25"/>
        <v>0</v>
      </c>
      <c r="F206" s="272">
        <f t="shared" si="25"/>
        <v>0</v>
      </c>
      <c r="G206" s="272">
        <f t="shared" si="25"/>
        <v>0</v>
      </c>
      <c r="H206" s="272">
        <f t="shared" si="25"/>
        <v>0</v>
      </c>
      <c r="I206" s="272">
        <f t="shared" si="25"/>
        <v>0</v>
      </c>
      <c r="J206" s="272">
        <f t="shared" si="25"/>
        <v>0</v>
      </c>
      <c r="K206" s="272">
        <f t="shared" si="25"/>
        <v>0</v>
      </c>
      <c r="L206" s="272">
        <f t="shared" si="25"/>
        <v>0</v>
      </c>
      <c r="M206" s="272">
        <f t="shared" si="25"/>
        <v>0</v>
      </c>
      <c r="N206" s="272">
        <f t="shared" si="25"/>
        <v>0</v>
      </c>
      <c r="O206" s="272">
        <f t="shared" si="25"/>
        <v>0</v>
      </c>
      <c r="P206" s="272">
        <f t="shared" si="25"/>
        <v>0</v>
      </c>
      <c r="Q206" s="272">
        <f t="shared" si="25"/>
        <v>0</v>
      </c>
      <c r="R206" s="272">
        <f t="shared" si="25"/>
        <v>0</v>
      </c>
      <c r="T206" s="820"/>
      <c r="U206" s="16"/>
    </row>
    <row r="207" spans="1:21" x14ac:dyDescent="0.25">
      <c r="B207" s="169" t="s">
        <v>205</v>
      </c>
      <c r="C207" s="271" t="s">
        <v>158</v>
      </c>
      <c r="D207" s="272">
        <f t="shared" si="26"/>
        <v>0</v>
      </c>
      <c r="E207" s="272">
        <f t="shared" si="25"/>
        <v>0</v>
      </c>
      <c r="F207" s="272">
        <f t="shared" si="25"/>
        <v>0</v>
      </c>
      <c r="G207" s="272">
        <f t="shared" si="25"/>
        <v>0</v>
      </c>
      <c r="H207" s="272">
        <f t="shared" si="25"/>
        <v>0</v>
      </c>
      <c r="I207" s="272">
        <f t="shared" si="25"/>
        <v>0</v>
      </c>
      <c r="J207" s="272">
        <f t="shared" si="25"/>
        <v>0</v>
      </c>
      <c r="K207" s="272">
        <f t="shared" si="25"/>
        <v>0</v>
      </c>
      <c r="L207" s="272">
        <f t="shared" si="25"/>
        <v>0</v>
      </c>
      <c r="M207" s="272">
        <f t="shared" si="25"/>
        <v>0</v>
      </c>
      <c r="N207" s="272">
        <f t="shared" si="25"/>
        <v>0</v>
      </c>
      <c r="O207" s="272">
        <f t="shared" si="25"/>
        <v>0</v>
      </c>
      <c r="P207" s="272">
        <f t="shared" si="25"/>
        <v>0</v>
      </c>
      <c r="Q207" s="272">
        <f t="shared" si="25"/>
        <v>0</v>
      </c>
      <c r="R207" s="272">
        <f t="shared" si="25"/>
        <v>0</v>
      </c>
      <c r="T207" s="820"/>
      <c r="U207" s="16"/>
    </row>
    <row r="208" spans="1:21" x14ac:dyDescent="0.25">
      <c r="B208" s="169" t="s">
        <v>115</v>
      </c>
      <c r="C208" s="271" t="s">
        <v>159</v>
      </c>
      <c r="D208" s="272">
        <f t="shared" si="26"/>
        <v>0</v>
      </c>
      <c r="E208" s="272">
        <f t="shared" si="25"/>
        <v>0</v>
      </c>
      <c r="F208" s="272">
        <f t="shared" si="25"/>
        <v>0</v>
      </c>
      <c r="G208" s="272">
        <f t="shared" si="25"/>
        <v>0</v>
      </c>
      <c r="H208" s="272">
        <f t="shared" si="25"/>
        <v>0</v>
      </c>
      <c r="I208" s="272">
        <f t="shared" si="25"/>
        <v>0</v>
      </c>
      <c r="J208" s="272">
        <f t="shared" si="25"/>
        <v>0</v>
      </c>
      <c r="K208" s="272">
        <f t="shared" si="25"/>
        <v>0</v>
      </c>
      <c r="L208" s="272">
        <f t="shared" si="25"/>
        <v>0</v>
      </c>
      <c r="M208" s="272">
        <f t="shared" si="25"/>
        <v>0</v>
      </c>
      <c r="N208" s="272">
        <f t="shared" si="25"/>
        <v>0</v>
      </c>
      <c r="O208" s="272">
        <f t="shared" si="25"/>
        <v>0</v>
      </c>
      <c r="P208" s="272">
        <f t="shared" si="25"/>
        <v>0</v>
      </c>
      <c r="Q208" s="272">
        <f t="shared" si="25"/>
        <v>0</v>
      </c>
      <c r="R208" s="272">
        <f t="shared" si="25"/>
        <v>0</v>
      </c>
      <c r="T208" s="820"/>
    </row>
    <row r="209" spans="2:21" x14ac:dyDescent="0.25">
      <c r="B209" s="169" t="s">
        <v>206</v>
      </c>
      <c r="C209" s="271" t="s">
        <v>160</v>
      </c>
      <c r="D209" s="272">
        <f t="shared" si="26"/>
        <v>0</v>
      </c>
      <c r="E209" s="272">
        <f t="shared" si="25"/>
        <v>0</v>
      </c>
      <c r="F209" s="272">
        <f t="shared" si="25"/>
        <v>0</v>
      </c>
      <c r="G209" s="272">
        <f t="shared" si="25"/>
        <v>0</v>
      </c>
      <c r="H209" s="272">
        <f t="shared" si="25"/>
        <v>0</v>
      </c>
      <c r="I209" s="272">
        <f t="shared" si="25"/>
        <v>0</v>
      </c>
      <c r="J209" s="272">
        <f t="shared" si="25"/>
        <v>0</v>
      </c>
      <c r="K209" s="272">
        <f t="shared" si="25"/>
        <v>0</v>
      </c>
      <c r="L209" s="272">
        <f t="shared" si="25"/>
        <v>0</v>
      </c>
      <c r="M209" s="272">
        <f t="shared" si="25"/>
        <v>0</v>
      </c>
      <c r="N209" s="272">
        <f t="shared" si="25"/>
        <v>0</v>
      </c>
      <c r="O209" s="272">
        <f t="shared" si="25"/>
        <v>0</v>
      </c>
      <c r="P209" s="272">
        <f t="shared" si="25"/>
        <v>0</v>
      </c>
      <c r="Q209" s="272">
        <f t="shared" si="25"/>
        <v>0</v>
      </c>
      <c r="R209" s="272">
        <f t="shared" si="25"/>
        <v>0</v>
      </c>
      <c r="T209" s="820"/>
      <c r="U209" s="16"/>
    </row>
    <row r="210" spans="2:21" x14ac:dyDescent="0.25">
      <c r="B210" s="169" t="s">
        <v>207</v>
      </c>
      <c r="C210" s="271" t="s">
        <v>161</v>
      </c>
      <c r="D210" s="272">
        <f t="shared" si="26"/>
        <v>0</v>
      </c>
      <c r="E210" s="272">
        <f t="shared" si="25"/>
        <v>0</v>
      </c>
      <c r="F210" s="272">
        <f t="shared" si="25"/>
        <v>0</v>
      </c>
      <c r="G210" s="272">
        <f t="shared" si="25"/>
        <v>0</v>
      </c>
      <c r="H210" s="272">
        <f t="shared" si="25"/>
        <v>0</v>
      </c>
      <c r="I210" s="272">
        <f t="shared" si="25"/>
        <v>0</v>
      </c>
      <c r="J210" s="272">
        <f t="shared" si="25"/>
        <v>0</v>
      </c>
      <c r="K210" s="272">
        <f t="shared" si="25"/>
        <v>0</v>
      </c>
      <c r="L210" s="272">
        <f t="shared" si="25"/>
        <v>0</v>
      </c>
      <c r="M210" s="272">
        <f t="shared" si="25"/>
        <v>0</v>
      </c>
      <c r="N210" s="272">
        <f t="shared" si="25"/>
        <v>0</v>
      </c>
      <c r="O210" s="272">
        <f t="shared" si="25"/>
        <v>0</v>
      </c>
      <c r="P210" s="272">
        <f t="shared" si="25"/>
        <v>0</v>
      </c>
      <c r="Q210" s="272">
        <f t="shared" si="25"/>
        <v>0</v>
      </c>
      <c r="R210" s="272">
        <f t="shared" si="25"/>
        <v>0</v>
      </c>
      <c r="T210" s="820"/>
      <c r="U210" s="16"/>
    </row>
    <row r="212" spans="2:21" x14ac:dyDescent="0.25">
      <c r="B212" s="149"/>
      <c r="C212" s="149"/>
    </row>
    <row r="213" spans="2:21" x14ac:dyDescent="0.25">
      <c r="B213" s="441" t="s">
        <v>552</v>
      </c>
      <c r="C213" s="339"/>
    </row>
    <row r="214" spans="2:21" x14ac:dyDescent="0.25">
      <c r="B214" s="441" t="s">
        <v>103</v>
      </c>
      <c r="C214" s="264" t="s">
        <v>104</v>
      </c>
      <c r="D214" s="17" t="str">
        <f>D$4</f>
        <v>Z01</v>
      </c>
      <c r="E214" s="17" t="str">
        <f t="shared" ref="E214:R214" si="27">E$4</f>
        <v>Z02</v>
      </c>
      <c r="F214" s="17" t="str">
        <f t="shared" si="27"/>
        <v>Z03</v>
      </c>
      <c r="G214" s="17" t="str">
        <f t="shared" si="27"/>
        <v>Z04</v>
      </c>
      <c r="H214" s="17" t="str">
        <f t="shared" si="27"/>
        <v>Z05</v>
      </c>
      <c r="I214" s="17" t="str">
        <f t="shared" si="27"/>
        <v>Z06</v>
      </c>
      <c r="J214" s="17" t="str">
        <f t="shared" si="27"/>
        <v>Z07</v>
      </c>
      <c r="K214" s="17" t="str">
        <f t="shared" si="27"/>
        <v>Z08</v>
      </c>
      <c r="L214" s="17" t="str">
        <f t="shared" si="27"/>
        <v>Z09</v>
      </c>
      <c r="M214" s="17" t="str">
        <f t="shared" si="27"/>
        <v>Z10</v>
      </c>
      <c r="N214" s="17" t="str">
        <f t="shared" si="27"/>
        <v>Z11</v>
      </c>
      <c r="O214" s="17" t="str">
        <f t="shared" si="27"/>
        <v>Z12</v>
      </c>
      <c r="P214" s="17" t="str">
        <f t="shared" si="27"/>
        <v>Z13</v>
      </c>
      <c r="Q214" s="17" t="str">
        <f t="shared" si="27"/>
        <v>Z14</v>
      </c>
      <c r="R214" s="17" t="str">
        <f t="shared" si="27"/>
        <v>Z15</v>
      </c>
      <c r="T214" s="17" t="str">
        <f>T$4</f>
        <v>Average</v>
      </c>
      <c r="U214" s="260"/>
    </row>
    <row r="215" spans="2:21" x14ac:dyDescent="0.25">
      <c r="B215" s="271" t="s">
        <v>107</v>
      </c>
      <c r="C215" s="271"/>
      <c r="D215" s="511"/>
      <c r="E215" s="511"/>
      <c r="F215" s="511"/>
      <c r="G215" s="511"/>
      <c r="H215" s="511"/>
      <c r="I215" s="511"/>
      <c r="J215" s="511"/>
      <c r="K215" s="511"/>
      <c r="L215" s="511"/>
      <c r="M215" s="511"/>
      <c r="N215" s="511"/>
      <c r="O215" s="511"/>
      <c r="P215" s="511"/>
      <c r="Q215" s="511"/>
      <c r="R215" s="511"/>
      <c r="T215" s="510"/>
      <c r="U215" s="16"/>
    </row>
    <row r="216" spans="2:21" x14ac:dyDescent="0.25">
      <c r="B216" s="169" t="s">
        <v>108</v>
      </c>
      <c r="C216" s="169"/>
      <c r="D216" s="511"/>
      <c r="E216" s="511"/>
      <c r="F216" s="511"/>
      <c r="G216" s="511"/>
      <c r="H216" s="511"/>
      <c r="I216" s="511"/>
      <c r="J216" s="511"/>
      <c r="K216" s="511"/>
      <c r="L216" s="511"/>
      <c r="M216" s="511"/>
      <c r="N216" s="511"/>
      <c r="O216" s="511"/>
      <c r="P216" s="511"/>
      <c r="Q216" s="511"/>
      <c r="R216" s="511"/>
      <c r="T216" s="510"/>
      <c r="U216" s="16"/>
    </row>
    <row r="217" spans="2:21" x14ac:dyDescent="0.25">
      <c r="B217" s="169" t="s">
        <v>203</v>
      </c>
      <c r="C217" s="169" t="s">
        <v>553</v>
      </c>
      <c r="D217" s="606">
        <f>$T217</f>
        <v>0</v>
      </c>
      <c r="E217" s="606">
        <f t="shared" ref="E217:R217" si="28">$T217</f>
        <v>0</v>
      </c>
      <c r="F217" s="606">
        <f t="shared" si="28"/>
        <v>0</v>
      </c>
      <c r="G217" s="606">
        <f t="shared" si="28"/>
        <v>0</v>
      </c>
      <c r="H217" s="606">
        <f t="shared" si="28"/>
        <v>0</v>
      </c>
      <c r="I217" s="606">
        <f t="shared" si="28"/>
        <v>0</v>
      </c>
      <c r="J217" s="606">
        <f t="shared" si="28"/>
        <v>0</v>
      </c>
      <c r="K217" s="606">
        <f t="shared" si="28"/>
        <v>0</v>
      </c>
      <c r="L217" s="606">
        <f t="shared" si="28"/>
        <v>0</v>
      </c>
      <c r="M217" s="606">
        <f t="shared" si="28"/>
        <v>0</v>
      </c>
      <c r="N217" s="606">
        <f t="shared" si="28"/>
        <v>0</v>
      </c>
      <c r="O217" s="606">
        <f t="shared" si="28"/>
        <v>0</v>
      </c>
      <c r="P217" s="606">
        <f t="shared" si="28"/>
        <v>0</v>
      </c>
      <c r="Q217" s="606">
        <f t="shared" si="28"/>
        <v>0</v>
      </c>
      <c r="R217" s="606">
        <f t="shared" si="28"/>
        <v>0</v>
      </c>
      <c r="T217" s="291">
        <f>STAT_TRA_Mileage!Q11/1000</f>
        <v>0</v>
      </c>
      <c r="U217" s="16"/>
    </row>
    <row r="218" spans="2:21" x14ac:dyDescent="0.25">
      <c r="B218" s="169" t="s">
        <v>110</v>
      </c>
      <c r="C218" s="169"/>
      <c r="D218" s="511"/>
      <c r="E218" s="511"/>
      <c r="F218" s="511"/>
      <c r="G218" s="511"/>
      <c r="H218" s="511"/>
      <c r="I218" s="511"/>
      <c r="J218" s="511"/>
      <c r="K218" s="511"/>
      <c r="L218" s="511"/>
      <c r="M218" s="511"/>
      <c r="N218" s="511"/>
      <c r="O218" s="511"/>
      <c r="P218" s="511"/>
      <c r="Q218" s="511"/>
      <c r="R218" s="511"/>
      <c r="T218" s="510"/>
      <c r="U218" s="16"/>
    </row>
    <row r="219" spans="2:21" x14ac:dyDescent="0.25">
      <c r="B219" s="169" t="s">
        <v>111</v>
      </c>
      <c r="C219" s="169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T219" s="510"/>
      <c r="U219" s="16"/>
    </row>
    <row r="220" spans="2:21" x14ac:dyDescent="0.25">
      <c r="B220" s="169" t="s">
        <v>112</v>
      </c>
      <c r="C220" s="169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T220" s="510"/>
      <c r="U220" s="16"/>
    </row>
    <row r="221" spans="2:21" x14ac:dyDescent="0.25">
      <c r="B221" s="169" t="s">
        <v>204</v>
      </c>
      <c r="C221" s="169"/>
      <c r="D221" s="511"/>
      <c r="E221" s="511"/>
      <c r="F221" s="511"/>
      <c r="G221" s="511"/>
      <c r="H221" s="511"/>
      <c r="I221" s="511"/>
      <c r="J221" s="511"/>
      <c r="K221" s="511"/>
      <c r="L221" s="511"/>
      <c r="M221" s="511"/>
      <c r="N221" s="511"/>
      <c r="O221" s="511"/>
      <c r="P221" s="511"/>
      <c r="Q221" s="511"/>
      <c r="R221" s="511"/>
      <c r="T221" s="510"/>
      <c r="U221" s="16"/>
    </row>
    <row r="222" spans="2:21" x14ac:dyDescent="0.25">
      <c r="B222" s="169" t="s">
        <v>205</v>
      </c>
      <c r="C222" s="169"/>
      <c r="D222" s="511"/>
      <c r="E222" s="511"/>
      <c r="F222" s="511"/>
      <c r="G222" s="511"/>
      <c r="H222" s="511"/>
      <c r="I222" s="511"/>
      <c r="J222" s="511"/>
      <c r="K222" s="511"/>
      <c r="L222" s="511"/>
      <c r="M222" s="511"/>
      <c r="N222" s="511"/>
      <c r="O222" s="511"/>
      <c r="P222" s="511"/>
      <c r="Q222" s="511"/>
      <c r="R222" s="511"/>
      <c r="T222" s="510"/>
      <c r="U222" s="16"/>
    </row>
    <row r="223" spans="2:21" x14ac:dyDescent="0.25">
      <c r="B223" s="169" t="s">
        <v>115</v>
      </c>
      <c r="C223" s="169"/>
      <c r="D223" s="511"/>
      <c r="E223" s="511"/>
      <c r="F223" s="511"/>
      <c r="G223" s="511"/>
      <c r="H223" s="511"/>
      <c r="I223" s="511"/>
      <c r="J223" s="511"/>
      <c r="K223" s="511"/>
      <c r="L223" s="511"/>
      <c r="M223" s="511"/>
      <c r="N223" s="511"/>
      <c r="O223" s="511"/>
      <c r="P223" s="511"/>
      <c r="Q223" s="511"/>
      <c r="R223" s="511"/>
      <c r="T223" s="510"/>
      <c r="U223" s="16"/>
    </row>
    <row r="224" spans="2:21" x14ac:dyDescent="0.25">
      <c r="B224" s="169" t="s">
        <v>206</v>
      </c>
      <c r="C224" s="169"/>
      <c r="D224" s="511"/>
      <c r="E224" s="511"/>
      <c r="F224" s="511"/>
      <c r="G224" s="511"/>
      <c r="H224" s="511"/>
      <c r="I224" s="511"/>
      <c r="J224" s="511"/>
      <c r="K224" s="511"/>
      <c r="L224" s="511"/>
      <c r="M224" s="511"/>
      <c r="N224" s="511"/>
      <c r="O224" s="511"/>
      <c r="P224" s="511"/>
      <c r="Q224" s="511"/>
      <c r="R224" s="511"/>
      <c r="T224" s="510"/>
      <c r="U224" s="16"/>
    </row>
    <row r="225" spans="2:21" x14ac:dyDescent="0.25">
      <c r="B225" s="169" t="s">
        <v>207</v>
      </c>
      <c r="C225" s="169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T225" s="510"/>
      <c r="U225" s="16"/>
    </row>
    <row r="226" spans="2:21" x14ac:dyDescent="0.25">
      <c r="B226" s="169" t="s">
        <v>208</v>
      </c>
      <c r="C226" s="169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T226" s="510"/>
      <c r="U226" s="16"/>
    </row>
    <row r="228" spans="2:21" x14ac:dyDescent="0.25">
      <c r="B228" s="149"/>
      <c r="C228" s="149"/>
    </row>
    <row r="229" spans="2:21" x14ac:dyDescent="0.25">
      <c r="B229" s="441" t="s">
        <v>554</v>
      </c>
      <c r="C229" s="339"/>
    </row>
    <row r="230" spans="2:21" x14ac:dyDescent="0.25">
      <c r="B230" s="441" t="s">
        <v>103</v>
      </c>
      <c r="C230" s="264" t="s">
        <v>104</v>
      </c>
      <c r="D230" s="17" t="str">
        <f>D$4</f>
        <v>Z01</v>
      </c>
      <c r="E230" s="17" t="str">
        <f t="shared" ref="E230:R230" si="29">E$4</f>
        <v>Z02</v>
      </c>
      <c r="F230" s="17" t="str">
        <f t="shared" si="29"/>
        <v>Z03</v>
      </c>
      <c r="G230" s="17" t="str">
        <f t="shared" si="29"/>
        <v>Z04</v>
      </c>
      <c r="H230" s="17" t="str">
        <f t="shared" si="29"/>
        <v>Z05</v>
      </c>
      <c r="I230" s="17" t="str">
        <f t="shared" si="29"/>
        <v>Z06</v>
      </c>
      <c r="J230" s="17" t="str">
        <f t="shared" si="29"/>
        <v>Z07</v>
      </c>
      <c r="K230" s="17" t="str">
        <f t="shared" si="29"/>
        <v>Z08</v>
      </c>
      <c r="L230" s="17" t="str">
        <f t="shared" si="29"/>
        <v>Z09</v>
      </c>
      <c r="M230" s="17" t="str">
        <f t="shared" si="29"/>
        <v>Z10</v>
      </c>
      <c r="N230" s="17" t="str">
        <f t="shared" si="29"/>
        <v>Z11</v>
      </c>
      <c r="O230" s="17" t="str">
        <f t="shared" si="29"/>
        <v>Z12</v>
      </c>
      <c r="P230" s="17" t="str">
        <f t="shared" si="29"/>
        <v>Z13</v>
      </c>
      <c r="Q230" s="17" t="str">
        <f t="shared" si="29"/>
        <v>Z14</v>
      </c>
      <c r="R230" s="17" t="str">
        <f t="shared" si="29"/>
        <v>Z15</v>
      </c>
      <c r="T230" s="17" t="str">
        <f>T$4</f>
        <v>Average</v>
      </c>
      <c r="U230" s="260"/>
    </row>
    <row r="231" spans="2:21" x14ac:dyDescent="0.25">
      <c r="B231" s="271" t="s">
        <v>107</v>
      </c>
      <c r="C231" s="27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T231" s="510"/>
      <c r="U231" s="16"/>
    </row>
    <row r="232" spans="2:21" x14ac:dyDescent="0.25">
      <c r="B232" s="169" t="s">
        <v>108</v>
      </c>
      <c r="C232" s="169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T232" s="510"/>
      <c r="U232" s="16"/>
    </row>
    <row r="233" spans="2:21" x14ac:dyDescent="0.25">
      <c r="B233" s="169" t="s">
        <v>203</v>
      </c>
      <c r="C233" s="169" t="s">
        <v>555</v>
      </c>
      <c r="D233" s="606">
        <f t="shared" ref="D233:R233" si="30">$T233</f>
        <v>0</v>
      </c>
      <c r="E233" s="606">
        <f t="shared" si="30"/>
        <v>0</v>
      </c>
      <c r="F233" s="606">
        <f t="shared" si="30"/>
        <v>0</v>
      </c>
      <c r="G233" s="606">
        <f t="shared" si="30"/>
        <v>0</v>
      </c>
      <c r="H233" s="606">
        <f t="shared" si="30"/>
        <v>0</v>
      </c>
      <c r="I233" s="606">
        <f t="shared" si="30"/>
        <v>0</v>
      </c>
      <c r="J233" s="606">
        <f t="shared" si="30"/>
        <v>0</v>
      </c>
      <c r="K233" s="606">
        <f t="shared" si="30"/>
        <v>0</v>
      </c>
      <c r="L233" s="606">
        <f t="shared" si="30"/>
        <v>0</v>
      </c>
      <c r="M233" s="606">
        <f t="shared" si="30"/>
        <v>0</v>
      </c>
      <c r="N233" s="606">
        <f t="shared" si="30"/>
        <v>0</v>
      </c>
      <c r="O233" s="606">
        <f t="shared" si="30"/>
        <v>0</v>
      </c>
      <c r="P233" s="606">
        <f t="shared" si="30"/>
        <v>0</v>
      </c>
      <c r="Q233" s="606">
        <f t="shared" si="30"/>
        <v>0</v>
      </c>
      <c r="R233" s="606">
        <f t="shared" si="30"/>
        <v>0</v>
      </c>
      <c r="T233" s="291">
        <f>STAT_TRA_Mileage!R11/1000</f>
        <v>0</v>
      </c>
      <c r="U233" s="16"/>
    </row>
    <row r="234" spans="2:21" x14ac:dyDescent="0.25">
      <c r="B234" s="169" t="s">
        <v>110</v>
      </c>
      <c r="C234" s="169"/>
      <c r="D234" s="511"/>
      <c r="E234" s="511"/>
      <c r="F234" s="511"/>
      <c r="G234" s="511"/>
      <c r="H234" s="511"/>
      <c r="I234" s="511"/>
      <c r="J234" s="511"/>
      <c r="K234" s="511"/>
      <c r="L234" s="511"/>
      <c r="M234" s="511"/>
      <c r="N234" s="511"/>
      <c r="O234" s="511"/>
      <c r="P234" s="511"/>
      <c r="Q234" s="511"/>
      <c r="R234" s="511"/>
      <c r="T234" s="510"/>
      <c r="U234" s="16"/>
    </row>
    <row r="235" spans="2:21" x14ac:dyDescent="0.25">
      <c r="B235" s="169" t="s">
        <v>111</v>
      </c>
      <c r="C235" s="169"/>
      <c r="D235" s="511"/>
      <c r="E235" s="511"/>
      <c r="F235" s="511"/>
      <c r="G235" s="511"/>
      <c r="H235" s="511"/>
      <c r="I235" s="511"/>
      <c r="J235" s="511"/>
      <c r="K235" s="511"/>
      <c r="L235" s="511"/>
      <c r="M235" s="511"/>
      <c r="N235" s="511"/>
      <c r="O235" s="511"/>
      <c r="P235" s="511"/>
      <c r="Q235" s="511"/>
      <c r="R235" s="511"/>
      <c r="T235" s="510"/>
      <c r="U235" s="16"/>
    </row>
    <row r="236" spans="2:21" x14ac:dyDescent="0.25">
      <c r="B236" s="169" t="s">
        <v>112</v>
      </c>
      <c r="C236" s="169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511"/>
      <c r="P236" s="511"/>
      <c r="Q236" s="511"/>
      <c r="R236" s="511"/>
      <c r="T236" s="510"/>
      <c r="U236" s="16"/>
    </row>
    <row r="237" spans="2:21" x14ac:dyDescent="0.25">
      <c r="B237" s="169" t="s">
        <v>204</v>
      </c>
      <c r="C237" s="169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T237" s="510"/>
      <c r="U237" s="16"/>
    </row>
    <row r="238" spans="2:21" x14ac:dyDescent="0.25">
      <c r="B238" s="169" t="s">
        <v>205</v>
      </c>
      <c r="C238" s="169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T238" s="510"/>
      <c r="U238" s="16"/>
    </row>
    <row r="239" spans="2:21" x14ac:dyDescent="0.25">
      <c r="B239" s="169" t="s">
        <v>115</v>
      </c>
      <c r="C239" s="169"/>
      <c r="D239" s="511"/>
      <c r="E239" s="511"/>
      <c r="F239" s="511"/>
      <c r="G239" s="511"/>
      <c r="H239" s="511"/>
      <c r="I239" s="511"/>
      <c r="J239" s="511"/>
      <c r="K239" s="511"/>
      <c r="L239" s="511"/>
      <c r="M239" s="511"/>
      <c r="N239" s="511"/>
      <c r="O239" s="511"/>
      <c r="P239" s="511"/>
      <c r="Q239" s="511"/>
      <c r="R239" s="511"/>
      <c r="T239" s="510"/>
      <c r="U239" s="16"/>
    </row>
    <row r="240" spans="2:21" x14ac:dyDescent="0.25">
      <c r="B240" s="169" t="s">
        <v>206</v>
      </c>
      <c r="C240" s="169"/>
      <c r="D240" s="511"/>
      <c r="E240" s="511"/>
      <c r="F240" s="511"/>
      <c r="G240" s="511"/>
      <c r="H240" s="511"/>
      <c r="I240" s="511"/>
      <c r="J240" s="511"/>
      <c r="K240" s="511"/>
      <c r="L240" s="511"/>
      <c r="M240" s="511"/>
      <c r="N240" s="511"/>
      <c r="O240" s="511"/>
      <c r="P240" s="511"/>
      <c r="Q240" s="511"/>
      <c r="R240" s="511"/>
      <c r="T240" s="510"/>
      <c r="U240" s="16"/>
    </row>
    <row r="241" spans="2:21" x14ac:dyDescent="0.25">
      <c r="B241" s="169" t="s">
        <v>207</v>
      </c>
      <c r="C241" s="169"/>
      <c r="D241" s="511"/>
      <c r="E241" s="511"/>
      <c r="F241" s="511"/>
      <c r="G241" s="511"/>
      <c r="H241" s="511"/>
      <c r="I241" s="511"/>
      <c r="J241" s="511"/>
      <c r="K241" s="511"/>
      <c r="L241" s="511"/>
      <c r="M241" s="511"/>
      <c r="N241" s="511"/>
      <c r="O241" s="511"/>
      <c r="P241" s="511"/>
      <c r="Q241" s="511"/>
      <c r="R241" s="511"/>
      <c r="T241" s="510"/>
      <c r="U241" s="16"/>
    </row>
    <row r="242" spans="2:21" x14ac:dyDescent="0.25">
      <c r="B242" s="169" t="s">
        <v>208</v>
      </c>
      <c r="C242" s="169"/>
      <c r="D242" s="511"/>
      <c r="E242" s="511"/>
      <c r="F242" s="511"/>
      <c r="G242" s="511"/>
      <c r="H242" s="511"/>
      <c r="I242" s="511"/>
      <c r="J242" s="511"/>
      <c r="K242" s="511"/>
      <c r="L242" s="511"/>
      <c r="M242" s="511"/>
      <c r="N242" s="511"/>
      <c r="O242" s="511"/>
      <c r="P242" s="511"/>
      <c r="Q242" s="511"/>
      <c r="R242" s="511"/>
      <c r="T242" s="510"/>
      <c r="U242" s="16"/>
    </row>
    <row r="244" spans="2:21" x14ac:dyDescent="0.25">
      <c r="B244" s="149"/>
      <c r="C244" s="149"/>
    </row>
    <row r="245" spans="2:21" x14ac:dyDescent="0.25">
      <c r="B245" s="441" t="s">
        <v>556</v>
      </c>
      <c r="C245" s="339"/>
    </row>
    <row r="246" spans="2:21" x14ac:dyDescent="0.25">
      <c r="B246" s="441" t="s">
        <v>103</v>
      </c>
      <c r="C246" s="264" t="s">
        <v>104</v>
      </c>
      <c r="D246" s="17" t="str">
        <f>D$4</f>
        <v>Z01</v>
      </c>
      <c r="E246" s="17" t="str">
        <f t="shared" ref="E246:R246" si="31">E$4</f>
        <v>Z02</v>
      </c>
      <c r="F246" s="17" t="str">
        <f t="shared" si="31"/>
        <v>Z03</v>
      </c>
      <c r="G246" s="17" t="str">
        <f t="shared" si="31"/>
        <v>Z04</v>
      </c>
      <c r="H246" s="17" t="str">
        <f t="shared" si="31"/>
        <v>Z05</v>
      </c>
      <c r="I246" s="17" t="str">
        <f t="shared" si="31"/>
        <v>Z06</v>
      </c>
      <c r="J246" s="17" t="str">
        <f t="shared" si="31"/>
        <v>Z07</v>
      </c>
      <c r="K246" s="17" t="str">
        <f t="shared" si="31"/>
        <v>Z08</v>
      </c>
      <c r="L246" s="17" t="str">
        <f t="shared" si="31"/>
        <v>Z09</v>
      </c>
      <c r="M246" s="17" t="str">
        <f t="shared" si="31"/>
        <v>Z10</v>
      </c>
      <c r="N246" s="17" t="str">
        <f t="shared" si="31"/>
        <v>Z11</v>
      </c>
      <c r="O246" s="17" t="str">
        <f t="shared" si="31"/>
        <v>Z12</v>
      </c>
      <c r="P246" s="17" t="str">
        <f t="shared" si="31"/>
        <v>Z13</v>
      </c>
      <c r="Q246" s="17" t="str">
        <f t="shared" si="31"/>
        <v>Z14</v>
      </c>
      <c r="R246" s="17" t="str">
        <f t="shared" si="31"/>
        <v>Z15</v>
      </c>
      <c r="T246" s="17" t="str">
        <f>T$4</f>
        <v>Average</v>
      </c>
      <c r="U246" s="260"/>
    </row>
    <row r="247" spans="2:21" x14ac:dyDescent="0.25">
      <c r="B247" s="271" t="s">
        <v>107</v>
      </c>
      <c r="C247" s="271"/>
      <c r="D247" s="511"/>
      <c r="E247" s="511"/>
      <c r="F247" s="511"/>
      <c r="G247" s="511"/>
      <c r="H247" s="511"/>
      <c r="I247" s="511"/>
      <c r="J247" s="511"/>
      <c r="K247" s="511"/>
      <c r="L247" s="511"/>
      <c r="M247" s="511"/>
      <c r="N247" s="511"/>
      <c r="O247" s="511"/>
      <c r="P247" s="511"/>
      <c r="Q247" s="511"/>
      <c r="R247" s="511"/>
      <c r="T247" s="510"/>
      <c r="U247" s="16"/>
    </row>
    <row r="248" spans="2:21" x14ac:dyDescent="0.25">
      <c r="B248" s="169" t="s">
        <v>108</v>
      </c>
      <c r="C248" s="169"/>
      <c r="D248" s="511"/>
      <c r="E248" s="511"/>
      <c r="F248" s="511"/>
      <c r="G248" s="511"/>
      <c r="H248" s="511"/>
      <c r="I248" s="511"/>
      <c r="J248" s="511"/>
      <c r="K248" s="511"/>
      <c r="L248" s="511"/>
      <c r="M248" s="511"/>
      <c r="N248" s="511"/>
      <c r="O248" s="511"/>
      <c r="P248" s="511"/>
      <c r="Q248" s="511"/>
      <c r="R248" s="511"/>
      <c r="T248" s="510"/>
      <c r="U248" s="16"/>
    </row>
    <row r="249" spans="2:21" x14ac:dyDescent="0.25">
      <c r="B249" s="169" t="s">
        <v>203</v>
      </c>
      <c r="C249" s="169" t="s">
        <v>557</v>
      </c>
      <c r="D249" s="508">
        <f>$T249</f>
        <v>0</v>
      </c>
      <c r="E249" s="508">
        <f t="shared" ref="E249:R249" si="32">$T249</f>
        <v>0</v>
      </c>
      <c r="F249" s="508">
        <f t="shared" si="32"/>
        <v>0</v>
      </c>
      <c r="G249" s="508">
        <f t="shared" si="32"/>
        <v>0</v>
      </c>
      <c r="H249" s="508">
        <f t="shared" si="32"/>
        <v>0</v>
      </c>
      <c r="I249" s="508">
        <f t="shared" si="32"/>
        <v>0</v>
      </c>
      <c r="J249" s="508">
        <f t="shared" si="32"/>
        <v>0</v>
      </c>
      <c r="K249" s="508">
        <f t="shared" si="32"/>
        <v>0</v>
      </c>
      <c r="L249" s="508">
        <f t="shared" si="32"/>
        <v>0</v>
      </c>
      <c r="M249" s="508">
        <f t="shared" si="32"/>
        <v>0</v>
      </c>
      <c r="N249" s="508">
        <f t="shared" si="32"/>
        <v>0</v>
      </c>
      <c r="O249" s="508">
        <f t="shared" si="32"/>
        <v>0</v>
      </c>
      <c r="P249" s="508">
        <f t="shared" si="32"/>
        <v>0</v>
      </c>
      <c r="Q249" s="508">
        <f t="shared" si="32"/>
        <v>0</v>
      </c>
      <c r="R249" s="508">
        <f t="shared" si="32"/>
        <v>0</v>
      </c>
      <c r="T249" s="291">
        <f>STAT_TRA_Mileage!M27/1000</f>
        <v>0</v>
      </c>
      <c r="U249" s="16"/>
    </row>
    <row r="250" spans="2:21" x14ac:dyDescent="0.25">
      <c r="B250" s="169" t="s">
        <v>110</v>
      </c>
      <c r="C250" s="169"/>
      <c r="D250" s="511"/>
      <c r="E250" s="511"/>
      <c r="F250" s="511"/>
      <c r="G250" s="511"/>
      <c r="H250" s="511"/>
      <c r="I250" s="511"/>
      <c r="J250" s="511"/>
      <c r="K250" s="511"/>
      <c r="L250" s="511"/>
      <c r="M250" s="511"/>
      <c r="N250" s="511"/>
      <c r="O250" s="511"/>
      <c r="P250" s="511"/>
      <c r="Q250" s="511"/>
      <c r="R250" s="511"/>
      <c r="T250" s="510"/>
      <c r="U250" s="16"/>
    </row>
    <row r="251" spans="2:21" x14ac:dyDescent="0.25">
      <c r="B251" s="169" t="s">
        <v>111</v>
      </c>
      <c r="C251" s="169"/>
      <c r="D251" s="511"/>
      <c r="E251" s="511"/>
      <c r="F251" s="511"/>
      <c r="G251" s="511"/>
      <c r="H251" s="511"/>
      <c r="I251" s="511"/>
      <c r="J251" s="511"/>
      <c r="K251" s="511"/>
      <c r="L251" s="511"/>
      <c r="M251" s="511"/>
      <c r="N251" s="511"/>
      <c r="O251" s="511"/>
      <c r="P251" s="511"/>
      <c r="Q251" s="511"/>
      <c r="R251" s="511"/>
      <c r="T251" s="510"/>
      <c r="U251" s="16"/>
    </row>
    <row r="252" spans="2:21" x14ac:dyDescent="0.25">
      <c r="B252" s="169" t="s">
        <v>112</v>
      </c>
      <c r="C252" s="169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T252" s="510"/>
      <c r="U252" s="16"/>
    </row>
    <row r="253" spans="2:21" x14ac:dyDescent="0.25">
      <c r="B253" s="169" t="s">
        <v>204</v>
      </c>
      <c r="C253" s="169"/>
      <c r="D253" s="511"/>
      <c r="E253" s="511"/>
      <c r="F253" s="511"/>
      <c r="G253" s="511"/>
      <c r="H253" s="511"/>
      <c r="I253" s="511"/>
      <c r="J253" s="511"/>
      <c r="K253" s="511"/>
      <c r="L253" s="511"/>
      <c r="M253" s="511"/>
      <c r="N253" s="511"/>
      <c r="O253" s="511"/>
      <c r="P253" s="511"/>
      <c r="Q253" s="511"/>
      <c r="R253" s="511"/>
      <c r="T253" s="510"/>
      <c r="U253" s="16"/>
    </row>
    <row r="254" spans="2:21" x14ac:dyDescent="0.25">
      <c r="B254" s="169" t="s">
        <v>205</v>
      </c>
      <c r="C254" s="169"/>
      <c r="D254" s="511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511"/>
      <c r="P254" s="511"/>
      <c r="Q254" s="511"/>
      <c r="R254" s="511"/>
      <c r="T254" s="510"/>
      <c r="U254" s="16"/>
    </row>
    <row r="255" spans="2:21" x14ac:dyDescent="0.25">
      <c r="B255" s="169" t="s">
        <v>115</v>
      </c>
      <c r="C255" s="169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511"/>
      <c r="P255" s="511"/>
      <c r="Q255" s="511"/>
      <c r="R255" s="511"/>
      <c r="T255" s="510"/>
      <c r="U255" s="16"/>
    </row>
    <row r="256" spans="2:21" x14ac:dyDescent="0.25">
      <c r="B256" s="169" t="s">
        <v>206</v>
      </c>
      <c r="C256" s="169"/>
      <c r="D256" s="511"/>
      <c r="E256" s="511"/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T256" s="510"/>
      <c r="U256" s="16"/>
    </row>
    <row r="257" spans="2:21" x14ac:dyDescent="0.25">
      <c r="B257" s="169" t="s">
        <v>207</v>
      </c>
      <c r="C257" s="169"/>
      <c r="D257" s="511"/>
      <c r="E257" s="511"/>
      <c r="F257" s="511"/>
      <c r="G257" s="511"/>
      <c r="H257" s="511"/>
      <c r="I257" s="511"/>
      <c r="J257" s="511"/>
      <c r="K257" s="511"/>
      <c r="L257" s="511"/>
      <c r="M257" s="511"/>
      <c r="N257" s="511"/>
      <c r="O257" s="511"/>
      <c r="P257" s="511"/>
      <c r="Q257" s="511"/>
      <c r="R257" s="511"/>
      <c r="T257" s="510"/>
      <c r="U257" s="16"/>
    </row>
    <row r="258" spans="2:21" x14ac:dyDescent="0.25">
      <c r="B258" s="169" t="s">
        <v>208</v>
      </c>
      <c r="C258" s="169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T258" s="510"/>
      <c r="U258" s="16"/>
    </row>
    <row r="260" spans="2:21" x14ac:dyDescent="0.25">
      <c r="B260" s="149"/>
      <c r="C260" s="149"/>
    </row>
    <row r="261" spans="2:21" x14ac:dyDescent="0.25">
      <c r="B261" s="441" t="s">
        <v>558</v>
      </c>
      <c r="C261" s="339"/>
    </row>
    <row r="262" spans="2:21" x14ac:dyDescent="0.25">
      <c r="B262" s="441" t="s">
        <v>103</v>
      </c>
      <c r="C262" s="264" t="s">
        <v>104</v>
      </c>
      <c r="D262" s="17" t="str">
        <f>D$4</f>
        <v>Z01</v>
      </c>
      <c r="E262" s="17" t="str">
        <f t="shared" ref="E262:R262" si="33">E$4</f>
        <v>Z02</v>
      </c>
      <c r="F262" s="17" t="str">
        <f t="shared" si="33"/>
        <v>Z03</v>
      </c>
      <c r="G262" s="17" t="str">
        <f t="shared" si="33"/>
        <v>Z04</v>
      </c>
      <c r="H262" s="17" t="str">
        <f t="shared" si="33"/>
        <v>Z05</v>
      </c>
      <c r="I262" s="17" t="str">
        <f t="shared" si="33"/>
        <v>Z06</v>
      </c>
      <c r="J262" s="17" t="str">
        <f t="shared" si="33"/>
        <v>Z07</v>
      </c>
      <c r="K262" s="17" t="str">
        <f t="shared" si="33"/>
        <v>Z08</v>
      </c>
      <c r="L262" s="17" t="str">
        <f t="shared" si="33"/>
        <v>Z09</v>
      </c>
      <c r="M262" s="17" t="str">
        <f t="shared" si="33"/>
        <v>Z10</v>
      </c>
      <c r="N262" s="17" t="str">
        <f t="shared" si="33"/>
        <v>Z11</v>
      </c>
      <c r="O262" s="17" t="str">
        <f t="shared" si="33"/>
        <v>Z12</v>
      </c>
      <c r="P262" s="17" t="str">
        <f t="shared" si="33"/>
        <v>Z13</v>
      </c>
      <c r="Q262" s="17" t="str">
        <f t="shared" si="33"/>
        <v>Z14</v>
      </c>
      <c r="R262" s="17" t="str">
        <f t="shared" si="33"/>
        <v>Z15</v>
      </c>
      <c r="T262" s="17" t="str">
        <f>T$4</f>
        <v>Average</v>
      </c>
      <c r="U262" s="260"/>
    </row>
    <row r="263" spans="2:21" x14ac:dyDescent="0.25">
      <c r="B263" s="271" t="s">
        <v>107</v>
      </c>
      <c r="C263" s="271"/>
      <c r="D263" s="511"/>
      <c r="E263" s="511"/>
      <c r="F263" s="511"/>
      <c r="G263" s="511"/>
      <c r="H263" s="511"/>
      <c r="I263" s="511"/>
      <c r="J263" s="511"/>
      <c r="K263" s="511"/>
      <c r="L263" s="511"/>
      <c r="M263" s="511"/>
      <c r="N263" s="511"/>
      <c r="O263" s="511"/>
      <c r="P263" s="511"/>
      <c r="Q263" s="511"/>
      <c r="R263" s="511"/>
      <c r="T263" s="510"/>
      <c r="U263" s="16"/>
    </row>
    <row r="264" spans="2:21" x14ac:dyDescent="0.25">
      <c r="B264" s="169" t="s">
        <v>108</v>
      </c>
      <c r="C264" s="169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T264" s="510"/>
      <c r="U264" s="16"/>
    </row>
    <row r="265" spans="2:21" x14ac:dyDescent="0.25">
      <c r="B265" s="169" t="s">
        <v>203</v>
      </c>
      <c r="C265" s="169" t="s">
        <v>559</v>
      </c>
      <c r="D265" s="508">
        <f t="shared" ref="D265" si="34">$T265</f>
        <v>0</v>
      </c>
      <c r="E265" s="508">
        <f t="shared" ref="E265:R265" si="35">$T265</f>
        <v>0</v>
      </c>
      <c r="F265" s="508">
        <f t="shared" si="35"/>
        <v>0</v>
      </c>
      <c r="G265" s="508">
        <f t="shared" si="35"/>
        <v>0</v>
      </c>
      <c r="H265" s="508">
        <f t="shared" si="35"/>
        <v>0</v>
      </c>
      <c r="I265" s="508">
        <f t="shared" si="35"/>
        <v>0</v>
      </c>
      <c r="J265" s="508">
        <f t="shared" si="35"/>
        <v>0</v>
      </c>
      <c r="K265" s="508">
        <f t="shared" si="35"/>
        <v>0</v>
      </c>
      <c r="L265" s="508">
        <f t="shared" si="35"/>
        <v>0</v>
      </c>
      <c r="M265" s="508">
        <f t="shared" si="35"/>
        <v>0</v>
      </c>
      <c r="N265" s="508">
        <f t="shared" si="35"/>
        <v>0</v>
      </c>
      <c r="O265" s="508">
        <f t="shared" si="35"/>
        <v>0</v>
      </c>
      <c r="P265" s="508">
        <f t="shared" si="35"/>
        <v>0</v>
      </c>
      <c r="Q265" s="508">
        <f t="shared" si="35"/>
        <v>0</v>
      </c>
      <c r="R265" s="508">
        <f t="shared" si="35"/>
        <v>0</v>
      </c>
      <c r="T265" s="291">
        <f>STAT_TRA_Mileage!N27/1000</f>
        <v>0</v>
      </c>
      <c r="U265" s="16"/>
    </row>
    <row r="266" spans="2:21" x14ac:dyDescent="0.25">
      <c r="B266" s="169" t="s">
        <v>110</v>
      </c>
      <c r="C266" s="169"/>
      <c r="D266" s="511"/>
      <c r="E266" s="511"/>
      <c r="F266" s="511"/>
      <c r="G266" s="511"/>
      <c r="H266" s="511"/>
      <c r="I266" s="511"/>
      <c r="J266" s="511"/>
      <c r="K266" s="511"/>
      <c r="L266" s="511"/>
      <c r="M266" s="511"/>
      <c r="N266" s="511"/>
      <c r="O266" s="511"/>
      <c r="P266" s="511"/>
      <c r="Q266" s="511"/>
      <c r="R266" s="511"/>
      <c r="T266" s="510"/>
      <c r="U266" s="16"/>
    </row>
    <row r="267" spans="2:21" x14ac:dyDescent="0.25">
      <c r="B267" s="169" t="s">
        <v>111</v>
      </c>
      <c r="C267" s="169"/>
      <c r="D267" s="511"/>
      <c r="E267" s="511"/>
      <c r="F267" s="511"/>
      <c r="G267" s="511"/>
      <c r="H267" s="511"/>
      <c r="I267" s="511"/>
      <c r="J267" s="511"/>
      <c r="K267" s="511"/>
      <c r="L267" s="511"/>
      <c r="M267" s="511"/>
      <c r="N267" s="511"/>
      <c r="O267" s="511"/>
      <c r="P267" s="511"/>
      <c r="Q267" s="511"/>
      <c r="R267" s="511"/>
      <c r="T267" s="510"/>
      <c r="U267" s="16"/>
    </row>
    <row r="268" spans="2:21" x14ac:dyDescent="0.25">
      <c r="B268" s="169" t="s">
        <v>112</v>
      </c>
      <c r="C268" s="169"/>
      <c r="D268" s="511"/>
      <c r="E268" s="511"/>
      <c r="F268" s="511"/>
      <c r="G268" s="511"/>
      <c r="H268" s="511"/>
      <c r="I268" s="511"/>
      <c r="J268" s="511"/>
      <c r="K268" s="511"/>
      <c r="L268" s="511"/>
      <c r="M268" s="511"/>
      <c r="N268" s="511"/>
      <c r="O268" s="511"/>
      <c r="P268" s="511"/>
      <c r="Q268" s="511"/>
      <c r="R268" s="511"/>
      <c r="T268" s="510"/>
      <c r="U268" s="16"/>
    </row>
    <row r="269" spans="2:21" x14ac:dyDescent="0.25">
      <c r="B269" s="169" t="s">
        <v>204</v>
      </c>
      <c r="C269" s="169"/>
      <c r="D269" s="511"/>
      <c r="E269" s="511"/>
      <c r="F269" s="511"/>
      <c r="G269" s="511"/>
      <c r="H269" s="511"/>
      <c r="I269" s="511"/>
      <c r="J269" s="511"/>
      <c r="K269" s="511"/>
      <c r="L269" s="511"/>
      <c r="M269" s="511"/>
      <c r="N269" s="511"/>
      <c r="O269" s="511"/>
      <c r="P269" s="511"/>
      <c r="Q269" s="511"/>
      <c r="R269" s="511"/>
      <c r="T269" s="510"/>
      <c r="U269" s="16"/>
    </row>
    <row r="270" spans="2:21" x14ac:dyDescent="0.25">
      <c r="B270" s="169" t="s">
        <v>205</v>
      </c>
      <c r="C270" s="169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T270" s="510"/>
      <c r="U270" s="16"/>
    </row>
    <row r="271" spans="2:21" x14ac:dyDescent="0.25">
      <c r="B271" s="169" t="s">
        <v>115</v>
      </c>
      <c r="C271" s="169"/>
      <c r="D271" s="511"/>
      <c r="E271" s="511"/>
      <c r="F271" s="511"/>
      <c r="G271" s="511"/>
      <c r="H271" s="511"/>
      <c r="I271" s="511"/>
      <c r="J271" s="511"/>
      <c r="K271" s="511"/>
      <c r="L271" s="511"/>
      <c r="M271" s="511"/>
      <c r="N271" s="511"/>
      <c r="O271" s="511"/>
      <c r="P271" s="511"/>
      <c r="Q271" s="511"/>
      <c r="R271" s="511"/>
      <c r="T271" s="510"/>
      <c r="U271" s="16"/>
    </row>
    <row r="272" spans="2:21" x14ac:dyDescent="0.25">
      <c r="B272" s="169" t="s">
        <v>206</v>
      </c>
      <c r="C272" s="169"/>
      <c r="D272" s="511"/>
      <c r="E272" s="511"/>
      <c r="F272" s="511"/>
      <c r="G272" s="511"/>
      <c r="H272" s="511"/>
      <c r="I272" s="511"/>
      <c r="J272" s="511"/>
      <c r="K272" s="511"/>
      <c r="L272" s="511"/>
      <c r="M272" s="511"/>
      <c r="N272" s="511"/>
      <c r="O272" s="511"/>
      <c r="P272" s="511"/>
      <c r="Q272" s="511"/>
      <c r="R272" s="511"/>
      <c r="T272" s="510"/>
      <c r="U272" s="16"/>
    </row>
    <row r="273" spans="2:21" x14ac:dyDescent="0.25">
      <c r="B273" s="169" t="s">
        <v>207</v>
      </c>
      <c r="C273" s="169"/>
      <c r="D273" s="511"/>
      <c r="E273" s="511"/>
      <c r="F273" s="511"/>
      <c r="G273" s="511"/>
      <c r="H273" s="511"/>
      <c r="I273" s="511"/>
      <c r="J273" s="511"/>
      <c r="K273" s="511"/>
      <c r="L273" s="511"/>
      <c r="M273" s="511"/>
      <c r="N273" s="511"/>
      <c r="O273" s="511"/>
      <c r="P273" s="511"/>
      <c r="Q273" s="511"/>
      <c r="R273" s="511"/>
      <c r="T273" s="510"/>
      <c r="U273" s="16"/>
    </row>
    <row r="274" spans="2:21" x14ac:dyDescent="0.25">
      <c r="B274" s="169" t="s">
        <v>208</v>
      </c>
      <c r="C274" s="169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511"/>
      <c r="P274" s="511"/>
      <c r="Q274" s="511"/>
      <c r="R274" s="511"/>
      <c r="T274" s="510"/>
      <c r="U274" s="16"/>
    </row>
    <row r="276" spans="2:21" x14ac:dyDescent="0.25">
      <c r="B276" s="149"/>
      <c r="C276" s="149"/>
    </row>
    <row r="277" spans="2:21" x14ac:dyDescent="0.25">
      <c r="B277" s="441" t="s">
        <v>560</v>
      </c>
      <c r="C277" s="339"/>
    </row>
    <row r="278" spans="2:21" x14ac:dyDescent="0.25">
      <c r="B278" s="441" t="s">
        <v>103</v>
      </c>
      <c r="C278" s="264" t="s">
        <v>104</v>
      </c>
      <c r="D278" s="17" t="str">
        <f>D$4</f>
        <v>Z01</v>
      </c>
      <c r="E278" s="17" t="str">
        <f t="shared" ref="E278:R278" si="36">E$4</f>
        <v>Z02</v>
      </c>
      <c r="F278" s="17" t="str">
        <f t="shared" si="36"/>
        <v>Z03</v>
      </c>
      <c r="G278" s="17" t="str">
        <f t="shared" si="36"/>
        <v>Z04</v>
      </c>
      <c r="H278" s="17" t="str">
        <f t="shared" si="36"/>
        <v>Z05</v>
      </c>
      <c r="I278" s="17" t="str">
        <f t="shared" si="36"/>
        <v>Z06</v>
      </c>
      <c r="J278" s="17" t="str">
        <f t="shared" si="36"/>
        <v>Z07</v>
      </c>
      <c r="K278" s="17" t="str">
        <f t="shared" si="36"/>
        <v>Z08</v>
      </c>
      <c r="L278" s="17" t="str">
        <f t="shared" si="36"/>
        <v>Z09</v>
      </c>
      <c r="M278" s="17" t="str">
        <f t="shared" si="36"/>
        <v>Z10</v>
      </c>
      <c r="N278" s="17" t="str">
        <f t="shared" si="36"/>
        <v>Z11</v>
      </c>
      <c r="O278" s="17" t="str">
        <f t="shared" si="36"/>
        <v>Z12</v>
      </c>
      <c r="P278" s="17" t="str">
        <f t="shared" si="36"/>
        <v>Z13</v>
      </c>
      <c r="Q278" s="17" t="str">
        <f t="shared" si="36"/>
        <v>Z14</v>
      </c>
      <c r="R278" s="17" t="str">
        <f t="shared" si="36"/>
        <v>Z15</v>
      </c>
      <c r="T278" s="17" t="str">
        <f>T$4</f>
        <v>Average</v>
      </c>
      <c r="U278" s="260"/>
    </row>
    <row r="279" spans="2:21" x14ac:dyDescent="0.25">
      <c r="B279" s="271" t="s">
        <v>107</v>
      </c>
      <c r="C279" s="271"/>
      <c r="D279" s="509"/>
      <c r="E279" s="509"/>
      <c r="F279" s="509"/>
      <c r="G279" s="509"/>
      <c r="H279" s="509"/>
      <c r="I279" s="509"/>
      <c r="J279" s="509"/>
      <c r="K279" s="509"/>
      <c r="L279" s="509"/>
      <c r="M279" s="509"/>
      <c r="N279" s="509"/>
      <c r="O279" s="509"/>
      <c r="P279" s="509"/>
      <c r="Q279" s="509"/>
      <c r="R279" s="509"/>
      <c r="T279" s="510"/>
      <c r="U279" s="16"/>
    </row>
    <row r="280" spans="2:21" x14ac:dyDescent="0.25">
      <c r="B280" s="169" t="s">
        <v>108</v>
      </c>
      <c r="C280" s="169"/>
      <c r="D280" s="509"/>
      <c r="E280" s="509"/>
      <c r="F280" s="509"/>
      <c r="G280" s="509"/>
      <c r="H280" s="509"/>
      <c r="I280" s="509"/>
      <c r="J280" s="509"/>
      <c r="K280" s="509"/>
      <c r="L280" s="509"/>
      <c r="M280" s="509"/>
      <c r="N280" s="509"/>
      <c r="O280" s="509"/>
      <c r="P280" s="509"/>
      <c r="Q280" s="509"/>
      <c r="R280" s="509"/>
      <c r="T280" s="510"/>
      <c r="U280" s="16"/>
    </row>
    <row r="281" spans="2:21" x14ac:dyDescent="0.25">
      <c r="B281" s="169" t="s">
        <v>203</v>
      </c>
      <c r="C281" s="169" t="s">
        <v>380</v>
      </c>
      <c r="D281" s="508">
        <f t="shared" ref="D281:D290" si="37">$T281</f>
        <v>0</v>
      </c>
      <c r="E281" s="508">
        <f t="shared" ref="E281:R290" si="38">$T281</f>
        <v>0</v>
      </c>
      <c r="F281" s="508">
        <f t="shared" si="38"/>
        <v>0</v>
      </c>
      <c r="G281" s="508">
        <f t="shared" si="38"/>
        <v>0</v>
      </c>
      <c r="H281" s="508">
        <f t="shared" si="38"/>
        <v>0</v>
      </c>
      <c r="I281" s="508">
        <f t="shared" si="38"/>
        <v>0</v>
      </c>
      <c r="J281" s="508">
        <f t="shared" si="38"/>
        <v>0</v>
      </c>
      <c r="K281" s="508">
        <f t="shared" si="38"/>
        <v>0</v>
      </c>
      <c r="L281" s="508">
        <f t="shared" si="38"/>
        <v>0</v>
      </c>
      <c r="M281" s="508">
        <f t="shared" si="38"/>
        <v>0</v>
      </c>
      <c r="N281" s="508">
        <f t="shared" si="38"/>
        <v>0</v>
      </c>
      <c r="O281" s="508">
        <f t="shared" si="38"/>
        <v>0</v>
      </c>
      <c r="P281" s="508">
        <f t="shared" si="38"/>
        <v>0</v>
      </c>
      <c r="Q281" s="508">
        <f t="shared" si="38"/>
        <v>0</v>
      </c>
      <c r="R281" s="508">
        <f t="shared" si="38"/>
        <v>0</v>
      </c>
      <c r="T281" s="291">
        <f>STAT_TRA_Mileage!M11/1000</f>
        <v>0</v>
      </c>
      <c r="U281" s="16"/>
    </row>
    <row r="282" spans="2:21" x14ac:dyDescent="0.25">
      <c r="B282" s="169" t="s">
        <v>110</v>
      </c>
      <c r="C282" s="169"/>
      <c r="D282" s="509"/>
      <c r="E282" s="509"/>
      <c r="F282" s="509"/>
      <c r="G282" s="509"/>
      <c r="H282" s="509"/>
      <c r="I282" s="509"/>
      <c r="J282" s="509"/>
      <c r="K282" s="509"/>
      <c r="L282" s="509"/>
      <c r="M282" s="509"/>
      <c r="N282" s="509"/>
      <c r="O282" s="509"/>
      <c r="P282" s="509"/>
      <c r="Q282" s="509"/>
      <c r="R282" s="509"/>
      <c r="T282" s="510"/>
      <c r="U282" s="16"/>
    </row>
    <row r="283" spans="2:21" x14ac:dyDescent="0.25">
      <c r="B283" s="169" t="s">
        <v>111</v>
      </c>
      <c r="C283" s="169"/>
      <c r="D283" s="509"/>
      <c r="E283" s="509"/>
      <c r="F283" s="509"/>
      <c r="G283" s="509"/>
      <c r="H283" s="509"/>
      <c r="I283" s="509"/>
      <c r="J283" s="509"/>
      <c r="K283" s="509"/>
      <c r="L283" s="509"/>
      <c r="M283" s="509"/>
      <c r="N283" s="509"/>
      <c r="O283" s="509"/>
      <c r="P283" s="509"/>
      <c r="Q283" s="509"/>
      <c r="R283" s="509"/>
      <c r="T283" s="510"/>
      <c r="U283" s="16"/>
    </row>
    <row r="284" spans="2:21" x14ac:dyDescent="0.25">
      <c r="B284" s="169" t="s">
        <v>112</v>
      </c>
      <c r="C284" s="169"/>
      <c r="D284" s="509"/>
      <c r="E284" s="509"/>
      <c r="F284" s="509"/>
      <c r="G284" s="509"/>
      <c r="H284" s="509"/>
      <c r="I284" s="509"/>
      <c r="J284" s="509"/>
      <c r="K284" s="509"/>
      <c r="L284" s="509"/>
      <c r="M284" s="509"/>
      <c r="N284" s="509"/>
      <c r="O284" s="509"/>
      <c r="P284" s="509"/>
      <c r="Q284" s="509"/>
      <c r="R284" s="509"/>
      <c r="T284" s="510"/>
      <c r="U284" s="16"/>
    </row>
    <row r="285" spans="2:21" x14ac:dyDescent="0.25">
      <c r="B285" s="169" t="s">
        <v>204</v>
      </c>
      <c r="C285" s="169"/>
      <c r="D285" s="509"/>
      <c r="E285" s="509"/>
      <c r="F285" s="509"/>
      <c r="G285" s="509"/>
      <c r="H285" s="509"/>
      <c r="I285" s="509"/>
      <c r="J285" s="509"/>
      <c r="K285" s="509"/>
      <c r="L285" s="509"/>
      <c r="M285" s="509"/>
      <c r="N285" s="509"/>
      <c r="O285" s="509"/>
      <c r="P285" s="509"/>
      <c r="Q285" s="509"/>
      <c r="R285" s="509"/>
      <c r="T285" s="510"/>
      <c r="U285" s="16"/>
    </row>
    <row r="286" spans="2:21" x14ac:dyDescent="0.25">
      <c r="B286" s="169" t="s">
        <v>205</v>
      </c>
      <c r="C286" s="169"/>
      <c r="D286" s="509"/>
      <c r="E286" s="509"/>
      <c r="F286" s="509"/>
      <c r="G286" s="509"/>
      <c r="H286" s="509"/>
      <c r="I286" s="509"/>
      <c r="J286" s="509"/>
      <c r="K286" s="509"/>
      <c r="L286" s="509"/>
      <c r="M286" s="509"/>
      <c r="N286" s="509"/>
      <c r="O286" s="509"/>
      <c r="P286" s="509"/>
      <c r="Q286" s="509"/>
      <c r="R286" s="509"/>
      <c r="T286" s="510"/>
      <c r="U286" s="16"/>
    </row>
    <row r="287" spans="2:21" x14ac:dyDescent="0.25">
      <c r="B287" s="169" t="s">
        <v>115</v>
      </c>
      <c r="C287" s="169"/>
      <c r="D287" s="509"/>
      <c r="E287" s="509"/>
      <c r="F287" s="509"/>
      <c r="G287" s="509"/>
      <c r="H287" s="509"/>
      <c r="I287" s="509"/>
      <c r="J287" s="509"/>
      <c r="K287" s="509"/>
      <c r="L287" s="509"/>
      <c r="M287" s="509"/>
      <c r="N287" s="509"/>
      <c r="O287" s="509"/>
      <c r="P287" s="509"/>
      <c r="Q287" s="509"/>
      <c r="R287" s="509"/>
      <c r="T287" s="510"/>
      <c r="U287" s="16"/>
    </row>
    <row r="288" spans="2:21" x14ac:dyDescent="0.25">
      <c r="B288" s="169" t="s">
        <v>206</v>
      </c>
      <c r="C288" s="169"/>
      <c r="D288" s="509"/>
      <c r="E288" s="509"/>
      <c r="F288" s="509"/>
      <c r="G288" s="509"/>
      <c r="H288" s="509"/>
      <c r="I288" s="509"/>
      <c r="J288" s="509"/>
      <c r="K288" s="509"/>
      <c r="L288" s="509"/>
      <c r="M288" s="509"/>
      <c r="N288" s="509"/>
      <c r="O288" s="509"/>
      <c r="P288" s="509"/>
      <c r="Q288" s="509"/>
      <c r="R288" s="509"/>
      <c r="T288" s="510"/>
      <c r="U288" s="16"/>
    </row>
    <row r="289" spans="2:21" x14ac:dyDescent="0.25">
      <c r="B289" s="169" t="s">
        <v>207</v>
      </c>
      <c r="C289" s="169"/>
      <c r="D289" s="509"/>
      <c r="E289" s="509"/>
      <c r="F289" s="509"/>
      <c r="G289" s="509"/>
      <c r="H289" s="509"/>
      <c r="I289" s="509"/>
      <c r="J289" s="509"/>
      <c r="K289" s="509"/>
      <c r="L289" s="509"/>
      <c r="M289" s="509"/>
      <c r="N289" s="509"/>
      <c r="O289" s="509"/>
      <c r="P289" s="509"/>
      <c r="Q289" s="509"/>
      <c r="R289" s="509"/>
      <c r="T289" s="510"/>
      <c r="U289" s="16"/>
    </row>
    <row r="290" spans="2:21" x14ac:dyDescent="0.25">
      <c r="B290" s="169" t="s">
        <v>208</v>
      </c>
      <c r="C290" s="169" t="s">
        <v>381</v>
      </c>
      <c r="D290" s="508">
        <f t="shared" si="37"/>
        <v>0</v>
      </c>
      <c r="E290" s="508">
        <f t="shared" si="38"/>
        <v>0</v>
      </c>
      <c r="F290" s="508">
        <f t="shared" si="38"/>
        <v>0</v>
      </c>
      <c r="G290" s="508">
        <f t="shared" si="38"/>
        <v>0</v>
      </c>
      <c r="H290" s="508">
        <f t="shared" si="38"/>
        <v>0</v>
      </c>
      <c r="I290" s="508">
        <f t="shared" si="38"/>
        <v>0</v>
      </c>
      <c r="J290" s="508">
        <f t="shared" si="38"/>
        <v>0</v>
      </c>
      <c r="K290" s="508">
        <f t="shared" si="38"/>
        <v>0</v>
      </c>
      <c r="L290" s="508">
        <f t="shared" si="38"/>
        <v>0</v>
      </c>
      <c r="M290" s="508">
        <f t="shared" si="38"/>
        <v>0</v>
      </c>
      <c r="N290" s="508">
        <f t="shared" si="38"/>
        <v>0</v>
      </c>
      <c r="O290" s="508">
        <f t="shared" si="38"/>
        <v>0</v>
      </c>
      <c r="P290" s="508">
        <f t="shared" si="38"/>
        <v>0</v>
      </c>
      <c r="Q290" s="508">
        <f t="shared" si="38"/>
        <v>0</v>
      </c>
      <c r="R290" s="508">
        <f t="shared" si="38"/>
        <v>0</v>
      </c>
      <c r="T290" s="291">
        <f>STAT_TRA_Mileage!M20/1000</f>
        <v>0</v>
      </c>
      <c r="U290" s="16"/>
    </row>
    <row r="292" spans="2:21" x14ac:dyDescent="0.25">
      <c r="B292" s="149"/>
      <c r="C292" s="149"/>
    </row>
    <row r="293" spans="2:21" x14ac:dyDescent="0.25">
      <c r="B293" s="441" t="s">
        <v>561</v>
      </c>
      <c r="C293" s="339"/>
    </row>
    <row r="294" spans="2:21" x14ac:dyDescent="0.25">
      <c r="B294" s="441" t="s">
        <v>103</v>
      </c>
      <c r="C294" s="264" t="s">
        <v>104</v>
      </c>
      <c r="D294" s="17" t="str">
        <f>D$4</f>
        <v>Z01</v>
      </c>
      <c r="E294" s="17" t="str">
        <f t="shared" ref="E294:R294" si="39">E$4</f>
        <v>Z02</v>
      </c>
      <c r="F294" s="17" t="str">
        <f t="shared" si="39"/>
        <v>Z03</v>
      </c>
      <c r="G294" s="17" t="str">
        <f t="shared" si="39"/>
        <v>Z04</v>
      </c>
      <c r="H294" s="17" t="str">
        <f t="shared" si="39"/>
        <v>Z05</v>
      </c>
      <c r="I294" s="17" t="str">
        <f t="shared" si="39"/>
        <v>Z06</v>
      </c>
      <c r="J294" s="17" t="str">
        <f t="shared" si="39"/>
        <v>Z07</v>
      </c>
      <c r="K294" s="17" t="str">
        <f t="shared" si="39"/>
        <v>Z08</v>
      </c>
      <c r="L294" s="17" t="str">
        <f t="shared" si="39"/>
        <v>Z09</v>
      </c>
      <c r="M294" s="17" t="str">
        <f t="shared" si="39"/>
        <v>Z10</v>
      </c>
      <c r="N294" s="17" t="str">
        <f t="shared" si="39"/>
        <v>Z11</v>
      </c>
      <c r="O294" s="17" t="str">
        <f t="shared" si="39"/>
        <v>Z12</v>
      </c>
      <c r="P294" s="17" t="str">
        <f t="shared" si="39"/>
        <v>Z13</v>
      </c>
      <c r="Q294" s="17" t="str">
        <f t="shared" si="39"/>
        <v>Z14</v>
      </c>
      <c r="R294" s="17" t="str">
        <f t="shared" si="39"/>
        <v>Z15</v>
      </c>
      <c r="T294" s="17" t="str">
        <f>T$4</f>
        <v>Average</v>
      </c>
    </row>
    <row r="295" spans="2:21" x14ac:dyDescent="0.25">
      <c r="B295" s="169" t="s">
        <v>107</v>
      </c>
      <c r="C295" s="169"/>
      <c r="D295" s="509"/>
      <c r="E295" s="509"/>
      <c r="F295" s="509"/>
      <c r="G295" s="509"/>
      <c r="H295" s="509"/>
      <c r="I295" s="509"/>
      <c r="J295" s="509"/>
      <c r="K295" s="509"/>
      <c r="L295" s="509"/>
      <c r="M295" s="509"/>
      <c r="N295" s="509"/>
      <c r="O295" s="509"/>
      <c r="P295" s="509"/>
      <c r="Q295" s="509"/>
      <c r="R295" s="509"/>
      <c r="T295" s="510"/>
    </row>
    <row r="296" spans="2:21" x14ac:dyDescent="0.25">
      <c r="B296" s="169" t="s">
        <v>108</v>
      </c>
      <c r="C296" s="169"/>
      <c r="D296" s="509"/>
      <c r="E296" s="509"/>
      <c r="F296" s="509"/>
      <c r="G296" s="509"/>
      <c r="H296" s="509"/>
      <c r="I296" s="509"/>
      <c r="J296" s="509"/>
      <c r="K296" s="509"/>
      <c r="L296" s="509"/>
      <c r="M296" s="509"/>
      <c r="N296" s="509"/>
      <c r="O296" s="509"/>
      <c r="P296" s="509"/>
      <c r="Q296" s="509"/>
      <c r="R296" s="509"/>
      <c r="T296" s="510"/>
    </row>
    <row r="297" spans="2:21" x14ac:dyDescent="0.25">
      <c r="B297" s="169" t="s">
        <v>203</v>
      </c>
      <c r="C297" s="169" t="s">
        <v>562</v>
      </c>
      <c r="D297" s="508">
        <f>$T297</f>
        <v>0</v>
      </c>
      <c r="E297" s="508">
        <f t="shared" ref="E297:R297" si="40">$T297</f>
        <v>0</v>
      </c>
      <c r="F297" s="508">
        <f t="shared" si="40"/>
        <v>0</v>
      </c>
      <c r="G297" s="508">
        <f t="shared" si="40"/>
        <v>0</v>
      </c>
      <c r="H297" s="508">
        <f t="shared" si="40"/>
        <v>0</v>
      </c>
      <c r="I297" s="508">
        <f t="shared" si="40"/>
        <v>0</v>
      </c>
      <c r="J297" s="508">
        <f t="shared" si="40"/>
        <v>0</v>
      </c>
      <c r="K297" s="508">
        <f t="shared" si="40"/>
        <v>0</v>
      </c>
      <c r="L297" s="508">
        <f t="shared" si="40"/>
        <v>0</v>
      </c>
      <c r="M297" s="508">
        <f t="shared" si="40"/>
        <v>0</v>
      </c>
      <c r="N297" s="508">
        <f t="shared" si="40"/>
        <v>0</v>
      </c>
      <c r="O297" s="508">
        <f t="shared" si="40"/>
        <v>0</v>
      </c>
      <c r="P297" s="508">
        <f t="shared" si="40"/>
        <v>0</v>
      </c>
      <c r="Q297" s="508">
        <f t="shared" si="40"/>
        <v>0</v>
      </c>
      <c r="R297" s="508">
        <f t="shared" si="40"/>
        <v>0</v>
      </c>
      <c r="S297" s="102"/>
      <c r="T297" s="291">
        <f>STAT_TRA_Mileage!K20/1000</f>
        <v>0</v>
      </c>
    </row>
    <row r="298" spans="2:21" x14ac:dyDescent="0.25">
      <c r="B298" s="169" t="s">
        <v>110</v>
      </c>
      <c r="C298" s="169"/>
      <c r="D298" s="511"/>
      <c r="E298" s="511"/>
      <c r="F298" s="511"/>
      <c r="G298" s="511"/>
      <c r="H298" s="511"/>
      <c r="I298" s="511"/>
      <c r="J298" s="511"/>
      <c r="K298" s="511"/>
      <c r="L298" s="511"/>
      <c r="M298" s="511"/>
      <c r="N298" s="511"/>
      <c r="O298" s="511"/>
      <c r="P298" s="511"/>
      <c r="Q298" s="511"/>
      <c r="R298" s="511"/>
      <c r="S298" s="102"/>
      <c r="T298" s="564"/>
    </row>
    <row r="299" spans="2:21" x14ac:dyDescent="0.25">
      <c r="B299" s="169" t="s">
        <v>111</v>
      </c>
      <c r="C299" s="169"/>
      <c r="D299" s="511"/>
      <c r="E299" s="511"/>
      <c r="F299" s="511"/>
      <c r="G299" s="511"/>
      <c r="H299" s="511"/>
      <c r="I299" s="511"/>
      <c r="J299" s="511"/>
      <c r="K299" s="511"/>
      <c r="L299" s="511"/>
      <c r="M299" s="511"/>
      <c r="N299" s="511"/>
      <c r="O299" s="511"/>
      <c r="P299" s="511"/>
      <c r="Q299" s="511"/>
      <c r="R299" s="511"/>
      <c r="S299" s="102"/>
      <c r="T299" s="564"/>
    </row>
    <row r="300" spans="2:21" x14ac:dyDescent="0.25">
      <c r="B300" s="169" t="s">
        <v>112</v>
      </c>
      <c r="C300" s="169"/>
      <c r="D300" s="511"/>
      <c r="E300" s="511"/>
      <c r="F300" s="511"/>
      <c r="G300" s="511"/>
      <c r="H300" s="511"/>
      <c r="I300" s="511"/>
      <c r="J300" s="511"/>
      <c r="K300" s="511"/>
      <c r="L300" s="511"/>
      <c r="M300" s="511"/>
      <c r="N300" s="511"/>
      <c r="O300" s="511"/>
      <c r="P300" s="511"/>
      <c r="Q300" s="511"/>
      <c r="R300" s="511"/>
      <c r="S300" s="102"/>
      <c r="T300" s="564"/>
    </row>
    <row r="301" spans="2:21" x14ac:dyDescent="0.25">
      <c r="B301" s="169" t="s">
        <v>204</v>
      </c>
      <c r="C301" s="169"/>
      <c r="D301" s="511"/>
      <c r="E301" s="511"/>
      <c r="F301" s="511"/>
      <c r="G301" s="511"/>
      <c r="H301" s="511"/>
      <c r="I301" s="511"/>
      <c r="J301" s="511"/>
      <c r="K301" s="511"/>
      <c r="L301" s="511"/>
      <c r="M301" s="511"/>
      <c r="N301" s="511"/>
      <c r="O301" s="511"/>
      <c r="P301" s="511"/>
      <c r="Q301" s="511"/>
      <c r="R301" s="511"/>
      <c r="S301" s="102"/>
      <c r="T301" s="564"/>
    </row>
    <row r="302" spans="2:21" x14ac:dyDescent="0.25">
      <c r="B302" s="169" t="s">
        <v>205</v>
      </c>
      <c r="C302" s="169"/>
      <c r="D302" s="511"/>
      <c r="E302" s="511"/>
      <c r="F302" s="511"/>
      <c r="G302" s="511"/>
      <c r="H302" s="511"/>
      <c r="I302" s="511"/>
      <c r="J302" s="511"/>
      <c r="K302" s="511"/>
      <c r="L302" s="511"/>
      <c r="M302" s="511"/>
      <c r="N302" s="511"/>
      <c r="O302" s="511"/>
      <c r="P302" s="511"/>
      <c r="Q302" s="511"/>
      <c r="R302" s="511"/>
      <c r="S302" s="102"/>
      <c r="T302" s="564"/>
    </row>
    <row r="303" spans="2:21" x14ac:dyDescent="0.25">
      <c r="B303" s="169" t="s">
        <v>115</v>
      </c>
      <c r="C303" s="169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102"/>
      <c r="T303" s="564"/>
    </row>
    <row r="304" spans="2:21" x14ac:dyDescent="0.25">
      <c r="B304" s="169" t="s">
        <v>206</v>
      </c>
      <c r="C304" s="169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511"/>
      <c r="Q304" s="511"/>
      <c r="R304" s="511"/>
      <c r="S304" s="102"/>
      <c r="T304" s="564"/>
    </row>
    <row r="305" spans="2:21" x14ac:dyDescent="0.25">
      <c r="B305" s="169" t="s">
        <v>207</v>
      </c>
      <c r="C305" s="169"/>
      <c r="D305" s="511"/>
      <c r="E305" s="511"/>
      <c r="F305" s="511"/>
      <c r="G305" s="511"/>
      <c r="H305" s="511"/>
      <c r="I305" s="511"/>
      <c r="J305" s="511"/>
      <c r="K305" s="511"/>
      <c r="L305" s="511"/>
      <c r="M305" s="511"/>
      <c r="N305" s="511"/>
      <c r="O305" s="511"/>
      <c r="P305" s="511"/>
      <c r="Q305" s="511"/>
      <c r="R305" s="511"/>
      <c r="S305" s="102"/>
      <c r="T305" s="564"/>
    </row>
    <row r="306" spans="2:21" x14ac:dyDescent="0.25">
      <c r="B306" s="169" t="s">
        <v>208</v>
      </c>
      <c r="C306" s="169" t="s">
        <v>563</v>
      </c>
      <c r="D306" s="508">
        <f>$T306</f>
        <v>0</v>
      </c>
      <c r="E306" s="508">
        <f t="shared" ref="E306:R306" si="41">$T306</f>
        <v>0</v>
      </c>
      <c r="F306" s="508">
        <f t="shared" si="41"/>
        <v>0</v>
      </c>
      <c r="G306" s="508">
        <f t="shared" si="41"/>
        <v>0</v>
      </c>
      <c r="H306" s="508">
        <f t="shared" si="41"/>
        <v>0</v>
      </c>
      <c r="I306" s="508">
        <f t="shared" si="41"/>
        <v>0</v>
      </c>
      <c r="J306" s="508">
        <f t="shared" si="41"/>
        <v>0</v>
      </c>
      <c r="K306" s="508">
        <f t="shared" si="41"/>
        <v>0</v>
      </c>
      <c r="L306" s="508">
        <f t="shared" si="41"/>
        <v>0</v>
      </c>
      <c r="M306" s="508">
        <f t="shared" si="41"/>
        <v>0</v>
      </c>
      <c r="N306" s="508">
        <f t="shared" si="41"/>
        <v>0</v>
      </c>
      <c r="O306" s="508">
        <f t="shared" si="41"/>
        <v>0</v>
      </c>
      <c r="P306" s="508">
        <f t="shared" si="41"/>
        <v>0</v>
      </c>
      <c r="Q306" s="508">
        <f t="shared" si="41"/>
        <v>0</v>
      </c>
      <c r="R306" s="508">
        <f t="shared" si="41"/>
        <v>0</v>
      </c>
      <c r="S306" s="102"/>
      <c r="T306" s="291">
        <f>STAT_TRA_Mileage!L20/1000</f>
        <v>0</v>
      </c>
    </row>
    <row r="308" spans="2:21" x14ac:dyDescent="0.25">
      <c r="B308" s="149"/>
      <c r="C308" s="149"/>
    </row>
    <row r="309" spans="2:21" x14ac:dyDescent="0.25">
      <c r="B309" s="441" t="s">
        <v>564</v>
      </c>
      <c r="C309" s="339"/>
    </row>
    <row r="310" spans="2:21" x14ac:dyDescent="0.25">
      <c r="B310" s="441" t="s">
        <v>103</v>
      </c>
      <c r="C310" s="264" t="s">
        <v>104</v>
      </c>
      <c r="D310" s="17" t="str">
        <f>D$4</f>
        <v>Z01</v>
      </c>
      <c r="E310" s="17" t="str">
        <f t="shared" ref="E310:R310" si="42">E$4</f>
        <v>Z02</v>
      </c>
      <c r="F310" s="17" t="str">
        <f t="shared" si="42"/>
        <v>Z03</v>
      </c>
      <c r="G310" s="17" t="str">
        <f t="shared" si="42"/>
        <v>Z04</v>
      </c>
      <c r="H310" s="17" t="str">
        <f t="shared" si="42"/>
        <v>Z05</v>
      </c>
      <c r="I310" s="17" t="str">
        <f t="shared" si="42"/>
        <v>Z06</v>
      </c>
      <c r="J310" s="17" t="str">
        <f t="shared" si="42"/>
        <v>Z07</v>
      </c>
      <c r="K310" s="17" t="str">
        <f t="shared" si="42"/>
        <v>Z08</v>
      </c>
      <c r="L310" s="17" t="str">
        <f t="shared" si="42"/>
        <v>Z09</v>
      </c>
      <c r="M310" s="17" t="str">
        <f t="shared" si="42"/>
        <v>Z10</v>
      </c>
      <c r="N310" s="17" t="str">
        <f t="shared" si="42"/>
        <v>Z11</v>
      </c>
      <c r="O310" s="17" t="str">
        <f t="shared" si="42"/>
        <v>Z12</v>
      </c>
      <c r="P310" s="17" t="str">
        <f t="shared" si="42"/>
        <v>Z13</v>
      </c>
      <c r="Q310" s="17" t="str">
        <f t="shared" si="42"/>
        <v>Z14</v>
      </c>
      <c r="R310" s="17" t="str">
        <f t="shared" si="42"/>
        <v>Z15</v>
      </c>
      <c r="T310" s="17" t="str">
        <f>T$4</f>
        <v>Average</v>
      </c>
      <c r="U310" s="260"/>
    </row>
    <row r="311" spans="2:21" x14ac:dyDescent="0.25">
      <c r="B311" s="271" t="s">
        <v>107</v>
      </c>
      <c r="C311" s="271"/>
      <c r="D311" s="509"/>
      <c r="E311" s="509"/>
      <c r="F311" s="509"/>
      <c r="G311" s="509"/>
      <c r="H311" s="509"/>
      <c r="I311" s="509"/>
      <c r="J311" s="509"/>
      <c r="K311" s="509"/>
      <c r="L311" s="509"/>
      <c r="M311" s="509"/>
      <c r="N311" s="509"/>
      <c r="O311" s="509"/>
      <c r="P311" s="509"/>
      <c r="Q311" s="509"/>
      <c r="R311" s="509"/>
      <c r="T311" s="510"/>
      <c r="U311" s="16"/>
    </row>
    <row r="312" spans="2:21" x14ac:dyDescent="0.25">
      <c r="B312" s="169" t="s">
        <v>108</v>
      </c>
      <c r="C312" s="169"/>
      <c r="D312" s="509"/>
      <c r="E312" s="509"/>
      <c r="F312" s="509"/>
      <c r="G312" s="509"/>
      <c r="H312" s="509"/>
      <c r="I312" s="509"/>
      <c r="J312" s="509"/>
      <c r="K312" s="509"/>
      <c r="L312" s="509"/>
      <c r="M312" s="509"/>
      <c r="N312" s="509"/>
      <c r="O312" s="509"/>
      <c r="P312" s="509"/>
      <c r="Q312" s="509"/>
      <c r="R312" s="509"/>
      <c r="T312" s="510"/>
      <c r="U312" s="16"/>
    </row>
    <row r="313" spans="2:21" x14ac:dyDescent="0.25">
      <c r="B313" s="169" t="s">
        <v>203</v>
      </c>
      <c r="C313" s="169" t="s">
        <v>565</v>
      </c>
      <c r="D313" s="508">
        <f t="shared" ref="D313:D322" si="43">$T313</f>
        <v>0</v>
      </c>
      <c r="E313" s="508">
        <f t="shared" ref="E313:R322" si="44">$T313</f>
        <v>0</v>
      </c>
      <c r="F313" s="508">
        <f t="shared" si="44"/>
        <v>0</v>
      </c>
      <c r="G313" s="508">
        <f t="shared" si="44"/>
        <v>0</v>
      </c>
      <c r="H313" s="508">
        <f t="shared" si="44"/>
        <v>0</v>
      </c>
      <c r="I313" s="508">
        <f t="shared" si="44"/>
        <v>0</v>
      </c>
      <c r="J313" s="508">
        <f t="shared" si="44"/>
        <v>0</v>
      </c>
      <c r="K313" s="508">
        <f t="shared" si="44"/>
        <v>0</v>
      </c>
      <c r="L313" s="508">
        <f t="shared" si="44"/>
        <v>0</v>
      </c>
      <c r="M313" s="508">
        <f t="shared" si="44"/>
        <v>0</v>
      </c>
      <c r="N313" s="508">
        <f t="shared" si="44"/>
        <v>0</v>
      </c>
      <c r="O313" s="508">
        <f t="shared" si="44"/>
        <v>0</v>
      </c>
      <c r="P313" s="508">
        <f t="shared" si="44"/>
        <v>0</v>
      </c>
      <c r="Q313" s="508">
        <f t="shared" si="44"/>
        <v>0</v>
      </c>
      <c r="R313" s="508">
        <f t="shared" si="44"/>
        <v>0</v>
      </c>
      <c r="S313" s="102"/>
      <c r="T313" s="291">
        <f>STAT_TRA_Mileage!K27/1000</f>
        <v>0</v>
      </c>
      <c r="U313" s="16"/>
    </row>
    <row r="314" spans="2:21" x14ac:dyDescent="0.25">
      <c r="B314" s="169" t="s">
        <v>110</v>
      </c>
      <c r="C314" s="169"/>
      <c r="D314" s="511"/>
      <c r="E314" s="511"/>
      <c r="F314" s="511"/>
      <c r="G314" s="511"/>
      <c r="H314" s="511"/>
      <c r="I314" s="511"/>
      <c r="J314" s="511"/>
      <c r="K314" s="511"/>
      <c r="L314" s="511"/>
      <c r="M314" s="511"/>
      <c r="N314" s="511"/>
      <c r="O314" s="511"/>
      <c r="P314" s="511"/>
      <c r="Q314" s="511"/>
      <c r="R314" s="511"/>
      <c r="S314" s="102"/>
      <c r="T314" s="564"/>
      <c r="U314" s="16"/>
    </row>
    <row r="315" spans="2:21" x14ac:dyDescent="0.25">
      <c r="B315" s="169" t="s">
        <v>111</v>
      </c>
      <c r="C315" s="169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102"/>
      <c r="T315" s="564"/>
      <c r="U315" s="16"/>
    </row>
    <row r="316" spans="2:21" x14ac:dyDescent="0.25">
      <c r="B316" s="169" t="s">
        <v>112</v>
      </c>
      <c r="C316" s="169"/>
      <c r="D316" s="511"/>
      <c r="E316" s="511"/>
      <c r="F316" s="511"/>
      <c r="G316" s="511"/>
      <c r="H316" s="511"/>
      <c r="I316" s="511"/>
      <c r="J316" s="511"/>
      <c r="K316" s="511"/>
      <c r="L316" s="511"/>
      <c r="M316" s="511"/>
      <c r="N316" s="511"/>
      <c r="O316" s="511"/>
      <c r="P316" s="511"/>
      <c r="Q316" s="511"/>
      <c r="R316" s="511"/>
      <c r="S316" s="102"/>
      <c r="T316" s="564"/>
      <c r="U316" s="16"/>
    </row>
    <row r="317" spans="2:21" x14ac:dyDescent="0.25">
      <c r="B317" s="169" t="s">
        <v>204</v>
      </c>
      <c r="C317" s="169"/>
      <c r="D317" s="511"/>
      <c r="E317" s="511"/>
      <c r="F317" s="511"/>
      <c r="G317" s="511"/>
      <c r="H317" s="511"/>
      <c r="I317" s="511"/>
      <c r="J317" s="511"/>
      <c r="K317" s="511"/>
      <c r="L317" s="511"/>
      <c r="M317" s="511"/>
      <c r="N317" s="511"/>
      <c r="O317" s="511"/>
      <c r="P317" s="511"/>
      <c r="Q317" s="511"/>
      <c r="R317" s="511"/>
      <c r="S317" s="102"/>
      <c r="T317" s="564"/>
      <c r="U317" s="16"/>
    </row>
    <row r="318" spans="2:21" x14ac:dyDescent="0.25">
      <c r="B318" s="169" t="s">
        <v>205</v>
      </c>
      <c r="C318" s="169"/>
      <c r="D318" s="511"/>
      <c r="E318" s="511"/>
      <c r="F318" s="511"/>
      <c r="G318" s="511"/>
      <c r="H318" s="511"/>
      <c r="I318" s="511"/>
      <c r="J318" s="511"/>
      <c r="K318" s="511"/>
      <c r="L318" s="511"/>
      <c r="M318" s="511"/>
      <c r="N318" s="511"/>
      <c r="O318" s="511"/>
      <c r="P318" s="511"/>
      <c r="Q318" s="511"/>
      <c r="R318" s="511"/>
      <c r="S318" s="102"/>
      <c r="T318" s="564"/>
      <c r="U318" s="16"/>
    </row>
    <row r="319" spans="2:21" x14ac:dyDescent="0.25">
      <c r="B319" s="169" t="s">
        <v>115</v>
      </c>
      <c r="C319" s="169"/>
      <c r="D319" s="511"/>
      <c r="E319" s="511"/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102"/>
      <c r="T319" s="564"/>
      <c r="U319" s="16"/>
    </row>
    <row r="320" spans="2:21" x14ac:dyDescent="0.25">
      <c r="B320" s="169" t="s">
        <v>206</v>
      </c>
      <c r="C320" s="169"/>
      <c r="D320" s="511"/>
      <c r="E320" s="511"/>
      <c r="F320" s="511"/>
      <c r="G320" s="511"/>
      <c r="H320" s="511"/>
      <c r="I320" s="511"/>
      <c r="J320" s="511"/>
      <c r="K320" s="511"/>
      <c r="L320" s="511"/>
      <c r="M320" s="511"/>
      <c r="N320" s="511"/>
      <c r="O320" s="511"/>
      <c r="P320" s="511"/>
      <c r="Q320" s="511"/>
      <c r="R320" s="511"/>
      <c r="S320" s="102"/>
      <c r="T320" s="564"/>
      <c r="U320" s="16"/>
    </row>
    <row r="321" spans="2:21" x14ac:dyDescent="0.25">
      <c r="B321" s="169" t="s">
        <v>207</v>
      </c>
      <c r="C321" s="169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102"/>
      <c r="T321" s="564"/>
      <c r="U321" s="16"/>
    </row>
    <row r="322" spans="2:21" x14ac:dyDescent="0.25">
      <c r="B322" s="169" t="s">
        <v>208</v>
      </c>
      <c r="C322" s="169" t="s">
        <v>566</v>
      </c>
      <c r="D322" s="508">
        <f t="shared" si="43"/>
        <v>0</v>
      </c>
      <c r="E322" s="508">
        <f t="shared" si="44"/>
        <v>0</v>
      </c>
      <c r="F322" s="508">
        <f t="shared" si="44"/>
        <v>0</v>
      </c>
      <c r="G322" s="508">
        <f t="shared" si="44"/>
        <v>0</v>
      </c>
      <c r="H322" s="508">
        <f t="shared" si="44"/>
        <v>0</v>
      </c>
      <c r="I322" s="508">
        <f t="shared" si="44"/>
        <v>0</v>
      </c>
      <c r="J322" s="508">
        <f t="shared" si="44"/>
        <v>0</v>
      </c>
      <c r="K322" s="508">
        <f t="shared" si="44"/>
        <v>0</v>
      </c>
      <c r="L322" s="508">
        <f t="shared" si="44"/>
        <v>0</v>
      </c>
      <c r="M322" s="508">
        <f t="shared" si="44"/>
        <v>0</v>
      </c>
      <c r="N322" s="508">
        <f t="shared" si="44"/>
        <v>0</v>
      </c>
      <c r="O322" s="508">
        <f t="shared" si="44"/>
        <v>0</v>
      </c>
      <c r="P322" s="508">
        <f t="shared" si="44"/>
        <v>0</v>
      </c>
      <c r="Q322" s="508">
        <f t="shared" si="44"/>
        <v>0</v>
      </c>
      <c r="R322" s="508">
        <f t="shared" si="44"/>
        <v>0</v>
      </c>
      <c r="S322" s="102"/>
      <c r="T322" s="291">
        <f>STAT_TRA_Mileage!K36/1000</f>
        <v>0</v>
      </c>
      <c r="U322" s="16"/>
    </row>
    <row r="324" spans="2:21" x14ac:dyDescent="0.25">
      <c r="B324" s="149"/>
      <c r="C324" s="149"/>
    </row>
    <row r="325" spans="2:21" x14ac:dyDescent="0.25">
      <c r="B325" s="441" t="s">
        <v>567</v>
      </c>
      <c r="C325" s="339"/>
    </row>
    <row r="326" spans="2:21" x14ac:dyDescent="0.25">
      <c r="B326" s="441" t="s">
        <v>103</v>
      </c>
      <c r="C326" s="264" t="s">
        <v>104</v>
      </c>
      <c r="D326" s="17" t="str">
        <f>D$4</f>
        <v>Z01</v>
      </c>
      <c r="E326" s="17" t="str">
        <f t="shared" ref="E326:R326" si="45">E$4</f>
        <v>Z02</v>
      </c>
      <c r="F326" s="17" t="str">
        <f t="shared" si="45"/>
        <v>Z03</v>
      </c>
      <c r="G326" s="17" t="str">
        <f t="shared" si="45"/>
        <v>Z04</v>
      </c>
      <c r="H326" s="17" t="str">
        <f t="shared" si="45"/>
        <v>Z05</v>
      </c>
      <c r="I326" s="17" t="str">
        <f t="shared" si="45"/>
        <v>Z06</v>
      </c>
      <c r="J326" s="17" t="str">
        <f t="shared" si="45"/>
        <v>Z07</v>
      </c>
      <c r="K326" s="17" t="str">
        <f t="shared" si="45"/>
        <v>Z08</v>
      </c>
      <c r="L326" s="17" t="str">
        <f t="shared" si="45"/>
        <v>Z09</v>
      </c>
      <c r="M326" s="17" t="str">
        <f t="shared" si="45"/>
        <v>Z10</v>
      </c>
      <c r="N326" s="17" t="str">
        <f t="shared" si="45"/>
        <v>Z11</v>
      </c>
      <c r="O326" s="17" t="str">
        <f t="shared" si="45"/>
        <v>Z12</v>
      </c>
      <c r="P326" s="17" t="str">
        <f t="shared" si="45"/>
        <v>Z13</v>
      </c>
      <c r="Q326" s="17" t="str">
        <f t="shared" si="45"/>
        <v>Z14</v>
      </c>
      <c r="R326" s="17" t="str">
        <f t="shared" si="45"/>
        <v>Z15</v>
      </c>
      <c r="T326" s="17" t="str">
        <f>T$4</f>
        <v>Average</v>
      </c>
    </row>
    <row r="327" spans="2:21" x14ac:dyDescent="0.25">
      <c r="B327" s="169" t="s">
        <v>107</v>
      </c>
      <c r="C327" s="169"/>
      <c r="D327" s="509"/>
      <c r="E327" s="509"/>
      <c r="F327" s="509"/>
      <c r="G327" s="509"/>
      <c r="H327" s="509"/>
      <c r="I327" s="509"/>
      <c r="J327" s="509"/>
      <c r="K327" s="509"/>
      <c r="L327" s="509"/>
      <c r="M327" s="509"/>
      <c r="N327" s="509"/>
      <c r="O327" s="509"/>
      <c r="P327" s="509"/>
      <c r="Q327" s="509"/>
      <c r="R327" s="509"/>
      <c r="T327" s="510"/>
    </row>
    <row r="328" spans="2:21" x14ac:dyDescent="0.25">
      <c r="B328" s="169" t="s">
        <v>108</v>
      </c>
      <c r="C328" s="169"/>
      <c r="D328" s="509"/>
      <c r="E328" s="509"/>
      <c r="F328" s="509"/>
      <c r="G328" s="509"/>
      <c r="H328" s="509"/>
      <c r="I328" s="509"/>
      <c r="J328" s="509"/>
      <c r="K328" s="509"/>
      <c r="L328" s="509"/>
      <c r="M328" s="509"/>
      <c r="N328" s="509"/>
      <c r="O328" s="509"/>
      <c r="P328" s="509"/>
      <c r="Q328" s="509"/>
      <c r="R328" s="509"/>
      <c r="T328" s="510"/>
    </row>
    <row r="329" spans="2:21" x14ac:dyDescent="0.25">
      <c r="B329" s="169" t="s">
        <v>203</v>
      </c>
      <c r="C329" s="169" t="s">
        <v>166</v>
      </c>
      <c r="D329" s="508">
        <f t="shared" ref="D329:Q329" si="46">$T329</f>
        <v>0</v>
      </c>
      <c r="E329" s="508">
        <f t="shared" si="46"/>
        <v>0</v>
      </c>
      <c r="F329" s="508">
        <f t="shared" si="46"/>
        <v>0</v>
      </c>
      <c r="G329" s="508">
        <f t="shared" si="46"/>
        <v>0</v>
      </c>
      <c r="H329" s="508">
        <f t="shared" si="46"/>
        <v>0</v>
      </c>
      <c r="I329" s="508">
        <f t="shared" si="46"/>
        <v>0</v>
      </c>
      <c r="J329" s="508">
        <f t="shared" si="46"/>
        <v>0</v>
      </c>
      <c r="K329" s="508">
        <f t="shared" si="46"/>
        <v>0</v>
      </c>
      <c r="L329" s="508">
        <f t="shared" si="46"/>
        <v>0</v>
      </c>
      <c r="M329" s="508">
        <f t="shared" si="46"/>
        <v>0</v>
      </c>
      <c r="N329" s="508">
        <f t="shared" si="46"/>
        <v>0</v>
      </c>
      <c r="O329" s="508">
        <f t="shared" si="46"/>
        <v>0</v>
      </c>
      <c r="P329" s="508">
        <f t="shared" si="46"/>
        <v>0</v>
      </c>
      <c r="Q329" s="508">
        <f t="shared" si="46"/>
        <v>0</v>
      </c>
      <c r="R329" s="508">
        <f>$T329</f>
        <v>0</v>
      </c>
      <c r="S329" s="102"/>
      <c r="T329" s="291">
        <f>STAT_TRA_Mileage!L27/1000</f>
        <v>0</v>
      </c>
    </row>
    <row r="330" spans="2:21" x14ac:dyDescent="0.25">
      <c r="B330" s="169" t="s">
        <v>110</v>
      </c>
      <c r="C330" s="169"/>
      <c r="D330" s="511"/>
      <c r="E330" s="511"/>
      <c r="F330" s="511"/>
      <c r="G330" s="511"/>
      <c r="H330" s="511"/>
      <c r="I330" s="511"/>
      <c r="J330" s="511"/>
      <c r="K330" s="511"/>
      <c r="L330" s="511"/>
      <c r="M330" s="511"/>
      <c r="N330" s="511"/>
      <c r="O330" s="511"/>
      <c r="P330" s="511"/>
      <c r="Q330" s="511"/>
      <c r="R330" s="511"/>
      <c r="S330" s="102"/>
      <c r="T330" s="564"/>
    </row>
    <row r="331" spans="2:21" x14ac:dyDescent="0.25">
      <c r="B331" s="169" t="s">
        <v>111</v>
      </c>
      <c r="C331" s="169"/>
      <c r="D331" s="511"/>
      <c r="E331" s="511"/>
      <c r="F331" s="511"/>
      <c r="G331" s="511"/>
      <c r="H331" s="511"/>
      <c r="I331" s="511"/>
      <c r="J331" s="511"/>
      <c r="K331" s="511"/>
      <c r="L331" s="511"/>
      <c r="M331" s="511"/>
      <c r="N331" s="511"/>
      <c r="O331" s="511"/>
      <c r="P331" s="511"/>
      <c r="Q331" s="511"/>
      <c r="R331" s="511"/>
      <c r="S331" s="102"/>
      <c r="T331" s="564"/>
    </row>
    <row r="332" spans="2:21" x14ac:dyDescent="0.25">
      <c r="B332" s="169" t="s">
        <v>112</v>
      </c>
      <c r="C332" s="169"/>
      <c r="D332" s="511"/>
      <c r="E332" s="511"/>
      <c r="F332" s="511"/>
      <c r="G332" s="511"/>
      <c r="H332" s="511"/>
      <c r="I332" s="511"/>
      <c r="J332" s="511"/>
      <c r="K332" s="511"/>
      <c r="L332" s="511"/>
      <c r="M332" s="511"/>
      <c r="N332" s="511"/>
      <c r="O332" s="511"/>
      <c r="P332" s="511"/>
      <c r="Q332" s="511"/>
      <c r="R332" s="511"/>
      <c r="S332" s="102"/>
      <c r="T332" s="564"/>
    </row>
    <row r="333" spans="2:21" x14ac:dyDescent="0.25">
      <c r="B333" s="169" t="s">
        <v>204</v>
      </c>
      <c r="C333" s="169"/>
      <c r="D333" s="511"/>
      <c r="E333" s="511"/>
      <c r="F333" s="511"/>
      <c r="G333" s="511"/>
      <c r="H333" s="511"/>
      <c r="I333" s="511"/>
      <c r="J333" s="511"/>
      <c r="K333" s="511"/>
      <c r="L333" s="511"/>
      <c r="M333" s="511"/>
      <c r="N333" s="511"/>
      <c r="O333" s="511"/>
      <c r="P333" s="511"/>
      <c r="Q333" s="511"/>
      <c r="R333" s="511"/>
      <c r="S333" s="102"/>
      <c r="T333" s="564"/>
    </row>
    <row r="334" spans="2:21" x14ac:dyDescent="0.25">
      <c r="B334" s="169" t="s">
        <v>205</v>
      </c>
      <c r="C334" s="169"/>
      <c r="D334" s="511"/>
      <c r="E334" s="511"/>
      <c r="F334" s="511"/>
      <c r="G334" s="511"/>
      <c r="H334" s="511"/>
      <c r="I334" s="511"/>
      <c r="J334" s="511"/>
      <c r="K334" s="511"/>
      <c r="L334" s="511"/>
      <c r="M334" s="511"/>
      <c r="N334" s="511"/>
      <c r="O334" s="511"/>
      <c r="P334" s="511"/>
      <c r="Q334" s="511"/>
      <c r="R334" s="511"/>
      <c r="S334" s="102"/>
      <c r="T334" s="564"/>
    </row>
    <row r="335" spans="2:21" x14ac:dyDescent="0.25">
      <c r="B335" s="169" t="s">
        <v>115</v>
      </c>
      <c r="C335" s="169"/>
      <c r="D335" s="511"/>
      <c r="E335" s="511"/>
      <c r="F335" s="511"/>
      <c r="G335" s="511"/>
      <c r="H335" s="511"/>
      <c r="I335" s="511"/>
      <c r="J335" s="511"/>
      <c r="K335" s="511"/>
      <c r="L335" s="511"/>
      <c r="M335" s="511"/>
      <c r="N335" s="511"/>
      <c r="O335" s="511"/>
      <c r="P335" s="511"/>
      <c r="Q335" s="511"/>
      <c r="R335" s="511"/>
      <c r="S335" s="102"/>
      <c r="T335" s="564"/>
    </row>
    <row r="336" spans="2:21" x14ac:dyDescent="0.25">
      <c r="B336" s="169" t="s">
        <v>206</v>
      </c>
      <c r="C336" s="169"/>
      <c r="D336" s="511"/>
      <c r="E336" s="511"/>
      <c r="F336" s="511"/>
      <c r="G336" s="511"/>
      <c r="H336" s="511"/>
      <c r="I336" s="511"/>
      <c r="J336" s="511"/>
      <c r="K336" s="511"/>
      <c r="L336" s="511"/>
      <c r="M336" s="511"/>
      <c r="N336" s="511"/>
      <c r="O336" s="511"/>
      <c r="P336" s="511"/>
      <c r="Q336" s="511"/>
      <c r="R336" s="511"/>
      <c r="S336" s="102"/>
      <c r="T336" s="564"/>
    </row>
    <row r="337" spans="1:21" x14ac:dyDescent="0.25">
      <c r="B337" s="169" t="s">
        <v>207</v>
      </c>
      <c r="C337" s="169"/>
      <c r="D337" s="511"/>
      <c r="E337" s="511"/>
      <c r="F337" s="511"/>
      <c r="G337" s="511"/>
      <c r="H337" s="511"/>
      <c r="I337" s="511"/>
      <c r="J337" s="511"/>
      <c r="K337" s="511"/>
      <c r="L337" s="511"/>
      <c r="M337" s="511"/>
      <c r="N337" s="511"/>
      <c r="O337" s="511"/>
      <c r="P337" s="511"/>
      <c r="Q337" s="511"/>
      <c r="R337" s="511"/>
      <c r="S337" s="102"/>
      <c r="T337" s="564"/>
    </row>
    <row r="338" spans="1:21" x14ac:dyDescent="0.25">
      <c r="B338" s="169" t="s">
        <v>208</v>
      </c>
      <c r="C338" s="169" t="s">
        <v>167</v>
      </c>
      <c r="D338" s="508">
        <f>$T338</f>
        <v>0</v>
      </c>
      <c r="E338" s="508">
        <f t="shared" ref="E338:R338" si="47">$T338</f>
        <v>0</v>
      </c>
      <c r="F338" s="508">
        <f t="shared" si="47"/>
        <v>0</v>
      </c>
      <c r="G338" s="508">
        <f t="shared" si="47"/>
        <v>0</v>
      </c>
      <c r="H338" s="508">
        <f t="shared" si="47"/>
        <v>0</v>
      </c>
      <c r="I338" s="508">
        <f t="shared" si="47"/>
        <v>0</v>
      </c>
      <c r="J338" s="508">
        <f t="shared" si="47"/>
        <v>0</v>
      </c>
      <c r="K338" s="508">
        <f t="shared" si="47"/>
        <v>0</v>
      </c>
      <c r="L338" s="508">
        <f t="shared" si="47"/>
        <v>0</v>
      </c>
      <c r="M338" s="508">
        <f t="shared" si="47"/>
        <v>0</v>
      </c>
      <c r="N338" s="508">
        <f t="shared" si="47"/>
        <v>0</v>
      </c>
      <c r="O338" s="508">
        <f t="shared" si="47"/>
        <v>0</v>
      </c>
      <c r="P338" s="508">
        <f t="shared" si="47"/>
        <v>0</v>
      </c>
      <c r="Q338" s="508">
        <f t="shared" si="47"/>
        <v>0</v>
      </c>
      <c r="R338" s="508">
        <f t="shared" si="47"/>
        <v>0</v>
      </c>
      <c r="S338" s="102"/>
      <c r="T338" s="291">
        <f>STAT_TRA_Mileage!L36/1000</f>
        <v>0</v>
      </c>
    </row>
    <row r="340" spans="1:21" x14ac:dyDescent="0.25">
      <c r="B340" s="149"/>
      <c r="C340" s="149"/>
    </row>
    <row r="341" spans="1:21" x14ac:dyDescent="0.25">
      <c r="B341" s="441" t="s">
        <v>170</v>
      </c>
      <c r="C341" s="339"/>
    </row>
    <row r="342" spans="1:21" x14ac:dyDescent="0.25">
      <c r="B342" s="441" t="s">
        <v>103</v>
      </c>
      <c r="C342" s="264" t="s">
        <v>104</v>
      </c>
      <c r="D342" s="17" t="str">
        <f>D$4</f>
        <v>Z01</v>
      </c>
      <c r="E342" s="17" t="str">
        <f t="shared" ref="E342:R342" si="48">E$4</f>
        <v>Z02</v>
      </c>
      <c r="F342" s="17" t="str">
        <f t="shared" si="48"/>
        <v>Z03</v>
      </c>
      <c r="G342" s="17" t="str">
        <f t="shared" si="48"/>
        <v>Z04</v>
      </c>
      <c r="H342" s="17" t="str">
        <f t="shared" si="48"/>
        <v>Z05</v>
      </c>
      <c r="I342" s="17" t="str">
        <f t="shared" si="48"/>
        <v>Z06</v>
      </c>
      <c r="J342" s="17" t="str">
        <f t="shared" si="48"/>
        <v>Z07</v>
      </c>
      <c r="K342" s="17" t="str">
        <f t="shared" si="48"/>
        <v>Z08</v>
      </c>
      <c r="L342" s="17" t="str">
        <f t="shared" si="48"/>
        <v>Z09</v>
      </c>
      <c r="M342" s="17" t="str">
        <f t="shared" si="48"/>
        <v>Z10</v>
      </c>
      <c r="N342" s="17" t="str">
        <f t="shared" si="48"/>
        <v>Z11</v>
      </c>
      <c r="O342" s="17" t="str">
        <f t="shared" si="48"/>
        <v>Z12</v>
      </c>
      <c r="P342" s="17" t="str">
        <f t="shared" si="48"/>
        <v>Z13</v>
      </c>
      <c r="Q342" s="17" t="str">
        <f t="shared" si="48"/>
        <v>Z14</v>
      </c>
      <c r="R342" s="17" t="str">
        <f t="shared" si="48"/>
        <v>Z15</v>
      </c>
      <c r="T342" s="17" t="str">
        <f>T$4</f>
        <v>Average</v>
      </c>
    </row>
    <row r="343" spans="1:21" x14ac:dyDescent="0.25">
      <c r="B343" s="271" t="s">
        <v>568</v>
      </c>
      <c r="C343" s="271" t="s">
        <v>382</v>
      </c>
      <c r="D343" s="678">
        <f>$T343</f>
        <v>0</v>
      </c>
      <c r="E343" s="678">
        <f t="shared" ref="E343:R344" si="49">$T343</f>
        <v>0</v>
      </c>
      <c r="F343" s="678">
        <f t="shared" si="49"/>
        <v>0</v>
      </c>
      <c r="G343" s="678">
        <f t="shared" si="49"/>
        <v>0</v>
      </c>
      <c r="H343" s="678">
        <f t="shared" si="49"/>
        <v>0</v>
      </c>
      <c r="I343" s="678">
        <f t="shared" si="49"/>
        <v>0</v>
      </c>
      <c r="J343" s="678">
        <f t="shared" si="49"/>
        <v>0</v>
      </c>
      <c r="K343" s="678">
        <f t="shared" si="49"/>
        <v>0</v>
      </c>
      <c r="L343" s="678">
        <f t="shared" si="49"/>
        <v>0</v>
      </c>
      <c r="M343" s="678">
        <f t="shared" si="49"/>
        <v>0</v>
      </c>
      <c r="N343" s="678">
        <f t="shared" si="49"/>
        <v>0</v>
      </c>
      <c r="O343" s="678">
        <f t="shared" si="49"/>
        <v>0</v>
      </c>
      <c r="P343" s="678">
        <f t="shared" si="49"/>
        <v>0</v>
      </c>
      <c r="Q343" s="678">
        <f t="shared" si="49"/>
        <v>0</v>
      </c>
      <c r="R343" s="678">
        <f t="shared" si="49"/>
        <v>0</v>
      </c>
      <c r="T343" s="679">
        <f>STAT_TRA_Mileage!O20/1000</f>
        <v>0</v>
      </c>
    </row>
    <row r="344" spans="1:21" x14ac:dyDescent="0.25">
      <c r="B344" s="271" t="s">
        <v>569</v>
      </c>
      <c r="C344" s="271" t="s">
        <v>171</v>
      </c>
      <c r="D344" s="678">
        <f>$T344</f>
        <v>0</v>
      </c>
      <c r="E344" s="678">
        <f t="shared" si="49"/>
        <v>0</v>
      </c>
      <c r="F344" s="678">
        <f t="shared" si="49"/>
        <v>0</v>
      </c>
      <c r="G344" s="678">
        <f t="shared" si="49"/>
        <v>0</v>
      </c>
      <c r="H344" s="678">
        <f t="shared" si="49"/>
        <v>0</v>
      </c>
      <c r="I344" s="678">
        <f t="shared" si="49"/>
        <v>0</v>
      </c>
      <c r="J344" s="678">
        <f t="shared" si="49"/>
        <v>0</v>
      </c>
      <c r="K344" s="678">
        <f t="shared" si="49"/>
        <v>0</v>
      </c>
      <c r="L344" s="678">
        <f t="shared" si="49"/>
        <v>0</v>
      </c>
      <c r="M344" s="678">
        <f t="shared" si="49"/>
        <v>0</v>
      </c>
      <c r="N344" s="678">
        <f t="shared" si="49"/>
        <v>0</v>
      </c>
      <c r="O344" s="678">
        <f t="shared" si="49"/>
        <v>0</v>
      </c>
      <c r="P344" s="678">
        <f t="shared" si="49"/>
        <v>0</v>
      </c>
      <c r="Q344" s="678">
        <f t="shared" si="49"/>
        <v>0</v>
      </c>
      <c r="R344" s="678">
        <f t="shared" si="49"/>
        <v>0</v>
      </c>
      <c r="T344" s="679">
        <f>STAT_TRA_Mileage!O20/1000</f>
        <v>0</v>
      </c>
    </row>
    <row r="346" spans="1:21" x14ac:dyDescent="0.25">
      <c r="B346" s="149"/>
      <c r="C346" s="149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268"/>
      <c r="Q346" s="268"/>
      <c r="R346" s="268"/>
      <c r="T346" s="269"/>
    </row>
    <row r="347" spans="1:21" x14ac:dyDescent="0.25">
      <c r="B347" s="441" t="s">
        <v>570</v>
      </c>
      <c r="C347" s="339"/>
    </row>
    <row r="348" spans="1:21" x14ac:dyDescent="0.25">
      <c r="B348" s="441" t="s">
        <v>103</v>
      </c>
      <c r="C348" s="264" t="s">
        <v>104</v>
      </c>
      <c r="D348" s="17" t="str">
        <f>D$4</f>
        <v>Z01</v>
      </c>
      <c r="E348" s="17" t="str">
        <f t="shared" ref="E348:R348" si="50">E$4</f>
        <v>Z02</v>
      </c>
      <c r="F348" s="17" t="str">
        <f t="shared" si="50"/>
        <v>Z03</v>
      </c>
      <c r="G348" s="17" t="str">
        <f t="shared" si="50"/>
        <v>Z04</v>
      </c>
      <c r="H348" s="17" t="str">
        <f t="shared" si="50"/>
        <v>Z05</v>
      </c>
      <c r="I348" s="17" t="str">
        <f t="shared" si="50"/>
        <v>Z06</v>
      </c>
      <c r="J348" s="17" t="str">
        <f t="shared" si="50"/>
        <v>Z07</v>
      </c>
      <c r="K348" s="17" t="str">
        <f t="shared" si="50"/>
        <v>Z08</v>
      </c>
      <c r="L348" s="17" t="str">
        <f t="shared" si="50"/>
        <v>Z09</v>
      </c>
      <c r="M348" s="17" t="str">
        <f t="shared" si="50"/>
        <v>Z10</v>
      </c>
      <c r="N348" s="17" t="str">
        <f t="shared" si="50"/>
        <v>Z11</v>
      </c>
      <c r="O348" s="17" t="str">
        <f t="shared" si="50"/>
        <v>Z12</v>
      </c>
      <c r="P348" s="17" t="str">
        <f t="shared" si="50"/>
        <v>Z13</v>
      </c>
      <c r="Q348" s="17" t="str">
        <f t="shared" si="50"/>
        <v>Z14</v>
      </c>
      <c r="R348" s="17" t="str">
        <f t="shared" si="50"/>
        <v>Z15</v>
      </c>
      <c r="T348" s="17" t="str">
        <f>T$4</f>
        <v>Average</v>
      </c>
    </row>
    <row r="349" spans="1:21" x14ac:dyDescent="0.25">
      <c r="B349" s="169" t="s">
        <v>178</v>
      </c>
      <c r="C349" s="186" t="s">
        <v>216</v>
      </c>
      <c r="D349" s="265">
        <f>$T349</f>
        <v>0</v>
      </c>
      <c r="E349" s="265">
        <f t="shared" ref="E349:R354" si="51">$T349</f>
        <v>0</v>
      </c>
      <c r="F349" s="265">
        <f t="shared" si="51"/>
        <v>0</v>
      </c>
      <c r="G349" s="265">
        <f t="shared" si="51"/>
        <v>0</v>
      </c>
      <c r="H349" s="265">
        <f t="shared" si="51"/>
        <v>0</v>
      </c>
      <c r="I349" s="265">
        <f t="shared" si="51"/>
        <v>0</v>
      </c>
      <c r="J349" s="265">
        <f t="shared" si="51"/>
        <v>0</v>
      </c>
      <c r="K349" s="265">
        <f t="shared" si="51"/>
        <v>0</v>
      </c>
      <c r="L349" s="265">
        <f t="shared" si="51"/>
        <v>0</v>
      </c>
      <c r="M349" s="265">
        <f t="shared" si="51"/>
        <v>0</v>
      </c>
      <c r="N349" s="265">
        <f t="shared" si="51"/>
        <v>0</v>
      </c>
      <c r="O349" s="265">
        <f t="shared" si="51"/>
        <v>0</v>
      </c>
      <c r="P349" s="265">
        <f t="shared" si="51"/>
        <v>0</v>
      </c>
      <c r="Q349" s="265">
        <f t="shared" si="51"/>
        <v>0</v>
      </c>
      <c r="R349" s="265">
        <f t="shared" si="51"/>
        <v>0</v>
      </c>
      <c r="T349" s="270">
        <f>STAT_TRA_Mileage!D40/1000</f>
        <v>0</v>
      </c>
      <c r="U349" s="273"/>
    </row>
    <row r="350" spans="1:21" x14ac:dyDescent="0.25">
      <c r="B350" s="169" t="s">
        <v>179</v>
      </c>
      <c r="C350" s="186" t="s">
        <v>217</v>
      </c>
      <c r="D350" s="265">
        <f t="shared" ref="D350:D354" si="52">$T350</f>
        <v>0</v>
      </c>
      <c r="E350" s="265">
        <f t="shared" si="51"/>
        <v>0</v>
      </c>
      <c r="F350" s="265">
        <f t="shared" si="51"/>
        <v>0</v>
      </c>
      <c r="G350" s="265">
        <f t="shared" si="51"/>
        <v>0</v>
      </c>
      <c r="H350" s="265">
        <f t="shared" si="51"/>
        <v>0</v>
      </c>
      <c r="I350" s="265">
        <f t="shared" si="51"/>
        <v>0</v>
      </c>
      <c r="J350" s="265">
        <f t="shared" si="51"/>
        <v>0</v>
      </c>
      <c r="K350" s="265">
        <f t="shared" si="51"/>
        <v>0</v>
      </c>
      <c r="L350" s="265">
        <f t="shared" si="51"/>
        <v>0</v>
      </c>
      <c r="M350" s="265">
        <f t="shared" si="51"/>
        <v>0</v>
      </c>
      <c r="N350" s="265">
        <f t="shared" si="51"/>
        <v>0</v>
      </c>
      <c r="O350" s="265">
        <f t="shared" si="51"/>
        <v>0</v>
      </c>
      <c r="P350" s="265">
        <f t="shared" si="51"/>
        <v>0</v>
      </c>
      <c r="Q350" s="265">
        <f t="shared" si="51"/>
        <v>0</v>
      </c>
      <c r="R350" s="265">
        <f t="shared" si="51"/>
        <v>0</v>
      </c>
      <c r="T350" s="270">
        <f>STAT_TRA_Mileage!D41/1000</f>
        <v>0</v>
      </c>
      <c r="U350" s="273"/>
    </row>
    <row r="351" spans="1:21" x14ac:dyDescent="0.25">
      <c r="A351"/>
      <c r="B351" s="271" t="s">
        <v>173</v>
      </c>
      <c r="C351" s="186" t="s">
        <v>218</v>
      </c>
      <c r="D351" s="265">
        <f t="shared" si="52"/>
        <v>0</v>
      </c>
      <c r="E351" s="265">
        <f t="shared" si="51"/>
        <v>0</v>
      </c>
      <c r="F351" s="265">
        <f t="shared" si="51"/>
        <v>0</v>
      </c>
      <c r="G351" s="265">
        <f t="shared" si="51"/>
        <v>0</v>
      </c>
      <c r="H351" s="265">
        <f t="shared" si="51"/>
        <v>0</v>
      </c>
      <c r="I351" s="265">
        <f t="shared" si="51"/>
        <v>0</v>
      </c>
      <c r="J351" s="265">
        <f t="shared" si="51"/>
        <v>0</v>
      </c>
      <c r="K351" s="265">
        <f t="shared" si="51"/>
        <v>0</v>
      </c>
      <c r="L351" s="265">
        <f t="shared" si="51"/>
        <v>0</v>
      </c>
      <c r="M351" s="265">
        <f t="shared" si="51"/>
        <v>0</v>
      </c>
      <c r="N351" s="265">
        <f t="shared" si="51"/>
        <v>0</v>
      </c>
      <c r="O351" s="265">
        <f t="shared" si="51"/>
        <v>0</v>
      </c>
      <c r="P351" s="265">
        <f t="shared" si="51"/>
        <v>0</v>
      </c>
      <c r="Q351" s="265">
        <f t="shared" si="51"/>
        <v>0</v>
      </c>
      <c r="R351" s="265">
        <f t="shared" si="51"/>
        <v>0</v>
      </c>
      <c r="T351" s="270">
        <f>STAT_TRA_Mileage!D42/1000</f>
        <v>0</v>
      </c>
      <c r="U351" s="273"/>
    </row>
    <row r="352" spans="1:21" x14ac:dyDescent="0.25">
      <c r="A352"/>
      <c r="B352" s="169" t="s">
        <v>174</v>
      </c>
      <c r="C352" s="186" t="s">
        <v>219</v>
      </c>
      <c r="D352" s="265">
        <f t="shared" si="52"/>
        <v>0</v>
      </c>
      <c r="E352" s="265">
        <f t="shared" si="51"/>
        <v>0</v>
      </c>
      <c r="F352" s="265">
        <f t="shared" si="51"/>
        <v>0</v>
      </c>
      <c r="G352" s="265">
        <f t="shared" si="51"/>
        <v>0</v>
      </c>
      <c r="H352" s="265">
        <f t="shared" si="51"/>
        <v>0</v>
      </c>
      <c r="I352" s="265">
        <f t="shared" si="51"/>
        <v>0</v>
      </c>
      <c r="J352" s="265">
        <f t="shared" si="51"/>
        <v>0</v>
      </c>
      <c r="K352" s="265">
        <f t="shared" si="51"/>
        <v>0</v>
      </c>
      <c r="L352" s="265">
        <f t="shared" si="51"/>
        <v>0</v>
      </c>
      <c r="M352" s="265">
        <f t="shared" si="51"/>
        <v>0</v>
      </c>
      <c r="N352" s="265">
        <f t="shared" si="51"/>
        <v>0</v>
      </c>
      <c r="O352" s="265">
        <f t="shared" si="51"/>
        <v>0</v>
      </c>
      <c r="P352" s="265">
        <f t="shared" si="51"/>
        <v>0</v>
      </c>
      <c r="Q352" s="265">
        <f t="shared" si="51"/>
        <v>0</v>
      </c>
      <c r="R352" s="265">
        <f t="shared" si="51"/>
        <v>0</v>
      </c>
      <c r="T352" s="270">
        <f>STAT_TRA_Mileage!D43/1000</f>
        <v>0</v>
      </c>
      <c r="U352" s="274"/>
    </row>
    <row r="353" spans="1:21" x14ac:dyDescent="0.25">
      <c r="A353"/>
      <c r="B353" s="336" t="s">
        <v>220</v>
      </c>
      <c r="C353" s="186" t="s">
        <v>221</v>
      </c>
      <c r="D353" s="265">
        <f t="shared" si="52"/>
        <v>0</v>
      </c>
      <c r="E353" s="265">
        <f t="shared" si="51"/>
        <v>0</v>
      </c>
      <c r="F353" s="265">
        <f t="shared" si="51"/>
        <v>0</v>
      </c>
      <c r="G353" s="265">
        <f t="shared" si="51"/>
        <v>0</v>
      </c>
      <c r="H353" s="265">
        <f t="shared" si="51"/>
        <v>0</v>
      </c>
      <c r="I353" s="265">
        <f t="shared" si="51"/>
        <v>0</v>
      </c>
      <c r="J353" s="265">
        <f t="shared" si="51"/>
        <v>0</v>
      </c>
      <c r="K353" s="265">
        <f t="shared" si="51"/>
        <v>0</v>
      </c>
      <c r="L353" s="265">
        <f t="shared" si="51"/>
        <v>0</v>
      </c>
      <c r="M353" s="265">
        <f t="shared" si="51"/>
        <v>0</v>
      </c>
      <c r="N353" s="265">
        <f t="shared" si="51"/>
        <v>0</v>
      </c>
      <c r="O353" s="265">
        <f t="shared" si="51"/>
        <v>0</v>
      </c>
      <c r="P353" s="265">
        <f t="shared" si="51"/>
        <v>0</v>
      </c>
      <c r="Q353" s="265">
        <f t="shared" si="51"/>
        <v>0</v>
      </c>
      <c r="R353" s="265">
        <f t="shared" si="51"/>
        <v>0</v>
      </c>
      <c r="T353" s="270">
        <f>STAT_TRA_Mileage!D44/1000</f>
        <v>0</v>
      </c>
      <c r="U353" s="273"/>
    </row>
    <row r="354" spans="1:21" x14ac:dyDescent="0.25">
      <c r="A354"/>
      <c r="B354" s="336" t="s">
        <v>222</v>
      </c>
      <c r="C354" s="186" t="s">
        <v>223</v>
      </c>
      <c r="D354" s="265">
        <f t="shared" si="52"/>
        <v>0</v>
      </c>
      <c r="E354" s="265">
        <f t="shared" si="51"/>
        <v>0</v>
      </c>
      <c r="F354" s="265">
        <f t="shared" si="51"/>
        <v>0</v>
      </c>
      <c r="G354" s="265">
        <f t="shared" si="51"/>
        <v>0</v>
      </c>
      <c r="H354" s="265">
        <f t="shared" si="51"/>
        <v>0</v>
      </c>
      <c r="I354" s="265">
        <f t="shared" si="51"/>
        <v>0</v>
      </c>
      <c r="J354" s="265">
        <f t="shared" si="51"/>
        <v>0</v>
      </c>
      <c r="K354" s="265">
        <f t="shared" si="51"/>
        <v>0</v>
      </c>
      <c r="L354" s="265">
        <f t="shared" si="51"/>
        <v>0</v>
      </c>
      <c r="M354" s="265">
        <f t="shared" si="51"/>
        <v>0</v>
      </c>
      <c r="N354" s="265">
        <f t="shared" si="51"/>
        <v>0</v>
      </c>
      <c r="O354" s="265">
        <f t="shared" si="51"/>
        <v>0</v>
      </c>
      <c r="P354" s="265">
        <f t="shared" si="51"/>
        <v>0</v>
      </c>
      <c r="Q354" s="265">
        <f t="shared" si="51"/>
        <v>0</v>
      </c>
      <c r="R354" s="265">
        <f t="shared" si="51"/>
        <v>0</v>
      </c>
      <c r="T354" s="270">
        <f>STAT_TRA_Mileage!D45/1000</f>
        <v>0</v>
      </c>
      <c r="U354" s="273"/>
    </row>
    <row r="355" spans="1:21" x14ac:dyDescent="0.25">
      <c r="A355"/>
      <c r="B355" s="169" t="s">
        <v>177</v>
      </c>
      <c r="C355" s="186" t="s">
        <v>224</v>
      </c>
      <c r="D355" s="265">
        <f t="shared" ref="D355:R355" si="53">$T355</f>
        <v>0</v>
      </c>
      <c r="E355" s="265">
        <f t="shared" si="53"/>
        <v>0</v>
      </c>
      <c r="F355" s="265">
        <f t="shared" si="53"/>
        <v>0</v>
      </c>
      <c r="G355" s="265">
        <f t="shared" si="53"/>
        <v>0</v>
      </c>
      <c r="H355" s="265">
        <f t="shared" si="53"/>
        <v>0</v>
      </c>
      <c r="I355" s="265">
        <f t="shared" si="53"/>
        <v>0</v>
      </c>
      <c r="J355" s="265">
        <f t="shared" si="53"/>
        <v>0</v>
      </c>
      <c r="K355" s="265">
        <f t="shared" si="53"/>
        <v>0</v>
      </c>
      <c r="L355" s="265">
        <f t="shared" si="53"/>
        <v>0</v>
      </c>
      <c r="M355" s="265">
        <f t="shared" si="53"/>
        <v>0</v>
      </c>
      <c r="N355" s="265">
        <f t="shared" si="53"/>
        <v>0</v>
      </c>
      <c r="O355" s="265">
        <f t="shared" si="53"/>
        <v>0</v>
      </c>
      <c r="P355" s="265">
        <f t="shared" si="53"/>
        <v>0</v>
      </c>
      <c r="Q355" s="265">
        <f t="shared" si="53"/>
        <v>0</v>
      </c>
      <c r="R355" s="265">
        <f t="shared" si="53"/>
        <v>0</v>
      </c>
      <c r="T355" s="270">
        <f>STAT_TRA_Mileage!D46/1000</f>
        <v>0</v>
      </c>
      <c r="U355" s="273"/>
    </row>
    <row r="357" spans="1:21" x14ac:dyDescent="0.25">
      <c r="B357" s="149"/>
      <c r="C357" s="149"/>
    </row>
    <row r="358" spans="1:21" x14ac:dyDescent="0.25">
      <c r="B358" s="441" t="s">
        <v>81</v>
      </c>
      <c r="C358" s="339"/>
    </row>
    <row r="359" spans="1:21" x14ac:dyDescent="0.25">
      <c r="B359" s="441" t="s">
        <v>103</v>
      </c>
      <c r="C359" s="264" t="s">
        <v>104</v>
      </c>
      <c r="D359" s="17" t="str">
        <f>D$4</f>
        <v>Z01</v>
      </c>
      <c r="E359" s="17" t="str">
        <f t="shared" ref="E359:R359" si="54">E$4</f>
        <v>Z02</v>
      </c>
      <c r="F359" s="17" t="str">
        <f t="shared" si="54"/>
        <v>Z03</v>
      </c>
      <c r="G359" s="17" t="str">
        <f t="shared" si="54"/>
        <v>Z04</v>
      </c>
      <c r="H359" s="17" t="str">
        <f t="shared" si="54"/>
        <v>Z05</v>
      </c>
      <c r="I359" s="17" t="str">
        <f t="shared" si="54"/>
        <v>Z06</v>
      </c>
      <c r="J359" s="17" t="str">
        <f t="shared" si="54"/>
        <v>Z07</v>
      </c>
      <c r="K359" s="17" t="str">
        <f t="shared" si="54"/>
        <v>Z08</v>
      </c>
      <c r="L359" s="17" t="str">
        <f t="shared" si="54"/>
        <v>Z09</v>
      </c>
      <c r="M359" s="17" t="str">
        <f t="shared" si="54"/>
        <v>Z10</v>
      </c>
      <c r="N359" s="17" t="str">
        <f t="shared" si="54"/>
        <v>Z11</v>
      </c>
      <c r="O359" s="17" t="str">
        <f t="shared" si="54"/>
        <v>Z12</v>
      </c>
      <c r="P359" s="17" t="str">
        <f t="shared" si="54"/>
        <v>Z13</v>
      </c>
      <c r="Q359" s="17" t="str">
        <f t="shared" si="54"/>
        <v>Z14</v>
      </c>
      <c r="R359" s="17" t="str">
        <f t="shared" si="54"/>
        <v>Z15</v>
      </c>
      <c r="T359" s="17" t="str">
        <f>T$4</f>
        <v>Average</v>
      </c>
    </row>
    <row r="360" spans="1:21" x14ac:dyDescent="0.25">
      <c r="B360" s="271" t="s">
        <v>571</v>
      </c>
      <c r="C360" s="271" t="s">
        <v>572</v>
      </c>
      <c r="D360" s="272">
        <f t="shared" ref="D360:R360" si="55">$T$360</f>
        <v>0</v>
      </c>
      <c r="E360" s="272">
        <f t="shared" si="55"/>
        <v>0</v>
      </c>
      <c r="F360" s="272">
        <f t="shared" si="55"/>
        <v>0</v>
      </c>
      <c r="G360" s="272">
        <f t="shared" si="55"/>
        <v>0</v>
      </c>
      <c r="H360" s="272">
        <f t="shared" si="55"/>
        <v>0</v>
      </c>
      <c r="I360" s="272">
        <f t="shared" si="55"/>
        <v>0</v>
      </c>
      <c r="J360" s="272">
        <f t="shared" si="55"/>
        <v>0</v>
      </c>
      <c r="K360" s="272">
        <f t="shared" si="55"/>
        <v>0</v>
      </c>
      <c r="L360" s="272">
        <f t="shared" si="55"/>
        <v>0</v>
      </c>
      <c r="M360" s="272">
        <f t="shared" si="55"/>
        <v>0</v>
      </c>
      <c r="N360" s="272">
        <f t="shared" si="55"/>
        <v>0</v>
      </c>
      <c r="O360" s="272">
        <f t="shared" si="55"/>
        <v>0</v>
      </c>
      <c r="P360" s="272">
        <f t="shared" si="55"/>
        <v>0</v>
      </c>
      <c r="Q360" s="272">
        <f t="shared" si="55"/>
        <v>0</v>
      </c>
      <c r="R360" s="272">
        <f t="shared" si="55"/>
        <v>0</v>
      </c>
      <c r="T360" s="270">
        <f>STAT_TRA_Mileage!D50/1000</f>
        <v>0</v>
      </c>
    </row>
    <row r="361" spans="1:21" x14ac:dyDescent="0.25">
      <c r="B361" s="169" t="s">
        <v>573</v>
      </c>
      <c r="C361" s="169" t="s">
        <v>186</v>
      </c>
      <c r="D361" s="272">
        <f t="shared" ref="D361:R361" si="56">$T$361</f>
        <v>0</v>
      </c>
      <c r="E361" s="272">
        <f t="shared" si="56"/>
        <v>0</v>
      </c>
      <c r="F361" s="272">
        <f t="shared" si="56"/>
        <v>0</v>
      </c>
      <c r="G361" s="272">
        <f t="shared" si="56"/>
        <v>0</v>
      </c>
      <c r="H361" s="272">
        <f t="shared" si="56"/>
        <v>0</v>
      </c>
      <c r="I361" s="272">
        <f t="shared" si="56"/>
        <v>0</v>
      </c>
      <c r="J361" s="272">
        <f t="shared" si="56"/>
        <v>0</v>
      </c>
      <c r="K361" s="272">
        <f t="shared" si="56"/>
        <v>0</v>
      </c>
      <c r="L361" s="272">
        <f t="shared" si="56"/>
        <v>0</v>
      </c>
      <c r="M361" s="272">
        <f t="shared" si="56"/>
        <v>0</v>
      </c>
      <c r="N361" s="272">
        <f t="shared" si="56"/>
        <v>0</v>
      </c>
      <c r="O361" s="272">
        <f t="shared" si="56"/>
        <v>0</v>
      </c>
      <c r="P361" s="272">
        <f t="shared" si="56"/>
        <v>0</v>
      </c>
      <c r="Q361" s="272">
        <f t="shared" si="56"/>
        <v>0</v>
      </c>
      <c r="R361" s="272">
        <f t="shared" si="56"/>
        <v>0</v>
      </c>
      <c r="T361" s="270">
        <f>STAT_TRA_Mileage!D51/1000</f>
        <v>0</v>
      </c>
    </row>
    <row r="362" spans="1:21" x14ac:dyDescent="0.25">
      <c r="B362" s="169" t="s">
        <v>574</v>
      </c>
      <c r="C362" s="169" t="s">
        <v>575</v>
      </c>
      <c r="D362" s="272">
        <f t="shared" ref="D362:R362" si="57">$T$362</f>
        <v>0</v>
      </c>
      <c r="E362" s="272">
        <f t="shared" si="57"/>
        <v>0</v>
      </c>
      <c r="F362" s="272">
        <f t="shared" si="57"/>
        <v>0</v>
      </c>
      <c r="G362" s="272">
        <f t="shared" si="57"/>
        <v>0</v>
      </c>
      <c r="H362" s="272">
        <f t="shared" si="57"/>
        <v>0</v>
      </c>
      <c r="I362" s="272">
        <f t="shared" si="57"/>
        <v>0</v>
      </c>
      <c r="J362" s="272">
        <f t="shared" si="57"/>
        <v>0</v>
      </c>
      <c r="K362" s="272">
        <f t="shared" si="57"/>
        <v>0</v>
      </c>
      <c r="L362" s="272">
        <f t="shared" si="57"/>
        <v>0</v>
      </c>
      <c r="M362" s="272">
        <f t="shared" si="57"/>
        <v>0</v>
      </c>
      <c r="N362" s="272">
        <f t="shared" si="57"/>
        <v>0</v>
      </c>
      <c r="O362" s="272">
        <f t="shared" si="57"/>
        <v>0</v>
      </c>
      <c r="P362" s="272">
        <f t="shared" si="57"/>
        <v>0</v>
      </c>
      <c r="Q362" s="272">
        <f t="shared" si="57"/>
        <v>0</v>
      </c>
      <c r="R362" s="272">
        <f t="shared" si="57"/>
        <v>0</v>
      </c>
      <c r="T362" s="270">
        <f>STAT_TRA_Mileage!D52/1000</f>
        <v>0</v>
      </c>
    </row>
    <row r="364" spans="1:21" x14ac:dyDescent="0.25">
      <c r="B364" s="149"/>
      <c r="C364" s="149"/>
    </row>
    <row r="365" spans="1:21" x14ac:dyDescent="0.25">
      <c r="B365" s="441" t="s">
        <v>82</v>
      </c>
      <c r="C365" s="339"/>
    </row>
    <row r="366" spans="1:21" x14ac:dyDescent="0.25">
      <c r="B366" s="441" t="s">
        <v>103</v>
      </c>
      <c r="C366" s="264" t="s">
        <v>104</v>
      </c>
      <c r="D366" s="17" t="str">
        <f>D$4</f>
        <v>Z01</v>
      </c>
      <c r="E366" s="17" t="str">
        <f t="shared" ref="E366:R366" si="58">E$4</f>
        <v>Z02</v>
      </c>
      <c r="F366" s="17" t="str">
        <f t="shared" si="58"/>
        <v>Z03</v>
      </c>
      <c r="G366" s="17" t="str">
        <f t="shared" si="58"/>
        <v>Z04</v>
      </c>
      <c r="H366" s="17" t="str">
        <f t="shared" si="58"/>
        <v>Z05</v>
      </c>
      <c r="I366" s="17" t="str">
        <f t="shared" si="58"/>
        <v>Z06</v>
      </c>
      <c r="J366" s="17" t="str">
        <f t="shared" si="58"/>
        <v>Z07</v>
      </c>
      <c r="K366" s="17" t="str">
        <f t="shared" si="58"/>
        <v>Z08</v>
      </c>
      <c r="L366" s="17" t="str">
        <f t="shared" si="58"/>
        <v>Z09</v>
      </c>
      <c r="M366" s="17" t="str">
        <f t="shared" si="58"/>
        <v>Z10</v>
      </c>
      <c r="N366" s="17" t="str">
        <f t="shared" si="58"/>
        <v>Z11</v>
      </c>
      <c r="O366" s="17" t="str">
        <f t="shared" si="58"/>
        <v>Z12</v>
      </c>
      <c r="P366" s="17" t="str">
        <f t="shared" si="58"/>
        <v>Z13</v>
      </c>
      <c r="Q366" s="17" t="str">
        <f t="shared" si="58"/>
        <v>Z14</v>
      </c>
      <c r="R366" s="17" t="str">
        <f t="shared" si="58"/>
        <v>Z15</v>
      </c>
      <c r="T366" s="17" t="str">
        <f>T$4</f>
        <v>Average</v>
      </c>
    </row>
    <row r="367" spans="1:21" x14ac:dyDescent="0.25">
      <c r="B367" s="271" t="s">
        <v>233</v>
      </c>
      <c r="C367" s="271" t="s">
        <v>82</v>
      </c>
      <c r="D367" s="265">
        <f t="shared" ref="D367:R367" si="59">$T$367</f>
        <v>0</v>
      </c>
      <c r="E367" s="265">
        <f t="shared" si="59"/>
        <v>0</v>
      </c>
      <c r="F367" s="265">
        <f t="shared" si="59"/>
        <v>0</v>
      </c>
      <c r="G367" s="265">
        <f t="shared" si="59"/>
        <v>0</v>
      </c>
      <c r="H367" s="265">
        <f t="shared" si="59"/>
        <v>0</v>
      </c>
      <c r="I367" s="265">
        <f t="shared" si="59"/>
        <v>0</v>
      </c>
      <c r="J367" s="265">
        <f t="shared" si="59"/>
        <v>0</v>
      </c>
      <c r="K367" s="265">
        <f t="shared" si="59"/>
        <v>0</v>
      </c>
      <c r="L367" s="265">
        <f t="shared" si="59"/>
        <v>0</v>
      </c>
      <c r="M367" s="265">
        <f t="shared" si="59"/>
        <v>0</v>
      </c>
      <c r="N367" s="265">
        <f t="shared" si="59"/>
        <v>0</v>
      </c>
      <c r="O367" s="265">
        <f t="shared" si="59"/>
        <v>0</v>
      </c>
      <c r="P367" s="265">
        <f t="shared" si="59"/>
        <v>0</v>
      </c>
      <c r="Q367" s="265">
        <f t="shared" si="59"/>
        <v>0</v>
      </c>
      <c r="R367" s="265">
        <f t="shared" si="59"/>
        <v>0</v>
      </c>
      <c r="T367" s="270">
        <f>STAT_TRA_Mileage!D53/1000</f>
        <v>0</v>
      </c>
    </row>
    <row r="368" spans="1:21" x14ac:dyDescent="0.25">
      <c r="B368" s="169" t="s">
        <v>235</v>
      </c>
      <c r="C368" s="169" t="s">
        <v>523</v>
      </c>
      <c r="D368" s="265">
        <f t="shared" ref="D368:R368" si="60">$T$368</f>
        <v>0</v>
      </c>
      <c r="E368" s="265">
        <f t="shared" si="60"/>
        <v>0</v>
      </c>
      <c r="F368" s="265">
        <f t="shared" si="60"/>
        <v>0</v>
      </c>
      <c r="G368" s="265">
        <f t="shared" si="60"/>
        <v>0</v>
      </c>
      <c r="H368" s="265">
        <f t="shared" si="60"/>
        <v>0</v>
      </c>
      <c r="I368" s="265">
        <f t="shared" si="60"/>
        <v>0</v>
      </c>
      <c r="J368" s="265">
        <f t="shared" si="60"/>
        <v>0</v>
      </c>
      <c r="K368" s="265">
        <f t="shared" si="60"/>
        <v>0</v>
      </c>
      <c r="L368" s="265">
        <f t="shared" si="60"/>
        <v>0</v>
      </c>
      <c r="M368" s="265">
        <f t="shared" si="60"/>
        <v>0</v>
      </c>
      <c r="N368" s="265">
        <f t="shared" si="60"/>
        <v>0</v>
      </c>
      <c r="O368" s="265">
        <f t="shared" si="60"/>
        <v>0</v>
      </c>
      <c r="P368" s="265">
        <f t="shared" si="60"/>
        <v>0</v>
      </c>
      <c r="Q368" s="265">
        <f t="shared" si="60"/>
        <v>0</v>
      </c>
      <c r="R368" s="265">
        <f t="shared" si="60"/>
        <v>0</v>
      </c>
      <c r="T368" s="270">
        <f>STAT_TRA_Mileage!D54/1000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D1E6C4"/>
  </sheetPr>
  <dimension ref="B1:Y76"/>
  <sheetViews>
    <sheetView zoomScale="75" zoomScaleNormal="75" workbookViewId="0">
      <selection activeCell="G14" sqref="G14"/>
    </sheetView>
  </sheetViews>
  <sheetFormatPr defaultColWidth="9.28515625" defaultRowHeight="15" x14ac:dyDescent="0.25"/>
  <cols>
    <col min="1" max="1" width="3.5703125" style="14" customWidth="1"/>
    <col min="2" max="2" width="2" style="14" customWidth="1"/>
    <col min="3" max="3" width="19.7109375" style="14" customWidth="1"/>
    <col min="4" max="4" width="56.42578125" style="14" bestFit="1" customWidth="1"/>
    <col min="5" max="5" width="13.7109375" style="14" customWidth="1"/>
    <col min="6" max="6" width="19.42578125" style="14" bestFit="1" customWidth="1"/>
    <col min="7" max="21" width="12.5703125" style="14" customWidth="1"/>
    <col min="22" max="22" width="7.5703125" style="115" customWidth="1"/>
    <col min="23" max="23" width="9.28515625" style="14"/>
    <col min="24" max="24" width="10.28515625" style="14" bestFit="1" customWidth="1"/>
    <col min="25" max="25" width="8.7109375" style="14" customWidth="1"/>
    <col min="26" max="16384" width="9.28515625" style="14"/>
  </cols>
  <sheetData>
    <row r="1" spans="2:25" x14ac:dyDescent="0.25">
      <c r="D1" s="297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</row>
    <row r="2" spans="2:25" x14ac:dyDescent="0.25">
      <c r="C2" s="113" t="s">
        <v>576</v>
      </c>
      <c r="D2" s="298"/>
    </row>
    <row r="3" spans="2:25" ht="14.65" customHeight="1" x14ac:dyDescent="0.25"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14"/>
    </row>
    <row r="4" spans="2:25" ht="14.65" customHeight="1" x14ac:dyDescent="0.25">
      <c r="B4" s="306" t="s">
        <v>577</v>
      </c>
      <c r="C4" s="17" t="s">
        <v>578</v>
      </c>
      <c r="D4" s="17"/>
      <c r="E4" s="17"/>
      <c r="F4" s="17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</row>
    <row r="5" spans="2:25" x14ac:dyDescent="0.25">
      <c r="B5" s="306"/>
      <c r="C5" s="17" t="s">
        <v>579</v>
      </c>
      <c r="D5" s="17" t="s">
        <v>465</v>
      </c>
      <c r="E5" s="121" t="s">
        <v>421</v>
      </c>
      <c r="F5" s="17" t="s">
        <v>580</v>
      </c>
      <c r="G5" s="121" t="str">
        <f>INFO!C10</f>
        <v>Z01</v>
      </c>
      <c r="H5" s="121" t="str">
        <f>INFO!D10</f>
        <v>Z02</v>
      </c>
      <c r="I5" s="121" t="str">
        <f>INFO!E10</f>
        <v>Z03</v>
      </c>
      <c r="J5" s="121" t="str">
        <f>INFO!F10</f>
        <v>Z04</v>
      </c>
      <c r="K5" s="121" t="str">
        <f>INFO!G10</f>
        <v>Z05</v>
      </c>
      <c r="L5" s="121" t="str">
        <f>INFO!H10</f>
        <v>Z06</v>
      </c>
      <c r="M5" s="121" t="str">
        <f>INFO!I10</f>
        <v>Z07</v>
      </c>
      <c r="N5" s="121" t="str">
        <f>INFO!J10</f>
        <v>Z08</v>
      </c>
      <c r="O5" s="121" t="str">
        <f>INFO!K10</f>
        <v>Z09</v>
      </c>
      <c r="P5" s="121" t="str">
        <f>INFO!L10</f>
        <v>Z10</v>
      </c>
      <c r="Q5" s="121" t="str">
        <f>INFO!M10</f>
        <v>Z11</v>
      </c>
      <c r="R5" s="121" t="str">
        <f>INFO!N10</f>
        <v>Z12</v>
      </c>
      <c r="S5" s="121" t="str">
        <f>INFO!O10</f>
        <v>Z13</v>
      </c>
      <c r="T5" s="121" t="str">
        <f>INFO!P10</f>
        <v>Z14</v>
      </c>
      <c r="U5" s="121" t="str">
        <f>INFO!Q10</f>
        <v>Z15</v>
      </c>
      <c r="V5" s="116" t="s">
        <v>581</v>
      </c>
    </row>
    <row r="6" spans="2:25" x14ac:dyDescent="0.25">
      <c r="B6" s="18" t="str">
        <f>IF(COUNTIF(TRA_Comm!$C$29:$C$90,DEMAND_Pkm_Tkm!C6)=1,"X","De-Active")</f>
        <v>X</v>
      </c>
      <c r="C6" s="169" t="s">
        <v>523</v>
      </c>
      <c r="D6" s="169" t="s">
        <v>582</v>
      </c>
      <c r="E6" s="698">
        <f>SUM(G6:U6)</f>
        <v>0</v>
      </c>
      <c r="F6" s="169" t="s">
        <v>583</v>
      </c>
      <c r="G6" s="916">
        <f>SUMIF(STAT_TRA_Survey_Pkm!$C$8:$C$23, DEMAND_Pkm_Tkm!$C6, STAT_TRA_Survey_Pkm!D$8:D$23)</f>
        <v>0</v>
      </c>
      <c r="H6" s="916">
        <f>SUMIF(STAT_TRA_Survey_Pkm!$C$8:$C$23, DEMAND_Pkm_Tkm!$C6, STAT_TRA_Survey_Pkm!E$8:E$23)</f>
        <v>0</v>
      </c>
      <c r="I6" s="916">
        <f>SUMIF(STAT_TRA_Survey_Pkm!$C$8:$C$23, DEMAND_Pkm_Tkm!$C6, STAT_TRA_Survey_Pkm!F$8:F$23)</f>
        <v>0</v>
      </c>
      <c r="J6" s="916">
        <f>SUMIF(STAT_TRA_Survey_Pkm!$C$8:$C$23, DEMAND_Pkm_Tkm!$C6, STAT_TRA_Survey_Pkm!G$8:G$23)</f>
        <v>0</v>
      </c>
      <c r="K6" s="916">
        <f>SUMIF(STAT_TRA_Survey_Pkm!$C$8:$C$23, DEMAND_Pkm_Tkm!$C6, STAT_TRA_Survey_Pkm!H$8:H$23)</f>
        <v>0</v>
      </c>
      <c r="L6" s="916">
        <f>SUMIF(STAT_TRA_Survey_Pkm!$C$8:$C$23, DEMAND_Pkm_Tkm!$C6, STAT_TRA_Survey_Pkm!I$8:I$23)</f>
        <v>0</v>
      </c>
      <c r="M6" s="916">
        <f>SUMIF(STAT_TRA_Survey_Pkm!$C$8:$C$23, DEMAND_Pkm_Tkm!$C6, STAT_TRA_Survey_Pkm!J$8:J$23)</f>
        <v>0</v>
      </c>
      <c r="N6" s="916">
        <f>SUMIF(STAT_TRA_Survey_Pkm!$C$8:$C$23, DEMAND_Pkm_Tkm!$C6, STAT_TRA_Survey_Pkm!K$8:K$23)</f>
        <v>0</v>
      </c>
      <c r="O6" s="916">
        <f>SUMIF(STAT_TRA_Survey_Pkm!$C$8:$C$23, DEMAND_Pkm_Tkm!$C6, STAT_TRA_Survey_Pkm!L$8:L$23)</f>
        <v>0</v>
      </c>
      <c r="P6" s="916">
        <f>SUMIF(STAT_TRA_Survey_Pkm!$C$8:$C$23, DEMAND_Pkm_Tkm!$C6, STAT_TRA_Survey_Pkm!M$8:M$23)</f>
        <v>0</v>
      </c>
      <c r="Q6" s="916">
        <f>SUMIF(STAT_TRA_Survey_Pkm!$C$8:$C$23, DEMAND_Pkm_Tkm!$C6, STAT_TRA_Survey_Pkm!N$8:N$23)</f>
        <v>0</v>
      </c>
      <c r="R6" s="916">
        <f>SUMIF(STAT_TRA_Survey_Pkm!$C$8:$C$23, DEMAND_Pkm_Tkm!$C6, STAT_TRA_Survey_Pkm!O$8:O$23)</f>
        <v>0</v>
      </c>
      <c r="S6" s="916">
        <f>SUMIF(STAT_TRA_Survey_Pkm!$C$8:$C$23, DEMAND_Pkm_Tkm!$C6, STAT_TRA_Survey_Pkm!P$8:P$23)</f>
        <v>0</v>
      </c>
      <c r="T6" s="916">
        <f>SUMIF(STAT_TRA_Survey_Pkm!$C$8:$C$23, DEMAND_Pkm_Tkm!$C6, STAT_TRA_Survey_Pkm!Q$8:Q$23)</f>
        <v>0</v>
      </c>
      <c r="U6" s="916">
        <f>SUMIF(STAT_TRA_Survey_Pkm!$C$8:$C$23, DEMAND_Pkm_Tkm!$C6, STAT_TRA_Survey_Pkm!R$8:R$23)</f>
        <v>0</v>
      </c>
      <c r="V6" s="117" t="str">
        <f t="shared" ref="V6:V43" si="0">IF(E6=SUM(G6:U6),"ok","Too high/low")</f>
        <v>ok</v>
      </c>
    </row>
    <row r="7" spans="2:25" x14ac:dyDescent="0.25">
      <c r="B7" s="18" t="str">
        <f>IF(COUNTIF(TRA_Comm!$C$29:$C$90,DEMAND_Pkm_Tkm!C7)=1,"X","De-Active")</f>
        <v>X</v>
      </c>
      <c r="C7" s="169" t="s">
        <v>584</v>
      </c>
      <c r="D7" s="169" t="s">
        <v>585</v>
      </c>
      <c r="E7" s="698">
        <f t="shared" ref="E7:E43" si="1">SUM(G7:U7)</f>
        <v>0</v>
      </c>
      <c r="F7" s="169" t="s">
        <v>583</v>
      </c>
      <c r="G7" s="916">
        <f>SUMIF(STAT_TRA_Survey_Pkm!$C$8:$C$23, DEMAND_Pkm_Tkm!$C7, STAT_TRA_Survey_Pkm!D$8:D$23)</f>
        <v>0</v>
      </c>
      <c r="H7" s="916">
        <f>SUMIF(STAT_TRA_Survey_Pkm!$C$8:$C$23, DEMAND_Pkm_Tkm!$C7, STAT_TRA_Survey_Pkm!E$8:E$23)</f>
        <v>0</v>
      </c>
      <c r="I7" s="916">
        <f>SUMIF(STAT_TRA_Survey_Pkm!$C$8:$C$23, DEMAND_Pkm_Tkm!$C7, STAT_TRA_Survey_Pkm!F$8:F$23)</f>
        <v>0</v>
      </c>
      <c r="J7" s="916">
        <f>SUMIF(STAT_TRA_Survey_Pkm!$C$8:$C$23, DEMAND_Pkm_Tkm!$C7, STAT_TRA_Survey_Pkm!G$8:G$23)</f>
        <v>0</v>
      </c>
      <c r="K7" s="916">
        <f>SUMIF(STAT_TRA_Survey_Pkm!$C$8:$C$23, DEMAND_Pkm_Tkm!$C7, STAT_TRA_Survey_Pkm!H$8:H$23)</f>
        <v>0</v>
      </c>
      <c r="L7" s="916">
        <f>SUMIF(STAT_TRA_Survey_Pkm!$C$8:$C$23, DEMAND_Pkm_Tkm!$C7, STAT_TRA_Survey_Pkm!I$8:I$23)</f>
        <v>0</v>
      </c>
      <c r="M7" s="916">
        <f>SUMIF(STAT_TRA_Survey_Pkm!$C$8:$C$23, DEMAND_Pkm_Tkm!$C7, STAT_TRA_Survey_Pkm!J$8:J$23)</f>
        <v>0</v>
      </c>
      <c r="N7" s="916">
        <f>SUMIF(STAT_TRA_Survey_Pkm!$C$8:$C$23, DEMAND_Pkm_Tkm!$C7, STAT_TRA_Survey_Pkm!K$8:K$23)</f>
        <v>0</v>
      </c>
      <c r="O7" s="916">
        <f>SUMIF(STAT_TRA_Survey_Pkm!$C$8:$C$23, DEMAND_Pkm_Tkm!$C7, STAT_TRA_Survey_Pkm!L$8:L$23)</f>
        <v>0</v>
      </c>
      <c r="P7" s="916">
        <f>SUMIF(STAT_TRA_Survey_Pkm!$C$8:$C$23, DEMAND_Pkm_Tkm!$C7, STAT_TRA_Survey_Pkm!M$8:M$23)</f>
        <v>0</v>
      </c>
      <c r="Q7" s="916">
        <f>SUMIF(STAT_TRA_Survey_Pkm!$C$8:$C$23, DEMAND_Pkm_Tkm!$C7, STAT_TRA_Survey_Pkm!N$8:N$23)</f>
        <v>0</v>
      </c>
      <c r="R7" s="916">
        <f>SUMIF(STAT_TRA_Survey_Pkm!$C$8:$C$23, DEMAND_Pkm_Tkm!$C7, STAT_TRA_Survey_Pkm!O$8:O$23)</f>
        <v>0</v>
      </c>
      <c r="S7" s="916">
        <f>SUMIF(STAT_TRA_Survey_Pkm!$C$8:$C$23, DEMAND_Pkm_Tkm!$C7, STAT_TRA_Survey_Pkm!P$8:P$23)</f>
        <v>0</v>
      </c>
      <c r="T7" s="916">
        <f>SUMIF(STAT_TRA_Survey_Pkm!$C$8:$C$23, DEMAND_Pkm_Tkm!$C7, STAT_TRA_Survey_Pkm!Q$8:Q$23)</f>
        <v>0</v>
      </c>
      <c r="U7" s="916">
        <f>SUMIF(STAT_TRA_Survey_Pkm!$C$8:$C$23, DEMAND_Pkm_Tkm!$C7, STAT_TRA_Survey_Pkm!R$8:R$23)</f>
        <v>0</v>
      </c>
      <c r="V7" s="117" t="str">
        <f t="shared" si="0"/>
        <v>ok</v>
      </c>
    </row>
    <row r="8" spans="2:25" x14ac:dyDescent="0.25">
      <c r="B8" s="18" t="str">
        <f>IF(COUNTIF(TRA_Comm!$C$29:$C$90,DEMAND_Pkm_Tkm!C8)=1,"X","De-Active")</f>
        <v>X</v>
      </c>
      <c r="C8" s="169" t="s">
        <v>82</v>
      </c>
      <c r="D8" s="169" t="s">
        <v>586</v>
      </c>
      <c r="E8" s="698">
        <f t="shared" si="1"/>
        <v>0</v>
      </c>
      <c r="F8" s="169" t="s">
        <v>583</v>
      </c>
      <c r="G8" s="916">
        <f>SUMIF(STAT_TRA_Survey_Pkm!$C$8:$C$23, DEMAND_Pkm_Tkm!$C8, STAT_TRA_Survey_Pkm!D$8:D$23)</f>
        <v>0</v>
      </c>
      <c r="H8" s="916">
        <f>SUMIF(STAT_TRA_Survey_Pkm!$C$8:$C$23, DEMAND_Pkm_Tkm!$C8, STAT_TRA_Survey_Pkm!E$8:E$23)</f>
        <v>0</v>
      </c>
      <c r="I8" s="916">
        <f>SUMIF(STAT_TRA_Survey_Pkm!$C$8:$C$23, DEMAND_Pkm_Tkm!$C8, STAT_TRA_Survey_Pkm!F$8:F$23)</f>
        <v>0</v>
      </c>
      <c r="J8" s="916">
        <f>SUMIF(STAT_TRA_Survey_Pkm!$C$8:$C$23, DEMAND_Pkm_Tkm!$C8, STAT_TRA_Survey_Pkm!G$8:G$23)</f>
        <v>0</v>
      </c>
      <c r="K8" s="916">
        <f>SUMIF(STAT_TRA_Survey_Pkm!$C$8:$C$23, DEMAND_Pkm_Tkm!$C8, STAT_TRA_Survey_Pkm!H$8:H$23)</f>
        <v>0</v>
      </c>
      <c r="L8" s="916">
        <f>SUMIF(STAT_TRA_Survey_Pkm!$C$8:$C$23, DEMAND_Pkm_Tkm!$C8, STAT_TRA_Survey_Pkm!I$8:I$23)</f>
        <v>0</v>
      </c>
      <c r="M8" s="916">
        <f>SUMIF(STAT_TRA_Survey_Pkm!$C$8:$C$23, DEMAND_Pkm_Tkm!$C8, STAT_TRA_Survey_Pkm!J$8:J$23)</f>
        <v>0</v>
      </c>
      <c r="N8" s="916">
        <f>SUMIF(STAT_TRA_Survey_Pkm!$C$8:$C$23, DEMAND_Pkm_Tkm!$C8, STAT_TRA_Survey_Pkm!K$8:K$23)</f>
        <v>0</v>
      </c>
      <c r="O8" s="916">
        <f>SUMIF(STAT_TRA_Survey_Pkm!$C$8:$C$23, DEMAND_Pkm_Tkm!$C8, STAT_TRA_Survey_Pkm!L$8:L$23)</f>
        <v>0</v>
      </c>
      <c r="P8" s="916">
        <f>SUMIF(STAT_TRA_Survey_Pkm!$C$8:$C$23, DEMAND_Pkm_Tkm!$C8, STAT_TRA_Survey_Pkm!M$8:M$23)</f>
        <v>0</v>
      </c>
      <c r="Q8" s="916">
        <f>SUMIF(STAT_TRA_Survey_Pkm!$C$8:$C$23, DEMAND_Pkm_Tkm!$C8, STAT_TRA_Survey_Pkm!N$8:N$23)</f>
        <v>0</v>
      </c>
      <c r="R8" s="916">
        <f>SUMIF(STAT_TRA_Survey_Pkm!$C$8:$C$23, DEMAND_Pkm_Tkm!$C8, STAT_TRA_Survey_Pkm!O$8:O$23)</f>
        <v>0</v>
      </c>
      <c r="S8" s="916">
        <f>SUMIF(STAT_TRA_Survey_Pkm!$C$8:$C$23, DEMAND_Pkm_Tkm!$C8, STAT_TRA_Survey_Pkm!P$8:P$23)</f>
        <v>0</v>
      </c>
      <c r="T8" s="916">
        <f>SUMIF(STAT_TRA_Survey_Pkm!$C$8:$C$23, DEMAND_Pkm_Tkm!$C8, STAT_TRA_Survey_Pkm!Q$8:Q$23)</f>
        <v>0</v>
      </c>
      <c r="U8" s="916">
        <f>SUMIF(STAT_TRA_Survey_Pkm!$C$8:$C$23, DEMAND_Pkm_Tkm!$C8, STAT_TRA_Survey_Pkm!R$8:R$23)</f>
        <v>0</v>
      </c>
      <c r="V8" s="117" t="str">
        <f t="shared" si="0"/>
        <v>ok</v>
      </c>
    </row>
    <row r="9" spans="2:25" x14ac:dyDescent="0.25">
      <c r="B9" s="18" t="str">
        <f>IF(COUNTIF(TRA_Comm!$C$29:$C$90,DEMAND_Pkm_Tkm!C9)=1,"X","De-Active")</f>
        <v>X</v>
      </c>
      <c r="C9" s="169" t="s">
        <v>587</v>
      </c>
      <c r="D9" s="169" t="s">
        <v>588</v>
      </c>
      <c r="E9" s="698">
        <f t="shared" si="1"/>
        <v>0</v>
      </c>
      <c r="F9" s="169" t="s">
        <v>583</v>
      </c>
      <c r="G9" s="916">
        <f>SUMIF(STAT_TRA_Survey_Pkm!$C$8:$C$23, DEMAND_Pkm_Tkm!$C9, STAT_TRA_Survey_Pkm!D$8:D$23)</f>
        <v>0</v>
      </c>
      <c r="H9" s="916">
        <f>SUMIF(STAT_TRA_Survey_Pkm!$C$8:$C$23, DEMAND_Pkm_Tkm!$C9, STAT_TRA_Survey_Pkm!E$8:E$23)</f>
        <v>0</v>
      </c>
      <c r="I9" s="916">
        <f>SUMIF(STAT_TRA_Survey_Pkm!$C$8:$C$23, DEMAND_Pkm_Tkm!$C9, STAT_TRA_Survey_Pkm!F$8:F$23)</f>
        <v>0</v>
      </c>
      <c r="J9" s="916">
        <f>SUMIF(STAT_TRA_Survey_Pkm!$C$8:$C$23, DEMAND_Pkm_Tkm!$C9, STAT_TRA_Survey_Pkm!G$8:G$23)</f>
        <v>0</v>
      </c>
      <c r="K9" s="916">
        <f>SUMIF(STAT_TRA_Survey_Pkm!$C$8:$C$23, DEMAND_Pkm_Tkm!$C9, STAT_TRA_Survey_Pkm!H$8:H$23)</f>
        <v>0</v>
      </c>
      <c r="L9" s="916">
        <f>SUMIF(STAT_TRA_Survey_Pkm!$C$8:$C$23, DEMAND_Pkm_Tkm!$C9, STAT_TRA_Survey_Pkm!I$8:I$23)</f>
        <v>0</v>
      </c>
      <c r="M9" s="916">
        <f>SUMIF(STAT_TRA_Survey_Pkm!$C$8:$C$23, DEMAND_Pkm_Tkm!$C9, STAT_TRA_Survey_Pkm!J$8:J$23)</f>
        <v>0</v>
      </c>
      <c r="N9" s="916">
        <f>SUMIF(STAT_TRA_Survey_Pkm!$C$8:$C$23, DEMAND_Pkm_Tkm!$C9, STAT_TRA_Survey_Pkm!K$8:K$23)</f>
        <v>0</v>
      </c>
      <c r="O9" s="916">
        <f>SUMIF(STAT_TRA_Survey_Pkm!$C$8:$C$23, DEMAND_Pkm_Tkm!$C9, STAT_TRA_Survey_Pkm!L$8:L$23)</f>
        <v>0</v>
      </c>
      <c r="P9" s="916">
        <f>SUMIF(STAT_TRA_Survey_Pkm!$C$8:$C$23, DEMAND_Pkm_Tkm!$C9, STAT_TRA_Survey_Pkm!M$8:M$23)</f>
        <v>0</v>
      </c>
      <c r="Q9" s="916">
        <f>SUMIF(STAT_TRA_Survey_Pkm!$C$8:$C$23, DEMAND_Pkm_Tkm!$C9, STAT_TRA_Survey_Pkm!N$8:N$23)</f>
        <v>0</v>
      </c>
      <c r="R9" s="916">
        <f>SUMIF(STAT_TRA_Survey_Pkm!$C$8:$C$23, DEMAND_Pkm_Tkm!$C9, STAT_TRA_Survey_Pkm!O$8:O$23)</f>
        <v>0</v>
      </c>
      <c r="S9" s="916">
        <f>SUMIF(STAT_TRA_Survey_Pkm!$C$8:$C$23, DEMAND_Pkm_Tkm!$C9, STAT_TRA_Survey_Pkm!P$8:P$23)</f>
        <v>0</v>
      </c>
      <c r="T9" s="916">
        <f>SUMIF(STAT_TRA_Survey_Pkm!$C$8:$C$23, DEMAND_Pkm_Tkm!$C9, STAT_TRA_Survey_Pkm!Q$8:Q$23)</f>
        <v>0</v>
      </c>
      <c r="U9" s="916">
        <f>SUMIF(STAT_TRA_Survey_Pkm!$C$8:$C$23, DEMAND_Pkm_Tkm!$C9, STAT_TRA_Survey_Pkm!R$8:R$23)</f>
        <v>0</v>
      </c>
      <c r="V9" s="117" t="str">
        <f t="shared" si="0"/>
        <v>ok</v>
      </c>
    </row>
    <row r="10" spans="2:25" x14ac:dyDescent="0.25">
      <c r="B10" s="18" t="str">
        <f>IF(COUNTIF(TRA_Comm!$C$29:$C$90,DEMAND_Pkm_Tkm!C10)=1,"X","De-Active")</f>
        <v>X</v>
      </c>
      <c r="C10" s="169" t="s">
        <v>414</v>
      </c>
      <c r="D10" s="169" t="s">
        <v>589</v>
      </c>
      <c r="E10" s="698">
        <f t="shared" si="1"/>
        <v>2000</v>
      </c>
      <c r="F10" s="169" t="s">
        <v>583</v>
      </c>
      <c r="G10" s="916">
        <f>SUMIF(STAT_TRA_Survey_Pkm!$C$8:$C$23, DEMAND_Pkm_Tkm!$C10, STAT_TRA_Survey_Pkm!D$8:D$23)</f>
        <v>2000</v>
      </c>
      <c r="H10" s="916">
        <f>SUMIF(STAT_TRA_Survey_Pkm!$C$8:$C$23, DEMAND_Pkm_Tkm!$C10, STAT_TRA_Survey_Pkm!E$8:E$23)</f>
        <v>0</v>
      </c>
      <c r="I10" s="916">
        <f>SUMIF(STAT_TRA_Survey_Pkm!$C$8:$C$23, DEMAND_Pkm_Tkm!$C10, STAT_TRA_Survey_Pkm!F$8:F$23)</f>
        <v>0</v>
      </c>
      <c r="J10" s="916">
        <f>SUMIF(STAT_TRA_Survey_Pkm!$C$8:$C$23, DEMAND_Pkm_Tkm!$C10, STAT_TRA_Survey_Pkm!G$8:G$23)</f>
        <v>0</v>
      </c>
      <c r="K10" s="916">
        <f>SUMIF(STAT_TRA_Survey_Pkm!$C$8:$C$23, DEMAND_Pkm_Tkm!$C10, STAT_TRA_Survey_Pkm!H$8:H$23)</f>
        <v>0</v>
      </c>
      <c r="L10" s="916">
        <f>SUMIF(STAT_TRA_Survey_Pkm!$C$8:$C$23, DEMAND_Pkm_Tkm!$C10, STAT_TRA_Survey_Pkm!I$8:I$23)</f>
        <v>0</v>
      </c>
      <c r="M10" s="916">
        <f>SUMIF(STAT_TRA_Survey_Pkm!$C$8:$C$23, DEMAND_Pkm_Tkm!$C10, STAT_TRA_Survey_Pkm!J$8:J$23)</f>
        <v>0</v>
      </c>
      <c r="N10" s="916">
        <f>SUMIF(STAT_TRA_Survey_Pkm!$C$8:$C$23, DEMAND_Pkm_Tkm!$C10, STAT_TRA_Survey_Pkm!K$8:K$23)</f>
        <v>0</v>
      </c>
      <c r="O10" s="916">
        <f>SUMIF(STAT_TRA_Survey_Pkm!$C$8:$C$23, DEMAND_Pkm_Tkm!$C10, STAT_TRA_Survey_Pkm!L$8:L$23)</f>
        <v>0</v>
      </c>
      <c r="P10" s="916">
        <f>SUMIF(STAT_TRA_Survey_Pkm!$C$8:$C$23, DEMAND_Pkm_Tkm!$C10, STAT_TRA_Survey_Pkm!M$8:M$23)</f>
        <v>0</v>
      </c>
      <c r="Q10" s="916">
        <f>SUMIF(STAT_TRA_Survey_Pkm!$C$8:$C$23, DEMAND_Pkm_Tkm!$C10, STAT_TRA_Survey_Pkm!N$8:N$23)</f>
        <v>0</v>
      </c>
      <c r="R10" s="916">
        <f>SUMIF(STAT_TRA_Survey_Pkm!$C$8:$C$23, DEMAND_Pkm_Tkm!$C10, STAT_TRA_Survey_Pkm!O$8:O$23)</f>
        <v>0</v>
      </c>
      <c r="S10" s="916">
        <f>SUMIF(STAT_TRA_Survey_Pkm!$C$8:$C$23, DEMAND_Pkm_Tkm!$C10, STAT_TRA_Survey_Pkm!P$8:P$23)</f>
        <v>0</v>
      </c>
      <c r="T10" s="916">
        <f>SUMIF(STAT_TRA_Survey_Pkm!$C$8:$C$23, DEMAND_Pkm_Tkm!$C10, STAT_TRA_Survey_Pkm!Q$8:Q$23)</f>
        <v>0</v>
      </c>
      <c r="U10" s="916">
        <f>SUMIF(STAT_TRA_Survey_Pkm!$C$8:$C$23, DEMAND_Pkm_Tkm!$C10, STAT_TRA_Survey_Pkm!R$8:R$23)</f>
        <v>0</v>
      </c>
      <c r="V10" s="117" t="str">
        <f t="shared" si="0"/>
        <v>ok</v>
      </c>
    </row>
    <row r="11" spans="2:25" x14ac:dyDescent="0.25">
      <c r="B11" s="18" t="str">
        <f>IF(COUNTIF(TRA_Comm!$C$29:$C$90,DEMAND_Pkm_Tkm!C11)=1,"X","De-Active")</f>
        <v>X</v>
      </c>
      <c r="C11" s="169" t="s">
        <v>590</v>
      </c>
      <c r="D11" s="169" t="s">
        <v>591</v>
      </c>
      <c r="E11" s="698">
        <f t="shared" si="1"/>
        <v>0</v>
      </c>
      <c r="F11" s="169" t="s">
        <v>583</v>
      </c>
      <c r="G11" s="916">
        <f>SUMIF(STAT_TRA_Survey_Pkm!$C$8:$C$23, DEMAND_Pkm_Tkm!$C11, STAT_TRA_Survey_Pkm!D$8:D$23)</f>
        <v>0</v>
      </c>
      <c r="H11" s="916">
        <f>SUMIF(STAT_TRA_Survey_Pkm!$C$8:$C$23, DEMAND_Pkm_Tkm!$C11, STAT_TRA_Survey_Pkm!E$8:E$23)</f>
        <v>0</v>
      </c>
      <c r="I11" s="916">
        <f>SUMIF(STAT_TRA_Survey_Pkm!$C$8:$C$23, DEMAND_Pkm_Tkm!$C11, STAT_TRA_Survey_Pkm!F$8:F$23)</f>
        <v>0</v>
      </c>
      <c r="J11" s="916">
        <f>SUMIF(STAT_TRA_Survey_Pkm!$C$8:$C$23, DEMAND_Pkm_Tkm!$C11, STAT_TRA_Survey_Pkm!G$8:G$23)</f>
        <v>0</v>
      </c>
      <c r="K11" s="916">
        <f>SUMIF(STAT_TRA_Survey_Pkm!$C$8:$C$23, DEMAND_Pkm_Tkm!$C11, STAT_TRA_Survey_Pkm!H$8:H$23)</f>
        <v>0</v>
      </c>
      <c r="L11" s="916">
        <f>SUMIF(STAT_TRA_Survey_Pkm!$C$8:$C$23, DEMAND_Pkm_Tkm!$C11, STAT_TRA_Survey_Pkm!I$8:I$23)</f>
        <v>0</v>
      </c>
      <c r="M11" s="916">
        <f>SUMIF(STAT_TRA_Survey_Pkm!$C$8:$C$23, DEMAND_Pkm_Tkm!$C11, STAT_TRA_Survey_Pkm!J$8:J$23)</f>
        <v>0</v>
      </c>
      <c r="N11" s="916">
        <f>SUMIF(STAT_TRA_Survey_Pkm!$C$8:$C$23, DEMAND_Pkm_Tkm!$C11, STAT_TRA_Survey_Pkm!K$8:K$23)</f>
        <v>0</v>
      </c>
      <c r="O11" s="916">
        <f>SUMIF(STAT_TRA_Survey_Pkm!$C$8:$C$23, DEMAND_Pkm_Tkm!$C11, STAT_TRA_Survey_Pkm!L$8:L$23)</f>
        <v>0</v>
      </c>
      <c r="P11" s="916">
        <f>SUMIF(STAT_TRA_Survey_Pkm!$C$8:$C$23, DEMAND_Pkm_Tkm!$C11, STAT_TRA_Survey_Pkm!M$8:M$23)</f>
        <v>0</v>
      </c>
      <c r="Q11" s="916">
        <f>SUMIF(STAT_TRA_Survey_Pkm!$C$8:$C$23, DEMAND_Pkm_Tkm!$C11, STAT_TRA_Survey_Pkm!N$8:N$23)</f>
        <v>0</v>
      </c>
      <c r="R11" s="916">
        <f>SUMIF(STAT_TRA_Survey_Pkm!$C$8:$C$23, DEMAND_Pkm_Tkm!$C11, STAT_TRA_Survey_Pkm!O$8:O$23)</f>
        <v>0</v>
      </c>
      <c r="S11" s="916">
        <f>SUMIF(STAT_TRA_Survey_Pkm!$C$8:$C$23, DEMAND_Pkm_Tkm!$C11, STAT_TRA_Survey_Pkm!P$8:P$23)</f>
        <v>0</v>
      </c>
      <c r="T11" s="916">
        <f>SUMIF(STAT_TRA_Survey_Pkm!$C$8:$C$23, DEMAND_Pkm_Tkm!$C11, STAT_TRA_Survey_Pkm!Q$8:Q$23)</f>
        <v>0</v>
      </c>
      <c r="U11" s="916">
        <f>SUMIF(STAT_TRA_Survey_Pkm!$C$8:$C$23, DEMAND_Pkm_Tkm!$C11, STAT_TRA_Survey_Pkm!R$8:R$23)</f>
        <v>0</v>
      </c>
      <c r="V11" s="117" t="str">
        <f t="shared" si="0"/>
        <v>ok</v>
      </c>
    </row>
    <row r="12" spans="2:25" x14ac:dyDescent="0.25">
      <c r="B12" s="18" t="str">
        <f>IF(COUNTIF(TRA_Comm!$C$29:$C$90,DEMAND_Pkm_Tkm!C12)=1,"X","De-Active")</f>
        <v>X</v>
      </c>
      <c r="C12" s="169" t="s">
        <v>415</v>
      </c>
      <c r="D12" s="169" t="s">
        <v>592</v>
      </c>
      <c r="E12" s="698">
        <f t="shared" si="1"/>
        <v>0</v>
      </c>
      <c r="F12" s="169" t="s">
        <v>583</v>
      </c>
      <c r="G12" s="916">
        <f>SUMIF(STAT_TRA_Survey_Pkm!$C$8:$C$23, DEMAND_Pkm_Tkm!$C12, STAT_TRA_Survey_Pkm!D$8:D$23)</f>
        <v>0</v>
      </c>
      <c r="H12" s="916">
        <f>SUMIF(STAT_TRA_Survey_Pkm!$C$8:$C$23, DEMAND_Pkm_Tkm!$C12, STAT_TRA_Survey_Pkm!E$8:E$23)</f>
        <v>0</v>
      </c>
      <c r="I12" s="916">
        <f>SUMIF(STAT_TRA_Survey_Pkm!$C$8:$C$23, DEMAND_Pkm_Tkm!$C12, STAT_TRA_Survey_Pkm!F$8:F$23)</f>
        <v>0</v>
      </c>
      <c r="J12" s="916">
        <f>SUMIF(STAT_TRA_Survey_Pkm!$C$8:$C$23, DEMAND_Pkm_Tkm!$C12, STAT_TRA_Survey_Pkm!G$8:G$23)</f>
        <v>0</v>
      </c>
      <c r="K12" s="916">
        <f>SUMIF(STAT_TRA_Survey_Pkm!$C$8:$C$23, DEMAND_Pkm_Tkm!$C12, STAT_TRA_Survey_Pkm!H$8:H$23)</f>
        <v>0</v>
      </c>
      <c r="L12" s="916">
        <f>SUMIF(STAT_TRA_Survey_Pkm!$C$8:$C$23, DEMAND_Pkm_Tkm!$C12, STAT_TRA_Survey_Pkm!I$8:I$23)</f>
        <v>0</v>
      </c>
      <c r="M12" s="916">
        <f>SUMIF(STAT_TRA_Survey_Pkm!$C$8:$C$23, DEMAND_Pkm_Tkm!$C12, STAT_TRA_Survey_Pkm!J$8:J$23)</f>
        <v>0</v>
      </c>
      <c r="N12" s="916">
        <f>SUMIF(STAT_TRA_Survey_Pkm!$C$8:$C$23, DEMAND_Pkm_Tkm!$C12, STAT_TRA_Survey_Pkm!K$8:K$23)</f>
        <v>0</v>
      </c>
      <c r="O12" s="916">
        <f>SUMIF(STAT_TRA_Survey_Pkm!$C$8:$C$23, DEMAND_Pkm_Tkm!$C12, STAT_TRA_Survey_Pkm!L$8:L$23)</f>
        <v>0</v>
      </c>
      <c r="P12" s="916">
        <f>SUMIF(STAT_TRA_Survey_Pkm!$C$8:$C$23, DEMAND_Pkm_Tkm!$C12, STAT_TRA_Survey_Pkm!M$8:M$23)</f>
        <v>0</v>
      </c>
      <c r="Q12" s="916">
        <f>SUMIF(STAT_TRA_Survey_Pkm!$C$8:$C$23, DEMAND_Pkm_Tkm!$C12, STAT_TRA_Survey_Pkm!N$8:N$23)</f>
        <v>0</v>
      </c>
      <c r="R12" s="916">
        <f>SUMIF(STAT_TRA_Survey_Pkm!$C$8:$C$23, DEMAND_Pkm_Tkm!$C12, STAT_TRA_Survey_Pkm!O$8:O$23)</f>
        <v>0</v>
      </c>
      <c r="S12" s="916">
        <f>SUMIF(STAT_TRA_Survey_Pkm!$C$8:$C$23, DEMAND_Pkm_Tkm!$C12, STAT_TRA_Survey_Pkm!P$8:P$23)</f>
        <v>0</v>
      </c>
      <c r="T12" s="916">
        <f>SUMIF(STAT_TRA_Survey_Pkm!$C$8:$C$23, DEMAND_Pkm_Tkm!$C12, STAT_TRA_Survey_Pkm!Q$8:Q$23)</f>
        <v>0</v>
      </c>
      <c r="U12" s="916">
        <f>SUMIF(STAT_TRA_Survey_Pkm!$C$8:$C$23, DEMAND_Pkm_Tkm!$C12, STAT_TRA_Survey_Pkm!R$8:R$23)</f>
        <v>0</v>
      </c>
      <c r="V12" s="117" t="str">
        <f t="shared" si="0"/>
        <v>ok</v>
      </c>
    </row>
    <row r="13" spans="2:25" x14ac:dyDescent="0.25">
      <c r="B13" s="18" t="str">
        <f>IF(COUNTIF(TRA_Comm!$C$29:$C$90,DEMAND_Pkm_Tkm!C13)=1,"X","De-Active")</f>
        <v>X</v>
      </c>
      <c r="C13" s="169" t="s">
        <v>593</v>
      </c>
      <c r="D13" s="169" t="s">
        <v>594</v>
      </c>
      <c r="E13" s="698">
        <f t="shared" si="1"/>
        <v>0</v>
      </c>
      <c r="F13" s="169" t="s">
        <v>583</v>
      </c>
      <c r="G13" s="916">
        <f>SUMIF(STAT_TRA_Survey_Pkm!$C$8:$C$23, DEMAND_Pkm_Tkm!$C13, STAT_TRA_Survey_Pkm!D$8:D$23)</f>
        <v>0</v>
      </c>
      <c r="H13" s="916">
        <f>SUMIF(STAT_TRA_Survey_Pkm!$C$8:$C$23, DEMAND_Pkm_Tkm!$C13, STAT_TRA_Survey_Pkm!E$8:E$23)</f>
        <v>0</v>
      </c>
      <c r="I13" s="916">
        <f>SUMIF(STAT_TRA_Survey_Pkm!$C$8:$C$23, DEMAND_Pkm_Tkm!$C13, STAT_TRA_Survey_Pkm!F$8:F$23)</f>
        <v>0</v>
      </c>
      <c r="J13" s="916">
        <f>SUMIF(STAT_TRA_Survey_Pkm!$C$8:$C$23, DEMAND_Pkm_Tkm!$C13, STAT_TRA_Survey_Pkm!G$8:G$23)</f>
        <v>0</v>
      </c>
      <c r="K13" s="916">
        <f>SUMIF(STAT_TRA_Survey_Pkm!$C$8:$C$23, DEMAND_Pkm_Tkm!$C13, STAT_TRA_Survey_Pkm!H$8:H$23)</f>
        <v>0</v>
      </c>
      <c r="L13" s="916">
        <f>SUMIF(STAT_TRA_Survey_Pkm!$C$8:$C$23, DEMAND_Pkm_Tkm!$C13, STAT_TRA_Survey_Pkm!I$8:I$23)</f>
        <v>0</v>
      </c>
      <c r="M13" s="916">
        <f>SUMIF(STAT_TRA_Survey_Pkm!$C$8:$C$23, DEMAND_Pkm_Tkm!$C13, STAT_TRA_Survey_Pkm!J$8:J$23)</f>
        <v>0</v>
      </c>
      <c r="N13" s="916">
        <f>SUMIF(STAT_TRA_Survey_Pkm!$C$8:$C$23, DEMAND_Pkm_Tkm!$C13, STAT_TRA_Survey_Pkm!K$8:K$23)</f>
        <v>0</v>
      </c>
      <c r="O13" s="916">
        <f>SUMIF(STAT_TRA_Survey_Pkm!$C$8:$C$23, DEMAND_Pkm_Tkm!$C13, STAT_TRA_Survey_Pkm!L$8:L$23)</f>
        <v>0</v>
      </c>
      <c r="P13" s="916">
        <f>SUMIF(STAT_TRA_Survey_Pkm!$C$8:$C$23, DEMAND_Pkm_Tkm!$C13, STAT_TRA_Survey_Pkm!M$8:M$23)</f>
        <v>0</v>
      </c>
      <c r="Q13" s="916">
        <f>SUMIF(STAT_TRA_Survey_Pkm!$C$8:$C$23, DEMAND_Pkm_Tkm!$C13, STAT_TRA_Survey_Pkm!N$8:N$23)</f>
        <v>0</v>
      </c>
      <c r="R13" s="916">
        <f>SUMIF(STAT_TRA_Survey_Pkm!$C$8:$C$23, DEMAND_Pkm_Tkm!$C13, STAT_TRA_Survey_Pkm!O$8:O$23)</f>
        <v>0</v>
      </c>
      <c r="S13" s="916">
        <f>SUMIF(STAT_TRA_Survey_Pkm!$C$8:$C$23, DEMAND_Pkm_Tkm!$C13, STAT_TRA_Survey_Pkm!P$8:P$23)</f>
        <v>0</v>
      </c>
      <c r="T13" s="916">
        <f>SUMIF(STAT_TRA_Survey_Pkm!$C$8:$C$23, DEMAND_Pkm_Tkm!$C13, STAT_TRA_Survey_Pkm!Q$8:Q$23)</f>
        <v>0</v>
      </c>
      <c r="U13" s="916">
        <f>SUMIF(STAT_TRA_Survey_Pkm!$C$8:$C$23, DEMAND_Pkm_Tkm!$C13, STAT_TRA_Survey_Pkm!R$8:R$23)</f>
        <v>0</v>
      </c>
      <c r="V13" s="117" t="str">
        <f t="shared" si="0"/>
        <v>ok</v>
      </c>
    </row>
    <row r="14" spans="2:25" x14ac:dyDescent="0.25">
      <c r="B14" s="18" t="str">
        <f>IF(COUNTIF(TRA_Comm!$C$29:$C$90,DEMAND_Pkm_Tkm!C14)=1,"X","De-Active")</f>
        <v>X</v>
      </c>
      <c r="C14" s="169" t="s">
        <v>402</v>
      </c>
      <c r="D14" s="169" t="s">
        <v>595</v>
      </c>
      <c r="E14" s="698">
        <f t="shared" si="1"/>
        <v>4794.12</v>
      </c>
      <c r="F14" s="169" t="s">
        <v>583</v>
      </c>
      <c r="G14" s="916">
        <f>SUMIF(STAT_TRA_Survey_Pkm!$C$8:$C$23, DEMAND_Pkm_Tkm!$C14, STAT_TRA_Survey_Pkm!D$8:D$23)</f>
        <v>4794.12</v>
      </c>
      <c r="H14" s="916">
        <f>SUMIF(STAT_TRA_Survey_Pkm!$C$8:$C$23, DEMAND_Pkm_Tkm!$C14, STAT_TRA_Survey_Pkm!E$8:E$23)</f>
        <v>0</v>
      </c>
      <c r="I14" s="916">
        <f>SUMIF(STAT_TRA_Survey_Pkm!$C$8:$C$23, DEMAND_Pkm_Tkm!$C14, STAT_TRA_Survey_Pkm!F$8:F$23)</f>
        <v>0</v>
      </c>
      <c r="J14" s="916">
        <f>SUMIF(STAT_TRA_Survey_Pkm!$C$8:$C$23, DEMAND_Pkm_Tkm!$C14, STAT_TRA_Survey_Pkm!G$8:G$23)</f>
        <v>0</v>
      </c>
      <c r="K14" s="916">
        <f>SUMIF(STAT_TRA_Survey_Pkm!$C$8:$C$23, DEMAND_Pkm_Tkm!$C14, STAT_TRA_Survey_Pkm!H$8:H$23)</f>
        <v>0</v>
      </c>
      <c r="L14" s="916">
        <f>SUMIF(STAT_TRA_Survey_Pkm!$C$8:$C$23, DEMAND_Pkm_Tkm!$C14, STAT_TRA_Survey_Pkm!I$8:I$23)</f>
        <v>0</v>
      </c>
      <c r="M14" s="916">
        <f>SUMIF(STAT_TRA_Survey_Pkm!$C$8:$C$23, DEMAND_Pkm_Tkm!$C14, STAT_TRA_Survey_Pkm!J$8:J$23)</f>
        <v>0</v>
      </c>
      <c r="N14" s="916">
        <f>SUMIF(STAT_TRA_Survey_Pkm!$C$8:$C$23, DEMAND_Pkm_Tkm!$C14, STAT_TRA_Survey_Pkm!K$8:K$23)</f>
        <v>0</v>
      </c>
      <c r="O14" s="916">
        <f>SUMIF(STAT_TRA_Survey_Pkm!$C$8:$C$23, DEMAND_Pkm_Tkm!$C14, STAT_TRA_Survey_Pkm!L$8:L$23)</f>
        <v>0</v>
      </c>
      <c r="P14" s="916">
        <f>SUMIF(STAT_TRA_Survey_Pkm!$C$8:$C$23, DEMAND_Pkm_Tkm!$C14, STAT_TRA_Survey_Pkm!M$8:M$23)</f>
        <v>0</v>
      </c>
      <c r="Q14" s="916">
        <f>SUMIF(STAT_TRA_Survey_Pkm!$C$8:$C$23, DEMAND_Pkm_Tkm!$C14, STAT_TRA_Survey_Pkm!N$8:N$23)</f>
        <v>0</v>
      </c>
      <c r="R14" s="916">
        <f>SUMIF(STAT_TRA_Survey_Pkm!$C$8:$C$23, DEMAND_Pkm_Tkm!$C14, STAT_TRA_Survey_Pkm!O$8:O$23)</f>
        <v>0</v>
      </c>
      <c r="S14" s="916">
        <f>SUMIF(STAT_TRA_Survey_Pkm!$C$8:$C$23, DEMAND_Pkm_Tkm!$C14, STAT_TRA_Survey_Pkm!P$8:P$23)</f>
        <v>0</v>
      </c>
      <c r="T14" s="916">
        <f>SUMIF(STAT_TRA_Survey_Pkm!$C$8:$C$23, DEMAND_Pkm_Tkm!$C14, STAT_TRA_Survey_Pkm!Q$8:Q$23)</f>
        <v>0</v>
      </c>
      <c r="U14" s="916">
        <f>SUMIF(STAT_TRA_Survey_Pkm!$C$8:$C$23, DEMAND_Pkm_Tkm!$C14, STAT_TRA_Survey_Pkm!R$8:R$23)</f>
        <v>0</v>
      </c>
      <c r="V14" s="117" t="str">
        <f>IF(E14=SUM(G14:U14),"ok","Too high/low")</f>
        <v>ok</v>
      </c>
      <c r="X14" s="581"/>
      <c r="Y14" s="582"/>
    </row>
    <row r="15" spans="2:25" x14ac:dyDescent="0.25">
      <c r="B15" s="18" t="str">
        <f>IF(COUNTIF(TRA_Comm!$C$29:$C$90,DEMAND_Pkm_Tkm!C15)=1,"X","De-Active")</f>
        <v>X</v>
      </c>
      <c r="C15" s="169" t="s">
        <v>406</v>
      </c>
      <c r="D15" s="169" t="s">
        <v>596</v>
      </c>
      <c r="E15" s="698">
        <f t="shared" si="1"/>
        <v>0</v>
      </c>
      <c r="F15" s="169" t="s">
        <v>583</v>
      </c>
      <c r="G15" s="916">
        <f>SUMIF(STAT_TRA_Survey_Pkm!$C$8:$C$23, DEMAND_Pkm_Tkm!$C15, STAT_TRA_Survey_Pkm!D$8:D$23)</f>
        <v>0</v>
      </c>
      <c r="H15" s="916">
        <f>SUMIF(STAT_TRA_Survey_Pkm!$C$8:$C$23, DEMAND_Pkm_Tkm!$C15, STAT_TRA_Survey_Pkm!E$8:E$23)</f>
        <v>0</v>
      </c>
      <c r="I15" s="916">
        <f>SUMIF(STAT_TRA_Survey_Pkm!$C$8:$C$23, DEMAND_Pkm_Tkm!$C15, STAT_TRA_Survey_Pkm!F$8:F$23)</f>
        <v>0</v>
      </c>
      <c r="J15" s="916">
        <f>SUMIF(STAT_TRA_Survey_Pkm!$C$8:$C$23, DEMAND_Pkm_Tkm!$C15, STAT_TRA_Survey_Pkm!G$8:G$23)</f>
        <v>0</v>
      </c>
      <c r="K15" s="916">
        <f>SUMIF(STAT_TRA_Survey_Pkm!$C$8:$C$23, DEMAND_Pkm_Tkm!$C15, STAT_TRA_Survey_Pkm!H$8:H$23)</f>
        <v>0</v>
      </c>
      <c r="L15" s="916">
        <f>SUMIF(STAT_TRA_Survey_Pkm!$C$8:$C$23, DEMAND_Pkm_Tkm!$C15, STAT_TRA_Survey_Pkm!I$8:I$23)</f>
        <v>0</v>
      </c>
      <c r="M15" s="916">
        <f>SUMIF(STAT_TRA_Survey_Pkm!$C$8:$C$23, DEMAND_Pkm_Tkm!$C15, STAT_TRA_Survey_Pkm!J$8:J$23)</f>
        <v>0</v>
      </c>
      <c r="N15" s="916">
        <f>SUMIF(STAT_TRA_Survey_Pkm!$C$8:$C$23, DEMAND_Pkm_Tkm!$C15, STAT_TRA_Survey_Pkm!K$8:K$23)</f>
        <v>0</v>
      </c>
      <c r="O15" s="916">
        <f>SUMIF(STAT_TRA_Survey_Pkm!$C$8:$C$23, DEMAND_Pkm_Tkm!$C15, STAT_TRA_Survey_Pkm!L$8:L$23)</f>
        <v>0</v>
      </c>
      <c r="P15" s="916">
        <f>SUMIF(STAT_TRA_Survey_Pkm!$C$8:$C$23, DEMAND_Pkm_Tkm!$C15, STAT_TRA_Survey_Pkm!M$8:M$23)</f>
        <v>0</v>
      </c>
      <c r="Q15" s="916">
        <f>SUMIF(STAT_TRA_Survey_Pkm!$C$8:$C$23, DEMAND_Pkm_Tkm!$C15, STAT_TRA_Survey_Pkm!N$8:N$23)</f>
        <v>0</v>
      </c>
      <c r="R15" s="916">
        <f>SUMIF(STAT_TRA_Survey_Pkm!$C$8:$C$23, DEMAND_Pkm_Tkm!$C15, STAT_TRA_Survey_Pkm!O$8:O$23)</f>
        <v>0</v>
      </c>
      <c r="S15" s="916">
        <f>SUMIF(STAT_TRA_Survey_Pkm!$C$8:$C$23, DEMAND_Pkm_Tkm!$C15, STAT_TRA_Survey_Pkm!P$8:P$23)</f>
        <v>0</v>
      </c>
      <c r="T15" s="916">
        <f>SUMIF(STAT_TRA_Survey_Pkm!$C$8:$C$23, DEMAND_Pkm_Tkm!$C15, STAT_TRA_Survey_Pkm!Q$8:Q$23)</f>
        <v>0</v>
      </c>
      <c r="U15" s="916">
        <f>SUMIF(STAT_TRA_Survey_Pkm!$C$8:$C$23, DEMAND_Pkm_Tkm!$C15, STAT_TRA_Survey_Pkm!R$8:R$23)</f>
        <v>0</v>
      </c>
      <c r="V15" s="117" t="str">
        <f t="shared" si="0"/>
        <v>ok</v>
      </c>
    </row>
    <row r="16" spans="2:25" x14ac:dyDescent="0.25">
      <c r="B16" s="18" t="str">
        <f>IF(COUNTIF(TRA_Comm!$C$29:$C$90,DEMAND_Pkm_Tkm!C16)=1,"X","De-Active")</f>
        <v>X</v>
      </c>
      <c r="C16" s="169" t="s">
        <v>410</v>
      </c>
      <c r="D16" s="169" t="s">
        <v>597</v>
      </c>
      <c r="E16" s="698">
        <f t="shared" si="1"/>
        <v>0</v>
      </c>
      <c r="F16" s="169" t="s">
        <v>583</v>
      </c>
      <c r="G16" s="916">
        <f>SUMIF(STAT_TRA_Survey_Pkm!$C$8:$C$23, DEMAND_Pkm_Tkm!$C16, STAT_TRA_Survey_Pkm!D$8:D$23)</f>
        <v>0</v>
      </c>
      <c r="H16" s="916">
        <f>SUMIF(STAT_TRA_Survey_Pkm!$C$8:$C$23, DEMAND_Pkm_Tkm!$C16, STAT_TRA_Survey_Pkm!E$8:E$23)</f>
        <v>0</v>
      </c>
      <c r="I16" s="916">
        <f>SUMIF(STAT_TRA_Survey_Pkm!$C$8:$C$23, DEMAND_Pkm_Tkm!$C16, STAT_TRA_Survey_Pkm!F$8:F$23)</f>
        <v>0</v>
      </c>
      <c r="J16" s="916">
        <f>SUMIF(STAT_TRA_Survey_Pkm!$C$8:$C$23, DEMAND_Pkm_Tkm!$C16, STAT_TRA_Survey_Pkm!G$8:G$23)</f>
        <v>0</v>
      </c>
      <c r="K16" s="916">
        <f>SUMIF(STAT_TRA_Survey_Pkm!$C$8:$C$23, DEMAND_Pkm_Tkm!$C16, STAT_TRA_Survey_Pkm!H$8:H$23)</f>
        <v>0</v>
      </c>
      <c r="L16" s="916">
        <f>SUMIF(STAT_TRA_Survey_Pkm!$C$8:$C$23, DEMAND_Pkm_Tkm!$C16, STAT_TRA_Survey_Pkm!I$8:I$23)</f>
        <v>0</v>
      </c>
      <c r="M16" s="916">
        <f>SUMIF(STAT_TRA_Survey_Pkm!$C$8:$C$23, DEMAND_Pkm_Tkm!$C16, STAT_TRA_Survey_Pkm!J$8:J$23)</f>
        <v>0</v>
      </c>
      <c r="N16" s="916">
        <f>SUMIF(STAT_TRA_Survey_Pkm!$C$8:$C$23, DEMAND_Pkm_Tkm!$C16, STAT_TRA_Survey_Pkm!K$8:K$23)</f>
        <v>0</v>
      </c>
      <c r="O16" s="916">
        <f>SUMIF(STAT_TRA_Survey_Pkm!$C$8:$C$23, DEMAND_Pkm_Tkm!$C16, STAT_TRA_Survey_Pkm!L$8:L$23)</f>
        <v>0</v>
      </c>
      <c r="P16" s="916">
        <f>SUMIF(STAT_TRA_Survey_Pkm!$C$8:$C$23, DEMAND_Pkm_Tkm!$C16, STAT_TRA_Survey_Pkm!M$8:M$23)</f>
        <v>0</v>
      </c>
      <c r="Q16" s="916">
        <f>SUMIF(STAT_TRA_Survey_Pkm!$C$8:$C$23, DEMAND_Pkm_Tkm!$C16, STAT_TRA_Survey_Pkm!N$8:N$23)</f>
        <v>0</v>
      </c>
      <c r="R16" s="916">
        <f>SUMIF(STAT_TRA_Survey_Pkm!$C$8:$C$23, DEMAND_Pkm_Tkm!$C16, STAT_TRA_Survey_Pkm!O$8:O$23)</f>
        <v>0</v>
      </c>
      <c r="S16" s="916">
        <f>SUMIF(STAT_TRA_Survey_Pkm!$C$8:$C$23, DEMAND_Pkm_Tkm!$C16, STAT_TRA_Survey_Pkm!P$8:P$23)</f>
        <v>0</v>
      </c>
      <c r="T16" s="916">
        <f>SUMIF(STAT_TRA_Survey_Pkm!$C$8:$C$23, DEMAND_Pkm_Tkm!$C16, STAT_TRA_Survey_Pkm!Q$8:Q$23)</f>
        <v>0</v>
      </c>
      <c r="U16" s="916">
        <f>SUMIF(STAT_TRA_Survey_Pkm!$C$8:$C$23, DEMAND_Pkm_Tkm!$C16, STAT_TRA_Survey_Pkm!R$8:R$23)</f>
        <v>0</v>
      </c>
      <c r="V16" s="117" t="str">
        <f t="shared" si="0"/>
        <v>ok</v>
      </c>
    </row>
    <row r="17" spans="2:22" x14ac:dyDescent="0.25">
      <c r="B17" s="18" t="str">
        <f>IF(COUNTIF(TRA_Comm!$C$29:$C$90,DEMAND_Pkm_Tkm!C17)=1,"X","De-Active")</f>
        <v>X</v>
      </c>
      <c r="C17" s="169" t="s">
        <v>404</v>
      </c>
      <c r="D17" s="169" t="s">
        <v>598</v>
      </c>
      <c r="E17" s="698">
        <f t="shared" si="1"/>
        <v>3196.08</v>
      </c>
      <c r="F17" s="169" t="s">
        <v>583</v>
      </c>
      <c r="G17" s="916">
        <f>SUMIF(STAT_TRA_Survey_Pkm!$C$8:$C$23, DEMAND_Pkm_Tkm!$C17, STAT_TRA_Survey_Pkm!D$8:D$23)</f>
        <v>3196.08</v>
      </c>
      <c r="H17" s="916">
        <f>SUMIF(STAT_TRA_Survey_Pkm!$C$8:$C$23, DEMAND_Pkm_Tkm!$C17, STAT_TRA_Survey_Pkm!E$8:E$23)</f>
        <v>0</v>
      </c>
      <c r="I17" s="916">
        <f>SUMIF(STAT_TRA_Survey_Pkm!$C$8:$C$23, DEMAND_Pkm_Tkm!$C17, STAT_TRA_Survey_Pkm!F$8:F$23)</f>
        <v>0</v>
      </c>
      <c r="J17" s="916">
        <f>SUMIF(STAT_TRA_Survey_Pkm!$C$8:$C$23, DEMAND_Pkm_Tkm!$C17, STAT_TRA_Survey_Pkm!G$8:G$23)</f>
        <v>0</v>
      </c>
      <c r="K17" s="916">
        <f>SUMIF(STAT_TRA_Survey_Pkm!$C$8:$C$23, DEMAND_Pkm_Tkm!$C17, STAT_TRA_Survey_Pkm!H$8:H$23)</f>
        <v>0</v>
      </c>
      <c r="L17" s="916">
        <f>SUMIF(STAT_TRA_Survey_Pkm!$C$8:$C$23, DEMAND_Pkm_Tkm!$C17, STAT_TRA_Survey_Pkm!I$8:I$23)</f>
        <v>0</v>
      </c>
      <c r="M17" s="916">
        <f>SUMIF(STAT_TRA_Survey_Pkm!$C$8:$C$23, DEMAND_Pkm_Tkm!$C17, STAT_TRA_Survey_Pkm!J$8:J$23)</f>
        <v>0</v>
      </c>
      <c r="N17" s="916">
        <f>SUMIF(STAT_TRA_Survey_Pkm!$C$8:$C$23, DEMAND_Pkm_Tkm!$C17, STAT_TRA_Survey_Pkm!K$8:K$23)</f>
        <v>0</v>
      </c>
      <c r="O17" s="916">
        <f>SUMIF(STAT_TRA_Survey_Pkm!$C$8:$C$23, DEMAND_Pkm_Tkm!$C17, STAT_TRA_Survey_Pkm!L$8:L$23)</f>
        <v>0</v>
      </c>
      <c r="P17" s="916">
        <f>SUMIF(STAT_TRA_Survey_Pkm!$C$8:$C$23, DEMAND_Pkm_Tkm!$C17, STAT_TRA_Survey_Pkm!M$8:M$23)</f>
        <v>0</v>
      </c>
      <c r="Q17" s="916">
        <f>SUMIF(STAT_TRA_Survey_Pkm!$C$8:$C$23, DEMAND_Pkm_Tkm!$C17, STAT_TRA_Survey_Pkm!N$8:N$23)</f>
        <v>0</v>
      </c>
      <c r="R17" s="916">
        <f>SUMIF(STAT_TRA_Survey_Pkm!$C$8:$C$23, DEMAND_Pkm_Tkm!$C17, STAT_TRA_Survey_Pkm!O$8:O$23)</f>
        <v>0</v>
      </c>
      <c r="S17" s="916">
        <f>SUMIF(STAT_TRA_Survey_Pkm!$C$8:$C$23, DEMAND_Pkm_Tkm!$C17, STAT_TRA_Survey_Pkm!P$8:P$23)</f>
        <v>0</v>
      </c>
      <c r="T17" s="916">
        <f>SUMIF(STAT_TRA_Survey_Pkm!$C$8:$C$23, DEMAND_Pkm_Tkm!$C17, STAT_TRA_Survey_Pkm!Q$8:Q$23)</f>
        <v>0</v>
      </c>
      <c r="U17" s="916">
        <f>SUMIF(STAT_TRA_Survey_Pkm!$C$8:$C$23, DEMAND_Pkm_Tkm!$C17, STAT_TRA_Survey_Pkm!R$8:R$23)</f>
        <v>0</v>
      </c>
      <c r="V17" s="117" t="str">
        <f t="shared" si="0"/>
        <v>ok</v>
      </c>
    </row>
    <row r="18" spans="2:22" x14ac:dyDescent="0.25">
      <c r="B18" s="18" t="str">
        <f>IF(COUNTIF(TRA_Comm!$C$29:$C$90,DEMAND_Pkm_Tkm!C18)=1,"X","De-Active")</f>
        <v>X</v>
      </c>
      <c r="C18" s="169" t="s">
        <v>408</v>
      </c>
      <c r="D18" s="169" t="s">
        <v>599</v>
      </c>
      <c r="E18" s="698">
        <f>SUM(G18:U18)</f>
        <v>0</v>
      </c>
      <c r="F18" s="169" t="s">
        <v>583</v>
      </c>
      <c r="G18" s="916">
        <f>SUMIF(STAT_TRA_Survey_Pkm!$C$8:$C$23, DEMAND_Pkm_Tkm!$C18, STAT_TRA_Survey_Pkm!D$8:D$23)</f>
        <v>0</v>
      </c>
      <c r="H18" s="916">
        <f>SUMIF(STAT_TRA_Survey_Pkm!$C$8:$C$23, DEMAND_Pkm_Tkm!$C18, STAT_TRA_Survey_Pkm!E$8:E$23)</f>
        <v>0</v>
      </c>
      <c r="I18" s="916">
        <f>SUMIF(STAT_TRA_Survey_Pkm!$C$8:$C$23, DEMAND_Pkm_Tkm!$C18, STAT_TRA_Survey_Pkm!F$8:F$23)</f>
        <v>0</v>
      </c>
      <c r="J18" s="916">
        <f>SUMIF(STAT_TRA_Survey_Pkm!$C$8:$C$23, DEMAND_Pkm_Tkm!$C18, STAT_TRA_Survey_Pkm!G$8:G$23)</f>
        <v>0</v>
      </c>
      <c r="K18" s="916">
        <f>SUMIF(STAT_TRA_Survey_Pkm!$C$8:$C$23, DEMAND_Pkm_Tkm!$C18, STAT_TRA_Survey_Pkm!H$8:H$23)</f>
        <v>0</v>
      </c>
      <c r="L18" s="916">
        <f>SUMIF(STAT_TRA_Survey_Pkm!$C$8:$C$23, DEMAND_Pkm_Tkm!$C18, STAT_TRA_Survey_Pkm!I$8:I$23)</f>
        <v>0</v>
      </c>
      <c r="M18" s="916">
        <f>SUMIF(STAT_TRA_Survey_Pkm!$C$8:$C$23, DEMAND_Pkm_Tkm!$C18, STAT_TRA_Survey_Pkm!J$8:J$23)</f>
        <v>0</v>
      </c>
      <c r="N18" s="916">
        <f>SUMIF(STAT_TRA_Survey_Pkm!$C$8:$C$23, DEMAND_Pkm_Tkm!$C18, STAT_TRA_Survey_Pkm!K$8:K$23)</f>
        <v>0</v>
      </c>
      <c r="O18" s="916">
        <f>SUMIF(STAT_TRA_Survey_Pkm!$C$8:$C$23, DEMAND_Pkm_Tkm!$C18, STAT_TRA_Survey_Pkm!L$8:L$23)</f>
        <v>0</v>
      </c>
      <c r="P18" s="916">
        <f>SUMIF(STAT_TRA_Survey_Pkm!$C$8:$C$23, DEMAND_Pkm_Tkm!$C18, STAT_TRA_Survey_Pkm!M$8:M$23)</f>
        <v>0</v>
      </c>
      <c r="Q18" s="916">
        <f>SUMIF(STAT_TRA_Survey_Pkm!$C$8:$C$23, DEMAND_Pkm_Tkm!$C18, STAT_TRA_Survey_Pkm!N$8:N$23)</f>
        <v>0</v>
      </c>
      <c r="R18" s="916">
        <f>SUMIF(STAT_TRA_Survey_Pkm!$C$8:$C$23, DEMAND_Pkm_Tkm!$C18, STAT_TRA_Survey_Pkm!O$8:O$23)</f>
        <v>0</v>
      </c>
      <c r="S18" s="916">
        <f>SUMIF(STAT_TRA_Survey_Pkm!$C$8:$C$23, DEMAND_Pkm_Tkm!$C18, STAT_TRA_Survey_Pkm!P$8:P$23)</f>
        <v>0</v>
      </c>
      <c r="T18" s="916">
        <f>SUMIF(STAT_TRA_Survey_Pkm!$C$8:$C$23, DEMAND_Pkm_Tkm!$C18, STAT_TRA_Survey_Pkm!Q$8:Q$23)</f>
        <v>0</v>
      </c>
      <c r="U18" s="916">
        <f>SUMIF(STAT_TRA_Survey_Pkm!$C$8:$C$23, DEMAND_Pkm_Tkm!$C18, STAT_TRA_Survey_Pkm!R$8:R$23)</f>
        <v>0</v>
      </c>
      <c r="V18" s="117" t="str">
        <f t="shared" si="0"/>
        <v>ok</v>
      </c>
    </row>
    <row r="19" spans="2:22" x14ac:dyDescent="0.25">
      <c r="B19" s="18" t="str">
        <f>IF(COUNTIF(TRA_Comm!$C$29:$C$90,DEMAND_Pkm_Tkm!C19)=1,"X","De-Active")</f>
        <v>X</v>
      </c>
      <c r="C19" s="169" t="s">
        <v>412</v>
      </c>
      <c r="D19" s="169" t="s">
        <v>600</v>
      </c>
      <c r="E19" s="698">
        <f t="shared" si="1"/>
        <v>0</v>
      </c>
      <c r="F19" s="169" t="s">
        <v>583</v>
      </c>
      <c r="G19" s="916">
        <f>SUMIF(STAT_TRA_Survey_Pkm!$C$8:$C$23, DEMAND_Pkm_Tkm!$C19, STAT_TRA_Survey_Pkm!D$8:D$23)</f>
        <v>0</v>
      </c>
      <c r="H19" s="916">
        <f>SUMIF(STAT_TRA_Survey_Pkm!$C$8:$C$23, DEMAND_Pkm_Tkm!$C19, STAT_TRA_Survey_Pkm!E$8:E$23)</f>
        <v>0</v>
      </c>
      <c r="I19" s="916">
        <f>SUMIF(STAT_TRA_Survey_Pkm!$C$8:$C$23, DEMAND_Pkm_Tkm!$C19, STAT_TRA_Survey_Pkm!F$8:F$23)</f>
        <v>0</v>
      </c>
      <c r="J19" s="916">
        <f>SUMIF(STAT_TRA_Survey_Pkm!$C$8:$C$23, DEMAND_Pkm_Tkm!$C19, STAT_TRA_Survey_Pkm!G$8:G$23)</f>
        <v>0</v>
      </c>
      <c r="K19" s="916">
        <f>SUMIF(STAT_TRA_Survey_Pkm!$C$8:$C$23, DEMAND_Pkm_Tkm!$C19, STAT_TRA_Survey_Pkm!H$8:H$23)</f>
        <v>0</v>
      </c>
      <c r="L19" s="916">
        <f>SUMIF(STAT_TRA_Survey_Pkm!$C$8:$C$23, DEMAND_Pkm_Tkm!$C19, STAT_TRA_Survey_Pkm!I$8:I$23)</f>
        <v>0</v>
      </c>
      <c r="M19" s="916">
        <f>SUMIF(STAT_TRA_Survey_Pkm!$C$8:$C$23, DEMAND_Pkm_Tkm!$C19, STAT_TRA_Survey_Pkm!J$8:J$23)</f>
        <v>0</v>
      </c>
      <c r="N19" s="916">
        <f>SUMIF(STAT_TRA_Survey_Pkm!$C$8:$C$23, DEMAND_Pkm_Tkm!$C19, STAT_TRA_Survey_Pkm!K$8:K$23)</f>
        <v>0</v>
      </c>
      <c r="O19" s="916">
        <f>SUMIF(STAT_TRA_Survey_Pkm!$C$8:$C$23, DEMAND_Pkm_Tkm!$C19, STAT_TRA_Survey_Pkm!L$8:L$23)</f>
        <v>0</v>
      </c>
      <c r="P19" s="916">
        <f>SUMIF(STAT_TRA_Survey_Pkm!$C$8:$C$23, DEMAND_Pkm_Tkm!$C19, STAT_TRA_Survey_Pkm!M$8:M$23)</f>
        <v>0</v>
      </c>
      <c r="Q19" s="916">
        <f>SUMIF(STAT_TRA_Survey_Pkm!$C$8:$C$23, DEMAND_Pkm_Tkm!$C19, STAT_TRA_Survey_Pkm!N$8:N$23)</f>
        <v>0</v>
      </c>
      <c r="R19" s="916">
        <f>SUMIF(STAT_TRA_Survey_Pkm!$C$8:$C$23, DEMAND_Pkm_Tkm!$C19, STAT_TRA_Survey_Pkm!O$8:O$23)</f>
        <v>0</v>
      </c>
      <c r="S19" s="916">
        <f>SUMIF(STAT_TRA_Survey_Pkm!$C$8:$C$23, DEMAND_Pkm_Tkm!$C19, STAT_TRA_Survey_Pkm!P$8:P$23)</f>
        <v>0</v>
      </c>
      <c r="T19" s="916">
        <f>SUMIF(STAT_TRA_Survey_Pkm!$C$8:$C$23, DEMAND_Pkm_Tkm!$C19, STAT_TRA_Survey_Pkm!Q$8:Q$23)</f>
        <v>0</v>
      </c>
      <c r="U19" s="916">
        <f>SUMIF(STAT_TRA_Survey_Pkm!$C$8:$C$23, DEMAND_Pkm_Tkm!$C19, STAT_TRA_Survey_Pkm!R$8:R$23)</f>
        <v>0</v>
      </c>
      <c r="V19" s="117" t="str">
        <f t="shared" si="0"/>
        <v>ok</v>
      </c>
    </row>
    <row r="20" spans="2:22" x14ac:dyDescent="0.25">
      <c r="B20" s="18" t="str">
        <f>IF(COUNTIF(TRA_Comm!$C$29:$C$90,DEMAND_Pkm_Tkm!C20)=1,"X","De-Active")</f>
        <v>X</v>
      </c>
      <c r="C20" s="169" t="s">
        <v>400</v>
      </c>
      <c r="D20" s="169" t="s">
        <v>601</v>
      </c>
      <c r="E20" s="698">
        <f t="shared" si="1"/>
        <v>0</v>
      </c>
      <c r="F20" s="169" t="s">
        <v>583</v>
      </c>
      <c r="G20" s="916">
        <f>SUMIF(STAT_TRA_Survey_Pkm!$C$8:$C$23, DEMAND_Pkm_Tkm!$C20, STAT_TRA_Survey_Pkm!D$8:D$23)</f>
        <v>0</v>
      </c>
      <c r="H20" s="916">
        <f>SUMIF(STAT_TRA_Survey_Pkm!$C$8:$C$23, DEMAND_Pkm_Tkm!$C20, STAT_TRA_Survey_Pkm!E$8:E$23)</f>
        <v>0</v>
      </c>
      <c r="I20" s="916">
        <f>SUMIF(STAT_TRA_Survey_Pkm!$C$8:$C$23, DEMAND_Pkm_Tkm!$C20, STAT_TRA_Survey_Pkm!F$8:F$23)</f>
        <v>0</v>
      </c>
      <c r="J20" s="916">
        <f>SUMIF(STAT_TRA_Survey_Pkm!$C$8:$C$23, DEMAND_Pkm_Tkm!$C20, STAT_TRA_Survey_Pkm!G$8:G$23)</f>
        <v>0</v>
      </c>
      <c r="K20" s="916">
        <f>SUMIF(STAT_TRA_Survey_Pkm!$C$8:$C$23, DEMAND_Pkm_Tkm!$C20, STAT_TRA_Survey_Pkm!H$8:H$23)</f>
        <v>0</v>
      </c>
      <c r="L20" s="916">
        <f>SUMIF(STAT_TRA_Survey_Pkm!$C$8:$C$23, DEMAND_Pkm_Tkm!$C20, STAT_TRA_Survey_Pkm!I$8:I$23)</f>
        <v>0</v>
      </c>
      <c r="M20" s="916">
        <f>SUMIF(STAT_TRA_Survey_Pkm!$C$8:$C$23, DEMAND_Pkm_Tkm!$C20, STAT_TRA_Survey_Pkm!J$8:J$23)</f>
        <v>0</v>
      </c>
      <c r="N20" s="916">
        <f>SUMIF(STAT_TRA_Survey_Pkm!$C$8:$C$23, DEMAND_Pkm_Tkm!$C20, STAT_TRA_Survey_Pkm!K$8:K$23)</f>
        <v>0</v>
      </c>
      <c r="O20" s="916">
        <f>SUMIF(STAT_TRA_Survey_Pkm!$C$8:$C$23, DEMAND_Pkm_Tkm!$C20, STAT_TRA_Survey_Pkm!L$8:L$23)</f>
        <v>0</v>
      </c>
      <c r="P20" s="916">
        <f>SUMIF(STAT_TRA_Survey_Pkm!$C$8:$C$23, DEMAND_Pkm_Tkm!$C20, STAT_TRA_Survey_Pkm!M$8:M$23)</f>
        <v>0</v>
      </c>
      <c r="Q20" s="916">
        <f>SUMIF(STAT_TRA_Survey_Pkm!$C$8:$C$23, DEMAND_Pkm_Tkm!$C20, STAT_TRA_Survey_Pkm!N$8:N$23)</f>
        <v>0</v>
      </c>
      <c r="R20" s="916">
        <f>SUMIF(STAT_TRA_Survey_Pkm!$C$8:$C$23, DEMAND_Pkm_Tkm!$C20, STAT_TRA_Survey_Pkm!O$8:O$23)</f>
        <v>0</v>
      </c>
      <c r="S20" s="916">
        <f>SUMIF(STAT_TRA_Survey_Pkm!$C$8:$C$23, DEMAND_Pkm_Tkm!$C20, STAT_TRA_Survey_Pkm!P$8:P$23)</f>
        <v>0</v>
      </c>
      <c r="T20" s="916">
        <f>SUMIF(STAT_TRA_Survey_Pkm!$C$8:$C$23, DEMAND_Pkm_Tkm!$C20, STAT_TRA_Survey_Pkm!Q$8:Q$23)</f>
        <v>0</v>
      </c>
      <c r="U20" s="916">
        <f>SUMIF(STAT_TRA_Survey_Pkm!$C$8:$C$23, DEMAND_Pkm_Tkm!$C20, STAT_TRA_Survey_Pkm!R$8:R$23)</f>
        <v>0</v>
      </c>
      <c r="V20" s="117" t="str">
        <f t="shared" si="0"/>
        <v>ok</v>
      </c>
    </row>
    <row r="21" spans="2:22" x14ac:dyDescent="0.25">
      <c r="B21" s="18" t="str">
        <f>IF(COUNTIF(TRA_Comm!$C$29:$C$90,DEMAND_Pkm_Tkm!C21)=1,"X","De-Active")</f>
        <v>X</v>
      </c>
      <c r="C21" s="169" t="s">
        <v>479</v>
      </c>
      <c r="D21" s="169" t="s">
        <v>602</v>
      </c>
      <c r="E21" s="698">
        <f t="shared" si="1"/>
        <v>0</v>
      </c>
      <c r="F21" s="169" t="s">
        <v>583</v>
      </c>
      <c r="G21" s="916">
        <f>SUMIF(STAT_TRA_Survey_Pkm!$C$8:$C$23, DEMAND_Pkm_Tkm!$C21, STAT_TRA_Survey_Pkm!D$8:D$23)</f>
        <v>0</v>
      </c>
      <c r="H21" s="916">
        <f>SUMIF(STAT_TRA_Survey_Pkm!$C$8:$C$23, DEMAND_Pkm_Tkm!$C21, STAT_TRA_Survey_Pkm!E$8:E$23)</f>
        <v>0</v>
      </c>
      <c r="I21" s="916">
        <f>SUMIF(STAT_TRA_Survey_Pkm!$C$8:$C$23, DEMAND_Pkm_Tkm!$C21, STAT_TRA_Survey_Pkm!F$8:F$23)</f>
        <v>0</v>
      </c>
      <c r="J21" s="916">
        <f>SUMIF(STAT_TRA_Survey_Pkm!$C$8:$C$23, DEMAND_Pkm_Tkm!$C21, STAT_TRA_Survey_Pkm!G$8:G$23)</f>
        <v>0</v>
      </c>
      <c r="K21" s="916">
        <f>SUMIF(STAT_TRA_Survey_Pkm!$C$8:$C$23, DEMAND_Pkm_Tkm!$C21, STAT_TRA_Survey_Pkm!H$8:H$23)</f>
        <v>0</v>
      </c>
      <c r="L21" s="916">
        <f>SUMIF(STAT_TRA_Survey_Pkm!$C$8:$C$23, DEMAND_Pkm_Tkm!$C21, STAT_TRA_Survey_Pkm!I$8:I$23)</f>
        <v>0</v>
      </c>
      <c r="M21" s="916">
        <f>SUMIF(STAT_TRA_Survey_Pkm!$C$8:$C$23, DEMAND_Pkm_Tkm!$C21, STAT_TRA_Survey_Pkm!J$8:J$23)</f>
        <v>0</v>
      </c>
      <c r="N21" s="916">
        <f>SUMIF(STAT_TRA_Survey_Pkm!$C$8:$C$23, DEMAND_Pkm_Tkm!$C21, STAT_TRA_Survey_Pkm!K$8:K$23)</f>
        <v>0</v>
      </c>
      <c r="O21" s="916">
        <f>SUMIF(STAT_TRA_Survey_Pkm!$C$8:$C$23, DEMAND_Pkm_Tkm!$C21, STAT_TRA_Survey_Pkm!L$8:L$23)</f>
        <v>0</v>
      </c>
      <c r="P21" s="916">
        <f>SUMIF(STAT_TRA_Survey_Pkm!$C$8:$C$23, DEMAND_Pkm_Tkm!$C21, STAT_TRA_Survey_Pkm!M$8:M$23)</f>
        <v>0</v>
      </c>
      <c r="Q21" s="916">
        <f>SUMIF(STAT_TRA_Survey_Pkm!$C$8:$C$23, DEMAND_Pkm_Tkm!$C21, STAT_TRA_Survey_Pkm!N$8:N$23)</f>
        <v>0</v>
      </c>
      <c r="R21" s="916">
        <f>SUMIF(STAT_TRA_Survey_Pkm!$C$8:$C$23, DEMAND_Pkm_Tkm!$C21, STAT_TRA_Survey_Pkm!O$8:O$23)</f>
        <v>0</v>
      </c>
      <c r="S21" s="916">
        <f>SUMIF(STAT_TRA_Survey_Pkm!$C$8:$C$23, DEMAND_Pkm_Tkm!$C21, STAT_TRA_Survey_Pkm!P$8:P$23)</f>
        <v>0</v>
      </c>
      <c r="T21" s="916">
        <f>SUMIF(STAT_TRA_Survey_Pkm!$C$8:$C$23, DEMAND_Pkm_Tkm!$C21, STAT_TRA_Survey_Pkm!Q$8:Q$23)</f>
        <v>0</v>
      </c>
      <c r="U21" s="916">
        <f>SUMIF(STAT_TRA_Survey_Pkm!$C$8:$C$23, DEMAND_Pkm_Tkm!$C21, STAT_TRA_Survey_Pkm!R$8:R$23)</f>
        <v>0</v>
      </c>
      <c r="V21" s="117" t="str">
        <f t="shared" si="0"/>
        <v>ok</v>
      </c>
    </row>
    <row r="22" spans="2:22" x14ac:dyDescent="0.25">
      <c r="B22" s="18" t="str">
        <f>IF(COUNTIF(TRA_Comm!$C$29:$C$90,DEMAND_Pkm_Tkm!C22)=1,"X","De-Active")</f>
        <v>X</v>
      </c>
      <c r="C22" s="169" t="s">
        <v>76</v>
      </c>
      <c r="D22" s="169" t="s">
        <v>603</v>
      </c>
      <c r="E22" s="698">
        <f t="shared" si="1"/>
        <v>0</v>
      </c>
      <c r="F22" s="169" t="s">
        <v>583</v>
      </c>
      <c r="G22" s="916">
        <f>SUMIF(STAT_TRA_Survey_Pkm!$C$8:$C$23, DEMAND_Pkm_Tkm!$C22, STAT_TRA_Survey_Pkm!D$8:D$23)</f>
        <v>0</v>
      </c>
      <c r="H22" s="916">
        <f>SUMIF(STAT_TRA_Survey_Pkm!$C$8:$C$23, DEMAND_Pkm_Tkm!$C22, STAT_TRA_Survey_Pkm!E$8:E$23)</f>
        <v>0</v>
      </c>
      <c r="I22" s="916">
        <f>SUMIF(STAT_TRA_Survey_Pkm!$C$8:$C$23, DEMAND_Pkm_Tkm!$C22, STAT_TRA_Survey_Pkm!F$8:F$23)</f>
        <v>0</v>
      </c>
      <c r="J22" s="916">
        <f>SUMIF(STAT_TRA_Survey_Pkm!$C$8:$C$23, DEMAND_Pkm_Tkm!$C22, STAT_TRA_Survey_Pkm!G$8:G$23)</f>
        <v>0</v>
      </c>
      <c r="K22" s="916">
        <f>SUMIF(STAT_TRA_Survey_Pkm!$C$8:$C$23, DEMAND_Pkm_Tkm!$C22, STAT_TRA_Survey_Pkm!H$8:H$23)</f>
        <v>0</v>
      </c>
      <c r="L22" s="916">
        <f>SUMIF(STAT_TRA_Survey_Pkm!$C$8:$C$23, DEMAND_Pkm_Tkm!$C22, STAT_TRA_Survey_Pkm!I$8:I$23)</f>
        <v>0</v>
      </c>
      <c r="M22" s="916">
        <f>SUMIF(STAT_TRA_Survey_Pkm!$C$8:$C$23, DEMAND_Pkm_Tkm!$C22, STAT_TRA_Survey_Pkm!J$8:J$23)</f>
        <v>0</v>
      </c>
      <c r="N22" s="916">
        <f>SUMIF(STAT_TRA_Survey_Pkm!$C$8:$C$23, DEMAND_Pkm_Tkm!$C22, STAT_TRA_Survey_Pkm!K$8:K$23)</f>
        <v>0</v>
      </c>
      <c r="O22" s="916">
        <f>SUMIF(STAT_TRA_Survey_Pkm!$C$8:$C$23, DEMAND_Pkm_Tkm!$C22, STAT_TRA_Survey_Pkm!L$8:L$23)</f>
        <v>0</v>
      </c>
      <c r="P22" s="916">
        <f>SUMIF(STAT_TRA_Survey_Pkm!$C$8:$C$23, DEMAND_Pkm_Tkm!$C22, STAT_TRA_Survey_Pkm!M$8:M$23)</f>
        <v>0</v>
      </c>
      <c r="Q22" s="916">
        <f>SUMIF(STAT_TRA_Survey_Pkm!$C$8:$C$23, DEMAND_Pkm_Tkm!$C22, STAT_TRA_Survey_Pkm!N$8:N$23)</f>
        <v>0</v>
      </c>
      <c r="R22" s="916">
        <f>SUMIF(STAT_TRA_Survey_Pkm!$C$8:$C$23, DEMAND_Pkm_Tkm!$C22, STAT_TRA_Survey_Pkm!O$8:O$23)</f>
        <v>0</v>
      </c>
      <c r="S22" s="916">
        <f>SUMIF(STAT_TRA_Survey_Pkm!$C$8:$C$23, DEMAND_Pkm_Tkm!$C22, STAT_TRA_Survey_Pkm!P$8:P$23)</f>
        <v>0</v>
      </c>
      <c r="T22" s="916">
        <f>SUMIF(STAT_TRA_Survey_Pkm!$C$8:$C$23, DEMAND_Pkm_Tkm!$C22, STAT_TRA_Survey_Pkm!Q$8:Q$23)</f>
        <v>0</v>
      </c>
      <c r="U22" s="916">
        <f>SUMIF(STAT_TRA_Survey_Pkm!$C$8:$C$23, DEMAND_Pkm_Tkm!$C22, STAT_TRA_Survey_Pkm!R$8:R$23)</f>
        <v>0</v>
      </c>
      <c r="V22" s="117" t="str">
        <f t="shared" si="0"/>
        <v>ok</v>
      </c>
    </row>
    <row r="23" spans="2:22" x14ac:dyDescent="0.25">
      <c r="B23" s="18" t="str">
        <f>IF(COUNTIF(TRA_Comm!$C$29:$C$90,DEMAND_Pkm_Tkm!C23)=1,"X","De-Active")</f>
        <v>X</v>
      </c>
      <c r="C23" s="169" t="s">
        <v>494</v>
      </c>
      <c r="D23" s="169" t="s">
        <v>604</v>
      </c>
      <c r="E23" s="698">
        <f t="shared" si="1"/>
        <v>0</v>
      </c>
      <c r="F23" s="169" t="s">
        <v>583</v>
      </c>
      <c r="G23" s="916">
        <f>SUMIF(STAT_TRA_Survey_Pkm!$C$8:$C$23, DEMAND_Pkm_Tkm!$C23, STAT_TRA_Survey_Pkm!D$8:D$23)</f>
        <v>0</v>
      </c>
      <c r="H23" s="916">
        <f>SUMIF(STAT_TRA_Survey_Pkm!$C$8:$C$23, DEMAND_Pkm_Tkm!$C23, STAT_TRA_Survey_Pkm!E$8:E$23)</f>
        <v>0</v>
      </c>
      <c r="I23" s="916">
        <f>SUMIF(STAT_TRA_Survey_Pkm!$C$8:$C$23, DEMAND_Pkm_Tkm!$C23, STAT_TRA_Survey_Pkm!F$8:F$23)</f>
        <v>0</v>
      </c>
      <c r="J23" s="916">
        <f>SUMIF(STAT_TRA_Survey_Pkm!$C$8:$C$23, DEMAND_Pkm_Tkm!$C23, STAT_TRA_Survey_Pkm!G$8:G$23)</f>
        <v>0</v>
      </c>
      <c r="K23" s="916">
        <f>SUMIF(STAT_TRA_Survey_Pkm!$C$8:$C$23, DEMAND_Pkm_Tkm!$C23, STAT_TRA_Survey_Pkm!H$8:H$23)</f>
        <v>0</v>
      </c>
      <c r="L23" s="916">
        <f>SUMIF(STAT_TRA_Survey_Pkm!$C$8:$C$23, DEMAND_Pkm_Tkm!$C23, STAT_TRA_Survey_Pkm!I$8:I$23)</f>
        <v>0</v>
      </c>
      <c r="M23" s="916">
        <f>SUMIF(STAT_TRA_Survey_Pkm!$C$8:$C$23, DEMAND_Pkm_Tkm!$C23, STAT_TRA_Survey_Pkm!J$8:J$23)</f>
        <v>0</v>
      </c>
      <c r="N23" s="916">
        <f>SUMIF(STAT_TRA_Survey_Pkm!$C$8:$C$23, DEMAND_Pkm_Tkm!$C23, STAT_TRA_Survey_Pkm!K$8:K$23)</f>
        <v>0</v>
      </c>
      <c r="O23" s="916">
        <f>SUMIF(STAT_TRA_Survey_Pkm!$C$8:$C$23, DEMAND_Pkm_Tkm!$C23, STAT_TRA_Survey_Pkm!L$8:L$23)</f>
        <v>0</v>
      </c>
      <c r="P23" s="916">
        <f>SUMIF(STAT_TRA_Survey_Pkm!$C$8:$C$23, DEMAND_Pkm_Tkm!$C23, STAT_TRA_Survey_Pkm!M$8:M$23)</f>
        <v>0</v>
      </c>
      <c r="Q23" s="916">
        <f>SUMIF(STAT_TRA_Survey_Pkm!$C$8:$C$23, DEMAND_Pkm_Tkm!$C23, STAT_TRA_Survey_Pkm!N$8:N$23)</f>
        <v>0</v>
      </c>
      <c r="R23" s="916">
        <f>SUMIF(STAT_TRA_Survey_Pkm!$C$8:$C$23, DEMAND_Pkm_Tkm!$C23, STAT_TRA_Survey_Pkm!O$8:O$23)</f>
        <v>0</v>
      </c>
      <c r="S23" s="916">
        <f>SUMIF(STAT_TRA_Survey_Pkm!$C$8:$C$23, DEMAND_Pkm_Tkm!$C23, STAT_TRA_Survey_Pkm!P$8:P$23)</f>
        <v>0</v>
      </c>
      <c r="T23" s="916">
        <f>SUMIF(STAT_TRA_Survey_Pkm!$C$8:$C$23, DEMAND_Pkm_Tkm!$C23, STAT_TRA_Survey_Pkm!Q$8:Q$23)</f>
        <v>0</v>
      </c>
      <c r="U23" s="916">
        <f>SUMIF(STAT_TRA_Survey_Pkm!$C$8:$C$23, DEMAND_Pkm_Tkm!$C23, STAT_TRA_Survey_Pkm!R$8:R$23)</f>
        <v>0</v>
      </c>
      <c r="V23" s="117" t="str">
        <f t="shared" si="0"/>
        <v>ok</v>
      </c>
    </row>
    <row r="24" spans="2:22" x14ac:dyDescent="0.25">
      <c r="B24" s="18" t="str">
        <f>IF(COUNTIF(TRA_Comm!$C$29:$C$90,DEMAND_Pkm_Tkm!C24)=1,"X","De-Active")</f>
        <v>X</v>
      </c>
      <c r="C24" s="169" t="s">
        <v>81</v>
      </c>
      <c r="D24" s="169" t="s">
        <v>605</v>
      </c>
      <c r="E24" s="698">
        <f t="shared" si="1"/>
        <v>0</v>
      </c>
      <c r="F24" s="169" t="s">
        <v>583</v>
      </c>
      <c r="G24" s="916">
        <f>SUMIF(STAT_TRA_Survey_Pkm!$C$8:$C$23, DEMAND_Pkm_Tkm!$C24, STAT_TRA_Survey_Pkm!D$8:D$23)</f>
        <v>0</v>
      </c>
      <c r="H24" s="916">
        <f>SUMIF(STAT_TRA_Survey_Pkm!$C$8:$C$23, DEMAND_Pkm_Tkm!$C24, STAT_TRA_Survey_Pkm!E$8:E$23)</f>
        <v>0</v>
      </c>
      <c r="I24" s="916">
        <f>SUMIF(STAT_TRA_Survey_Pkm!$C$8:$C$23, DEMAND_Pkm_Tkm!$C24, STAT_TRA_Survey_Pkm!F$8:F$23)</f>
        <v>0</v>
      </c>
      <c r="J24" s="916">
        <f>SUMIF(STAT_TRA_Survey_Pkm!$C$8:$C$23, DEMAND_Pkm_Tkm!$C24, STAT_TRA_Survey_Pkm!G$8:G$23)</f>
        <v>0</v>
      </c>
      <c r="K24" s="916">
        <f>SUMIF(STAT_TRA_Survey_Pkm!$C$8:$C$23, DEMAND_Pkm_Tkm!$C24, STAT_TRA_Survey_Pkm!H$8:H$23)</f>
        <v>0</v>
      </c>
      <c r="L24" s="916">
        <f>SUMIF(STAT_TRA_Survey_Pkm!$C$8:$C$23, DEMAND_Pkm_Tkm!$C24, STAT_TRA_Survey_Pkm!I$8:I$23)</f>
        <v>0</v>
      </c>
      <c r="M24" s="916">
        <f>SUMIF(STAT_TRA_Survey_Pkm!$C$8:$C$23, DEMAND_Pkm_Tkm!$C24, STAT_TRA_Survey_Pkm!J$8:J$23)</f>
        <v>0</v>
      </c>
      <c r="N24" s="916">
        <f>SUMIF(STAT_TRA_Survey_Pkm!$C$8:$C$23, DEMAND_Pkm_Tkm!$C24, STAT_TRA_Survey_Pkm!K$8:K$23)</f>
        <v>0</v>
      </c>
      <c r="O24" s="916">
        <f>SUMIF(STAT_TRA_Survey_Pkm!$C$8:$C$23, DEMAND_Pkm_Tkm!$C24, STAT_TRA_Survey_Pkm!L$8:L$23)</f>
        <v>0</v>
      </c>
      <c r="P24" s="916">
        <f>SUMIF(STAT_TRA_Survey_Pkm!$C$8:$C$23, DEMAND_Pkm_Tkm!$C24, STAT_TRA_Survey_Pkm!M$8:M$23)</f>
        <v>0</v>
      </c>
      <c r="Q24" s="916">
        <f>SUMIF(STAT_TRA_Survey_Pkm!$C$8:$C$23, DEMAND_Pkm_Tkm!$C24, STAT_TRA_Survey_Pkm!N$8:N$23)</f>
        <v>0</v>
      </c>
      <c r="R24" s="916">
        <f>SUMIF(STAT_TRA_Survey_Pkm!$C$8:$C$23, DEMAND_Pkm_Tkm!$C24, STAT_TRA_Survey_Pkm!O$8:O$23)</f>
        <v>0</v>
      </c>
      <c r="S24" s="916">
        <f>SUMIF(STAT_TRA_Survey_Pkm!$C$8:$C$23, DEMAND_Pkm_Tkm!$C24, STAT_TRA_Survey_Pkm!P$8:P$23)</f>
        <v>0</v>
      </c>
      <c r="T24" s="916">
        <f>SUMIF(STAT_TRA_Survey_Pkm!$C$8:$C$23, DEMAND_Pkm_Tkm!$C24, STAT_TRA_Survey_Pkm!Q$8:Q$23)</f>
        <v>0</v>
      </c>
      <c r="U24" s="916">
        <f>SUMIF(STAT_TRA_Survey_Pkm!$C$8:$C$23, DEMAND_Pkm_Tkm!$C24, STAT_TRA_Survey_Pkm!R$8:R$23)</f>
        <v>0</v>
      </c>
      <c r="V24" s="117" t="str">
        <f t="shared" si="0"/>
        <v>ok</v>
      </c>
    </row>
    <row r="25" spans="2:22" x14ac:dyDescent="0.25">
      <c r="B25" s="18" t="str">
        <f>IF(COUNTIF(TRA_Comm!$C$29:$C$90,DEMAND_Pkm_Tkm!C25)=1,"X","De-Active")</f>
        <v>X</v>
      </c>
      <c r="C25" s="169" t="s">
        <v>606</v>
      </c>
      <c r="D25" s="169" t="s">
        <v>607</v>
      </c>
      <c r="E25" s="698">
        <f t="shared" si="1"/>
        <v>0</v>
      </c>
      <c r="F25" s="169" t="s">
        <v>583</v>
      </c>
      <c r="G25" s="916">
        <f>SUMIF(STAT_TRA_Survey_Pkm!$C$8:$C$23, DEMAND_Pkm_Tkm!$C25, STAT_TRA_Survey_Pkm!D$8:D$23)</f>
        <v>0</v>
      </c>
      <c r="H25" s="916">
        <f>SUMIF(STAT_TRA_Survey_Pkm!$C$8:$C$23, DEMAND_Pkm_Tkm!$C25, STAT_TRA_Survey_Pkm!E$8:E$23)</f>
        <v>0</v>
      </c>
      <c r="I25" s="916">
        <f>SUMIF(STAT_TRA_Survey_Pkm!$C$8:$C$23, DEMAND_Pkm_Tkm!$C25, STAT_TRA_Survey_Pkm!F$8:F$23)</f>
        <v>0</v>
      </c>
      <c r="J25" s="916">
        <f>SUMIF(STAT_TRA_Survey_Pkm!$C$8:$C$23, DEMAND_Pkm_Tkm!$C25, STAT_TRA_Survey_Pkm!G$8:G$23)</f>
        <v>0</v>
      </c>
      <c r="K25" s="916">
        <f>SUMIF(STAT_TRA_Survey_Pkm!$C$8:$C$23, DEMAND_Pkm_Tkm!$C25, STAT_TRA_Survey_Pkm!H$8:H$23)</f>
        <v>0</v>
      </c>
      <c r="L25" s="916">
        <f>SUMIF(STAT_TRA_Survey_Pkm!$C$8:$C$23, DEMAND_Pkm_Tkm!$C25, STAT_TRA_Survey_Pkm!I$8:I$23)</f>
        <v>0</v>
      </c>
      <c r="M25" s="916">
        <f>SUMIF(STAT_TRA_Survey_Pkm!$C$8:$C$23, DEMAND_Pkm_Tkm!$C25, STAT_TRA_Survey_Pkm!J$8:J$23)</f>
        <v>0</v>
      </c>
      <c r="N25" s="916">
        <f>SUMIF(STAT_TRA_Survey_Pkm!$C$8:$C$23, DEMAND_Pkm_Tkm!$C25, STAT_TRA_Survey_Pkm!K$8:K$23)</f>
        <v>0</v>
      </c>
      <c r="O25" s="916">
        <f>SUMIF(STAT_TRA_Survey_Pkm!$C$8:$C$23, DEMAND_Pkm_Tkm!$C25, STAT_TRA_Survey_Pkm!L$8:L$23)</f>
        <v>0</v>
      </c>
      <c r="P25" s="916">
        <f>SUMIF(STAT_TRA_Survey_Pkm!$C$8:$C$23, DEMAND_Pkm_Tkm!$C25, STAT_TRA_Survey_Pkm!M$8:M$23)</f>
        <v>0</v>
      </c>
      <c r="Q25" s="916">
        <f>SUMIF(STAT_TRA_Survey_Pkm!$C$8:$C$23, DEMAND_Pkm_Tkm!$C25, STAT_TRA_Survey_Pkm!N$8:N$23)</f>
        <v>0</v>
      </c>
      <c r="R25" s="916">
        <f>SUMIF(STAT_TRA_Survey_Pkm!$C$8:$C$23, DEMAND_Pkm_Tkm!$C25, STAT_TRA_Survey_Pkm!O$8:O$23)</f>
        <v>0</v>
      </c>
      <c r="S25" s="916">
        <f>SUMIF(STAT_TRA_Survey_Pkm!$C$8:$C$23, DEMAND_Pkm_Tkm!$C25, STAT_TRA_Survey_Pkm!P$8:P$23)</f>
        <v>0</v>
      </c>
      <c r="T25" s="916">
        <f>SUMIF(STAT_TRA_Survey_Pkm!$C$8:$C$23, DEMAND_Pkm_Tkm!$C25, STAT_TRA_Survey_Pkm!Q$8:Q$23)</f>
        <v>0</v>
      </c>
      <c r="U25" s="916">
        <f>SUMIF(STAT_TRA_Survey_Pkm!$C$8:$C$23, DEMAND_Pkm_Tkm!$C25, STAT_TRA_Survey_Pkm!R$8:R$23)</f>
        <v>0</v>
      </c>
      <c r="V25" s="117" t="str">
        <f t="shared" si="0"/>
        <v>ok</v>
      </c>
    </row>
    <row r="26" spans="2:22" x14ac:dyDescent="0.25">
      <c r="B26" s="18" t="str">
        <f>IF(COUNTIF(TRA_Comm!$C$29:$C$90,DEMAND_Pkm_Tkm!C26)=1,"X","De-Active")</f>
        <v>X</v>
      </c>
      <c r="C26" s="169" t="s">
        <v>521</v>
      </c>
      <c r="D26" s="169" t="s">
        <v>608</v>
      </c>
      <c r="E26" s="698">
        <f t="shared" si="1"/>
        <v>0</v>
      </c>
      <c r="F26" s="169" t="s">
        <v>583</v>
      </c>
      <c r="G26" s="916">
        <f>SUMIF(STAT_TRA_Survey_Pkm!$C$8:$C$23, DEMAND_Pkm_Tkm!$C26, STAT_TRA_Survey_Pkm!D$8:D$23)</f>
        <v>0</v>
      </c>
      <c r="H26" s="916">
        <f>SUMIF(STAT_TRA_Survey_Pkm!$C$8:$C$23, DEMAND_Pkm_Tkm!$C26, STAT_TRA_Survey_Pkm!E$8:E$23)</f>
        <v>0</v>
      </c>
      <c r="I26" s="916">
        <f>SUMIF(STAT_TRA_Survey_Pkm!$C$8:$C$23, DEMAND_Pkm_Tkm!$C26, STAT_TRA_Survey_Pkm!F$8:F$23)</f>
        <v>0</v>
      </c>
      <c r="J26" s="916">
        <f>SUMIF(STAT_TRA_Survey_Pkm!$C$8:$C$23, DEMAND_Pkm_Tkm!$C26, STAT_TRA_Survey_Pkm!G$8:G$23)</f>
        <v>0</v>
      </c>
      <c r="K26" s="916">
        <f>SUMIF(STAT_TRA_Survey_Pkm!$C$8:$C$23, DEMAND_Pkm_Tkm!$C26, STAT_TRA_Survey_Pkm!H$8:H$23)</f>
        <v>0</v>
      </c>
      <c r="L26" s="916">
        <f>SUMIF(STAT_TRA_Survey_Pkm!$C$8:$C$23, DEMAND_Pkm_Tkm!$C26, STAT_TRA_Survey_Pkm!I$8:I$23)</f>
        <v>0</v>
      </c>
      <c r="M26" s="916">
        <f>SUMIF(STAT_TRA_Survey_Pkm!$C$8:$C$23, DEMAND_Pkm_Tkm!$C26, STAT_TRA_Survey_Pkm!J$8:J$23)</f>
        <v>0</v>
      </c>
      <c r="N26" s="916">
        <f>SUMIF(STAT_TRA_Survey_Pkm!$C$8:$C$23, DEMAND_Pkm_Tkm!$C26, STAT_TRA_Survey_Pkm!K$8:K$23)</f>
        <v>0</v>
      </c>
      <c r="O26" s="916">
        <f>SUMIF(STAT_TRA_Survey_Pkm!$C$8:$C$23, DEMAND_Pkm_Tkm!$C26, STAT_TRA_Survey_Pkm!L$8:L$23)</f>
        <v>0</v>
      </c>
      <c r="P26" s="916">
        <f>SUMIF(STAT_TRA_Survey_Pkm!$C$8:$C$23, DEMAND_Pkm_Tkm!$C26, STAT_TRA_Survey_Pkm!M$8:M$23)</f>
        <v>0</v>
      </c>
      <c r="Q26" s="916">
        <f>SUMIF(STAT_TRA_Survey_Pkm!$C$8:$C$23, DEMAND_Pkm_Tkm!$C26, STAT_TRA_Survey_Pkm!N$8:N$23)</f>
        <v>0</v>
      </c>
      <c r="R26" s="916">
        <f>SUMIF(STAT_TRA_Survey_Pkm!$C$8:$C$23, DEMAND_Pkm_Tkm!$C26, STAT_TRA_Survey_Pkm!O$8:O$23)</f>
        <v>0</v>
      </c>
      <c r="S26" s="916">
        <f>SUMIF(STAT_TRA_Survey_Pkm!$C$8:$C$23, DEMAND_Pkm_Tkm!$C26, STAT_TRA_Survey_Pkm!P$8:P$23)</f>
        <v>0</v>
      </c>
      <c r="T26" s="916">
        <f>SUMIF(STAT_TRA_Survey_Pkm!$C$8:$C$23, DEMAND_Pkm_Tkm!$C26, STAT_TRA_Survey_Pkm!Q$8:Q$23)</f>
        <v>0</v>
      </c>
      <c r="U26" s="916">
        <f>SUMIF(STAT_TRA_Survey_Pkm!$C$8:$C$23, DEMAND_Pkm_Tkm!$C26, STAT_TRA_Survey_Pkm!R$8:R$23)</f>
        <v>0</v>
      </c>
      <c r="V26" s="117" t="str">
        <f t="shared" si="0"/>
        <v>ok</v>
      </c>
    </row>
    <row r="27" spans="2:22" x14ac:dyDescent="0.25">
      <c r="B27" s="18" t="str">
        <f>IF(COUNTIF(TRA_Comm!$C$29:$C$90,DEMAND_Pkm_Tkm!C27)=1,"X","De-Active")</f>
        <v>X</v>
      </c>
      <c r="C27" s="169" t="s">
        <v>609</v>
      </c>
      <c r="D27" s="169" t="s">
        <v>610</v>
      </c>
      <c r="E27" s="698">
        <f t="shared" si="1"/>
        <v>0</v>
      </c>
      <c r="F27" s="169" t="s">
        <v>583</v>
      </c>
      <c r="G27" s="916">
        <f>SUMIF(STAT_TRA_Survey_Pkm!$C$8:$C$23, DEMAND_Pkm_Tkm!$C27, STAT_TRA_Survey_Pkm!D$8:D$23)</f>
        <v>0</v>
      </c>
      <c r="H27" s="916">
        <f>SUMIF(STAT_TRA_Survey_Pkm!$C$8:$C$23, DEMAND_Pkm_Tkm!$C27, STAT_TRA_Survey_Pkm!E$8:E$23)</f>
        <v>0</v>
      </c>
      <c r="I27" s="916">
        <f>SUMIF(STAT_TRA_Survey_Pkm!$C$8:$C$23, DEMAND_Pkm_Tkm!$C27, STAT_TRA_Survey_Pkm!F$8:F$23)</f>
        <v>0</v>
      </c>
      <c r="J27" s="916">
        <f>SUMIF(STAT_TRA_Survey_Pkm!$C$8:$C$23, DEMAND_Pkm_Tkm!$C27, STAT_TRA_Survey_Pkm!G$8:G$23)</f>
        <v>0</v>
      </c>
      <c r="K27" s="916">
        <f>SUMIF(STAT_TRA_Survey_Pkm!$C$8:$C$23, DEMAND_Pkm_Tkm!$C27, STAT_TRA_Survey_Pkm!H$8:H$23)</f>
        <v>0</v>
      </c>
      <c r="L27" s="916">
        <f>SUMIF(STAT_TRA_Survey_Pkm!$C$8:$C$23, DEMAND_Pkm_Tkm!$C27, STAT_TRA_Survey_Pkm!I$8:I$23)</f>
        <v>0</v>
      </c>
      <c r="M27" s="916">
        <f>SUMIF(STAT_TRA_Survey_Pkm!$C$8:$C$23, DEMAND_Pkm_Tkm!$C27, STAT_TRA_Survey_Pkm!J$8:J$23)</f>
        <v>0</v>
      </c>
      <c r="N27" s="916">
        <f>SUMIF(STAT_TRA_Survey_Pkm!$C$8:$C$23, DEMAND_Pkm_Tkm!$C27, STAT_TRA_Survey_Pkm!K$8:K$23)</f>
        <v>0</v>
      </c>
      <c r="O27" s="916">
        <f>SUMIF(STAT_TRA_Survey_Pkm!$C$8:$C$23, DEMAND_Pkm_Tkm!$C27, STAT_TRA_Survey_Pkm!L$8:L$23)</f>
        <v>0</v>
      </c>
      <c r="P27" s="916">
        <f>SUMIF(STAT_TRA_Survey_Pkm!$C$8:$C$23, DEMAND_Pkm_Tkm!$C27, STAT_TRA_Survey_Pkm!M$8:M$23)</f>
        <v>0</v>
      </c>
      <c r="Q27" s="916">
        <f>SUMIF(STAT_TRA_Survey_Pkm!$C$8:$C$23, DEMAND_Pkm_Tkm!$C27, STAT_TRA_Survey_Pkm!N$8:N$23)</f>
        <v>0</v>
      </c>
      <c r="R27" s="916">
        <f>SUMIF(STAT_TRA_Survey_Pkm!$C$8:$C$23, DEMAND_Pkm_Tkm!$C27, STAT_TRA_Survey_Pkm!O$8:O$23)</f>
        <v>0</v>
      </c>
      <c r="S27" s="916">
        <f>SUMIF(STAT_TRA_Survey_Pkm!$C$8:$C$23, DEMAND_Pkm_Tkm!$C27, STAT_TRA_Survey_Pkm!P$8:P$23)</f>
        <v>0</v>
      </c>
      <c r="T27" s="916">
        <f>SUMIF(STAT_TRA_Survey_Pkm!$C$8:$C$23, DEMAND_Pkm_Tkm!$C27, STAT_TRA_Survey_Pkm!Q$8:Q$23)</f>
        <v>0</v>
      </c>
      <c r="U27" s="916">
        <f>SUMIF(STAT_TRA_Survey_Pkm!$C$8:$C$23, DEMAND_Pkm_Tkm!$C27, STAT_TRA_Survey_Pkm!R$8:R$23)</f>
        <v>0</v>
      </c>
      <c r="V27" s="117" t="str">
        <f t="shared" si="0"/>
        <v>ok</v>
      </c>
    </row>
    <row r="28" spans="2:22" x14ac:dyDescent="0.25">
      <c r="B28" s="18" t="str">
        <f>IF(COUNTIF(TRA_Comm!$C$29:$C$90,DEMAND_Pkm_Tkm!C28)=1,"X","De-Active")</f>
        <v>X</v>
      </c>
      <c r="C28" s="169" t="s">
        <v>420</v>
      </c>
      <c r="D28" s="169" t="s">
        <v>611</v>
      </c>
      <c r="E28" s="698">
        <f t="shared" si="1"/>
        <v>0</v>
      </c>
      <c r="F28" s="169" t="s">
        <v>85</v>
      </c>
      <c r="G28" s="916">
        <f>SUMIF(STAT_TRA_Survey_Pkm!$C$8:$C$23, DEMAND_Pkm_Tkm!$C28, STAT_TRA_Survey_Pkm!D$8:D$23)</f>
        <v>0</v>
      </c>
      <c r="H28" s="916">
        <f>SUMIF(STAT_TRA_Survey_Pkm!$C$8:$C$23, DEMAND_Pkm_Tkm!$C28, STAT_TRA_Survey_Pkm!E$8:E$23)</f>
        <v>0</v>
      </c>
      <c r="I28" s="916">
        <f>SUMIF(STAT_TRA_Survey_Pkm!$C$8:$C$23, DEMAND_Pkm_Tkm!$C28, STAT_TRA_Survey_Pkm!F$8:F$23)</f>
        <v>0</v>
      </c>
      <c r="J28" s="916">
        <f>SUMIF(STAT_TRA_Survey_Pkm!$C$8:$C$23, DEMAND_Pkm_Tkm!$C28, STAT_TRA_Survey_Pkm!G$8:G$23)</f>
        <v>0</v>
      </c>
      <c r="K28" s="916">
        <f>SUMIF(STAT_TRA_Survey_Pkm!$C$8:$C$23, DEMAND_Pkm_Tkm!$C28, STAT_TRA_Survey_Pkm!H$8:H$23)</f>
        <v>0</v>
      </c>
      <c r="L28" s="916">
        <f>SUMIF(STAT_TRA_Survey_Pkm!$C$8:$C$23, DEMAND_Pkm_Tkm!$C28, STAT_TRA_Survey_Pkm!I$8:I$23)</f>
        <v>0</v>
      </c>
      <c r="M28" s="916">
        <f>SUMIF(STAT_TRA_Survey_Pkm!$C$8:$C$23, DEMAND_Pkm_Tkm!$C28, STAT_TRA_Survey_Pkm!J$8:J$23)</f>
        <v>0</v>
      </c>
      <c r="N28" s="916">
        <f>SUMIF(STAT_TRA_Survey_Pkm!$C$8:$C$23, DEMAND_Pkm_Tkm!$C28, STAT_TRA_Survey_Pkm!K$8:K$23)</f>
        <v>0</v>
      </c>
      <c r="O28" s="916">
        <f>SUMIF(STAT_TRA_Survey_Pkm!$C$8:$C$23, DEMAND_Pkm_Tkm!$C28, STAT_TRA_Survey_Pkm!L$8:L$23)</f>
        <v>0</v>
      </c>
      <c r="P28" s="916">
        <f>SUMIF(STAT_TRA_Survey_Pkm!$C$8:$C$23, DEMAND_Pkm_Tkm!$C28, STAT_TRA_Survey_Pkm!M$8:M$23)</f>
        <v>0</v>
      </c>
      <c r="Q28" s="916">
        <f>SUMIF(STAT_TRA_Survey_Pkm!$C$8:$C$23, DEMAND_Pkm_Tkm!$C28, STAT_TRA_Survey_Pkm!N$8:N$23)</f>
        <v>0</v>
      </c>
      <c r="R28" s="916">
        <f>SUMIF(STAT_TRA_Survey_Pkm!$C$8:$C$23, DEMAND_Pkm_Tkm!$C28, STAT_TRA_Survey_Pkm!O$8:O$23)</f>
        <v>0</v>
      </c>
      <c r="S28" s="916">
        <f>SUMIF(STAT_TRA_Survey_Pkm!$C$8:$C$23, DEMAND_Pkm_Tkm!$C28, STAT_TRA_Survey_Pkm!P$8:P$23)</f>
        <v>0</v>
      </c>
      <c r="T28" s="916">
        <f>SUMIF(STAT_TRA_Survey_Pkm!$C$8:$C$23, DEMAND_Pkm_Tkm!$C28, STAT_TRA_Survey_Pkm!Q$8:Q$23)</f>
        <v>0</v>
      </c>
      <c r="U28" s="916">
        <f>SUMIF(STAT_TRA_Survey_Pkm!$C$8:$C$23, DEMAND_Pkm_Tkm!$C28, STAT_TRA_Survey_Pkm!R$8:R$23)</f>
        <v>0</v>
      </c>
      <c r="V28" s="117" t="str">
        <f>IF(E28=SUM(G28:U28),"ok","Too high/low")</f>
        <v>ok</v>
      </c>
    </row>
    <row r="29" spans="2:22" x14ac:dyDescent="0.25">
      <c r="B29" s="18" t="str">
        <f>IF(COUNTIF(TRA_Comm!$C$29:$C$90,DEMAND_Pkm_Tkm!C29)=1,"X","De-Active")</f>
        <v>X</v>
      </c>
      <c r="C29" s="169" t="s">
        <v>483</v>
      </c>
      <c r="D29" s="169" t="s">
        <v>612</v>
      </c>
      <c r="E29" s="698">
        <f t="shared" si="1"/>
        <v>0</v>
      </c>
      <c r="F29" s="169" t="s">
        <v>85</v>
      </c>
      <c r="G29" s="916">
        <f>SUMIF(STAT_TRA_Survey_Pkm!$C$8:$C$23, DEMAND_Pkm_Tkm!$C29, STAT_TRA_Survey_Pkm!D$8:D$23)</f>
        <v>0</v>
      </c>
      <c r="H29" s="916">
        <f>SUMIF(STAT_TRA_Survey_Pkm!$C$8:$C$23, DEMAND_Pkm_Tkm!$C29, STAT_TRA_Survey_Pkm!E$8:E$23)</f>
        <v>0</v>
      </c>
      <c r="I29" s="916">
        <f>SUMIF(STAT_TRA_Survey_Pkm!$C$8:$C$23, DEMAND_Pkm_Tkm!$C29, STAT_TRA_Survey_Pkm!F$8:F$23)</f>
        <v>0</v>
      </c>
      <c r="J29" s="916">
        <f>SUMIF(STAT_TRA_Survey_Pkm!$C$8:$C$23, DEMAND_Pkm_Tkm!$C29, STAT_TRA_Survey_Pkm!G$8:G$23)</f>
        <v>0</v>
      </c>
      <c r="K29" s="916">
        <f>SUMIF(STAT_TRA_Survey_Pkm!$C$8:$C$23, DEMAND_Pkm_Tkm!$C29, STAT_TRA_Survey_Pkm!H$8:H$23)</f>
        <v>0</v>
      </c>
      <c r="L29" s="916">
        <f>SUMIF(STAT_TRA_Survey_Pkm!$C$8:$C$23, DEMAND_Pkm_Tkm!$C29, STAT_TRA_Survey_Pkm!I$8:I$23)</f>
        <v>0</v>
      </c>
      <c r="M29" s="916">
        <f>SUMIF(STAT_TRA_Survey_Pkm!$C$8:$C$23, DEMAND_Pkm_Tkm!$C29, STAT_TRA_Survey_Pkm!J$8:J$23)</f>
        <v>0</v>
      </c>
      <c r="N29" s="916">
        <f>SUMIF(STAT_TRA_Survey_Pkm!$C$8:$C$23, DEMAND_Pkm_Tkm!$C29, STAT_TRA_Survey_Pkm!K$8:K$23)</f>
        <v>0</v>
      </c>
      <c r="O29" s="916">
        <f>SUMIF(STAT_TRA_Survey_Pkm!$C$8:$C$23, DEMAND_Pkm_Tkm!$C29, STAT_TRA_Survey_Pkm!L$8:L$23)</f>
        <v>0</v>
      </c>
      <c r="P29" s="916">
        <f>SUMIF(STAT_TRA_Survey_Pkm!$C$8:$C$23, DEMAND_Pkm_Tkm!$C29, STAT_TRA_Survey_Pkm!M$8:M$23)</f>
        <v>0</v>
      </c>
      <c r="Q29" s="916">
        <f>SUMIF(STAT_TRA_Survey_Pkm!$C$8:$C$23, DEMAND_Pkm_Tkm!$C29, STAT_TRA_Survey_Pkm!N$8:N$23)</f>
        <v>0</v>
      </c>
      <c r="R29" s="916">
        <f>SUMIF(STAT_TRA_Survey_Pkm!$C$8:$C$23, DEMAND_Pkm_Tkm!$C29, STAT_TRA_Survey_Pkm!O$8:O$23)</f>
        <v>0</v>
      </c>
      <c r="S29" s="916">
        <f>SUMIF(STAT_TRA_Survey_Pkm!$C$8:$C$23, DEMAND_Pkm_Tkm!$C29, STAT_TRA_Survey_Pkm!P$8:P$23)</f>
        <v>0</v>
      </c>
      <c r="T29" s="916">
        <f>SUMIF(STAT_TRA_Survey_Pkm!$C$8:$C$23, DEMAND_Pkm_Tkm!$C29, STAT_TRA_Survey_Pkm!Q$8:Q$23)</f>
        <v>0</v>
      </c>
      <c r="U29" s="916">
        <f>SUMIF(STAT_TRA_Survey_Pkm!$C$8:$C$23, DEMAND_Pkm_Tkm!$C29, STAT_TRA_Survey_Pkm!R$8:R$23)</f>
        <v>0</v>
      </c>
      <c r="V29" s="117" t="str">
        <f t="shared" si="0"/>
        <v>ok</v>
      </c>
    </row>
    <row r="30" spans="2:22" x14ac:dyDescent="0.25">
      <c r="B30" s="18" t="str">
        <f>IF(COUNTIF(TRA_Comm!$C$29:$C$90,DEMAND_Pkm_Tkm!C30)=1,"X","De-Active")</f>
        <v>X</v>
      </c>
      <c r="C30" s="169" t="s">
        <v>419</v>
      </c>
      <c r="D30" s="169" t="s">
        <v>613</v>
      </c>
      <c r="E30" s="698">
        <f t="shared" si="1"/>
        <v>0</v>
      </c>
      <c r="F30" s="169" t="s">
        <v>583</v>
      </c>
      <c r="G30" s="916">
        <f>SUMIF(STAT_TRA_Survey_Pkm!$C$8:$C$23, DEMAND_Pkm_Tkm!$C30, STAT_TRA_Survey_Pkm!D$8:D$23)</f>
        <v>0</v>
      </c>
      <c r="H30" s="916">
        <f>SUMIF(STAT_TRA_Survey_Pkm!$C$8:$C$23, DEMAND_Pkm_Tkm!$C30, STAT_TRA_Survey_Pkm!E$8:E$23)</f>
        <v>0</v>
      </c>
      <c r="I30" s="916">
        <f>SUMIF(STAT_TRA_Survey_Pkm!$C$8:$C$23, DEMAND_Pkm_Tkm!$C30, STAT_TRA_Survey_Pkm!F$8:F$23)</f>
        <v>0</v>
      </c>
      <c r="J30" s="916">
        <f>SUMIF(STAT_TRA_Survey_Pkm!$C$8:$C$23, DEMAND_Pkm_Tkm!$C30, STAT_TRA_Survey_Pkm!G$8:G$23)</f>
        <v>0</v>
      </c>
      <c r="K30" s="916">
        <f>SUMIF(STAT_TRA_Survey_Pkm!$C$8:$C$23, DEMAND_Pkm_Tkm!$C30, STAT_TRA_Survey_Pkm!H$8:H$23)</f>
        <v>0</v>
      </c>
      <c r="L30" s="916">
        <f>SUMIF(STAT_TRA_Survey_Pkm!$C$8:$C$23, DEMAND_Pkm_Tkm!$C30, STAT_TRA_Survey_Pkm!I$8:I$23)</f>
        <v>0</v>
      </c>
      <c r="M30" s="916">
        <f>SUMIF(STAT_TRA_Survey_Pkm!$C$8:$C$23, DEMAND_Pkm_Tkm!$C30, STAT_TRA_Survey_Pkm!J$8:J$23)</f>
        <v>0</v>
      </c>
      <c r="N30" s="916">
        <f>SUMIF(STAT_TRA_Survey_Pkm!$C$8:$C$23, DEMAND_Pkm_Tkm!$C30, STAT_TRA_Survey_Pkm!K$8:K$23)</f>
        <v>0</v>
      </c>
      <c r="O30" s="916">
        <f>SUMIF(STAT_TRA_Survey_Pkm!$C$8:$C$23, DEMAND_Pkm_Tkm!$C30, STAT_TRA_Survey_Pkm!L$8:L$23)</f>
        <v>0</v>
      </c>
      <c r="P30" s="916">
        <f>SUMIF(STAT_TRA_Survey_Pkm!$C$8:$C$23, DEMAND_Pkm_Tkm!$C30, STAT_TRA_Survey_Pkm!M$8:M$23)</f>
        <v>0</v>
      </c>
      <c r="Q30" s="916">
        <f>SUMIF(STAT_TRA_Survey_Pkm!$C$8:$C$23, DEMAND_Pkm_Tkm!$C30, STAT_TRA_Survey_Pkm!N$8:N$23)</f>
        <v>0</v>
      </c>
      <c r="R30" s="916">
        <f>SUMIF(STAT_TRA_Survey_Pkm!$C$8:$C$23, DEMAND_Pkm_Tkm!$C30, STAT_TRA_Survey_Pkm!O$8:O$23)</f>
        <v>0</v>
      </c>
      <c r="S30" s="916">
        <f>SUMIF(STAT_TRA_Survey_Pkm!$C$8:$C$23, DEMAND_Pkm_Tkm!$C30, STAT_TRA_Survey_Pkm!P$8:P$23)</f>
        <v>0</v>
      </c>
      <c r="T30" s="916">
        <f>SUMIF(STAT_TRA_Survey_Pkm!$C$8:$C$23, DEMAND_Pkm_Tkm!$C30, STAT_TRA_Survey_Pkm!Q$8:Q$23)</f>
        <v>0</v>
      </c>
      <c r="U30" s="916">
        <f>SUMIF(STAT_TRA_Survey_Pkm!$C$8:$C$23, DEMAND_Pkm_Tkm!$C30, STAT_TRA_Survey_Pkm!R$8:R$23)</f>
        <v>0</v>
      </c>
      <c r="V30" s="117" t="str">
        <f t="shared" si="0"/>
        <v>ok</v>
      </c>
    </row>
    <row r="31" spans="2:22" x14ac:dyDescent="0.25">
      <c r="B31" s="18" t="str">
        <f>IF(COUNTIF(TRA_Comm!$C$29:$C$90,DEMAND_Pkm_Tkm!C31)=1,"X","De-Active")</f>
        <v>X</v>
      </c>
      <c r="C31" s="169" t="s">
        <v>614</v>
      </c>
      <c r="D31" s="169" t="s">
        <v>615</v>
      </c>
      <c r="E31" s="698">
        <f t="shared" si="1"/>
        <v>0</v>
      </c>
      <c r="F31" s="169" t="s">
        <v>583</v>
      </c>
      <c r="G31" s="916">
        <f>SUMIF(STAT_TRA_Survey_Pkm!$C$8:$C$23, DEMAND_Pkm_Tkm!$C31, STAT_TRA_Survey_Pkm!D$8:D$23)</f>
        <v>0</v>
      </c>
      <c r="H31" s="916">
        <f>SUMIF(STAT_TRA_Survey_Pkm!$C$8:$C$23, DEMAND_Pkm_Tkm!$C31, STAT_TRA_Survey_Pkm!E$8:E$23)</f>
        <v>0</v>
      </c>
      <c r="I31" s="916">
        <f>SUMIF(STAT_TRA_Survey_Pkm!$C$8:$C$23, DEMAND_Pkm_Tkm!$C31, STAT_TRA_Survey_Pkm!F$8:F$23)</f>
        <v>0</v>
      </c>
      <c r="J31" s="916">
        <f>SUMIF(STAT_TRA_Survey_Pkm!$C$8:$C$23, DEMAND_Pkm_Tkm!$C31, STAT_TRA_Survey_Pkm!G$8:G$23)</f>
        <v>0</v>
      </c>
      <c r="K31" s="916">
        <f>SUMIF(STAT_TRA_Survey_Pkm!$C$8:$C$23, DEMAND_Pkm_Tkm!$C31, STAT_TRA_Survey_Pkm!H$8:H$23)</f>
        <v>0</v>
      </c>
      <c r="L31" s="916">
        <f>SUMIF(STAT_TRA_Survey_Pkm!$C$8:$C$23, DEMAND_Pkm_Tkm!$C31, STAT_TRA_Survey_Pkm!I$8:I$23)</f>
        <v>0</v>
      </c>
      <c r="M31" s="916">
        <f>SUMIF(STAT_TRA_Survey_Pkm!$C$8:$C$23, DEMAND_Pkm_Tkm!$C31, STAT_TRA_Survey_Pkm!J$8:J$23)</f>
        <v>0</v>
      </c>
      <c r="N31" s="916">
        <f>SUMIF(STAT_TRA_Survey_Pkm!$C$8:$C$23, DEMAND_Pkm_Tkm!$C31, STAT_TRA_Survey_Pkm!K$8:K$23)</f>
        <v>0</v>
      </c>
      <c r="O31" s="916">
        <f>SUMIF(STAT_TRA_Survey_Pkm!$C$8:$C$23, DEMAND_Pkm_Tkm!$C31, STAT_TRA_Survey_Pkm!L$8:L$23)</f>
        <v>0</v>
      </c>
      <c r="P31" s="916">
        <f>SUMIF(STAT_TRA_Survey_Pkm!$C$8:$C$23, DEMAND_Pkm_Tkm!$C31, STAT_TRA_Survey_Pkm!M$8:M$23)</f>
        <v>0</v>
      </c>
      <c r="Q31" s="916">
        <f>SUMIF(STAT_TRA_Survey_Pkm!$C$8:$C$23, DEMAND_Pkm_Tkm!$C31, STAT_TRA_Survey_Pkm!N$8:N$23)</f>
        <v>0</v>
      </c>
      <c r="R31" s="916">
        <f>SUMIF(STAT_TRA_Survey_Pkm!$C$8:$C$23, DEMAND_Pkm_Tkm!$C31, STAT_TRA_Survey_Pkm!O$8:O$23)</f>
        <v>0</v>
      </c>
      <c r="S31" s="916">
        <f>SUMIF(STAT_TRA_Survey_Pkm!$C$8:$C$23, DEMAND_Pkm_Tkm!$C31, STAT_TRA_Survey_Pkm!P$8:P$23)</f>
        <v>0</v>
      </c>
      <c r="T31" s="916">
        <f>SUMIF(STAT_TRA_Survey_Pkm!$C$8:$C$23, DEMAND_Pkm_Tkm!$C31, STAT_TRA_Survey_Pkm!Q$8:Q$23)</f>
        <v>0</v>
      </c>
      <c r="U31" s="916">
        <f>SUMIF(STAT_TRA_Survey_Pkm!$C$8:$C$23, DEMAND_Pkm_Tkm!$C31, STAT_TRA_Survey_Pkm!R$8:R$23)</f>
        <v>0</v>
      </c>
      <c r="V31" s="117" t="str">
        <f t="shared" si="0"/>
        <v>ok</v>
      </c>
    </row>
    <row r="32" spans="2:22" x14ac:dyDescent="0.25">
      <c r="B32" s="18" t="str">
        <f>IF(COUNTIF(TRA_Comm!$C$29:$C$90,DEMAND_Pkm_Tkm!C32)=1,"X","De-Active")</f>
        <v>X</v>
      </c>
      <c r="C32" s="169" t="s">
        <v>511</v>
      </c>
      <c r="D32" s="169" t="s">
        <v>616</v>
      </c>
      <c r="E32" s="698">
        <f t="shared" si="1"/>
        <v>0</v>
      </c>
      <c r="F32" s="169" t="s">
        <v>583</v>
      </c>
      <c r="G32" s="916">
        <f>SUMIF(STAT_TRA_Survey_Pkm!$C$8:$C$23, DEMAND_Pkm_Tkm!$C32, STAT_TRA_Survey_Pkm!D$8:D$23)</f>
        <v>0</v>
      </c>
      <c r="H32" s="916">
        <f>SUMIF(STAT_TRA_Survey_Pkm!$C$8:$C$23, DEMAND_Pkm_Tkm!$C32, STAT_TRA_Survey_Pkm!E$8:E$23)</f>
        <v>0</v>
      </c>
      <c r="I32" s="916">
        <f>SUMIF(STAT_TRA_Survey_Pkm!$C$8:$C$23, DEMAND_Pkm_Tkm!$C32, STAT_TRA_Survey_Pkm!F$8:F$23)</f>
        <v>0</v>
      </c>
      <c r="J32" s="916">
        <f>SUMIF(STAT_TRA_Survey_Pkm!$C$8:$C$23, DEMAND_Pkm_Tkm!$C32, STAT_TRA_Survey_Pkm!G$8:G$23)</f>
        <v>0</v>
      </c>
      <c r="K32" s="916">
        <f>SUMIF(STAT_TRA_Survey_Pkm!$C$8:$C$23, DEMAND_Pkm_Tkm!$C32, STAT_TRA_Survey_Pkm!H$8:H$23)</f>
        <v>0</v>
      </c>
      <c r="L32" s="916">
        <f>SUMIF(STAT_TRA_Survey_Pkm!$C$8:$C$23, DEMAND_Pkm_Tkm!$C32, STAT_TRA_Survey_Pkm!I$8:I$23)</f>
        <v>0</v>
      </c>
      <c r="M32" s="916">
        <f>SUMIF(STAT_TRA_Survey_Pkm!$C$8:$C$23, DEMAND_Pkm_Tkm!$C32, STAT_TRA_Survey_Pkm!J$8:J$23)</f>
        <v>0</v>
      </c>
      <c r="N32" s="916">
        <f>SUMIF(STAT_TRA_Survey_Pkm!$C$8:$C$23, DEMAND_Pkm_Tkm!$C32, STAT_TRA_Survey_Pkm!K$8:K$23)</f>
        <v>0</v>
      </c>
      <c r="O32" s="916">
        <f>SUMIF(STAT_TRA_Survey_Pkm!$C$8:$C$23, DEMAND_Pkm_Tkm!$C32, STAT_TRA_Survey_Pkm!L$8:L$23)</f>
        <v>0</v>
      </c>
      <c r="P32" s="916">
        <f>SUMIF(STAT_TRA_Survey_Pkm!$C$8:$C$23, DEMAND_Pkm_Tkm!$C32, STAT_TRA_Survey_Pkm!M$8:M$23)</f>
        <v>0</v>
      </c>
      <c r="Q32" s="916">
        <f>SUMIF(STAT_TRA_Survey_Pkm!$C$8:$C$23, DEMAND_Pkm_Tkm!$C32, STAT_TRA_Survey_Pkm!N$8:N$23)</f>
        <v>0</v>
      </c>
      <c r="R32" s="916">
        <f>SUMIF(STAT_TRA_Survey_Pkm!$C$8:$C$23, DEMAND_Pkm_Tkm!$C32, STAT_TRA_Survey_Pkm!O$8:O$23)</f>
        <v>0</v>
      </c>
      <c r="S32" s="916">
        <f>SUMIF(STAT_TRA_Survey_Pkm!$C$8:$C$23, DEMAND_Pkm_Tkm!$C32, STAT_TRA_Survey_Pkm!P$8:P$23)</f>
        <v>0</v>
      </c>
      <c r="T32" s="916">
        <f>SUMIF(STAT_TRA_Survey_Pkm!$C$8:$C$23, DEMAND_Pkm_Tkm!$C32, STAT_TRA_Survey_Pkm!Q$8:Q$23)</f>
        <v>0</v>
      </c>
      <c r="U32" s="916">
        <f>SUMIF(STAT_TRA_Survey_Pkm!$C$8:$C$23, DEMAND_Pkm_Tkm!$C32, STAT_TRA_Survey_Pkm!R$8:R$23)</f>
        <v>0</v>
      </c>
      <c r="V32" s="117" t="str">
        <f t="shared" si="0"/>
        <v>ok</v>
      </c>
    </row>
    <row r="33" spans="2:22" x14ac:dyDescent="0.25">
      <c r="B33" s="18" t="str">
        <f>IF(COUNTIF(TRA_Comm!$C$29:$C$90,DEMAND_Pkm_Tkm!C33)=1,"X","De-Active")</f>
        <v>X</v>
      </c>
      <c r="C33" s="169" t="s">
        <v>617</v>
      </c>
      <c r="D33" s="169" t="s">
        <v>618</v>
      </c>
      <c r="E33" s="698">
        <f t="shared" si="1"/>
        <v>0</v>
      </c>
      <c r="F33" s="169" t="s">
        <v>583</v>
      </c>
      <c r="G33" s="916">
        <f>SUMIF(STAT_TRA_Survey_Pkm!$C$8:$C$23, DEMAND_Pkm_Tkm!$C33, STAT_TRA_Survey_Pkm!D$8:D$23)</f>
        <v>0</v>
      </c>
      <c r="H33" s="916">
        <f>SUMIF(STAT_TRA_Survey_Pkm!$C$8:$C$23, DEMAND_Pkm_Tkm!$C33, STAT_TRA_Survey_Pkm!E$8:E$23)</f>
        <v>0</v>
      </c>
      <c r="I33" s="916">
        <f>SUMIF(STAT_TRA_Survey_Pkm!$C$8:$C$23, DEMAND_Pkm_Tkm!$C33, STAT_TRA_Survey_Pkm!F$8:F$23)</f>
        <v>0</v>
      </c>
      <c r="J33" s="916">
        <f>SUMIF(STAT_TRA_Survey_Pkm!$C$8:$C$23, DEMAND_Pkm_Tkm!$C33, STAT_TRA_Survey_Pkm!G$8:G$23)</f>
        <v>0</v>
      </c>
      <c r="K33" s="916">
        <f>SUMIF(STAT_TRA_Survey_Pkm!$C$8:$C$23, DEMAND_Pkm_Tkm!$C33, STAT_TRA_Survey_Pkm!H$8:H$23)</f>
        <v>0</v>
      </c>
      <c r="L33" s="916">
        <f>SUMIF(STAT_TRA_Survey_Pkm!$C$8:$C$23, DEMAND_Pkm_Tkm!$C33, STAT_TRA_Survey_Pkm!I$8:I$23)</f>
        <v>0</v>
      </c>
      <c r="M33" s="916">
        <f>SUMIF(STAT_TRA_Survey_Pkm!$C$8:$C$23, DEMAND_Pkm_Tkm!$C33, STAT_TRA_Survey_Pkm!J$8:J$23)</f>
        <v>0</v>
      </c>
      <c r="N33" s="916">
        <f>SUMIF(STAT_TRA_Survey_Pkm!$C$8:$C$23, DEMAND_Pkm_Tkm!$C33, STAT_TRA_Survey_Pkm!K$8:K$23)</f>
        <v>0</v>
      </c>
      <c r="O33" s="916">
        <f>SUMIF(STAT_TRA_Survey_Pkm!$C$8:$C$23, DEMAND_Pkm_Tkm!$C33, STAT_TRA_Survey_Pkm!L$8:L$23)</f>
        <v>0</v>
      </c>
      <c r="P33" s="916">
        <f>SUMIF(STAT_TRA_Survey_Pkm!$C$8:$C$23, DEMAND_Pkm_Tkm!$C33, STAT_TRA_Survey_Pkm!M$8:M$23)</f>
        <v>0</v>
      </c>
      <c r="Q33" s="916">
        <f>SUMIF(STAT_TRA_Survey_Pkm!$C$8:$C$23, DEMAND_Pkm_Tkm!$C33, STAT_TRA_Survey_Pkm!N$8:N$23)</f>
        <v>0</v>
      </c>
      <c r="R33" s="916">
        <f>SUMIF(STAT_TRA_Survey_Pkm!$C$8:$C$23, DEMAND_Pkm_Tkm!$C33, STAT_TRA_Survey_Pkm!O$8:O$23)</f>
        <v>0</v>
      </c>
      <c r="S33" s="916">
        <f>SUMIF(STAT_TRA_Survey_Pkm!$C$8:$C$23, DEMAND_Pkm_Tkm!$C33, STAT_TRA_Survey_Pkm!P$8:P$23)</f>
        <v>0</v>
      </c>
      <c r="T33" s="916">
        <f>SUMIF(STAT_TRA_Survey_Pkm!$C$8:$C$23, DEMAND_Pkm_Tkm!$C33, STAT_TRA_Survey_Pkm!Q$8:Q$23)</f>
        <v>0</v>
      </c>
      <c r="U33" s="916">
        <f>SUMIF(STAT_TRA_Survey_Pkm!$C$8:$C$23, DEMAND_Pkm_Tkm!$C33, STAT_TRA_Survey_Pkm!R$8:R$23)</f>
        <v>0</v>
      </c>
      <c r="V33" s="117" t="str">
        <f t="shared" si="0"/>
        <v>ok</v>
      </c>
    </row>
    <row r="34" spans="2:22" x14ac:dyDescent="0.25">
      <c r="B34" s="18" t="str">
        <f>IF(COUNTIF(TRA_Comm!$C$29:$C$90,DEMAND_Pkm_Tkm!C34)=1,"X","De-Active")</f>
        <v>X</v>
      </c>
      <c r="C34" s="169" t="s">
        <v>513</v>
      </c>
      <c r="D34" s="169" t="s">
        <v>619</v>
      </c>
      <c r="E34" s="698">
        <f t="shared" si="1"/>
        <v>0</v>
      </c>
      <c r="F34" s="169" t="s">
        <v>583</v>
      </c>
      <c r="G34" s="916">
        <f>SUMIF(STAT_TRA_Survey_Pkm!$C$8:$C$23, DEMAND_Pkm_Tkm!$C34, STAT_TRA_Survey_Pkm!D$8:D$23)</f>
        <v>0</v>
      </c>
      <c r="H34" s="916">
        <f>SUMIF(STAT_TRA_Survey_Pkm!$C$8:$C$23, DEMAND_Pkm_Tkm!$C34, STAT_TRA_Survey_Pkm!E$8:E$23)</f>
        <v>0</v>
      </c>
      <c r="I34" s="916">
        <f>SUMIF(STAT_TRA_Survey_Pkm!$C$8:$C$23, DEMAND_Pkm_Tkm!$C34, STAT_TRA_Survey_Pkm!F$8:F$23)</f>
        <v>0</v>
      </c>
      <c r="J34" s="916">
        <f>SUMIF(STAT_TRA_Survey_Pkm!$C$8:$C$23, DEMAND_Pkm_Tkm!$C34, STAT_TRA_Survey_Pkm!G$8:G$23)</f>
        <v>0</v>
      </c>
      <c r="K34" s="916">
        <f>SUMIF(STAT_TRA_Survey_Pkm!$C$8:$C$23, DEMAND_Pkm_Tkm!$C34, STAT_TRA_Survey_Pkm!H$8:H$23)</f>
        <v>0</v>
      </c>
      <c r="L34" s="916">
        <f>SUMIF(STAT_TRA_Survey_Pkm!$C$8:$C$23, DEMAND_Pkm_Tkm!$C34, STAT_TRA_Survey_Pkm!I$8:I$23)</f>
        <v>0</v>
      </c>
      <c r="M34" s="916">
        <f>SUMIF(STAT_TRA_Survey_Pkm!$C$8:$C$23, DEMAND_Pkm_Tkm!$C34, STAT_TRA_Survey_Pkm!J$8:J$23)</f>
        <v>0</v>
      </c>
      <c r="N34" s="916">
        <f>SUMIF(STAT_TRA_Survey_Pkm!$C$8:$C$23, DEMAND_Pkm_Tkm!$C34, STAT_TRA_Survey_Pkm!K$8:K$23)</f>
        <v>0</v>
      </c>
      <c r="O34" s="916">
        <f>SUMIF(STAT_TRA_Survey_Pkm!$C$8:$C$23, DEMAND_Pkm_Tkm!$C34, STAT_TRA_Survey_Pkm!L$8:L$23)</f>
        <v>0</v>
      </c>
      <c r="P34" s="916">
        <f>SUMIF(STAT_TRA_Survey_Pkm!$C$8:$C$23, DEMAND_Pkm_Tkm!$C34, STAT_TRA_Survey_Pkm!M$8:M$23)</f>
        <v>0</v>
      </c>
      <c r="Q34" s="916">
        <f>SUMIF(STAT_TRA_Survey_Pkm!$C$8:$C$23, DEMAND_Pkm_Tkm!$C34, STAT_TRA_Survey_Pkm!N$8:N$23)</f>
        <v>0</v>
      </c>
      <c r="R34" s="916">
        <f>SUMIF(STAT_TRA_Survey_Pkm!$C$8:$C$23, DEMAND_Pkm_Tkm!$C34, STAT_TRA_Survey_Pkm!O$8:O$23)</f>
        <v>0</v>
      </c>
      <c r="S34" s="916">
        <f>SUMIF(STAT_TRA_Survey_Pkm!$C$8:$C$23, DEMAND_Pkm_Tkm!$C34, STAT_TRA_Survey_Pkm!P$8:P$23)</f>
        <v>0</v>
      </c>
      <c r="T34" s="916">
        <f>SUMIF(STAT_TRA_Survey_Pkm!$C$8:$C$23, DEMAND_Pkm_Tkm!$C34, STAT_TRA_Survey_Pkm!Q$8:Q$23)</f>
        <v>0</v>
      </c>
      <c r="U34" s="916">
        <f>SUMIF(STAT_TRA_Survey_Pkm!$C$8:$C$23, DEMAND_Pkm_Tkm!$C34, STAT_TRA_Survey_Pkm!R$8:R$23)</f>
        <v>0</v>
      </c>
      <c r="V34" s="117" t="str">
        <f t="shared" si="0"/>
        <v>ok</v>
      </c>
    </row>
    <row r="35" spans="2:22" x14ac:dyDescent="0.25">
      <c r="B35" s="18" t="str">
        <f>IF(COUNTIF(TRA_Comm!$C$29:$C$90,DEMAND_Pkm_Tkm!C35)=1,"X","De-Active")</f>
        <v>X</v>
      </c>
      <c r="C35" s="169" t="s">
        <v>620</v>
      </c>
      <c r="D35" s="169" t="s">
        <v>621</v>
      </c>
      <c r="E35" s="698">
        <f t="shared" si="1"/>
        <v>0</v>
      </c>
      <c r="F35" s="169" t="s">
        <v>583</v>
      </c>
      <c r="G35" s="916">
        <f>SUMIF(STAT_TRA_Survey_Pkm!$C$8:$C$23, DEMAND_Pkm_Tkm!$C35, STAT_TRA_Survey_Pkm!D$8:D$23)</f>
        <v>0</v>
      </c>
      <c r="H35" s="916">
        <f>SUMIF(STAT_TRA_Survey_Pkm!$C$8:$C$23, DEMAND_Pkm_Tkm!$C35, STAT_TRA_Survey_Pkm!E$8:E$23)</f>
        <v>0</v>
      </c>
      <c r="I35" s="916">
        <f>SUMIF(STAT_TRA_Survey_Pkm!$C$8:$C$23, DEMAND_Pkm_Tkm!$C35, STAT_TRA_Survey_Pkm!F$8:F$23)</f>
        <v>0</v>
      </c>
      <c r="J35" s="916">
        <f>SUMIF(STAT_TRA_Survey_Pkm!$C$8:$C$23, DEMAND_Pkm_Tkm!$C35, STAT_TRA_Survey_Pkm!G$8:G$23)</f>
        <v>0</v>
      </c>
      <c r="K35" s="916">
        <f>SUMIF(STAT_TRA_Survey_Pkm!$C$8:$C$23, DEMAND_Pkm_Tkm!$C35, STAT_TRA_Survey_Pkm!H$8:H$23)</f>
        <v>0</v>
      </c>
      <c r="L35" s="916">
        <f>SUMIF(STAT_TRA_Survey_Pkm!$C$8:$C$23, DEMAND_Pkm_Tkm!$C35, STAT_TRA_Survey_Pkm!I$8:I$23)</f>
        <v>0</v>
      </c>
      <c r="M35" s="916">
        <f>SUMIF(STAT_TRA_Survey_Pkm!$C$8:$C$23, DEMAND_Pkm_Tkm!$C35, STAT_TRA_Survey_Pkm!J$8:J$23)</f>
        <v>0</v>
      </c>
      <c r="N35" s="916">
        <f>SUMIF(STAT_TRA_Survey_Pkm!$C$8:$C$23, DEMAND_Pkm_Tkm!$C35, STAT_TRA_Survey_Pkm!K$8:K$23)</f>
        <v>0</v>
      </c>
      <c r="O35" s="916">
        <f>SUMIF(STAT_TRA_Survey_Pkm!$C$8:$C$23, DEMAND_Pkm_Tkm!$C35, STAT_TRA_Survey_Pkm!L$8:L$23)</f>
        <v>0</v>
      </c>
      <c r="P35" s="916">
        <f>SUMIF(STAT_TRA_Survey_Pkm!$C$8:$C$23, DEMAND_Pkm_Tkm!$C35, STAT_TRA_Survey_Pkm!M$8:M$23)</f>
        <v>0</v>
      </c>
      <c r="Q35" s="916">
        <f>SUMIF(STAT_TRA_Survey_Pkm!$C$8:$C$23, DEMAND_Pkm_Tkm!$C35, STAT_TRA_Survey_Pkm!N$8:N$23)</f>
        <v>0</v>
      </c>
      <c r="R35" s="916">
        <f>SUMIF(STAT_TRA_Survey_Pkm!$C$8:$C$23, DEMAND_Pkm_Tkm!$C35, STAT_TRA_Survey_Pkm!O$8:O$23)</f>
        <v>0</v>
      </c>
      <c r="S35" s="916">
        <f>SUMIF(STAT_TRA_Survey_Pkm!$C$8:$C$23, DEMAND_Pkm_Tkm!$C35, STAT_TRA_Survey_Pkm!P$8:P$23)</f>
        <v>0</v>
      </c>
      <c r="T35" s="916">
        <f>SUMIF(STAT_TRA_Survey_Pkm!$C$8:$C$23, DEMAND_Pkm_Tkm!$C35, STAT_TRA_Survey_Pkm!Q$8:Q$23)</f>
        <v>0</v>
      </c>
      <c r="U35" s="916">
        <f>SUMIF(STAT_TRA_Survey_Pkm!$C$8:$C$23, DEMAND_Pkm_Tkm!$C35, STAT_TRA_Survey_Pkm!R$8:R$23)</f>
        <v>0</v>
      </c>
      <c r="V35" s="117" t="str">
        <f t="shared" si="0"/>
        <v>ok</v>
      </c>
    </row>
    <row r="36" spans="2:22" x14ac:dyDescent="0.25">
      <c r="B36" s="18" t="str">
        <f>IF(COUNTIF(TRA_Comm!$C$29:$C$90,DEMAND_Pkm_Tkm!C36)=1,"X","De-Active")</f>
        <v>X</v>
      </c>
      <c r="C36" s="169" t="s">
        <v>417</v>
      </c>
      <c r="D36" s="169" t="s">
        <v>622</v>
      </c>
      <c r="E36" s="698">
        <f t="shared" si="1"/>
        <v>0</v>
      </c>
      <c r="F36" s="169" t="s">
        <v>583</v>
      </c>
      <c r="G36" s="916">
        <f>SUMIF(STAT_TRA_Survey_Pkm!$C$8:$C$23, DEMAND_Pkm_Tkm!$C36, STAT_TRA_Survey_Pkm!D$8:D$23)</f>
        <v>0</v>
      </c>
      <c r="H36" s="916">
        <f>SUMIF(STAT_TRA_Survey_Pkm!$C$8:$C$23, DEMAND_Pkm_Tkm!$C36, STAT_TRA_Survey_Pkm!E$8:E$23)</f>
        <v>0</v>
      </c>
      <c r="I36" s="916">
        <f>SUMIF(STAT_TRA_Survey_Pkm!$C$8:$C$23, DEMAND_Pkm_Tkm!$C36, STAT_TRA_Survey_Pkm!F$8:F$23)</f>
        <v>0</v>
      </c>
      <c r="J36" s="916">
        <f>SUMIF(STAT_TRA_Survey_Pkm!$C$8:$C$23, DEMAND_Pkm_Tkm!$C36, STAT_TRA_Survey_Pkm!G$8:G$23)</f>
        <v>0</v>
      </c>
      <c r="K36" s="916">
        <f>SUMIF(STAT_TRA_Survey_Pkm!$C$8:$C$23, DEMAND_Pkm_Tkm!$C36, STAT_TRA_Survey_Pkm!H$8:H$23)</f>
        <v>0</v>
      </c>
      <c r="L36" s="916">
        <f>SUMIF(STAT_TRA_Survey_Pkm!$C$8:$C$23, DEMAND_Pkm_Tkm!$C36, STAT_TRA_Survey_Pkm!I$8:I$23)</f>
        <v>0</v>
      </c>
      <c r="M36" s="916">
        <f>SUMIF(STAT_TRA_Survey_Pkm!$C$8:$C$23, DEMAND_Pkm_Tkm!$C36, STAT_TRA_Survey_Pkm!J$8:J$23)</f>
        <v>0</v>
      </c>
      <c r="N36" s="916">
        <f>SUMIF(STAT_TRA_Survey_Pkm!$C$8:$C$23, DEMAND_Pkm_Tkm!$C36, STAT_TRA_Survey_Pkm!K$8:K$23)</f>
        <v>0</v>
      </c>
      <c r="O36" s="916">
        <f>SUMIF(STAT_TRA_Survey_Pkm!$C$8:$C$23, DEMAND_Pkm_Tkm!$C36, STAT_TRA_Survey_Pkm!L$8:L$23)</f>
        <v>0</v>
      </c>
      <c r="P36" s="916">
        <f>SUMIF(STAT_TRA_Survey_Pkm!$C$8:$C$23, DEMAND_Pkm_Tkm!$C36, STAT_TRA_Survey_Pkm!M$8:M$23)</f>
        <v>0</v>
      </c>
      <c r="Q36" s="916">
        <f>SUMIF(STAT_TRA_Survey_Pkm!$C$8:$C$23, DEMAND_Pkm_Tkm!$C36, STAT_TRA_Survey_Pkm!N$8:N$23)</f>
        <v>0</v>
      </c>
      <c r="R36" s="916">
        <f>SUMIF(STAT_TRA_Survey_Pkm!$C$8:$C$23, DEMAND_Pkm_Tkm!$C36, STAT_TRA_Survey_Pkm!O$8:O$23)</f>
        <v>0</v>
      </c>
      <c r="S36" s="916">
        <f>SUMIF(STAT_TRA_Survey_Pkm!$C$8:$C$23, DEMAND_Pkm_Tkm!$C36, STAT_TRA_Survey_Pkm!P$8:P$23)</f>
        <v>0</v>
      </c>
      <c r="T36" s="916">
        <f>SUMIF(STAT_TRA_Survey_Pkm!$C$8:$C$23, DEMAND_Pkm_Tkm!$C36, STAT_TRA_Survey_Pkm!Q$8:Q$23)</f>
        <v>0</v>
      </c>
      <c r="U36" s="916">
        <f>SUMIF(STAT_TRA_Survey_Pkm!$C$8:$C$23, DEMAND_Pkm_Tkm!$C36, STAT_TRA_Survey_Pkm!R$8:R$23)</f>
        <v>0</v>
      </c>
      <c r="V36" s="117" t="str">
        <f t="shared" si="0"/>
        <v>ok</v>
      </c>
    </row>
    <row r="37" spans="2:22" x14ac:dyDescent="0.25">
      <c r="B37" s="18" t="str">
        <f>IF(COUNTIF(TRA_Comm!$C$29:$C$90,DEMAND_Pkm_Tkm!C37)=1,"X","De-Active")</f>
        <v>X</v>
      </c>
      <c r="C37" s="169" t="s">
        <v>623</v>
      </c>
      <c r="D37" s="169" t="s">
        <v>624</v>
      </c>
      <c r="E37" s="698">
        <f t="shared" si="1"/>
        <v>0</v>
      </c>
      <c r="F37" s="169" t="s">
        <v>583</v>
      </c>
      <c r="G37" s="916">
        <f>SUMIF(STAT_TRA_Survey_Pkm!$C$8:$C$23, DEMAND_Pkm_Tkm!$C37, STAT_TRA_Survey_Pkm!D$8:D$23)</f>
        <v>0</v>
      </c>
      <c r="H37" s="916">
        <f>SUMIF(STAT_TRA_Survey_Pkm!$C$8:$C$23, DEMAND_Pkm_Tkm!$C37, STAT_TRA_Survey_Pkm!E$8:E$23)</f>
        <v>0</v>
      </c>
      <c r="I37" s="916">
        <f>SUMIF(STAT_TRA_Survey_Pkm!$C$8:$C$23, DEMAND_Pkm_Tkm!$C37, STAT_TRA_Survey_Pkm!F$8:F$23)</f>
        <v>0</v>
      </c>
      <c r="J37" s="916">
        <f>SUMIF(STAT_TRA_Survey_Pkm!$C$8:$C$23, DEMAND_Pkm_Tkm!$C37, STAT_TRA_Survey_Pkm!G$8:G$23)</f>
        <v>0</v>
      </c>
      <c r="K37" s="916">
        <f>SUMIF(STAT_TRA_Survey_Pkm!$C$8:$C$23, DEMAND_Pkm_Tkm!$C37, STAT_TRA_Survey_Pkm!H$8:H$23)</f>
        <v>0</v>
      </c>
      <c r="L37" s="916">
        <f>SUMIF(STAT_TRA_Survey_Pkm!$C$8:$C$23, DEMAND_Pkm_Tkm!$C37, STAT_TRA_Survey_Pkm!I$8:I$23)</f>
        <v>0</v>
      </c>
      <c r="M37" s="916">
        <f>SUMIF(STAT_TRA_Survey_Pkm!$C$8:$C$23, DEMAND_Pkm_Tkm!$C37, STAT_TRA_Survey_Pkm!J$8:J$23)</f>
        <v>0</v>
      </c>
      <c r="N37" s="916">
        <f>SUMIF(STAT_TRA_Survey_Pkm!$C$8:$C$23, DEMAND_Pkm_Tkm!$C37, STAT_TRA_Survey_Pkm!K$8:K$23)</f>
        <v>0</v>
      </c>
      <c r="O37" s="916">
        <f>SUMIF(STAT_TRA_Survey_Pkm!$C$8:$C$23, DEMAND_Pkm_Tkm!$C37, STAT_TRA_Survey_Pkm!L$8:L$23)</f>
        <v>0</v>
      </c>
      <c r="P37" s="916">
        <f>SUMIF(STAT_TRA_Survey_Pkm!$C$8:$C$23, DEMAND_Pkm_Tkm!$C37, STAT_TRA_Survey_Pkm!M$8:M$23)</f>
        <v>0</v>
      </c>
      <c r="Q37" s="916">
        <f>SUMIF(STAT_TRA_Survey_Pkm!$C$8:$C$23, DEMAND_Pkm_Tkm!$C37, STAT_TRA_Survey_Pkm!N$8:N$23)</f>
        <v>0</v>
      </c>
      <c r="R37" s="916">
        <f>SUMIF(STAT_TRA_Survey_Pkm!$C$8:$C$23, DEMAND_Pkm_Tkm!$C37, STAT_TRA_Survey_Pkm!O$8:O$23)</f>
        <v>0</v>
      </c>
      <c r="S37" s="916">
        <f>SUMIF(STAT_TRA_Survey_Pkm!$C$8:$C$23, DEMAND_Pkm_Tkm!$C37, STAT_TRA_Survey_Pkm!P$8:P$23)</f>
        <v>0</v>
      </c>
      <c r="T37" s="916">
        <f>SUMIF(STAT_TRA_Survey_Pkm!$C$8:$C$23, DEMAND_Pkm_Tkm!$C37, STAT_TRA_Survey_Pkm!Q$8:Q$23)</f>
        <v>0</v>
      </c>
      <c r="U37" s="916">
        <f>SUMIF(STAT_TRA_Survey_Pkm!$C$8:$C$23, DEMAND_Pkm_Tkm!$C37, STAT_TRA_Survey_Pkm!R$8:R$23)</f>
        <v>0</v>
      </c>
      <c r="V37" s="117" t="str">
        <f t="shared" si="0"/>
        <v>ok</v>
      </c>
    </row>
    <row r="38" spans="2:22" x14ac:dyDescent="0.25">
      <c r="B38" s="18" t="str">
        <f>IF(COUNTIF(TRA_Comm!$C$29:$C$90,DEMAND_Pkm_Tkm!C38)=1,"X","De-Active")</f>
        <v>X</v>
      </c>
      <c r="C38" s="169" t="s">
        <v>394</v>
      </c>
      <c r="D38" s="169" t="s">
        <v>625</v>
      </c>
      <c r="E38" s="698">
        <f t="shared" si="1"/>
        <v>0</v>
      </c>
      <c r="F38" s="169" t="s">
        <v>583</v>
      </c>
      <c r="G38" s="916">
        <f>SUMIF(STAT_TRA_Survey_Pkm!$C$8:$C$23, DEMAND_Pkm_Tkm!$C38, STAT_TRA_Survey_Pkm!D$8:D$23)</f>
        <v>0</v>
      </c>
      <c r="H38" s="916">
        <f>SUMIF(STAT_TRA_Survey_Pkm!$C$8:$C$23, DEMAND_Pkm_Tkm!$C38, STAT_TRA_Survey_Pkm!E$8:E$23)</f>
        <v>0</v>
      </c>
      <c r="I38" s="916">
        <f>SUMIF(STAT_TRA_Survey_Pkm!$C$8:$C$23, DEMAND_Pkm_Tkm!$C38, STAT_TRA_Survey_Pkm!F$8:F$23)</f>
        <v>0</v>
      </c>
      <c r="J38" s="916">
        <f>SUMIF(STAT_TRA_Survey_Pkm!$C$8:$C$23, DEMAND_Pkm_Tkm!$C38, STAT_TRA_Survey_Pkm!G$8:G$23)</f>
        <v>0</v>
      </c>
      <c r="K38" s="916">
        <f>SUMIF(STAT_TRA_Survey_Pkm!$C$8:$C$23, DEMAND_Pkm_Tkm!$C38, STAT_TRA_Survey_Pkm!H$8:H$23)</f>
        <v>0</v>
      </c>
      <c r="L38" s="916">
        <f>SUMIF(STAT_TRA_Survey_Pkm!$C$8:$C$23, DEMAND_Pkm_Tkm!$C38, STAT_TRA_Survey_Pkm!I$8:I$23)</f>
        <v>0</v>
      </c>
      <c r="M38" s="916">
        <f>SUMIF(STAT_TRA_Survey_Pkm!$C$8:$C$23, DEMAND_Pkm_Tkm!$C38, STAT_TRA_Survey_Pkm!J$8:J$23)</f>
        <v>0</v>
      </c>
      <c r="N38" s="916">
        <f>SUMIF(STAT_TRA_Survey_Pkm!$C$8:$C$23, DEMAND_Pkm_Tkm!$C38, STAT_TRA_Survey_Pkm!K$8:K$23)</f>
        <v>0</v>
      </c>
      <c r="O38" s="916">
        <f>SUMIF(STAT_TRA_Survey_Pkm!$C$8:$C$23, DEMAND_Pkm_Tkm!$C38, STAT_TRA_Survey_Pkm!L$8:L$23)</f>
        <v>0</v>
      </c>
      <c r="P38" s="916">
        <f>SUMIF(STAT_TRA_Survey_Pkm!$C$8:$C$23, DEMAND_Pkm_Tkm!$C38, STAT_TRA_Survey_Pkm!M$8:M$23)</f>
        <v>0</v>
      </c>
      <c r="Q38" s="916">
        <f>SUMIF(STAT_TRA_Survey_Pkm!$C$8:$C$23, DEMAND_Pkm_Tkm!$C38, STAT_TRA_Survey_Pkm!N$8:N$23)</f>
        <v>0</v>
      </c>
      <c r="R38" s="916">
        <f>SUMIF(STAT_TRA_Survey_Pkm!$C$8:$C$23, DEMAND_Pkm_Tkm!$C38, STAT_TRA_Survey_Pkm!O$8:O$23)</f>
        <v>0</v>
      </c>
      <c r="S38" s="916">
        <f>SUMIF(STAT_TRA_Survey_Pkm!$C$8:$C$23, DEMAND_Pkm_Tkm!$C38, STAT_TRA_Survey_Pkm!P$8:P$23)</f>
        <v>0</v>
      </c>
      <c r="T38" s="916">
        <f>SUMIF(STAT_TRA_Survey_Pkm!$C$8:$C$23, DEMAND_Pkm_Tkm!$C38, STAT_TRA_Survey_Pkm!Q$8:Q$23)</f>
        <v>0</v>
      </c>
      <c r="U38" s="916">
        <f>SUMIF(STAT_TRA_Survey_Pkm!$C$8:$C$23, DEMAND_Pkm_Tkm!$C38, STAT_TRA_Survey_Pkm!R$8:R$23)</f>
        <v>0</v>
      </c>
      <c r="V38" s="117" t="str">
        <f t="shared" si="0"/>
        <v>ok</v>
      </c>
    </row>
    <row r="39" spans="2:22" x14ac:dyDescent="0.25">
      <c r="B39" s="18" t="str">
        <f>IF(COUNTIF(TRA_Comm!$C$29:$C$90,DEMAND_Pkm_Tkm!C39)=1,"X","De-Active")</f>
        <v>X</v>
      </c>
      <c r="C39" s="169" t="s">
        <v>470</v>
      </c>
      <c r="D39" s="169" t="s">
        <v>626</v>
      </c>
      <c r="E39" s="698">
        <f t="shared" si="1"/>
        <v>0</v>
      </c>
      <c r="F39" s="169" t="s">
        <v>583</v>
      </c>
      <c r="G39" s="916">
        <f>SUMIF(STAT_TRA_Survey_Pkm!$C$8:$C$23, DEMAND_Pkm_Tkm!$C39, STAT_TRA_Survey_Pkm!D$8:D$23)</f>
        <v>0</v>
      </c>
      <c r="H39" s="916">
        <f>SUMIF(STAT_TRA_Survey_Pkm!$C$8:$C$23, DEMAND_Pkm_Tkm!$C39, STAT_TRA_Survey_Pkm!E$8:E$23)</f>
        <v>0</v>
      </c>
      <c r="I39" s="916">
        <f>SUMIF(STAT_TRA_Survey_Pkm!$C$8:$C$23, DEMAND_Pkm_Tkm!$C39, STAT_TRA_Survey_Pkm!F$8:F$23)</f>
        <v>0</v>
      </c>
      <c r="J39" s="916">
        <f>SUMIF(STAT_TRA_Survey_Pkm!$C$8:$C$23, DEMAND_Pkm_Tkm!$C39, STAT_TRA_Survey_Pkm!G$8:G$23)</f>
        <v>0</v>
      </c>
      <c r="K39" s="916">
        <f>SUMIF(STAT_TRA_Survey_Pkm!$C$8:$C$23, DEMAND_Pkm_Tkm!$C39, STAT_TRA_Survey_Pkm!H$8:H$23)</f>
        <v>0</v>
      </c>
      <c r="L39" s="916">
        <f>SUMIF(STAT_TRA_Survey_Pkm!$C$8:$C$23, DEMAND_Pkm_Tkm!$C39, STAT_TRA_Survey_Pkm!I$8:I$23)</f>
        <v>0</v>
      </c>
      <c r="M39" s="916">
        <f>SUMIF(STAT_TRA_Survey_Pkm!$C$8:$C$23, DEMAND_Pkm_Tkm!$C39, STAT_TRA_Survey_Pkm!J$8:J$23)</f>
        <v>0</v>
      </c>
      <c r="N39" s="916">
        <f>SUMIF(STAT_TRA_Survey_Pkm!$C$8:$C$23, DEMAND_Pkm_Tkm!$C39, STAT_TRA_Survey_Pkm!K$8:K$23)</f>
        <v>0</v>
      </c>
      <c r="O39" s="916">
        <f>SUMIF(STAT_TRA_Survey_Pkm!$C$8:$C$23, DEMAND_Pkm_Tkm!$C39, STAT_TRA_Survey_Pkm!L$8:L$23)</f>
        <v>0</v>
      </c>
      <c r="P39" s="916">
        <f>SUMIF(STAT_TRA_Survey_Pkm!$C$8:$C$23, DEMAND_Pkm_Tkm!$C39, STAT_TRA_Survey_Pkm!M$8:M$23)</f>
        <v>0</v>
      </c>
      <c r="Q39" s="916">
        <f>SUMIF(STAT_TRA_Survey_Pkm!$C$8:$C$23, DEMAND_Pkm_Tkm!$C39, STAT_TRA_Survey_Pkm!N$8:N$23)</f>
        <v>0</v>
      </c>
      <c r="R39" s="916">
        <f>SUMIF(STAT_TRA_Survey_Pkm!$C$8:$C$23, DEMAND_Pkm_Tkm!$C39, STAT_TRA_Survey_Pkm!O$8:O$23)</f>
        <v>0</v>
      </c>
      <c r="S39" s="916">
        <f>SUMIF(STAT_TRA_Survey_Pkm!$C$8:$C$23, DEMAND_Pkm_Tkm!$C39, STAT_TRA_Survey_Pkm!P$8:P$23)</f>
        <v>0</v>
      </c>
      <c r="T39" s="916">
        <f>SUMIF(STAT_TRA_Survey_Pkm!$C$8:$C$23, DEMAND_Pkm_Tkm!$C39, STAT_TRA_Survey_Pkm!Q$8:Q$23)</f>
        <v>0</v>
      </c>
      <c r="U39" s="916">
        <f>SUMIF(STAT_TRA_Survey_Pkm!$C$8:$C$23, DEMAND_Pkm_Tkm!$C39, STAT_TRA_Survey_Pkm!R$8:R$23)</f>
        <v>0</v>
      </c>
      <c r="V39" s="117" t="str">
        <f t="shared" si="0"/>
        <v>ok</v>
      </c>
    </row>
    <row r="40" spans="2:22" x14ac:dyDescent="0.25">
      <c r="B40" s="18" t="str">
        <f>IF(COUNTIF(TRA_Comm!$C$29:$C$90,DEMAND_Pkm_Tkm!C40)=1,"X","De-Active")</f>
        <v>X</v>
      </c>
      <c r="C40" s="169" t="s">
        <v>398</v>
      </c>
      <c r="D40" s="169" t="s">
        <v>627</v>
      </c>
      <c r="E40" s="698">
        <f t="shared" si="1"/>
        <v>0</v>
      </c>
      <c r="F40" s="169" t="s">
        <v>583</v>
      </c>
      <c r="G40" s="916">
        <f>SUMIF(STAT_TRA_Survey_Pkm!$C$8:$C$23, DEMAND_Pkm_Tkm!$C40, STAT_TRA_Survey_Pkm!D$8:D$23)</f>
        <v>0</v>
      </c>
      <c r="H40" s="916">
        <f>SUMIF(STAT_TRA_Survey_Pkm!$C$8:$C$23, DEMAND_Pkm_Tkm!$C40, STAT_TRA_Survey_Pkm!E$8:E$23)</f>
        <v>0</v>
      </c>
      <c r="I40" s="916">
        <f>SUMIF(STAT_TRA_Survey_Pkm!$C$8:$C$23, DEMAND_Pkm_Tkm!$C40, STAT_TRA_Survey_Pkm!F$8:F$23)</f>
        <v>0</v>
      </c>
      <c r="J40" s="916">
        <f>SUMIF(STAT_TRA_Survey_Pkm!$C$8:$C$23, DEMAND_Pkm_Tkm!$C40, STAT_TRA_Survey_Pkm!G$8:G$23)</f>
        <v>0</v>
      </c>
      <c r="K40" s="916">
        <f>SUMIF(STAT_TRA_Survey_Pkm!$C$8:$C$23, DEMAND_Pkm_Tkm!$C40, STAT_TRA_Survey_Pkm!H$8:H$23)</f>
        <v>0</v>
      </c>
      <c r="L40" s="916">
        <f>SUMIF(STAT_TRA_Survey_Pkm!$C$8:$C$23, DEMAND_Pkm_Tkm!$C40, STAT_TRA_Survey_Pkm!I$8:I$23)</f>
        <v>0</v>
      </c>
      <c r="M40" s="916">
        <f>SUMIF(STAT_TRA_Survey_Pkm!$C$8:$C$23, DEMAND_Pkm_Tkm!$C40, STAT_TRA_Survey_Pkm!J$8:J$23)</f>
        <v>0</v>
      </c>
      <c r="N40" s="916">
        <f>SUMIF(STAT_TRA_Survey_Pkm!$C$8:$C$23, DEMAND_Pkm_Tkm!$C40, STAT_TRA_Survey_Pkm!K$8:K$23)</f>
        <v>0</v>
      </c>
      <c r="O40" s="916">
        <f>SUMIF(STAT_TRA_Survey_Pkm!$C$8:$C$23, DEMAND_Pkm_Tkm!$C40, STAT_TRA_Survey_Pkm!L$8:L$23)</f>
        <v>0</v>
      </c>
      <c r="P40" s="916">
        <f>SUMIF(STAT_TRA_Survey_Pkm!$C$8:$C$23, DEMAND_Pkm_Tkm!$C40, STAT_TRA_Survey_Pkm!M$8:M$23)</f>
        <v>0</v>
      </c>
      <c r="Q40" s="916">
        <f>SUMIF(STAT_TRA_Survey_Pkm!$C$8:$C$23, DEMAND_Pkm_Tkm!$C40, STAT_TRA_Survey_Pkm!N$8:N$23)</f>
        <v>0</v>
      </c>
      <c r="R40" s="916">
        <f>SUMIF(STAT_TRA_Survey_Pkm!$C$8:$C$23, DEMAND_Pkm_Tkm!$C40, STAT_TRA_Survey_Pkm!O$8:O$23)</f>
        <v>0</v>
      </c>
      <c r="S40" s="916">
        <f>SUMIF(STAT_TRA_Survey_Pkm!$C$8:$C$23, DEMAND_Pkm_Tkm!$C40, STAT_TRA_Survey_Pkm!P$8:P$23)</f>
        <v>0</v>
      </c>
      <c r="T40" s="916">
        <f>SUMIF(STAT_TRA_Survey_Pkm!$C$8:$C$23, DEMAND_Pkm_Tkm!$C40, STAT_TRA_Survey_Pkm!Q$8:Q$23)</f>
        <v>0</v>
      </c>
      <c r="U40" s="916">
        <f>SUMIF(STAT_TRA_Survey_Pkm!$C$8:$C$23, DEMAND_Pkm_Tkm!$C40, STAT_TRA_Survey_Pkm!R$8:R$23)</f>
        <v>0</v>
      </c>
      <c r="V40" s="117" t="str">
        <f t="shared" si="0"/>
        <v>ok</v>
      </c>
    </row>
    <row r="41" spans="2:22" x14ac:dyDescent="0.25">
      <c r="B41" s="18" t="str">
        <f>IF(COUNTIF(TRA_Comm!$C$29:$C$90,DEMAND_Pkm_Tkm!C41)=1,"X","De-Active")</f>
        <v>X</v>
      </c>
      <c r="C41" s="169" t="s">
        <v>473</v>
      </c>
      <c r="D41" s="169" t="s">
        <v>628</v>
      </c>
      <c r="E41" s="698">
        <f t="shared" si="1"/>
        <v>0</v>
      </c>
      <c r="F41" s="169" t="s">
        <v>583</v>
      </c>
      <c r="G41" s="916">
        <f>SUMIF(STAT_TRA_Survey_Pkm!$C$8:$C$23, DEMAND_Pkm_Tkm!$C41, STAT_TRA_Survey_Pkm!D$8:D$23)</f>
        <v>0</v>
      </c>
      <c r="H41" s="916">
        <f>SUMIF(STAT_TRA_Survey_Pkm!$C$8:$C$23, DEMAND_Pkm_Tkm!$C41, STAT_TRA_Survey_Pkm!E$8:E$23)</f>
        <v>0</v>
      </c>
      <c r="I41" s="916">
        <f>SUMIF(STAT_TRA_Survey_Pkm!$C$8:$C$23, DEMAND_Pkm_Tkm!$C41, STAT_TRA_Survey_Pkm!F$8:F$23)</f>
        <v>0</v>
      </c>
      <c r="J41" s="916">
        <f>SUMIF(STAT_TRA_Survey_Pkm!$C$8:$C$23, DEMAND_Pkm_Tkm!$C41, STAT_TRA_Survey_Pkm!G$8:G$23)</f>
        <v>0</v>
      </c>
      <c r="K41" s="916">
        <f>SUMIF(STAT_TRA_Survey_Pkm!$C$8:$C$23, DEMAND_Pkm_Tkm!$C41, STAT_TRA_Survey_Pkm!H$8:H$23)</f>
        <v>0</v>
      </c>
      <c r="L41" s="916">
        <f>SUMIF(STAT_TRA_Survey_Pkm!$C$8:$C$23, DEMAND_Pkm_Tkm!$C41, STAT_TRA_Survey_Pkm!I$8:I$23)</f>
        <v>0</v>
      </c>
      <c r="M41" s="916">
        <f>SUMIF(STAT_TRA_Survey_Pkm!$C$8:$C$23, DEMAND_Pkm_Tkm!$C41, STAT_TRA_Survey_Pkm!J$8:J$23)</f>
        <v>0</v>
      </c>
      <c r="N41" s="916">
        <f>SUMIF(STAT_TRA_Survey_Pkm!$C$8:$C$23, DEMAND_Pkm_Tkm!$C41, STAT_TRA_Survey_Pkm!K$8:K$23)</f>
        <v>0</v>
      </c>
      <c r="O41" s="916">
        <f>SUMIF(STAT_TRA_Survey_Pkm!$C$8:$C$23, DEMAND_Pkm_Tkm!$C41, STAT_TRA_Survey_Pkm!L$8:L$23)</f>
        <v>0</v>
      </c>
      <c r="P41" s="916">
        <f>SUMIF(STAT_TRA_Survey_Pkm!$C$8:$C$23, DEMAND_Pkm_Tkm!$C41, STAT_TRA_Survey_Pkm!M$8:M$23)</f>
        <v>0</v>
      </c>
      <c r="Q41" s="916">
        <f>SUMIF(STAT_TRA_Survey_Pkm!$C$8:$C$23, DEMAND_Pkm_Tkm!$C41, STAT_TRA_Survey_Pkm!N$8:N$23)</f>
        <v>0</v>
      </c>
      <c r="R41" s="916">
        <f>SUMIF(STAT_TRA_Survey_Pkm!$C$8:$C$23, DEMAND_Pkm_Tkm!$C41, STAT_TRA_Survey_Pkm!O$8:O$23)</f>
        <v>0</v>
      </c>
      <c r="S41" s="916">
        <f>SUMIF(STAT_TRA_Survey_Pkm!$C$8:$C$23, DEMAND_Pkm_Tkm!$C41, STAT_TRA_Survey_Pkm!P$8:P$23)</f>
        <v>0</v>
      </c>
      <c r="T41" s="916">
        <f>SUMIF(STAT_TRA_Survey_Pkm!$C$8:$C$23, DEMAND_Pkm_Tkm!$C41, STAT_TRA_Survey_Pkm!Q$8:Q$23)</f>
        <v>0</v>
      </c>
      <c r="U41" s="916">
        <f>SUMIF(STAT_TRA_Survey_Pkm!$C$8:$C$23, DEMAND_Pkm_Tkm!$C41, STAT_TRA_Survey_Pkm!R$8:R$23)</f>
        <v>0</v>
      </c>
      <c r="V41" s="117" t="str">
        <f t="shared" si="0"/>
        <v>ok</v>
      </c>
    </row>
    <row r="42" spans="2:22" x14ac:dyDescent="0.25">
      <c r="B42" s="18" t="str">
        <f>IF(COUNTIF(TRA_Comm!$C$29:$C$90,DEMAND_Pkm_Tkm!C42)=1,"X","De-Active")</f>
        <v>X</v>
      </c>
      <c r="C42" s="169" t="s">
        <v>396</v>
      </c>
      <c r="D42" s="169" t="s">
        <v>629</v>
      </c>
      <c r="E42" s="698">
        <f t="shared" si="1"/>
        <v>0</v>
      </c>
      <c r="F42" s="169" t="s">
        <v>583</v>
      </c>
      <c r="G42" s="916">
        <f>SUMIF(STAT_TRA_Survey_Pkm!$C$8:$C$23, DEMAND_Pkm_Tkm!$C42, STAT_TRA_Survey_Pkm!D$8:D$23)</f>
        <v>0</v>
      </c>
      <c r="H42" s="916">
        <f>SUMIF(STAT_TRA_Survey_Pkm!$C$8:$C$23, DEMAND_Pkm_Tkm!$C42, STAT_TRA_Survey_Pkm!E$8:E$23)</f>
        <v>0</v>
      </c>
      <c r="I42" s="916">
        <f>SUMIF(STAT_TRA_Survey_Pkm!$C$8:$C$23, DEMAND_Pkm_Tkm!$C42, STAT_TRA_Survey_Pkm!F$8:F$23)</f>
        <v>0</v>
      </c>
      <c r="J42" s="916">
        <f>SUMIF(STAT_TRA_Survey_Pkm!$C$8:$C$23, DEMAND_Pkm_Tkm!$C42, STAT_TRA_Survey_Pkm!G$8:G$23)</f>
        <v>0</v>
      </c>
      <c r="K42" s="916">
        <f>SUMIF(STAT_TRA_Survey_Pkm!$C$8:$C$23, DEMAND_Pkm_Tkm!$C42, STAT_TRA_Survey_Pkm!H$8:H$23)</f>
        <v>0</v>
      </c>
      <c r="L42" s="916">
        <f>SUMIF(STAT_TRA_Survey_Pkm!$C$8:$C$23, DEMAND_Pkm_Tkm!$C42, STAT_TRA_Survey_Pkm!I$8:I$23)</f>
        <v>0</v>
      </c>
      <c r="M42" s="916">
        <f>SUMIF(STAT_TRA_Survey_Pkm!$C$8:$C$23, DEMAND_Pkm_Tkm!$C42, STAT_TRA_Survey_Pkm!J$8:J$23)</f>
        <v>0</v>
      </c>
      <c r="N42" s="916">
        <f>SUMIF(STAT_TRA_Survey_Pkm!$C$8:$C$23, DEMAND_Pkm_Tkm!$C42, STAT_TRA_Survey_Pkm!K$8:K$23)</f>
        <v>0</v>
      </c>
      <c r="O42" s="916">
        <f>SUMIF(STAT_TRA_Survey_Pkm!$C$8:$C$23, DEMAND_Pkm_Tkm!$C42, STAT_TRA_Survey_Pkm!L$8:L$23)</f>
        <v>0</v>
      </c>
      <c r="P42" s="916">
        <f>SUMIF(STAT_TRA_Survey_Pkm!$C$8:$C$23, DEMAND_Pkm_Tkm!$C42, STAT_TRA_Survey_Pkm!M$8:M$23)</f>
        <v>0</v>
      </c>
      <c r="Q42" s="916">
        <f>SUMIF(STAT_TRA_Survey_Pkm!$C$8:$C$23, DEMAND_Pkm_Tkm!$C42, STAT_TRA_Survey_Pkm!N$8:N$23)</f>
        <v>0</v>
      </c>
      <c r="R42" s="916">
        <f>SUMIF(STAT_TRA_Survey_Pkm!$C$8:$C$23, DEMAND_Pkm_Tkm!$C42, STAT_TRA_Survey_Pkm!O$8:O$23)</f>
        <v>0</v>
      </c>
      <c r="S42" s="916">
        <f>SUMIF(STAT_TRA_Survey_Pkm!$C$8:$C$23, DEMAND_Pkm_Tkm!$C42, STAT_TRA_Survey_Pkm!P$8:P$23)</f>
        <v>0</v>
      </c>
      <c r="T42" s="916">
        <f>SUMIF(STAT_TRA_Survey_Pkm!$C$8:$C$23, DEMAND_Pkm_Tkm!$C42, STAT_TRA_Survey_Pkm!Q$8:Q$23)</f>
        <v>0</v>
      </c>
      <c r="U42" s="916">
        <f>SUMIF(STAT_TRA_Survey_Pkm!$C$8:$C$23, DEMAND_Pkm_Tkm!$C42, STAT_TRA_Survey_Pkm!R$8:R$23)</f>
        <v>0</v>
      </c>
      <c r="V42" s="117" t="str">
        <f t="shared" si="0"/>
        <v>ok</v>
      </c>
    </row>
    <row r="43" spans="2:22" x14ac:dyDescent="0.25">
      <c r="B43" s="18" t="str">
        <f>IF(COUNTIF(TRA_Comm!$C$29:$C$90,DEMAND_Pkm_Tkm!C43)=1,"X","De-Active")</f>
        <v>X</v>
      </c>
      <c r="C43" s="169" t="s">
        <v>476</v>
      </c>
      <c r="D43" s="169" t="s">
        <v>630</v>
      </c>
      <c r="E43" s="698">
        <f t="shared" si="1"/>
        <v>0</v>
      </c>
      <c r="F43" s="169" t="s">
        <v>583</v>
      </c>
      <c r="G43" s="916">
        <f>SUMIF(STAT_TRA_Survey_Pkm!$C$8:$C$23, DEMAND_Pkm_Tkm!$C43, STAT_TRA_Survey_Pkm!D$8:D$23)</f>
        <v>0</v>
      </c>
      <c r="H43" s="916">
        <f>SUMIF(STAT_TRA_Survey_Pkm!$C$8:$C$23, DEMAND_Pkm_Tkm!$C43, STAT_TRA_Survey_Pkm!E$8:E$23)</f>
        <v>0</v>
      </c>
      <c r="I43" s="916">
        <f>SUMIF(STAT_TRA_Survey_Pkm!$C$8:$C$23, DEMAND_Pkm_Tkm!$C43, STAT_TRA_Survey_Pkm!F$8:F$23)</f>
        <v>0</v>
      </c>
      <c r="J43" s="916">
        <f>SUMIF(STAT_TRA_Survey_Pkm!$C$8:$C$23, DEMAND_Pkm_Tkm!$C43, STAT_TRA_Survey_Pkm!G$8:G$23)</f>
        <v>0</v>
      </c>
      <c r="K43" s="916">
        <f>SUMIF(STAT_TRA_Survey_Pkm!$C$8:$C$23, DEMAND_Pkm_Tkm!$C43, STAT_TRA_Survey_Pkm!H$8:H$23)</f>
        <v>0</v>
      </c>
      <c r="L43" s="916">
        <f>SUMIF(STAT_TRA_Survey_Pkm!$C$8:$C$23, DEMAND_Pkm_Tkm!$C43, STAT_TRA_Survey_Pkm!I$8:I$23)</f>
        <v>0</v>
      </c>
      <c r="M43" s="916">
        <f>SUMIF(STAT_TRA_Survey_Pkm!$C$8:$C$23, DEMAND_Pkm_Tkm!$C43, STAT_TRA_Survey_Pkm!J$8:J$23)</f>
        <v>0</v>
      </c>
      <c r="N43" s="916">
        <f>SUMIF(STAT_TRA_Survey_Pkm!$C$8:$C$23, DEMAND_Pkm_Tkm!$C43, STAT_TRA_Survey_Pkm!K$8:K$23)</f>
        <v>0</v>
      </c>
      <c r="O43" s="916">
        <f>SUMIF(STAT_TRA_Survey_Pkm!$C$8:$C$23, DEMAND_Pkm_Tkm!$C43, STAT_TRA_Survey_Pkm!L$8:L$23)</f>
        <v>0</v>
      </c>
      <c r="P43" s="916">
        <f>SUMIF(STAT_TRA_Survey_Pkm!$C$8:$C$23, DEMAND_Pkm_Tkm!$C43, STAT_TRA_Survey_Pkm!M$8:M$23)</f>
        <v>0</v>
      </c>
      <c r="Q43" s="916">
        <f>SUMIF(STAT_TRA_Survey_Pkm!$C$8:$C$23, DEMAND_Pkm_Tkm!$C43, STAT_TRA_Survey_Pkm!N$8:N$23)</f>
        <v>0</v>
      </c>
      <c r="R43" s="916">
        <f>SUMIF(STAT_TRA_Survey_Pkm!$C$8:$C$23, DEMAND_Pkm_Tkm!$C43, STAT_TRA_Survey_Pkm!O$8:O$23)</f>
        <v>0</v>
      </c>
      <c r="S43" s="916">
        <f>SUMIF(STAT_TRA_Survey_Pkm!$C$8:$C$23, DEMAND_Pkm_Tkm!$C43, STAT_TRA_Survey_Pkm!P$8:P$23)</f>
        <v>0</v>
      </c>
      <c r="T43" s="916">
        <f>SUMIF(STAT_TRA_Survey_Pkm!$C$8:$C$23, DEMAND_Pkm_Tkm!$C43, STAT_TRA_Survey_Pkm!Q$8:Q$23)</f>
        <v>0</v>
      </c>
      <c r="U43" s="916">
        <f>SUMIF(STAT_TRA_Survey_Pkm!$C$8:$C$23, DEMAND_Pkm_Tkm!$C43, STAT_TRA_Survey_Pkm!R$8:R$23)</f>
        <v>0</v>
      </c>
      <c r="V43" s="117" t="str">
        <f t="shared" si="0"/>
        <v>ok</v>
      </c>
    </row>
    <row r="45" spans="2:22" customFormat="1" x14ac:dyDescent="0.25">
      <c r="C45" s="14"/>
      <c r="D45" s="14"/>
      <c r="E45" s="14"/>
      <c r="F45" s="14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14"/>
    </row>
    <row r="46" spans="2:22" customFormat="1" x14ac:dyDescent="0.25">
      <c r="C46" s="17" t="s">
        <v>631</v>
      </c>
      <c r="D46" s="17"/>
      <c r="E46" s="17"/>
      <c r="F46" s="17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15"/>
    </row>
    <row r="47" spans="2:22" customFormat="1" x14ac:dyDescent="0.25">
      <c r="C47" s="17" t="s">
        <v>579</v>
      </c>
      <c r="D47" s="17" t="s">
        <v>465</v>
      </c>
      <c r="E47" s="121" t="s">
        <v>421</v>
      </c>
      <c r="F47" s="17" t="s">
        <v>580</v>
      </c>
      <c r="G47" s="121" t="str">
        <f>INFO!C10</f>
        <v>Z01</v>
      </c>
      <c r="H47" s="121" t="str">
        <f>INFO!D10</f>
        <v>Z02</v>
      </c>
      <c r="I47" s="121" t="str">
        <f>INFO!E10</f>
        <v>Z03</v>
      </c>
      <c r="J47" s="121" t="str">
        <f>INFO!F10</f>
        <v>Z04</v>
      </c>
      <c r="K47" s="121" t="str">
        <f>INFO!G10</f>
        <v>Z05</v>
      </c>
      <c r="L47" s="121" t="str">
        <f>INFO!H10</f>
        <v>Z06</v>
      </c>
      <c r="M47" s="121" t="str">
        <f>INFO!I10</f>
        <v>Z07</v>
      </c>
      <c r="N47" s="121" t="str">
        <f>INFO!J10</f>
        <v>Z08</v>
      </c>
      <c r="O47" s="121" t="str">
        <f>INFO!K10</f>
        <v>Z09</v>
      </c>
      <c r="P47" s="121" t="str">
        <f>INFO!L10</f>
        <v>Z10</v>
      </c>
      <c r="Q47" s="121" t="str">
        <f>INFO!M10</f>
        <v>Z11</v>
      </c>
      <c r="R47" s="121" t="str">
        <f>INFO!N10</f>
        <v>Z12</v>
      </c>
      <c r="S47" s="121" t="str">
        <f>INFO!O10</f>
        <v>Z13</v>
      </c>
      <c r="T47" s="121" t="str">
        <f>INFO!P10</f>
        <v>Z14</v>
      </c>
      <c r="U47" s="121" t="str">
        <f>INFO!Q10</f>
        <v>Z15</v>
      </c>
      <c r="V47" s="116" t="s">
        <v>581</v>
      </c>
    </row>
    <row r="48" spans="2:22" customFormat="1" x14ac:dyDescent="0.25">
      <c r="B48" s="18" t="str">
        <f>IF(COUNTIF(TRA_Comm!$C$29:$C$90,DEMAND_Pkm_Tkm!C48)=1,"X","De-Active")</f>
        <v>X</v>
      </c>
      <c r="C48" s="169" t="s">
        <v>427</v>
      </c>
      <c r="D48" s="169" t="s">
        <v>632</v>
      </c>
      <c r="E48" s="698">
        <f t="shared" ref="E48:E71" si="2">SUM(G48:U48)</f>
        <v>0</v>
      </c>
      <c r="F48" s="169" t="s">
        <v>633</v>
      </c>
      <c r="G48" s="814">
        <f>SUMIF(STAT_TRA_Survey_Tkm!$C$6:$C$16, DEMAND_Pkm_Tkm!$C48, STAT_TRA_Survey_Tkm!D$6:D$16)</f>
        <v>0</v>
      </c>
      <c r="H48" s="814">
        <f>SUMIF(STAT_TRA_Survey_Tkm!$C$6:$C$16, DEMAND_Pkm_Tkm!$C48, STAT_TRA_Survey_Tkm!E$6:E$16)</f>
        <v>0</v>
      </c>
      <c r="I48" s="814">
        <f>SUMIF(STAT_TRA_Survey_Tkm!$C$6:$C$16, DEMAND_Pkm_Tkm!$C48, STAT_TRA_Survey_Tkm!F$6:F$16)</f>
        <v>0</v>
      </c>
      <c r="J48" s="814">
        <f>SUMIF(STAT_TRA_Survey_Tkm!$C$6:$C$16, DEMAND_Pkm_Tkm!$C48, STAT_TRA_Survey_Tkm!G$6:G$16)</f>
        <v>0</v>
      </c>
      <c r="K48" s="814">
        <f>SUMIF(STAT_TRA_Survey_Tkm!$C$6:$C$16, DEMAND_Pkm_Tkm!$C48, STAT_TRA_Survey_Tkm!H$6:H$16)</f>
        <v>0</v>
      </c>
      <c r="L48" s="814">
        <f>SUMIF(STAT_TRA_Survey_Tkm!$C$6:$C$16, DEMAND_Pkm_Tkm!$C48, STAT_TRA_Survey_Tkm!I$6:I$16)</f>
        <v>0</v>
      </c>
      <c r="M48" s="814">
        <f>SUMIF(STAT_TRA_Survey_Tkm!$C$6:$C$16, DEMAND_Pkm_Tkm!$C48, STAT_TRA_Survey_Tkm!J$6:J$16)</f>
        <v>0</v>
      </c>
      <c r="N48" s="814">
        <f>SUMIF(STAT_TRA_Survey_Tkm!$C$6:$C$16, DEMAND_Pkm_Tkm!$C48, STAT_TRA_Survey_Tkm!K$6:K$16)</f>
        <v>0</v>
      </c>
      <c r="O48" s="814">
        <f>SUMIF(STAT_TRA_Survey_Tkm!$C$6:$C$16, DEMAND_Pkm_Tkm!$C48, STAT_TRA_Survey_Tkm!L$6:L$16)</f>
        <v>0</v>
      </c>
      <c r="P48" s="814">
        <f>SUMIF(STAT_TRA_Survey_Tkm!$C$6:$C$16, DEMAND_Pkm_Tkm!$C48, STAT_TRA_Survey_Tkm!M$6:M$16)</f>
        <v>0</v>
      </c>
      <c r="Q48" s="814">
        <f>SUMIF(STAT_TRA_Survey_Tkm!$C$6:$C$16, DEMAND_Pkm_Tkm!$C48, STAT_TRA_Survey_Tkm!N$6:N$16)</f>
        <v>0</v>
      </c>
      <c r="R48" s="814">
        <f>SUMIF(STAT_TRA_Survey_Tkm!$C$6:$C$16, DEMAND_Pkm_Tkm!$C48, STAT_TRA_Survey_Tkm!O$6:O$16)</f>
        <v>0</v>
      </c>
      <c r="S48" s="814">
        <f>SUMIF(STAT_TRA_Survey_Tkm!$C$6:$C$16, DEMAND_Pkm_Tkm!$C48, STAT_TRA_Survey_Tkm!P$6:P$16)</f>
        <v>0</v>
      </c>
      <c r="T48" s="814">
        <f>SUMIF(STAT_TRA_Survey_Tkm!$C$6:$C$16, DEMAND_Pkm_Tkm!$C48, STAT_TRA_Survey_Tkm!Q$6:Q$16)</f>
        <v>0</v>
      </c>
      <c r="U48" s="814">
        <f>SUMIF(STAT_TRA_Survey_Tkm!$C$6:$C$16, DEMAND_Pkm_Tkm!$C48, STAT_TRA_Survey_Tkm!R$6:R$16)</f>
        <v>0</v>
      </c>
      <c r="V48" s="117" t="str">
        <f t="shared" ref="V48:V71" si="3">IF(E48=SUM(G48:U48),"ok","Too high/low")</f>
        <v>ok</v>
      </c>
    </row>
    <row r="49" spans="2:22" customFormat="1" x14ac:dyDescent="0.25">
      <c r="B49" s="18" t="str">
        <f>IF(COUNTIF(TRA_Comm!$C$29:$C$90,DEMAND_Pkm_Tkm!C49)=1,"X","De-Active")</f>
        <v>X</v>
      </c>
      <c r="C49" s="169" t="s">
        <v>634</v>
      </c>
      <c r="D49" s="169" t="s">
        <v>635</v>
      </c>
      <c r="E49" s="698">
        <f t="shared" si="2"/>
        <v>0</v>
      </c>
      <c r="F49" s="169" t="s">
        <v>633</v>
      </c>
      <c r="G49" s="814">
        <f>SUMIF(STAT_TRA_Survey_Tkm!$C$6:$C$16, DEMAND_Pkm_Tkm!$C49, STAT_TRA_Survey_Tkm!D$6:D$16)</f>
        <v>0</v>
      </c>
      <c r="H49" s="814">
        <f>SUMIF(STAT_TRA_Survey_Tkm!$C$6:$C$16, DEMAND_Pkm_Tkm!$C49, STAT_TRA_Survey_Tkm!E$6:E$16)</f>
        <v>0</v>
      </c>
      <c r="I49" s="814">
        <f>SUMIF(STAT_TRA_Survey_Tkm!$C$6:$C$16, DEMAND_Pkm_Tkm!$C49, STAT_TRA_Survey_Tkm!F$6:F$16)</f>
        <v>0</v>
      </c>
      <c r="J49" s="814">
        <f>SUMIF(STAT_TRA_Survey_Tkm!$C$6:$C$16, DEMAND_Pkm_Tkm!$C49, STAT_TRA_Survey_Tkm!G$6:G$16)</f>
        <v>0</v>
      </c>
      <c r="K49" s="814">
        <f>SUMIF(STAT_TRA_Survey_Tkm!$C$6:$C$16, DEMAND_Pkm_Tkm!$C49, STAT_TRA_Survey_Tkm!H$6:H$16)</f>
        <v>0</v>
      </c>
      <c r="L49" s="814">
        <f>SUMIF(STAT_TRA_Survey_Tkm!$C$6:$C$16, DEMAND_Pkm_Tkm!$C49, STAT_TRA_Survey_Tkm!I$6:I$16)</f>
        <v>0</v>
      </c>
      <c r="M49" s="814">
        <f>SUMIF(STAT_TRA_Survey_Tkm!$C$6:$C$16, DEMAND_Pkm_Tkm!$C49, STAT_TRA_Survey_Tkm!J$6:J$16)</f>
        <v>0</v>
      </c>
      <c r="N49" s="814">
        <f>SUMIF(STAT_TRA_Survey_Tkm!$C$6:$C$16, DEMAND_Pkm_Tkm!$C49, STAT_TRA_Survey_Tkm!K$6:K$16)</f>
        <v>0</v>
      </c>
      <c r="O49" s="814">
        <f>SUMIF(STAT_TRA_Survey_Tkm!$C$6:$C$16, DEMAND_Pkm_Tkm!$C49, STAT_TRA_Survey_Tkm!L$6:L$16)</f>
        <v>0</v>
      </c>
      <c r="P49" s="814">
        <f>SUMIF(STAT_TRA_Survey_Tkm!$C$6:$C$16, DEMAND_Pkm_Tkm!$C49, STAT_TRA_Survey_Tkm!M$6:M$16)</f>
        <v>0</v>
      </c>
      <c r="Q49" s="814">
        <f>SUMIF(STAT_TRA_Survey_Tkm!$C$6:$C$16, DEMAND_Pkm_Tkm!$C49, STAT_TRA_Survey_Tkm!N$6:N$16)</f>
        <v>0</v>
      </c>
      <c r="R49" s="814">
        <f>SUMIF(STAT_TRA_Survey_Tkm!$C$6:$C$16, DEMAND_Pkm_Tkm!$C49, STAT_TRA_Survey_Tkm!O$6:O$16)</f>
        <v>0</v>
      </c>
      <c r="S49" s="814">
        <f>SUMIF(STAT_TRA_Survey_Tkm!$C$6:$C$16, DEMAND_Pkm_Tkm!$C49, STAT_TRA_Survey_Tkm!P$6:P$16)</f>
        <v>0</v>
      </c>
      <c r="T49" s="814">
        <f>SUMIF(STAT_TRA_Survey_Tkm!$C$6:$C$16, DEMAND_Pkm_Tkm!$C49, STAT_TRA_Survey_Tkm!Q$6:Q$16)</f>
        <v>0</v>
      </c>
      <c r="U49" s="814">
        <f>SUMIF(STAT_TRA_Survey_Tkm!$C$6:$C$16, DEMAND_Pkm_Tkm!$C49, STAT_TRA_Survey_Tkm!R$6:R$16)</f>
        <v>0</v>
      </c>
      <c r="V49" s="117" t="str">
        <f t="shared" si="3"/>
        <v>ok</v>
      </c>
    </row>
    <row r="50" spans="2:22" customFormat="1" x14ac:dyDescent="0.25">
      <c r="B50" s="18" t="str">
        <f>IF(COUNTIF(TRA_Comm!$C$29:$C$90,DEMAND_Pkm_Tkm!C50)=1,"X","De-Active")</f>
        <v>X</v>
      </c>
      <c r="C50" s="169" t="s">
        <v>431</v>
      </c>
      <c r="D50" s="169" t="s">
        <v>636</v>
      </c>
      <c r="E50" s="698">
        <f t="shared" si="2"/>
        <v>0</v>
      </c>
      <c r="F50" s="169" t="s">
        <v>633</v>
      </c>
      <c r="G50" s="814">
        <f>SUMIF(STAT_TRA_Survey_Tkm!$C$6:$C$16, DEMAND_Pkm_Tkm!$C50, STAT_TRA_Survey_Tkm!D$6:D$16)</f>
        <v>0</v>
      </c>
      <c r="H50" s="814">
        <f>SUMIF(STAT_TRA_Survey_Tkm!$C$6:$C$16, DEMAND_Pkm_Tkm!$C50, STAT_TRA_Survey_Tkm!E$6:E$16)</f>
        <v>0</v>
      </c>
      <c r="I50" s="814">
        <f>SUMIF(STAT_TRA_Survey_Tkm!$C$6:$C$16, DEMAND_Pkm_Tkm!$C50, STAT_TRA_Survey_Tkm!F$6:F$16)</f>
        <v>0</v>
      </c>
      <c r="J50" s="814">
        <f>SUMIF(STAT_TRA_Survey_Tkm!$C$6:$C$16, DEMAND_Pkm_Tkm!$C50, STAT_TRA_Survey_Tkm!G$6:G$16)</f>
        <v>0</v>
      </c>
      <c r="K50" s="814">
        <f>SUMIF(STAT_TRA_Survey_Tkm!$C$6:$C$16, DEMAND_Pkm_Tkm!$C50, STAT_TRA_Survey_Tkm!H$6:H$16)</f>
        <v>0</v>
      </c>
      <c r="L50" s="814">
        <f>SUMIF(STAT_TRA_Survey_Tkm!$C$6:$C$16, DEMAND_Pkm_Tkm!$C50, STAT_TRA_Survey_Tkm!I$6:I$16)</f>
        <v>0</v>
      </c>
      <c r="M50" s="814">
        <f>SUMIF(STAT_TRA_Survey_Tkm!$C$6:$C$16, DEMAND_Pkm_Tkm!$C50, STAT_TRA_Survey_Tkm!J$6:J$16)</f>
        <v>0</v>
      </c>
      <c r="N50" s="814">
        <f>SUMIF(STAT_TRA_Survey_Tkm!$C$6:$C$16, DEMAND_Pkm_Tkm!$C50, STAT_TRA_Survey_Tkm!K$6:K$16)</f>
        <v>0</v>
      </c>
      <c r="O50" s="814">
        <f>SUMIF(STAT_TRA_Survey_Tkm!$C$6:$C$16, DEMAND_Pkm_Tkm!$C50, STAT_TRA_Survey_Tkm!L$6:L$16)</f>
        <v>0</v>
      </c>
      <c r="P50" s="814">
        <f>SUMIF(STAT_TRA_Survey_Tkm!$C$6:$C$16, DEMAND_Pkm_Tkm!$C50, STAT_TRA_Survey_Tkm!M$6:M$16)</f>
        <v>0</v>
      </c>
      <c r="Q50" s="814">
        <f>SUMIF(STAT_TRA_Survey_Tkm!$C$6:$C$16, DEMAND_Pkm_Tkm!$C50, STAT_TRA_Survey_Tkm!N$6:N$16)</f>
        <v>0</v>
      </c>
      <c r="R50" s="814">
        <f>SUMIF(STAT_TRA_Survey_Tkm!$C$6:$C$16, DEMAND_Pkm_Tkm!$C50, STAT_TRA_Survey_Tkm!O$6:O$16)</f>
        <v>0</v>
      </c>
      <c r="S50" s="814">
        <f>SUMIF(STAT_TRA_Survey_Tkm!$C$6:$C$16, DEMAND_Pkm_Tkm!$C50, STAT_TRA_Survey_Tkm!P$6:P$16)</f>
        <v>0</v>
      </c>
      <c r="T50" s="814">
        <f>SUMIF(STAT_TRA_Survey_Tkm!$C$6:$C$16, DEMAND_Pkm_Tkm!$C50, STAT_TRA_Survey_Tkm!Q$6:Q$16)</f>
        <v>0</v>
      </c>
      <c r="U50" s="814">
        <f>SUMIF(STAT_TRA_Survey_Tkm!$C$6:$C$16, DEMAND_Pkm_Tkm!$C50, STAT_TRA_Survey_Tkm!R$6:R$16)</f>
        <v>0</v>
      </c>
      <c r="V50" s="117" t="str">
        <f t="shared" si="3"/>
        <v>ok</v>
      </c>
    </row>
    <row r="51" spans="2:22" customFormat="1" x14ac:dyDescent="0.25">
      <c r="B51" s="18" t="str">
        <f>IF(COUNTIF(TRA_Comm!$C$29:$C$90,DEMAND_Pkm_Tkm!C51)=1,"X","De-Active")</f>
        <v>X</v>
      </c>
      <c r="C51" s="169" t="s">
        <v>637</v>
      </c>
      <c r="D51" s="169" t="s">
        <v>638</v>
      </c>
      <c r="E51" s="698">
        <f t="shared" si="2"/>
        <v>0</v>
      </c>
      <c r="F51" s="169" t="s">
        <v>633</v>
      </c>
      <c r="G51" s="814">
        <f>SUMIF(STAT_TRA_Survey_Tkm!$C$6:$C$16, DEMAND_Pkm_Tkm!$C51, STAT_TRA_Survey_Tkm!D$6:D$16)</f>
        <v>0</v>
      </c>
      <c r="H51" s="814">
        <f>SUMIF(STAT_TRA_Survey_Tkm!$C$6:$C$16, DEMAND_Pkm_Tkm!$C51, STAT_TRA_Survey_Tkm!E$6:E$16)</f>
        <v>0</v>
      </c>
      <c r="I51" s="814">
        <f>SUMIF(STAT_TRA_Survey_Tkm!$C$6:$C$16, DEMAND_Pkm_Tkm!$C51, STAT_TRA_Survey_Tkm!F$6:F$16)</f>
        <v>0</v>
      </c>
      <c r="J51" s="814">
        <f>SUMIF(STAT_TRA_Survey_Tkm!$C$6:$C$16, DEMAND_Pkm_Tkm!$C51, STAT_TRA_Survey_Tkm!G$6:G$16)</f>
        <v>0</v>
      </c>
      <c r="K51" s="814">
        <f>SUMIF(STAT_TRA_Survey_Tkm!$C$6:$C$16, DEMAND_Pkm_Tkm!$C51, STAT_TRA_Survey_Tkm!H$6:H$16)</f>
        <v>0</v>
      </c>
      <c r="L51" s="814">
        <f>SUMIF(STAT_TRA_Survey_Tkm!$C$6:$C$16, DEMAND_Pkm_Tkm!$C51, STAT_TRA_Survey_Tkm!I$6:I$16)</f>
        <v>0</v>
      </c>
      <c r="M51" s="814">
        <f>SUMIF(STAT_TRA_Survey_Tkm!$C$6:$C$16, DEMAND_Pkm_Tkm!$C51, STAT_TRA_Survey_Tkm!J$6:J$16)</f>
        <v>0</v>
      </c>
      <c r="N51" s="814">
        <f>SUMIF(STAT_TRA_Survey_Tkm!$C$6:$C$16, DEMAND_Pkm_Tkm!$C51, STAT_TRA_Survey_Tkm!K$6:K$16)</f>
        <v>0</v>
      </c>
      <c r="O51" s="814">
        <f>SUMIF(STAT_TRA_Survey_Tkm!$C$6:$C$16, DEMAND_Pkm_Tkm!$C51, STAT_TRA_Survey_Tkm!L$6:L$16)</f>
        <v>0</v>
      </c>
      <c r="P51" s="814">
        <f>SUMIF(STAT_TRA_Survey_Tkm!$C$6:$C$16, DEMAND_Pkm_Tkm!$C51, STAT_TRA_Survey_Tkm!M$6:M$16)</f>
        <v>0</v>
      </c>
      <c r="Q51" s="814">
        <f>SUMIF(STAT_TRA_Survey_Tkm!$C$6:$C$16, DEMAND_Pkm_Tkm!$C51, STAT_TRA_Survey_Tkm!N$6:N$16)</f>
        <v>0</v>
      </c>
      <c r="R51" s="814">
        <f>SUMIF(STAT_TRA_Survey_Tkm!$C$6:$C$16, DEMAND_Pkm_Tkm!$C51, STAT_TRA_Survey_Tkm!O$6:O$16)</f>
        <v>0</v>
      </c>
      <c r="S51" s="814">
        <f>SUMIF(STAT_TRA_Survey_Tkm!$C$6:$C$16, DEMAND_Pkm_Tkm!$C51, STAT_TRA_Survey_Tkm!P$6:P$16)</f>
        <v>0</v>
      </c>
      <c r="T51" s="814">
        <f>SUMIF(STAT_TRA_Survey_Tkm!$C$6:$C$16, DEMAND_Pkm_Tkm!$C51, STAT_TRA_Survey_Tkm!Q$6:Q$16)</f>
        <v>0</v>
      </c>
      <c r="U51" s="814">
        <f>SUMIF(STAT_TRA_Survey_Tkm!$C$6:$C$16, DEMAND_Pkm_Tkm!$C51, STAT_TRA_Survey_Tkm!R$6:R$16)</f>
        <v>0</v>
      </c>
      <c r="V51" s="117" t="str">
        <f t="shared" si="3"/>
        <v>ok</v>
      </c>
    </row>
    <row r="52" spans="2:22" customFormat="1" x14ac:dyDescent="0.25">
      <c r="B52" s="18" t="str">
        <f>IF(COUNTIF(TRA_Comm!$C$29:$C$90,DEMAND_Pkm_Tkm!C52)=1,"X","De-Active")</f>
        <v>X</v>
      </c>
      <c r="C52" s="169" t="s">
        <v>429</v>
      </c>
      <c r="D52" s="169" t="s">
        <v>639</v>
      </c>
      <c r="E52" s="698">
        <f t="shared" si="2"/>
        <v>1511</v>
      </c>
      <c r="F52" s="169" t="s">
        <v>633</v>
      </c>
      <c r="G52" s="814">
        <f>SUMIF(STAT_TRA_Survey_Tkm!$C$6:$C$16, DEMAND_Pkm_Tkm!$C52, STAT_TRA_Survey_Tkm!D$6:D$16)</f>
        <v>1511</v>
      </c>
      <c r="H52" s="814">
        <f>SUMIF(STAT_TRA_Survey_Tkm!$C$6:$C$16, DEMAND_Pkm_Tkm!$C52, STAT_TRA_Survey_Tkm!E$6:E$16)</f>
        <v>0</v>
      </c>
      <c r="I52" s="814">
        <f>SUMIF(STAT_TRA_Survey_Tkm!$C$6:$C$16, DEMAND_Pkm_Tkm!$C52, STAT_TRA_Survey_Tkm!F$6:F$16)</f>
        <v>0</v>
      </c>
      <c r="J52" s="814">
        <f>SUMIF(STAT_TRA_Survey_Tkm!$C$6:$C$16, DEMAND_Pkm_Tkm!$C52, STAT_TRA_Survey_Tkm!G$6:G$16)</f>
        <v>0</v>
      </c>
      <c r="K52" s="814">
        <f>SUMIF(STAT_TRA_Survey_Tkm!$C$6:$C$16, DEMAND_Pkm_Tkm!$C52, STAT_TRA_Survey_Tkm!H$6:H$16)</f>
        <v>0</v>
      </c>
      <c r="L52" s="814">
        <f>SUMIF(STAT_TRA_Survey_Tkm!$C$6:$C$16, DEMAND_Pkm_Tkm!$C52, STAT_TRA_Survey_Tkm!I$6:I$16)</f>
        <v>0</v>
      </c>
      <c r="M52" s="814">
        <f>SUMIF(STAT_TRA_Survey_Tkm!$C$6:$C$16, DEMAND_Pkm_Tkm!$C52, STAT_TRA_Survey_Tkm!J$6:J$16)</f>
        <v>0</v>
      </c>
      <c r="N52" s="814">
        <f>SUMIF(STAT_TRA_Survey_Tkm!$C$6:$C$16, DEMAND_Pkm_Tkm!$C52, STAT_TRA_Survey_Tkm!K$6:K$16)</f>
        <v>0</v>
      </c>
      <c r="O52" s="814">
        <f>SUMIF(STAT_TRA_Survey_Tkm!$C$6:$C$16, DEMAND_Pkm_Tkm!$C52, STAT_TRA_Survey_Tkm!L$6:L$16)</f>
        <v>0</v>
      </c>
      <c r="P52" s="814">
        <f>SUMIF(STAT_TRA_Survey_Tkm!$C$6:$C$16, DEMAND_Pkm_Tkm!$C52, STAT_TRA_Survey_Tkm!M$6:M$16)</f>
        <v>0</v>
      </c>
      <c r="Q52" s="814">
        <f>SUMIF(STAT_TRA_Survey_Tkm!$C$6:$C$16, DEMAND_Pkm_Tkm!$C52, STAT_TRA_Survey_Tkm!N$6:N$16)</f>
        <v>0</v>
      </c>
      <c r="R52" s="814">
        <f>SUMIF(STAT_TRA_Survey_Tkm!$C$6:$C$16, DEMAND_Pkm_Tkm!$C52, STAT_TRA_Survey_Tkm!O$6:O$16)</f>
        <v>0</v>
      </c>
      <c r="S52" s="814">
        <f>SUMIF(STAT_TRA_Survey_Tkm!$C$6:$C$16, DEMAND_Pkm_Tkm!$C52, STAT_TRA_Survey_Tkm!P$6:P$16)</f>
        <v>0</v>
      </c>
      <c r="T52" s="814">
        <f>SUMIF(STAT_TRA_Survey_Tkm!$C$6:$C$16, DEMAND_Pkm_Tkm!$C52, STAT_TRA_Survey_Tkm!Q$6:Q$16)</f>
        <v>0</v>
      </c>
      <c r="U52" s="814">
        <f>SUMIF(STAT_TRA_Survey_Tkm!$C$6:$C$16, DEMAND_Pkm_Tkm!$C52, STAT_TRA_Survey_Tkm!R$6:R$16)</f>
        <v>0</v>
      </c>
      <c r="V52" s="117" t="str">
        <f t="shared" si="3"/>
        <v>ok</v>
      </c>
    </row>
    <row r="53" spans="2:22" customFormat="1" x14ac:dyDescent="0.25">
      <c r="B53" s="18" t="str">
        <f>IF(COUNTIF(TRA_Comm!$C$29:$C$90,DEMAND_Pkm_Tkm!C53)=1,"X","De-Active")</f>
        <v>X</v>
      </c>
      <c r="C53" s="169" t="s">
        <v>640</v>
      </c>
      <c r="D53" s="169" t="s">
        <v>641</v>
      </c>
      <c r="E53" s="698">
        <f t="shared" si="2"/>
        <v>0</v>
      </c>
      <c r="F53" s="169" t="s">
        <v>633</v>
      </c>
      <c r="G53" s="814">
        <f>SUMIF(STAT_TRA_Survey_Tkm!$C$6:$C$16, DEMAND_Pkm_Tkm!$C53, STAT_TRA_Survey_Tkm!D$6:D$16)</f>
        <v>0</v>
      </c>
      <c r="H53" s="814">
        <f>SUMIF(STAT_TRA_Survey_Tkm!$C$6:$C$16, DEMAND_Pkm_Tkm!$C53, STAT_TRA_Survey_Tkm!E$6:E$16)</f>
        <v>0</v>
      </c>
      <c r="I53" s="814">
        <f>SUMIF(STAT_TRA_Survey_Tkm!$C$6:$C$16, DEMAND_Pkm_Tkm!$C53, STAT_TRA_Survey_Tkm!F$6:F$16)</f>
        <v>0</v>
      </c>
      <c r="J53" s="814">
        <f>SUMIF(STAT_TRA_Survey_Tkm!$C$6:$C$16, DEMAND_Pkm_Tkm!$C53, STAT_TRA_Survey_Tkm!G$6:G$16)</f>
        <v>0</v>
      </c>
      <c r="K53" s="814">
        <f>SUMIF(STAT_TRA_Survey_Tkm!$C$6:$C$16, DEMAND_Pkm_Tkm!$C53, STAT_TRA_Survey_Tkm!H$6:H$16)</f>
        <v>0</v>
      </c>
      <c r="L53" s="814">
        <f>SUMIF(STAT_TRA_Survey_Tkm!$C$6:$C$16, DEMAND_Pkm_Tkm!$C53, STAT_TRA_Survey_Tkm!I$6:I$16)</f>
        <v>0</v>
      </c>
      <c r="M53" s="814">
        <f>SUMIF(STAT_TRA_Survey_Tkm!$C$6:$C$16, DEMAND_Pkm_Tkm!$C53, STAT_TRA_Survey_Tkm!J$6:J$16)</f>
        <v>0</v>
      </c>
      <c r="N53" s="814">
        <f>SUMIF(STAT_TRA_Survey_Tkm!$C$6:$C$16, DEMAND_Pkm_Tkm!$C53, STAT_TRA_Survey_Tkm!K$6:K$16)</f>
        <v>0</v>
      </c>
      <c r="O53" s="814">
        <f>SUMIF(STAT_TRA_Survey_Tkm!$C$6:$C$16, DEMAND_Pkm_Tkm!$C53, STAT_TRA_Survey_Tkm!L$6:L$16)</f>
        <v>0</v>
      </c>
      <c r="P53" s="814">
        <f>SUMIF(STAT_TRA_Survey_Tkm!$C$6:$C$16, DEMAND_Pkm_Tkm!$C53, STAT_TRA_Survey_Tkm!M$6:M$16)</f>
        <v>0</v>
      </c>
      <c r="Q53" s="814">
        <f>SUMIF(STAT_TRA_Survey_Tkm!$C$6:$C$16, DEMAND_Pkm_Tkm!$C53, STAT_TRA_Survey_Tkm!N$6:N$16)</f>
        <v>0</v>
      </c>
      <c r="R53" s="814">
        <f>SUMIF(STAT_TRA_Survey_Tkm!$C$6:$C$16, DEMAND_Pkm_Tkm!$C53, STAT_TRA_Survey_Tkm!O$6:O$16)</f>
        <v>0</v>
      </c>
      <c r="S53" s="814">
        <f>SUMIF(STAT_TRA_Survey_Tkm!$C$6:$C$16, DEMAND_Pkm_Tkm!$C53, STAT_TRA_Survey_Tkm!P$6:P$16)</f>
        <v>0</v>
      </c>
      <c r="T53" s="814">
        <f>SUMIF(STAT_TRA_Survey_Tkm!$C$6:$C$16, DEMAND_Pkm_Tkm!$C53, STAT_TRA_Survey_Tkm!Q$6:Q$16)</f>
        <v>0</v>
      </c>
      <c r="U53" s="814">
        <f>SUMIF(STAT_TRA_Survey_Tkm!$C$6:$C$16, DEMAND_Pkm_Tkm!$C53, STAT_TRA_Survey_Tkm!R$6:R$16)</f>
        <v>0</v>
      </c>
      <c r="V53" s="117" t="str">
        <f t="shared" si="3"/>
        <v>ok</v>
      </c>
    </row>
    <row r="54" spans="2:22" customFormat="1" x14ac:dyDescent="0.25">
      <c r="B54" s="18" t="str">
        <f>IF(COUNTIF(TRA_Comm!$C$29:$C$90,DEMAND_Pkm_Tkm!C54)=1,"X","De-Active")</f>
        <v>X</v>
      </c>
      <c r="C54" s="336" t="s">
        <v>435</v>
      </c>
      <c r="D54" s="336" t="s">
        <v>642</v>
      </c>
      <c r="E54" s="698">
        <f t="shared" si="2"/>
        <v>0</v>
      </c>
      <c r="F54" s="336" t="s">
        <v>633</v>
      </c>
      <c r="G54" s="814">
        <f>SUMIF(STAT_TRA_Survey_Tkm!$C$6:$C$16, DEMAND_Pkm_Tkm!$C54, STAT_TRA_Survey_Tkm!D$6:D$16)</f>
        <v>0</v>
      </c>
      <c r="H54" s="814">
        <f>SUMIF(STAT_TRA_Survey_Tkm!$C$6:$C$16, DEMAND_Pkm_Tkm!$C54, STAT_TRA_Survey_Tkm!E$6:E$16)</f>
        <v>0</v>
      </c>
      <c r="I54" s="814">
        <f>SUMIF(STAT_TRA_Survey_Tkm!$C$6:$C$16, DEMAND_Pkm_Tkm!$C54, STAT_TRA_Survey_Tkm!F$6:F$16)</f>
        <v>0</v>
      </c>
      <c r="J54" s="814">
        <f>SUMIF(STAT_TRA_Survey_Tkm!$C$6:$C$16, DEMAND_Pkm_Tkm!$C54, STAT_TRA_Survey_Tkm!G$6:G$16)</f>
        <v>0</v>
      </c>
      <c r="K54" s="814">
        <f>SUMIF(STAT_TRA_Survey_Tkm!$C$6:$C$16, DEMAND_Pkm_Tkm!$C54, STAT_TRA_Survey_Tkm!H$6:H$16)</f>
        <v>0</v>
      </c>
      <c r="L54" s="814">
        <f>SUMIF(STAT_TRA_Survey_Tkm!$C$6:$C$16, DEMAND_Pkm_Tkm!$C54, STAT_TRA_Survey_Tkm!I$6:I$16)</f>
        <v>0</v>
      </c>
      <c r="M54" s="814">
        <f>SUMIF(STAT_TRA_Survey_Tkm!$C$6:$C$16, DEMAND_Pkm_Tkm!$C54, STAT_TRA_Survey_Tkm!J$6:J$16)</f>
        <v>0</v>
      </c>
      <c r="N54" s="814">
        <f>SUMIF(STAT_TRA_Survey_Tkm!$C$6:$C$16, DEMAND_Pkm_Tkm!$C54, STAT_TRA_Survey_Tkm!K$6:K$16)</f>
        <v>0</v>
      </c>
      <c r="O54" s="814">
        <f>SUMIF(STAT_TRA_Survey_Tkm!$C$6:$C$16, DEMAND_Pkm_Tkm!$C54, STAT_TRA_Survey_Tkm!L$6:L$16)</f>
        <v>0</v>
      </c>
      <c r="P54" s="814">
        <f>SUMIF(STAT_TRA_Survey_Tkm!$C$6:$C$16, DEMAND_Pkm_Tkm!$C54, STAT_TRA_Survey_Tkm!M$6:M$16)</f>
        <v>0</v>
      </c>
      <c r="Q54" s="814">
        <f>SUMIF(STAT_TRA_Survey_Tkm!$C$6:$C$16, DEMAND_Pkm_Tkm!$C54, STAT_TRA_Survey_Tkm!N$6:N$16)</f>
        <v>0</v>
      </c>
      <c r="R54" s="814">
        <f>SUMIF(STAT_TRA_Survey_Tkm!$C$6:$C$16, DEMAND_Pkm_Tkm!$C54, STAT_TRA_Survey_Tkm!O$6:O$16)</f>
        <v>0</v>
      </c>
      <c r="S54" s="814">
        <f>SUMIF(STAT_TRA_Survey_Tkm!$C$6:$C$16, DEMAND_Pkm_Tkm!$C54, STAT_TRA_Survey_Tkm!P$6:P$16)</f>
        <v>0</v>
      </c>
      <c r="T54" s="814">
        <f>SUMIF(STAT_TRA_Survey_Tkm!$C$6:$C$16, DEMAND_Pkm_Tkm!$C54, STAT_TRA_Survey_Tkm!Q$6:Q$16)</f>
        <v>0</v>
      </c>
      <c r="U54" s="814">
        <f>SUMIF(STAT_TRA_Survey_Tkm!$C$6:$C$16, DEMAND_Pkm_Tkm!$C54, STAT_TRA_Survey_Tkm!R$6:R$16)</f>
        <v>0</v>
      </c>
      <c r="V54" s="117" t="str">
        <f t="shared" si="3"/>
        <v>ok</v>
      </c>
    </row>
    <row r="55" spans="2:22" customFormat="1" x14ac:dyDescent="0.25">
      <c r="B55" s="18" t="str">
        <f>IF(COUNTIF(TRA_Comm!$C$29:$C$90,DEMAND_Pkm_Tkm!C55)=1,"X","De-Active")</f>
        <v>X</v>
      </c>
      <c r="C55" s="336" t="s">
        <v>643</v>
      </c>
      <c r="D55" s="336" t="s">
        <v>644</v>
      </c>
      <c r="E55" s="698">
        <f t="shared" si="2"/>
        <v>0</v>
      </c>
      <c r="F55" s="336" t="s">
        <v>633</v>
      </c>
      <c r="G55" s="814">
        <f>SUMIF(STAT_TRA_Survey_Tkm!$C$6:$C$16, DEMAND_Pkm_Tkm!$C55, STAT_TRA_Survey_Tkm!D$6:D$16)</f>
        <v>0</v>
      </c>
      <c r="H55" s="814">
        <f>SUMIF(STAT_TRA_Survey_Tkm!$C$6:$C$16, DEMAND_Pkm_Tkm!$C55, STAT_TRA_Survey_Tkm!E$6:E$16)</f>
        <v>0</v>
      </c>
      <c r="I55" s="814">
        <f>SUMIF(STAT_TRA_Survey_Tkm!$C$6:$C$16, DEMAND_Pkm_Tkm!$C55, STAT_TRA_Survey_Tkm!F$6:F$16)</f>
        <v>0</v>
      </c>
      <c r="J55" s="814">
        <f>SUMIF(STAT_TRA_Survey_Tkm!$C$6:$C$16, DEMAND_Pkm_Tkm!$C55, STAT_TRA_Survey_Tkm!G$6:G$16)</f>
        <v>0</v>
      </c>
      <c r="K55" s="814">
        <f>SUMIF(STAT_TRA_Survey_Tkm!$C$6:$C$16, DEMAND_Pkm_Tkm!$C55, STAT_TRA_Survey_Tkm!H$6:H$16)</f>
        <v>0</v>
      </c>
      <c r="L55" s="814">
        <f>SUMIF(STAT_TRA_Survey_Tkm!$C$6:$C$16, DEMAND_Pkm_Tkm!$C55, STAT_TRA_Survey_Tkm!I$6:I$16)</f>
        <v>0</v>
      </c>
      <c r="M55" s="814">
        <f>SUMIF(STAT_TRA_Survey_Tkm!$C$6:$C$16, DEMAND_Pkm_Tkm!$C55, STAT_TRA_Survey_Tkm!J$6:J$16)</f>
        <v>0</v>
      </c>
      <c r="N55" s="814">
        <f>SUMIF(STAT_TRA_Survey_Tkm!$C$6:$C$16, DEMAND_Pkm_Tkm!$C55, STAT_TRA_Survey_Tkm!K$6:K$16)</f>
        <v>0</v>
      </c>
      <c r="O55" s="814">
        <f>SUMIF(STAT_TRA_Survey_Tkm!$C$6:$C$16, DEMAND_Pkm_Tkm!$C55, STAT_TRA_Survey_Tkm!L$6:L$16)</f>
        <v>0</v>
      </c>
      <c r="P55" s="814">
        <f>SUMIF(STAT_TRA_Survey_Tkm!$C$6:$C$16, DEMAND_Pkm_Tkm!$C55, STAT_TRA_Survey_Tkm!M$6:M$16)</f>
        <v>0</v>
      </c>
      <c r="Q55" s="814">
        <f>SUMIF(STAT_TRA_Survey_Tkm!$C$6:$C$16, DEMAND_Pkm_Tkm!$C55, STAT_TRA_Survey_Tkm!N$6:N$16)</f>
        <v>0</v>
      </c>
      <c r="R55" s="814">
        <f>SUMIF(STAT_TRA_Survey_Tkm!$C$6:$C$16, DEMAND_Pkm_Tkm!$C55, STAT_TRA_Survey_Tkm!O$6:O$16)</f>
        <v>0</v>
      </c>
      <c r="S55" s="814">
        <f>SUMIF(STAT_TRA_Survey_Tkm!$C$6:$C$16, DEMAND_Pkm_Tkm!$C55, STAT_TRA_Survey_Tkm!P$6:P$16)</f>
        <v>0</v>
      </c>
      <c r="T55" s="814">
        <f>SUMIF(STAT_TRA_Survey_Tkm!$C$6:$C$16, DEMAND_Pkm_Tkm!$C55, STAT_TRA_Survey_Tkm!Q$6:Q$16)</f>
        <v>0</v>
      </c>
      <c r="U55" s="814">
        <f>SUMIF(STAT_TRA_Survey_Tkm!$C$6:$C$16, DEMAND_Pkm_Tkm!$C55, STAT_TRA_Survey_Tkm!R$6:R$16)</f>
        <v>0</v>
      </c>
      <c r="V55" s="117" t="str">
        <f t="shared" si="3"/>
        <v>ok</v>
      </c>
    </row>
    <row r="56" spans="2:22" customFormat="1" x14ac:dyDescent="0.25">
      <c r="B56" s="18" t="str">
        <f>IF(COUNTIF(TRA_Comm!$C$29:$C$90,DEMAND_Pkm_Tkm!C56)=1,"X","De-Active")</f>
        <v>X</v>
      </c>
      <c r="C56" s="336" t="s">
        <v>433</v>
      </c>
      <c r="D56" s="336" t="s">
        <v>645</v>
      </c>
      <c r="E56" s="698">
        <f t="shared" si="2"/>
        <v>0</v>
      </c>
      <c r="F56" s="336" t="s">
        <v>633</v>
      </c>
      <c r="G56" s="814">
        <f>SUMIF(STAT_TRA_Survey_Tkm!$C$6:$C$16, DEMAND_Pkm_Tkm!$C56, STAT_TRA_Survey_Tkm!D$6:D$16)</f>
        <v>0</v>
      </c>
      <c r="H56" s="814">
        <f>SUMIF(STAT_TRA_Survey_Tkm!$C$6:$C$16, DEMAND_Pkm_Tkm!$C56, STAT_TRA_Survey_Tkm!E$6:E$16)</f>
        <v>0</v>
      </c>
      <c r="I56" s="814">
        <f>SUMIF(STAT_TRA_Survey_Tkm!$C$6:$C$16, DEMAND_Pkm_Tkm!$C56, STAT_TRA_Survey_Tkm!F$6:F$16)</f>
        <v>0</v>
      </c>
      <c r="J56" s="814">
        <f>SUMIF(STAT_TRA_Survey_Tkm!$C$6:$C$16, DEMAND_Pkm_Tkm!$C56, STAT_TRA_Survey_Tkm!G$6:G$16)</f>
        <v>0</v>
      </c>
      <c r="K56" s="814">
        <f>SUMIF(STAT_TRA_Survey_Tkm!$C$6:$C$16, DEMAND_Pkm_Tkm!$C56, STAT_TRA_Survey_Tkm!H$6:H$16)</f>
        <v>0</v>
      </c>
      <c r="L56" s="814">
        <f>SUMIF(STAT_TRA_Survey_Tkm!$C$6:$C$16, DEMAND_Pkm_Tkm!$C56, STAT_TRA_Survey_Tkm!I$6:I$16)</f>
        <v>0</v>
      </c>
      <c r="M56" s="814">
        <f>SUMIF(STAT_TRA_Survey_Tkm!$C$6:$C$16, DEMAND_Pkm_Tkm!$C56, STAT_TRA_Survey_Tkm!J$6:J$16)</f>
        <v>0</v>
      </c>
      <c r="N56" s="814">
        <f>SUMIF(STAT_TRA_Survey_Tkm!$C$6:$C$16, DEMAND_Pkm_Tkm!$C56, STAT_TRA_Survey_Tkm!K$6:K$16)</f>
        <v>0</v>
      </c>
      <c r="O56" s="814">
        <f>SUMIF(STAT_TRA_Survey_Tkm!$C$6:$C$16, DEMAND_Pkm_Tkm!$C56, STAT_TRA_Survey_Tkm!L$6:L$16)</f>
        <v>0</v>
      </c>
      <c r="P56" s="814">
        <f>SUMIF(STAT_TRA_Survey_Tkm!$C$6:$C$16, DEMAND_Pkm_Tkm!$C56, STAT_TRA_Survey_Tkm!M$6:M$16)</f>
        <v>0</v>
      </c>
      <c r="Q56" s="814">
        <f>SUMIF(STAT_TRA_Survey_Tkm!$C$6:$C$16, DEMAND_Pkm_Tkm!$C56, STAT_TRA_Survey_Tkm!N$6:N$16)</f>
        <v>0</v>
      </c>
      <c r="R56" s="814">
        <f>SUMIF(STAT_TRA_Survey_Tkm!$C$6:$C$16, DEMAND_Pkm_Tkm!$C56, STAT_TRA_Survey_Tkm!O$6:O$16)</f>
        <v>0</v>
      </c>
      <c r="S56" s="814">
        <f>SUMIF(STAT_TRA_Survey_Tkm!$C$6:$C$16, DEMAND_Pkm_Tkm!$C56, STAT_TRA_Survey_Tkm!P$6:P$16)</f>
        <v>0</v>
      </c>
      <c r="T56" s="814">
        <f>SUMIF(STAT_TRA_Survey_Tkm!$C$6:$C$16, DEMAND_Pkm_Tkm!$C56, STAT_TRA_Survey_Tkm!Q$6:Q$16)</f>
        <v>0</v>
      </c>
      <c r="U56" s="814">
        <f>SUMIF(STAT_TRA_Survey_Tkm!$C$6:$C$16, DEMAND_Pkm_Tkm!$C56, STAT_TRA_Survey_Tkm!R$6:R$16)</f>
        <v>0</v>
      </c>
      <c r="V56" s="117" t="str">
        <f t="shared" si="3"/>
        <v>ok</v>
      </c>
    </row>
    <row r="57" spans="2:22" customFormat="1" x14ac:dyDescent="0.25">
      <c r="B57" s="18" t="str">
        <f>IF(COUNTIF(TRA_Comm!$C$29:$C$90,DEMAND_Pkm_Tkm!C57)=1,"X","De-Active")</f>
        <v>X</v>
      </c>
      <c r="C57" s="336" t="s">
        <v>646</v>
      </c>
      <c r="D57" s="336" t="s">
        <v>647</v>
      </c>
      <c r="E57" s="698">
        <f t="shared" si="2"/>
        <v>0</v>
      </c>
      <c r="F57" s="336" t="s">
        <v>633</v>
      </c>
      <c r="G57" s="814">
        <f>SUMIF(STAT_TRA_Survey_Tkm!$C$6:$C$16, DEMAND_Pkm_Tkm!$C57, STAT_TRA_Survey_Tkm!D$6:D$16)</f>
        <v>0</v>
      </c>
      <c r="H57" s="814">
        <f>SUMIF(STAT_TRA_Survey_Tkm!$C$6:$C$16, DEMAND_Pkm_Tkm!$C57, STAT_TRA_Survey_Tkm!E$6:E$16)</f>
        <v>0</v>
      </c>
      <c r="I57" s="814">
        <f>SUMIF(STAT_TRA_Survey_Tkm!$C$6:$C$16, DEMAND_Pkm_Tkm!$C57, STAT_TRA_Survey_Tkm!F$6:F$16)</f>
        <v>0</v>
      </c>
      <c r="J57" s="814">
        <f>SUMIF(STAT_TRA_Survey_Tkm!$C$6:$C$16, DEMAND_Pkm_Tkm!$C57, STAT_TRA_Survey_Tkm!G$6:G$16)</f>
        <v>0</v>
      </c>
      <c r="K57" s="814">
        <f>SUMIF(STAT_TRA_Survey_Tkm!$C$6:$C$16, DEMAND_Pkm_Tkm!$C57, STAT_TRA_Survey_Tkm!H$6:H$16)</f>
        <v>0</v>
      </c>
      <c r="L57" s="814">
        <f>SUMIF(STAT_TRA_Survey_Tkm!$C$6:$C$16, DEMAND_Pkm_Tkm!$C57, STAT_TRA_Survey_Tkm!I$6:I$16)</f>
        <v>0</v>
      </c>
      <c r="M57" s="814">
        <f>SUMIF(STAT_TRA_Survey_Tkm!$C$6:$C$16, DEMAND_Pkm_Tkm!$C57, STAT_TRA_Survey_Tkm!J$6:J$16)</f>
        <v>0</v>
      </c>
      <c r="N57" s="814">
        <f>SUMIF(STAT_TRA_Survey_Tkm!$C$6:$C$16, DEMAND_Pkm_Tkm!$C57, STAT_TRA_Survey_Tkm!K$6:K$16)</f>
        <v>0</v>
      </c>
      <c r="O57" s="814">
        <f>SUMIF(STAT_TRA_Survey_Tkm!$C$6:$C$16, DEMAND_Pkm_Tkm!$C57, STAT_TRA_Survey_Tkm!L$6:L$16)</f>
        <v>0</v>
      </c>
      <c r="P57" s="814">
        <f>SUMIF(STAT_TRA_Survey_Tkm!$C$6:$C$16, DEMAND_Pkm_Tkm!$C57, STAT_TRA_Survey_Tkm!M$6:M$16)</f>
        <v>0</v>
      </c>
      <c r="Q57" s="814">
        <f>SUMIF(STAT_TRA_Survey_Tkm!$C$6:$C$16, DEMAND_Pkm_Tkm!$C57, STAT_TRA_Survey_Tkm!N$6:N$16)</f>
        <v>0</v>
      </c>
      <c r="R57" s="814">
        <f>SUMIF(STAT_TRA_Survey_Tkm!$C$6:$C$16, DEMAND_Pkm_Tkm!$C57, STAT_TRA_Survey_Tkm!O$6:O$16)</f>
        <v>0</v>
      </c>
      <c r="S57" s="814">
        <f>SUMIF(STAT_TRA_Survey_Tkm!$C$6:$C$16, DEMAND_Pkm_Tkm!$C57, STAT_TRA_Survey_Tkm!P$6:P$16)</f>
        <v>0</v>
      </c>
      <c r="T57" s="814">
        <f>SUMIF(STAT_TRA_Survey_Tkm!$C$6:$C$16, DEMAND_Pkm_Tkm!$C57, STAT_TRA_Survey_Tkm!Q$6:Q$16)</f>
        <v>0</v>
      </c>
      <c r="U57" s="814">
        <f>SUMIF(STAT_TRA_Survey_Tkm!$C$6:$C$16, DEMAND_Pkm_Tkm!$C57, STAT_TRA_Survey_Tkm!R$6:R$16)</f>
        <v>0</v>
      </c>
      <c r="V57" s="117" t="str">
        <f t="shared" si="3"/>
        <v>ok</v>
      </c>
    </row>
    <row r="58" spans="2:22" customFormat="1" x14ac:dyDescent="0.25">
      <c r="B58" s="18" t="str">
        <f>IF(COUNTIF(TRA_Comm!$C$29:$C$90,DEMAND_Pkm_Tkm!C58)=1,"X","De-Active")</f>
        <v>X</v>
      </c>
      <c r="C58" s="169" t="s">
        <v>439</v>
      </c>
      <c r="D58" s="169" t="s">
        <v>648</v>
      </c>
      <c r="E58" s="698">
        <f t="shared" si="2"/>
        <v>0</v>
      </c>
      <c r="F58" s="169" t="s">
        <v>633</v>
      </c>
      <c r="G58" s="814">
        <f>SUMIF(STAT_TRA_Survey_Tkm!$C$6:$C$16, DEMAND_Pkm_Tkm!$C58, STAT_TRA_Survey_Tkm!D$6:D$16)</f>
        <v>0</v>
      </c>
      <c r="H58" s="814">
        <f>SUMIF(STAT_TRA_Survey_Tkm!$C$6:$C$16, DEMAND_Pkm_Tkm!$C58, STAT_TRA_Survey_Tkm!E$6:E$16)</f>
        <v>0</v>
      </c>
      <c r="I58" s="814">
        <f>SUMIF(STAT_TRA_Survey_Tkm!$C$6:$C$16, DEMAND_Pkm_Tkm!$C58, STAT_TRA_Survey_Tkm!F$6:F$16)</f>
        <v>0</v>
      </c>
      <c r="J58" s="814">
        <f>SUMIF(STAT_TRA_Survey_Tkm!$C$6:$C$16, DEMAND_Pkm_Tkm!$C58, STAT_TRA_Survey_Tkm!G$6:G$16)</f>
        <v>0</v>
      </c>
      <c r="K58" s="814">
        <f>SUMIF(STAT_TRA_Survey_Tkm!$C$6:$C$16, DEMAND_Pkm_Tkm!$C58, STAT_TRA_Survey_Tkm!H$6:H$16)</f>
        <v>0</v>
      </c>
      <c r="L58" s="814">
        <f>SUMIF(STAT_TRA_Survey_Tkm!$C$6:$C$16, DEMAND_Pkm_Tkm!$C58, STAT_TRA_Survey_Tkm!I$6:I$16)</f>
        <v>0</v>
      </c>
      <c r="M58" s="814">
        <f>SUMIF(STAT_TRA_Survey_Tkm!$C$6:$C$16, DEMAND_Pkm_Tkm!$C58, STAT_TRA_Survey_Tkm!J$6:J$16)</f>
        <v>0</v>
      </c>
      <c r="N58" s="814">
        <f>SUMIF(STAT_TRA_Survey_Tkm!$C$6:$C$16, DEMAND_Pkm_Tkm!$C58, STAT_TRA_Survey_Tkm!K$6:K$16)</f>
        <v>0</v>
      </c>
      <c r="O58" s="814">
        <f>SUMIF(STAT_TRA_Survey_Tkm!$C$6:$C$16, DEMAND_Pkm_Tkm!$C58, STAT_TRA_Survey_Tkm!L$6:L$16)</f>
        <v>0</v>
      </c>
      <c r="P58" s="814">
        <f>SUMIF(STAT_TRA_Survey_Tkm!$C$6:$C$16, DEMAND_Pkm_Tkm!$C58, STAT_TRA_Survey_Tkm!M$6:M$16)</f>
        <v>0</v>
      </c>
      <c r="Q58" s="814">
        <f>SUMIF(STAT_TRA_Survey_Tkm!$C$6:$C$16, DEMAND_Pkm_Tkm!$C58, STAT_TRA_Survey_Tkm!N$6:N$16)</f>
        <v>0</v>
      </c>
      <c r="R58" s="814">
        <f>SUMIF(STAT_TRA_Survey_Tkm!$C$6:$C$16, DEMAND_Pkm_Tkm!$C58, STAT_TRA_Survey_Tkm!O$6:O$16)</f>
        <v>0</v>
      </c>
      <c r="S58" s="814">
        <f>SUMIF(STAT_TRA_Survey_Tkm!$C$6:$C$16, DEMAND_Pkm_Tkm!$C58, STAT_TRA_Survey_Tkm!P$6:P$16)</f>
        <v>0</v>
      </c>
      <c r="T58" s="814">
        <f>SUMIF(STAT_TRA_Survey_Tkm!$C$6:$C$16, DEMAND_Pkm_Tkm!$C58, STAT_TRA_Survey_Tkm!Q$6:Q$16)</f>
        <v>0</v>
      </c>
      <c r="U58" s="814">
        <f>SUMIF(STAT_TRA_Survey_Tkm!$C$6:$C$16, DEMAND_Pkm_Tkm!$C58, STAT_TRA_Survey_Tkm!R$6:R$16)</f>
        <v>0</v>
      </c>
      <c r="V58" s="117" t="str">
        <f t="shared" si="3"/>
        <v>ok</v>
      </c>
    </row>
    <row r="59" spans="2:22" customFormat="1" x14ac:dyDescent="0.25">
      <c r="B59" s="18" t="str">
        <f>IF(COUNTIF(TRA_Comm!$C$29:$C$90,DEMAND_Pkm_Tkm!C59)=1,"X","De-Active")</f>
        <v>X</v>
      </c>
      <c r="C59" s="169" t="s">
        <v>649</v>
      </c>
      <c r="D59" s="169" t="s">
        <v>650</v>
      </c>
      <c r="E59" s="698">
        <f t="shared" si="2"/>
        <v>0</v>
      </c>
      <c r="F59" s="169" t="s">
        <v>633</v>
      </c>
      <c r="G59" s="814">
        <f>SUMIF(STAT_TRA_Survey_Tkm!$C$6:$C$16, DEMAND_Pkm_Tkm!$C59, STAT_TRA_Survey_Tkm!D$6:D$16)</f>
        <v>0</v>
      </c>
      <c r="H59" s="814">
        <f>SUMIF(STAT_TRA_Survey_Tkm!$C$6:$C$16, DEMAND_Pkm_Tkm!$C59, STAT_TRA_Survey_Tkm!E$6:E$16)</f>
        <v>0</v>
      </c>
      <c r="I59" s="814">
        <f>SUMIF(STAT_TRA_Survey_Tkm!$C$6:$C$16, DEMAND_Pkm_Tkm!$C59, STAT_TRA_Survey_Tkm!F$6:F$16)</f>
        <v>0</v>
      </c>
      <c r="J59" s="814">
        <f>SUMIF(STAT_TRA_Survey_Tkm!$C$6:$C$16, DEMAND_Pkm_Tkm!$C59, STAT_TRA_Survey_Tkm!G$6:G$16)</f>
        <v>0</v>
      </c>
      <c r="K59" s="814">
        <f>SUMIF(STAT_TRA_Survey_Tkm!$C$6:$C$16, DEMAND_Pkm_Tkm!$C59, STAT_TRA_Survey_Tkm!H$6:H$16)</f>
        <v>0</v>
      </c>
      <c r="L59" s="814">
        <f>SUMIF(STAT_TRA_Survey_Tkm!$C$6:$C$16, DEMAND_Pkm_Tkm!$C59, STAT_TRA_Survey_Tkm!I$6:I$16)</f>
        <v>0</v>
      </c>
      <c r="M59" s="814">
        <f>SUMIF(STAT_TRA_Survey_Tkm!$C$6:$C$16, DEMAND_Pkm_Tkm!$C59, STAT_TRA_Survey_Tkm!J$6:J$16)</f>
        <v>0</v>
      </c>
      <c r="N59" s="814">
        <f>SUMIF(STAT_TRA_Survey_Tkm!$C$6:$C$16, DEMAND_Pkm_Tkm!$C59, STAT_TRA_Survey_Tkm!K$6:K$16)</f>
        <v>0</v>
      </c>
      <c r="O59" s="814">
        <f>SUMIF(STAT_TRA_Survey_Tkm!$C$6:$C$16, DEMAND_Pkm_Tkm!$C59, STAT_TRA_Survey_Tkm!L$6:L$16)</f>
        <v>0</v>
      </c>
      <c r="P59" s="814">
        <f>SUMIF(STAT_TRA_Survey_Tkm!$C$6:$C$16, DEMAND_Pkm_Tkm!$C59, STAT_TRA_Survey_Tkm!M$6:M$16)</f>
        <v>0</v>
      </c>
      <c r="Q59" s="814">
        <f>SUMIF(STAT_TRA_Survey_Tkm!$C$6:$C$16, DEMAND_Pkm_Tkm!$C59, STAT_TRA_Survey_Tkm!N$6:N$16)</f>
        <v>0</v>
      </c>
      <c r="R59" s="814">
        <f>SUMIF(STAT_TRA_Survey_Tkm!$C$6:$C$16, DEMAND_Pkm_Tkm!$C59, STAT_TRA_Survey_Tkm!O$6:O$16)</f>
        <v>0</v>
      </c>
      <c r="S59" s="814">
        <f>SUMIF(STAT_TRA_Survey_Tkm!$C$6:$C$16, DEMAND_Pkm_Tkm!$C59, STAT_TRA_Survey_Tkm!P$6:P$16)</f>
        <v>0</v>
      </c>
      <c r="T59" s="814">
        <f>SUMIF(STAT_TRA_Survey_Tkm!$C$6:$C$16, DEMAND_Pkm_Tkm!$C59, STAT_TRA_Survey_Tkm!Q$6:Q$16)</f>
        <v>0</v>
      </c>
      <c r="U59" s="814">
        <f>SUMIF(STAT_TRA_Survey_Tkm!$C$6:$C$16, DEMAND_Pkm_Tkm!$C59, STAT_TRA_Survey_Tkm!R$6:R$16)</f>
        <v>0</v>
      </c>
      <c r="V59" s="117" t="str">
        <f t="shared" si="3"/>
        <v>ok</v>
      </c>
    </row>
    <row r="60" spans="2:22" customFormat="1" x14ac:dyDescent="0.25">
      <c r="B60" s="18" t="str">
        <f>IF(COUNTIF(TRA_Comm!$C$29:$C$90,DEMAND_Pkm_Tkm!C60)=1,"X","De-Active")</f>
        <v>X</v>
      </c>
      <c r="C60" s="169" t="s">
        <v>437</v>
      </c>
      <c r="D60" s="169" t="s">
        <v>651</v>
      </c>
      <c r="E60" s="698">
        <f t="shared" si="2"/>
        <v>3321</v>
      </c>
      <c r="F60" s="169" t="s">
        <v>633</v>
      </c>
      <c r="G60" s="814">
        <f>SUMIF(STAT_TRA_Survey_Tkm!$C$6:$C$16, DEMAND_Pkm_Tkm!$C60, STAT_TRA_Survey_Tkm!D$6:D$16)</f>
        <v>3321</v>
      </c>
      <c r="H60" s="814">
        <f>SUMIF(STAT_TRA_Survey_Tkm!$C$6:$C$16, DEMAND_Pkm_Tkm!$C60, STAT_TRA_Survey_Tkm!E$6:E$16)</f>
        <v>0</v>
      </c>
      <c r="I60" s="814">
        <f>SUMIF(STAT_TRA_Survey_Tkm!$C$6:$C$16, DEMAND_Pkm_Tkm!$C60, STAT_TRA_Survey_Tkm!F$6:F$16)</f>
        <v>0</v>
      </c>
      <c r="J60" s="814">
        <f>SUMIF(STAT_TRA_Survey_Tkm!$C$6:$C$16, DEMAND_Pkm_Tkm!$C60, STAT_TRA_Survey_Tkm!G$6:G$16)</f>
        <v>0</v>
      </c>
      <c r="K60" s="814">
        <f>SUMIF(STAT_TRA_Survey_Tkm!$C$6:$C$16, DEMAND_Pkm_Tkm!$C60, STAT_TRA_Survey_Tkm!H$6:H$16)</f>
        <v>0</v>
      </c>
      <c r="L60" s="814">
        <f>SUMIF(STAT_TRA_Survey_Tkm!$C$6:$C$16, DEMAND_Pkm_Tkm!$C60, STAT_TRA_Survey_Tkm!I$6:I$16)</f>
        <v>0</v>
      </c>
      <c r="M60" s="814">
        <f>SUMIF(STAT_TRA_Survey_Tkm!$C$6:$C$16, DEMAND_Pkm_Tkm!$C60, STAT_TRA_Survey_Tkm!J$6:J$16)</f>
        <v>0</v>
      </c>
      <c r="N60" s="814">
        <f>SUMIF(STAT_TRA_Survey_Tkm!$C$6:$C$16, DEMAND_Pkm_Tkm!$C60, STAT_TRA_Survey_Tkm!K$6:K$16)</f>
        <v>0</v>
      </c>
      <c r="O60" s="814">
        <f>SUMIF(STAT_TRA_Survey_Tkm!$C$6:$C$16, DEMAND_Pkm_Tkm!$C60, STAT_TRA_Survey_Tkm!L$6:L$16)</f>
        <v>0</v>
      </c>
      <c r="P60" s="814">
        <f>SUMIF(STAT_TRA_Survey_Tkm!$C$6:$C$16, DEMAND_Pkm_Tkm!$C60, STAT_TRA_Survey_Tkm!M$6:M$16)</f>
        <v>0</v>
      </c>
      <c r="Q60" s="814">
        <f>SUMIF(STAT_TRA_Survey_Tkm!$C$6:$C$16, DEMAND_Pkm_Tkm!$C60, STAT_TRA_Survey_Tkm!N$6:N$16)</f>
        <v>0</v>
      </c>
      <c r="R60" s="814">
        <f>SUMIF(STAT_TRA_Survey_Tkm!$C$6:$C$16, DEMAND_Pkm_Tkm!$C60, STAT_TRA_Survey_Tkm!O$6:O$16)</f>
        <v>0</v>
      </c>
      <c r="S60" s="814">
        <f>SUMIF(STAT_TRA_Survey_Tkm!$C$6:$C$16, DEMAND_Pkm_Tkm!$C60, STAT_TRA_Survey_Tkm!P$6:P$16)</f>
        <v>0</v>
      </c>
      <c r="T60" s="814">
        <f>SUMIF(STAT_TRA_Survey_Tkm!$C$6:$C$16, DEMAND_Pkm_Tkm!$C60, STAT_TRA_Survey_Tkm!Q$6:Q$16)</f>
        <v>0</v>
      </c>
      <c r="U60" s="814">
        <f>SUMIF(STAT_TRA_Survey_Tkm!$C$6:$C$16, DEMAND_Pkm_Tkm!$C60, STAT_TRA_Survey_Tkm!R$6:R$16)</f>
        <v>0</v>
      </c>
      <c r="V60" s="117" t="str">
        <f t="shared" si="3"/>
        <v>ok</v>
      </c>
    </row>
    <row r="61" spans="2:22" customFormat="1" x14ac:dyDescent="0.25">
      <c r="B61" s="18" t="str">
        <f>IF(COUNTIF(TRA_Comm!$C$29:$C$90,DEMAND_Pkm_Tkm!C61)=1,"X","De-Active")</f>
        <v>X</v>
      </c>
      <c r="C61" s="169" t="s">
        <v>652</v>
      </c>
      <c r="D61" s="169" t="s">
        <v>653</v>
      </c>
      <c r="E61" s="698">
        <f t="shared" si="2"/>
        <v>0</v>
      </c>
      <c r="F61" s="169" t="s">
        <v>633</v>
      </c>
      <c r="G61" s="814">
        <f>SUMIF(STAT_TRA_Survey_Tkm!$C$6:$C$16, DEMAND_Pkm_Tkm!$C61, STAT_TRA_Survey_Tkm!D$6:D$16)</f>
        <v>0</v>
      </c>
      <c r="H61" s="814">
        <f>SUMIF(STAT_TRA_Survey_Tkm!$C$6:$C$16, DEMAND_Pkm_Tkm!$C61, STAT_TRA_Survey_Tkm!E$6:E$16)</f>
        <v>0</v>
      </c>
      <c r="I61" s="814">
        <f>SUMIF(STAT_TRA_Survey_Tkm!$C$6:$C$16, DEMAND_Pkm_Tkm!$C61, STAT_TRA_Survey_Tkm!F$6:F$16)</f>
        <v>0</v>
      </c>
      <c r="J61" s="814">
        <f>SUMIF(STAT_TRA_Survey_Tkm!$C$6:$C$16, DEMAND_Pkm_Tkm!$C61, STAT_TRA_Survey_Tkm!G$6:G$16)</f>
        <v>0</v>
      </c>
      <c r="K61" s="814">
        <f>SUMIF(STAT_TRA_Survey_Tkm!$C$6:$C$16, DEMAND_Pkm_Tkm!$C61, STAT_TRA_Survey_Tkm!H$6:H$16)</f>
        <v>0</v>
      </c>
      <c r="L61" s="814">
        <f>SUMIF(STAT_TRA_Survey_Tkm!$C$6:$C$16, DEMAND_Pkm_Tkm!$C61, STAT_TRA_Survey_Tkm!I$6:I$16)</f>
        <v>0</v>
      </c>
      <c r="M61" s="814">
        <f>SUMIF(STAT_TRA_Survey_Tkm!$C$6:$C$16, DEMAND_Pkm_Tkm!$C61, STAT_TRA_Survey_Tkm!J$6:J$16)</f>
        <v>0</v>
      </c>
      <c r="N61" s="814">
        <f>SUMIF(STAT_TRA_Survey_Tkm!$C$6:$C$16, DEMAND_Pkm_Tkm!$C61, STAT_TRA_Survey_Tkm!K$6:K$16)</f>
        <v>0</v>
      </c>
      <c r="O61" s="814">
        <f>SUMIF(STAT_TRA_Survey_Tkm!$C$6:$C$16, DEMAND_Pkm_Tkm!$C61, STAT_TRA_Survey_Tkm!L$6:L$16)</f>
        <v>0</v>
      </c>
      <c r="P61" s="814">
        <f>SUMIF(STAT_TRA_Survey_Tkm!$C$6:$C$16, DEMAND_Pkm_Tkm!$C61, STAT_TRA_Survey_Tkm!M$6:M$16)</f>
        <v>0</v>
      </c>
      <c r="Q61" s="814">
        <f>SUMIF(STAT_TRA_Survey_Tkm!$C$6:$C$16, DEMAND_Pkm_Tkm!$C61, STAT_TRA_Survey_Tkm!N$6:N$16)</f>
        <v>0</v>
      </c>
      <c r="R61" s="814">
        <f>SUMIF(STAT_TRA_Survey_Tkm!$C$6:$C$16, DEMAND_Pkm_Tkm!$C61, STAT_TRA_Survey_Tkm!O$6:O$16)</f>
        <v>0</v>
      </c>
      <c r="S61" s="814">
        <f>SUMIF(STAT_TRA_Survey_Tkm!$C$6:$C$16, DEMAND_Pkm_Tkm!$C61, STAT_TRA_Survey_Tkm!P$6:P$16)</f>
        <v>0</v>
      </c>
      <c r="T61" s="814">
        <f>SUMIF(STAT_TRA_Survey_Tkm!$C$6:$C$16, DEMAND_Pkm_Tkm!$C61, STAT_TRA_Survey_Tkm!Q$6:Q$16)</f>
        <v>0</v>
      </c>
      <c r="U61" s="814">
        <f>SUMIF(STAT_TRA_Survey_Tkm!$C$6:$C$16, DEMAND_Pkm_Tkm!$C61, STAT_TRA_Survey_Tkm!R$6:R$16)</f>
        <v>0</v>
      </c>
      <c r="V61" s="117" t="str">
        <f t="shared" si="3"/>
        <v>ok</v>
      </c>
    </row>
    <row r="62" spans="2:22" customFormat="1" x14ac:dyDescent="0.25">
      <c r="B62" s="18" t="str">
        <f>IF(COUNTIF(TRA_Comm!$C$29:$C$90,DEMAND_Pkm_Tkm!C62)=1,"X","De-Active")</f>
        <v>X</v>
      </c>
      <c r="C62" s="169" t="s">
        <v>443</v>
      </c>
      <c r="D62" s="169" t="s">
        <v>654</v>
      </c>
      <c r="E62" s="698">
        <f t="shared" si="2"/>
        <v>0</v>
      </c>
      <c r="F62" s="169" t="s">
        <v>633</v>
      </c>
      <c r="G62" s="814">
        <f>SUMIF(STAT_TRA_Survey_Tkm!$C$6:$C$16, DEMAND_Pkm_Tkm!$C62, STAT_TRA_Survey_Tkm!D$6:D$16)</f>
        <v>0</v>
      </c>
      <c r="H62" s="814">
        <f>SUMIF(STAT_TRA_Survey_Tkm!$C$6:$C$16, DEMAND_Pkm_Tkm!$C62, STAT_TRA_Survey_Tkm!E$6:E$16)</f>
        <v>0</v>
      </c>
      <c r="I62" s="814">
        <f>SUMIF(STAT_TRA_Survey_Tkm!$C$6:$C$16, DEMAND_Pkm_Tkm!$C62, STAT_TRA_Survey_Tkm!F$6:F$16)</f>
        <v>0</v>
      </c>
      <c r="J62" s="814">
        <f>SUMIF(STAT_TRA_Survey_Tkm!$C$6:$C$16, DEMAND_Pkm_Tkm!$C62, STAT_TRA_Survey_Tkm!G$6:G$16)</f>
        <v>0</v>
      </c>
      <c r="K62" s="814">
        <f>SUMIF(STAT_TRA_Survey_Tkm!$C$6:$C$16, DEMAND_Pkm_Tkm!$C62, STAT_TRA_Survey_Tkm!H$6:H$16)</f>
        <v>0</v>
      </c>
      <c r="L62" s="814">
        <f>SUMIF(STAT_TRA_Survey_Tkm!$C$6:$C$16, DEMAND_Pkm_Tkm!$C62, STAT_TRA_Survey_Tkm!I$6:I$16)</f>
        <v>0</v>
      </c>
      <c r="M62" s="814">
        <f>SUMIF(STAT_TRA_Survey_Tkm!$C$6:$C$16, DEMAND_Pkm_Tkm!$C62, STAT_TRA_Survey_Tkm!J$6:J$16)</f>
        <v>0</v>
      </c>
      <c r="N62" s="814">
        <f>SUMIF(STAT_TRA_Survey_Tkm!$C$6:$C$16, DEMAND_Pkm_Tkm!$C62, STAT_TRA_Survey_Tkm!K$6:K$16)</f>
        <v>0</v>
      </c>
      <c r="O62" s="814">
        <f>SUMIF(STAT_TRA_Survey_Tkm!$C$6:$C$16, DEMAND_Pkm_Tkm!$C62, STAT_TRA_Survey_Tkm!L$6:L$16)</f>
        <v>0</v>
      </c>
      <c r="P62" s="814">
        <f>SUMIF(STAT_TRA_Survey_Tkm!$C$6:$C$16, DEMAND_Pkm_Tkm!$C62, STAT_TRA_Survey_Tkm!M$6:M$16)</f>
        <v>0</v>
      </c>
      <c r="Q62" s="814">
        <f>SUMIF(STAT_TRA_Survey_Tkm!$C$6:$C$16, DEMAND_Pkm_Tkm!$C62, STAT_TRA_Survey_Tkm!N$6:N$16)</f>
        <v>0</v>
      </c>
      <c r="R62" s="814">
        <f>SUMIF(STAT_TRA_Survey_Tkm!$C$6:$C$16, DEMAND_Pkm_Tkm!$C62, STAT_TRA_Survey_Tkm!O$6:O$16)</f>
        <v>0</v>
      </c>
      <c r="S62" s="814">
        <f>SUMIF(STAT_TRA_Survey_Tkm!$C$6:$C$16, DEMAND_Pkm_Tkm!$C62, STAT_TRA_Survey_Tkm!P$6:P$16)</f>
        <v>0</v>
      </c>
      <c r="T62" s="814">
        <f>SUMIF(STAT_TRA_Survey_Tkm!$C$6:$C$16, DEMAND_Pkm_Tkm!$C62, STAT_TRA_Survey_Tkm!Q$6:Q$16)</f>
        <v>0</v>
      </c>
      <c r="U62" s="814">
        <f>SUMIF(STAT_TRA_Survey_Tkm!$C$6:$C$16, DEMAND_Pkm_Tkm!$C62, STAT_TRA_Survey_Tkm!R$6:R$16)</f>
        <v>0</v>
      </c>
      <c r="V62" s="117" t="str">
        <f t="shared" si="3"/>
        <v>ok</v>
      </c>
    </row>
    <row r="63" spans="2:22" customFormat="1" x14ac:dyDescent="0.25">
      <c r="B63" s="18" t="str">
        <f>IF(COUNTIF(TRA_Comm!$C$29:$C$90,DEMAND_Pkm_Tkm!C63)=1,"X","De-Active")</f>
        <v>X</v>
      </c>
      <c r="C63" s="169" t="s">
        <v>655</v>
      </c>
      <c r="D63" s="169" t="s">
        <v>656</v>
      </c>
      <c r="E63" s="698">
        <f t="shared" si="2"/>
        <v>0</v>
      </c>
      <c r="F63" s="169" t="s">
        <v>633</v>
      </c>
      <c r="G63" s="814">
        <f>SUMIF(STAT_TRA_Survey_Tkm!$C$6:$C$16, DEMAND_Pkm_Tkm!$C63, STAT_TRA_Survey_Tkm!D$6:D$16)</f>
        <v>0</v>
      </c>
      <c r="H63" s="814">
        <f>SUMIF(STAT_TRA_Survey_Tkm!$C$6:$C$16, DEMAND_Pkm_Tkm!$C63, STAT_TRA_Survey_Tkm!E$6:E$16)</f>
        <v>0</v>
      </c>
      <c r="I63" s="814">
        <f>SUMIF(STAT_TRA_Survey_Tkm!$C$6:$C$16, DEMAND_Pkm_Tkm!$C63, STAT_TRA_Survey_Tkm!F$6:F$16)</f>
        <v>0</v>
      </c>
      <c r="J63" s="814">
        <f>SUMIF(STAT_TRA_Survey_Tkm!$C$6:$C$16, DEMAND_Pkm_Tkm!$C63, STAT_TRA_Survey_Tkm!G$6:G$16)</f>
        <v>0</v>
      </c>
      <c r="K63" s="814">
        <f>SUMIF(STAT_TRA_Survey_Tkm!$C$6:$C$16, DEMAND_Pkm_Tkm!$C63, STAT_TRA_Survey_Tkm!H$6:H$16)</f>
        <v>0</v>
      </c>
      <c r="L63" s="814">
        <f>SUMIF(STAT_TRA_Survey_Tkm!$C$6:$C$16, DEMAND_Pkm_Tkm!$C63, STAT_TRA_Survey_Tkm!I$6:I$16)</f>
        <v>0</v>
      </c>
      <c r="M63" s="814">
        <f>SUMIF(STAT_TRA_Survey_Tkm!$C$6:$C$16, DEMAND_Pkm_Tkm!$C63, STAT_TRA_Survey_Tkm!J$6:J$16)</f>
        <v>0</v>
      </c>
      <c r="N63" s="814">
        <f>SUMIF(STAT_TRA_Survey_Tkm!$C$6:$C$16, DEMAND_Pkm_Tkm!$C63, STAT_TRA_Survey_Tkm!K$6:K$16)</f>
        <v>0</v>
      </c>
      <c r="O63" s="814">
        <f>SUMIF(STAT_TRA_Survey_Tkm!$C$6:$C$16, DEMAND_Pkm_Tkm!$C63, STAT_TRA_Survey_Tkm!L$6:L$16)</f>
        <v>0</v>
      </c>
      <c r="P63" s="814">
        <f>SUMIF(STAT_TRA_Survey_Tkm!$C$6:$C$16, DEMAND_Pkm_Tkm!$C63, STAT_TRA_Survey_Tkm!M$6:M$16)</f>
        <v>0</v>
      </c>
      <c r="Q63" s="814">
        <f>SUMIF(STAT_TRA_Survey_Tkm!$C$6:$C$16, DEMAND_Pkm_Tkm!$C63, STAT_TRA_Survey_Tkm!N$6:N$16)</f>
        <v>0</v>
      </c>
      <c r="R63" s="814">
        <f>SUMIF(STAT_TRA_Survey_Tkm!$C$6:$C$16, DEMAND_Pkm_Tkm!$C63, STAT_TRA_Survey_Tkm!O$6:O$16)</f>
        <v>0</v>
      </c>
      <c r="S63" s="814">
        <f>SUMIF(STAT_TRA_Survey_Tkm!$C$6:$C$16, DEMAND_Pkm_Tkm!$C63, STAT_TRA_Survey_Tkm!P$6:P$16)</f>
        <v>0</v>
      </c>
      <c r="T63" s="814">
        <f>SUMIF(STAT_TRA_Survey_Tkm!$C$6:$C$16, DEMAND_Pkm_Tkm!$C63, STAT_TRA_Survey_Tkm!Q$6:Q$16)</f>
        <v>0</v>
      </c>
      <c r="U63" s="814">
        <f>SUMIF(STAT_TRA_Survey_Tkm!$C$6:$C$16, DEMAND_Pkm_Tkm!$C63, STAT_TRA_Survey_Tkm!R$6:R$16)</f>
        <v>0</v>
      </c>
      <c r="V63" s="117" t="str">
        <f t="shared" si="3"/>
        <v>ok</v>
      </c>
    </row>
    <row r="64" spans="2:22" customFormat="1" x14ac:dyDescent="0.25">
      <c r="B64" s="18" t="str">
        <f>IF(COUNTIF(TRA_Comm!$C$29:$C$90,DEMAND_Pkm_Tkm!C64)=1,"X","De-Active")</f>
        <v>X</v>
      </c>
      <c r="C64" s="169" t="s">
        <v>657</v>
      </c>
      <c r="D64" s="169" t="s">
        <v>658</v>
      </c>
      <c r="E64" s="698">
        <f t="shared" si="2"/>
        <v>0</v>
      </c>
      <c r="F64" s="169" t="s">
        <v>85</v>
      </c>
      <c r="G64" s="814">
        <f>SUMIF(STAT_TRA_Survey_Tkm!$C$6:$C$16, DEMAND_Pkm_Tkm!$C64, STAT_TRA_Survey_Tkm!D$6:D$16)</f>
        <v>0</v>
      </c>
      <c r="H64" s="814">
        <f>SUMIF(STAT_TRA_Survey_Tkm!$C$6:$C$16, DEMAND_Pkm_Tkm!$C64, STAT_TRA_Survey_Tkm!E$6:E$16)</f>
        <v>0</v>
      </c>
      <c r="I64" s="814">
        <f>SUMIF(STAT_TRA_Survey_Tkm!$C$6:$C$16, DEMAND_Pkm_Tkm!$C64, STAT_TRA_Survey_Tkm!F$6:F$16)</f>
        <v>0</v>
      </c>
      <c r="J64" s="814">
        <f>SUMIF(STAT_TRA_Survey_Tkm!$C$6:$C$16, DEMAND_Pkm_Tkm!$C64, STAT_TRA_Survey_Tkm!G$6:G$16)</f>
        <v>0</v>
      </c>
      <c r="K64" s="814">
        <f>SUMIF(STAT_TRA_Survey_Tkm!$C$6:$C$16, DEMAND_Pkm_Tkm!$C64, STAT_TRA_Survey_Tkm!H$6:H$16)</f>
        <v>0</v>
      </c>
      <c r="L64" s="814">
        <f>SUMIF(STAT_TRA_Survey_Tkm!$C$6:$C$16, DEMAND_Pkm_Tkm!$C64, STAT_TRA_Survey_Tkm!I$6:I$16)</f>
        <v>0</v>
      </c>
      <c r="M64" s="814">
        <f>SUMIF(STAT_TRA_Survey_Tkm!$C$6:$C$16, DEMAND_Pkm_Tkm!$C64, STAT_TRA_Survey_Tkm!J$6:J$16)</f>
        <v>0</v>
      </c>
      <c r="N64" s="814">
        <f>SUMIF(STAT_TRA_Survey_Tkm!$C$6:$C$16, DEMAND_Pkm_Tkm!$C64, STAT_TRA_Survey_Tkm!K$6:K$16)</f>
        <v>0</v>
      </c>
      <c r="O64" s="814">
        <f>SUMIF(STAT_TRA_Survey_Tkm!$C$6:$C$16, DEMAND_Pkm_Tkm!$C64, STAT_TRA_Survey_Tkm!L$6:L$16)</f>
        <v>0</v>
      </c>
      <c r="P64" s="814">
        <f>SUMIF(STAT_TRA_Survey_Tkm!$C$6:$C$16, DEMAND_Pkm_Tkm!$C64, STAT_TRA_Survey_Tkm!M$6:M$16)</f>
        <v>0</v>
      </c>
      <c r="Q64" s="814">
        <f>SUMIF(STAT_TRA_Survey_Tkm!$C$6:$C$16, DEMAND_Pkm_Tkm!$C64, STAT_TRA_Survey_Tkm!N$6:N$16)</f>
        <v>0</v>
      </c>
      <c r="R64" s="814">
        <f>SUMIF(STAT_TRA_Survey_Tkm!$C$6:$C$16, DEMAND_Pkm_Tkm!$C64, STAT_TRA_Survey_Tkm!O$6:O$16)</f>
        <v>0</v>
      </c>
      <c r="S64" s="814">
        <f>SUMIF(STAT_TRA_Survey_Tkm!$C$6:$C$16, DEMAND_Pkm_Tkm!$C64, STAT_TRA_Survey_Tkm!P$6:P$16)</f>
        <v>0</v>
      </c>
      <c r="T64" s="814">
        <f>SUMIF(STAT_TRA_Survey_Tkm!$C$6:$C$16, DEMAND_Pkm_Tkm!$C64, STAT_TRA_Survey_Tkm!Q$6:Q$16)</f>
        <v>0</v>
      </c>
      <c r="U64" s="814">
        <f>SUMIF(STAT_TRA_Survey_Tkm!$C$6:$C$16, DEMAND_Pkm_Tkm!$C64, STAT_TRA_Survey_Tkm!R$6:R$16)</f>
        <v>0</v>
      </c>
      <c r="V64" s="117" t="str">
        <f t="shared" si="3"/>
        <v>ok</v>
      </c>
    </row>
    <row r="65" spans="2:22" customFormat="1" x14ac:dyDescent="0.25">
      <c r="B65" s="18" t="str">
        <f>IF(COUNTIF(TRA_Comm!$C$29:$C$90,DEMAND_Pkm_Tkm!C65)=1,"X","De-Active")</f>
        <v>X</v>
      </c>
      <c r="C65" s="169" t="s">
        <v>659</v>
      </c>
      <c r="D65" s="169" t="s">
        <v>660</v>
      </c>
      <c r="E65" s="698">
        <f t="shared" si="2"/>
        <v>0</v>
      </c>
      <c r="F65" s="169" t="s">
        <v>85</v>
      </c>
      <c r="G65" s="814">
        <f>SUMIF(STAT_TRA_Survey_Tkm!$C$6:$C$16, DEMAND_Pkm_Tkm!$C65, STAT_TRA_Survey_Tkm!D$6:D$16)</f>
        <v>0</v>
      </c>
      <c r="H65" s="814">
        <f>SUMIF(STAT_TRA_Survey_Tkm!$C$6:$C$16, DEMAND_Pkm_Tkm!$C65, STAT_TRA_Survey_Tkm!E$6:E$16)</f>
        <v>0</v>
      </c>
      <c r="I65" s="814">
        <f>SUMIF(STAT_TRA_Survey_Tkm!$C$6:$C$16, DEMAND_Pkm_Tkm!$C65, STAT_TRA_Survey_Tkm!F$6:F$16)</f>
        <v>0</v>
      </c>
      <c r="J65" s="814">
        <f>SUMIF(STAT_TRA_Survey_Tkm!$C$6:$C$16, DEMAND_Pkm_Tkm!$C65, STAT_TRA_Survey_Tkm!G$6:G$16)</f>
        <v>0</v>
      </c>
      <c r="K65" s="814">
        <f>SUMIF(STAT_TRA_Survey_Tkm!$C$6:$C$16, DEMAND_Pkm_Tkm!$C65, STAT_TRA_Survey_Tkm!H$6:H$16)</f>
        <v>0</v>
      </c>
      <c r="L65" s="814">
        <f>SUMIF(STAT_TRA_Survey_Tkm!$C$6:$C$16, DEMAND_Pkm_Tkm!$C65, STAT_TRA_Survey_Tkm!I$6:I$16)</f>
        <v>0</v>
      </c>
      <c r="M65" s="814">
        <f>SUMIF(STAT_TRA_Survey_Tkm!$C$6:$C$16, DEMAND_Pkm_Tkm!$C65, STAT_TRA_Survey_Tkm!J$6:J$16)</f>
        <v>0</v>
      </c>
      <c r="N65" s="814">
        <f>SUMIF(STAT_TRA_Survey_Tkm!$C$6:$C$16, DEMAND_Pkm_Tkm!$C65, STAT_TRA_Survey_Tkm!K$6:K$16)</f>
        <v>0</v>
      </c>
      <c r="O65" s="814">
        <f>SUMIF(STAT_TRA_Survey_Tkm!$C$6:$C$16, DEMAND_Pkm_Tkm!$C65, STAT_TRA_Survey_Tkm!L$6:L$16)</f>
        <v>0</v>
      </c>
      <c r="P65" s="814">
        <f>SUMIF(STAT_TRA_Survey_Tkm!$C$6:$C$16, DEMAND_Pkm_Tkm!$C65, STAT_TRA_Survey_Tkm!M$6:M$16)</f>
        <v>0</v>
      </c>
      <c r="Q65" s="814">
        <f>SUMIF(STAT_TRA_Survey_Tkm!$C$6:$C$16, DEMAND_Pkm_Tkm!$C65, STAT_TRA_Survey_Tkm!N$6:N$16)</f>
        <v>0</v>
      </c>
      <c r="R65" s="814">
        <f>SUMIF(STAT_TRA_Survey_Tkm!$C$6:$C$16, DEMAND_Pkm_Tkm!$C65, STAT_TRA_Survey_Tkm!O$6:O$16)</f>
        <v>0</v>
      </c>
      <c r="S65" s="814">
        <f>SUMIF(STAT_TRA_Survey_Tkm!$C$6:$C$16, DEMAND_Pkm_Tkm!$C65, STAT_TRA_Survey_Tkm!P$6:P$16)</f>
        <v>0</v>
      </c>
      <c r="T65" s="814">
        <f>SUMIF(STAT_TRA_Survey_Tkm!$C$6:$C$16, DEMAND_Pkm_Tkm!$C65, STAT_TRA_Survey_Tkm!Q$6:Q$16)</f>
        <v>0</v>
      </c>
      <c r="U65" s="814">
        <f>SUMIF(STAT_TRA_Survey_Tkm!$C$6:$C$16, DEMAND_Pkm_Tkm!$C65, STAT_TRA_Survey_Tkm!R$6:R$16)</f>
        <v>0</v>
      </c>
      <c r="V65" s="117" t="str">
        <f t="shared" si="3"/>
        <v>ok</v>
      </c>
    </row>
    <row r="66" spans="2:22" customFormat="1" x14ac:dyDescent="0.25">
      <c r="B66" s="18" t="str">
        <f>IF(COUNTIF(TRA_Comm!$C$29:$C$90,DEMAND_Pkm_Tkm!C66)=1,"X","De-Active")</f>
        <v>X</v>
      </c>
      <c r="C66" s="169" t="s">
        <v>441</v>
      </c>
      <c r="D66" s="169" t="s">
        <v>661</v>
      </c>
      <c r="E66" s="698">
        <f t="shared" si="2"/>
        <v>0</v>
      </c>
      <c r="F66" s="169" t="s">
        <v>633</v>
      </c>
      <c r="G66" s="814">
        <f>SUMIF(STAT_TRA_Survey_Tkm!$C$6:$C$16, DEMAND_Pkm_Tkm!$C66, STAT_TRA_Survey_Tkm!D$6:D$16)</f>
        <v>0</v>
      </c>
      <c r="H66" s="814">
        <f>SUMIF(STAT_TRA_Survey_Tkm!$C$6:$C$16, DEMAND_Pkm_Tkm!$C66, STAT_TRA_Survey_Tkm!E$6:E$16)</f>
        <v>0</v>
      </c>
      <c r="I66" s="814">
        <f>SUMIF(STAT_TRA_Survey_Tkm!$C$6:$C$16, DEMAND_Pkm_Tkm!$C66, STAT_TRA_Survey_Tkm!F$6:F$16)</f>
        <v>0</v>
      </c>
      <c r="J66" s="814">
        <f>SUMIF(STAT_TRA_Survey_Tkm!$C$6:$C$16, DEMAND_Pkm_Tkm!$C66, STAT_TRA_Survey_Tkm!G$6:G$16)</f>
        <v>0</v>
      </c>
      <c r="K66" s="814">
        <f>SUMIF(STAT_TRA_Survey_Tkm!$C$6:$C$16, DEMAND_Pkm_Tkm!$C66, STAT_TRA_Survey_Tkm!H$6:H$16)</f>
        <v>0</v>
      </c>
      <c r="L66" s="814">
        <f>SUMIF(STAT_TRA_Survey_Tkm!$C$6:$C$16, DEMAND_Pkm_Tkm!$C66, STAT_TRA_Survey_Tkm!I$6:I$16)</f>
        <v>0</v>
      </c>
      <c r="M66" s="814">
        <f>SUMIF(STAT_TRA_Survey_Tkm!$C$6:$C$16, DEMAND_Pkm_Tkm!$C66, STAT_TRA_Survey_Tkm!J$6:J$16)</f>
        <v>0</v>
      </c>
      <c r="N66" s="814">
        <f>SUMIF(STAT_TRA_Survey_Tkm!$C$6:$C$16, DEMAND_Pkm_Tkm!$C66, STAT_TRA_Survey_Tkm!K$6:K$16)</f>
        <v>0</v>
      </c>
      <c r="O66" s="814">
        <f>SUMIF(STAT_TRA_Survey_Tkm!$C$6:$C$16, DEMAND_Pkm_Tkm!$C66, STAT_TRA_Survey_Tkm!L$6:L$16)</f>
        <v>0</v>
      </c>
      <c r="P66" s="814">
        <f>SUMIF(STAT_TRA_Survey_Tkm!$C$6:$C$16, DEMAND_Pkm_Tkm!$C66, STAT_TRA_Survey_Tkm!M$6:M$16)</f>
        <v>0</v>
      </c>
      <c r="Q66" s="814">
        <f>SUMIF(STAT_TRA_Survey_Tkm!$C$6:$C$16, DEMAND_Pkm_Tkm!$C66, STAT_TRA_Survey_Tkm!N$6:N$16)</f>
        <v>0</v>
      </c>
      <c r="R66" s="814">
        <f>SUMIF(STAT_TRA_Survey_Tkm!$C$6:$C$16, DEMAND_Pkm_Tkm!$C66, STAT_TRA_Survey_Tkm!O$6:O$16)</f>
        <v>0</v>
      </c>
      <c r="S66" s="814">
        <f>SUMIF(STAT_TRA_Survey_Tkm!$C$6:$C$16, DEMAND_Pkm_Tkm!$C66, STAT_TRA_Survey_Tkm!P$6:P$16)</f>
        <v>0</v>
      </c>
      <c r="T66" s="814">
        <f>SUMIF(STAT_TRA_Survey_Tkm!$C$6:$C$16, DEMAND_Pkm_Tkm!$C66, STAT_TRA_Survey_Tkm!Q$6:Q$16)</f>
        <v>0</v>
      </c>
      <c r="U66" s="814">
        <f>SUMIF(STAT_TRA_Survey_Tkm!$C$6:$C$16, DEMAND_Pkm_Tkm!$C66, STAT_TRA_Survey_Tkm!R$6:R$16)</f>
        <v>0</v>
      </c>
      <c r="V66" s="117" t="str">
        <f t="shared" si="3"/>
        <v>ok</v>
      </c>
    </row>
    <row r="67" spans="2:22" customFormat="1" x14ac:dyDescent="0.25">
      <c r="B67" s="18" t="str">
        <f>IF(COUNTIF(TRA_Comm!$C$29:$C$90,DEMAND_Pkm_Tkm!C67)=1,"X","De-Active")</f>
        <v>X</v>
      </c>
      <c r="C67" s="169" t="s">
        <v>662</v>
      </c>
      <c r="D67" s="169" t="s">
        <v>663</v>
      </c>
      <c r="E67" s="698">
        <f t="shared" si="2"/>
        <v>0</v>
      </c>
      <c r="F67" s="169" t="s">
        <v>633</v>
      </c>
      <c r="G67" s="814">
        <f>SUMIF(STAT_TRA_Survey_Tkm!$C$6:$C$16, DEMAND_Pkm_Tkm!$C67, STAT_TRA_Survey_Tkm!D$6:D$16)</f>
        <v>0</v>
      </c>
      <c r="H67" s="814">
        <f>SUMIF(STAT_TRA_Survey_Tkm!$C$6:$C$16, DEMAND_Pkm_Tkm!$C67, STAT_TRA_Survey_Tkm!E$6:E$16)</f>
        <v>0</v>
      </c>
      <c r="I67" s="814">
        <f>SUMIF(STAT_TRA_Survey_Tkm!$C$6:$C$16, DEMAND_Pkm_Tkm!$C67, STAT_TRA_Survey_Tkm!F$6:F$16)</f>
        <v>0</v>
      </c>
      <c r="J67" s="814">
        <f>SUMIF(STAT_TRA_Survey_Tkm!$C$6:$C$16, DEMAND_Pkm_Tkm!$C67, STAT_TRA_Survey_Tkm!G$6:G$16)</f>
        <v>0</v>
      </c>
      <c r="K67" s="814">
        <f>SUMIF(STAT_TRA_Survey_Tkm!$C$6:$C$16, DEMAND_Pkm_Tkm!$C67, STAT_TRA_Survey_Tkm!H$6:H$16)</f>
        <v>0</v>
      </c>
      <c r="L67" s="814">
        <f>SUMIF(STAT_TRA_Survey_Tkm!$C$6:$C$16, DEMAND_Pkm_Tkm!$C67, STAT_TRA_Survey_Tkm!I$6:I$16)</f>
        <v>0</v>
      </c>
      <c r="M67" s="814">
        <f>SUMIF(STAT_TRA_Survey_Tkm!$C$6:$C$16, DEMAND_Pkm_Tkm!$C67, STAT_TRA_Survey_Tkm!J$6:J$16)</f>
        <v>0</v>
      </c>
      <c r="N67" s="814">
        <f>SUMIF(STAT_TRA_Survey_Tkm!$C$6:$C$16, DEMAND_Pkm_Tkm!$C67, STAT_TRA_Survey_Tkm!K$6:K$16)</f>
        <v>0</v>
      </c>
      <c r="O67" s="814">
        <f>SUMIF(STAT_TRA_Survey_Tkm!$C$6:$C$16, DEMAND_Pkm_Tkm!$C67, STAT_TRA_Survey_Tkm!L$6:L$16)</f>
        <v>0</v>
      </c>
      <c r="P67" s="814">
        <f>SUMIF(STAT_TRA_Survey_Tkm!$C$6:$C$16, DEMAND_Pkm_Tkm!$C67, STAT_TRA_Survey_Tkm!M$6:M$16)</f>
        <v>0</v>
      </c>
      <c r="Q67" s="814">
        <f>SUMIF(STAT_TRA_Survey_Tkm!$C$6:$C$16, DEMAND_Pkm_Tkm!$C67, STAT_TRA_Survey_Tkm!N$6:N$16)</f>
        <v>0</v>
      </c>
      <c r="R67" s="814">
        <f>SUMIF(STAT_TRA_Survey_Tkm!$C$6:$C$16, DEMAND_Pkm_Tkm!$C67, STAT_TRA_Survey_Tkm!O$6:O$16)</f>
        <v>0</v>
      </c>
      <c r="S67" s="814">
        <f>SUMIF(STAT_TRA_Survey_Tkm!$C$6:$C$16, DEMAND_Pkm_Tkm!$C67, STAT_TRA_Survey_Tkm!P$6:P$16)</f>
        <v>0</v>
      </c>
      <c r="T67" s="814">
        <f>SUMIF(STAT_TRA_Survey_Tkm!$C$6:$C$16, DEMAND_Pkm_Tkm!$C67, STAT_TRA_Survey_Tkm!Q$6:Q$16)</f>
        <v>0</v>
      </c>
      <c r="U67" s="814">
        <f>SUMIF(STAT_TRA_Survey_Tkm!$C$6:$C$16, DEMAND_Pkm_Tkm!$C67, STAT_TRA_Survey_Tkm!R$6:R$16)</f>
        <v>0</v>
      </c>
      <c r="V67" s="117" t="str">
        <f t="shared" si="3"/>
        <v>ok</v>
      </c>
    </row>
    <row r="68" spans="2:22" customFormat="1" x14ac:dyDescent="0.25">
      <c r="B68" s="18" t="str">
        <f>IF(COUNTIF(TRA_Comm!$C$29:$C$90,DEMAND_Pkm_Tkm!C68)=1,"X","De-Active")</f>
        <v>X</v>
      </c>
      <c r="C68" s="169" t="s">
        <v>425</v>
      </c>
      <c r="D68" s="169" t="s">
        <v>664</v>
      </c>
      <c r="E68" s="698">
        <f t="shared" si="2"/>
        <v>0</v>
      </c>
      <c r="F68" s="169" t="s">
        <v>633</v>
      </c>
      <c r="G68" s="814">
        <f>SUMIF(STAT_TRA_Survey_Tkm!$C$6:$C$16, DEMAND_Pkm_Tkm!$C68, STAT_TRA_Survey_Tkm!D$6:D$16)</f>
        <v>0</v>
      </c>
      <c r="H68" s="814">
        <f>SUMIF(STAT_TRA_Survey_Tkm!$C$6:$C$16, DEMAND_Pkm_Tkm!$C68, STAT_TRA_Survey_Tkm!E$6:E$16)</f>
        <v>0</v>
      </c>
      <c r="I68" s="814">
        <f>SUMIF(STAT_TRA_Survey_Tkm!$C$6:$C$16, DEMAND_Pkm_Tkm!$C68, STAT_TRA_Survey_Tkm!F$6:F$16)</f>
        <v>0</v>
      </c>
      <c r="J68" s="814">
        <f>SUMIF(STAT_TRA_Survey_Tkm!$C$6:$C$16, DEMAND_Pkm_Tkm!$C68, STAT_TRA_Survey_Tkm!G$6:G$16)</f>
        <v>0</v>
      </c>
      <c r="K68" s="814">
        <f>SUMIF(STAT_TRA_Survey_Tkm!$C$6:$C$16, DEMAND_Pkm_Tkm!$C68, STAT_TRA_Survey_Tkm!H$6:H$16)</f>
        <v>0</v>
      </c>
      <c r="L68" s="814">
        <f>SUMIF(STAT_TRA_Survey_Tkm!$C$6:$C$16, DEMAND_Pkm_Tkm!$C68, STAT_TRA_Survey_Tkm!I$6:I$16)</f>
        <v>0</v>
      </c>
      <c r="M68" s="814">
        <f>SUMIF(STAT_TRA_Survey_Tkm!$C$6:$C$16, DEMAND_Pkm_Tkm!$C68, STAT_TRA_Survey_Tkm!J$6:J$16)</f>
        <v>0</v>
      </c>
      <c r="N68" s="814">
        <f>SUMIF(STAT_TRA_Survey_Tkm!$C$6:$C$16, DEMAND_Pkm_Tkm!$C68, STAT_TRA_Survey_Tkm!K$6:K$16)</f>
        <v>0</v>
      </c>
      <c r="O68" s="814">
        <f>SUMIF(STAT_TRA_Survey_Tkm!$C$6:$C$16, DEMAND_Pkm_Tkm!$C68, STAT_TRA_Survey_Tkm!L$6:L$16)</f>
        <v>0</v>
      </c>
      <c r="P68" s="814">
        <f>SUMIF(STAT_TRA_Survey_Tkm!$C$6:$C$16, DEMAND_Pkm_Tkm!$C68, STAT_TRA_Survey_Tkm!M$6:M$16)</f>
        <v>0</v>
      </c>
      <c r="Q68" s="814">
        <f>SUMIF(STAT_TRA_Survey_Tkm!$C$6:$C$16, DEMAND_Pkm_Tkm!$C68, STAT_TRA_Survey_Tkm!N$6:N$16)</f>
        <v>0</v>
      </c>
      <c r="R68" s="814">
        <f>SUMIF(STAT_TRA_Survey_Tkm!$C$6:$C$16, DEMAND_Pkm_Tkm!$C68, STAT_TRA_Survey_Tkm!O$6:O$16)</f>
        <v>0</v>
      </c>
      <c r="S68" s="814">
        <f>SUMIF(STAT_TRA_Survey_Tkm!$C$6:$C$16, DEMAND_Pkm_Tkm!$C68, STAT_TRA_Survey_Tkm!P$6:P$16)</f>
        <v>0</v>
      </c>
      <c r="T68" s="814">
        <f>SUMIF(STAT_TRA_Survey_Tkm!$C$6:$C$16, DEMAND_Pkm_Tkm!$C68, STAT_TRA_Survey_Tkm!Q$6:Q$16)</f>
        <v>0</v>
      </c>
      <c r="U68" s="814">
        <f>SUMIF(STAT_TRA_Survey_Tkm!$C$6:$C$16, DEMAND_Pkm_Tkm!$C68, STAT_TRA_Survey_Tkm!R$6:R$16)</f>
        <v>0</v>
      </c>
      <c r="V68" s="117" t="str">
        <f t="shared" si="3"/>
        <v>ok</v>
      </c>
    </row>
    <row r="69" spans="2:22" customFormat="1" x14ac:dyDescent="0.25">
      <c r="B69" s="18" t="str">
        <f>IF(COUNTIF(TRA_Comm!$C$29:$C$90,DEMAND_Pkm_Tkm!C69)=1,"X","De-Active")</f>
        <v>X</v>
      </c>
      <c r="C69" s="169" t="s">
        <v>510</v>
      </c>
      <c r="D69" s="169" t="s">
        <v>665</v>
      </c>
      <c r="E69" s="698">
        <f t="shared" si="2"/>
        <v>0</v>
      </c>
      <c r="F69" s="169" t="s">
        <v>633</v>
      </c>
      <c r="G69" s="814">
        <f>SUMIF(STAT_TRA_Survey_Tkm!$C$6:$C$16, DEMAND_Pkm_Tkm!$C69, STAT_TRA_Survey_Tkm!D$6:D$16)</f>
        <v>0</v>
      </c>
      <c r="H69" s="814">
        <f>SUMIF(STAT_TRA_Survey_Tkm!$C$6:$C$16, DEMAND_Pkm_Tkm!$C69, STAT_TRA_Survey_Tkm!E$6:E$16)</f>
        <v>0</v>
      </c>
      <c r="I69" s="814">
        <f>SUMIF(STAT_TRA_Survey_Tkm!$C$6:$C$16, DEMAND_Pkm_Tkm!$C69, STAT_TRA_Survey_Tkm!F$6:F$16)</f>
        <v>0</v>
      </c>
      <c r="J69" s="814">
        <f>SUMIF(STAT_TRA_Survey_Tkm!$C$6:$C$16, DEMAND_Pkm_Tkm!$C69, STAT_TRA_Survey_Tkm!G$6:G$16)</f>
        <v>0</v>
      </c>
      <c r="K69" s="814">
        <f>SUMIF(STAT_TRA_Survey_Tkm!$C$6:$C$16, DEMAND_Pkm_Tkm!$C69, STAT_TRA_Survey_Tkm!H$6:H$16)</f>
        <v>0</v>
      </c>
      <c r="L69" s="814">
        <f>SUMIF(STAT_TRA_Survey_Tkm!$C$6:$C$16, DEMAND_Pkm_Tkm!$C69, STAT_TRA_Survey_Tkm!I$6:I$16)</f>
        <v>0</v>
      </c>
      <c r="M69" s="814">
        <f>SUMIF(STAT_TRA_Survey_Tkm!$C$6:$C$16, DEMAND_Pkm_Tkm!$C69, STAT_TRA_Survey_Tkm!J$6:J$16)</f>
        <v>0</v>
      </c>
      <c r="N69" s="814">
        <f>SUMIF(STAT_TRA_Survey_Tkm!$C$6:$C$16, DEMAND_Pkm_Tkm!$C69, STAT_TRA_Survey_Tkm!K$6:K$16)</f>
        <v>0</v>
      </c>
      <c r="O69" s="814">
        <f>SUMIF(STAT_TRA_Survey_Tkm!$C$6:$C$16, DEMAND_Pkm_Tkm!$C69, STAT_TRA_Survey_Tkm!L$6:L$16)</f>
        <v>0</v>
      </c>
      <c r="P69" s="814">
        <f>SUMIF(STAT_TRA_Survey_Tkm!$C$6:$C$16, DEMAND_Pkm_Tkm!$C69, STAT_TRA_Survey_Tkm!M$6:M$16)</f>
        <v>0</v>
      </c>
      <c r="Q69" s="814">
        <f>SUMIF(STAT_TRA_Survey_Tkm!$C$6:$C$16, DEMAND_Pkm_Tkm!$C69, STAT_TRA_Survey_Tkm!N$6:N$16)</f>
        <v>0</v>
      </c>
      <c r="R69" s="814">
        <f>SUMIF(STAT_TRA_Survey_Tkm!$C$6:$C$16, DEMAND_Pkm_Tkm!$C69, STAT_TRA_Survey_Tkm!O$6:O$16)</f>
        <v>0</v>
      </c>
      <c r="S69" s="814">
        <f>SUMIF(STAT_TRA_Survey_Tkm!$C$6:$C$16, DEMAND_Pkm_Tkm!$C69, STAT_TRA_Survey_Tkm!P$6:P$16)</f>
        <v>0</v>
      </c>
      <c r="T69" s="814">
        <f>SUMIF(STAT_TRA_Survey_Tkm!$C$6:$C$16, DEMAND_Pkm_Tkm!$C69, STAT_TRA_Survey_Tkm!Q$6:Q$16)</f>
        <v>0</v>
      </c>
      <c r="U69" s="814">
        <f>SUMIF(STAT_TRA_Survey_Tkm!$C$6:$C$16, DEMAND_Pkm_Tkm!$C69, STAT_TRA_Survey_Tkm!R$6:R$16)</f>
        <v>0</v>
      </c>
      <c r="V69" s="117" t="str">
        <f t="shared" si="3"/>
        <v>ok</v>
      </c>
    </row>
    <row r="70" spans="2:22" customFormat="1" x14ac:dyDescent="0.25">
      <c r="B70" s="18" t="str">
        <f>IF(COUNTIF(TRA_Comm!$C$29:$C$90,DEMAND_Pkm_Tkm!C70)=1,"X","De-Active")</f>
        <v>X</v>
      </c>
      <c r="C70" s="169" t="s">
        <v>423</v>
      </c>
      <c r="D70" s="169" t="s">
        <v>666</v>
      </c>
      <c r="E70" s="698">
        <f t="shared" si="2"/>
        <v>0</v>
      </c>
      <c r="F70" s="169" t="s">
        <v>633</v>
      </c>
      <c r="G70" s="814">
        <f>SUMIF(STAT_TRA_Survey_Tkm!$C$6:$C$16, DEMAND_Pkm_Tkm!$C70, STAT_TRA_Survey_Tkm!D$6:D$16)</f>
        <v>0</v>
      </c>
      <c r="H70" s="814">
        <f>SUMIF(STAT_TRA_Survey_Tkm!$C$6:$C$16, DEMAND_Pkm_Tkm!$C70, STAT_TRA_Survey_Tkm!E$6:E$16)</f>
        <v>0</v>
      </c>
      <c r="I70" s="814">
        <f>SUMIF(STAT_TRA_Survey_Tkm!$C$6:$C$16, DEMAND_Pkm_Tkm!$C70, STAT_TRA_Survey_Tkm!F$6:F$16)</f>
        <v>0</v>
      </c>
      <c r="J70" s="814">
        <f>SUMIF(STAT_TRA_Survey_Tkm!$C$6:$C$16, DEMAND_Pkm_Tkm!$C70, STAT_TRA_Survey_Tkm!G$6:G$16)</f>
        <v>0</v>
      </c>
      <c r="K70" s="814">
        <f>SUMIF(STAT_TRA_Survey_Tkm!$C$6:$C$16, DEMAND_Pkm_Tkm!$C70, STAT_TRA_Survey_Tkm!H$6:H$16)</f>
        <v>0</v>
      </c>
      <c r="L70" s="814">
        <f>SUMIF(STAT_TRA_Survey_Tkm!$C$6:$C$16, DEMAND_Pkm_Tkm!$C70, STAT_TRA_Survey_Tkm!I$6:I$16)</f>
        <v>0</v>
      </c>
      <c r="M70" s="814">
        <f>SUMIF(STAT_TRA_Survey_Tkm!$C$6:$C$16, DEMAND_Pkm_Tkm!$C70, STAT_TRA_Survey_Tkm!J$6:J$16)</f>
        <v>0</v>
      </c>
      <c r="N70" s="814">
        <f>SUMIF(STAT_TRA_Survey_Tkm!$C$6:$C$16, DEMAND_Pkm_Tkm!$C70, STAT_TRA_Survey_Tkm!K$6:K$16)</f>
        <v>0</v>
      </c>
      <c r="O70" s="814">
        <f>SUMIF(STAT_TRA_Survey_Tkm!$C$6:$C$16, DEMAND_Pkm_Tkm!$C70, STAT_TRA_Survey_Tkm!L$6:L$16)</f>
        <v>0</v>
      </c>
      <c r="P70" s="814">
        <f>SUMIF(STAT_TRA_Survey_Tkm!$C$6:$C$16, DEMAND_Pkm_Tkm!$C70, STAT_TRA_Survey_Tkm!M$6:M$16)</f>
        <v>0</v>
      </c>
      <c r="Q70" s="814">
        <f>SUMIF(STAT_TRA_Survey_Tkm!$C$6:$C$16, DEMAND_Pkm_Tkm!$C70, STAT_TRA_Survey_Tkm!N$6:N$16)</f>
        <v>0</v>
      </c>
      <c r="R70" s="814">
        <f>SUMIF(STAT_TRA_Survey_Tkm!$C$6:$C$16, DEMAND_Pkm_Tkm!$C70, STAT_TRA_Survey_Tkm!O$6:O$16)</f>
        <v>0</v>
      </c>
      <c r="S70" s="814">
        <f>SUMIF(STAT_TRA_Survey_Tkm!$C$6:$C$16, DEMAND_Pkm_Tkm!$C70, STAT_TRA_Survey_Tkm!P$6:P$16)</f>
        <v>0</v>
      </c>
      <c r="T70" s="814">
        <f>SUMIF(STAT_TRA_Survey_Tkm!$C$6:$C$16, DEMAND_Pkm_Tkm!$C70, STAT_TRA_Survey_Tkm!Q$6:Q$16)</f>
        <v>0</v>
      </c>
      <c r="U70" s="814">
        <f>SUMIF(STAT_TRA_Survey_Tkm!$C$6:$C$16, DEMAND_Pkm_Tkm!$C70, STAT_TRA_Survey_Tkm!R$6:R$16)</f>
        <v>0</v>
      </c>
      <c r="V70" s="117" t="str">
        <f t="shared" si="3"/>
        <v>ok</v>
      </c>
    </row>
    <row r="71" spans="2:22" customFormat="1" x14ac:dyDescent="0.25">
      <c r="B71" s="18" t="str">
        <f>IF(COUNTIF(TRA_Comm!$C$29:$C$90,DEMAND_Pkm_Tkm!C71)=1,"X","De-Active")</f>
        <v>X</v>
      </c>
      <c r="C71" s="169" t="s">
        <v>509</v>
      </c>
      <c r="D71" s="169" t="s">
        <v>667</v>
      </c>
      <c r="E71" s="698">
        <f t="shared" si="2"/>
        <v>0</v>
      </c>
      <c r="F71" s="169" t="s">
        <v>633</v>
      </c>
      <c r="G71" s="814">
        <f>SUMIF(STAT_TRA_Survey_Tkm!$C$6:$C$16, DEMAND_Pkm_Tkm!$C71, STAT_TRA_Survey_Tkm!D$6:D$16)</f>
        <v>0</v>
      </c>
      <c r="H71" s="814">
        <f>SUMIF(STAT_TRA_Survey_Tkm!$C$6:$C$16, DEMAND_Pkm_Tkm!$C71, STAT_TRA_Survey_Tkm!E$6:E$16)</f>
        <v>0</v>
      </c>
      <c r="I71" s="814">
        <f>SUMIF(STAT_TRA_Survey_Tkm!$C$6:$C$16, DEMAND_Pkm_Tkm!$C71, STAT_TRA_Survey_Tkm!F$6:F$16)</f>
        <v>0</v>
      </c>
      <c r="J71" s="814">
        <f>SUMIF(STAT_TRA_Survey_Tkm!$C$6:$C$16, DEMAND_Pkm_Tkm!$C71, STAT_TRA_Survey_Tkm!G$6:G$16)</f>
        <v>0</v>
      </c>
      <c r="K71" s="814">
        <f>SUMIF(STAT_TRA_Survey_Tkm!$C$6:$C$16, DEMAND_Pkm_Tkm!$C71, STAT_TRA_Survey_Tkm!H$6:H$16)</f>
        <v>0</v>
      </c>
      <c r="L71" s="814">
        <f>SUMIF(STAT_TRA_Survey_Tkm!$C$6:$C$16, DEMAND_Pkm_Tkm!$C71, STAT_TRA_Survey_Tkm!I$6:I$16)</f>
        <v>0</v>
      </c>
      <c r="M71" s="814">
        <f>SUMIF(STAT_TRA_Survey_Tkm!$C$6:$C$16, DEMAND_Pkm_Tkm!$C71, STAT_TRA_Survey_Tkm!J$6:J$16)</f>
        <v>0</v>
      </c>
      <c r="N71" s="814">
        <f>SUMIF(STAT_TRA_Survey_Tkm!$C$6:$C$16, DEMAND_Pkm_Tkm!$C71, STAT_TRA_Survey_Tkm!K$6:K$16)</f>
        <v>0</v>
      </c>
      <c r="O71" s="814">
        <f>SUMIF(STAT_TRA_Survey_Tkm!$C$6:$C$16, DEMAND_Pkm_Tkm!$C71, STAT_TRA_Survey_Tkm!L$6:L$16)</f>
        <v>0</v>
      </c>
      <c r="P71" s="814">
        <f>SUMIF(STAT_TRA_Survey_Tkm!$C$6:$C$16, DEMAND_Pkm_Tkm!$C71, STAT_TRA_Survey_Tkm!M$6:M$16)</f>
        <v>0</v>
      </c>
      <c r="Q71" s="814">
        <f>SUMIF(STAT_TRA_Survey_Tkm!$C$6:$C$16, DEMAND_Pkm_Tkm!$C71, STAT_TRA_Survey_Tkm!N$6:N$16)</f>
        <v>0</v>
      </c>
      <c r="R71" s="814">
        <f>SUMIF(STAT_TRA_Survey_Tkm!$C$6:$C$16, DEMAND_Pkm_Tkm!$C71, STAT_TRA_Survey_Tkm!O$6:O$16)</f>
        <v>0</v>
      </c>
      <c r="S71" s="814">
        <f>SUMIF(STAT_TRA_Survey_Tkm!$C$6:$C$16, DEMAND_Pkm_Tkm!$C71, STAT_TRA_Survey_Tkm!P$6:P$16)</f>
        <v>0</v>
      </c>
      <c r="T71" s="814">
        <f>SUMIF(STAT_TRA_Survey_Tkm!$C$6:$C$16, DEMAND_Pkm_Tkm!$C71, STAT_TRA_Survey_Tkm!Q$6:Q$16)</f>
        <v>0</v>
      </c>
      <c r="U71" s="814">
        <f>SUMIF(STAT_TRA_Survey_Tkm!$C$6:$C$16, DEMAND_Pkm_Tkm!$C71, STAT_TRA_Survey_Tkm!R$6:R$16)</f>
        <v>0</v>
      </c>
      <c r="V71" s="117" t="str">
        <f t="shared" si="3"/>
        <v>ok</v>
      </c>
    </row>
    <row r="72" spans="2:22" x14ac:dyDescent="0.25">
      <c r="E72" s="16"/>
    </row>
    <row r="73" spans="2:22" x14ac:dyDescent="0.25">
      <c r="C73" s="102"/>
    </row>
    <row r="74" spans="2:22" x14ac:dyDescent="0.25">
      <c r="C74" s="102"/>
    </row>
    <row r="75" spans="2:22" x14ac:dyDescent="0.25">
      <c r="C75" s="102"/>
    </row>
    <row r="76" spans="2:22" x14ac:dyDescent="0.25">
      <c r="C76" s="102"/>
    </row>
  </sheetData>
  <sortState xmlns:xlrd2="http://schemas.microsoft.com/office/spreadsheetml/2017/richdata2" ref="C48:U71">
    <sortCondition ref="C48:C71"/>
  </sortState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FFF0C1"/>
  </sheetPr>
  <dimension ref="A2:AJ323"/>
  <sheetViews>
    <sheetView topLeftCell="A101" zoomScale="75" zoomScaleNormal="75" workbookViewId="0">
      <pane xSplit="6" topLeftCell="X1" activePane="topRight" state="frozen"/>
      <selection activeCell="G30" sqref="G30"/>
      <selection pane="topRight" activeCell="Y111" sqref="Y111"/>
    </sheetView>
  </sheetViews>
  <sheetFormatPr defaultColWidth="9.28515625" defaultRowHeight="15" x14ac:dyDescent="0.25"/>
  <cols>
    <col min="1" max="1" width="15" customWidth="1"/>
    <col min="2" max="2" width="15.28515625" customWidth="1"/>
    <col min="3" max="3" width="18.42578125" customWidth="1"/>
    <col min="4" max="4" width="30.5703125" bestFit="1" customWidth="1"/>
    <col min="5" max="7" width="15.28515625" customWidth="1"/>
    <col min="8" max="22" width="10.7109375" customWidth="1"/>
    <col min="23" max="23" width="5.5703125" customWidth="1"/>
    <col min="24" max="24" width="93.7109375" bestFit="1" customWidth="1"/>
    <col min="25" max="25" width="19.42578125" customWidth="1"/>
    <col min="27" max="27" width="79.7109375" bestFit="1" customWidth="1"/>
    <col min="28" max="28" width="13.28515625" customWidth="1"/>
    <col min="30" max="30" width="11.5703125" bestFit="1" customWidth="1"/>
    <col min="32" max="32" width="11" bestFit="1" customWidth="1"/>
  </cols>
  <sheetData>
    <row r="2" spans="2:28" x14ac:dyDescent="0.25">
      <c r="B2" s="106" t="s">
        <v>668</v>
      </c>
      <c r="F2" s="122"/>
    </row>
    <row r="3" spans="2:28" x14ac:dyDescent="0.25">
      <c r="B3" s="106" t="s">
        <v>669</v>
      </c>
      <c r="F3" s="122"/>
      <c r="X3" s="106"/>
    </row>
    <row r="4" spans="2:28" x14ac:dyDescent="0.25">
      <c r="B4" s="106" t="s">
        <v>670</v>
      </c>
    </row>
    <row r="5" spans="2:28" x14ac:dyDescent="0.25">
      <c r="G5" s="21"/>
      <c r="H5" s="21"/>
      <c r="I5" s="21"/>
      <c r="J5" s="21"/>
      <c r="K5" s="21"/>
      <c r="L5" s="21"/>
      <c r="M5" s="21"/>
      <c r="N5" s="21"/>
      <c r="O5" s="21"/>
      <c r="P5" s="21"/>
      <c r="AA5" s="106"/>
    </row>
    <row r="6" spans="2:28" x14ac:dyDescent="0.25">
      <c r="H6" s="111"/>
      <c r="I6" s="111"/>
      <c r="J6" s="111"/>
      <c r="K6" s="111"/>
      <c r="L6" s="111"/>
      <c r="M6" s="111"/>
      <c r="N6" s="111"/>
      <c r="O6" s="22"/>
      <c r="P6" s="22"/>
      <c r="Z6" s="112"/>
      <c r="AB6" s="112"/>
    </row>
    <row r="7" spans="2:28" ht="18.75" x14ac:dyDescent="0.3">
      <c r="B7" s="42" t="s">
        <v>671</v>
      </c>
      <c r="C7" s="42"/>
      <c r="D7" s="21"/>
      <c r="E7" s="21"/>
      <c r="X7" s="320"/>
    </row>
    <row r="8" spans="2:28" x14ac:dyDescent="0.25">
      <c r="G8" s="457"/>
      <c r="Y8" s="295"/>
    </row>
    <row r="9" spans="2:28" x14ac:dyDescent="0.25">
      <c r="B9" s="466" t="s">
        <v>672</v>
      </c>
      <c r="G9" s="457"/>
      <c r="Y9" s="295"/>
    </row>
    <row r="10" spans="2:28" x14ac:dyDescent="0.25">
      <c r="B10" s="259" t="s">
        <v>463</v>
      </c>
      <c r="C10" s="259" t="s">
        <v>104</v>
      </c>
      <c r="D10" s="259" t="s">
        <v>465</v>
      </c>
      <c r="E10" s="259" t="s">
        <v>673</v>
      </c>
      <c r="F10" s="259" t="s">
        <v>674</v>
      </c>
      <c r="G10" s="160" t="s">
        <v>675</v>
      </c>
      <c r="H10" s="160" t="str">
        <f>INFO!C10</f>
        <v>Z01</v>
      </c>
      <c r="I10" s="160" t="str">
        <f>INFO!D10</f>
        <v>Z02</v>
      </c>
      <c r="J10" s="160" t="str">
        <f>INFO!E10</f>
        <v>Z03</v>
      </c>
      <c r="K10" s="160" t="str">
        <f>INFO!F10</f>
        <v>Z04</v>
      </c>
      <c r="L10" s="160" t="str">
        <f>INFO!G10</f>
        <v>Z05</v>
      </c>
      <c r="M10" s="160" t="str">
        <f>INFO!H10</f>
        <v>Z06</v>
      </c>
      <c r="N10" s="160" t="str">
        <f>INFO!I10</f>
        <v>Z07</v>
      </c>
      <c r="O10" s="160" t="str">
        <f>INFO!J10</f>
        <v>Z08</v>
      </c>
      <c r="P10" s="160" t="str">
        <f>INFO!K10</f>
        <v>Z09</v>
      </c>
      <c r="Q10" s="160" t="str">
        <f>INFO!L10</f>
        <v>Z10</v>
      </c>
      <c r="R10" s="160" t="str">
        <f>INFO!M10</f>
        <v>Z11</v>
      </c>
      <c r="S10" s="160" t="str">
        <f>INFO!N10</f>
        <v>Z12</v>
      </c>
      <c r="T10" s="160" t="str">
        <f>INFO!O10</f>
        <v>Z13</v>
      </c>
      <c r="U10" s="160" t="str">
        <f>INFO!P10</f>
        <v>Z14</v>
      </c>
      <c r="V10" s="160" t="str">
        <f>INFO!Q10</f>
        <v>Z15</v>
      </c>
      <c r="X10" s="460" t="s">
        <v>676</v>
      </c>
      <c r="Y10" s="109" t="s">
        <v>677</v>
      </c>
    </row>
    <row r="11" spans="2:28" s="12" customFormat="1" x14ac:dyDescent="0.25">
      <c r="B11" s="300"/>
      <c r="C11" s="300"/>
      <c r="D11" s="300"/>
      <c r="E11" s="300"/>
      <c r="F11" s="300"/>
      <c r="G11" s="160" t="s">
        <v>678</v>
      </c>
      <c r="H11" s="160" t="s">
        <v>678</v>
      </c>
      <c r="I11" s="160" t="s">
        <v>678</v>
      </c>
      <c r="J11" s="160" t="s">
        <v>678</v>
      </c>
      <c r="K11" s="160" t="s">
        <v>678</v>
      </c>
      <c r="L11" s="160" t="s">
        <v>678</v>
      </c>
      <c r="M11" s="160" t="s">
        <v>678</v>
      </c>
      <c r="N11" s="160" t="s">
        <v>678</v>
      </c>
      <c r="O11" s="160" t="s">
        <v>678</v>
      </c>
      <c r="P11" s="160" t="s">
        <v>678</v>
      </c>
      <c r="Q11" s="160" t="s">
        <v>678</v>
      </c>
      <c r="R11" s="160" t="s">
        <v>678</v>
      </c>
      <c r="S11" s="160" t="s">
        <v>678</v>
      </c>
      <c r="T11" s="160" t="s">
        <v>678</v>
      </c>
      <c r="U11" s="160" t="s">
        <v>678</v>
      </c>
      <c r="V11" s="160" t="s">
        <v>678</v>
      </c>
      <c r="W11"/>
      <c r="X11" s="109"/>
      <c r="Y11" s="109" t="s">
        <v>679</v>
      </c>
    </row>
    <row r="12" spans="2:28" x14ac:dyDescent="0.25">
      <c r="B12" s="191" t="s">
        <v>72</v>
      </c>
      <c r="C12" s="191" t="s">
        <v>562</v>
      </c>
      <c r="D12" s="191" t="s">
        <v>680</v>
      </c>
      <c r="E12" s="191" t="s">
        <v>681</v>
      </c>
      <c r="F12" s="191" t="s">
        <v>473</v>
      </c>
      <c r="G12" s="498">
        <f>ROUND(10^2/Y12,5)</f>
        <v>100</v>
      </c>
      <c r="H12" s="465">
        <f t="shared" ref="H12:H21" si="0">$G12</f>
        <v>100</v>
      </c>
      <c r="I12" s="465">
        <f t="shared" ref="I12:V21" si="1">$H12</f>
        <v>100</v>
      </c>
      <c r="J12" s="465">
        <f t="shared" si="1"/>
        <v>100</v>
      </c>
      <c r="K12" s="465">
        <f t="shared" si="1"/>
        <v>100</v>
      </c>
      <c r="L12" s="465">
        <f t="shared" si="1"/>
        <v>100</v>
      </c>
      <c r="M12" s="465">
        <f t="shared" si="1"/>
        <v>100</v>
      </c>
      <c r="N12" s="465">
        <f t="shared" si="1"/>
        <v>100</v>
      </c>
      <c r="O12" s="465">
        <f t="shared" si="1"/>
        <v>100</v>
      </c>
      <c r="P12" s="465">
        <f t="shared" si="1"/>
        <v>100</v>
      </c>
      <c r="Q12" s="465">
        <f t="shared" si="1"/>
        <v>100</v>
      </c>
      <c r="R12" s="465">
        <f t="shared" si="1"/>
        <v>100</v>
      </c>
      <c r="S12" s="465">
        <f t="shared" si="1"/>
        <v>100</v>
      </c>
      <c r="T12" s="465">
        <f t="shared" si="1"/>
        <v>100</v>
      </c>
      <c r="U12" s="465">
        <f t="shared" si="1"/>
        <v>100</v>
      </c>
      <c r="V12" s="465">
        <f t="shared" si="1"/>
        <v>100</v>
      </c>
      <c r="X12" s="307" t="s">
        <v>682</v>
      </c>
      <c r="Y12" s="549">
        <v>1</v>
      </c>
      <c r="AA12" s="107"/>
      <c r="AB12" s="108"/>
    </row>
    <row r="13" spans="2:28" x14ac:dyDescent="0.25">
      <c r="B13" s="191" t="s">
        <v>72</v>
      </c>
      <c r="C13" s="191" t="s">
        <v>562</v>
      </c>
      <c r="D13" s="191" t="s">
        <v>680</v>
      </c>
      <c r="E13" s="191" t="s">
        <v>683</v>
      </c>
      <c r="F13" s="191" t="s">
        <v>473</v>
      </c>
      <c r="G13" s="498">
        <f t="shared" ref="G13:G21" si="2">ROUND(10^2/Y13,5)</f>
        <v>4.5454499999999998</v>
      </c>
      <c r="H13" s="465">
        <f t="shared" si="0"/>
        <v>4.5454499999999998</v>
      </c>
      <c r="I13" s="465">
        <f t="shared" si="1"/>
        <v>4.5454499999999998</v>
      </c>
      <c r="J13" s="465">
        <f t="shared" si="1"/>
        <v>4.5454499999999998</v>
      </c>
      <c r="K13" s="465">
        <f t="shared" si="1"/>
        <v>4.5454499999999998</v>
      </c>
      <c r="L13" s="465">
        <f t="shared" si="1"/>
        <v>4.5454499999999998</v>
      </c>
      <c r="M13" s="465">
        <f t="shared" si="1"/>
        <v>4.5454499999999998</v>
      </c>
      <c r="N13" s="465">
        <f t="shared" si="1"/>
        <v>4.5454499999999998</v>
      </c>
      <c r="O13" s="465">
        <f t="shared" si="1"/>
        <v>4.5454499999999998</v>
      </c>
      <c r="P13" s="465">
        <f t="shared" si="1"/>
        <v>4.5454499999999998</v>
      </c>
      <c r="Q13" s="465">
        <f t="shared" si="1"/>
        <v>4.5454499999999998</v>
      </c>
      <c r="R13" s="465">
        <f t="shared" si="1"/>
        <v>4.5454499999999998</v>
      </c>
      <c r="S13" s="465">
        <f t="shared" si="1"/>
        <v>4.5454499999999998</v>
      </c>
      <c r="T13" s="465">
        <f t="shared" si="1"/>
        <v>4.5454499999999998</v>
      </c>
      <c r="U13" s="465">
        <f t="shared" si="1"/>
        <v>4.5454499999999998</v>
      </c>
      <c r="V13" s="465">
        <f t="shared" si="1"/>
        <v>4.5454499999999998</v>
      </c>
      <c r="X13" s="307" t="s">
        <v>682</v>
      </c>
      <c r="Y13" s="359">
        <v>22</v>
      </c>
      <c r="AA13" s="107"/>
      <c r="AB13" s="108"/>
    </row>
    <row r="14" spans="2:28" x14ac:dyDescent="0.25">
      <c r="B14" s="191" t="s">
        <v>72</v>
      </c>
      <c r="C14" s="191" t="s">
        <v>563</v>
      </c>
      <c r="D14" s="191" t="s">
        <v>477</v>
      </c>
      <c r="E14" s="191" t="s">
        <v>681</v>
      </c>
      <c r="F14" s="191" t="s">
        <v>476</v>
      </c>
      <c r="G14" s="498">
        <f t="shared" si="2"/>
        <v>100</v>
      </c>
      <c r="H14" s="465">
        <f t="shared" si="0"/>
        <v>100</v>
      </c>
      <c r="I14" s="465">
        <f t="shared" si="1"/>
        <v>100</v>
      </c>
      <c r="J14" s="465">
        <f t="shared" si="1"/>
        <v>100</v>
      </c>
      <c r="K14" s="465">
        <f t="shared" si="1"/>
        <v>100</v>
      </c>
      <c r="L14" s="465">
        <f t="shared" si="1"/>
        <v>100</v>
      </c>
      <c r="M14" s="465">
        <f t="shared" si="1"/>
        <v>100</v>
      </c>
      <c r="N14" s="465">
        <f t="shared" si="1"/>
        <v>100</v>
      </c>
      <c r="O14" s="465">
        <f t="shared" si="1"/>
        <v>100</v>
      </c>
      <c r="P14" s="465">
        <f t="shared" si="1"/>
        <v>100</v>
      </c>
      <c r="Q14" s="465">
        <f t="shared" si="1"/>
        <v>100</v>
      </c>
      <c r="R14" s="465">
        <f t="shared" si="1"/>
        <v>100</v>
      </c>
      <c r="S14" s="465">
        <f t="shared" si="1"/>
        <v>100</v>
      </c>
      <c r="T14" s="465">
        <f t="shared" si="1"/>
        <v>100</v>
      </c>
      <c r="U14" s="465">
        <f t="shared" si="1"/>
        <v>100</v>
      </c>
      <c r="V14" s="465">
        <f t="shared" si="1"/>
        <v>100</v>
      </c>
      <c r="X14" s="307" t="s">
        <v>682</v>
      </c>
      <c r="Y14" s="549">
        <v>1</v>
      </c>
      <c r="AA14" s="107"/>
      <c r="AB14" s="108"/>
    </row>
    <row r="15" spans="2:28" x14ac:dyDescent="0.25">
      <c r="B15" s="191" t="s">
        <v>72</v>
      </c>
      <c r="C15" s="191" t="s">
        <v>171</v>
      </c>
      <c r="D15" s="191" t="s">
        <v>471</v>
      </c>
      <c r="E15" s="191" t="s">
        <v>681</v>
      </c>
      <c r="F15" s="191" t="s">
        <v>470</v>
      </c>
      <c r="G15" s="498">
        <f t="shared" si="2"/>
        <v>100</v>
      </c>
      <c r="H15" s="465">
        <f t="shared" si="0"/>
        <v>100</v>
      </c>
      <c r="I15" s="465">
        <f t="shared" si="1"/>
        <v>100</v>
      </c>
      <c r="J15" s="465">
        <f t="shared" si="1"/>
        <v>100</v>
      </c>
      <c r="K15" s="465">
        <f t="shared" si="1"/>
        <v>100</v>
      </c>
      <c r="L15" s="465">
        <f t="shared" si="1"/>
        <v>100</v>
      </c>
      <c r="M15" s="465">
        <f t="shared" si="1"/>
        <v>100</v>
      </c>
      <c r="N15" s="465">
        <f t="shared" si="1"/>
        <v>100</v>
      </c>
      <c r="O15" s="465">
        <f t="shared" si="1"/>
        <v>100</v>
      </c>
      <c r="P15" s="465">
        <f t="shared" si="1"/>
        <v>100</v>
      </c>
      <c r="Q15" s="465">
        <f t="shared" si="1"/>
        <v>100</v>
      </c>
      <c r="R15" s="465">
        <f t="shared" si="1"/>
        <v>100</v>
      </c>
      <c r="S15" s="465">
        <f t="shared" si="1"/>
        <v>100</v>
      </c>
      <c r="T15" s="465">
        <f t="shared" si="1"/>
        <v>100</v>
      </c>
      <c r="U15" s="465">
        <f t="shared" si="1"/>
        <v>100</v>
      </c>
      <c r="V15" s="465">
        <f t="shared" si="1"/>
        <v>100</v>
      </c>
      <c r="X15" s="307" t="s">
        <v>682</v>
      </c>
      <c r="Y15" s="549">
        <v>1</v>
      </c>
      <c r="AA15" s="107"/>
      <c r="AB15" s="108"/>
    </row>
    <row r="16" spans="2:28" x14ac:dyDescent="0.25">
      <c r="B16" s="191" t="s">
        <v>72</v>
      </c>
      <c r="C16" s="191" t="s">
        <v>380</v>
      </c>
      <c r="D16" s="191" t="s">
        <v>684</v>
      </c>
      <c r="E16" s="191" t="s">
        <v>681</v>
      </c>
      <c r="F16" s="191" t="s">
        <v>398</v>
      </c>
      <c r="G16" s="498">
        <f t="shared" si="2"/>
        <v>100</v>
      </c>
      <c r="H16" s="465">
        <f t="shared" si="0"/>
        <v>100</v>
      </c>
      <c r="I16" s="465">
        <f t="shared" si="1"/>
        <v>100</v>
      </c>
      <c r="J16" s="465">
        <f t="shared" si="1"/>
        <v>100</v>
      </c>
      <c r="K16" s="465">
        <f t="shared" si="1"/>
        <v>100</v>
      </c>
      <c r="L16" s="465">
        <f t="shared" si="1"/>
        <v>100</v>
      </c>
      <c r="M16" s="465">
        <f t="shared" si="1"/>
        <v>100</v>
      </c>
      <c r="N16" s="465">
        <f t="shared" si="1"/>
        <v>100</v>
      </c>
      <c r="O16" s="465">
        <f t="shared" si="1"/>
        <v>100</v>
      </c>
      <c r="P16" s="465">
        <f t="shared" si="1"/>
        <v>100</v>
      </c>
      <c r="Q16" s="465">
        <f t="shared" si="1"/>
        <v>100</v>
      </c>
      <c r="R16" s="465">
        <f t="shared" si="1"/>
        <v>100</v>
      </c>
      <c r="S16" s="465">
        <f t="shared" si="1"/>
        <v>100</v>
      </c>
      <c r="T16" s="465">
        <f t="shared" si="1"/>
        <v>100</v>
      </c>
      <c r="U16" s="465">
        <f t="shared" si="1"/>
        <v>100</v>
      </c>
      <c r="V16" s="465">
        <f t="shared" si="1"/>
        <v>100</v>
      </c>
      <c r="X16" s="307" t="s">
        <v>682</v>
      </c>
      <c r="Y16" s="549">
        <v>1</v>
      </c>
      <c r="AA16" s="107"/>
      <c r="AB16" s="108"/>
    </row>
    <row r="17" spans="2:36" x14ac:dyDescent="0.25">
      <c r="B17" s="191" t="s">
        <v>72</v>
      </c>
      <c r="C17" s="191" t="s">
        <v>380</v>
      </c>
      <c r="D17" s="191" t="s">
        <v>684</v>
      </c>
      <c r="E17" s="191" t="s">
        <v>683</v>
      </c>
      <c r="F17" s="191" t="s">
        <v>398</v>
      </c>
      <c r="G17" s="498">
        <f t="shared" si="2"/>
        <v>4.5454499999999998</v>
      </c>
      <c r="H17" s="465">
        <f t="shared" si="0"/>
        <v>4.5454499999999998</v>
      </c>
      <c r="I17" s="465">
        <f t="shared" si="1"/>
        <v>4.5454499999999998</v>
      </c>
      <c r="J17" s="465">
        <f t="shared" si="1"/>
        <v>4.5454499999999998</v>
      </c>
      <c r="K17" s="465">
        <f t="shared" si="1"/>
        <v>4.5454499999999998</v>
      </c>
      <c r="L17" s="465">
        <f t="shared" si="1"/>
        <v>4.5454499999999998</v>
      </c>
      <c r="M17" s="465">
        <f t="shared" si="1"/>
        <v>4.5454499999999998</v>
      </c>
      <c r="N17" s="465">
        <f t="shared" si="1"/>
        <v>4.5454499999999998</v>
      </c>
      <c r="O17" s="465">
        <f t="shared" si="1"/>
        <v>4.5454499999999998</v>
      </c>
      <c r="P17" s="465">
        <f t="shared" si="1"/>
        <v>4.5454499999999998</v>
      </c>
      <c r="Q17" s="465">
        <f t="shared" si="1"/>
        <v>4.5454499999999998</v>
      </c>
      <c r="R17" s="465">
        <f t="shared" si="1"/>
        <v>4.5454499999999998</v>
      </c>
      <c r="S17" s="465">
        <f t="shared" si="1"/>
        <v>4.5454499999999998</v>
      </c>
      <c r="T17" s="465">
        <f t="shared" si="1"/>
        <v>4.5454499999999998</v>
      </c>
      <c r="U17" s="465">
        <f t="shared" si="1"/>
        <v>4.5454499999999998</v>
      </c>
      <c r="V17" s="465">
        <f t="shared" si="1"/>
        <v>4.5454499999999998</v>
      </c>
      <c r="X17" s="307" t="s">
        <v>682</v>
      </c>
      <c r="Y17" s="359">
        <v>22</v>
      </c>
      <c r="AA17" s="107"/>
      <c r="AB17" s="108"/>
    </row>
    <row r="18" spans="2:36" x14ac:dyDescent="0.25">
      <c r="B18" s="191" t="s">
        <v>72</v>
      </c>
      <c r="C18" s="191" t="s">
        <v>381</v>
      </c>
      <c r="D18" s="191" t="s">
        <v>685</v>
      </c>
      <c r="E18" s="191" t="s">
        <v>681</v>
      </c>
      <c r="F18" s="191" t="s">
        <v>396</v>
      </c>
      <c r="G18" s="498">
        <f t="shared" si="2"/>
        <v>100</v>
      </c>
      <c r="H18" s="465">
        <f t="shared" si="0"/>
        <v>100</v>
      </c>
      <c r="I18" s="465">
        <f t="shared" si="1"/>
        <v>100</v>
      </c>
      <c r="J18" s="465">
        <f t="shared" si="1"/>
        <v>100</v>
      </c>
      <c r="K18" s="465">
        <f t="shared" si="1"/>
        <v>100</v>
      </c>
      <c r="L18" s="465">
        <f t="shared" si="1"/>
        <v>100</v>
      </c>
      <c r="M18" s="465">
        <f t="shared" si="1"/>
        <v>100</v>
      </c>
      <c r="N18" s="465">
        <f t="shared" si="1"/>
        <v>100</v>
      </c>
      <c r="O18" s="465">
        <f t="shared" si="1"/>
        <v>100</v>
      </c>
      <c r="P18" s="465">
        <f t="shared" si="1"/>
        <v>100</v>
      </c>
      <c r="Q18" s="465">
        <f t="shared" si="1"/>
        <v>100</v>
      </c>
      <c r="R18" s="465">
        <f t="shared" si="1"/>
        <v>100</v>
      </c>
      <c r="S18" s="465">
        <f t="shared" si="1"/>
        <v>100</v>
      </c>
      <c r="T18" s="465">
        <f t="shared" si="1"/>
        <v>100</v>
      </c>
      <c r="U18" s="465">
        <f t="shared" si="1"/>
        <v>100</v>
      </c>
      <c r="V18" s="465">
        <f t="shared" si="1"/>
        <v>100</v>
      </c>
      <c r="X18" s="307" t="s">
        <v>682</v>
      </c>
      <c r="Y18" s="549">
        <v>1</v>
      </c>
      <c r="AA18" s="107"/>
      <c r="AB18" s="108"/>
    </row>
    <row r="19" spans="2:36" x14ac:dyDescent="0.25">
      <c r="B19" s="191" t="s">
        <v>72</v>
      </c>
      <c r="C19" s="191" t="s">
        <v>382</v>
      </c>
      <c r="D19" s="191" t="s">
        <v>686</v>
      </c>
      <c r="E19" s="191" t="s">
        <v>681</v>
      </c>
      <c r="F19" s="191" t="s">
        <v>394</v>
      </c>
      <c r="G19" s="498">
        <f t="shared" si="2"/>
        <v>100</v>
      </c>
      <c r="H19" s="465">
        <f t="shared" si="0"/>
        <v>100</v>
      </c>
      <c r="I19" s="465">
        <f t="shared" si="1"/>
        <v>100</v>
      </c>
      <c r="J19" s="465">
        <f t="shared" si="1"/>
        <v>100</v>
      </c>
      <c r="K19" s="465">
        <f t="shared" si="1"/>
        <v>100</v>
      </c>
      <c r="L19" s="465">
        <f t="shared" si="1"/>
        <v>100</v>
      </c>
      <c r="M19" s="465">
        <f t="shared" si="1"/>
        <v>100</v>
      </c>
      <c r="N19" s="465">
        <f t="shared" si="1"/>
        <v>100</v>
      </c>
      <c r="O19" s="465">
        <f t="shared" si="1"/>
        <v>100</v>
      </c>
      <c r="P19" s="465">
        <f t="shared" si="1"/>
        <v>100</v>
      </c>
      <c r="Q19" s="465">
        <f t="shared" si="1"/>
        <v>100</v>
      </c>
      <c r="R19" s="465">
        <f t="shared" si="1"/>
        <v>100</v>
      </c>
      <c r="S19" s="465">
        <f t="shared" si="1"/>
        <v>100</v>
      </c>
      <c r="T19" s="465">
        <f t="shared" si="1"/>
        <v>100</v>
      </c>
      <c r="U19" s="465">
        <f t="shared" si="1"/>
        <v>100</v>
      </c>
      <c r="V19" s="465">
        <f t="shared" si="1"/>
        <v>100</v>
      </c>
      <c r="X19" s="307" t="s">
        <v>682</v>
      </c>
      <c r="Y19" s="549">
        <v>1</v>
      </c>
      <c r="AA19" s="107"/>
      <c r="AB19" s="108"/>
    </row>
    <row r="20" spans="2:36" x14ac:dyDescent="0.25">
      <c r="B20" s="191" t="s">
        <v>72</v>
      </c>
      <c r="C20" s="191" t="s">
        <v>553</v>
      </c>
      <c r="D20" s="191" t="s">
        <v>168</v>
      </c>
      <c r="E20" s="191" t="s">
        <v>683</v>
      </c>
      <c r="F20" s="191" t="s">
        <v>400</v>
      </c>
      <c r="G20" s="498">
        <f t="shared" si="2"/>
        <v>3.0303</v>
      </c>
      <c r="H20" s="465">
        <f t="shared" si="0"/>
        <v>3.0303</v>
      </c>
      <c r="I20" s="465">
        <f t="shared" si="1"/>
        <v>3.0303</v>
      </c>
      <c r="J20" s="465">
        <f t="shared" si="1"/>
        <v>3.0303</v>
      </c>
      <c r="K20" s="465">
        <f t="shared" si="1"/>
        <v>3.0303</v>
      </c>
      <c r="L20" s="465">
        <f t="shared" si="1"/>
        <v>3.0303</v>
      </c>
      <c r="M20" s="465">
        <f t="shared" si="1"/>
        <v>3.0303</v>
      </c>
      <c r="N20" s="465">
        <f t="shared" si="1"/>
        <v>3.0303</v>
      </c>
      <c r="O20" s="465">
        <f t="shared" si="1"/>
        <v>3.0303</v>
      </c>
      <c r="P20" s="465">
        <f t="shared" si="1"/>
        <v>3.0303</v>
      </c>
      <c r="Q20" s="465">
        <f t="shared" si="1"/>
        <v>3.0303</v>
      </c>
      <c r="R20" s="465">
        <f t="shared" si="1"/>
        <v>3.0303</v>
      </c>
      <c r="S20" s="465">
        <f t="shared" si="1"/>
        <v>3.0303</v>
      </c>
      <c r="T20" s="465">
        <f t="shared" si="1"/>
        <v>3.0303</v>
      </c>
      <c r="U20" s="465">
        <f t="shared" si="1"/>
        <v>3.0303</v>
      </c>
      <c r="V20" s="465">
        <f t="shared" si="1"/>
        <v>3.0303</v>
      </c>
      <c r="X20" s="307" t="s">
        <v>682</v>
      </c>
      <c r="Y20" s="549">
        <v>33</v>
      </c>
      <c r="AA20" s="107"/>
      <c r="AB20" s="108"/>
    </row>
    <row r="21" spans="2:36" x14ac:dyDescent="0.25">
      <c r="B21" s="191" t="s">
        <v>72</v>
      </c>
      <c r="C21" s="191" t="s">
        <v>555</v>
      </c>
      <c r="D21" s="191" t="s">
        <v>168</v>
      </c>
      <c r="E21" s="191" t="s">
        <v>683</v>
      </c>
      <c r="F21" s="191" t="s">
        <v>479</v>
      </c>
      <c r="G21" s="498">
        <f t="shared" si="2"/>
        <v>3.0303</v>
      </c>
      <c r="H21" s="465">
        <f t="shared" si="0"/>
        <v>3.0303</v>
      </c>
      <c r="I21" s="465">
        <f t="shared" si="1"/>
        <v>3.0303</v>
      </c>
      <c r="J21" s="465">
        <f t="shared" si="1"/>
        <v>3.0303</v>
      </c>
      <c r="K21" s="465">
        <f t="shared" si="1"/>
        <v>3.0303</v>
      </c>
      <c r="L21" s="465">
        <f t="shared" si="1"/>
        <v>3.0303</v>
      </c>
      <c r="M21" s="465">
        <f t="shared" si="1"/>
        <v>3.0303</v>
      </c>
      <c r="N21" s="465">
        <f t="shared" si="1"/>
        <v>3.0303</v>
      </c>
      <c r="O21" s="465">
        <f t="shared" si="1"/>
        <v>3.0303</v>
      </c>
      <c r="P21" s="465">
        <f t="shared" si="1"/>
        <v>3.0303</v>
      </c>
      <c r="Q21" s="465">
        <f t="shared" si="1"/>
        <v>3.0303</v>
      </c>
      <c r="R21" s="465">
        <f t="shared" si="1"/>
        <v>3.0303</v>
      </c>
      <c r="S21" s="465">
        <f t="shared" si="1"/>
        <v>3.0303</v>
      </c>
      <c r="T21" s="465">
        <f t="shared" si="1"/>
        <v>3.0303</v>
      </c>
      <c r="U21" s="465">
        <f t="shared" si="1"/>
        <v>3.0303</v>
      </c>
      <c r="V21" s="465">
        <f t="shared" si="1"/>
        <v>3.0303</v>
      </c>
      <c r="X21" s="307" t="s">
        <v>682</v>
      </c>
      <c r="Y21" s="549">
        <v>33</v>
      </c>
      <c r="AA21" s="107"/>
      <c r="AB21" s="108"/>
    </row>
    <row r="23" spans="2:36" x14ac:dyDescent="0.25">
      <c r="G23" s="457"/>
      <c r="Y23" s="295"/>
    </row>
    <row r="24" spans="2:36" x14ac:dyDescent="0.25">
      <c r="B24" s="466" t="s">
        <v>481</v>
      </c>
      <c r="G24" s="457"/>
      <c r="Y24" s="295"/>
    </row>
    <row r="25" spans="2:36" x14ac:dyDescent="0.25">
      <c r="B25" s="259" t="s">
        <v>463</v>
      </c>
      <c r="C25" s="259" t="s">
        <v>104</v>
      </c>
      <c r="D25" s="259" t="s">
        <v>465</v>
      </c>
      <c r="E25" s="259" t="s">
        <v>673</v>
      </c>
      <c r="F25" s="259" t="s">
        <v>674</v>
      </c>
      <c r="G25" s="160" t="s">
        <v>675</v>
      </c>
      <c r="H25" s="160" t="str">
        <f>H10</f>
        <v>Z01</v>
      </c>
      <c r="I25" s="160" t="str">
        <f t="shared" ref="I25:V25" si="3">I10</f>
        <v>Z02</v>
      </c>
      <c r="J25" s="160" t="str">
        <f t="shared" si="3"/>
        <v>Z03</v>
      </c>
      <c r="K25" s="160" t="str">
        <f t="shared" si="3"/>
        <v>Z04</v>
      </c>
      <c r="L25" s="160" t="str">
        <f t="shared" si="3"/>
        <v>Z05</v>
      </c>
      <c r="M25" s="160" t="str">
        <f t="shared" si="3"/>
        <v>Z06</v>
      </c>
      <c r="N25" s="160" t="str">
        <f t="shared" si="3"/>
        <v>Z07</v>
      </c>
      <c r="O25" s="160" t="str">
        <f t="shared" si="3"/>
        <v>Z08</v>
      </c>
      <c r="P25" s="160" t="str">
        <f t="shared" si="3"/>
        <v>Z09</v>
      </c>
      <c r="Q25" s="160" t="str">
        <f t="shared" si="3"/>
        <v>Z10</v>
      </c>
      <c r="R25" s="160" t="str">
        <f t="shared" si="3"/>
        <v>Z11</v>
      </c>
      <c r="S25" s="160" t="str">
        <f t="shared" si="3"/>
        <v>Z12</v>
      </c>
      <c r="T25" s="160" t="str">
        <f t="shared" si="3"/>
        <v>Z13</v>
      </c>
      <c r="U25" s="160" t="str">
        <f t="shared" si="3"/>
        <v>Z14</v>
      </c>
      <c r="V25" s="160" t="str">
        <f t="shared" si="3"/>
        <v>Z15</v>
      </c>
      <c r="X25" s="460" t="s">
        <v>676</v>
      </c>
      <c r="Y25" s="109" t="s">
        <v>677</v>
      </c>
    </row>
    <row r="26" spans="2:36" s="12" customFormat="1" ht="30" x14ac:dyDescent="0.25">
      <c r="B26" s="300"/>
      <c r="C26" s="300"/>
      <c r="D26" s="300"/>
      <c r="E26" s="300"/>
      <c r="F26" s="300"/>
      <c r="G26" s="458" t="s">
        <v>687</v>
      </c>
      <c r="H26" s="458" t="s">
        <v>688</v>
      </c>
      <c r="I26" s="458" t="s">
        <v>688</v>
      </c>
      <c r="J26" s="458" t="s">
        <v>688</v>
      </c>
      <c r="K26" s="458" t="s">
        <v>688</v>
      </c>
      <c r="L26" s="458" t="s">
        <v>688</v>
      </c>
      <c r="M26" s="458" t="s">
        <v>688</v>
      </c>
      <c r="N26" s="458" t="s">
        <v>688</v>
      </c>
      <c r="O26" s="458" t="s">
        <v>688</v>
      </c>
      <c r="P26" s="458" t="s">
        <v>688</v>
      </c>
      <c r="Q26" s="458" t="s">
        <v>688</v>
      </c>
      <c r="R26" s="458" t="s">
        <v>688</v>
      </c>
      <c r="S26" s="458" t="s">
        <v>688</v>
      </c>
      <c r="T26" s="458" t="s">
        <v>688</v>
      </c>
      <c r="U26" s="458" t="s">
        <v>688</v>
      </c>
      <c r="V26" s="458" t="s">
        <v>688</v>
      </c>
      <c r="W26"/>
      <c r="X26" s="109"/>
      <c r="Y26" s="109" t="s">
        <v>688</v>
      </c>
    </row>
    <row r="27" spans="2:36" x14ac:dyDescent="0.25">
      <c r="B27" s="191" t="s">
        <v>420</v>
      </c>
      <c r="C27" s="191" t="s">
        <v>689</v>
      </c>
      <c r="D27" s="191" t="s">
        <v>481</v>
      </c>
      <c r="E27" s="191" t="s">
        <v>683</v>
      </c>
      <c r="F27" s="191" t="s">
        <v>420</v>
      </c>
      <c r="G27" s="499">
        <f>Y27</f>
        <v>5555</v>
      </c>
      <c r="H27" s="464">
        <f>G27</f>
        <v>5555</v>
      </c>
      <c r="I27" s="464">
        <f t="shared" ref="I27:V27" si="4">H27</f>
        <v>5555</v>
      </c>
      <c r="J27" s="464">
        <f t="shared" si="4"/>
        <v>5555</v>
      </c>
      <c r="K27" s="464">
        <f t="shared" si="4"/>
        <v>5555</v>
      </c>
      <c r="L27" s="464">
        <f t="shared" si="4"/>
        <v>5555</v>
      </c>
      <c r="M27" s="464">
        <f t="shared" si="4"/>
        <v>5555</v>
      </c>
      <c r="N27" s="464">
        <f t="shared" si="4"/>
        <v>5555</v>
      </c>
      <c r="O27" s="464">
        <f t="shared" si="4"/>
        <v>5555</v>
      </c>
      <c r="P27" s="464">
        <f t="shared" si="4"/>
        <v>5555</v>
      </c>
      <c r="Q27" s="464">
        <f t="shared" si="4"/>
        <v>5555</v>
      </c>
      <c r="R27" s="464">
        <f t="shared" si="4"/>
        <v>5555</v>
      </c>
      <c r="S27" s="464">
        <f t="shared" si="4"/>
        <v>5555</v>
      </c>
      <c r="T27" s="464">
        <f t="shared" si="4"/>
        <v>5555</v>
      </c>
      <c r="U27" s="464">
        <f t="shared" si="4"/>
        <v>5555</v>
      </c>
      <c r="V27" s="464">
        <f t="shared" si="4"/>
        <v>5555</v>
      </c>
      <c r="X27" s="452"/>
      <c r="Y27" s="302">
        <v>5555</v>
      </c>
    </row>
    <row r="28" spans="2:36" x14ac:dyDescent="0.25">
      <c r="B28" s="191" t="s">
        <v>420</v>
      </c>
      <c r="C28" s="191" t="s">
        <v>690</v>
      </c>
      <c r="D28" s="191" t="s">
        <v>691</v>
      </c>
      <c r="E28" s="191" t="s">
        <v>683</v>
      </c>
      <c r="F28" s="191" t="s">
        <v>483</v>
      </c>
      <c r="G28" s="499">
        <f>Y28</f>
        <v>5555</v>
      </c>
      <c r="H28" s="464">
        <f>G28</f>
        <v>5555</v>
      </c>
      <c r="I28" s="464">
        <f t="shared" ref="I28:V28" si="5">H28</f>
        <v>5555</v>
      </c>
      <c r="J28" s="464">
        <f t="shared" si="5"/>
        <v>5555</v>
      </c>
      <c r="K28" s="464">
        <f t="shared" si="5"/>
        <v>5555</v>
      </c>
      <c r="L28" s="464">
        <f t="shared" si="5"/>
        <v>5555</v>
      </c>
      <c r="M28" s="464">
        <f t="shared" si="5"/>
        <v>5555</v>
      </c>
      <c r="N28" s="464">
        <f t="shared" si="5"/>
        <v>5555</v>
      </c>
      <c r="O28" s="464">
        <f t="shared" si="5"/>
        <v>5555</v>
      </c>
      <c r="P28" s="464">
        <f t="shared" si="5"/>
        <v>5555</v>
      </c>
      <c r="Q28" s="464">
        <f t="shared" si="5"/>
        <v>5555</v>
      </c>
      <c r="R28" s="464">
        <f t="shared" si="5"/>
        <v>5555</v>
      </c>
      <c r="S28" s="464">
        <f t="shared" si="5"/>
        <v>5555</v>
      </c>
      <c r="T28" s="464">
        <f t="shared" si="5"/>
        <v>5555</v>
      </c>
      <c r="U28" s="464">
        <f t="shared" si="5"/>
        <v>5555</v>
      </c>
      <c r="V28" s="464">
        <f t="shared" si="5"/>
        <v>5555</v>
      </c>
      <c r="X28" s="452"/>
      <c r="Y28" s="302">
        <v>5555</v>
      </c>
    </row>
    <row r="29" spans="2:36" x14ac:dyDescent="0.25">
      <c r="B29" s="63"/>
      <c r="C29" s="434"/>
      <c r="D29" s="434"/>
      <c r="E29" s="434"/>
      <c r="F29" s="63"/>
      <c r="G29" s="62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Y29" s="435"/>
    </row>
    <row r="30" spans="2:36" x14ac:dyDescent="0.25">
      <c r="B30" s="63"/>
      <c r="C30" s="434"/>
      <c r="D30" s="434"/>
      <c r="E30" s="434"/>
      <c r="F30" s="63"/>
      <c r="G30" s="62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Y30" s="435"/>
    </row>
    <row r="31" spans="2:36" x14ac:dyDescent="0.25">
      <c r="B31" s="466" t="s">
        <v>692</v>
      </c>
      <c r="G31" s="822">
        <v>1.25</v>
      </c>
      <c r="X31" s="106" t="s">
        <v>693</v>
      </c>
      <c r="AA31" s="106" t="s">
        <v>694</v>
      </c>
    </row>
    <row r="32" spans="2:36" x14ac:dyDescent="0.25">
      <c r="B32" s="259" t="s">
        <v>463</v>
      </c>
      <c r="C32" s="259" t="s">
        <v>104</v>
      </c>
      <c r="D32" s="259" t="s">
        <v>465</v>
      </c>
      <c r="E32" s="259" t="s">
        <v>673</v>
      </c>
      <c r="F32" s="259" t="s">
        <v>674</v>
      </c>
      <c r="G32" s="160" t="s">
        <v>675</v>
      </c>
      <c r="H32" s="160" t="str">
        <f>INFO!C10</f>
        <v>Z01</v>
      </c>
      <c r="I32" s="160" t="str">
        <f>INFO!D10</f>
        <v>Z02</v>
      </c>
      <c r="J32" s="160" t="str">
        <f>INFO!E10</f>
        <v>Z03</v>
      </c>
      <c r="K32" s="160" t="str">
        <f>INFO!F10</f>
        <v>Z04</v>
      </c>
      <c r="L32" s="160" t="str">
        <f>INFO!G10</f>
        <v>Z05</v>
      </c>
      <c r="M32" s="160" t="str">
        <f>INFO!H10</f>
        <v>Z06</v>
      </c>
      <c r="N32" s="160" t="str">
        <f>INFO!I10</f>
        <v>Z07</v>
      </c>
      <c r="O32" s="160" t="str">
        <f>INFO!J10</f>
        <v>Z08</v>
      </c>
      <c r="P32" s="160" t="str">
        <f>INFO!K10</f>
        <v>Z09</v>
      </c>
      <c r="Q32" s="160" t="str">
        <f>INFO!L10</f>
        <v>Z10</v>
      </c>
      <c r="R32" s="160" t="str">
        <f>INFO!M10</f>
        <v>Z11</v>
      </c>
      <c r="S32" s="160" t="str">
        <f>INFO!N10</f>
        <v>Z12</v>
      </c>
      <c r="T32" s="160" t="str">
        <f>INFO!O10</f>
        <v>Z13</v>
      </c>
      <c r="U32" s="160" t="str">
        <f>INFO!P10</f>
        <v>Z14</v>
      </c>
      <c r="V32" s="160" t="str">
        <f>INFO!Q10</f>
        <v>Z15</v>
      </c>
      <c r="W32" s="110"/>
      <c r="X32" s="460" t="s">
        <v>676</v>
      </c>
      <c r="Y32" s="109" t="s">
        <v>677</v>
      </c>
      <c r="AA32" s="460" t="s">
        <v>676</v>
      </c>
      <c r="AB32" s="109" t="s">
        <v>677</v>
      </c>
      <c r="AD32" s="460"/>
      <c r="AE32" s="109"/>
      <c r="AF32" s="460"/>
      <c r="AG32" s="109"/>
      <c r="AH32" s="460"/>
      <c r="AI32" s="109"/>
      <c r="AJ32" s="460"/>
    </row>
    <row r="33" spans="2:36" x14ac:dyDescent="0.25">
      <c r="B33" s="259"/>
      <c r="C33" s="259"/>
      <c r="D33" s="259"/>
      <c r="E33" s="259"/>
      <c r="F33" s="259"/>
      <c r="G33" s="160" t="s">
        <v>678</v>
      </c>
      <c r="H33" s="160" t="s">
        <v>678</v>
      </c>
      <c r="I33" s="160" t="s">
        <v>678</v>
      </c>
      <c r="J33" s="160" t="s">
        <v>678</v>
      </c>
      <c r="K33" s="160" t="s">
        <v>678</v>
      </c>
      <c r="L33" s="160" t="s">
        <v>678</v>
      </c>
      <c r="M33" s="160" t="s">
        <v>678</v>
      </c>
      <c r="N33" s="160" t="s">
        <v>678</v>
      </c>
      <c r="O33" s="160" t="s">
        <v>678</v>
      </c>
      <c r="P33" s="160" t="s">
        <v>678</v>
      </c>
      <c r="Q33" s="160" t="s">
        <v>678</v>
      </c>
      <c r="R33" s="160" t="s">
        <v>678</v>
      </c>
      <c r="S33" s="160" t="s">
        <v>678</v>
      </c>
      <c r="T33" s="160" t="s">
        <v>678</v>
      </c>
      <c r="U33" s="160" t="s">
        <v>678</v>
      </c>
      <c r="V33" s="160" t="s">
        <v>678</v>
      </c>
      <c r="W33" s="110"/>
      <c r="X33" s="109"/>
      <c r="Y33" s="109" t="s">
        <v>679</v>
      </c>
      <c r="AA33" s="109"/>
      <c r="AB33" s="109" t="s">
        <v>679</v>
      </c>
      <c r="AD33" s="109"/>
      <c r="AE33" s="109"/>
      <c r="AF33" s="109" t="s">
        <v>679</v>
      </c>
      <c r="AG33" s="109" t="s">
        <v>695</v>
      </c>
      <c r="AH33" s="109" t="s">
        <v>696</v>
      </c>
      <c r="AI33" s="109" t="s">
        <v>697</v>
      </c>
      <c r="AJ33" s="109" t="s">
        <v>698</v>
      </c>
    </row>
    <row r="34" spans="2:36" x14ac:dyDescent="0.25">
      <c r="B34" s="186" t="s">
        <v>75</v>
      </c>
      <c r="C34" s="186" t="s">
        <v>529</v>
      </c>
      <c r="D34" s="186"/>
      <c r="E34" s="186"/>
      <c r="F34" s="186" t="s">
        <v>406</v>
      </c>
      <c r="G34" s="660">
        <f>ROUND(10^2/(Y34*$G$31),5)</f>
        <v>0.42781000000000002</v>
      </c>
      <c r="H34" s="661">
        <f t="shared" ref="H34:V34" si="6">$G34</f>
        <v>0.42781000000000002</v>
      </c>
      <c r="I34" s="661">
        <f t="shared" si="6"/>
        <v>0.42781000000000002</v>
      </c>
      <c r="J34" s="661">
        <f t="shared" si="6"/>
        <v>0.42781000000000002</v>
      </c>
      <c r="K34" s="661">
        <f t="shared" si="6"/>
        <v>0.42781000000000002</v>
      </c>
      <c r="L34" s="661">
        <f t="shared" si="6"/>
        <v>0.42781000000000002</v>
      </c>
      <c r="M34" s="661">
        <f t="shared" si="6"/>
        <v>0.42781000000000002</v>
      </c>
      <c r="N34" s="661">
        <f t="shared" si="6"/>
        <v>0.42781000000000002</v>
      </c>
      <c r="O34" s="661">
        <f t="shared" si="6"/>
        <v>0.42781000000000002</v>
      </c>
      <c r="P34" s="661">
        <f t="shared" si="6"/>
        <v>0.42781000000000002</v>
      </c>
      <c r="Q34" s="661">
        <f t="shared" si="6"/>
        <v>0.42781000000000002</v>
      </c>
      <c r="R34" s="661">
        <f t="shared" si="6"/>
        <v>0.42781000000000002</v>
      </c>
      <c r="S34" s="661">
        <f t="shared" si="6"/>
        <v>0.42781000000000002</v>
      </c>
      <c r="T34" s="661">
        <f t="shared" si="6"/>
        <v>0.42781000000000002</v>
      </c>
      <c r="U34" s="661">
        <f t="shared" si="6"/>
        <v>0.42781000000000002</v>
      </c>
      <c r="V34" s="661">
        <f t="shared" si="6"/>
        <v>0.42781000000000002</v>
      </c>
      <c r="X34" s="307" t="s">
        <v>699</v>
      </c>
      <c r="Y34" s="302">
        <v>187</v>
      </c>
      <c r="AA34" s="107" t="s">
        <v>700</v>
      </c>
      <c r="AB34" s="108">
        <v>199</v>
      </c>
      <c r="AD34" t="str">
        <f>MID(C34, 1, 7)</f>
        <v>TCARDST</v>
      </c>
      <c r="AE34" t="str">
        <f>MID(F34, 1, 3)</f>
        <v>TCL</v>
      </c>
      <c r="AF34">
        <f>Y34</f>
        <v>187</v>
      </c>
      <c r="AG34" s="105">
        <f>AF34/10/3.6</f>
        <v>5.1944444444444438</v>
      </c>
      <c r="AH34">
        <v>9.8000000000000007</v>
      </c>
      <c r="AI34" s="105">
        <f>AG34/AH34</f>
        <v>0.53004535147392284</v>
      </c>
      <c r="AJ34" s="105">
        <f>AI34*$G$31</f>
        <v>0.66255668934240353</v>
      </c>
    </row>
    <row r="35" spans="2:36" x14ac:dyDescent="0.25">
      <c r="B35" s="186" t="s">
        <v>75</v>
      </c>
      <c r="C35" s="186" t="s">
        <v>529</v>
      </c>
      <c r="D35" s="186"/>
      <c r="E35" s="186"/>
      <c r="F35" s="186" t="s">
        <v>408</v>
      </c>
      <c r="G35" s="660">
        <f t="shared" ref="G35:G93" si="7">ROUND(10^2/(Y35*$G$31),5)</f>
        <v>0.37558999999999998</v>
      </c>
      <c r="H35" s="661">
        <f>$G35</f>
        <v>0.37558999999999998</v>
      </c>
      <c r="I35" s="661">
        <f t="shared" ref="I35:V35" si="8">$H35</f>
        <v>0.37558999999999998</v>
      </c>
      <c r="J35" s="661">
        <f t="shared" si="8"/>
        <v>0.37558999999999998</v>
      </c>
      <c r="K35" s="661">
        <f t="shared" si="8"/>
        <v>0.37558999999999998</v>
      </c>
      <c r="L35" s="661">
        <f t="shared" si="8"/>
        <v>0.37558999999999998</v>
      </c>
      <c r="M35" s="661">
        <f t="shared" si="8"/>
        <v>0.37558999999999998</v>
      </c>
      <c r="N35" s="661">
        <f t="shared" si="8"/>
        <v>0.37558999999999998</v>
      </c>
      <c r="O35" s="661">
        <f t="shared" si="8"/>
        <v>0.37558999999999998</v>
      </c>
      <c r="P35" s="661">
        <f t="shared" si="8"/>
        <v>0.37558999999999998</v>
      </c>
      <c r="Q35" s="661">
        <f t="shared" si="8"/>
        <v>0.37558999999999998</v>
      </c>
      <c r="R35" s="661">
        <f t="shared" si="8"/>
        <v>0.37558999999999998</v>
      </c>
      <c r="S35" s="661">
        <f t="shared" si="8"/>
        <v>0.37558999999999998</v>
      </c>
      <c r="T35" s="661">
        <f t="shared" si="8"/>
        <v>0.37558999999999998</v>
      </c>
      <c r="U35" s="661">
        <f t="shared" si="8"/>
        <v>0.37558999999999998</v>
      </c>
      <c r="V35" s="661">
        <f t="shared" si="8"/>
        <v>0.37558999999999998</v>
      </c>
      <c r="X35" s="307" t="s">
        <v>699</v>
      </c>
      <c r="Y35" s="302">
        <v>213</v>
      </c>
      <c r="AA35" s="107" t="s">
        <v>700</v>
      </c>
      <c r="AB35" s="108">
        <v>174</v>
      </c>
      <c r="AD35" t="str">
        <f>MID(C35, 1, 7)</f>
        <v>TCARDST</v>
      </c>
      <c r="AE35" t="str">
        <f t="shared" ref="AE35:AE53" si="9">MID(F35, 1, 3)</f>
        <v>TCS</v>
      </c>
      <c r="AF35">
        <f>Y35</f>
        <v>213</v>
      </c>
      <c r="AG35" s="105">
        <f t="shared" ref="AG35:AG53" si="10">AF35/10/3.6</f>
        <v>5.916666666666667</v>
      </c>
      <c r="AH35">
        <v>9.8000000000000007</v>
      </c>
      <c r="AI35" s="105">
        <f>AG35/AH35</f>
        <v>0.6037414965986394</v>
      </c>
      <c r="AJ35" s="105">
        <f t="shared" ref="AJ35:AJ53" si="11">AI35*$G$31</f>
        <v>0.75467687074829926</v>
      </c>
    </row>
    <row r="36" spans="2:36" x14ac:dyDescent="0.25">
      <c r="B36" s="186" t="s">
        <v>75</v>
      </c>
      <c r="C36" s="186" t="s">
        <v>530</v>
      </c>
      <c r="D36" s="186"/>
      <c r="E36" s="186"/>
      <c r="F36" s="186" t="s">
        <v>406</v>
      </c>
      <c r="G36" s="660">
        <f t="shared" si="7"/>
        <v>1.0389600000000001</v>
      </c>
      <c r="H36" s="661">
        <f t="shared" ref="H36:H66" si="12">$G36</f>
        <v>1.0389600000000001</v>
      </c>
      <c r="I36" s="661">
        <f t="shared" ref="I36:V44" si="13">$H36</f>
        <v>1.0389600000000001</v>
      </c>
      <c r="J36" s="661">
        <f t="shared" si="13"/>
        <v>1.0389600000000001</v>
      </c>
      <c r="K36" s="661">
        <f t="shared" si="13"/>
        <v>1.0389600000000001</v>
      </c>
      <c r="L36" s="661">
        <f t="shared" si="13"/>
        <v>1.0389600000000001</v>
      </c>
      <c r="M36" s="661">
        <f t="shared" si="13"/>
        <v>1.0389600000000001</v>
      </c>
      <c r="N36" s="661">
        <f t="shared" si="13"/>
        <v>1.0389600000000001</v>
      </c>
      <c r="O36" s="661">
        <f t="shared" si="13"/>
        <v>1.0389600000000001</v>
      </c>
      <c r="P36" s="661">
        <f t="shared" si="13"/>
        <v>1.0389600000000001</v>
      </c>
      <c r="Q36" s="661">
        <f t="shared" si="13"/>
        <v>1.0389600000000001</v>
      </c>
      <c r="R36" s="661">
        <f t="shared" si="13"/>
        <v>1.0389600000000001</v>
      </c>
      <c r="S36" s="661">
        <f t="shared" si="13"/>
        <v>1.0389600000000001</v>
      </c>
      <c r="T36" s="661">
        <f t="shared" si="13"/>
        <v>1.0389600000000001</v>
      </c>
      <c r="U36" s="661">
        <f t="shared" si="13"/>
        <v>1.0389600000000001</v>
      </c>
      <c r="V36" s="661">
        <f t="shared" si="13"/>
        <v>1.0389600000000001</v>
      </c>
      <c r="X36" s="307" t="s">
        <v>699</v>
      </c>
      <c r="Y36" s="302">
        <v>77</v>
      </c>
      <c r="AA36" s="107" t="s">
        <v>700</v>
      </c>
      <c r="AB36" s="108">
        <v>62</v>
      </c>
      <c r="AD36" t="str">
        <f t="shared" ref="AD36:AD53" si="14">MID(C36, 1, 7)</f>
        <v>TCARELC</v>
      </c>
      <c r="AE36" t="str">
        <f t="shared" si="9"/>
        <v>TCL</v>
      </c>
      <c r="AF36">
        <f t="shared" ref="AF36:AF53" si="15">Y36</f>
        <v>77</v>
      </c>
      <c r="AG36" s="105">
        <f t="shared" si="10"/>
        <v>2.1388888888888888</v>
      </c>
      <c r="AJ36" s="105"/>
    </row>
    <row r="37" spans="2:36" x14ac:dyDescent="0.25">
      <c r="B37" s="186" t="s">
        <v>75</v>
      </c>
      <c r="C37" s="186" t="s">
        <v>530</v>
      </c>
      <c r="D37" s="186"/>
      <c r="E37" s="186"/>
      <c r="F37" s="186" t="s">
        <v>408</v>
      </c>
      <c r="G37" s="660">
        <f t="shared" si="7"/>
        <v>1.2903199999999999</v>
      </c>
      <c r="H37" s="661">
        <f t="shared" si="12"/>
        <v>1.2903199999999999</v>
      </c>
      <c r="I37" s="661">
        <f t="shared" si="13"/>
        <v>1.2903199999999999</v>
      </c>
      <c r="J37" s="661">
        <f t="shared" si="13"/>
        <v>1.2903199999999999</v>
      </c>
      <c r="K37" s="661">
        <f t="shared" si="13"/>
        <v>1.2903199999999999</v>
      </c>
      <c r="L37" s="661">
        <f t="shared" si="13"/>
        <v>1.2903199999999999</v>
      </c>
      <c r="M37" s="661">
        <f t="shared" si="13"/>
        <v>1.2903199999999999</v>
      </c>
      <c r="N37" s="661">
        <f t="shared" si="13"/>
        <v>1.2903199999999999</v>
      </c>
      <c r="O37" s="661">
        <f t="shared" si="13"/>
        <v>1.2903199999999999</v>
      </c>
      <c r="P37" s="661">
        <f t="shared" si="13"/>
        <v>1.2903199999999999</v>
      </c>
      <c r="Q37" s="661">
        <f t="shared" si="13"/>
        <v>1.2903199999999999</v>
      </c>
      <c r="R37" s="661">
        <f t="shared" si="13"/>
        <v>1.2903199999999999</v>
      </c>
      <c r="S37" s="661">
        <f t="shared" si="13"/>
        <v>1.2903199999999999</v>
      </c>
      <c r="T37" s="661">
        <f t="shared" si="13"/>
        <v>1.2903199999999999</v>
      </c>
      <c r="U37" s="661">
        <f t="shared" si="13"/>
        <v>1.2903199999999999</v>
      </c>
      <c r="V37" s="661">
        <f t="shared" si="13"/>
        <v>1.2903199999999999</v>
      </c>
      <c r="X37" s="307" t="s">
        <v>699</v>
      </c>
      <c r="Y37" s="302">
        <v>62</v>
      </c>
      <c r="AA37" s="107" t="s">
        <v>700</v>
      </c>
      <c r="AB37" s="108">
        <v>77</v>
      </c>
      <c r="AD37" t="str">
        <f t="shared" si="14"/>
        <v>TCARELC</v>
      </c>
      <c r="AE37" t="str">
        <f t="shared" si="9"/>
        <v>TCS</v>
      </c>
      <c r="AF37">
        <f t="shared" si="15"/>
        <v>62</v>
      </c>
      <c r="AG37" s="105">
        <f t="shared" si="10"/>
        <v>1.7222222222222223</v>
      </c>
      <c r="AJ37" s="105"/>
    </row>
    <row r="38" spans="2:36" x14ac:dyDescent="0.25">
      <c r="B38" s="186" t="s">
        <v>75</v>
      </c>
      <c r="C38" s="186" t="s">
        <v>531</v>
      </c>
      <c r="D38" s="186"/>
      <c r="E38" s="186"/>
      <c r="F38" s="186" t="s">
        <v>406</v>
      </c>
      <c r="G38" s="660">
        <f>ROUND(10^2/(Y38*$G$31),5)</f>
        <v>0.38646999999999998</v>
      </c>
      <c r="H38" s="661">
        <f>$G38</f>
        <v>0.38646999999999998</v>
      </c>
      <c r="I38" s="661">
        <f t="shared" si="13"/>
        <v>0.38646999999999998</v>
      </c>
      <c r="J38" s="661">
        <f t="shared" si="13"/>
        <v>0.38646999999999998</v>
      </c>
      <c r="K38" s="661">
        <f t="shared" si="13"/>
        <v>0.38646999999999998</v>
      </c>
      <c r="L38" s="661">
        <f t="shared" si="13"/>
        <v>0.38646999999999998</v>
      </c>
      <c r="M38" s="661">
        <f t="shared" si="13"/>
        <v>0.38646999999999998</v>
      </c>
      <c r="N38" s="661">
        <f t="shared" si="13"/>
        <v>0.38646999999999998</v>
      </c>
      <c r="O38" s="661">
        <f t="shared" si="13"/>
        <v>0.38646999999999998</v>
      </c>
      <c r="P38" s="661">
        <f t="shared" si="13"/>
        <v>0.38646999999999998</v>
      </c>
      <c r="Q38" s="661">
        <f t="shared" si="13"/>
        <v>0.38646999999999998</v>
      </c>
      <c r="R38" s="661">
        <f t="shared" si="13"/>
        <v>0.38646999999999998</v>
      </c>
      <c r="S38" s="661">
        <f t="shared" si="13"/>
        <v>0.38646999999999998</v>
      </c>
      <c r="T38" s="661">
        <f t="shared" si="13"/>
        <v>0.38646999999999998</v>
      </c>
      <c r="U38" s="661">
        <f t="shared" si="13"/>
        <v>0.38646999999999998</v>
      </c>
      <c r="V38" s="661">
        <f t="shared" si="13"/>
        <v>0.38646999999999998</v>
      </c>
      <c r="X38" s="307" t="s">
        <v>701</v>
      </c>
      <c r="Y38" s="302">
        <v>207</v>
      </c>
      <c r="AA38" s="107" t="s">
        <v>700</v>
      </c>
      <c r="AB38" s="108">
        <v>235</v>
      </c>
      <c r="AD38" t="str">
        <f t="shared" si="14"/>
        <v>TCARETH</v>
      </c>
      <c r="AE38" t="str">
        <f t="shared" si="9"/>
        <v>TCL</v>
      </c>
      <c r="AF38">
        <f t="shared" si="15"/>
        <v>207</v>
      </c>
      <c r="AG38" s="105">
        <f t="shared" si="10"/>
        <v>5.75</v>
      </c>
      <c r="AH38">
        <v>5.83</v>
      </c>
      <c r="AI38" s="105">
        <f t="shared" ref="AI38:AI53" si="16">AG38/AH38</f>
        <v>0.98627787307032588</v>
      </c>
      <c r="AJ38" s="105">
        <f t="shared" si="11"/>
        <v>1.2328473413379073</v>
      </c>
    </row>
    <row r="39" spans="2:36" x14ac:dyDescent="0.25">
      <c r="B39" s="186" t="s">
        <v>75</v>
      </c>
      <c r="C39" s="186" t="s">
        <v>531</v>
      </c>
      <c r="D39" s="186"/>
      <c r="E39" s="186"/>
      <c r="F39" s="186" t="s">
        <v>408</v>
      </c>
      <c r="G39" s="660">
        <f t="shared" si="7"/>
        <v>0.31873000000000001</v>
      </c>
      <c r="H39" s="661">
        <f t="shared" si="12"/>
        <v>0.31873000000000001</v>
      </c>
      <c r="I39" s="661">
        <f t="shared" si="13"/>
        <v>0.31873000000000001</v>
      </c>
      <c r="J39" s="661">
        <f t="shared" si="13"/>
        <v>0.31873000000000001</v>
      </c>
      <c r="K39" s="661">
        <f t="shared" si="13"/>
        <v>0.31873000000000001</v>
      </c>
      <c r="L39" s="661">
        <f t="shared" si="13"/>
        <v>0.31873000000000001</v>
      </c>
      <c r="M39" s="661">
        <f t="shared" si="13"/>
        <v>0.31873000000000001</v>
      </c>
      <c r="N39" s="661">
        <f t="shared" si="13"/>
        <v>0.31873000000000001</v>
      </c>
      <c r="O39" s="661">
        <f t="shared" si="13"/>
        <v>0.31873000000000001</v>
      </c>
      <c r="P39" s="661">
        <f t="shared" si="13"/>
        <v>0.31873000000000001</v>
      </c>
      <c r="Q39" s="661">
        <f t="shared" si="13"/>
        <v>0.31873000000000001</v>
      </c>
      <c r="R39" s="661">
        <f t="shared" si="13"/>
        <v>0.31873000000000001</v>
      </c>
      <c r="S39" s="661">
        <f t="shared" si="13"/>
        <v>0.31873000000000001</v>
      </c>
      <c r="T39" s="661">
        <f t="shared" si="13"/>
        <v>0.31873000000000001</v>
      </c>
      <c r="U39" s="661">
        <f t="shared" si="13"/>
        <v>0.31873000000000001</v>
      </c>
      <c r="V39" s="661">
        <f t="shared" si="13"/>
        <v>0.31873000000000001</v>
      </c>
      <c r="X39" s="307" t="s">
        <v>701</v>
      </c>
      <c r="Y39" s="302">
        <v>251</v>
      </c>
      <c r="AA39" s="107" t="s">
        <v>700</v>
      </c>
      <c r="AB39" s="108">
        <v>193</v>
      </c>
      <c r="AD39" t="str">
        <f t="shared" si="14"/>
        <v>TCARETH</v>
      </c>
      <c r="AE39" t="str">
        <f t="shared" si="9"/>
        <v>TCS</v>
      </c>
      <c r="AF39">
        <f t="shared" si="15"/>
        <v>251</v>
      </c>
      <c r="AG39" s="105">
        <f t="shared" si="10"/>
        <v>6.9722222222222223</v>
      </c>
      <c r="AH39">
        <v>5.83</v>
      </c>
      <c r="AI39" s="105">
        <f t="shared" si="16"/>
        <v>1.1959214789403469</v>
      </c>
      <c r="AJ39" s="105">
        <f t="shared" si="11"/>
        <v>1.4949018486754337</v>
      </c>
    </row>
    <row r="40" spans="2:36" x14ac:dyDescent="0.25">
      <c r="B40" s="186" t="s">
        <v>75</v>
      </c>
      <c r="C40" s="186" t="s">
        <v>532</v>
      </c>
      <c r="D40" s="186"/>
      <c r="E40" s="186"/>
      <c r="F40" s="186" t="s">
        <v>406</v>
      </c>
      <c r="G40" s="660">
        <f t="shared" si="7"/>
        <v>0.38646999999999998</v>
      </c>
      <c r="H40" s="661">
        <f t="shared" si="12"/>
        <v>0.38646999999999998</v>
      </c>
      <c r="I40" s="661">
        <f t="shared" si="13"/>
        <v>0.38646999999999998</v>
      </c>
      <c r="J40" s="661">
        <f t="shared" si="13"/>
        <v>0.38646999999999998</v>
      </c>
      <c r="K40" s="661">
        <f t="shared" si="13"/>
        <v>0.38646999999999998</v>
      </c>
      <c r="L40" s="661">
        <f t="shared" si="13"/>
        <v>0.38646999999999998</v>
      </c>
      <c r="M40" s="661">
        <f t="shared" si="13"/>
        <v>0.38646999999999998</v>
      </c>
      <c r="N40" s="661">
        <f t="shared" si="13"/>
        <v>0.38646999999999998</v>
      </c>
      <c r="O40" s="661">
        <f t="shared" si="13"/>
        <v>0.38646999999999998</v>
      </c>
      <c r="P40" s="661">
        <f t="shared" si="13"/>
        <v>0.38646999999999998</v>
      </c>
      <c r="Q40" s="661">
        <f t="shared" si="13"/>
        <v>0.38646999999999998</v>
      </c>
      <c r="R40" s="661">
        <f t="shared" si="13"/>
        <v>0.38646999999999998</v>
      </c>
      <c r="S40" s="661">
        <f t="shared" si="13"/>
        <v>0.38646999999999998</v>
      </c>
      <c r="T40" s="661">
        <f t="shared" si="13"/>
        <v>0.38646999999999998</v>
      </c>
      <c r="U40" s="661">
        <f t="shared" si="13"/>
        <v>0.38646999999999998</v>
      </c>
      <c r="V40" s="661">
        <f t="shared" si="13"/>
        <v>0.38646999999999998</v>
      </c>
      <c r="X40" s="307" t="s">
        <v>701</v>
      </c>
      <c r="Y40" s="302">
        <v>207</v>
      </c>
      <c r="AA40" s="107" t="s">
        <v>700</v>
      </c>
      <c r="AB40" s="108">
        <v>235</v>
      </c>
      <c r="AD40" t="str">
        <f t="shared" si="14"/>
        <v>TCARGAS</v>
      </c>
      <c r="AE40" t="str">
        <f t="shared" si="9"/>
        <v>TCL</v>
      </c>
      <c r="AF40">
        <f t="shared" si="15"/>
        <v>207</v>
      </c>
      <c r="AG40" s="105">
        <f t="shared" si="10"/>
        <v>5.75</v>
      </c>
      <c r="AH40">
        <v>9.6999999999999993</v>
      </c>
      <c r="AI40" s="105">
        <f t="shared" si="16"/>
        <v>0.59278350515463918</v>
      </c>
      <c r="AJ40" s="105">
        <f t="shared" si="11"/>
        <v>0.740979381443299</v>
      </c>
    </row>
    <row r="41" spans="2:36" x14ac:dyDescent="0.25">
      <c r="B41" s="186" t="s">
        <v>75</v>
      </c>
      <c r="C41" s="186" t="s">
        <v>532</v>
      </c>
      <c r="D41" s="186"/>
      <c r="E41" s="186"/>
      <c r="F41" s="186" t="s">
        <v>408</v>
      </c>
      <c r="G41" s="660">
        <f t="shared" si="7"/>
        <v>0.31873000000000001</v>
      </c>
      <c r="H41" s="661">
        <f t="shared" si="12"/>
        <v>0.31873000000000001</v>
      </c>
      <c r="I41" s="661">
        <f t="shared" si="13"/>
        <v>0.31873000000000001</v>
      </c>
      <c r="J41" s="661">
        <f t="shared" si="13"/>
        <v>0.31873000000000001</v>
      </c>
      <c r="K41" s="661">
        <f t="shared" si="13"/>
        <v>0.31873000000000001</v>
      </c>
      <c r="L41" s="661">
        <f t="shared" si="13"/>
        <v>0.31873000000000001</v>
      </c>
      <c r="M41" s="661">
        <f t="shared" si="13"/>
        <v>0.31873000000000001</v>
      </c>
      <c r="N41" s="661">
        <f t="shared" si="13"/>
        <v>0.31873000000000001</v>
      </c>
      <c r="O41" s="661">
        <f t="shared" si="13"/>
        <v>0.31873000000000001</v>
      </c>
      <c r="P41" s="661">
        <f t="shared" si="13"/>
        <v>0.31873000000000001</v>
      </c>
      <c r="Q41" s="661">
        <f t="shared" si="13"/>
        <v>0.31873000000000001</v>
      </c>
      <c r="R41" s="661">
        <f t="shared" si="13"/>
        <v>0.31873000000000001</v>
      </c>
      <c r="S41" s="661">
        <f t="shared" si="13"/>
        <v>0.31873000000000001</v>
      </c>
      <c r="T41" s="661">
        <f t="shared" si="13"/>
        <v>0.31873000000000001</v>
      </c>
      <c r="U41" s="661">
        <f t="shared" si="13"/>
        <v>0.31873000000000001</v>
      </c>
      <c r="V41" s="661">
        <f t="shared" si="13"/>
        <v>0.31873000000000001</v>
      </c>
      <c r="X41" s="307" t="s">
        <v>701</v>
      </c>
      <c r="Y41" s="302">
        <v>251</v>
      </c>
      <c r="AA41" s="107" t="s">
        <v>700</v>
      </c>
      <c r="AB41" s="108">
        <v>193</v>
      </c>
      <c r="AD41" t="str">
        <f t="shared" si="14"/>
        <v>TCARGAS</v>
      </c>
      <c r="AE41" t="str">
        <f t="shared" si="9"/>
        <v>TCS</v>
      </c>
      <c r="AF41">
        <f t="shared" si="15"/>
        <v>251</v>
      </c>
      <c r="AG41" s="105">
        <f t="shared" si="10"/>
        <v>6.9722222222222223</v>
      </c>
      <c r="AH41">
        <v>9.6999999999999993</v>
      </c>
      <c r="AI41" s="105">
        <f t="shared" si="16"/>
        <v>0.71878579610538385</v>
      </c>
      <c r="AJ41" s="105">
        <f t="shared" si="11"/>
        <v>0.89848224513172981</v>
      </c>
    </row>
    <row r="42" spans="2:36" x14ac:dyDescent="0.25">
      <c r="B42" s="186" t="s">
        <v>75</v>
      </c>
      <c r="C42" s="186" t="s">
        <v>533</v>
      </c>
      <c r="D42" s="186"/>
      <c r="E42" s="186"/>
      <c r="F42" s="186" t="s">
        <v>406</v>
      </c>
      <c r="G42" s="660">
        <f t="shared" si="7"/>
        <v>0.37208999999999998</v>
      </c>
      <c r="H42" s="661">
        <f t="shared" si="12"/>
        <v>0.37208999999999998</v>
      </c>
      <c r="I42" s="661">
        <f t="shared" si="13"/>
        <v>0.37208999999999998</v>
      </c>
      <c r="J42" s="661">
        <f t="shared" si="13"/>
        <v>0.37208999999999998</v>
      </c>
      <c r="K42" s="661">
        <f t="shared" si="13"/>
        <v>0.37208999999999998</v>
      </c>
      <c r="L42" s="661">
        <f t="shared" si="13"/>
        <v>0.37208999999999998</v>
      </c>
      <c r="M42" s="661">
        <f t="shared" si="13"/>
        <v>0.37208999999999998</v>
      </c>
      <c r="N42" s="661">
        <f t="shared" si="13"/>
        <v>0.37208999999999998</v>
      </c>
      <c r="O42" s="661">
        <f t="shared" si="13"/>
        <v>0.37208999999999998</v>
      </c>
      <c r="P42" s="661">
        <f t="shared" si="13"/>
        <v>0.37208999999999998</v>
      </c>
      <c r="Q42" s="661">
        <f t="shared" si="13"/>
        <v>0.37208999999999998</v>
      </c>
      <c r="R42" s="661">
        <f t="shared" si="13"/>
        <v>0.37208999999999998</v>
      </c>
      <c r="S42" s="661">
        <f t="shared" si="13"/>
        <v>0.37208999999999998</v>
      </c>
      <c r="T42" s="661">
        <f t="shared" si="13"/>
        <v>0.37208999999999998</v>
      </c>
      <c r="U42" s="661">
        <f t="shared" si="13"/>
        <v>0.37208999999999998</v>
      </c>
      <c r="V42" s="661">
        <f t="shared" si="13"/>
        <v>0.37208999999999998</v>
      </c>
      <c r="X42" s="307" t="s">
        <v>699</v>
      </c>
      <c r="Y42" s="302">
        <v>215</v>
      </c>
      <c r="AA42" s="107" t="s">
        <v>700</v>
      </c>
      <c r="AB42" s="108">
        <v>235</v>
      </c>
      <c r="AD42" t="str">
        <f t="shared" si="14"/>
        <v>TCARGSL</v>
      </c>
      <c r="AE42" t="str">
        <f t="shared" si="9"/>
        <v>TCL</v>
      </c>
      <c r="AF42">
        <f t="shared" si="15"/>
        <v>215</v>
      </c>
      <c r="AG42" s="105">
        <f t="shared" si="10"/>
        <v>5.9722222222222223</v>
      </c>
      <c r="AH42">
        <v>9.1</v>
      </c>
      <c r="AI42" s="105">
        <f t="shared" si="16"/>
        <v>0.65628815628815629</v>
      </c>
      <c r="AJ42" s="105">
        <f t="shared" si="11"/>
        <v>0.82036019536019533</v>
      </c>
    </row>
    <row r="43" spans="2:36" x14ac:dyDescent="0.25">
      <c r="B43" s="186" t="s">
        <v>75</v>
      </c>
      <c r="C43" s="186" t="s">
        <v>533</v>
      </c>
      <c r="D43" s="186"/>
      <c r="E43" s="186"/>
      <c r="F43" s="186" t="s">
        <v>408</v>
      </c>
      <c r="G43" s="660">
        <f t="shared" si="7"/>
        <v>0.30188999999999999</v>
      </c>
      <c r="H43" s="661">
        <f t="shared" si="12"/>
        <v>0.30188999999999999</v>
      </c>
      <c r="I43" s="661">
        <f t="shared" si="13"/>
        <v>0.30188999999999999</v>
      </c>
      <c r="J43" s="661">
        <f t="shared" si="13"/>
        <v>0.30188999999999999</v>
      </c>
      <c r="K43" s="661">
        <f t="shared" si="13"/>
        <v>0.30188999999999999</v>
      </c>
      <c r="L43" s="661">
        <f t="shared" si="13"/>
        <v>0.30188999999999999</v>
      </c>
      <c r="M43" s="661">
        <f t="shared" si="13"/>
        <v>0.30188999999999999</v>
      </c>
      <c r="N43" s="661">
        <f t="shared" si="13"/>
        <v>0.30188999999999999</v>
      </c>
      <c r="O43" s="661">
        <f t="shared" si="13"/>
        <v>0.30188999999999999</v>
      </c>
      <c r="P43" s="661">
        <f t="shared" si="13"/>
        <v>0.30188999999999999</v>
      </c>
      <c r="Q43" s="661">
        <f t="shared" si="13"/>
        <v>0.30188999999999999</v>
      </c>
      <c r="R43" s="661">
        <f t="shared" si="13"/>
        <v>0.30188999999999999</v>
      </c>
      <c r="S43" s="661">
        <f t="shared" si="13"/>
        <v>0.30188999999999999</v>
      </c>
      <c r="T43" s="661">
        <f t="shared" si="13"/>
        <v>0.30188999999999999</v>
      </c>
      <c r="U43" s="661">
        <f t="shared" si="13"/>
        <v>0.30188999999999999</v>
      </c>
      <c r="V43" s="661">
        <f t="shared" si="13"/>
        <v>0.30188999999999999</v>
      </c>
      <c r="X43" s="307" t="s">
        <v>699</v>
      </c>
      <c r="Y43" s="302">
        <v>265</v>
      </c>
      <c r="AA43" s="107" t="s">
        <v>700</v>
      </c>
      <c r="AB43" s="108">
        <v>193</v>
      </c>
      <c r="AD43" t="str">
        <f t="shared" si="14"/>
        <v>TCARGSL</v>
      </c>
      <c r="AE43" t="str">
        <f t="shared" si="9"/>
        <v>TCS</v>
      </c>
      <c r="AF43">
        <f t="shared" si="15"/>
        <v>265</v>
      </c>
      <c r="AG43" s="105">
        <f t="shared" si="10"/>
        <v>7.3611111111111107</v>
      </c>
      <c r="AH43">
        <v>9.1</v>
      </c>
      <c r="AI43" s="105">
        <f t="shared" si="16"/>
        <v>0.80891330891330893</v>
      </c>
      <c r="AJ43" s="105">
        <f t="shared" si="11"/>
        <v>1.0111416361416361</v>
      </c>
    </row>
    <row r="44" spans="2:36" x14ac:dyDescent="0.25">
      <c r="B44" s="186" t="s">
        <v>75</v>
      </c>
      <c r="C44" s="186" t="s">
        <v>534</v>
      </c>
      <c r="D44" s="186"/>
      <c r="E44" s="186"/>
      <c r="F44" s="186" t="s">
        <v>406</v>
      </c>
      <c r="G44" s="660">
        <f t="shared" si="7"/>
        <v>0.53332999999999997</v>
      </c>
      <c r="H44" s="661">
        <f t="shared" si="12"/>
        <v>0.53332999999999997</v>
      </c>
      <c r="I44" s="661">
        <f t="shared" si="13"/>
        <v>0.53332999999999997</v>
      </c>
      <c r="J44" s="661">
        <f t="shared" si="13"/>
        <v>0.53332999999999997</v>
      </c>
      <c r="K44" s="661">
        <f t="shared" si="13"/>
        <v>0.53332999999999997</v>
      </c>
      <c r="L44" s="661">
        <f t="shared" si="13"/>
        <v>0.53332999999999997</v>
      </c>
      <c r="M44" s="661">
        <f t="shared" si="13"/>
        <v>0.53332999999999997</v>
      </c>
      <c r="N44" s="661">
        <f t="shared" si="13"/>
        <v>0.53332999999999997</v>
      </c>
      <c r="O44" s="661">
        <f t="shared" si="13"/>
        <v>0.53332999999999997</v>
      </c>
      <c r="P44" s="661">
        <f t="shared" si="13"/>
        <v>0.53332999999999997</v>
      </c>
      <c r="Q44" s="661">
        <f t="shared" si="13"/>
        <v>0.53332999999999997</v>
      </c>
      <c r="R44" s="661">
        <f t="shared" si="13"/>
        <v>0.53332999999999997</v>
      </c>
      <c r="S44" s="661">
        <f t="shared" si="13"/>
        <v>0.53332999999999997</v>
      </c>
      <c r="T44" s="661">
        <f t="shared" si="13"/>
        <v>0.53332999999999997</v>
      </c>
      <c r="U44" s="661">
        <f t="shared" si="13"/>
        <v>0.53332999999999997</v>
      </c>
      <c r="V44" s="661">
        <f t="shared" si="13"/>
        <v>0.53332999999999997</v>
      </c>
      <c r="X44" s="307" t="s">
        <v>699</v>
      </c>
      <c r="Y44" s="302">
        <v>150</v>
      </c>
      <c r="AA44" s="107" t="s">
        <v>700</v>
      </c>
      <c r="AB44" s="108">
        <v>161</v>
      </c>
      <c r="AD44" t="str">
        <f t="shared" si="14"/>
        <v>TCARHYD</v>
      </c>
      <c r="AE44" t="str">
        <f t="shared" si="9"/>
        <v>TCL</v>
      </c>
      <c r="AF44">
        <f t="shared" si="15"/>
        <v>150</v>
      </c>
      <c r="AG44" s="105">
        <f t="shared" si="10"/>
        <v>4.166666666666667</v>
      </c>
      <c r="AH44">
        <v>9.8000000000000007</v>
      </c>
      <c r="AI44" s="105">
        <f t="shared" si="16"/>
        <v>0.42517006802721086</v>
      </c>
      <c r="AJ44" s="105">
        <f t="shared" si="11"/>
        <v>0.53146258503401356</v>
      </c>
    </row>
    <row r="45" spans="2:36" x14ac:dyDescent="0.25">
      <c r="B45" s="186" t="s">
        <v>75</v>
      </c>
      <c r="C45" s="186" t="s">
        <v>534</v>
      </c>
      <c r="D45" s="186"/>
      <c r="E45" s="186"/>
      <c r="F45" s="186" t="s">
        <v>408</v>
      </c>
      <c r="G45" s="660">
        <f t="shared" si="7"/>
        <v>0.47059000000000001</v>
      </c>
      <c r="H45" s="661">
        <f t="shared" si="12"/>
        <v>0.47059000000000001</v>
      </c>
      <c r="I45" s="661">
        <f t="shared" ref="I45:V54" si="17">$H45</f>
        <v>0.47059000000000001</v>
      </c>
      <c r="J45" s="661">
        <f t="shared" si="17"/>
        <v>0.47059000000000001</v>
      </c>
      <c r="K45" s="661">
        <f t="shared" si="17"/>
        <v>0.47059000000000001</v>
      </c>
      <c r="L45" s="661">
        <f t="shared" si="17"/>
        <v>0.47059000000000001</v>
      </c>
      <c r="M45" s="661">
        <f t="shared" si="17"/>
        <v>0.47059000000000001</v>
      </c>
      <c r="N45" s="661">
        <f t="shared" si="17"/>
        <v>0.47059000000000001</v>
      </c>
      <c r="O45" s="661">
        <f t="shared" si="17"/>
        <v>0.47059000000000001</v>
      </c>
      <c r="P45" s="661">
        <f t="shared" si="17"/>
        <v>0.47059000000000001</v>
      </c>
      <c r="Q45" s="661">
        <f t="shared" si="17"/>
        <v>0.47059000000000001</v>
      </c>
      <c r="R45" s="661">
        <f t="shared" si="17"/>
        <v>0.47059000000000001</v>
      </c>
      <c r="S45" s="661">
        <f t="shared" si="17"/>
        <v>0.47059000000000001</v>
      </c>
      <c r="T45" s="661">
        <f t="shared" si="17"/>
        <v>0.47059000000000001</v>
      </c>
      <c r="U45" s="661">
        <f t="shared" si="17"/>
        <v>0.47059000000000001</v>
      </c>
      <c r="V45" s="661">
        <f t="shared" si="17"/>
        <v>0.47059000000000001</v>
      </c>
      <c r="X45" s="307" t="s">
        <v>699</v>
      </c>
      <c r="Y45" s="302">
        <v>170</v>
      </c>
      <c r="AA45" s="107" t="s">
        <v>700</v>
      </c>
      <c r="AB45" s="108">
        <v>141</v>
      </c>
      <c r="AD45" t="str">
        <f t="shared" si="14"/>
        <v>TCARHYD</v>
      </c>
      <c r="AE45" t="str">
        <f t="shared" si="9"/>
        <v>TCS</v>
      </c>
      <c r="AF45">
        <f t="shared" si="15"/>
        <v>170</v>
      </c>
      <c r="AG45" s="105">
        <f t="shared" si="10"/>
        <v>4.7222222222222223</v>
      </c>
      <c r="AH45">
        <v>9.8000000000000007</v>
      </c>
      <c r="AI45" s="105">
        <f t="shared" si="16"/>
        <v>0.48185941043083896</v>
      </c>
      <c r="AJ45" s="105">
        <f t="shared" si="11"/>
        <v>0.60232426303854869</v>
      </c>
    </row>
    <row r="46" spans="2:36" x14ac:dyDescent="0.25">
      <c r="B46" s="186" t="s">
        <v>75</v>
      </c>
      <c r="C46" s="186" t="s">
        <v>535</v>
      </c>
      <c r="D46" s="186"/>
      <c r="E46" s="186"/>
      <c r="F46" s="186" t="s">
        <v>406</v>
      </c>
      <c r="G46" s="660">
        <f t="shared" si="7"/>
        <v>0.47904000000000002</v>
      </c>
      <c r="H46" s="661">
        <f t="shared" si="12"/>
        <v>0.47904000000000002</v>
      </c>
      <c r="I46" s="661">
        <f t="shared" si="17"/>
        <v>0.47904000000000002</v>
      </c>
      <c r="J46" s="661">
        <f t="shared" si="17"/>
        <v>0.47904000000000002</v>
      </c>
      <c r="K46" s="661">
        <f t="shared" si="17"/>
        <v>0.47904000000000002</v>
      </c>
      <c r="L46" s="661">
        <f t="shared" si="17"/>
        <v>0.47904000000000002</v>
      </c>
      <c r="M46" s="661">
        <f t="shared" si="17"/>
        <v>0.47904000000000002</v>
      </c>
      <c r="N46" s="661">
        <f t="shared" si="17"/>
        <v>0.47904000000000002</v>
      </c>
      <c r="O46" s="661">
        <f t="shared" si="17"/>
        <v>0.47904000000000002</v>
      </c>
      <c r="P46" s="661">
        <f t="shared" si="17"/>
        <v>0.47904000000000002</v>
      </c>
      <c r="Q46" s="661">
        <f t="shared" si="17"/>
        <v>0.47904000000000002</v>
      </c>
      <c r="R46" s="661">
        <f t="shared" si="17"/>
        <v>0.47904000000000002</v>
      </c>
      <c r="S46" s="661">
        <f t="shared" si="17"/>
        <v>0.47904000000000002</v>
      </c>
      <c r="T46" s="661">
        <f t="shared" si="17"/>
        <v>0.47904000000000002</v>
      </c>
      <c r="U46" s="661">
        <f t="shared" si="17"/>
        <v>0.47904000000000002</v>
      </c>
      <c r="V46" s="661">
        <f t="shared" si="17"/>
        <v>0.47904000000000002</v>
      </c>
      <c r="X46" s="307" t="s">
        <v>699</v>
      </c>
      <c r="Y46" s="302">
        <v>167</v>
      </c>
      <c r="AA46" s="107" t="s">
        <v>700</v>
      </c>
      <c r="AB46" s="108">
        <v>191</v>
      </c>
      <c r="AD46" t="str">
        <f t="shared" si="14"/>
        <v>TCARHYG</v>
      </c>
      <c r="AE46" t="str">
        <f t="shared" si="9"/>
        <v>TCL</v>
      </c>
      <c r="AF46">
        <f t="shared" si="15"/>
        <v>167</v>
      </c>
      <c r="AG46" s="105">
        <f t="shared" si="10"/>
        <v>4.6388888888888884</v>
      </c>
      <c r="AH46">
        <v>9.1</v>
      </c>
      <c r="AI46" s="105">
        <f t="shared" si="16"/>
        <v>0.50976800976800973</v>
      </c>
      <c r="AJ46" s="105">
        <f t="shared" si="11"/>
        <v>0.63721001221001217</v>
      </c>
    </row>
    <row r="47" spans="2:36" x14ac:dyDescent="0.25">
      <c r="B47" s="186" t="s">
        <v>75</v>
      </c>
      <c r="C47" s="186" t="s">
        <v>535</v>
      </c>
      <c r="D47" s="186"/>
      <c r="E47" s="186"/>
      <c r="F47" s="186" t="s">
        <v>408</v>
      </c>
      <c r="G47" s="660">
        <f t="shared" si="7"/>
        <v>0.39604</v>
      </c>
      <c r="H47" s="661">
        <f t="shared" si="12"/>
        <v>0.39604</v>
      </c>
      <c r="I47" s="661">
        <f t="shared" si="17"/>
        <v>0.39604</v>
      </c>
      <c r="J47" s="661">
        <f t="shared" si="17"/>
        <v>0.39604</v>
      </c>
      <c r="K47" s="661">
        <f t="shared" si="17"/>
        <v>0.39604</v>
      </c>
      <c r="L47" s="661">
        <f t="shared" si="17"/>
        <v>0.39604</v>
      </c>
      <c r="M47" s="661">
        <f t="shared" si="17"/>
        <v>0.39604</v>
      </c>
      <c r="N47" s="661">
        <f t="shared" si="17"/>
        <v>0.39604</v>
      </c>
      <c r="O47" s="661">
        <f t="shared" si="17"/>
        <v>0.39604</v>
      </c>
      <c r="P47" s="661">
        <f t="shared" si="17"/>
        <v>0.39604</v>
      </c>
      <c r="Q47" s="661">
        <f t="shared" si="17"/>
        <v>0.39604</v>
      </c>
      <c r="R47" s="661">
        <f t="shared" si="17"/>
        <v>0.39604</v>
      </c>
      <c r="S47" s="661">
        <f t="shared" si="17"/>
        <v>0.39604</v>
      </c>
      <c r="T47" s="661">
        <f t="shared" si="17"/>
        <v>0.39604</v>
      </c>
      <c r="U47" s="661">
        <f t="shared" si="17"/>
        <v>0.39604</v>
      </c>
      <c r="V47" s="661">
        <f t="shared" si="17"/>
        <v>0.39604</v>
      </c>
      <c r="X47" s="307" t="s">
        <v>699</v>
      </c>
      <c r="Y47" s="302">
        <v>202</v>
      </c>
      <c r="AA47" s="107" t="s">
        <v>700</v>
      </c>
      <c r="AB47" s="108">
        <v>157</v>
      </c>
      <c r="AD47" t="str">
        <f t="shared" si="14"/>
        <v>TCARHYG</v>
      </c>
      <c r="AE47" t="str">
        <f t="shared" si="9"/>
        <v>TCS</v>
      </c>
      <c r="AF47">
        <f t="shared" si="15"/>
        <v>202</v>
      </c>
      <c r="AG47" s="105">
        <f t="shared" si="10"/>
        <v>5.6111111111111107</v>
      </c>
      <c r="AH47">
        <v>9.1</v>
      </c>
      <c r="AI47" s="105">
        <f t="shared" si="16"/>
        <v>0.61660561660561664</v>
      </c>
      <c r="AJ47" s="105">
        <f t="shared" si="11"/>
        <v>0.77075702075702079</v>
      </c>
    </row>
    <row r="48" spans="2:36" x14ac:dyDescent="0.25">
      <c r="B48" s="186" t="s">
        <v>75</v>
      </c>
      <c r="C48" s="186" t="s">
        <v>536</v>
      </c>
      <c r="D48" s="186"/>
      <c r="E48" s="186"/>
      <c r="F48" s="186" t="s">
        <v>406</v>
      </c>
      <c r="G48" s="660">
        <f t="shared" si="7"/>
        <v>0.38646999999999998</v>
      </c>
      <c r="H48" s="661">
        <f t="shared" si="12"/>
        <v>0.38646999999999998</v>
      </c>
      <c r="I48" s="661">
        <f t="shared" si="17"/>
        <v>0.38646999999999998</v>
      </c>
      <c r="J48" s="661">
        <f t="shared" si="17"/>
        <v>0.38646999999999998</v>
      </c>
      <c r="K48" s="661">
        <f t="shared" si="17"/>
        <v>0.38646999999999998</v>
      </c>
      <c r="L48" s="661">
        <f t="shared" si="17"/>
        <v>0.38646999999999998</v>
      </c>
      <c r="M48" s="661">
        <f t="shared" si="17"/>
        <v>0.38646999999999998</v>
      </c>
      <c r="N48" s="661">
        <f t="shared" si="17"/>
        <v>0.38646999999999998</v>
      </c>
      <c r="O48" s="661">
        <f t="shared" si="17"/>
        <v>0.38646999999999998</v>
      </c>
      <c r="P48" s="661">
        <f t="shared" si="17"/>
        <v>0.38646999999999998</v>
      </c>
      <c r="Q48" s="661">
        <f t="shared" si="17"/>
        <v>0.38646999999999998</v>
      </c>
      <c r="R48" s="661">
        <f t="shared" si="17"/>
        <v>0.38646999999999998</v>
      </c>
      <c r="S48" s="661">
        <f t="shared" si="17"/>
        <v>0.38646999999999998</v>
      </c>
      <c r="T48" s="661">
        <f t="shared" si="17"/>
        <v>0.38646999999999998</v>
      </c>
      <c r="U48" s="661">
        <f t="shared" si="17"/>
        <v>0.38646999999999998</v>
      </c>
      <c r="V48" s="661">
        <f t="shared" si="17"/>
        <v>0.38646999999999998</v>
      </c>
      <c r="X48" s="307" t="s">
        <v>701</v>
      </c>
      <c r="Y48" s="302">
        <v>207</v>
      </c>
      <c r="AA48" s="107" t="s">
        <v>700</v>
      </c>
      <c r="AB48" s="108">
        <v>235</v>
      </c>
      <c r="AD48" t="str">
        <f t="shared" si="14"/>
        <v>TCARLPG</v>
      </c>
      <c r="AE48" t="str">
        <f t="shared" si="9"/>
        <v>TCL</v>
      </c>
      <c r="AF48">
        <f t="shared" si="15"/>
        <v>207</v>
      </c>
      <c r="AG48" s="105">
        <f t="shared" si="10"/>
        <v>5.75</v>
      </c>
      <c r="AH48">
        <v>12.79</v>
      </c>
      <c r="AI48" s="105">
        <f t="shared" si="16"/>
        <v>0.44956997654417519</v>
      </c>
      <c r="AJ48" s="105">
        <f t="shared" si="11"/>
        <v>0.56196247068021898</v>
      </c>
    </row>
    <row r="49" spans="1:36" x14ac:dyDescent="0.25">
      <c r="B49" s="186" t="s">
        <v>75</v>
      </c>
      <c r="C49" s="186" t="s">
        <v>536</v>
      </c>
      <c r="D49" s="186"/>
      <c r="E49" s="186"/>
      <c r="F49" s="186" t="s">
        <v>408</v>
      </c>
      <c r="G49" s="660">
        <f t="shared" si="7"/>
        <v>0.31873000000000001</v>
      </c>
      <c r="H49" s="661">
        <f t="shared" si="12"/>
        <v>0.31873000000000001</v>
      </c>
      <c r="I49" s="661">
        <f t="shared" si="17"/>
        <v>0.31873000000000001</v>
      </c>
      <c r="J49" s="661">
        <f t="shared" si="17"/>
        <v>0.31873000000000001</v>
      </c>
      <c r="K49" s="661">
        <f t="shared" si="17"/>
        <v>0.31873000000000001</v>
      </c>
      <c r="L49" s="661">
        <f t="shared" si="17"/>
        <v>0.31873000000000001</v>
      </c>
      <c r="M49" s="661">
        <f t="shared" si="17"/>
        <v>0.31873000000000001</v>
      </c>
      <c r="N49" s="661">
        <f t="shared" si="17"/>
        <v>0.31873000000000001</v>
      </c>
      <c r="O49" s="661">
        <f t="shared" si="17"/>
        <v>0.31873000000000001</v>
      </c>
      <c r="P49" s="661">
        <f t="shared" si="17"/>
        <v>0.31873000000000001</v>
      </c>
      <c r="Q49" s="661">
        <f t="shared" si="17"/>
        <v>0.31873000000000001</v>
      </c>
      <c r="R49" s="661">
        <f t="shared" si="17"/>
        <v>0.31873000000000001</v>
      </c>
      <c r="S49" s="661">
        <f t="shared" si="17"/>
        <v>0.31873000000000001</v>
      </c>
      <c r="T49" s="661">
        <f t="shared" si="17"/>
        <v>0.31873000000000001</v>
      </c>
      <c r="U49" s="661">
        <f t="shared" si="17"/>
        <v>0.31873000000000001</v>
      </c>
      <c r="V49" s="661">
        <f t="shared" si="17"/>
        <v>0.31873000000000001</v>
      </c>
      <c r="X49" s="307" t="s">
        <v>701</v>
      </c>
      <c r="Y49" s="302">
        <v>251</v>
      </c>
      <c r="AA49" s="107" t="s">
        <v>700</v>
      </c>
      <c r="AB49" s="108">
        <v>193</v>
      </c>
      <c r="AD49" t="str">
        <f t="shared" si="14"/>
        <v>TCARLPG</v>
      </c>
      <c r="AE49" t="str">
        <f t="shared" si="9"/>
        <v>TCS</v>
      </c>
      <c r="AF49">
        <f t="shared" si="15"/>
        <v>251</v>
      </c>
      <c r="AG49" s="105">
        <f t="shared" si="10"/>
        <v>6.9722222222222223</v>
      </c>
      <c r="AH49">
        <v>12.79</v>
      </c>
      <c r="AI49" s="105">
        <f t="shared" si="16"/>
        <v>0.54513074450525589</v>
      </c>
      <c r="AJ49" s="105">
        <f t="shared" si="11"/>
        <v>0.68141343063156989</v>
      </c>
    </row>
    <row r="50" spans="1:36" s="19" customFormat="1" x14ac:dyDescent="0.25">
      <c r="B50" s="186" t="s">
        <v>75</v>
      </c>
      <c r="C50" s="186" t="s">
        <v>537</v>
      </c>
      <c r="D50" s="186"/>
      <c r="E50" s="186"/>
      <c r="F50" s="186" t="s">
        <v>406</v>
      </c>
      <c r="G50" s="660">
        <f t="shared" si="7"/>
        <v>0.68376000000000003</v>
      </c>
      <c r="H50" s="661">
        <f t="shared" si="12"/>
        <v>0.68376000000000003</v>
      </c>
      <c r="I50" s="661">
        <f t="shared" si="17"/>
        <v>0.68376000000000003</v>
      </c>
      <c r="J50" s="661">
        <f t="shared" si="17"/>
        <v>0.68376000000000003</v>
      </c>
      <c r="K50" s="661">
        <f t="shared" si="17"/>
        <v>0.68376000000000003</v>
      </c>
      <c r="L50" s="661">
        <f t="shared" si="17"/>
        <v>0.68376000000000003</v>
      </c>
      <c r="M50" s="661">
        <f t="shared" si="17"/>
        <v>0.68376000000000003</v>
      </c>
      <c r="N50" s="661">
        <f t="shared" si="17"/>
        <v>0.68376000000000003</v>
      </c>
      <c r="O50" s="661">
        <f t="shared" si="17"/>
        <v>0.68376000000000003</v>
      </c>
      <c r="P50" s="661">
        <f t="shared" si="17"/>
        <v>0.68376000000000003</v>
      </c>
      <c r="Q50" s="661">
        <f t="shared" si="17"/>
        <v>0.68376000000000003</v>
      </c>
      <c r="R50" s="661">
        <f t="shared" si="17"/>
        <v>0.68376000000000003</v>
      </c>
      <c r="S50" s="661">
        <f t="shared" si="17"/>
        <v>0.68376000000000003</v>
      </c>
      <c r="T50" s="661">
        <f t="shared" si="17"/>
        <v>0.68376000000000003</v>
      </c>
      <c r="U50" s="661">
        <f t="shared" si="17"/>
        <v>0.68376000000000003</v>
      </c>
      <c r="V50" s="661">
        <f t="shared" si="17"/>
        <v>0.68376000000000003</v>
      </c>
      <c r="X50" s="307" t="s">
        <v>699</v>
      </c>
      <c r="Y50" s="302">
        <v>117</v>
      </c>
      <c r="AA50" s="107" t="s">
        <v>700</v>
      </c>
      <c r="AB50" s="108">
        <v>92</v>
      </c>
      <c r="AD50" t="str">
        <f t="shared" si="14"/>
        <v>TCARPYD</v>
      </c>
      <c r="AE50" t="str">
        <f t="shared" si="9"/>
        <v>TCL</v>
      </c>
      <c r="AF50">
        <f t="shared" si="15"/>
        <v>117</v>
      </c>
      <c r="AG50" s="105">
        <f t="shared" si="10"/>
        <v>3.2499999999999996</v>
      </c>
      <c r="AH50" s="19">
        <v>9.8000000000000007</v>
      </c>
      <c r="AI50" s="105">
        <f t="shared" si="16"/>
        <v>0.33163265306122441</v>
      </c>
      <c r="AJ50" s="105">
        <f t="shared" si="11"/>
        <v>0.4145408163265305</v>
      </c>
    </row>
    <row r="51" spans="1:36" s="19" customFormat="1" x14ac:dyDescent="0.25">
      <c r="B51" s="186" t="s">
        <v>75</v>
      </c>
      <c r="C51" s="186" t="s">
        <v>537</v>
      </c>
      <c r="D51" s="186"/>
      <c r="E51" s="186"/>
      <c r="F51" s="186" t="s">
        <v>408</v>
      </c>
      <c r="G51" s="660">
        <f t="shared" si="7"/>
        <v>0.87912000000000001</v>
      </c>
      <c r="H51" s="661">
        <f t="shared" si="12"/>
        <v>0.87912000000000001</v>
      </c>
      <c r="I51" s="661">
        <f t="shared" si="17"/>
        <v>0.87912000000000001</v>
      </c>
      <c r="J51" s="661">
        <f t="shared" si="17"/>
        <v>0.87912000000000001</v>
      </c>
      <c r="K51" s="661">
        <f t="shared" si="17"/>
        <v>0.87912000000000001</v>
      </c>
      <c r="L51" s="661">
        <f t="shared" si="17"/>
        <v>0.87912000000000001</v>
      </c>
      <c r="M51" s="661">
        <f t="shared" si="17"/>
        <v>0.87912000000000001</v>
      </c>
      <c r="N51" s="661">
        <f t="shared" si="17"/>
        <v>0.87912000000000001</v>
      </c>
      <c r="O51" s="661">
        <f t="shared" si="17"/>
        <v>0.87912000000000001</v>
      </c>
      <c r="P51" s="661">
        <f t="shared" si="17"/>
        <v>0.87912000000000001</v>
      </c>
      <c r="Q51" s="661">
        <f t="shared" si="17"/>
        <v>0.87912000000000001</v>
      </c>
      <c r="R51" s="661">
        <f t="shared" si="17"/>
        <v>0.87912000000000001</v>
      </c>
      <c r="S51" s="661">
        <f t="shared" si="17"/>
        <v>0.87912000000000001</v>
      </c>
      <c r="T51" s="661">
        <f t="shared" si="17"/>
        <v>0.87912000000000001</v>
      </c>
      <c r="U51" s="661">
        <f t="shared" si="17"/>
        <v>0.87912000000000001</v>
      </c>
      <c r="V51" s="661">
        <f t="shared" si="17"/>
        <v>0.87912000000000001</v>
      </c>
      <c r="X51" s="307" t="s">
        <v>699</v>
      </c>
      <c r="Y51" s="302">
        <v>91</v>
      </c>
      <c r="AA51" s="107" t="s">
        <v>700</v>
      </c>
      <c r="AB51" s="108">
        <v>117</v>
      </c>
      <c r="AD51" t="str">
        <f t="shared" si="14"/>
        <v>TCARPYD</v>
      </c>
      <c r="AE51" t="str">
        <f t="shared" si="9"/>
        <v>TCS</v>
      </c>
      <c r="AF51">
        <f t="shared" si="15"/>
        <v>91</v>
      </c>
      <c r="AG51" s="105">
        <f t="shared" si="10"/>
        <v>2.5277777777777777</v>
      </c>
      <c r="AH51" s="19">
        <v>9.8000000000000007</v>
      </c>
      <c r="AI51" s="105">
        <f t="shared" si="16"/>
        <v>0.25793650793650791</v>
      </c>
      <c r="AJ51" s="105">
        <f t="shared" si="11"/>
        <v>0.32242063492063489</v>
      </c>
    </row>
    <row r="52" spans="1:36" s="19" customFormat="1" x14ac:dyDescent="0.25">
      <c r="B52" s="186" t="s">
        <v>75</v>
      </c>
      <c r="C52" s="186" t="s">
        <v>538</v>
      </c>
      <c r="D52" s="186"/>
      <c r="E52" s="186"/>
      <c r="F52" s="186" t="s">
        <v>406</v>
      </c>
      <c r="G52" s="660">
        <f t="shared" si="7"/>
        <v>0.72726999999999997</v>
      </c>
      <c r="H52" s="661">
        <f t="shared" si="12"/>
        <v>0.72726999999999997</v>
      </c>
      <c r="I52" s="661">
        <f t="shared" si="17"/>
        <v>0.72726999999999997</v>
      </c>
      <c r="J52" s="661">
        <f t="shared" si="17"/>
        <v>0.72726999999999997</v>
      </c>
      <c r="K52" s="661">
        <f t="shared" si="17"/>
        <v>0.72726999999999997</v>
      </c>
      <c r="L52" s="661">
        <f t="shared" si="17"/>
        <v>0.72726999999999997</v>
      </c>
      <c r="M52" s="661">
        <f t="shared" si="17"/>
        <v>0.72726999999999997</v>
      </c>
      <c r="N52" s="661">
        <f t="shared" si="17"/>
        <v>0.72726999999999997</v>
      </c>
      <c r="O52" s="661">
        <f t="shared" si="17"/>
        <v>0.72726999999999997</v>
      </c>
      <c r="P52" s="661">
        <f t="shared" si="17"/>
        <v>0.72726999999999997</v>
      </c>
      <c r="Q52" s="661">
        <f t="shared" si="17"/>
        <v>0.72726999999999997</v>
      </c>
      <c r="R52" s="661">
        <f t="shared" si="17"/>
        <v>0.72726999999999997</v>
      </c>
      <c r="S52" s="661">
        <f t="shared" si="17"/>
        <v>0.72726999999999997</v>
      </c>
      <c r="T52" s="661">
        <f t="shared" si="17"/>
        <v>0.72726999999999997</v>
      </c>
      <c r="U52" s="661">
        <f t="shared" si="17"/>
        <v>0.72726999999999997</v>
      </c>
      <c r="V52" s="661">
        <f t="shared" si="17"/>
        <v>0.72726999999999997</v>
      </c>
      <c r="X52" s="307" t="s">
        <v>699</v>
      </c>
      <c r="Y52" s="302">
        <v>110</v>
      </c>
      <c r="AA52" s="107" t="s">
        <v>700</v>
      </c>
      <c r="AB52" s="108">
        <v>99</v>
      </c>
      <c r="AD52" t="str">
        <f t="shared" si="14"/>
        <v>TCARPYG</v>
      </c>
      <c r="AE52" t="str">
        <f t="shared" si="9"/>
        <v>TCL</v>
      </c>
      <c r="AF52">
        <f t="shared" si="15"/>
        <v>110</v>
      </c>
      <c r="AG52" s="105">
        <f t="shared" si="10"/>
        <v>3.0555555555555554</v>
      </c>
      <c r="AH52" s="19">
        <v>9.1</v>
      </c>
      <c r="AI52" s="105">
        <f t="shared" si="16"/>
        <v>0.33577533577533575</v>
      </c>
      <c r="AJ52" s="105">
        <f t="shared" si="11"/>
        <v>0.41971916971916967</v>
      </c>
    </row>
    <row r="53" spans="1:36" s="19" customFormat="1" x14ac:dyDescent="0.25">
      <c r="B53" s="546" t="s">
        <v>75</v>
      </c>
      <c r="C53" s="546" t="s">
        <v>538</v>
      </c>
      <c r="D53" s="546"/>
      <c r="E53" s="546"/>
      <c r="F53" s="546" t="s">
        <v>408</v>
      </c>
      <c r="G53" s="669">
        <f t="shared" si="7"/>
        <v>0.82474000000000003</v>
      </c>
      <c r="H53" s="662">
        <f t="shared" si="12"/>
        <v>0.82474000000000003</v>
      </c>
      <c r="I53" s="662">
        <f t="shared" si="17"/>
        <v>0.82474000000000003</v>
      </c>
      <c r="J53" s="662">
        <f t="shared" si="17"/>
        <v>0.82474000000000003</v>
      </c>
      <c r="K53" s="662">
        <f t="shared" si="17"/>
        <v>0.82474000000000003</v>
      </c>
      <c r="L53" s="662">
        <f t="shared" si="17"/>
        <v>0.82474000000000003</v>
      </c>
      <c r="M53" s="662">
        <f t="shared" si="17"/>
        <v>0.82474000000000003</v>
      </c>
      <c r="N53" s="662">
        <f t="shared" si="17"/>
        <v>0.82474000000000003</v>
      </c>
      <c r="O53" s="662">
        <f t="shared" si="17"/>
        <v>0.82474000000000003</v>
      </c>
      <c r="P53" s="662">
        <f t="shared" si="17"/>
        <v>0.82474000000000003</v>
      </c>
      <c r="Q53" s="662">
        <f t="shared" si="17"/>
        <v>0.82474000000000003</v>
      </c>
      <c r="R53" s="662">
        <f t="shared" si="17"/>
        <v>0.82474000000000003</v>
      </c>
      <c r="S53" s="662">
        <f t="shared" si="17"/>
        <v>0.82474000000000003</v>
      </c>
      <c r="T53" s="662">
        <f t="shared" si="17"/>
        <v>0.82474000000000003</v>
      </c>
      <c r="U53" s="662">
        <f t="shared" si="17"/>
        <v>0.82474000000000003</v>
      </c>
      <c r="V53" s="662">
        <f t="shared" si="17"/>
        <v>0.82474000000000003</v>
      </c>
      <c r="X53" s="547" t="s">
        <v>699</v>
      </c>
      <c r="Y53" s="548">
        <v>97</v>
      </c>
      <c r="AA53" s="107" t="s">
        <v>700</v>
      </c>
      <c r="AB53" s="108">
        <v>110</v>
      </c>
      <c r="AD53" t="str">
        <f t="shared" si="14"/>
        <v>TCARPYG</v>
      </c>
      <c r="AE53" t="str">
        <f t="shared" si="9"/>
        <v>TCS</v>
      </c>
      <c r="AF53">
        <f t="shared" si="15"/>
        <v>97</v>
      </c>
      <c r="AG53" s="105">
        <f t="shared" si="10"/>
        <v>2.6944444444444442</v>
      </c>
      <c r="AH53" s="19">
        <v>9.1</v>
      </c>
      <c r="AI53" s="105">
        <f t="shared" si="16"/>
        <v>0.2960927960927961</v>
      </c>
      <c r="AJ53" s="105">
        <f t="shared" si="11"/>
        <v>0.37011599511599513</v>
      </c>
    </row>
    <row r="54" spans="1:36" x14ac:dyDescent="0.25">
      <c r="A54" s="20"/>
      <c r="B54" s="186" t="s">
        <v>74</v>
      </c>
      <c r="C54" s="186" t="s">
        <v>302</v>
      </c>
      <c r="D54" s="186"/>
      <c r="E54" s="186"/>
      <c r="F54" s="186" t="s">
        <v>402</v>
      </c>
      <c r="G54" s="660">
        <f t="shared" si="7"/>
        <v>0.4</v>
      </c>
      <c r="H54" s="667">
        <f t="shared" si="12"/>
        <v>0.4</v>
      </c>
      <c r="I54" s="661">
        <f t="shared" si="17"/>
        <v>0.4</v>
      </c>
      <c r="J54" s="661">
        <f t="shared" si="17"/>
        <v>0.4</v>
      </c>
      <c r="K54" s="661">
        <f t="shared" si="17"/>
        <v>0.4</v>
      </c>
      <c r="L54" s="661">
        <f t="shared" si="17"/>
        <v>0.4</v>
      </c>
      <c r="M54" s="661">
        <f t="shared" si="17"/>
        <v>0.4</v>
      </c>
      <c r="N54" s="661">
        <f t="shared" si="17"/>
        <v>0.4</v>
      </c>
      <c r="O54" s="661">
        <f t="shared" si="17"/>
        <v>0.4</v>
      </c>
      <c r="P54" s="661">
        <f t="shared" si="17"/>
        <v>0.4</v>
      </c>
      <c r="Q54" s="661">
        <f t="shared" si="17"/>
        <v>0.4</v>
      </c>
      <c r="R54" s="661">
        <f t="shared" si="17"/>
        <v>0.4</v>
      </c>
      <c r="S54" s="661">
        <f t="shared" si="17"/>
        <v>0.4</v>
      </c>
      <c r="T54" s="661">
        <f t="shared" si="17"/>
        <v>0.4</v>
      </c>
      <c r="U54" s="661">
        <f t="shared" si="17"/>
        <v>0.4</v>
      </c>
      <c r="V54" s="661">
        <f t="shared" si="17"/>
        <v>0.4</v>
      </c>
      <c r="X54" s="307" t="s">
        <v>699</v>
      </c>
      <c r="Y54" s="302">
        <v>200</v>
      </c>
      <c r="AA54" s="107" t="s">
        <v>700</v>
      </c>
      <c r="AB54" s="108">
        <v>174</v>
      </c>
    </row>
    <row r="55" spans="1:36" x14ac:dyDescent="0.25">
      <c r="B55" s="186" t="s">
        <v>74</v>
      </c>
      <c r="C55" s="186" t="s">
        <v>302</v>
      </c>
      <c r="D55" s="186"/>
      <c r="E55" s="186"/>
      <c r="F55" s="186" t="s">
        <v>404</v>
      </c>
      <c r="G55" s="660">
        <f t="shared" si="7"/>
        <v>0.35555999999999999</v>
      </c>
      <c r="H55" s="667">
        <f t="shared" si="12"/>
        <v>0.35555999999999999</v>
      </c>
      <c r="I55" s="661">
        <f t="shared" ref="I55:V64" si="18">$H55</f>
        <v>0.35555999999999999</v>
      </c>
      <c r="J55" s="661">
        <f t="shared" si="18"/>
        <v>0.35555999999999999</v>
      </c>
      <c r="K55" s="661">
        <f t="shared" si="18"/>
        <v>0.35555999999999999</v>
      </c>
      <c r="L55" s="661">
        <f t="shared" si="18"/>
        <v>0.35555999999999999</v>
      </c>
      <c r="M55" s="661">
        <f t="shared" si="18"/>
        <v>0.35555999999999999</v>
      </c>
      <c r="N55" s="661">
        <f t="shared" si="18"/>
        <v>0.35555999999999999</v>
      </c>
      <c r="O55" s="661">
        <f t="shared" si="18"/>
        <v>0.35555999999999999</v>
      </c>
      <c r="P55" s="661">
        <f t="shared" si="18"/>
        <v>0.35555999999999999</v>
      </c>
      <c r="Q55" s="661">
        <f t="shared" si="18"/>
        <v>0.35555999999999999</v>
      </c>
      <c r="R55" s="661">
        <f t="shared" si="18"/>
        <v>0.35555999999999999</v>
      </c>
      <c r="S55" s="661">
        <f t="shared" si="18"/>
        <v>0.35555999999999999</v>
      </c>
      <c r="T55" s="661">
        <f t="shared" si="18"/>
        <v>0.35555999999999999</v>
      </c>
      <c r="U55" s="661">
        <f t="shared" si="18"/>
        <v>0.35555999999999999</v>
      </c>
      <c r="V55" s="661">
        <f t="shared" si="18"/>
        <v>0.35555999999999999</v>
      </c>
      <c r="X55" s="307" t="s">
        <v>699</v>
      </c>
      <c r="Y55" s="302">
        <v>225</v>
      </c>
      <c r="AA55" s="107" t="s">
        <v>700</v>
      </c>
      <c r="AB55" s="108">
        <v>199</v>
      </c>
      <c r="AI55" s="105"/>
    </row>
    <row r="56" spans="1:36" x14ac:dyDescent="0.25">
      <c r="B56" s="186" t="s">
        <v>74</v>
      </c>
      <c r="C56" s="186" t="s">
        <v>303</v>
      </c>
      <c r="D56" s="186"/>
      <c r="E56" s="186"/>
      <c r="F56" s="186" t="s">
        <v>402</v>
      </c>
      <c r="G56" s="660">
        <f t="shared" si="7"/>
        <v>1.0389600000000001</v>
      </c>
      <c r="H56" s="667">
        <f t="shared" si="12"/>
        <v>1.0389600000000001</v>
      </c>
      <c r="I56" s="661">
        <f t="shared" si="18"/>
        <v>1.0389600000000001</v>
      </c>
      <c r="J56" s="661">
        <f t="shared" si="18"/>
        <v>1.0389600000000001</v>
      </c>
      <c r="K56" s="661">
        <f t="shared" si="18"/>
        <v>1.0389600000000001</v>
      </c>
      <c r="L56" s="661">
        <f t="shared" si="18"/>
        <v>1.0389600000000001</v>
      </c>
      <c r="M56" s="661">
        <f t="shared" si="18"/>
        <v>1.0389600000000001</v>
      </c>
      <c r="N56" s="661">
        <f t="shared" si="18"/>
        <v>1.0389600000000001</v>
      </c>
      <c r="O56" s="661">
        <f t="shared" si="18"/>
        <v>1.0389600000000001</v>
      </c>
      <c r="P56" s="661">
        <f t="shared" si="18"/>
        <v>1.0389600000000001</v>
      </c>
      <c r="Q56" s="661">
        <f t="shared" si="18"/>
        <v>1.0389600000000001</v>
      </c>
      <c r="R56" s="661">
        <f t="shared" si="18"/>
        <v>1.0389600000000001</v>
      </c>
      <c r="S56" s="661">
        <f t="shared" si="18"/>
        <v>1.0389600000000001</v>
      </c>
      <c r="T56" s="661">
        <f t="shared" si="18"/>
        <v>1.0389600000000001</v>
      </c>
      <c r="U56" s="661">
        <f t="shared" si="18"/>
        <v>1.0389600000000001</v>
      </c>
      <c r="V56" s="661">
        <f t="shared" si="18"/>
        <v>1.0389600000000001</v>
      </c>
      <c r="X56" s="307" t="s">
        <v>699</v>
      </c>
      <c r="Y56" s="302">
        <v>77</v>
      </c>
      <c r="AA56" s="107" t="s">
        <v>700</v>
      </c>
      <c r="AB56" s="108">
        <v>77</v>
      </c>
    </row>
    <row r="57" spans="1:36" x14ac:dyDescent="0.25">
      <c r="B57" s="186" t="s">
        <v>74</v>
      </c>
      <c r="C57" s="186" t="s">
        <v>303</v>
      </c>
      <c r="D57" s="186"/>
      <c r="E57" s="186"/>
      <c r="F57" s="186" t="s">
        <v>404</v>
      </c>
      <c r="G57" s="660">
        <f t="shared" si="7"/>
        <v>1.2903199999999999</v>
      </c>
      <c r="H57" s="667">
        <f t="shared" si="12"/>
        <v>1.2903199999999999</v>
      </c>
      <c r="I57" s="661">
        <f t="shared" si="18"/>
        <v>1.2903199999999999</v>
      </c>
      <c r="J57" s="661">
        <f t="shared" si="18"/>
        <v>1.2903199999999999</v>
      </c>
      <c r="K57" s="661">
        <f t="shared" si="18"/>
        <v>1.2903199999999999</v>
      </c>
      <c r="L57" s="661">
        <f t="shared" si="18"/>
        <v>1.2903199999999999</v>
      </c>
      <c r="M57" s="661">
        <f t="shared" si="18"/>
        <v>1.2903199999999999</v>
      </c>
      <c r="N57" s="661">
        <f t="shared" si="18"/>
        <v>1.2903199999999999</v>
      </c>
      <c r="O57" s="661">
        <f t="shared" si="18"/>
        <v>1.2903199999999999</v>
      </c>
      <c r="P57" s="661">
        <f t="shared" si="18"/>
        <v>1.2903199999999999</v>
      </c>
      <c r="Q57" s="661">
        <f t="shared" si="18"/>
        <v>1.2903199999999999</v>
      </c>
      <c r="R57" s="661">
        <f t="shared" si="18"/>
        <v>1.2903199999999999</v>
      </c>
      <c r="S57" s="661">
        <f t="shared" si="18"/>
        <v>1.2903199999999999</v>
      </c>
      <c r="T57" s="661">
        <f t="shared" si="18"/>
        <v>1.2903199999999999</v>
      </c>
      <c r="U57" s="661">
        <f t="shared" si="18"/>
        <v>1.2903199999999999</v>
      </c>
      <c r="V57" s="661">
        <f t="shared" si="18"/>
        <v>1.2903199999999999</v>
      </c>
      <c r="X57" s="307" t="s">
        <v>699</v>
      </c>
      <c r="Y57" s="302">
        <v>62</v>
      </c>
      <c r="AA57" s="107" t="s">
        <v>700</v>
      </c>
      <c r="AB57" s="108">
        <v>62</v>
      </c>
    </row>
    <row r="58" spans="1:36" x14ac:dyDescent="0.25">
      <c r="B58" s="186" t="s">
        <v>74</v>
      </c>
      <c r="C58" s="186" t="s">
        <v>304</v>
      </c>
      <c r="D58" s="186"/>
      <c r="E58" s="186"/>
      <c r="F58" s="186" t="s">
        <v>402</v>
      </c>
      <c r="G58" s="660">
        <f t="shared" si="7"/>
        <v>0.38646999999999998</v>
      </c>
      <c r="H58" s="667">
        <f t="shared" si="12"/>
        <v>0.38646999999999998</v>
      </c>
      <c r="I58" s="661">
        <f t="shared" si="18"/>
        <v>0.38646999999999998</v>
      </c>
      <c r="J58" s="661">
        <f t="shared" si="18"/>
        <v>0.38646999999999998</v>
      </c>
      <c r="K58" s="661">
        <f t="shared" si="18"/>
        <v>0.38646999999999998</v>
      </c>
      <c r="L58" s="661">
        <f t="shared" si="18"/>
        <v>0.38646999999999998</v>
      </c>
      <c r="M58" s="661">
        <f t="shared" si="18"/>
        <v>0.38646999999999998</v>
      </c>
      <c r="N58" s="661">
        <f t="shared" si="18"/>
        <v>0.38646999999999998</v>
      </c>
      <c r="O58" s="661">
        <f t="shared" si="18"/>
        <v>0.38646999999999998</v>
      </c>
      <c r="P58" s="661">
        <f t="shared" si="18"/>
        <v>0.38646999999999998</v>
      </c>
      <c r="Q58" s="661">
        <f t="shared" si="18"/>
        <v>0.38646999999999998</v>
      </c>
      <c r="R58" s="661">
        <f t="shared" si="18"/>
        <v>0.38646999999999998</v>
      </c>
      <c r="S58" s="661">
        <f t="shared" si="18"/>
        <v>0.38646999999999998</v>
      </c>
      <c r="T58" s="661">
        <f t="shared" si="18"/>
        <v>0.38646999999999998</v>
      </c>
      <c r="U58" s="661">
        <f t="shared" si="18"/>
        <v>0.38646999999999998</v>
      </c>
      <c r="V58" s="661">
        <f t="shared" si="18"/>
        <v>0.38646999999999998</v>
      </c>
      <c r="X58" s="307" t="s">
        <v>701</v>
      </c>
      <c r="Y58" s="302">
        <v>207</v>
      </c>
      <c r="AA58" s="107" t="s">
        <v>700</v>
      </c>
      <c r="AB58" s="108">
        <v>193</v>
      </c>
    </row>
    <row r="59" spans="1:36" x14ac:dyDescent="0.25">
      <c r="B59" s="186" t="s">
        <v>74</v>
      </c>
      <c r="C59" s="186" t="s">
        <v>304</v>
      </c>
      <c r="D59" s="186"/>
      <c r="E59" s="186"/>
      <c r="F59" s="186" t="s">
        <v>404</v>
      </c>
      <c r="G59" s="660">
        <f t="shared" si="7"/>
        <v>0.31873000000000001</v>
      </c>
      <c r="H59" s="667">
        <f t="shared" si="12"/>
        <v>0.31873000000000001</v>
      </c>
      <c r="I59" s="661">
        <f t="shared" si="18"/>
        <v>0.31873000000000001</v>
      </c>
      <c r="J59" s="661">
        <f t="shared" si="18"/>
        <v>0.31873000000000001</v>
      </c>
      <c r="K59" s="661">
        <f t="shared" si="18"/>
        <v>0.31873000000000001</v>
      </c>
      <c r="L59" s="661">
        <f t="shared" si="18"/>
        <v>0.31873000000000001</v>
      </c>
      <c r="M59" s="661">
        <f t="shared" si="18"/>
        <v>0.31873000000000001</v>
      </c>
      <c r="N59" s="661">
        <f t="shared" si="18"/>
        <v>0.31873000000000001</v>
      </c>
      <c r="O59" s="661">
        <f t="shared" si="18"/>
        <v>0.31873000000000001</v>
      </c>
      <c r="P59" s="661">
        <f t="shared" si="18"/>
        <v>0.31873000000000001</v>
      </c>
      <c r="Q59" s="661">
        <f t="shared" si="18"/>
        <v>0.31873000000000001</v>
      </c>
      <c r="R59" s="661">
        <f t="shared" si="18"/>
        <v>0.31873000000000001</v>
      </c>
      <c r="S59" s="661">
        <f t="shared" si="18"/>
        <v>0.31873000000000001</v>
      </c>
      <c r="T59" s="661">
        <f t="shared" si="18"/>
        <v>0.31873000000000001</v>
      </c>
      <c r="U59" s="661">
        <f t="shared" si="18"/>
        <v>0.31873000000000001</v>
      </c>
      <c r="V59" s="661">
        <f t="shared" si="18"/>
        <v>0.31873000000000001</v>
      </c>
      <c r="X59" s="307" t="s">
        <v>701</v>
      </c>
      <c r="Y59" s="302">
        <v>251</v>
      </c>
      <c r="AA59" s="107" t="s">
        <v>700</v>
      </c>
      <c r="AB59" s="108">
        <v>235</v>
      </c>
    </row>
    <row r="60" spans="1:36" x14ac:dyDescent="0.25">
      <c r="B60" s="186" t="s">
        <v>74</v>
      </c>
      <c r="C60" s="186" t="s">
        <v>305</v>
      </c>
      <c r="D60" s="186"/>
      <c r="E60" s="186"/>
      <c r="F60" s="186" t="s">
        <v>402</v>
      </c>
      <c r="G60" s="660">
        <f t="shared" si="7"/>
        <v>0.38646999999999998</v>
      </c>
      <c r="H60" s="667">
        <f t="shared" si="12"/>
        <v>0.38646999999999998</v>
      </c>
      <c r="I60" s="661">
        <f t="shared" si="18"/>
        <v>0.38646999999999998</v>
      </c>
      <c r="J60" s="661">
        <f t="shared" si="18"/>
        <v>0.38646999999999998</v>
      </c>
      <c r="K60" s="661">
        <f t="shared" si="18"/>
        <v>0.38646999999999998</v>
      </c>
      <c r="L60" s="661">
        <f t="shared" si="18"/>
        <v>0.38646999999999998</v>
      </c>
      <c r="M60" s="661">
        <f t="shared" si="18"/>
        <v>0.38646999999999998</v>
      </c>
      <c r="N60" s="661">
        <f t="shared" si="18"/>
        <v>0.38646999999999998</v>
      </c>
      <c r="O60" s="661">
        <f t="shared" si="18"/>
        <v>0.38646999999999998</v>
      </c>
      <c r="P60" s="661">
        <f t="shared" si="18"/>
        <v>0.38646999999999998</v>
      </c>
      <c r="Q60" s="661">
        <f t="shared" si="18"/>
        <v>0.38646999999999998</v>
      </c>
      <c r="R60" s="661">
        <f t="shared" si="18"/>
        <v>0.38646999999999998</v>
      </c>
      <c r="S60" s="661">
        <f t="shared" si="18"/>
        <v>0.38646999999999998</v>
      </c>
      <c r="T60" s="661">
        <f t="shared" si="18"/>
        <v>0.38646999999999998</v>
      </c>
      <c r="U60" s="661">
        <f t="shared" si="18"/>
        <v>0.38646999999999998</v>
      </c>
      <c r="V60" s="661">
        <f t="shared" si="18"/>
        <v>0.38646999999999998</v>
      </c>
      <c r="X60" s="307" t="s">
        <v>701</v>
      </c>
      <c r="Y60" s="302">
        <v>207</v>
      </c>
      <c r="AA60" s="107" t="s">
        <v>700</v>
      </c>
      <c r="AB60" s="108">
        <v>193</v>
      </c>
    </row>
    <row r="61" spans="1:36" x14ac:dyDescent="0.25">
      <c r="B61" s="186" t="s">
        <v>74</v>
      </c>
      <c r="C61" s="186" t="s">
        <v>305</v>
      </c>
      <c r="D61" s="186"/>
      <c r="E61" s="186"/>
      <c r="F61" s="186" t="s">
        <v>404</v>
      </c>
      <c r="G61" s="660">
        <f t="shared" si="7"/>
        <v>0.31873000000000001</v>
      </c>
      <c r="H61" s="667">
        <f t="shared" si="12"/>
        <v>0.31873000000000001</v>
      </c>
      <c r="I61" s="661">
        <f t="shared" si="18"/>
        <v>0.31873000000000001</v>
      </c>
      <c r="J61" s="661">
        <f t="shared" si="18"/>
        <v>0.31873000000000001</v>
      </c>
      <c r="K61" s="661">
        <f t="shared" si="18"/>
        <v>0.31873000000000001</v>
      </c>
      <c r="L61" s="661">
        <f t="shared" si="18"/>
        <v>0.31873000000000001</v>
      </c>
      <c r="M61" s="661">
        <f t="shared" si="18"/>
        <v>0.31873000000000001</v>
      </c>
      <c r="N61" s="661">
        <f t="shared" si="18"/>
        <v>0.31873000000000001</v>
      </c>
      <c r="O61" s="661">
        <f t="shared" si="18"/>
        <v>0.31873000000000001</v>
      </c>
      <c r="P61" s="661">
        <f t="shared" si="18"/>
        <v>0.31873000000000001</v>
      </c>
      <c r="Q61" s="661">
        <f t="shared" si="18"/>
        <v>0.31873000000000001</v>
      </c>
      <c r="R61" s="661">
        <f t="shared" si="18"/>
        <v>0.31873000000000001</v>
      </c>
      <c r="S61" s="661">
        <f t="shared" si="18"/>
        <v>0.31873000000000001</v>
      </c>
      <c r="T61" s="661">
        <f t="shared" si="18"/>
        <v>0.31873000000000001</v>
      </c>
      <c r="U61" s="661">
        <f t="shared" si="18"/>
        <v>0.31873000000000001</v>
      </c>
      <c r="V61" s="661">
        <f t="shared" si="18"/>
        <v>0.31873000000000001</v>
      </c>
      <c r="X61" s="307" t="s">
        <v>701</v>
      </c>
      <c r="Y61" s="302">
        <v>251</v>
      </c>
      <c r="AA61" s="107" t="s">
        <v>700</v>
      </c>
      <c r="AB61" s="108">
        <v>235</v>
      </c>
    </row>
    <row r="62" spans="1:36" x14ac:dyDescent="0.25">
      <c r="B62" s="186" t="s">
        <v>74</v>
      </c>
      <c r="C62" s="186" t="s">
        <v>306</v>
      </c>
      <c r="D62" s="186"/>
      <c r="E62" s="186"/>
      <c r="F62" s="186" t="s">
        <v>402</v>
      </c>
      <c r="G62" s="660">
        <f>ROUND(10^2/(Y62*$G$31),5)</f>
        <v>0.37208999999999998</v>
      </c>
      <c r="H62" s="667">
        <f t="shared" si="12"/>
        <v>0.37208999999999998</v>
      </c>
      <c r="I62" s="661">
        <f t="shared" si="18"/>
        <v>0.37208999999999998</v>
      </c>
      <c r="J62" s="661">
        <f t="shared" si="18"/>
        <v>0.37208999999999998</v>
      </c>
      <c r="K62" s="661">
        <f t="shared" si="18"/>
        <v>0.37208999999999998</v>
      </c>
      <c r="L62" s="661">
        <f t="shared" si="18"/>
        <v>0.37208999999999998</v>
      </c>
      <c r="M62" s="661">
        <f t="shared" si="18"/>
        <v>0.37208999999999998</v>
      </c>
      <c r="N62" s="661">
        <f t="shared" si="18"/>
        <v>0.37208999999999998</v>
      </c>
      <c r="O62" s="661">
        <f t="shared" si="18"/>
        <v>0.37208999999999998</v>
      </c>
      <c r="P62" s="661">
        <f t="shared" si="18"/>
        <v>0.37208999999999998</v>
      </c>
      <c r="Q62" s="661">
        <f t="shared" si="18"/>
        <v>0.37208999999999998</v>
      </c>
      <c r="R62" s="661">
        <f t="shared" si="18"/>
        <v>0.37208999999999998</v>
      </c>
      <c r="S62" s="661">
        <f t="shared" si="18"/>
        <v>0.37208999999999998</v>
      </c>
      <c r="T62" s="661">
        <f t="shared" si="18"/>
        <v>0.37208999999999998</v>
      </c>
      <c r="U62" s="661">
        <f t="shared" si="18"/>
        <v>0.37208999999999998</v>
      </c>
      <c r="V62" s="661">
        <f t="shared" si="18"/>
        <v>0.37208999999999998</v>
      </c>
      <c r="X62" s="307" t="s">
        <v>699</v>
      </c>
      <c r="Y62" s="302">
        <v>215</v>
      </c>
      <c r="AA62" s="107" t="s">
        <v>700</v>
      </c>
      <c r="AB62" s="108">
        <v>193</v>
      </c>
    </row>
    <row r="63" spans="1:36" x14ac:dyDescent="0.25">
      <c r="B63" s="186" t="s">
        <v>74</v>
      </c>
      <c r="C63" s="186" t="s">
        <v>306</v>
      </c>
      <c r="D63" s="186"/>
      <c r="E63" s="186"/>
      <c r="F63" s="186" t="s">
        <v>404</v>
      </c>
      <c r="G63" s="660">
        <f t="shared" si="7"/>
        <v>0.30188999999999999</v>
      </c>
      <c r="H63" s="667">
        <f t="shared" si="12"/>
        <v>0.30188999999999999</v>
      </c>
      <c r="I63" s="661">
        <f t="shared" si="18"/>
        <v>0.30188999999999999</v>
      </c>
      <c r="J63" s="661">
        <f t="shared" si="18"/>
        <v>0.30188999999999999</v>
      </c>
      <c r="K63" s="661">
        <f t="shared" si="18"/>
        <v>0.30188999999999999</v>
      </c>
      <c r="L63" s="661">
        <f t="shared" si="18"/>
        <v>0.30188999999999999</v>
      </c>
      <c r="M63" s="661">
        <f t="shared" si="18"/>
        <v>0.30188999999999999</v>
      </c>
      <c r="N63" s="661">
        <f t="shared" si="18"/>
        <v>0.30188999999999999</v>
      </c>
      <c r="O63" s="661">
        <f t="shared" si="18"/>
        <v>0.30188999999999999</v>
      </c>
      <c r="P63" s="661">
        <f t="shared" si="18"/>
        <v>0.30188999999999999</v>
      </c>
      <c r="Q63" s="661">
        <f t="shared" si="18"/>
        <v>0.30188999999999999</v>
      </c>
      <c r="R63" s="661">
        <f t="shared" si="18"/>
        <v>0.30188999999999999</v>
      </c>
      <c r="S63" s="661">
        <f t="shared" si="18"/>
        <v>0.30188999999999999</v>
      </c>
      <c r="T63" s="661">
        <f t="shared" si="18"/>
        <v>0.30188999999999999</v>
      </c>
      <c r="U63" s="661">
        <f t="shared" si="18"/>
        <v>0.30188999999999999</v>
      </c>
      <c r="V63" s="661">
        <f t="shared" si="18"/>
        <v>0.30188999999999999</v>
      </c>
      <c r="X63" s="307" t="s">
        <v>699</v>
      </c>
      <c r="Y63" s="302">
        <v>265</v>
      </c>
      <c r="AA63" s="107" t="s">
        <v>700</v>
      </c>
      <c r="AB63" s="108">
        <v>235</v>
      </c>
    </row>
    <row r="64" spans="1:36" x14ac:dyDescent="0.25">
      <c r="B64" s="186" t="s">
        <v>74</v>
      </c>
      <c r="C64" s="186" t="s">
        <v>307</v>
      </c>
      <c r="D64" s="186"/>
      <c r="E64" s="186"/>
      <c r="F64" s="186" t="s">
        <v>402</v>
      </c>
      <c r="G64" s="660">
        <f t="shared" si="7"/>
        <v>0.53332999999999997</v>
      </c>
      <c r="H64" s="667">
        <f t="shared" si="12"/>
        <v>0.53332999999999997</v>
      </c>
      <c r="I64" s="661">
        <f t="shared" si="18"/>
        <v>0.53332999999999997</v>
      </c>
      <c r="J64" s="661">
        <f t="shared" si="18"/>
        <v>0.53332999999999997</v>
      </c>
      <c r="K64" s="661">
        <f t="shared" si="18"/>
        <v>0.53332999999999997</v>
      </c>
      <c r="L64" s="661">
        <f t="shared" si="18"/>
        <v>0.53332999999999997</v>
      </c>
      <c r="M64" s="661">
        <f t="shared" si="18"/>
        <v>0.53332999999999997</v>
      </c>
      <c r="N64" s="661">
        <f t="shared" si="18"/>
        <v>0.53332999999999997</v>
      </c>
      <c r="O64" s="661">
        <f t="shared" si="18"/>
        <v>0.53332999999999997</v>
      </c>
      <c r="P64" s="661">
        <f t="shared" si="18"/>
        <v>0.53332999999999997</v>
      </c>
      <c r="Q64" s="661">
        <f t="shared" si="18"/>
        <v>0.53332999999999997</v>
      </c>
      <c r="R64" s="661">
        <f t="shared" si="18"/>
        <v>0.53332999999999997</v>
      </c>
      <c r="S64" s="661">
        <f t="shared" si="18"/>
        <v>0.53332999999999997</v>
      </c>
      <c r="T64" s="661">
        <f t="shared" si="18"/>
        <v>0.53332999999999997</v>
      </c>
      <c r="U64" s="661">
        <f t="shared" si="18"/>
        <v>0.53332999999999997</v>
      </c>
      <c r="V64" s="661">
        <f t="shared" si="18"/>
        <v>0.53332999999999997</v>
      </c>
      <c r="X64" s="307" t="s">
        <v>699</v>
      </c>
      <c r="Y64" s="302">
        <v>150</v>
      </c>
      <c r="AA64" s="107" t="s">
        <v>700</v>
      </c>
      <c r="AB64" s="108">
        <v>141</v>
      </c>
    </row>
    <row r="65" spans="1:28" x14ac:dyDescent="0.25">
      <c r="B65" s="186" t="s">
        <v>74</v>
      </c>
      <c r="C65" s="186" t="s">
        <v>307</v>
      </c>
      <c r="D65" s="186"/>
      <c r="E65" s="186"/>
      <c r="F65" s="186" t="s">
        <v>404</v>
      </c>
      <c r="G65" s="660">
        <f t="shared" si="7"/>
        <v>0.47059000000000001</v>
      </c>
      <c r="H65" s="667">
        <f t="shared" si="12"/>
        <v>0.47059000000000001</v>
      </c>
      <c r="I65" s="661">
        <f t="shared" ref="I65:V74" si="19">$H65</f>
        <v>0.47059000000000001</v>
      </c>
      <c r="J65" s="661">
        <f t="shared" si="19"/>
        <v>0.47059000000000001</v>
      </c>
      <c r="K65" s="661">
        <f t="shared" si="19"/>
        <v>0.47059000000000001</v>
      </c>
      <c r="L65" s="661">
        <f t="shared" si="19"/>
        <v>0.47059000000000001</v>
      </c>
      <c r="M65" s="661">
        <f t="shared" si="19"/>
        <v>0.47059000000000001</v>
      </c>
      <c r="N65" s="661">
        <f t="shared" si="19"/>
        <v>0.47059000000000001</v>
      </c>
      <c r="O65" s="661">
        <f t="shared" si="19"/>
        <v>0.47059000000000001</v>
      </c>
      <c r="P65" s="661">
        <f t="shared" si="19"/>
        <v>0.47059000000000001</v>
      </c>
      <c r="Q65" s="661">
        <f t="shared" si="19"/>
        <v>0.47059000000000001</v>
      </c>
      <c r="R65" s="661">
        <f t="shared" si="19"/>
        <v>0.47059000000000001</v>
      </c>
      <c r="S65" s="661">
        <f t="shared" si="19"/>
        <v>0.47059000000000001</v>
      </c>
      <c r="T65" s="661">
        <f t="shared" si="19"/>
        <v>0.47059000000000001</v>
      </c>
      <c r="U65" s="661">
        <f t="shared" si="19"/>
        <v>0.47059000000000001</v>
      </c>
      <c r="V65" s="661">
        <f t="shared" si="19"/>
        <v>0.47059000000000001</v>
      </c>
      <c r="X65" s="307" t="s">
        <v>699</v>
      </c>
      <c r="Y65" s="302">
        <v>170</v>
      </c>
      <c r="AA65" s="107" t="s">
        <v>700</v>
      </c>
      <c r="AB65" s="108">
        <v>161</v>
      </c>
    </row>
    <row r="66" spans="1:28" x14ac:dyDescent="0.25">
      <c r="B66" s="186" t="s">
        <v>74</v>
      </c>
      <c r="C66" s="186" t="s">
        <v>308</v>
      </c>
      <c r="D66" s="186"/>
      <c r="E66" s="186"/>
      <c r="F66" s="186" t="s">
        <v>402</v>
      </c>
      <c r="G66" s="660">
        <f t="shared" si="7"/>
        <v>0.47904000000000002</v>
      </c>
      <c r="H66" s="667">
        <f t="shared" si="12"/>
        <v>0.47904000000000002</v>
      </c>
      <c r="I66" s="661">
        <f t="shared" si="19"/>
        <v>0.47904000000000002</v>
      </c>
      <c r="J66" s="661">
        <f t="shared" si="19"/>
        <v>0.47904000000000002</v>
      </c>
      <c r="K66" s="661">
        <f t="shared" si="19"/>
        <v>0.47904000000000002</v>
      </c>
      <c r="L66" s="661">
        <f t="shared" si="19"/>
        <v>0.47904000000000002</v>
      </c>
      <c r="M66" s="661">
        <f t="shared" si="19"/>
        <v>0.47904000000000002</v>
      </c>
      <c r="N66" s="661">
        <f t="shared" si="19"/>
        <v>0.47904000000000002</v>
      </c>
      <c r="O66" s="661">
        <f t="shared" si="19"/>
        <v>0.47904000000000002</v>
      </c>
      <c r="P66" s="661">
        <f t="shared" si="19"/>
        <v>0.47904000000000002</v>
      </c>
      <c r="Q66" s="661">
        <f t="shared" si="19"/>
        <v>0.47904000000000002</v>
      </c>
      <c r="R66" s="661">
        <f t="shared" si="19"/>
        <v>0.47904000000000002</v>
      </c>
      <c r="S66" s="661">
        <f t="shared" si="19"/>
        <v>0.47904000000000002</v>
      </c>
      <c r="T66" s="661">
        <f t="shared" si="19"/>
        <v>0.47904000000000002</v>
      </c>
      <c r="U66" s="661">
        <f t="shared" si="19"/>
        <v>0.47904000000000002</v>
      </c>
      <c r="V66" s="661">
        <f t="shared" si="19"/>
        <v>0.47904000000000002</v>
      </c>
      <c r="X66" s="307" t="s">
        <v>699</v>
      </c>
      <c r="Y66" s="302">
        <v>167</v>
      </c>
      <c r="AA66" s="107" t="s">
        <v>700</v>
      </c>
      <c r="AB66" s="108">
        <v>157</v>
      </c>
    </row>
    <row r="67" spans="1:28" x14ac:dyDescent="0.25">
      <c r="B67" s="186" t="s">
        <v>74</v>
      </c>
      <c r="C67" s="186" t="s">
        <v>308</v>
      </c>
      <c r="D67" s="186"/>
      <c r="E67" s="186"/>
      <c r="F67" s="186" t="s">
        <v>404</v>
      </c>
      <c r="G67" s="660">
        <f t="shared" si="7"/>
        <v>0.39604</v>
      </c>
      <c r="H67" s="667">
        <f t="shared" ref="H67:H93" si="20">$G67</f>
        <v>0.39604</v>
      </c>
      <c r="I67" s="661">
        <f t="shared" si="19"/>
        <v>0.39604</v>
      </c>
      <c r="J67" s="661">
        <f t="shared" si="19"/>
        <v>0.39604</v>
      </c>
      <c r="K67" s="661">
        <f t="shared" si="19"/>
        <v>0.39604</v>
      </c>
      <c r="L67" s="661">
        <f t="shared" si="19"/>
        <v>0.39604</v>
      </c>
      <c r="M67" s="661">
        <f t="shared" si="19"/>
        <v>0.39604</v>
      </c>
      <c r="N67" s="661">
        <f t="shared" si="19"/>
        <v>0.39604</v>
      </c>
      <c r="O67" s="661">
        <f t="shared" si="19"/>
        <v>0.39604</v>
      </c>
      <c r="P67" s="661">
        <f t="shared" si="19"/>
        <v>0.39604</v>
      </c>
      <c r="Q67" s="661">
        <f t="shared" si="19"/>
        <v>0.39604</v>
      </c>
      <c r="R67" s="661">
        <f t="shared" si="19"/>
        <v>0.39604</v>
      </c>
      <c r="S67" s="661">
        <f t="shared" si="19"/>
        <v>0.39604</v>
      </c>
      <c r="T67" s="661">
        <f t="shared" si="19"/>
        <v>0.39604</v>
      </c>
      <c r="U67" s="661">
        <f t="shared" si="19"/>
        <v>0.39604</v>
      </c>
      <c r="V67" s="661">
        <f t="shared" si="19"/>
        <v>0.39604</v>
      </c>
      <c r="X67" s="307" t="s">
        <v>699</v>
      </c>
      <c r="Y67" s="302">
        <v>202</v>
      </c>
      <c r="AA67" s="107" t="s">
        <v>700</v>
      </c>
      <c r="AB67" s="108">
        <v>191</v>
      </c>
    </row>
    <row r="68" spans="1:28" x14ac:dyDescent="0.25">
      <c r="B68" s="186" t="s">
        <v>74</v>
      </c>
      <c r="C68" s="186" t="s">
        <v>309</v>
      </c>
      <c r="D68" s="186"/>
      <c r="E68" s="186"/>
      <c r="F68" s="186" t="s">
        <v>402</v>
      </c>
      <c r="G68" s="660">
        <f t="shared" si="7"/>
        <v>0.38646999999999998</v>
      </c>
      <c r="H68" s="667">
        <f t="shared" si="20"/>
        <v>0.38646999999999998</v>
      </c>
      <c r="I68" s="661">
        <f t="shared" si="19"/>
        <v>0.38646999999999998</v>
      </c>
      <c r="J68" s="661">
        <f t="shared" si="19"/>
        <v>0.38646999999999998</v>
      </c>
      <c r="K68" s="661">
        <f t="shared" si="19"/>
        <v>0.38646999999999998</v>
      </c>
      <c r="L68" s="661">
        <f t="shared" si="19"/>
        <v>0.38646999999999998</v>
      </c>
      <c r="M68" s="661">
        <f t="shared" si="19"/>
        <v>0.38646999999999998</v>
      </c>
      <c r="N68" s="661">
        <f t="shared" si="19"/>
        <v>0.38646999999999998</v>
      </c>
      <c r="O68" s="661">
        <f t="shared" si="19"/>
        <v>0.38646999999999998</v>
      </c>
      <c r="P68" s="661">
        <f t="shared" si="19"/>
        <v>0.38646999999999998</v>
      </c>
      <c r="Q68" s="661">
        <f t="shared" si="19"/>
        <v>0.38646999999999998</v>
      </c>
      <c r="R68" s="661">
        <f t="shared" si="19"/>
        <v>0.38646999999999998</v>
      </c>
      <c r="S68" s="661">
        <f t="shared" si="19"/>
        <v>0.38646999999999998</v>
      </c>
      <c r="T68" s="661">
        <f t="shared" si="19"/>
        <v>0.38646999999999998</v>
      </c>
      <c r="U68" s="661">
        <f t="shared" si="19"/>
        <v>0.38646999999999998</v>
      </c>
      <c r="V68" s="661">
        <f t="shared" si="19"/>
        <v>0.38646999999999998</v>
      </c>
      <c r="X68" s="307" t="s">
        <v>701</v>
      </c>
      <c r="Y68" s="302">
        <v>207</v>
      </c>
      <c r="AA68" s="107" t="s">
        <v>700</v>
      </c>
      <c r="AB68" s="108">
        <v>193</v>
      </c>
    </row>
    <row r="69" spans="1:28" x14ac:dyDescent="0.25">
      <c r="B69" s="186" t="s">
        <v>74</v>
      </c>
      <c r="C69" s="186" t="s">
        <v>309</v>
      </c>
      <c r="D69" s="186"/>
      <c r="E69" s="186"/>
      <c r="F69" s="186" t="s">
        <v>404</v>
      </c>
      <c r="G69" s="660">
        <f t="shared" si="7"/>
        <v>0.31873000000000001</v>
      </c>
      <c r="H69" s="667">
        <f t="shared" si="20"/>
        <v>0.31873000000000001</v>
      </c>
      <c r="I69" s="661">
        <f t="shared" si="19"/>
        <v>0.31873000000000001</v>
      </c>
      <c r="J69" s="661">
        <f t="shared" si="19"/>
        <v>0.31873000000000001</v>
      </c>
      <c r="K69" s="661">
        <f t="shared" si="19"/>
        <v>0.31873000000000001</v>
      </c>
      <c r="L69" s="661">
        <f t="shared" si="19"/>
        <v>0.31873000000000001</v>
      </c>
      <c r="M69" s="661">
        <f t="shared" si="19"/>
        <v>0.31873000000000001</v>
      </c>
      <c r="N69" s="661">
        <f t="shared" si="19"/>
        <v>0.31873000000000001</v>
      </c>
      <c r="O69" s="661">
        <f t="shared" si="19"/>
        <v>0.31873000000000001</v>
      </c>
      <c r="P69" s="661">
        <f t="shared" si="19"/>
        <v>0.31873000000000001</v>
      </c>
      <c r="Q69" s="661">
        <f t="shared" si="19"/>
        <v>0.31873000000000001</v>
      </c>
      <c r="R69" s="661">
        <f t="shared" si="19"/>
        <v>0.31873000000000001</v>
      </c>
      <c r="S69" s="661">
        <f t="shared" si="19"/>
        <v>0.31873000000000001</v>
      </c>
      <c r="T69" s="661">
        <f t="shared" si="19"/>
        <v>0.31873000000000001</v>
      </c>
      <c r="U69" s="661">
        <f t="shared" si="19"/>
        <v>0.31873000000000001</v>
      </c>
      <c r="V69" s="661">
        <f t="shared" si="19"/>
        <v>0.31873000000000001</v>
      </c>
      <c r="X69" s="307" t="s">
        <v>701</v>
      </c>
      <c r="Y69" s="302">
        <v>251</v>
      </c>
      <c r="AA69" s="107" t="s">
        <v>700</v>
      </c>
      <c r="AB69" s="108">
        <v>235</v>
      </c>
    </row>
    <row r="70" spans="1:28" s="19" customFormat="1" x14ac:dyDescent="0.25">
      <c r="B70" s="186" t="s">
        <v>74</v>
      </c>
      <c r="C70" s="186" t="s">
        <v>310</v>
      </c>
      <c r="D70" s="186"/>
      <c r="E70" s="186"/>
      <c r="F70" s="186" t="s">
        <v>402</v>
      </c>
      <c r="G70" s="660">
        <f t="shared" si="7"/>
        <v>0.68376000000000003</v>
      </c>
      <c r="H70" s="667">
        <f t="shared" si="20"/>
        <v>0.68376000000000003</v>
      </c>
      <c r="I70" s="661">
        <f t="shared" si="19"/>
        <v>0.68376000000000003</v>
      </c>
      <c r="J70" s="661">
        <f t="shared" si="19"/>
        <v>0.68376000000000003</v>
      </c>
      <c r="K70" s="661">
        <f t="shared" si="19"/>
        <v>0.68376000000000003</v>
      </c>
      <c r="L70" s="661">
        <f t="shared" si="19"/>
        <v>0.68376000000000003</v>
      </c>
      <c r="M70" s="661">
        <f t="shared" si="19"/>
        <v>0.68376000000000003</v>
      </c>
      <c r="N70" s="661">
        <f t="shared" si="19"/>
        <v>0.68376000000000003</v>
      </c>
      <c r="O70" s="661">
        <f t="shared" si="19"/>
        <v>0.68376000000000003</v>
      </c>
      <c r="P70" s="661">
        <f t="shared" si="19"/>
        <v>0.68376000000000003</v>
      </c>
      <c r="Q70" s="661">
        <f t="shared" si="19"/>
        <v>0.68376000000000003</v>
      </c>
      <c r="R70" s="661">
        <f t="shared" si="19"/>
        <v>0.68376000000000003</v>
      </c>
      <c r="S70" s="661">
        <f t="shared" si="19"/>
        <v>0.68376000000000003</v>
      </c>
      <c r="T70" s="661">
        <f t="shared" si="19"/>
        <v>0.68376000000000003</v>
      </c>
      <c r="U70" s="661">
        <f t="shared" si="19"/>
        <v>0.68376000000000003</v>
      </c>
      <c r="V70" s="661">
        <f t="shared" si="19"/>
        <v>0.68376000000000003</v>
      </c>
      <c r="X70" s="307" t="s">
        <v>699</v>
      </c>
      <c r="Y70" s="302">
        <v>117</v>
      </c>
      <c r="AA70" s="107" t="s">
        <v>700</v>
      </c>
      <c r="AB70" s="108">
        <v>117</v>
      </c>
    </row>
    <row r="71" spans="1:28" s="19" customFormat="1" x14ac:dyDescent="0.25">
      <c r="B71" s="186" t="s">
        <v>74</v>
      </c>
      <c r="C71" s="186" t="s">
        <v>310</v>
      </c>
      <c r="D71" s="186"/>
      <c r="E71" s="186"/>
      <c r="F71" s="186" t="s">
        <v>404</v>
      </c>
      <c r="G71" s="660">
        <f t="shared" si="7"/>
        <v>0.87912000000000001</v>
      </c>
      <c r="H71" s="667">
        <f t="shared" si="20"/>
        <v>0.87912000000000001</v>
      </c>
      <c r="I71" s="661">
        <f t="shared" si="19"/>
        <v>0.87912000000000001</v>
      </c>
      <c r="J71" s="661">
        <f t="shared" si="19"/>
        <v>0.87912000000000001</v>
      </c>
      <c r="K71" s="661">
        <f t="shared" si="19"/>
        <v>0.87912000000000001</v>
      </c>
      <c r="L71" s="661">
        <f t="shared" si="19"/>
        <v>0.87912000000000001</v>
      </c>
      <c r="M71" s="661">
        <f t="shared" si="19"/>
        <v>0.87912000000000001</v>
      </c>
      <c r="N71" s="661">
        <f t="shared" si="19"/>
        <v>0.87912000000000001</v>
      </c>
      <c r="O71" s="661">
        <f t="shared" si="19"/>
        <v>0.87912000000000001</v>
      </c>
      <c r="P71" s="661">
        <f t="shared" si="19"/>
        <v>0.87912000000000001</v>
      </c>
      <c r="Q71" s="661">
        <f t="shared" si="19"/>
        <v>0.87912000000000001</v>
      </c>
      <c r="R71" s="661">
        <f t="shared" si="19"/>
        <v>0.87912000000000001</v>
      </c>
      <c r="S71" s="661">
        <f t="shared" si="19"/>
        <v>0.87912000000000001</v>
      </c>
      <c r="T71" s="661">
        <f t="shared" si="19"/>
        <v>0.87912000000000001</v>
      </c>
      <c r="U71" s="661">
        <f t="shared" si="19"/>
        <v>0.87912000000000001</v>
      </c>
      <c r="V71" s="661">
        <f t="shared" si="19"/>
        <v>0.87912000000000001</v>
      </c>
      <c r="X71" s="307" t="s">
        <v>699</v>
      </c>
      <c r="Y71" s="302">
        <v>91</v>
      </c>
      <c r="AA71" s="107" t="s">
        <v>700</v>
      </c>
      <c r="AB71" s="108">
        <v>92</v>
      </c>
    </row>
    <row r="72" spans="1:28" s="19" customFormat="1" x14ac:dyDescent="0.25">
      <c r="B72" s="186" t="s">
        <v>74</v>
      </c>
      <c r="C72" s="186" t="s">
        <v>311</v>
      </c>
      <c r="D72" s="186"/>
      <c r="E72" s="186"/>
      <c r="F72" s="186" t="s">
        <v>402</v>
      </c>
      <c r="G72" s="660">
        <f t="shared" si="7"/>
        <v>0.72726999999999997</v>
      </c>
      <c r="H72" s="667">
        <f t="shared" si="20"/>
        <v>0.72726999999999997</v>
      </c>
      <c r="I72" s="661">
        <f t="shared" si="19"/>
        <v>0.72726999999999997</v>
      </c>
      <c r="J72" s="661">
        <f t="shared" si="19"/>
        <v>0.72726999999999997</v>
      </c>
      <c r="K72" s="661">
        <f t="shared" si="19"/>
        <v>0.72726999999999997</v>
      </c>
      <c r="L72" s="661">
        <f t="shared" si="19"/>
        <v>0.72726999999999997</v>
      </c>
      <c r="M72" s="661">
        <f t="shared" si="19"/>
        <v>0.72726999999999997</v>
      </c>
      <c r="N72" s="661">
        <f t="shared" si="19"/>
        <v>0.72726999999999997</v>
      </c>
      <c r="O72" s="661">
        <f t="shared" si="19"/>
        <v>0.72726999999999997</v>
      </c>
      <c r="P72" s="661">
        <f t="shared" si="19"/>
        <v>0.72726999999999997</v>
      </c>
      <c r="Q72" s="661">
        <f t="shared" si="19"/>
        <v>0.72726999999999997</v>
      </c>
      <c r="R72" s="661">
        <f t="shared" si="19"/>
        <v>0.72726999999999997</v>
      </c>
      <c r="S72" s="661">
        <f t="shared" si="19"/>
        <v>0.72726999999999997</v>
      </c>
      <c r="T72" s="661">
        <f t="shared" si="19"/>
        <v>0.72726999999999997</v>
      </c>
      <c r="U72" s="661">
        <f t="shared" si="19"/>
        <v>0.72726999999999997</v>
      </c>
      <c r="V72" s="661">
        <f t="shared" si="19"/>
        <v>0.72726999999999997</v>
      </c>
      <c r="X72" s="307" t="s">
        <v>699</v>
      </c>
      <c r="Y72" s="302">
        <v>110</v>
      </c>
      <c r="AA72" s="107" t="s">
        <v>700</v>
      </c>
      <c r="AB72" s="108">
        <v>110</v>
      </c>
    </row>
    <row r="73" spans="1:28" s="19" customFormat="1" x14ac:dyDescent="0.25">
      <c r="B73" s="546" t="s">
        <v>74</v>
      </c>
      <c r="C73" s="546" t="s">
        <v>311</v>
      </c>
      <c r="D73" s="546"/>
      <c r="E73" s="546"/>
      <c r="F73" s="546" t="s">
        <v>404</v>
      </c>
      <c r="G73" s="669">
        <f t="shared" si="7"/>
        <v>0.82474000000000003</v>
      </c>
      <c r="H73" s="668">
        <f t="shared" si="20"/>
        <v>0.82474000000000003</v>
      </c>
      <c r="I73" s="662">
        <f t="shared" si="19"/>
        <v>0.82474000000000003</v>
      </c>
      <c r="J73" s="662">
        <f t="shared" si="19"/>
        <v>0.82474000000000003</v>
      </c>
      <c r="K73" s="662">
        <f t="shared" si="19"/>
        <v>0.82474000000000003</v>
      </c>
      <c r="L73" s="662">
        <f t="shared" si="19"/>
        <v>0.82474000000000003</v>
      </c>
      <c r="M73" s="662">
        <f t="shared" si="19"/>
        <v>0.82474000000000003</v>
      </c>
      <c r="N73" s="662">
        <f t="shared" si="19"/>
        <v>0.82474000000000003</v>
      </c>
      <c r="O73" s="662">
        <f t="shared" si="19"/>
        <v>0.82474000000000003</v>
      </c>
      <c r="P73" s="662">
        <f t="shared" si="19"/>
        <v>0.82474000000000003</v>
      </c>
      <c r="Q73" s="662">
        <f t="shared" si="19"/>
        <v>0.82474000000000003</v>
      </c>
      <c r="R73" s="662">
        <f t="shared" si="19"/>
        <v>0.82474000000000003</v>
      </c>
      <c r="S73" s="662">
        <f t="shared" si="19"/>
        <v>0.82474000000000003</v>
      </c>
      <c r="T73" s="662">
        <f t="shared" si="19"/>
        <v>0.82474000000000003</v>
      </c>
      <c r="U73" s="662">
        <f t="shared" si="19"/>
        <v>0.82474000000000003</v>
      </c>
      <c r="V73" s="662">
        <f t="shared" si="19"/>
        <v>0.82474000000000003</v>
      </c>
      <c r="X73" s="547" t="s">
        <v>699</v>
      </c>
      <c r="Y73" s="548">
        <v>97</v>
      </c>
      <c r="AA73" s="107" t="s">
        <v>700</v>
      </c>
      <c r="AB73" s="108">
        <v>99</v>
      </c>
    </row>
    <row r="74" spans="1:28" x14ac:dyDescent="0.25">
      <c r="A74" s="20"/>
      <c r="B74" s="186" t="s">
        <v>490</v>
      </c>
      <c r="C74" s="186" t="s">
        <v>313</v>
      </c>
      <c r="D74" s="186"/>
      <c r="E74" s="186"/>
      <c r="F74" s="186" t="s">
        <v>410</v>
      </c>
      <c r="G74" s="660">
        <f t="shared" si="7"/>
        <v>0.42781000000000002</v>
      </c>
      <c r="H74" s="667">
        <f t="shared" si="20"/>
        <v>0.42781000000000002</v>
      </c>
      <c r="I74" s="661">
        <f t="shared" si="19"/>
        <v>0.42781000000000002</v>
      </c>
      <c r="J74" s="661">
        <f t="shared" si="19"/>
        <v>0.42781000000000002</v>
      </c>
      <c r="K74" s="661">
        <f t="shared" si="19"/>
        <v>0.42781000000000002</v>
      </c>
      <c r="L74" s="661">
        <f t="shared" si="19"/>
        <v>0.42781000000000002</v>
      </c>
      <c r="M74" s="661">
        <f t="shared" si="19"/>
        <v>0.42781000000000002</v>
      </c>
      <c r="N74" s="661">
        <f t="shared" si="19"/>
        <v>0.42781000000000002</v>
      </c>
      <c r="O74" s="661">
        <f t="shared" si="19"/>
        <v>0.42781000000000002</v>
      </c>
      <c r="P74" s="661">
        <f t="shared" si="19"/>
        <v>0.42781000000000002</v>
      </c>
      <c r="Q74" s="661">
        <f t="shared" si="19"/>
        <v>0.42781000000000002</v>
      </c>
      <c r="R74" s="661">
        <f t="shared" si="19"/>
        <v>0.42781000000000002</v>
      </c>
      <c r="S74" s="661">
        <f t="shared" si="19"/>
        <v>0.42781000000000002</v>
      </c>
      <c r="T74" s="661">
        <f t="shared" si="19"/>
        <v>0.42781000000000002</v>
      </c>
      <c r="U74" s="661">
        <f t="shared" si="19"/>
        <v>0.42781000000000002</v>
      </c>
      <c r="V74" s="661">
        <f t="shared" si="19"/>
        <v>0.42781000000000002</v>
      </c>
      <c r="X74" s="307" t="s">
        <v>699</v>
      </c>
      <c r="Y74" s="302">
        <v>187</v>
      </c>
      <c r="AA74" s="107" t="s">
        <v>700</v>
      </c>
      <c r="AB74" s="108">
        <v>174</v>
      </c>
    </row>
    <row r="75" spans="1:28" x14ac:dyDescent="0.25">
      <c r="B75" s="186" t="s">
        <v>490</v>
      </c>
      <c r="C75" s="186" t="s">
        <v>313</v>
      </c>
      <c r="D75" s="186"/>
      <c r="E75" s="186"/>
      <c r="F75" s="186" t="s">
        <v>412</v>
      </c>
      <c r="G75" s="660">
        <f t="shared" si="7"/>
        <v>0.37558999999999998</v>
      </c>
      <c r="H75" s="667">
        <f t="shared" si="20"/>
        <v>0.37558999999999998</v>
      </c>
      <c r="I75" s="661">
        <f t="shared" ref="I75:V84" si="21">$H75</f>
        <v>0.37558999999999998</v>
      </c>
      <c r="J75" s="661">
        <f t="shared" si="21"/>
        <v>0.37558999999999998</v>
      </c>
      <c r="K75" s="661">
        <f t="shared" si="21"/>
        <v>0.37558999999999998</v>
      </c>
      <c r="L75" s="661">
        <f t="shared" si="21"/>
        <v>0.37558999999999998</v>
      </c>
      <c r="M75" s="661">
        <f t="shared" si="21"/>
        <v>0.37558999999999998</v>
      </c>
      <c r="N75" s="661">
        <f t="shared" si="21"/>
        <v>0.37558999999999998</v>
      </c>
      <c r="O75" s="661">
        <f t="shared" si="21"/>
        <v>0.37558999999999998</v>
      </c>
      <c r="P75" s="661">
        <f t="shared" si="21"/>
        <v>0.37558999999999998</v>
      </c>
      <c r="Q75" s="661">
        <f t="shared" si="21"/>
        <v>0.37558999999999998</v>
      </c>
      <c r="R75" s="661">
        <f t="shared" si="21"/>
        <v>0.37558999999999998</v>
      </c>
      <c r="S75" s="661">
        <f t="shared" si="21"/>
        <v>0.37558999999999998</v>
      </c>
      <c r="T75" s="661">
        <f t="shared" si="21"/>
        <v>0.37558999999999998</v>
      </c>
      <c r="U75" s="661">
        <f t="shared" si="21"/>
        <v>0.37558999999999998</v>
      </c>
      <c r="V75" s="661">
        <f t="shared" si="21"/>
        <v>0.37558999999999998</v>
      </c>
      <c r="X75" s="307" t="s">
        <v>699</v>
      </c>
      <c r="Y75" s="302">
        <v>213</v>
      </c>
      <c r="AA75" s="107" t="s">
        <v>700</v>
      </c>
      <c r="AB75" s="108">
        <v>199</v>
      </c>
    </row>
    <row r="76" spans="1:28" x14ac:dyDescent="0.25">
      <c r="B76" s="186" t="s">
        <v>490</v>
      </c>
      <c r="C76" s="186" t="s">
        <v>314</v>
      </c>
      <c r="D76" s="186"/>
      <c r="E76" s="186"/>
      <c r="F76" s="186" t="s">
        <v>410</v>
      </c>
      <c r="G76" s="660">
        <f t="shared" si="7"/>
        <v>1.0389600000000001</v>
      </c>
      <c r="H76" s="667">
        <f t="shared" si="20"/>
        <v>1.0389600000000001</v>
      </c>
      <c r="I76" s="661">
        <f t="shared" si="21"/>
        <v>1.0389600000000001</v>
      </c>
      <c r="J76" s="661">
        <f t="shared" si="21"/>
        <v>1.0389600000000001</v>
      </c>
      <c r="K76" s="661">
        <f t="shared" si="21"/>
        <v>1.0389600000000001</v>
      </c>
      <c r="L76" s="661">
        <f t="shared" si="21"/>
        <v>1.0389600000000001</v>
      </c>
      <c r="M76" s="661">
        <f t="shared" si="21"/>
        <v>1.0389600000000001</v>
      </c>
      <c r="N76" s="661">
        <f t="shared" si="21"/>
        <v>1.0389600000000001</v>
      </c>
      <c r="O76" s="661">
        <f t="shared" si="21"/>
        <v>1.0389600000000001</v>
      </c>
      <c r="P76" s="661">
        <f t="shared" si="21"/>
        <v>1.0389600000000001</v>
      </c>
      <c r="Q76" s="661">
        <f t="shared" si="21"/>
        <v>1.0389600000000001</v>
      </c>
      <c r="R76" s="661">
        <f t="shared" si="21"/>
        <v>1.0389600000000001</v>
      </c>
      <c r="S76" s="661">
        <f t="shared" si="21"/>
        <v>1.0389600000000001</v>
      </c>
      <c r="T76" s="661">
        <f t="shared" si="21"/>
        <v>1.0389600000000001</v>
      </c>
      <c r="U76" s="661">
        <f t="shared" si="21"/>
        <v>1.0389600000000001</v>
      </c>
      <c r="V76" s="661">
        <f t="shared" si="21"/>
        <v>1.0389600000000001</v>
      </c>
      <c r="X76" s="307" t="s">
        <v>699</v>
      </c>
      <c r="Y76" s="302">
        <v>77</v>
      </c>
      <c r="AA76" s="107" t="s">
        <v>700</v>
      </c>
      <c r="AB76" s="108">
        <v>77</v>
      </c>
    </row>
    <row r="77" spans="1:28" x14ac:dyDescent="0.25">
      <c r="B77" s="186" t="s">
        <v>490</v>
      </c>
      <c r="C77" s="186" t="s">
        <v>314</v>
      </c>
      <c r="D77" s="186"/>
      <c r="E77" s="186"/>
      <c r="F77" s="186" t="s">
        <v>412</v>
      </c>
      <c r="G77" s="660">
        <f t="shared" si="7"/>
        <v>1.2903199999999999</v>
      </c>
      <c r="H77" s="667">
        <f t="shared" si="20"/>
        <v>1.2903199999999999</v>
      </c>
      <c r="I77" s="661">
        <f t="shared" si="21"/>
        <v>1.2903199999999999</v>
      </c>
      <c r="J77" s="661">
        <f t="shared" si="21"/>
        <v>1.2903199999999999</v>
      </c>
      <c r="K77" s="661">
        <f t="shared" si="21"/>
        <v>1.2903199999999999</v>
      </c>
      <c r="L77" s="661">
        <f t="shared" si="21"/>
        <v>1.2903199999999999</v>
      </c>
      <c r="M77" s="661">
        <f t="shared" si="21"/>
        <v>1.2903199999999999</v>
      </c>
      <c r="N77" s="661">
        <f t="shared" si="21"/>
        <v>1.2903199999999999</v>
      </c>
      <c r="O77" s="661">
        <f t="shared" si="21"/>
        <v>1.2903199999999999</v>
      </c>
      <c r="P77" s="661">
        <f t="shared" si="21"/>
        <v>1.2903199999999999</v>
      </c>
      <c r="Q77" s="661">
        <f t="shared" si="21"/>
        <v>1.2903199999999999</v>
      </c>
      <c r="R77" s="661">
        <f t="shared" si="21"/>
        <v>1.2903199999999999</v>
      </c>
      <c r="S77" s="661">
        <f t="shared" si="21"/>
        <v>1.2903199999999999</v>
      </c>
      <c r="T77" s="661">
        <f t="shared" si="21"/>
        <v>1.2903199999999999</v>
      </c>
      <c r="U77" s="661">
        <f t="shared" si="21"/>
        <v>1.2903199999999999</v>
      </c>
      <c r="V77" s="661">
        <f t="shared" si="21"/>
        <v>1.2903199999999999</v>
      </c>
      <c r="X77" s="307" t="s">
        <v>699</v>
      </c>
      <c r="Y77" s="302">
        <v>62</v>
      </c>
      <c r="AA77" s="107" t="s">
        <v>700</v>
      </c>
      <c r="AB77" s="108">
        <v>62</v>
      </c>
    </row>
    <row r="78" spans="1:28" x14ac:dyDescent="0.25">
      <c r="B78" s="186" t="s">
        <v>490</v>
      </c>
      <c r="C78" s="186" t="s">
        <v>315</v>
      </c>
      <c r="D78" s="186"/>
      <c r="E78" s="186"/>
      <c r="F78" s="186" t="s">
        <v>410</v>
      </c>
      <c r="G78" s="660">
        <f t="shared" si="7"/>
        <v>0.38646999999999998</v>
      </c>
      <c r="H78" s="667">
        <f t="shared" si="20"/>
        <v>0.38646999999999998</v>
      </c>
      <c r="I78" s="661">
        <f t="shared" si="21"/>
        <v>0.38646999999999998</v>
      </c>
      <c r="J78" s="661">
        <f t="shared" si="21"/>
        <v>0.38646999999999998</v>
      </c>
      <c r="K78" s="661">
        <f t="shared" si="21"/>
        <v>0.38646999999999998</v>
      </c>
      <c r="L78" s="661">
        <f t="shared" si="21"/>
        <v>0.38646999999999998</v>
      </c>
      <c r="M78" s="661">
        <f t="shared" si="21"/>
        <v>0.38646999999999998</v>
      </c>
      <c r="N78" s="661">
        <f t="shared" si="21"/>
        <v>0.38646999999999998</v>
      </c>
      <c r="O78" s="661">
        <f t="shared" si="21"/>
        <v>0.38646999999999998</v>
      </c>
      <c r="P78" s="661">
        <f t="shared" si="21"/>
        <v>0.38646999999999998</v>
      </c>
      <c r="Q78" s="661">
        <f t="shared" si="21"/>
        <v>0.38646999999999998</v>
      </c>
      <c r="R78" s="661">
        <f t="shared" si="21"/>
        <v>0.38646999999999998</v>
      </c>
      <c r="S78" s="661">
        <f t="shared" si="21"/>
        <v>0.38646999999999998</v>
      </c>
      <c r="T78" s="661">
        <f t="shared" si="21"/>
        <v>0.38646999999999998</v>
      </c>
      <c r="U78" s="661">
        <f t="shared" si="21"/>
        <v>0.38646999999999998</v>
      </c>
      <c r="V78" s="661">
        <f t="shared" si="21"/>
        <v>0.38646999999999998</v>
      </c>
      <c r="X78" s="307" t="s">
        <v>701</v>
      </c>
      <c r="Y78" s="302">
        <v>207</v>
      </c>
      <c r="AA78" s="107" t="s">
        <v>700</v>
      </c>
      <c r="AB78" s="108">
        <v>193</v>
      </c>
    </row>
    <row r="79" spans="1:28" x14ac:dyDescent="0.25">
      <c r="B79" s="186" t="s">
        <v>490</v>
      </c>
      <c r="C79" s="186" t="s">
        <v>315</v>
      </c>
      <c r="D79" s="186"/>
      <c r="E79" s="186"/>
      <c r="F79" s="186" t="s">
        <v>412</v>
      </c>
      <c r="G79" s="660">
        <f t="shared" si="7"/>
        <v>0.31873000000000001</v>
      </c>
      <c r="H79" s="667">
        <f t="shared" si="20"/>
        <v>0.31873000000000001</v>
      </c>
      <c r="I79" s="661">
        <f t="shared" si="21"/>
        <v>0.31873000000000001</v>
      </c>
      <c r="J79" s="661">
        <f t="shared" si="21"/>
        <v>0.31873000000000001</v>
      </c>
      <c r="K79" s="661">
        <f t="shared" si="21"/>
        <v>0.31873000000000001</v>
      </c>
      <c r="L79" s="661">
        <f t="shared" si="21"/>
        <v>0.31873000000000001</v>
      </c>
      <c r="M79" s="661">
        <f t="shared" si="21"/>
        <v>0.31873000000000001</v>
      </c>
      <c r="N79" s="661">
        <f t="shared" si="21"/>
        <v>0.31873000000000001</v>
      </c>
      <c r="O79" s="661">
        <f t="shared" si="21"/>
        <v>0.31873000000000001</v>
      </c>
      <c r="P79" s="661">
        <f t="shared" si="21"/>
        <v>0.31873000000000001</v>
      </c>
      <c r="Q79" s="661">
        <f t="shared" si="21"/>
        <v>0.31873000000000001</v>
      </c>
      <c r="R79" s="661">
        <f t="shared" si="21"/>
        <v>0.31873000000000001</v>
      </c>
      <c r="S79" s="661">
        <f t="shared" si="21"/>
        <v>0.31873000000000001</v>
      </c>
      <c r="T79" s="661">
        <f t="shared" si="21"/>
        <v>0.31873000000000001</v>
      </c>
      <c r="U79" s="661">
        <f t="shared" si="21"/>
        <v>0.31873000000000001</v>
      </c>
      <c r="V79" s="661">
        <f t="shared" si="21"/>
        <v>0.31873000000000001</v>
      </c>
      <c r="X79" s="307" t="s">
        <v>701</v>
      </c>
      <c r="Y79" s="302">
        <v>251</v>
      </c>
      <c r="AA79" s="107" t="s">
        <v>700</v>
      </c>
      <c r="AB79" s="108">
        <v>235</v>
      </c>
    </row>
    <row r="80" spans="1:28" x14ac:dyDescent="0.25">
      <c r="B80" s="186" t="s">
        <v>490</v>
      </c>
      <c r="C80" s="186" t="s">
        <v>316</v>
      </c>
      <c r="D80" s="186"/>
      <c r="E80" s="186"/>
      <c r="F80" s="186" t="s">
        <v>410</v>
      </c>
      <c r="G80" s="660">
        <f t="shared" si="7"/>
        <v>0.38646999999999998</v>
      </c>
      <c r="H80" s="667">
        <f t="shared" si="20"/>
        <v>0.38646999999999998</v>
      </c>
      <c r="I80" s="661">
        <f t="shared" si="21"/>
        <v>0.38646999999999998</v>
      </c>
      <c r="J80" s="661">
        <f t="shared" si="21"/>
        <v>0.38646999999999998</v>
      </c>
      <c r="K80" s="661">
        <f t="shared" si="21"/>
        <v>0.38646999999999998</v>
      </c>
      <c r="L80" s="661">
        <f t="shared" si="21"/>
        <v>0.38646999999999998</v>
      </c>
      <c r="M80" s="661">
        <f t="shared" si="21"/>
        <v>0.38646999999999998</v>
      </c>
      <c r="N80" s="661">
        <f t="shared" si="21"/>
        <v>0.38646999999999998</v>
      </c>
      <c r="O80" s="661">
        <f t="shared" si="21"/>
        <v>0.38646999999999998</v>
      </c>
      <c r="P80" s="661">
        <f t="shared" si="21"/>
        <v>0.38646999999999998</v>
      </c>
      <c r="Q80" s="661">
        <f t="shared" si="21"/>
        <v>0.38646999999999998</v>
      </c>
      <c r="R80" s="661">
        <f t="shared" si="21"/>
        <v>0.38646999999999998</v>
      </c>
      <c r="S80" s="661">
        <f t="shared" si="21"/>
        <v>0.38646999999999998</v>
      </c>
      <c r="T80" s="661">
        <f t="shared" si="21"/>
        <v>0.38646999999999998</v>
      </c>
      <c r="U80" s="661">
        <f t="shared" si="21"/>
        <v>0.38646999999999998</v>
      </c>
      <c r="V80" s="661">
        <f t="shared" si="21"/>
        <v>0.38646999999999998</v>
      </c>
      <c r="X80" s="307" t="s">
        <v>701</v>
      </c>
      <c r="Y80" s="302">
        <v>207</v>
      </c>
      <c r="AA80" s="107" t="s">
        <v>700</v>
      </c>
      <c r="AB80" s="108">
        <v>193</v>
      </c>
    </row>
    <row r="81" spans="2:28" x14ac:dyDescent="0.25">
      <c r="B81" s="186" t="s">
        <v>490</v>
      </c>
      <c r="C81" s="186" t="s">
        <v>316</v>
      </c>
      <c r="D81" s="186"/>
      <c r="E81" s="186"/>
      <c r="F81" s="186" t="s">
        <v>412</v>
      </c>
      <c r="G81" s="660">
        <f t="shared" si="7"/>
        <v>0.31873000000000001</v>
      </c>
      <c r="H81" s="667">
        <f t="shared" si="20"/>
        <v>0.31873000000000001</v>
      </c>
      <c r="I81" s="661">
        <f t="shared" si="21"/>
        <v>0.31873000000000001</v>
      </c>
      <c r="J81" s="661">
        <f t="shared" si="21"/>
        <v>0.31873000000000001</v>
      </c>
      <c r="K81" s="661">
        <f t="shared" si="21"/>
        <v>0.31873000000000001</v>
      </c>
      <c r="L81" s="661">
        <f t="shared" si="21"/>
        <v>0.31873000000000001</v>
      </c>
      <c r="M81" s="661">
        <f t="shared" si="21"/>
        <v>0.31873000000000001</v>
      </c>
      <c r="N81" s="661">
        <f t="shared" si="21"/>
        <v>0.31873000000000001</v>
      </c>
      <c r="O81" s="661">
        <f t="shared" si="21"/>
        <v>0.31873000000000001</v>
      </c>
      <c r="P81" s="661">
        <f t="shared" si="21"/>
        <v>0.31873000000000001</v>
      </c>
      <c r="Q81" s="661">
        <f t="shared" si="21"/>
        <v>0.31873000000000001</v>
      </c>
      <c r="R81" s="661">
        <f t="shared" si="21"/>
        <v>0.31873000000000001</v>
      </c>
      <c r="S81" s="661">
        <f t="shared" si="21"/>
        <v>0.31873000000000001</v>
      </c>
      <c r="T81" s="661">
        <f t="shared" si="21"/>
        <v>0.31873000000000001</v>
      </c>
      <c r="U81" s="661">
        <f t="shared" si="21"/>
        <v>0.31873000000000001</v>
      </c>
      <c r="V81" s="661">
        <f t="shared" si="21"/>
        <v>0.31873000000000001</v>
      </c>
      <c r="X81" s="307" t="s">
        <v>701</v>
      </c>
      <c r="Y81" s="302">
        <v>251</v>
      </c>
      <c r="AA81" s="107" t="s">
        <v>700</v>
      </c>
      <c r="AB81" s="108">
        <v>235</v>
      </c>
    </row>
    <row r="82" spans="2:28" x14ac:dyDescent="0.25">
      <c r="B82" s="186" t="s">
        <v>490</v>
      </c>
      <c r="C82" s="186" t="s">
        <v>317</v>
      </c>
      <c r="D82" s="186"/>
      <c r="E82" s="186"/>
      <c r="F82" s="186" t="s">
        <v>410</v>
      </c>
      <c r="G82" s="660">
        <f t="shared" si="7"/>
        <v>0.38646999999999998</v>
      </c>
      <c r="H82" s="667">
        <f t="shared" si="20"/>
        <v>0.38646999999999998</v>
      </c>
      <c r="I82" s="661">
        <f t="shared" si="21"/>
        <v>0.38646999999999998</v>
      </c>
      <c r="J82" s="661">
        <f t="shared" si="21"/>
        <v>0.38646999999999998</v>
      </c>
      <c r="K82" s="661">
        <f t="shared" si="21"/>
        <v>0.38646999999999998</v>
      </c>
      <c r="L82" s="661">
        <f t="shared" si="21"/>
        <v>0.38646999999999998</v>
      </c>
      <c r="M82" s="661">
        <f t="shared" si="21"/>
        <v>0.38646999999999998</v>
      </c>
      <c r="N82" s="661">
        <f t="shared" si="21"/>
        <v>0.38646999999999998</v>
      </c>
      <c r="O82" s="661">
        <f t="shared" si="21"/>
        <v>0.38646999999999998</v>
      </c>
      <c r="P82" s="661">
        <f t="shared" si="21"/>
        <v>0.38646999999999998</v>
      </c>
      <c r="Q82" s="661">
        <f t="shared" si="21"/>
        <v>0.38646999999999998</v>
      </c>
      <c r="R82" s="661">
        <f t="shared" si="21"/>
        <v>0.38646999999999998</v>
      </c>
      <c r="S82" s="661">
        <f t="shared" si="21"/>
        <v>0.38646999999999998</v>
      </c>
      <c r="T82" s="661">
        <f t="shared" si="21"/>
        <v>0.38646999999999998</v>
      </c>
      <c r="U82" s="661">
        <f t="shared" si="21"/>
        <v>0.38646999999999998</v>
      </c>
      <c r="V82" s="661">
        <f t="shared" si="21"/>
        <v>0.38646999999999998</v>
      </c>
      <c r="X82" s="307" t="s">
        <v>699</v>
      </c>
      <c r="Y82" s="302">
        <v>207</v>
      </c>
      <c r="AA82" s="107" t="s">
        <v>700</v>
      </c>
      <c r="AB82" s="108">
        <v>193</v>
      </c>
    </row>
    <row r="83" spans="2:28" x14ac:dyDescent="0.25">
      <c r="B83" s="186" t="s">
        <v>490</v>
      </c>
      <c r="C83" s="186" t="s">
        <v>317</v>
      </c>
      <c r="D83" s="186"/>
      <c r="E83" s="186"/>
      <c r="F83" s="186" t="s">
        <v>412</v>
      </c>
      <c r="G83" s="660">
        <f t="shared" si="7"/>
        <v>0.31873000000000001</v>
      </c>
      <c r="H83" s="667">
        <f t="shared" si="20"/>
        <v>0.31873000000000001</v>
      </c>
      <c r="I83" s="661">
        <f t="shared" si="21"/>
        <v>0.31873000000000001</v>
      </c>
      <c r="J83" s="661">
        <f t="shared" si="21"/>
        <v>0.31873000000000001</v>
      </c>
      <c r="K83" s="661">
        <f t="shared" si="21"/>
        <v>0.31873000000000001</v>
      </c>
      <c r="L83" s="661">
        <f t="shared" si="21"/>
        <v>0.31873000000000001</v>
      </c>
      <c r="M83" s="661">
        <f t="shared" si="21"/>
        <v>0.31873000000000001</v>
      </c>
      <c r="N83" s="661">
        <f t="shared" si="21"/>
        <v>0.31873000000000001</v>
      </c>
      <c r="O83" s="661">
        <f t="shared" si="21"/>
        <v>0.31873000000000001</v>
      </c>
      <c r="P83" s="661">
        <f t="shared" si="21"/>
        <v>0.31873000000000001</v>
      </c>
      <c r="Q83" s="661">
        <f t="shared" si="21"/>
        <v>0.31873000000000001</v>
      </c>
      <c r="R83" s="661">
        <f t="shared" si="21"/>
        <v>0.31873000000000001</v>
      </c>
      <c r="S83" s="661">
        <f t="shared" si="21"/>
        <v>0.31873000000000001</v>
      </c>
      <c r="T83" s="661">
        <f t="shared" si="21"/>
        <v>0.31873000000000001</v>
      </c>
      <c r="U83" s="661">
        <f t="shared" si="21"/>
        <v>0.31873000000000001</v>
      </c>
      <c r="V83" s="661">
        <f t="shared" si="21"/>
        <v>0.31873000000000001</v>
      </c>
      <c r="X83" s="307" t="s">
        <v>699</v>
      </c>
      <c r="Y83" s="302">
        <v>251</v>
      </c>
      <c r="AA83" s="107" t="s">
        <v>700</v>
      </c>
      <c r="AB83" s="108">
        <v>235</v>
      </c>
    </row>
    <row r="84" spans="2:28" x14ac:dyDescent="0.25">
      <c r="B84" s="186" t="s">
        <v>490</v>
      </c>
      <c r="C84" s="186" t="s">
        <v>318</v>
      </c>
      <c r="D84" s="186"/>
      <c r="E84" s="186"/>
      <c r="F84" s="186" t="s">
        <v>410</v>
      </c>
      <c r="G84" s="660">
        <f t="shared" si="7"/>
        <v>0.53332999999999997</v>
      </c>
      <c r="H84" s="667">
        <f t="shared" si="20"/>
        <v>0.53332999999999997</v>
      </c>
      <c r="I84" s="661">
        <f t="shared" si="21"/>
        <v>0.53332999999999997</v>
      </c>
      <c r="J84" s="661">
        <f t="shared" si="21"/>
        <v>0.53332999999999997</v>
      </c>
      <c r="K84" s="661">
        <f t="shared" si="21"/>
        <v>0.53332999999999997</v>
      </c>
      <c r="L84" s="661">
        <f t="shared" si="21"/>
        <v>0.53332999999999997</v>
      </c>
      <c r="M84" s="661">
        <f t="shared" si="21"/>
        <v>0.53332999999999997</v>
      </c>
      <c r="N84" s="661">
        <f t="shared" si="21"/>
        <v>0.53332999999999997</v>
      </c>
      <c r="O84" s="661">
        <f t="shared" si="21"/>
        <v>0.53332999999999997</v>
      </c>
      <c r="P84" s="661">
        <f t="shared" si="21"/>
        <v>0.53332999999999997</v>
      </c>
      <c r="Q84" s="661">
        <f t="shared" si="21"/>
        <v>0.53332999999999997</v>
      </c>
      <c r="R84" s="661">
        <f t="shared" si="21"/>
        <v>0.53332999999999997</v>
      </c>
      <c r="S84" s="661">
        <f t="shared" si="21"/>
        <v>0.53332999999999997</v>
      </c>
      <c r="T84" s="661">
        <f t="shared" si="21"/>
        <v>0.53332999999999997</v>
      </c>
      <c r="U84" s="661">
        <f t="shared" si="21"/>
        <v>0.53332999999999997</v>
      </c>
      <c r="V84" s="661">
        <f t="shared" si="21"/>
        <v>0.53332999999999997</v>
      </c>
      <c r="X84" s="307" t="s">
        <v>699</v>
      </c>
      <c r="Y84" s="302">
        <v>150</v>
      </c>
      <c r="AA84" s="107" t="s">
        <v>700</v>
      </c>
      <c r="AB84" s="108">
        <v>141</v>
      </c>
    </row>
    <row r="85" spans="2:28" x14ac:dyDescent="0.25">
      <c r="B85" s="186" t="s">
        <v>490</v>
      </c>
      <c r="C85" s="186" t="s">
        <v>318</v>
      </c>
      <c r="D85" s="186"/>
      <c r="E85" s="186"/>
      <c r="F85" s="186" t="s">
        <v>412</v>
      </c>
      <c r="G85" s="660">
        <f t="shared" si="7"/>
        <v>0.47059000000000001</v>
      </c>
      <c r="H85" s="667">
        <f t="shared" si="20"/>
        <v>0.47059000000000001</v>
      </c>
      <c r="I85" s="661">
        <f t="shared" ref="I85:V93" si="22">$H85</f>
        <v>0.47059000000000001</v>
      </c>
      <c r="J85" s="661">
        <f t="shared" si="22"/>
        <v>0.47059000000000001</v>
      </c>
      <c r="K85" s="661">
        <f t="shared" si="22"/>
        <v>0.47059000000000001</v>
      </c>
      <c r="L85" s="661">
        <f t="shared" si="22"/>
        <v>0.47059000000000001</v>
      </c>
      <c r="M85" s="661">
        <f t="shared" si="22"/>
        <v>0.47059000000000001</v>
      </c>
      <c r="N85" s="661">
        <f t="shared" si="22"/>
        <v>0.47059000000000001</v>
      </c>
      <c r="O85" s="661">
        <f t="shared" si="22"/>
        <v>0.47059000000000001</v>
      </c>
      <c r="P85" s="661">
        <f t="shared" si="22"/>
        <v>0.47059000000000001</v>
      </c>
      <c r="Q85" s="661">
        <f t="shared" si="22"/>
        <v>0.47059000000000001</v>
      </c>
      <c r="R85" s="661">
        <f t="shared" si="22"/>
        <v>0.47059000000000001</v>
      </c>
      <c r="S85" s="661">
        <f t="shared" si="22"/>
        <v>0.47059000000000001</v>
      </c>
      <c r="T85" s="661">
        <f t="shared" si="22"/>
        <v>0.47059000000000001</v>
      </c>
      <c r="U85" s="661">
        <f t="shared" si="22"/>
        <v>0.47059000000000001</v>
      </c>
      <c r="V85" s="661">
        <f t="shared" si="22"/>
        <v>0.47059000000000001</v>
      </c>
      <c r="X85" s="307" t="s">
        <v>699</v>
      </c>
      <c r="Y85" s="302">
        <v>170</v>
      </c>
      <c r="AA85" s="107" t="s">
        <v>700</v>
      </c>
      <c r="AB85" s="108">
        <v>161</v>
      </c>
    </row>
    <row r="86" spans="2:28" x14ac:dyDescent="0.25">
      <c r="B86" s="186" t="s">
        <v>490</v>
      </c>
      <c r="C86" s="186" t="s">
        <v>319</v>
      </c>
      <c r="D86" s="186"/>
      <c r="E86" s="186"/>
      <c r="F86" s="186" t="s">
        <v>410</v>
      </c>
      <c r="G86" s="660">
        <f t="shared" si="7"/>
        <v>0.47904000000000002</v>
      </c>
      <c r="H86" s="667">
        <f t="shared" si="20"/>
        <v>0.47904000000000002</v>
      </c>
      <c r="I86" s="661">
        <f t="shared" si="22"/>
        <v>0.47904000000000002</v>
      </c>
      <c r="J86" s="661">
        <f t="shared" si="22"/>
        <v>0.47904000000000002</v>
      </c>
      <c r="K86" s="661">
        <f t="shared" si="22"/>
        <v>0.47904000000000002</v>
      </c>
      <c r="L86" s="661">
        <f t="shared" si="22"/>
        <v>0.47904000000000002</v>
      </c>
      <c r="M86" s="661">
        <f t="shared" si="22"/>
        <v>0.47904000000000002</v>
      </c>
      <c r="N86" s="661">
        <f t="shared" si="22"/>
        <v>0.47904000000000002</v>
      </c>
      <c r="O86" s="661">
        <f t="shared" si="22"/>
        <v>0.47904000000000002</v>
      </c>
      <c r="P86" s="661">
        <f t="shared" si="22"/>
        <v>0.47904000000000002</v>
      </c>
      <c r="Q86" s="661">
        <f t="shared" si="22"/>
        <v>0.47904000000000002</v>
      </c>
      <c r="R86" s="661">
        <f t="shared" si="22"/>
        <v>0.47904000000000002</v>
      </c>
      <c r="S86" s="661">
        <f t="shared" si="22"/>
        <v>0.47904000000000002</v>
      </c>
      <c r="T86" s="661">
        <f t="shared" si="22"/>
        <v>0.47904000000000002</v>
      </c>
      <c r="U86" s="661">
        <f t="shared" si="22"/>
        <v>0.47904000000000002</v>
      </c>
      <c r="V86" s="661">
        <f t="shared" si="22"/>
        <v>0.47904000000000002</v>
      </c>
      <c r="X86" s="307" t="s">
        <v>699</v>
      </c>
      <c r="Y86" s="302">
        <v>167</v>
      </c>
      <c r="AA86" s="107" t="s">
        <v>700</v>
      </c>
      <c r="AB86" s="108">
        <v>157</v>
      </c>
    </row>
    <row r="87" spans="2:28" x14ac:dyDescent="0.25">
      <c r="B87" s="186" t="s">
        <v>490</v>
      </c>
      <c r="C87" s="186" t="s">
        <v>319</v>
      </c>
      <c r="D87" s="186"/>
      <c r="E87" s="186"/>
      <c r="F87" s="186" t="s">
        <v>412</v>
      </c>
      <c r="G87" s="660">
        <f t="shared" si="7"/>
        <v>0.39604</v>
      </c>
      <c r="H87" s="667">
        <f t="shared" si="20"/>
        <v>0.39604</v>
      </c>
      <c r="I87" s="661">
        <f t="shared" si="22"/>
        <v>0.39604</v>
      </c>
      <c r="J87" s="661">
        <f t="shared" si="22"/>
        <v>0.39604</v>
      </c>
      <c r="K87" s="661">
        <f t="shared" si="22"/>
        <v>0.39604</v>
      </c>
      <c r="L87" s="661">
        <f t="shared" si="22"/>
        <v>0.39604</v>
      </c>
      <c r="M87" s="661">
        <f t="shared" si="22"/>
        <v>0.39604</v>
      </c>
      <c r="N87" s="661">
        <f t="shared" si="22"/>
        <v>0.39604</v>
      </c>
      <c r="O87" s="661">
        <f t="shared" si="22"/>
        <v>0.39604</v>
      </c>
      <c r="P87" s="661">
        <f t="shared" si="22"/>
        <v>0.39604</v>
      </c>
      <c r="Q87" s="661">
        <f t="shared" si="22"/>
        <v>0.39604</v>
      </c>
      <c r="R87" s="661">
        <f t="shared" si="22"/>
        <v>0.39604</v>
      </c>
      <c r="S87" s="661">
        <f t="shared" si="22"/>
        <v>0.39604</v>
      </c>
      <c r="T87" s="661">
        <f t="shared" si="22"/>
        <v>0.39604</v>
      </c>
      <c r="U87" s="661">
        <f t="shared" si="22"/>
        <v>0.39604</v>
      </c>
      <c r="V87" s="661">
        <f t="shared" si="22"/>
        <v>0.39604</v>
      </c>
      <c r="X87" s="307" t="s">
        <v>699</v>
      </c>
      <c r="Y87" s="302">
        <v>202</v>
      </c>
      <c r="AA87" s="107" t="s">
        <v>700</v>
      </c>
      <c r="AB87" s="108">
        <v>191</v>
      </c>
    </row>
    <row r="88" spans="2:28" x14ac:dyDescent="0.25">
      <c r="B88" s="186" t="s">
        <v>490</v>
      </c>
      <c r="C88" s="186" t="s">
        <v>320</v>
      </c>
      <c r="D88" s="186"/>
      <c r="E88" s="186"/>
      <c r="F88" s="186" t="s">
        <v>410</v>
      </c>
      <c r="G88" s="660">
        <f t="shared" si="7"/>
        <v>0.38646999999999998</v>
      </c>
      <c r="H88" s="667">
        <f t="shared" si="20"/>
        <v>0.38646999999999998</v>
      </c>
      <c r="I88" s="661">
        <f t="shared" si="22"/>
        <v>0.38646999999999998</v>
      </c>
      <c r="J88" s="661">
        <f t="shared" si="22"/>
        <v>0.38646999999999998</v>
      </c>
      <c r="K88" s="661">
        <f t="shared" si="22"/>
        <v>0.38646999999999998</v>
      </c>
      <c r="L88" s="661">
        <f t="shared" si="22"/>
        <v>0.38646999999999998</v>
      </c>
      <c r="M88" s="661">
        <f t="shared" si="22"/>
        <v>0.38646999999999998</v>
      </c>
      <c r="N88" s="661">
        <f t="shared" si="22"/>
        <v>0.38646999999999998</v>
      </c>
      <c r="O88" s="661">
        <f t="shared" si="22"/>
        <v>0.38646999999999998</v>
      </c>
      <c r="P88" s="661">
        <f t="shared" si="22"/>
        <v>0.38646999999999998</v>
      </c>
      <c r="Q88" s="661">
        <f t="shared" si="22"/>
        <v>0.38646999999999998</v>
      </c>
      <c r="R88" s="661">
        <f t="shared" si="22"/>
        <v>0.38646999999999998</v>
      </c>
      <c r="S88" s="661">
        <f t="shared" si="22"/>
        <v>0.38646999999999998</v>
      </c>
      <c r="T88" s="661">
        <f t="shared" si="22"/>
        <v>0.38646999999999998</v>
      </c>
      <c r="U88" s="661">
        <f t="shared" si="22"/>
        <v>0.38646999999999998</v>
      </c>
      <c r="V88" s="661">
        <f t="shared" si="22"/>
        <v>0.38646999999999998</v>
      </c>
      <c r="X88" s="307" t="s">
        <v>701</v>
      </c>
      <c r="Y88" s="302">
        <v>207</v>
      </c>
      <c r="AA88" s="107" t="s">
        <v>700</v>
      </c>
      <c r="AB88" s="108">
        <v>193</v>
      </c>
    </row>
    <row r="89" spans="2:28" x14ac:dyDescent="0.25">
      <c r="B89" s="186" t="s">
        <v>490</v>
      </c>
      <c r="C89" s="186" t="s">
        <v>320</v>
      </c>
      <c r="D89" s="186"/>
      <c r="E89" s="186"/>
      <c r="F89" s="186" t="s">
        <v>412</v>
      </c>
      <c r="G89" s="660">
        <f t="shared" si="7"/>
        <v>0.31873000000000001</v>
      </c>
      <c r="H89" s="667">
        <f t="shared" si="20"/>
        <v>0.31873000000000001</v>
      </c>
      <c r="I89" s="661">
        <f t="shared" si="22"/>
        <v>0.31873000000000001</v>
      </c>
      <c r="J89" s="661">
        <f t="shared" si="22"/>
        <v>0.31873000000000001</v>
      </c>
      <c r="K89" s="661">
        <f t="shared" si="22"/>
        <v>0.31873000000000001</v>
      </c>
      <c r="L89" s="661">
        <f t="shared" si="22"/>
        <v>0.31873000000000001</v>
      </c>
      <c r="M89" s="661">
        <f t="shared" si="22"/>
        <v>0.31873000000000001</v>
      </c>
      <c r="N89" s="661">
        <f t="shared" si="22"/>
        <v>0.31873000000000001</v>
      </c>
      <c r="O89" s="661">
        <f t="shared" si="22"/>
        <v>0.31873000000000001</v>
      </c>
      <c r="P89" s="661">
        <f t="shared" si="22"/>
        <v>0.31873000000000001</v>
      </c>
      <c r="Q89" s="661">
        <f t="shared" si="22"/>
        <v>0.31873000000000001</v>
      </c>
      <c r="R89" s="661">
        <f t="shared" si="22"/>
        <v>0.31873000000000001</v>
      </c>
      <c r="S89" s="661">
        <f t="shared" si="22"/>
        <v>0.31873000000000001</v>
      </c>
      <c r="T89" s="661">
        <f t="shared" si="22"/>
        <v>0.31873000000000001</v>
      </c>
      <c r="U89" s="661">
        <f t="shared" si="22"/>
        <v>0.31873000000000001</v>
      </c>
      <c r="V89" s="661">
        <f t="shared" si="22"/>
        <v>0.31873000000000001</v>
      </c>
      <c r="X89" s="307" t="s">
        <v>701</v>
      </c>
      <c r="Y89" s="302">
        <v>251</v>
      </c>
      <c r="AA89" s="107" t="s">
        <v>700</v>
      </c>
      <c r="AB89" s="108">
        <v>235</v>
      </c>
    </row>
    <row r="90" spans="2:28" s="19" customFormat="1" x14ac:dyDescent="0.25">
      <c r="B90" s="186" t="s">
        <v>490</v>
      </c>
      <c r="C90" s="186" t="s">
        <v>321</v>
      </c>
      <c r="D90" s="186"/>
      <c r="E90" s="186"/>
      <c r="F90" s="186" t="s">
        <v>410</v>
      </c>
      <c r="G90" s="660">
        <f t="shared" si="7"/>
        <v>0.68376000000000003</v>
      </c>
      <c r="H90" s="667">
        <f t="shared" si="20"/>
        <v>0.68376000000000003</v>
      </c>
      <c r="I90" s="661">
        <f t="shared" si="22"/>
        <v>0.68376000000000003</v>
      </c>
      <c r="J90" s="661">
        <f t="shared" si="22"/>
        <v>0.68376000000000003</v>
      </c>
      <c r="K90" s="661">
        <f t="shared" si="22"/>
        <v>0.68376000000000003</v>
      </c>
      <c r="L90" s="661">
        <f t="shared" si="22"/>
        <v>0.68376000000000003</v>
      </c>
      <c r="M90" s="661">
        <f t="shared" si="22"/>
        <v>0.68376000000000003</v>
      </c>
      <c r="N90" s="661">
        <f t="shared" si="22"/>
        <v>0.68376000000000003</v>
      </c>
      <c r="O90" s="661">
        <f t="shared" si="22"/>
        <v>0.68376000000000003</v>
      </c>
      <c r="P90" s="661">
        <f t="shared" si="22"/>
        <v>0.68376000000000003</v>
      </c>
      <c r="Q90" s="661">
        <f t="shared" si="22"/>
        <v>0.68376000000000003</v>
      </c>
      <c r="R90" s="661">
        <f t="shared" si="22"/>
        <v>0.68376000000000003</v>
      </c>
      <c r="S90" s="661">
        <f t="shared" si="22"/>
        <v>0.68376000000000003</v>
      </c>
      <c r="T90" s="661">
        <f t="shared" si="22"/>
        <v>0.68376000000000003</v>
      </c>
      <c r="U90" s="661">
        <f t="shared" si="22"/>
        <v>0.68376000000000003</v>
      </c>
      <c r="V90" s="661">
        <f t="shared" si="22"/>
        <v>0.68376000000000003</v>
      </c>
      <c r="X90" s="307" t="s">
        <v>699</v>
      </c>
      <c r="Y90" s="302">
        <v>117</v>
      </c>
      <c r="AA90" s="107" t="s">
        <v>700</v>
      </c>
      <c r="AB90" s="108">
        <v>117</v>
      </c>
    </row>
    <row r="91" spans="2:28" s="19" customFormat="1" x14ac:dyDescent="0.25">
      <c r="B91" s="186" t="s">
        <v>490</v>
      </c>
      <c r="C91" s="186" t="s">
        <v>321</v>
      </c>
      <c r="D91" s="186"/>
      <c r="E91" s="186"/>
      <c r="F91" s="186" t="s">
        <v>412</v>
      </c>
      <c r="G91" s="660">
        <f t="shared" si="7"/>
        <v>0.87912000000000001</v>
      </c>
      <c r="H91" s="667">
        <f t="shared" si="20"/>
        <v>0.87912000000000001</v>
      </c>
      <c r="I91" s="661">
        <f t="shared" si="22"/>
        <v>0.87912000000000001</v>
      </c>
      <c r="J91" s="661">
        <f t="shared" si="22"/>
        <v>0.87912000000000001</v>
      </c>
      <c r="K91" s="661">
        <f t="shared" si="22"/>
        <v>0.87912000000000001</v>
      </c>
      <c r="L91" s="661">
        <f t="shared" si="22"/>
        <v>0.87912000000000001</v>
      </c>
      <c r="M91" s="661">
        <f t="shared" si="22"/>
        <v>0.87912000000000001</v>
      </c>
      <c r="N91" s="661">
        <f t="shared" si="22"/>
        <v>0.87912000000000001</v>
      </c>
      <c r="O91" s="661">
        <f t="shared" si="22"/>
        <v>0.87912000000000001</v>
      </c>
      <c r="P91" s="661">
        <f t="shared" si="22"/>
        <v>0.87912000000000001</v>
      </c>
      <c r="Q91" s="661">
        <f t="shared" si="22"/>
        <v>0.87912000000000001</v>
      </c>
      <c r="R91" s="661">
        <f t="shared" si="22"/>
        <v>0.87912000000000001</v>
      </c>
      <c r="S91" s="661">
        <f t="shared" si="22"/>
        <v>0.87912000000000001</v>
      </c>
      <c r="T91" s="661">
        <f t="shared" si="22"/>
        <v>0.87912000000000001</v>
      </c>
      <c r="U91" s="661">
        <f t="shared" si="22"/>
        <v>0.87912000000000001</v>
      </c>
      <c r="V91" s="661">
        <f t="shared" si="22"/>
        <v>0.87912000000000001</v>
      </c>
      <c r="X91" s="307" t="s">
        <v>699</v>
      </c>
      <c r="Y91" s="302">
        <v>91</v>
      </c>
      <c r="AA91" s="107" t="s">
        <v>700</v>
      </c>
      <c r="AB91" s="108">
        <v>92</v>
      </c>
    </row>
    <row r="92" spans="2:28" s="19" customFormat="1" x14ac:dyDescent="0.25">
      <c r="B92" s="186" t="s">
        <v>490</v>
      </c>
      <c r="C92" s="186" t="s">
        <v>322</v>
      </c>
      <c r="D92" s="186"/>
      <c r="E92" s="186"/>
      <c r="F92" s="186" t="s">
        <v>410</v>
      </c>
      <c r="G92" s="660">
        <f t="shared" si="7"/>
        <v>0.72726999999999997</v>
      </c>
      <c r="H92" s="667">
        <f t="shared" si="20"/>
        <v>0.72726999999999997</v>
      </c>
      <c r="I92" s="661">
        <f t="shared" si="22"/>
        <v>0.72726999999999997</v>
      </c>
      <c r="J92" s="661">
        <f t="shared" si="22"/>
        <v>0.72726999999999997</v>
      </c>
      <c r="K92" s="661">
        <f t="shared" si="22"/>
        <v>0.72726999999999997</v>
      </c>
      <c r="L92" s="661">
        <f t="shared" si="22"/>
        <v>0.72726999999999997</v>
      </c>
      <c r="M92" s="661">
        <f t="shared" si="22"/>
        <v>0.72726999999999997</v>
      </c>
      <c r="N92" s="661">
        <f t="shared" si="22"/>
        <v>0.72726999999999997</v>
      </c>
      <c r="O92" s="661">
        <f t="shared" si="22"/>
        <v>0.72726999999999997</v>
      </c>
      <c r="P92" s="661">
        <f t="shared" si="22"/>
        <v>0.72726999999999997</v>
      </c>
      <c r="Q92" s="661">
        <f t="shared" si="22"/>
        <v>0.72726999999999997</v>
      </c>
      <c r="R92" s="661">
        <f t="shared" si="22"/>
        <v>0.72726999999999997</v>
      </c>
      <c r="S92" s="661">
        <f t="shared" si="22"/>
        <v>0.72726999999999997</v>
      </c>
      <c r="T92" s="661">
        <f t="shared" si="22"/>
        <v>0.72726999999999997</v>
      </c>
      <c r="U92" s="661">
        <f t="shared" si="22"/>
        <v>0.72726999999999997</v>
      </c>
      <c r="V92" s="661">
        <f t="shared" si="22"/>
        <v>0.72726999999999997</v>
      </c>
      <c r="X92" s="307" t="s">
        <v>699</v>
      </c>
      <c r="Y92" s="302">
        <v>110</v>
      </c>
      <c r="AA92" s="107" t="s">
        <v>700</v>
      </c>
      <c r="AB92" s="108">
        <v>110</v>
      </c>
    </row>
    <row r="93" spans="2:28" s="19" customFormat="1" x14ac:dyDescent="0.25">
      <c r="B93" s="186" t="s">
        <v>490</v>
      </c>
      <c r="C93" s="186" t="s">
        <v>322</v>
      </c>
      <c r="D93" s="186"/>
      <c r="E93" s="186"/>
      <c r="F93" s="186" t="s">
        <v>412</v>
      </c>
      <c r="G93" s="660">
        <f t="shared" si="7"/>
        <v>0.82474000000000003</v>
      </c>
      <c r="H93" s="667">
        <f t="shared" si="20"/>
        <v>0.82474000000000003</v>
      </c>
      <c r="I93" s="661">
        <f t="shared" si="22"/>
        <v>0.82474000000000003</v>
      </c>
      <c r="J93" s="661">
        <f t="shared" si="22"/>
        <v>0.82474000000000003</v>
      </c>
      <c r="K93" s="661">
        <f t="shared" si="22"/>
        <v>0.82474000000000003</v>
      </c>
      <c r="L93" s="661">
        <f t="shared" si="22"/>
        <v>0.82474000000000003</v>
      </c>
      <c r="M93" s="661">
        <f t="shared" si="22"/>
        <v>0.82474000000000003</v>
      </c>
      <c r="N93" s="661">
        <f t="shared" si="22"/>
        <v>0.82474000000000003</v>
      </c>
      <c r="O93" s="661">
        <f t="shared" si="22"/>
        <v>0.82474000000000003</v>
      </c>
      <c r="P93" s="661">
        <f t="shared" si="22"/>
        <v>0.82474000000000003</v>
      </c>
      <c r="Q93" s="661">
        <f t="shared" si="22"/>
        <v>0.82474000000000003</v>
      </c>
      <c r="R93" s="661">
        <f t="shared" si="22"/>
        <v>0.82474000000000003</v>
      </c>
      <c r="S93" s="661">
        <f t="shared" si="22"/>
        <v>0.82474000000000003</v>
      </c>
      <c r="T93" s="661">
        <f t="shared" si="22"/>
        <v>0.82474000000000003</v>
      </c>
      <c r="U93" s="661">
        <f t="shared" si="22"/>
        <v>0.82474000000000003</v>
      </c>
      <c r="V93" s="661">
        <f t="shared" si="22"/>
        <v>0.82474000000000003</v>
      </c>
      <c r="X93" s="307" t="s">
        <v>699</v>
      </c>
      <c r="Y93" s="302">
        <v>97</v>
      </c>
      <c r="AA93" s="107" t="s">
        <v>700</v>
      </c>
      <c r="AB93" s="108">
        <v>99</v>
      </c>
    </row>
    <row r="94" spans="2:28" s="19" customFormat="1" x14ac:dyDescent="0.25">
      <c r="B94" s="22"/>
      <c r="C94" s="22"/>
      <c r="D94" s="22"/>
      <c r="E94" s="22"/>
      <c r="F94" s="22"/>
      <c r="G94" s="454"/>
      <c r="H94" s="132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X94" s="455"/>
      <c r="Y94" s="459"/>
      <c r="AA94" s="107"/>
      <c r="AB94" s="108"/>
    </row>
    <row r="96" spans="2:28" s="19" customFormat="1" x14ac:dyDescent="0.25">
      <c r="B96" s="466" t="s">
        <v>702</v>
      </c>
      <c r="C96" s="22"/>
      <c r="D96" s="22"/>
      <c r="E96" s="22"/>
      <c r="F96" s="22"/>
      <c r="G96" s="454"/>
      <c r="H96" s="132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X96" s="455"/>
      <c r="Y96" s="459"/>
      <c r="AA96" s="107"/>
      <c r="AB96" s="108"/>
    </row>
    <row r="97" spans="2:36" x14ac:dyDescent="0.25">
      <c r="B97" s="259" t="s">
        <v>463</v>
      </c>
      <c r="C97" s="259" t="s">
        <v>104</v>
      </c>
      <c r="D97" s="259" t="s">
        <v>465</v>
      </c>
      <c r="E97" s="259" t="s">
        <v>673</v>
      </c>
      <c r="F97" s="259" t="s">
        <v>674</v>
      </c>
      <c r="G97" s="160" t="s">
        <v>675</v>
      </c>
      <c r="H97" s="160" t="str">
        <f>INFO!C10</f>
        <v>Z01</v>
      </c>
      <c r="I97" s="160" t="str">
        <f>INFO!D10</f>
        <v>Z02</v>
      </c>
      <c r="J97" s="160" t="str">
        <f>INFO!E10</f>
        <v>Z03</v>
      </c>
      <c r="K97" s="160" t="str">
        <f>INFO!F10</f>
        <v>Z04</v>
      </c>
      <c r="L97" s="160" t="str">
        <f>INFO!G10</f>
        <v>Z05</v>
      </c>
      <c r="M97" s="160" t="str">
        <f>INFO!H10</f>
        <v>Z06</v>
      </c>
      <c r="N97" s="160" t="str">
        <f>INFO!I10</f>
        <v>Z07</v>
      </c>
      <c r="O97" s="160" t="str">
        <f>INFO!J10</f>
        <v>Z08</v>
      </c>
      <c r="P97" s="160" t="str">
        <f>INFO!K10</f>
        <v>Z09</v>
      </c>
      <c r="Q97" s="160" t="str">
        <f>INFO!L10</f>
        <v>Z10</v>
      </c>
      <c r="R97" s="160" t="str">
        <f>INFO!M10</f>
        <v>Z11</v>
      </c>
      <c r="S97" s="160" t="str">
        <f>INFO!N10</f>
        <v>Z12</v>
      </c>
      <c r="T97" s="160" t="str">
        <f>INFO!O10</f>
        <v>Z13</v>
      </c>
      <c r="U97" s="160" t="str">
        <f>INFO!P10</f>
        <v>Z14</v>
      </c>
      <c r="V97" s="160" t="str">
        <f>INFO!Q10</f>
        <v>Z15</v>
      </c>
      <c r="W97" s="110"/>
      <c r="X97" s="460" t="s">
        <v>676</v>
      </c>
      <c r="Y97" s="109" t="s">
        <v>677</v>
      </c>
      <c r="AA97" s="460" t="s">
        <v>676</v>
      </c>
      <c r="AB97" s="109" t="s">
        <v>677</v>
      </c>
    </row>
    <row r="98" spans="2:36" x14ac:dyDescent="0.25">
      <c r="B98" s="259"/>
      <c r="C98" s="259"/>
      <c r="D98" s="259"/>
      <c r="E98" s="259"/>
      <c r="F98" s="259"/>
      <c r="G98" s="160" t="s">
        <v>678</v>
      </c>
      <c r="H98" s="160" t="s">
        <v>678</v>
      </c>
      <c r="I98" s="160" t="s">
        <v>678</v>
      </c>
      <c r="J98" s="160" t="s">
        <v>678</v>
      </c>
      <c r="K98" s="160" t="s">
        <v>678</v>
      </c>
      <c r="L98" s="160" t="s">
        <v>678</v>
      </c>
      <c r="M98" s="160" t="s">
        <v>678</v>
      </c>
      <c r="N98" s="160" t="s">
        <v>678</v>
      </c>
      <c r="O98" s="160" t="s">
        <v>678</v>
      </c>
      <c r="P98" s="160" t="s">
        <v>678</v>
      </c>
      <c r="Q98" s="160" t="s">
        <v>678</v>
      </c>
      <c r="R98" s="160" t="s">
        <v>678</v>
      </c>
      <c r="S98" s="160" t="s">
        <v>678</v>
      </c>
      <c r="T98" s="160" t="s">
        <v>678</v>
      </c>
      <c r="U98" s="160" t="s">
        <v>678</v>
      </c>
      <c r="V98" s="160" t="s">
        <v>678</v>
      </c>
      <c r="W98" s="110"/>
      <c r="X98" s="109"/>
      <c r="Y98" s="109" t="s">
        <v>679</v>
      </c>
      <c r="AA98" s="109"/>
      <c r="AB98" s="109" t="s">
        <v>679</v>
      </c>
    </row>
    <row r="99" spans="2:36" x14ac:dyDescent="0.25">
      <c r="B99" s="186" t="s">
        <v>76</v>
      </c>
      <c r="C99" s="186" t="s">
        <v>323</v>
      </c>
      <c r="D99" s="186"/>
      <c r="E99" s="186"/>
      <c r="F99" s="186" t="s">
        <v>76</v>
      </c>
      <c r="G99" s="660">
        <f t="shared" ref="G99:G102" si="23">ROUND(10^2/Y99,5)</f>
        <v>1.8799399999999999</v>
      </c>
      <c r="H99" s="667">
        <f>$G99</f>
        <v>1.8799399999999999</v>
      </c>
      <c r="I99" s="667">
        <f>$H99</f>
        <v>1.8799399999999999</v>
      </c>
      <c r="J99" s="667">
        <f t="shared" ref="I99:V102" si="24">$H99</f>
        <v>1.8799399999999999</v>
      </c>
      <c r="K99" s="667">
        <f t="shared" si="24"/>
        <v>1.8799399999999999</v>
      </c>
      <c r="L99" s="667">
        <f t="shared" si="24"/>
        <v>1.8799399999999999</v>
      </c>
      <c r="M99" s="667">
        <f t="shared" si="24"/>
        <v>1.8799399999999999</v>
      </c>
      <c r="N99" s="667">
        <f t="shared" si="24"/>
        <v>1.8799399999999999</v>
      </c>
      <c r="O99" s="667">
        <f t="shared" si="24"/>
        <v>1.8799399999999999</v>
      </c>
      <c r="P99" s="667">
        <f t="shared" si="24"/>
        <v>1.8799399999999999</v>
      </c>
      <c r="Q99" s="667">
        <f t="shared" si="24"/>
        <v>1.8799399999999999</v>
      </c>
      <c r="R99" s="667">
        <f t="shared" si="24"/>
        <v>1.8799399999999999</v>
      </c>
      <c r="S99" s="667">
        <f t="shared" si="24"/>
        <v>1.8799399999999999</v>
      </c>
      <c r="T99" s="667">
        <f t="shared" si="24"/>
        <v>1.8799399999999999</v>
      </c>
      <c r="U99" s="667">
        <f t="shared" si="24"/>
        <v>1.8799399999999999</v>
      </c>
      <c r="V99" s="667">
        <f t="shared" si="24"/>
        <v>1.8799399999999999</v>
      </c>
      <c r="X99" s="307" t="s">
        <v>703</v>
      </c>
      <c r="Y99" s="412">
        <f>Y100*Y76/Y82</f>
        <v>53.193236714975846</v>
      </c>
      <c r="AA99" s="107" t="s">
        <v>704</v>
      </c>
      <c r="AB99" s="108">
        <v>143</v>
      </c>
    </row>
    <row r="100" spans="2:36" x14ac:dyDescent="0.25">
      <c r="B100" s="186" t="s">
        <v>76</v>
      </c>
      <c r="C100" s="186" t="s">
        <v>324</v>
      </c>
      <c r="D100" s="186"/>
      <c r="E100" s="186"/>
      <c r="F100" s="186" t="s">
        <v>76</v>
      </c>
      <c r="G100" s="660">
        <f t="shared" si="23"/>
        <v>0.69930000000000003</v>
      </c>
      <c r="H100" s="667">
        <f>$G100</f>
        <v>0.69930000000000003</v>
      </c>
      <c r="I100" s="667">
        <f t="shared" si="24"/>
        <v>0.69930000000000003</v>
      </c>
      <c r="J100" s="667">
        <f t="shared" si="24"/>
        <v>0.69930000000000003</v>
      </c>
      <c r="K100" s="667">
        <f t="shared" si="24"/>
        <v>0.69930000000000003</v>
      </c>
      <c r="L100" s="667">
        <f t="shared" si="24"/>
        <v>0.69930000000000003</v>
      </c>
      <c r="M100" s="667">
        <f t="shared" si="24"/>
        <v>0.69930000000000003</v>
      </c>
      <c r="N100" s="667">
        <f t="shared" si="24"/>
        <v>0.69930000000000003</v>
      </c>
      <c r="O100" s="667">
        <f t="shared" si="24"/>
        <v>0.69930000000000003</v>
      </c>
      <c r="P100" s="667">
        <f t="shared" si="24"/>
        <v>0.69930000000000003</v>
      </c>
      <c r="Q100" s="667">
        <f t="shared" si="24"/>
        <v>0.69930000000000003</v>
      </c>
      <c r="R100" s="667">
        <f t="shared" si="24"/>
        <v>0.69930000000000003</v>
      </c>
      <c r="S100" s="667">
        <f t="shared" si="24"/>
        <v>0.69930000000000003</v>
      </c>
      <c r="T100" s="667">
        <f t="shared" si="24"/>
        <v>0.69930000000000003</v>
      </c>
      <c r="U100" s="667">
        <f t="shared" si="24"/>
        <v>0.69930000000000003</v>
      </c>
      <c r="V100" s="667">
        <f t="shared" si="24"/>
        <v>0.69930000000000003</v>
      </c>
      <c r="X100" s="307" t="s">
        <v>704</v>
      </c>
      <c r="Y100" s="302">
        <v>143</v>
      </c>
      <c r="AA100" s="107" t="s">
        <v>704</v>
      </c>
      <c r="AB100" s="108">
        <v>143</v>
      </c>
    </row>
    <row r="101" spans="2:36" x14ac:dyDescent="0.25">
      <c r="B101" s="186" t="s">
        <v>76</v>
      </c>
      <c r="C101" s="186" t="s">
        <v>542</v>
      </c>
      <c r="D101" s="186"/>
      <c r="E101" s="186"/>
      <c r="F101" s="186" t="s">
        <v>494</v>
      </c>
      <c r="G101" s="660">
        <f t="shared" si="23"/>
        <v>1.8799399999999999</v>
      </c>
      <c r="H101" s="667">
        <f>$G101</f>
        <v>1.8799399999999999</v>
      </c>
      <c r="I101" s="667">
        <f t="shared" si="24"/>
        <v>1.8799399999999999</v>
      </c>
      <c r="J101" s="667">
        <f t="shared" si="24"/>
        <v>1.8799399999999999</v>
      </c>
      <c r="K101" s="667">
        <f t="shared" si="24"/>
        <v>1.8799399999999999</v>
      </c>
      <c r="L101" s="667">
        <f t="shared" si="24"/>
        <v>1.8799399999999999</v>
      </c>
      <c r="M101" s="667">
        <f t="shared" si="24"/>
        <v>1.8799399999999999</v>
      </c>
      <c r="N101" s="667">
        <f t="shared" si="24"/>
        <v>1.8799399999999999</v>
      </c>
      <c r="O101" s="667">
        <f t="shared" si="24"/>
        <v>1.8799399999999999</v>
      </c>
      <c r="P101" s="667">
        <f t="shared" si="24"/>
        <v>1.8799399999999999</v>
      </c>
      <c r="Q101" s="667">
        <f t="shared" si="24"/>
        <v>1.8799399999999999</v>
      </c>
      <c r="R101" s="667">
        <f t="shared" si="24"/>
        <v>1.8799399999999999</v>
      </c>
      <c r="S101" s="667">
        <f t="shared" si="24"/>
        <v>1.8799399999999999</v>
      </c>
      <c r="T101" s="667">
        <f t="shared" si="24"/>
        <v>1.8799399999999999</v>
      </c>
      <c r="U101" s="667">
        <f t="shared" si="24"/>
        <v>1.8799399999999999</v>
      </c>
      <c r="V101" s="667">
        <f t="shared" si="24"/>
        <v>1.8799399999999999</v>
      </c>
      <c r="X101" s="307" t="s">
        <v>703</v>
      </c>
      <c r="Y101" s="412">
        <f>Y102*Y76/Y82</f>
        <v>53.193236714975846</v>
      </c>
      <c r="AA101" s="107" t="s">
        <v>704</v>
      </c>
      <c r="AB101" s="108">
        <v>143</v>
      </c>
    </row>
    <row r="102" spans="2:36" x14ac:dyDescent="0.25">
      <c r="B102" s="186" t="s">
        <v>76</v>
      </c>
      <c r="C102" s="186" t="s">
        <v>543</v>
      </c>
      <c r="D102" s="186"/>
      <c r="E102" s="186"/>
      <c r="F102" s="186" t="s">
        <v>494</v>
      </c>
      <c r="G102" s="660">
        <f t="shared" si="23"/>
        <v>0.69930000000000003</v>
      </c>
      <c r="H102" s="667">
        <f>$G102</f>
        <v>0.69930000000000003</v>
      </c>
      <c r="I102" s="667">
        <f t="shared" si="24"/>
        <v>0.69930000000000003</v>
      </c>
      <c r="J102" s="667">
        <f t="shared" si="24"/>
        <v>0.69930000000000003</v>
      </c>
      <c r="K102" s="667">
        <f t="shared" si="24"/>
        <v>0.69930000000000003</v>
      </c>
      <c r="L102" s="667">
        <f t="shared" si="24"/>
        <v>0.69930000000000003</v>
      </c>
      <c r="M102" s="667">
        <f t="shared" si="24"/>
        <v>0.69930000000000003</v>
      </c>
      <c r="N102" s="667">
        <f t="shared" si="24"/>
        <v>0.69930000000000003</v>
      </c>
      <c r="O102" s="667">
        <f t="shared" si="24"/>
        <v>0.69930000000000003</v>
      </c>
      <c r="P102" s="667">
        <f t="shared" si="24"/>
        <v>0.69930000000000003</v>
      </c>
      <c r="Q102" s="667">
        <f t="shared" si="24"/>
        <v>0.69930000000000003</v>
      </c>
      <c r="R102" s="667">
        <f t="shared" si="24"/>
        <v>0.69930000000000003</v>
      </c>
      <c r="S102" s="667">
        <f t="shared" si="24"/>
        <v>0.69930000000000003</v>
      </c>
      <c r="T102" s="667">
        <f t="shared" si="24"/>
        <v>0.69930000000000003</v>
      </c>
      <c r="U102" s="667">
        <f t="shared" si="24"/>
        <v>0.69930000000000003</v>
      </c>
      <c r="V102" s="667">
        <f t="shared" si="24"/>
        <v>0.69930000000000003</v>
      </c>
      <c r="X102" s="307" t="s">
        <v>704</v>
      </c>
      <c r="Y102" s="302">
        <v>143</v>
      </c>
      <c r="AA102" s="107" t="s">
        <v>704</v>
      </c>
      <c r="AB102" s="108">
        <v>143</v>
      </c>
    </row>
    <row r="103" spans="2:36" x14ac:dyDescent="0.25">
      <c r="B103" s="22"/>
      <c r="C103" s="22"/>
      <c r="D103" s="22"/>
      <c r="E103" s="22"/>
      <c r="F103" s="22"/>
      <c r="G103" s="454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X103" s="455"/>
      <c r="Y103" s="459"/>
      <c r="AA103" s="107"/>
      <c r="AB103" s="108"/>
    </row>
    <row r="104" spans="2:36" x14ac:dyDescent="0.25">
      <c r="B104" s="22"/>
      <c r="C104" s="22"/>
      <c r="D104" s="22"/>
      <c r="E104" s="22"/>
      <c r="F104" s="22"/>
      <c r="G104" s="454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X104" s="455"/>
      <c r="Y104" s="459"/>
      <c r="AA104" s="107"/>
      <c r="AB104" s="108"/>
    </row>
    <row r="105" spans="2:36" x14ac:dyDescent="0.25">
      <c r="B105" s="466" t="s">
        <v>705</v>
      </c>
      <c r="G105" s="822">
        <v>1</v>
      </c>
      <c r="X105" s="106" t="s">
        <v>693</v>
      </c>
      <c r="AA105" s="106" t="s">
        <v>694</v>
      </c>
    </row>
    <row r="106" spans="2:36" x14ac:dyDescent="0.25">
      <c r="B106" s="259" t="s">
        <v>463</v>
      </c>
      <c r="C106" s="259" t="s">
        <v>104</v>
      </c>
      <c r="D106" s="259" t="s">
        <v>465</v>
      </c>
      <c r="E106" s="259" t="s">
        <v>673</v>
      </c>
      <c r="F106" s="259" t="s">
        <v>674</v>
      </c>
      <c r="G106" s="160" t="s">
        <v>675</v>
      </c>
      <c r="H106" s="160" t="str">
        <f>INFO!C10</f>
        <v>Z01</v>
      </c>
      <c r="I106" s="160" t="str">
        <f>INFO!D10</f>
        <v>Z02</v>
      </c>
      <c r="J106" s="160" t="str">
        <f>INFO!E10</f>
        <v>Z03</v>
      </c>
      <c r="K106" s="160" t="str">
        <f>INFO!F10</f>
        <v>Z04</v>
      </c>
      <c r="L106" s="160" t="str">
        <f>INFO!G10</f>
        <v>Z05</v>
      </c>
      <c r="M106" s="160" t="str">
        <f>INFO!H10</f>
        <v>Z06</v>
      </c>
      <c r="N106" s="160" t="str">
        <f>INFO!I10</f>
        <v>Z07</v>
      </c>
      <c r="O106" s="160" t="str">
        <f>INFO!J10</f>
        <v>Z08</v>
      </c>
      <c r="P106" s="160" t="str">
        <f>INFO!K10</f>
        <v>Z09</v>
      </c>
      <c r="Q106" s="160" t="str">
        <f>INFO!L10</f>
        <v>Z10</v>
      </c>
      <c r="R106" s="160" t="str">
        <f>INFO!M10</f>
        <v>Z11</v>
      </c>
      <c r="S106" s="160" t="str">
        <f>INFO!N10</f>
        <v>Z12</v>
      </c>
      <c r="T106" s="160" t="str">
        <f>INFO!O10</f>
        <v>Z13</v>
      </c>
      <c r="U106" s="160" t="str">
        <f>INFO!P10</f>
        <v>Z14</v>
      </c>
      <c r="V106" s="160" t="str">
        <f>INFO!Q10</f>
        <v>Z15</v>
      </c>
      <c r="W106" s="110"/>
      <c r="X106" s="460" t="s">
        <v>676</v>
      </c>
      <c r="Y106" s="109" t="s">
        <v>677</v>
      </c>
      <c r="AA106" s="460" t="s">
        <v>676</v>
      </c>
      <c r="AB106" s="109" t="s">
        <v>677</v>
      </c>
      <c r="AD106" s="460"/>
      <c r="AE106" s="109"/>
      <c r="AF106" s="460"/>
      <c r="AG106" s="109"/>
      <c r="AH106" s="460"/>
      <c r="AI106" s="109"/>
      <c r="AJ106" s="460"/>
    </row>
    <row r="107" spans="2:36" x14ac:dyDescent="0.25">
      <c r="B107" s="259"/>
      <c r="C107" s="259"/>
      <c r="D107" s="259"/>
      <c r="E107" s="259"/>
      <c r="F107" s="259"/>
      <c r="G107" s="160" t="s">
        <v>678</v>
      </c>
      <c r="H107" s="160" t="s">
        <v>678</v>
      </c>
      <c r="I107" s="160" t="s">
        <v>678</v>
      </c>
      <c r="J107" s="160" t="s">
        <v>678</v>
      </c>
      <c r="K107" s="160" t="s">
        <v>678</v>
      </c>
      <c r="L107" s="160" t="s">
        <v>678</v>
      </c>
      <c r="M107" s="160" t="s">
        <v>678</v>
      </c>
      <c r="N107" s="160" t="s">
        <v>678</v>
      </c>
      <c r="O107" s="160" t="s">
        <v>678</v>
      </c>
      <c r="P107" s="160" t="s">
        <v>678</v>
      </c>
      <c r="Q107" s="160" t="s">
        <v>678</v>
      </c>
      <c r="R107" s="160" t="s">
        <v>678</v>
      </c>
      <c r="S107" s="160" t="s">
        <v>678</v>
      </c>
      <c r="T107" s="160" t="s">
        <v>678</v>
      </c>
      <c r="U107" s="160" t="s">
        <v>678</v>
      </c>
      <c r="V107" s="160" t="s">
        <v>678</v>
      </c>
      <c r="W107" s="110"/>
      <c r="X107" s="109"/>
      <c r="Y107" s="109" t="s">
        <v>679</v>
      </c>
      <c r="AA107" s="109"/>
      <c r="AB107" s="109" t="s">
        <v>679</v>
      </c>
      <c r="AD107" s="109"/>
      <c r="AE107" s="109"/>
      <c r="AF107" s="109" t="s">
        <v>679</v>
      </c>
      <c r="AG107" s="109" t="s">
        <v>695</v>
      </c>
      <c r="AH107" s="109" t="s">
        <v>696</v>
      </c>
      <c r="AI107" s="109" t="s">
        <v>697</v>
      </c>
      <c r="AJ107" s="109" t="s">
        <v>698</v>
      </c>
    </row>
    <row r="108" spans="2:36" x14ac:dyDescent="0.25">
      <c r="B108" s="186" t="s">
        <v>77</v>
      </c>
      <c r="C108" s="186" t="s">
        <v>325</v>
      </c>
      <c r="D108" s="186"/>
      <c r="E108" s="186"/>
      <c r="F108" s="186" t="s">
        <v>415</v>
      </c>
      <c r="G108" s="660">
        <f>ROUND(10^2/(Y108*$G$105),5)</f>
        <v>6.6669999999999993E-2</v>
      </c>
      <c r="H108" s="667">
        <f t="shared" ref="H108:H151" si="25">$G108</f>
        <v>6.6669999999999993E-2</v>
      </c>
      <c r="I108" s="667">
        <f t="shared" ref="I108:V117" si="26">$H108</f>
        <v>6.6669999999999993E-2</v>
      </c>
      <c r="J108" s="667">
        <f t="shared" si="26"/>
        <v>6.6669999999999993E-2</v>
      </c>
      <c r="K108" s="667">
        <f t="shared" si="26"/>
        <v>6.6669999999999993E-2</v>
      </c>
      <c r="L108" s="667">
        <f t="shared" si="26"/>
        <v>6.6669999999999993E-2</v>
      </c>
      <c r="M108" s="667">
        <f t="shared" si="26"/>
        <v>6.6669999999999993E-2</v>
      </c>
      <c r="N108" s="667">
        <f t="shared" si="26"/>
        <v>6.6669999999999993E-2</v>
      </c>
      <c r="O108" s="667">
        <f t="shared" si="26"/>
        <v>6.6669999999999993E-2</v>
      </c>
      <c r="P108" s="667">
        <f t="shared" si="26"/>
        <v>6.6669999999999993E-2</v>
      </c>
      <c r="Q108" s="667">
        <f t="shared" si="26"/>
        <v>6.6669999999999993E-2</v>
      </c>
      <c r="R108" s="667">
        <f t="shared" si="26"/>
        <v>6.6669999999999993E-2</v>
      </c>
      <c r="S108" s="667">
        <f t="shared" si="26"/>
        <v>6.6669999999999993E-2</v>
      </c>
      <c r="T108" s="667">
        <f t="shared" si="26"/>
        <v>6.6669999999999993E-2</v>
      </c>
      <c r="U108" s="667">
        <f t="shared" si="26"/>
        <v>6.6669999999999993E-2</v>
      </c>
      <c r="V108" s="667">
        <f t="shared" si="26"/>
        <v>6.6669999999999993E-2</v>
      </c>
      <c r="X108" s="307"/>
      <c r="Y108" s="302">
        <f>Y110</f>
        <v>1500</v>
      </c>
      <c r="AA108" s="107" t="s">
        <v>706</v>
      </c>
      <c r="AB108" s="108"/>
      <c r="AD108" t="str">
        <f>MID(C108, 1, 7)</f>
        <v>TBUSBDL</v>
      </c>
      <c r="AE108" t="str">
        <f>MID(F108, 1, 3)</f>
        <v>TBU</v>
      </c>
      <c r="AF108">
        <f>Y108</f>
        <v>1500</v>
      </c>
      <c r="AG108" s="105">
        <f>AF108/10/3.6</f>
        <v>41.666666666666664</v>
      </c>
      <c r="AH108">
        <v>9.8000000000000007</v>
      </c>
      <c r="AI108" s="105">
        <f>AG108/AH108</f>
        <v>4.2517006802721085</v>
      </c>
      <c r="AJ108" s="105">
        <f t="shared" ref="AJ108:AJ109" si="27">AI108*$G$105</f>
        <v>4.2517006802721085</v>
      </c>
    </row>
    <row r="109" spans="2:36" x14ac:dyDescent="0.25">
      <c r="B109" s="186" t="s">
        <v>77</v>
      </c>
      <c r="C109" s="186" t="s">
        <v>707</v>
      </c>
      <c r="D109" s="186"/>
      <c r="E109" s="186"/>
      <c r="F109" s="186" t="s">
        <v>593</v>
      </c>
      <c r="G109" s="660">
        <f t="shared" ref="G109:G151" si="28">ROUND(10^2/(Y109*$G$105),5)</f>
        <v>6.6669999999999993E-2</v>
      </c>
      <c r="H109" s="667">
        <f t="shared" si="25"/>
        <v>6.6669999999999993E-2</v>
      </c>
      <c r="I109" s="667">
        <f t="shared" si="26"/>
        <v>6.6669999999999993E-2</v>
      </c>
      <c r="J109" s="667">
        <f t="shared" si="26"/>
        <v>6.6669999999999993E-2</v>
      </c>
      <c r="K109" s="667">
        <f t="shared" si="26"/>
        <v>6.6669999999999993E-2</v>
      </c>
      <c r="L109" s="667">
        <f t="shared" si="26"/>
        <v>6.6669999999999993E-2</v>
      </c>
      <c r="M109" s="667">
        <f t="shared" si="26"/>
        <v>6.6669999999999993E-2</v>
      </c>
      <c r="N109" s="667">
        <f t="shared" si="26"/>
        <v>6.6669999999999993E-2</v>
      </c>
      <c r="O109" s="667">
        <f t="shared" si="26"/>
        <v>6.6669999999999993E-2</v>
      </c>
      <c r="P109" s="667">
        <f t="shared" si="26"/>
        <v>6.6669999999999993E-2</v>
      </c>
      <c r="Q109" s="667">
        <f t="shared" si="26"/>
        <v>6.6669999999999993E-2</v>
      </c>
      <c r="R109" s="667">
        <f t="shared" si="26"/>
        <v>6.6669999999999993E-2</v>
      </c>
      <c r="S109" s="667">
        <f t="shared" si="26"/>
        <v>6.6669999999999993E-2</v>
      </c>
      <c r="T109" s="667">
        <f t="shared" si="26"/>
        <v>6.6669999999999993E-2</v>
      </c>
      <c r="U109" s="667">
        <f t="shared" si="26"/>
        <v>6.6669999999999993E-2</v>
      </c>
      <c r="V109" s="667">
        <f t="shared" si="26"/>
        <v>6.6669999999999993E-2</v>
      </c>
      <c r="X109" s="307"/>
      <c r="Y109" s="302">
        <f>Y111</f>
        <v>1500</v>
      </c>
      <c r="AA109" s="107" t="s">
        <v>706</v>
      </c>
      <c r="AB109" s="108"/>
      <c r="AD109" t="str">
        <f>MID(C109, 1, 7)</f>
        <v>TBUSBDL</v>
      </c>
      <c r="AE109" t="str">
        <f t="shared" ref="AE109:AE127" si="29">MID(F109, 1, 3)</f>
        <v>TBU</v>
      </c>
      <c r="AF109">
        <f>Y109</f>
        <v>1500</v>
      </c>
      <c r="AG109" s="105">
        <f t="shared" ref="AG109:AG127" si="30">AF109/10/3.6</f>
        <v>41.666666666666664</v>
      </c>
      <c r="AH109">
        <v>9.8000000000000007</v>
      </c>
      <c r="AI109" s="105">
        <f>AG109/AH109</f>
        <v>4.2517006802721085</v>
      </c>
      <c r="AJ109" s="105">
        <f t="shared" si="27"/>
        <v>4.2517006802721085</v>
      </c>
    </row>
    <row r="110" spans="2:36" x14ac:dyDescent="0.25">
      <c r="B110" s="186" t="s">
        <v>77</v>
      </c>
      <c r="C110" s="186" t="s">
        <v>326</v>
      </c>
      <c r="D110" s="186"/>
      <c r="E110" s="186"/>
      <c r="F110" s="186" t="s">
        <v>415</v>
      </c>
      <c r="G110" s="660">
        <f t="shared" si="28"/>
        <v>6.6669999999999993E-2</v>
      </c>
      <c r="H110" s="667">
        <f t="shared" si="25"/>
        <v>6.6669999999999993E-2</v>
      </c>
      <c r="I110" s="667">
        <f t="shared" si="26"/>
        <v>6.6669999999999993E-2</v>
      </c>
      <c r="J110" s="667">
        <f t="shared" si="26"/>
        <v>6.6669999999999993E-2</v>
      </c>
      <c r="K110" s="667">
        <f t="shared" si="26"/>
        <v>6.6669999999999993E-2</v>
      </c>
      <c r="L110" s="667">
        <f t="shared" si="26"/>
        <v>6.6669999999999993E-2</v>
      </c>
      <c r="M110" s="667">
        <f t="shared" si="26"/>
        <v>6.6669999999999993E-2</v>
      </c>
      <c r="N110" s="667">
        <f t="shared" si="26"/>
        <v>6.6669999999999993E-2</v>
      </c>
      <c r="O110" s="667">
        <f t="shared" si="26"/>
        <v>6.6669999999999993E-2</v>
      </c>
      <c r="P110" s="667">
        <f t="shared" si="26"/>
        <v>6.6669999999999993E-2</v>
      </c>
      <c r="Q110" s="667">
        <f t="shared" si="26"/>
        <v>6.6669999999999993E-2</v>
      </c>
      <c r="R110" s="667">
        <f t="shared" si="26"/>
        <v>6.6669999999999993E-2</v>
      </c>
      <c r="S110" s="667">
        <f t="shared" si="26"/>
        <v>6.6669999999999993E-2</v>
      </c>
      <c r="T110" s="667">
        <f t="shared" si="26"/>
        <v>6.6669999999999993E-2</v>
      </c>
      <c r="U110" s="667">
        <f t="shared" si="26"/>
        <v>6.6669999999999993E-2</v>
      </c>
      <c r="V110" s="667">
        <f t="shared" si="26"/>
        <v>6.6669999999999993E-2</v>
      </c>
      <c r="X110" s="307" t="s">
        <v>708</v>
      </c>
      <c r="Y110" s="302">
        <v>1500</v>
      </c>
      <c r="AA110" s="107" t="s">
        <v>708</v>
      </c>
      <c r="AB110" s="108">
        <v>1390</v>
      </c>
      <c r="AD110" t="str">
        <f t="shared" ref="AD110:AD127" si="31">MID(C110, 1, 7)</f>
        <v>TBUSDST</v>
      </c>
      <c r="AE110" t="str">
        <f t="shared" si="29"/>
        <v>TBU</v>
      </c>
      <c r="AF110">
        <v>1200</v>
      </c>
      <c r="AG110" s="105">
        <f t="shared" si="30"/>
        <v>33.333333333333336</v>
      </c>
      <c r="AH110">
        <v>9.8000000000000007</v>
      </c>
      <c r="AI110" s="105">
        <f>AG110/AH110</f>
        <v>3.4013605442176869</v>
      </c>
      <c r="AJ110" s="105">
        <f>AI110*$G$105</f>
        <v>3.4013605442176869</v>
      </c>
    </row>
    <row r="111" spans="2:36" x14ac:dyDescent="0.25">
      <c r="B111" s="186" t="s">
        <v>77</v>
      </c>
      <c r="C111" s="186" t="s">
        <v>326</v>
      </c>
      <c r="D111" s="186"/>
      <c r="E111" s="186"/>
      <c r="F111" s="186" t="s">
        <v>593</v>
      </c>
      <c r="G111" s="660">
        <f t="shared" si="28"/>
        <v>6.6669999999999993E-2</v>
      </c>
      <c r="H111" s="667">
        <f t="shared" si="25"/>
        <v>6.6669999999999993E-2</v>
      </c>
      <c r="I111" s="667">
        <f t="shared" si="26"/>
        <v>6.6669999999999993E-2</v>
      </c>
      <c r="J111" s="667">
        <f t="shared" si="26"/>
        <v>6.6669999999999993E-2</v>
      </c>
      <c r="K111" s="667">
        <f t="shared" si="26"/>
        <v>6.6669999999999993E-2</v>
      </c>
      <c r="L111" s="667">
        <f t="shared" si="26"/>
        <v>6.6669999999999993E-2</v>
      </c>
      <c r="M111" s="667">
        <f t="shared" si="26"/>
        <v>6.6669999999999993E-2</v>
      </c>
      <c r="N111" s="667">
        <f t="shared" si="26"/>
        <v>6.6669999999999993E-2</v>
      </c>
      <c r="O111" s="667">
        <f t="shared" si="26"/>
        <v>6.6669999999999993E-2</v>
      </c>
      <c r="P111" s="667">
        <f t="shared" si="26"/>
        <v>6.6669999999999993E-2</v>
      </c>
      <c r="Q111" s="667">
        <f t="shared" si="26"/>
        <v>6.6669999999999993E-2</v>
      </c>
      <c r="R111" s="667">
        <f t="shared" si="26"/>
        <v>6.6669999999999993E-2</v>
      </c>
      <c r="S111" s="667">
        <f t="shared" si="26"/>
        <v>6.6669999999999993E-2</v>
      </c>
      <c r="T111" s="667">
        <f t="shared" si="26"/>
        <v>6.6669999999999993E-2</v>
      </c>
      <c r="U111" s="667">
        <f t="shared" si="26"/>
        <v>6.6669999999999993E-2</v>
      </c>
      <c r="V111" s="667">
        <f t="shared" si="26"/>
        <v>6.6669999999999993E-2</v>
      </c>
      <c r="X111" s="307" t="s">
        <v>708</v>
      </c>
      <c r="Y111" s="302">
        <v>1500</v>
      </c>
      <c r="AA111" s="107" t="s">
        <v>708</v>
      </c>
      <c r="AB111" s="108">
        <v>1390</v>
      </c>
      <c r="AD111" t="str">
        <f t="shared" si="31"/>
        <v>TBUSDST</v>
      </c>
      <c r="AE111" t="str">
        <f t="shared" si="29"/>
        <v>TBU</v>
      </c>
      <c r="AF111">
        <v>1200</v>
      </c>
      <c r="AG111" s="105">
        <f t="shared" si="30"/>
        <v>33.333333333333336</v>
      </c>
      <c r="AH111">
        <v>9.8000000000000007</v>
      </c>
      <c r="AI111" s="105">
        <f>AG111/AH111</f>
        <v>3.4013605442176869</v>
      </c>
      <c r="AJ111" s="105">
        <f t="shared" ref="AJ111:AJ127" si="32">AI111*$G$105</f>
        <v>3.4013605442176869</v>
      </c>
    </row>
    <row r="112" spans="2:36" x14ac:dyDescent="0.25">
      <c r="B112" s="186" t="s">
        <v>77</v>
      </c>
      <c r="C112" s="186" t="s">
        <v>327</v>
      </c>
      <c r="D112" s="186"/>
      <c r="E112" s="186"/>
      <c r="F112" s="186" t="s">
        <v>415</v>
      </c>
      <c r="G112" s="660">
        <f t="shared" si="28"/>
        <v>0.16667000000000001</v>
      </c>
      <c r="H112" s="667">
        <f t="shared" si="25"/>
        <v>0.16667000000000001</v>
      </c>
      <c r="I112" s="667">
        <f t="shared" si="26"/>
        <v>0.16667000000000001</v>
      </c>
      <c r="J112" s="667">
        <f t="shared" si="26"/>
        <v>0.16667000000000001</v>
      </c>
      <c r="K112" s="667">
        <f t="shared" si="26"/>
        <v>0.16667000000000001</v>
      </c>
      <c r="L112" s="667">
        <f t="shared" si="26"/>
        <v>0.16667000000000001</v>
      </c>
      <c r="M112" s="667">
        <f t="shared" si="26"/>
        <v>0.16667000000000001</v>
      </c>
      <c r="N112" s="667">
        <f t="shared" si="26"/>
        <v>0.16667000000000001</v>
      </c>
      <c r="O112" s="667">
        <f t="shared" si="26"/>
        <v>0.16667000000000001</v>
      </c>
      <c r="P112" s="667">
        <f t="shared" si="26"/>
        <v>0.16667000000000001</v>
      </c>
      <c r="Q112" s="667">
        <f t="shared" si="26"/>
        <v>0.16667000000000001</v>
      </c>
      <c r="R112" s="667">
        <f t="shared" si="26"/>
        <v>0.16667000000000001</v>
      </c>
      <c r="S112" s="667">
        <f t="shared" si="26"/>
        <v>0.16667000000000001</v>
      </c>
      <c r="T112" s="667">
        <f t="shared" si="26"/>
        <v>0.16667000000000001</v>
      </c>
      <c r="U112" s="667">
        <f t="shared" si="26"/>
        <v>0.16667000000000001</v>
      </c>
      <c r="V112" s="667">
        <f t="shared" si="26"/>
        <v>0.16667000000000001</v>
      </c>
      <c r="X112" s="307"/>
      <c r="Y112" s="302">
        <f>Y110/2.5</f>
        <v>600</v>
      </c>
      <c r="AA112" s="107"/>
      <c r="AB112" s="108"/>
      <c r="AD112" t="str">
        <f t="shared" si="31"/>
        <v>TBUSELC</v>
      </c>
      <c r="AE112" t="str">
        <f t="shared" si="29"/>
        <v>TBU</v>
      </c>
      <c r="AF112">
        <f t="shared" ref="AF112:AF127" si="33">Y112</f>
        <v>600</v>
      </c>
      <c r="AG112" s="105">
        <f t="shared" si="30"/>
        <v>16.666666666666668</v>
      </c>
      <c r="AH112">
        <v>5.83</v>
      </c>
      <c r="AI112" s="105">
        <f t="shared" ref="AI112:AI127" si="34">AG112/AH112</f>
        <v>2.8587764436821042</v>
      </c>
      <c r="AJ112" s="105">
        <f t="shared" si="32"/>
        <v>2.8587764436821042</v>
      </c>
    </row>
    <row r="113" spans="2:36" x14ac:dyDescent="0.25">
      <c r="B113" s="186" t="s">
        <v>77</v>
      </c>
      <c r="C113" s="186" t="s">
        <v>327</v>
      </c>
      <c r="D113" s="186"/>
      <c r="E113" s="186"/>
      <c r="F113" s="186" t="s">
        <v>593</v>
      </c>
      <c r="G113" s="660">
        <f t="shared" si="28"/>
        <v>0.16667000000000001</v>
      </c>
      <c r="H113" s="667">
        <f t="shared" si="25"/>
        <v>0.16667000000000001</v>
      </c>
      <c r="I113" s="667">
        <f t="shared" si="26"/>
        <v>0.16667000000000001</v>
      </c>
      <c r="J113" s="667">
        <f t="shared" si="26"/>
        <v>0.16667000000000001</v>
      </c>
      <c r="K113" s="667">
        <f t="shared" si="26"/>
        <v>0.16667000000000001</v>
      </c>
      <c r="L113" s="667">
        <f t="shared" si="26"/>
        <v>0.16667000000000001</v>
      </c>
      <c r="M113" s="667">
        <f t="shared" si="26"/>
        <v>0.16667000000000001</v>
      </c>
      <c r="N113" s="667">
        <f t="shared" si="26"/>
        <v>0.16667000000000001</v>
      </c>
      <c r="O113" s="667">
        <f t="shared" si="26"/>
        <v>0.16667000000000001</v>
      </c>
      <c r="P113" s="667">
        <f t="shared" si="26"/>
        <v>0.16667000000000001</v>
      </c>
      <c r="Q113" s="667">
        <f t="shared" si="26"/>
        <v>0.16667000000000001</v>
      </c>
      <c r="R113" s="667">
        <f t="shared" si="26"/>
        <v>0.16667000000000001</v>
      </c>
      <c r="S113" s="667">
        <f t="shared" si="26"/>
        <v>0.16667000000000001</v>
      </c>
      <c r="T113" s="667">
        <f t="shared" si="26"/>
        <v>0.16667000000000001</v>
      </c>
      <c r="U113" s="667">
        <f t="shared" si="26"/>
        <v>0.16667000000000001</v>
      </c>
      <c r="V113" s="667">
        <f t="shared" si="26"/>
        <v>0.16667000000000001</v>
      </c>
      <c r="X113" s="307"/>
      <c r="Y113" s="302">
        <f>Y111/2.5</f>
        <v>600</v>
      </c>
      <c r="AA113" s="107"/>
      <c r="AB113" s="108"/>
      <c r="AD113" t="str">
        <f t="shared" si="31"/>
        <v>TBUSELC</v>
      </c>
      <c r="AE113" t="str">
        <f t="shared" si="29"/>
        <v>TBU</v>
      </c>
      <c r="AF113">
        <f t="shared" si="33"/>
        <v>600</v>
      </c>
      <c r="AG113" s="105">
        <f t="shared" si="30"/>
        <v>16.666666666666668</v>
      </c>
      <c r="AH113">
        <v>5.83</v>
      </c>
      <c r="AI113" s="105">
        <f t="shared" si="34"/>
        <v>2.8587764436821042</v>
      </c>
      <c r="AJ113" s="105">
        <f t="shared" si="32"/>
        <v>2.8587764436821042</v>
      </c>
    </row>
    <row r="114" spans="2:36" x14ac:dyDescent="0.25">
      <c r="B114" s="186" t="s">
        <v>77</v>
      </c>
      <c r="C114" s="186" t="s">
        <v>328</v>
      </c>
      <c r="D114" s="186"/>
      <c r="E114" s="186"/>
      <c r="F114" s="186" t="s">
        <v>415</v>
      </c>
      <c r="G114" s="660">
        <f t="shared" si="28"/>
        <v>6.3490000000000005E-2</v>
      </c>
      <c r="H114" s="667">
        <f t="shared" si="25"/>
        <v>6.3490000000000005E-2</v>
      </c>
      <c r="I114" s="667">
        <f t="shared" si="26"/>
        <v>6.3490000000000005E-2</v>
      </c>
      <c r="J114" s="667">
        <f t="shared" si="26"/>
        <v>6.3490000000000005E-2</v>
      </c>
      <c r="K114" s="667">
        <f t="shared" si="26"/>
        <v>6.3490000000000005E-2</v>
      </c>
      <c r="L114" s="667">
        <f t="shared" si="26"/>
        <v>6.3490000000000005E-2</v>
      </c>
      <c r="M114" s="667">
        <f t="shared" si="26"/>
        <v>6.3490000000000005E-2</v>
      </c>
      <c r="N114" s="667">
        <f t="shared" si="26"/>
        <v>6.3490000000000005E-2</v>
      </c>
      <c r="O114" s="667">
        <f t="shared" si="26"/>
        <v>6.3490000000000005E-2</v>
      </c>
      <c r="P114" s="667">
        <f t="shared" si="26"/>
        <v>6.3490000000000005E-2</v>
      </c>
      <c r="Q114" s="667">
        <f t="shared" si="26"/>
        <v>6.3490000000000005E-2</v>
      </c>
      <c r="R114" s="667">
        <f t="shared" si="26"/>
        <v>6.3490000000000005E-2</v>
      </c>
      <c r="S114" s="667">
        <f t="shared" si="26"/>
        <v>6.3490000000000005E-2</v>
      </c>
      <c r="T114" s="667">
        <f t="shared" si="26"/>
        <v>6.3490000000000005E-2</v>
      </c>
      <c r="U114" s="667">
        <f t="shared" si="26"/>
        <v>6.3490000000000005E-2</v>
      </c>
      <c r="V114" s="667">
        <f t="shared" si="26"/>
        <v>6.3490000000000005E-2</v>
      </c>
      <c r="X114" s="307" t="s">
        <v>708</v>
      </c>
      <c r="Y114" s="412">
        <f>Y110*1.05</f>
        <v>1575</v>
      </c>
      <c r="AA114" s="107" t="s">
        <v>708</v>
      </c>
      <c r="AB114" s="108">
        <f>AB110</f>
        <v>1390</v>
      </c>
      <c r="AD114" t="str">
        <f t="shared" si="31"/>
        <v>TBUSETH</v>
      </c>
      <c r="AE114" t="str">
        <f t="shared" si="29"/>
        <v>TBU</v>
      </c>
      <c r="AF114">
        <v>2310</v>
      </c>
      <c r="AG114" s="105">
        <f t="shared" si="30"/>
        <v>64.166666666666671</v>
      </c>
      <c r="AH114">
        <v>5.83</v>
      </c>
      <c r="AI114" s="105">
        <f t="shared" si="34"/>
        <v>11.006289308176102</v>
      </c>
      <c r="AJ114" s="105">
        <f t="shared" si="32"/>
        <v>11.006289308176102</v>
      </c>
    </row>
    <row r="115" spans="2:36" x14ac:dyDescent="0.25">
      <c r="B115" s="186" t="s">
        <v>77</v>
      </c>
      <c r="C115" s="186" t="s">
        <v>328</v>
      </c>
      <c r="D115" s="186"/>
      <c r="E115" s="186"/>
      <c r="F115" s="186" t="s">
        <v>593</v>
      </c>
      <c r="G115" s="660">
        <f t="shared" si="28"/>
        <v>6.3490000000000005E-2</v>
      </c>
      <c r="H115" s="667">
        <f t="shared" si="25"/>
        <v>6.3490000000000005E-2</v>
      </c>
      <c r="I115" s="667">
        <f t="shared" si="26"/>
        <v>6.3490000000000005E-2</v>
      </c>
      <c r="J115" s="667">
        <f t="shared" si="26"/>
        <v>6.3490000000000005E-2</v>
      </c>
      <c r="K115" s="667">
        <f t="shared" si="26"/>
        <v>6.3490000000000005E-2</v>
      </c>
      <c r="L115" s="667">
        <f t="shared" si="26"/>
        <v>6.3490000000000005E-2</v>
      </c>
      <c r="M115" s="667">
        <f t="shared" si="26"/>
        <v>6.3490000000000005E-2</v>
      </c>
      <c r="N115" s="667">
        <f t="shared" si="26"/>
        <v>6.3490000000000005E-2</v>
      </c>
      <c r="O115" s="667">
        <f t="shared" si="26"/>
        <v>6.3490000000000005E-2</v>
      </c>
      <c r="P115" s="667">
        <f t="shared" si="26"/>
        <v>6.3490000000000005E-2</v>
      </c>
      <c r="Q115" s="667">
        <f t="shared" si="26"/>
        <v>6.3490000000000005E-2</v>
      </c>
      <c r="R115" s="667">
        <f t="shared" si="26"/>
        <v>6.3490000000000005E-2</v>
      </c>
      <c r="S115" s="667">
        <f t="shared" si="26"/>
        <v>6.3490000000000005E-2</v>
      </c>
      <c r="T115" s="667">
        <f t="shared" si="26"/>
        <v>6.3490000000000005E-2</v>
      </c>
      <c r="U115" s="667">
        <f t="shared" si="26"/>
        <v>6.3490000000000005E-2</v>
      </c>
      <c r="V115" s="667">
        <f t="shared" si="26"/>
        <v>6.3490000000000005E-2</v>
      </c>
      <c r="X115" s="307" t="s">
        <v>708</v>
      </c>
      <c r="Y115" s="412">
        <f>Y111*1.05</f>
        <v>1575</v>
      </c>
      <c r="AA115" s="107" t="s">
        <v>708</v>
      </c>
      <c r="AB115" s="108">
        <f>AB111</f>
        <v>1390</v>
      </c>
      <c r="AD115" t="str">
        <f t="shared" si="31"/>
        <v>TBUSETH</v>
      </c>
      <c r="AE115" t="str">
        <f t="shared" si="29"/>
        <v>TBU</v>
      </c>
      <c r="AF115">
        <v>2310</v>
      </c>
      <c r="AG115" s="105">
        <f t="shared" si="30"/>
        <v>64.166666666666671</v>
      </c>
      <c r="AH115">
        <v>5.83</v>
      </c>
      <c r="AI115" s="105">
        <f t="shared" si="34"/>
        <v>11.006289308176102</v>
      </c>
      <c r="AJ115" s="105">
        <f t="shared" si="32"/>
        <v>11.006289308176102</v>
      </c>
    </row>
    <row r="116" spans="2:36" x14ac:dyDescent="0.25">
      <c r="B116" s="186" t="s">
        <v>77</v>
      </c>
      <c r="C116" s="186" t="s">
        <v>329</v>
      </c>
      <c r="D116" s="186"/>
      <c r="E116" s="186"/>
      <c r="F116" s="186" t="s">
        <v>415</v>
      </c>
      <c r="G116" s="660">
        <f t="shared" si="28"/>
        <v>4.8079999999999998E-2</v>
      </c>
      <c r="H116" s="667">
        <f t="shared" si="25"/>
        <v>4.8079999999999998E-2</v>
      </c>
      <c r="I116" s="667">
        <f t="shared" si="26"/>
        <v>4.8079999999999998E-2</v>
      </c>
      <c r="J116" s="667">
        <f t="shared" si="26"/>
        <v>4.8079999999999998E-2</v>
      </c>
      <c r="K116" s="667">
        <f t="shared" si="26"/>
        <v>4.8079999999999998E-2</v>
      </c>
      <c r="L116" s="667">
        <f t="shared" si="26"/>
        <v>4.8079999999999998E-2</v>
      </c>
      <c r="M116" s="667">
        <f t="shared" si="26"/>
        <v>4.8079999999999998E-2</v>
      </c>
      <c r="N116" s="667">
        <f t="shared" si="26"/>
        <v>4.8079999999999998E-2</v>
      </c>
      <c r="O116" s="667">
        <f t="shared" si="26"/>
        <v>4.8079999999999998E-2</v>
      </c>
      <c r="P116" s="667">
        <f t="shared" si="26"/>
        <v>4.8079999999999998E-2</v>
      </c>
      <c r="Q116" s="667">
        <f t="shared" si="26"/>
        <v>4.8079999999999998E-2</v>
      </c>
      <c r="R116" s="667">
        <f t="shared" si="26"/>
        <v>4.8079999999999998E-2</v>
      </c>
      <c r="S116" s="667">
        <f t="shared" si="26"/>
        <v>4.8079999999999998E-2</v>
      </c>
      <c r="T116" s="667">
        <f t="shared" si="26"/>
        <v>4.8079999999999998E-2</v>
      </c>
      <c r="U116" s="667">
        <f t="shared" si="26"/>
        <v>4.8079999999999998E-2</v>
      </c>
      <c r="V116" s="667">
        <f t="shared" si="26"/>
        <v>4.8079999999999998E-2</v>
      </c>
      <c r="X116" s="307" t="s">
        <v>708</v>
      </c>
      <c r="Y116" s="302">
        <v>2080</v>
      </c>
      <c r="AA116" s="107" t="s">
        <v>708</v>
      </c>
      <c r="AB116" s="108">
        <v>2080</v>
      </c>
      <c r="AD116" t="str">
        <f t="shared" si="31"/>
        <v>TBUSGAS</v>
      </c>
      <c r="AE116" t="str">
        <f t="shared" si="29"/>
        <v>TBU</v>
      </c>
      <c r="AF116">
        <v>1135</v>
      </c>
      <c r="AG116" s="105">
        <f t="shared" si="30"/>
        <v>31.527777777777779</v>
      </c>
      <c r="AH116">
        <v>9.6999999999999993</v>
      </c>
      <c r="AI116" s="105">
        <f t="shared" si="34"/>
        <v>3.2502863688430703</v>
      </c>
      <c r="AJ116" s="105">
        <f t="shared" si="32"/>
        <v>3.2502863688430703</v>
      </c>
    </row>
    <row r="117" spans="2:36" x14ac:dyDescent="0.25">
      <c r="B117" s="186" t="s">
        <v>77</v>
      </c>
      <c r="C117" s="186" t="s">
        <v>329</v>
      </c>
      <c r="D117" s="186"/>
      <c r="E117" s="186"/>
      <c r="F117" s="186" t="s">
        <v>593</v>
      </c>
      <c r="G117" s="660">
        <f t="shared" si="28"/>
        <v>4.8079999999999998E-2</v>
      </c>
      <c r="H117" s="667">
        <f t="shared" si="25"/>
        <v>4.8079999999999998E-2</v>
      </c>
      <c r="I117" s="667">
        <f t="shared" si="26"/>
        <v>4.8079999999999998E-2</v>
      </c>
      <c r="J117" s="667">
        <f t="shared" si="26"/>
        <v>4.8079999999999998E-2</v>
      </c>
      <c r="K117" s="667">
        <f t="shared" si="26"/>
        <v>4.8079999999999998E-2</v>
      </c>
      <c r="L117" s="667">
        <f t="shared" si="26"/>
        <v>4.8079999999999998E-2</v>
      </c>
      <c r="M117" s="667">
        <f t="shared" si="26"/>
        <v>4.8079999999999998E-2</v>
      </c>
      <c r="N117" s="667">
        <f t="shared" si="26"/>
        <v>4.8079999999999998E-2</v>
      </c>
      <c r="O117" s="667">
        <f t="shared" si="26"/>
        <v>4.8079999999999998E-2</v>
      </c>
      <c r="P117" s="667">
        <f t="shared" si="26"/>
        <v>4.8079999999999998E-2</v>
      </c>
      <c r="Q117" s="667">
        <f t="shared" si="26"/>
        <v>4.8079999999999998E-2</v>
      </c>
      <c r="R117" s="667">
        <f t="shared" si="26"/>
        <v>4.8079999999999998E-2</v>
      </c>
      <c r="S117" s="667">
        <f t="shared" si="26"/>
        <v>4.8079999999999998E-2</v>
      </c>
      <c r="T117" s="667">
        <f t="shared" si="26"/>
        <v>4.8079999999999998E-2</v>
      </c>
      <c r="U117" s="667">
        <f t="shared" si="26"/>
        <v>4.8079999999999998E-2</v>
      </c>
      <c r="V117" s="667">
        <f t="shared" si="26"/>
        <v>4.8079999999999998E-2</v>
      </c>
      <c r="X117" s="307" t="s">
        <v>708</v>
      </c>
      <c r="Y117" s="302">
        <v>2080</v>
      </c>
      <c r="AA117" s="107" t="s">
        <v>708</v>
      </c>
      <c r="AB117" s="108">
        <v>2080</v>
      </c>
      <c r="AD117" t="str">
        <f t="shared" si="31"/>
        <v>TBUSGAS</v>
      </c>
      <c r="AE117" t="str">
        <f t="shared" si="29"/>
        <v>TBU</v>
      </c>
      <c r="AF117">
        <v>1135</v>
      </c>
      <c r="AG117" s="105">
        <f t="shared" si="30"/>
        <v>31.527777777777779</v>
      </c>
      <c r="AH117">
        <v>9.6999999999999993</v>
      </c>
      <c r="AI117" s="105">
        <f t="shared" si="34"/>
        <v>3.2502863688430703</v>
      </c>
      <c r="AJ117" s="105">
        <f t="shared" si="32"/>
        <v>3.2502863688430703</v>
      </c>
    </row>
    <row r="118" spans="2:36" x14ac:dyDescent="0.25">
      <c r="B118" s="186" t="s">
        <v>77</v>
      </c>
      <c r="C118" s="186" t="s">
        <v>330</v>
      </c>
      <c r="D118" s="186"/>
      <c r="E118" s="186"/>
      <c r="F118" s="186" t="s">
        <v>415</v>
      </c>
      <c r="G118" s="660">
        <f t="shared" si="28"/>
        <v>4.8079999999999998E-2</v>
      </c>
      <c r="H118" s="667">
        <f t="shared" si="25"/>
        <v>4.8079999999999998E-2</v>
      </c>
      <c r="I118" s="667">
        <f t="shared" ref="I118:V127" si="35">$H118</f>
        <v>4.8079999999999998E-2</v>
      </c>
      <c r="J118" s="667">
        <f t="shared" si="35"/>
        <v>4.8079999999999998E-2</v>
      </c>
      <c r="K118" s="667">
        <f t="shared" si="35"/>
        <v>4.8079999999999998E-2</v>
      </c>
      <c r="L118" s="667">
        <f t="shared" si="35"/>
        <v>4.8079999999999998E-2</v>
      </c>
      <c r="M118" s="667">
        <f t="shared" si="35"/>
        <v>4.8079999999999998E-2</v>
      </c>
      <c r="N118" s="667">
        <f t="shared" si="35"/>
        <v>4.8079999999999998E-2</v>
      </c>
      <c r="O118" s="667">
        <f t="shared" si="35"/>
        <v>4.8079999999999998E-2</v>
      </c>
      <c r="P118" s="667">
        <f t="shared" si="35"/>
        <v>4.8079999999999998E-2</v>
      </c>
      <c r="Q118" s="667">
        <f t="shared" si="35"/>
        <v>4.8079999999999998E-2</v>
      </c>
      <c r="R118" s="667">
        <f t="shared" si="35"/>
        <v>4.8079999999999998E-2</v>
      </c>
      <c r="S118" s="667">
        <f t="shared" si="35"/>
        <v>4.8079999999999998E-2</v>
      </c>
      <c r="T118" s="667">
        <f t="shared" si="35"/>
        <v>4.8079999999999998E-2</v>
      </c>
      <c r="U118" s="667">
        <f t="shared" si="35"/>
        <v>4.8079999999999998E-2</v>
      </c>
      <c r="V118" s="667">
        <f t="shared" si="35"/>
        <v>4.8079999999999998E-2</v>
      </c>
      <c r="X118" s="307" t="s">
        <v>708</v>
      </c>
      <c r="Y118" s="302">
        <v>2080</v>
      </c>
      <c r="AA118" s="107" t="s">
        <v>708</v>
      </c>
      <c r="AB118" s="108">
        <v>2080</v>
      </c>
      <c r="AD118" t="str">
        <f t="shared" si="31"/>
        <v>TBUSGSL</v>
      </c>
      <c r="AE118" t="str">
        <f t="shared" si="29"/>
        <v>TBU</v>
      </c>
      <c r="AF118">
        <f t="shared" si="33"/>
        <v>2080</v>
      </c>
      <c r="AG118" s="105">
        <f t="shared" si="30"/>
        <v>57.777777777777779</v>
      </c>
      <c r="AH118">
        <v>9.8000000000000007</v>
      </c>
      <c r="AI118" s="105">
        <f t="shared" si="34"/>
        <v>5.895691609977324</v>
      </c>
      <c r="AJ118" s="105">
        <f t="shared" si="32"/>
        <v>5.895691609977324</v>
      </c>
    </row>
    <row r="119" spans="2:36" x14ac:dyDescent="0.25">
      <c r="B119" s="186" t="s">
        <v>77</v>
      </c>
      <c r="C119" s="186" t="s">
        <v>330</v>
      </c>
      <c r="D119" s="186"/>
      <c r="E119" s="186"/>
      <c r="F119" s="186" t="s">
        <v>593</v>
      </c>
      <c r="G119" s="660">
        <f t="shared" si="28"/>
        <v>4.8079999999999998E-2</v>
      </c>
      <c r="H119" s="667">
        <f t="shared" si="25"/>
        <v>4.8079999999999998E-2</v>
      </c>
      <c r="I119" s="667">
        <f t="shared" si="35"/>
        <v>4.8079999999999998E-2</v>
      </c>
      <c r="J119" s="667">
        <f t="shared" si="35"/>
        <v>4.8079999999999998E-2</v>
      </c>
      <c r="K119" s="667">
        <f t="shared" si="35"/>
        <v>4.8079999999999998E-2</v>
      </c>
      <c r="L119" s="667">
        <f t="shared" si="35"/>
        <v>4.8079999999999998E-2</v>
      </c>
      <c r="M119" s="667">
        <f t="shared" si="35"/>
        <v>4.8079999999999998E-2</v>
      </c>
      <c r="N119" s="667">
        <f t="shared" si="35"/>
        <v>4.8079999999999998E-2</v>
      </c>
      <c r="O119" s="667">
        <f t="shared" si="35"/>
        <v>4.8079999999999998E-2</v>
      </c>
      <c r="P119" s="667">
        <f t="shared" si="35"/>
        <v>4.8079999999999998E-2</v>
      </c>
      <c r="Q119" s="667">
        <f t="shared" si="35"/>
        <v>4.8079999999999998E-2</v>
      </c>
      <c r="R119" s="667">
        <f t="shared" si="35"/>
        <v>4.8079999999999998E-2</v>
      </c>
      <c r="S119" s="667">
        <f t="shared" si="35"/>
        <v>4.8079999999999998E-2</v>
      </c>
      <c r="T119" s="667">
        <f t="shared" si="35"/>
        <v>4.8079999999999998E-2</v>
      </c>
      <c r="U119" s="667">
        <f t="shared" si="35"/>
        <v>4.8079999999999998E-2</v>
      </c>
      <c r="V119" s="667">
        <f t="shared" si="35"/>
        <v>4.8079999999999998E-2</v>
      </c>
      <c r="X119" s="307" t="s">
        <v>708</v>
      </c>
      <c r="Y119" s="302">
        <v>2080</v>
      </c>
      <c r="AA119" s="107" t="s">
        <v>708</v>
      </c>
      <c r="AB119" s="108">
        <v>2080</v>
      </c>
      <c r="AD119" t="str">
        <f t="shared" si="31"/>
        <v>TBUSGSL</v>
      </c>
      <c r="AE119" t="str">
        <f t="shared" si="29"/>
        <v>TBU</v>
      </c>
      <c r="AF119">
        <f t="shared" si="33"/>
        <v>2080</v>
      </c>
      <c r="AG119" s="105">
        <f t="shared" si="30"/>
        <v>57.777777777777779</v>
      </c>
      <c r="AH119">
        <v>9.8000000000000007</v>
      </c>
      <c r="AI119" s="105">
        <f t="shared" si="34"/>
        <v>5.895691609977324</v>
      </c>
      <c r="AJ119" s="105">
        <f t="shared" si="32"/>
        <v>5.895691609977324</v>
      </c>
    </row>
    <row r="120" spans="2:36" x14ac:dyDescent="0.25">
      <c r="B120" s="186" t="s">
        <v>77</v>
      </c>
      <c r="C120" s="186" t="s">
        <v>331</v>
      </c>
      <c r="D120" s="186"/>
      <c r="E120" s="186"/>
      <c r="F120" s="186" t="s">
        <v>415</v>
      </c>
      <c r="G120" s="660">
        <f t="shared" si="28"/>
        <v>7.4069999999999997E-2</v>
      </c>
      <c r="H120" s="667">
        <f t="shared" si="25"/>
        <v>7.4069999999999997E-2</v>
      </c>
      <c r="I120" s="667">
        <f t="shared" si="35"/>
        <v>7.4069999999999997E-2</v>
      </c>
      <c r="J120" s="667">
        <f t="shared" si="35"/>
        <v>7.4069999999999997E-2</v>
      </c>
      <c r="K120" s="667">
        <f t="shared" si="35"/>
        <v>7.4069999999999997E-2</v>
      </c>
      <c r="L120" s="667">
        <f t="shared" si="35"/>
        <v>7.4069999999999997E-2</v>
      </c>
      <c r="M120" s="667">
        <f t="shared" si="35"/>
        <v>7.4069999999999997E-2</v>
      </c>
      <c r="N120" s="667">
        <f t="shared" si="35"/>
        <v>7.4069999999999997E-2</v>
      </c>
      <c r="O120" s="667">
        <f t="shared" si="35"/>
        <v>7.4069999999999997E-2</v>
      </c>
      <c r="P120" s="667">
        <f t="shared" si="35"/>
        <v>7.4069999999999997E-2</v>
      </c>
      <c r="Q120" s="667">
        <f t="shared" si="35"/>
        <v>7.4069999999999997E-2</v>
      </c>
      <c r="R120" s="667">
        <f t="shared" si="35"/>
        <v>7.4069999999999997E-2</v>
      </c>
      <c r="S120" s="667">
        <f t="shared" si="35"/>
        <v>7.4069999999999997E-2</v>
      </c>
      <c r="T120" s="667">
        <f t="shared" si="35"/>
        <v>7.4069999999999997E-2</v>
      </c>
      <c r="U120" s="667">
        <f t="shared" si="35"/>
        <v>7.4069999999999997E-2</v>
      </c>
      <c r="V120" s="667">
        <f t="shared" si="35"/>
        <v>7.4069999999999997E-2</v>
      </c>
      <c r="X120" s="307"/>
      <c r="Y120" s="416">
        <f>Y110*0.9</f>
        <v>1350</v>
      </c>
      <c r="AA120" s="107" t="s">
        <v>709</v>
      </c>
      <c r="AB120" s="108"/>
      <c r="AD120" t="str">
        <f t="shared" si="31"/>
        <v>TBUSHYD</v>
      </c>
      <c r="AE120" t="str">
        <f t="shared" si="29"/>
        <v>TBU</v>
      </c>
      <c r="AF120">
        <f t="shared" si="33"/>
        <v>1350</v>
      </c>
      <c r="AG120" s="105">
        <f t="shared" si="30"/>
        <v>37.5</v>
      </c>
      <c r="AH120">
        <v>9.1</v>
      </c>
      <c r="AI120" s="105">
        <f t="shared" si="34"/>
        <v>4.1208791208791213</v>
      </c>
      <c r="AJ120" s="105">
        <f t="shared" si="32"/>
        <v>4.1208791208791213</v>
      </c>
    </row>
    <row r="121" spans="2:36" x14ac:dyDescent="0.25">
      <c r="B121" s="186" t="s">
        <v>77</v>
      </c>
      <c r="C121" s="186" t="s">
        <v>331</v>
      </c>
      <c r="D121" s="186"/>
      <c r="E121" s="186"/>
      <c r="F121" s="186" t="s">
        <v>593</v>
      </c>
      <c r="G121" s="660">
        <f t="shared" si="28"/>
        <v>7.4069999999999997E-2</v>
      </c>
      <c r="H121" s="667">
        <f t="shared" si="25"/>
        <v>7.4069999999999997E-2</v>
      </c>
      <c r="I121" s="667">
        <f t="shared" si="35"/>
        <v>7.4069999999999997E-2</v>
      </c>
      <c r="J121" s="667">
        <f t="shared" si="35"/>
        <v>7.4069999999999997E-2</v>
      </c>
      <c r="K121" s="667">
        <f t="shared" si="35"/>
        <v>7.4069999999999997E-2</v>
      </c>
      <c r="L121" s="667">
        <f t="shared" si="35"/>
        <v>7.4069999999999997E-2</v>
      </c>
      <c r="M121" s="667">
        <f t="shared" si="35"/>
        <v>7.4069999999999997E-2</v>
      </c>
      <c r="N121" s="667">
        <f t="shared" si="35"/>
        <v>7.4069999999999997E-2</v>
      </c>
      <c r="O121" s="667">
        <f t="shared" si="35"/>
        <v>7.4069999999999997E-2</v>
      </c>
      <c r="P121" s="667">
        <f t="shared" si="35"/>
        <v>7.4069999999999997E-2</v>
      </c>
      <c r="Q121" s="667">
        <f t="shared" si="35"/>
        <v>7.4069999999999997E-2</v>
      </c>
      <c r="R121" s="667">
        <f t="shared" si="35"/>
        <v>7.4069999999999997E-2</v>
      </c>
      <c r="S121" s="667">
        <f t="shared" si="35"/>
        <v>7.4069999999999997E-2</v>
      </c>
      <c r="T121" s="667">
        <f t="shared" si="35"/>
        <v>7.4069999999999997E-2</v>
      </c>
      <c r="U121" s="667">
        <f t="shared" si="35"/>
        <v>7.4069999999999997E-2</v>
      </c>
      <c r="V121" s="667">
        <f t="shared" si="35"/>
        <v>7.4069999999999997E-2</v>
      </c>
      <c r="X121" s="307"/>
      <c r="Y121" s="416">
        <f>Y111*0.9</f>
        <v>1350</v>
      </c>
      <c r="AA121" s="107" t="s">
        <v>709</v>
      </c>
      <c r="AB121" s="108"/>
      <c r="AD121" t="str">
        <f t="shared" si="31"/>
        <v>TBUSHYD</v>
      </c>
      <c r="AE121" t="str">
        <f t="shared" si="29"/>
        <v>TBU</v>
      </c>
      <c r="AF121">
        <f t="shared" si="33"/>
        <v>1350</v>
      </c>
      <c r="AG121" s="105">
        <f t="shared" si="30"/>
        <v>37.5</v>
      </c>
      <c r="AH121">
        <v>9.1</v>
      </c>
      <c r="AI121" s="105">
        <f t="shared" si="34"/>
        <v>4.1208791208791213</v>
      </c>
      <c r="AJ121" s="105">
        <f t="shared" si="32"/>
        <v>4.1208791208791213</v>
      </c>
    </row>
    <row r="122" spans="2:36" x14ac:dyDescent="0.25">
      <c r="B122" s="186" t="s">
        <v>77</v>
      </c>
      <c r="C122" s="186" t="s">
        <v>332</v>
      </c>
      <c r="D122" s="186"/>
      <c r="E122" s="186"/>
      <c r="F122" s="186" t="s">
        <v>415</v>
      </c>
      <c r="G122" s="660">
        <f t="shared" si="28"/>
        <v>5.3420000000000002E-2</v>
      </c>
      <c r="H122" s="667">
        <f t="shared" si="25"/>
        <v>5.3420000000000002E-2</v>
      </c>
      <c r="I122" s="667">
        <f t="shared" si="35"/>
        <v>5.3420000000000002E-2</v>
      </c>
      <c r="J122" s="667">
        <f t="shared" si="35"/>
        <v>5.3420000000000002E-2</v>
      </c>
      <c r="K122" s="667">
        <f t="shared" si="35"/>
        <v>5.3420000000000002E-2</v>
      </c>
      <c r="L122" s="667">
        <f t="shared" si="35"/>
        <v>5.3420000000000002E-2</v>
      </c>
      <c r="M122" s="667">
        <f t="shared" si="35"/>
        <v>5.3420000000000002E-2</v>
      </c>
      <c r="N122" s="667">
        <f t="shared" si="35"/>
        <v>5.3420000000000002E-2</v>
      </c>
      <c r="O122" s="667">
        <f t="shared" si="35"/>
        <v>5.3420000000000002E-2</v>
      </c>
      <c r="P122" s="667">
        <f t="shared" si="35"/>
        <v>5.3420000000000002E-2</v>
      </c>
      <c r="Q122" s="667">
        <f t="shared" si="35"/>
        <v>5.3420000000000002E-2</v>
      </c>
      <c r="R122" s="667">
        <f t="shared" si="35"/>
        <v>5.3420000000000002E-2</v>
      </c>
      <c r="S122" s="667">
        <f t="shared" si="35"/>
        <v>5.3420000000000002E-2</v>
      </c>
      <c r="T122" s="667">
        <f t="shared" si="35"/>
        <v>5.3420000000000002E-2</v>
      </c>
      <c r="U122" s="667">
        <f t="shared" si="35"/>
        <v>5.3420000000000002E-2</v>
      </c>
      <c r="V122" s="667">
        <f t="shared" si="35"/>
        <v>5.3420000000000002E-2</v>
      </c>
      <c r="X122" s="307"/>
      <c r="Y122" s="416">
        <f>Y118*0.9</f>
        <v>1872</v>
      </c>
      <c r="AA122" s="107" t="s">
        <v>710</v>
      </c>
      <c r="AB122" s="108"/>
      <c r="AD122" t="str">
        <f t="shared" si="31"/>
        <v>TBUSHYG</v>
      </c>
      <c r="AE122" t="str">
        <f t="shared" si="29"/>
        <v>TBU</v>
      </c>
      <c r="AF122">
        <f t="shared" si="33"/>
        <v>1872</v>
      </c>
      <c r="AG122" s="105">
        <f t="shared" si="30"/>
        <v>51.999999999999993</v>
      </c>
      <c r="AH122">
        <v>12.79</v>
      </c>
      <c r="AI122" s="105">
        <f t="shared" si="34"/>
        <v>4.0656763096168875</v>
      </c>
      <c r="AJ122" s="105">
        <f t="shared" si="32"/>
        <v>4.0656763096168875</v>
      </c>
    </row>
    <row r="123" spans="2:36" x14ac:dyDescent="0.25">
      <c r="B123" s="186" t="s">
        <v>77</v>
      </c>
      <c r="C123" s="186" t="s">
        <v>332</v>
      </c>
      <c r="D123" s="186"/>
      <c r="E123" s="186"/>
      <c r="F123" s="186" t="s">
        <v>593</v>
      </c>
      <c r="G123" s="660">
        <f t="shared" si="28"/>
        <v>5.3420000000000002E-2</v>
      </c>
      <c r="H123" s="667">
        <f t="shared" si="25"/>
        <v>5.3420000000000002E-2</v>
      </c>
      <c r="I123" s="667">
        <f t="shared" si="35"/>
        <v>5.3420000000000002E-2</v>
      </c>
      <c r="J123" s="667">
        <f t="shared" si="35"/>
        <v>5.3420000000000002E-2</v>
      </c>
      <c r="K123" s="667">
        <f t="shared" si="35"/>
        <v>5.3420000000000002E-2</v>
      </c>
      <c r="L123" s="667">
        <f t="shared" si="35"/>
        <v>5.3420000000000002E-2</v>
      </c>
      <c r="M123" s="667">
        <f t="shared" si="35"/>
        <v>5.3420000000000002E-2</v>
      </c>
      <c r="N123" s="667">
        <f t="shared" si="35"/>
        <v>5.3420000000000002E-2</v>
      </c>
      <c r="O123" s="667">
        <f t="shared" si="35"/>
        <v>5.3420000000000002E-2</v>
      </c>
      <c r="P123" s="667">
        <f t="shared" si="35"/>
        <v>5.3420000000000002E-2</v>
      </c>
      <c r="Q123" s="667">
        <f t="shared" si="35"/>
        <v>5.3420000000000002E-2</v>
      </c>
      <c r="R123" s="667">
        <f t="shared" si="35"/>
        <v>5.3420000000000002E-2</v>
      </c>
      <c r="S123" s="667">
        <f t="shared" si="35"/>
        <v>5.3420000000000002E-2</v>
      </c>
      <c r="T123" s="667">
        <f t="shared" si="35"/>
        <v>5.3420000000000002E-2</v>
      </c>
      <c r="U123" s="667">
        <f t="shared" si="35"/>
        <v>5.3420000000000002E-2</v>
      </c>
      <c r="V123" s="667">
        <f t="shared" si="35"/>
        <v>5.3420000000000002E-2</v>
      </c>
      <c r="X123" s="307"/>
      <c r="Y123" s="416">
        <f>Y119*0.9</f>
        <v>1872</v>
      </c>
      <c r="AA123" s="107" t="s">
        <v>710</v>
      </c>
      <c r="AB123" s="108"/>
      <c r="AD123" t="str">
        <f t="shared" si="31"/>
        <v>TBUSHYG</v>
      </c>
      <c r="AE123" t="str">
        <f t="shared" si="29"/>
        <v>TBU</v>
      </c>
      <c r="AF123">
        <f t="shared" si="33"/>
        <v>1872</v>
      </c>
      <c r="AG123" s="105">
        <f t="shared" si="30"/>
        <v>51.999999999999993</v>
      </c>
      <c r="AH123">
        <v>12.79</v>
      </c>
      <c r="AI123" s="105">
        <f t="shared" si="34"/>
        <v>4.0656763096168875</v>
      </c>
      <c r="AJ123" s="105">
        <f t="shared" si="32"/>
        <v>4.0656763096168875</v>
      </c>
    </row>
    <row r="124" spans="2:36" x14ac:dyDescent="0.25">
      <c r="B124" s="186" t="s">
        <v>77</v>
      </c>
      <c r="C124" s="186" t="s">
        <v>333</v>
      </c>
      <c r="D124" s="186"/>
      <c r="E124" s="186"/>
      <c r="F124" s="186" t="s">
        <v>415</v>
      </c>
      <c r="G124" s="660">
        <f t="shared" si="28"/>
        <v>4.8079999999999998E-2</v>
      </c>
      <c r="H124" s="667">
        <f t="shared" si="25"/>
        <v>4.8079999999999998E-2</v>
      </c>
      <c r="I124" s="667">
        <f t="shared" si="35"/>
        <v>4.8079999999999998E-2</v>
      </c>
      <c r="J124" s="667">
        <f t="shared" si="35"/>
        <v>4.8079999999999998E-2</v>
      </c>
      <c r="K124" s="667">
        <f t="shared" si="35"/>
        <v>4.8079999999999998E-2</v>
      </c>
      <c r="L124" s="667">
        <f t="shared" si="35"/>
        <v>4.8079999999999998E-2</v>
      </c>
      <c r="M124" s="667">
        <f t="shared" si="35"/>
        <v>4.8079999999999998E-2</v>
      </c>
      <c r="N124" s="667">
        <f t="shared" si="35"/>
        <v>4.8079999999999998E-2</v>
      </c>
      <c r="O124" s="667">
        <f t="shared" si="35"/>
        <v>4.8079999999999998E-2</v>
      </c>
      <c r="P124" s="667">
        <f t="shared" si="35"/>
        <v>4.8079999999999998E-2</v>
      </c>
      <c r="Q124" s="667">
        <f t="shared" si="35"/>
        <v>4.8079999999999998E-2</v>
      </c>
      <c r="R124" s="667">
        <f t="shared" si="35"/>
        <v>4.8079999999999998E-2</v>
      </c>
      <c r="S124" s="667">
        <f t="shared" si="35"/>
        <v>4.8079999999999998E-2</v>
      </c>
      <c r="T124" s="667">
        <f t="shared" si="35"/>
        <v>4.8079999999999998E-2</v>
      </c>
      <c r="U124" s="667">
        <f t="shared" si="35"/>
        <v>4.8079999999999998E-2</v>
      </c>
      <c r="V124" s="667">
        <f t="shared" si="35"/>
        <v>4.8079999999999998E-2</v>
      </c>
      <c r="X124" s="307"/>
      <c r="Y124" s="302">
        <f>Y118</f>
        <v>2080</v>
      </c>
      <c r="AA124" s="107"/>
      <c r="AB124" s="108"/>
      <c r="AD124" t="str">
        <f t="shared" si="31"/>
        <v>TBUSLPG</v>
      </c>
      <c r="AE124" t="str">
        <f t="shared" si="29"/>
        <v>TBU</v>
      </c>
      <c r="AF124">
        <f t="shared" si="33"/>
        <v>2080</v>
      </c>
      <c r="AG124" s="105">
        <f t="shared" si="30"/>
        <v>57.777777777777779</v>
      </c>
      <c r="AH124" s="19">
        <v>9.8000000000000007</v>
      </c>
      <c r="AI124" s="105">
        <f t="shared" si="34"/>
        <v>5.895691609977324</v>
      </c>
      <c r="AJ124" s="105">
        <f t="shared" si="32"/>
        <v>5.895691609977324</v>
      </c>
    </row>
    <row r="125" spans="2:36" x14ac:dyDescent="0.25">
      <c r="B125" s="186" t="s">
        <v>77</v>
      </c>
      <c r="C125" s="186" t="s">
        <v>333</v>
      </c>
      <c r="D125" s="186"/>
      <c r="E125" s="186"/>
      <c r="F125" s="186" t="s">
        <v>593</v>
      </c>
      <c r="G125" s="660">
        <f t="shared" si="28"/>
        <v>4.8079999999999998E-2</v>
      </c>
      <c r="H125" s="667">
        <f t="shared" si="25"/>
        <v>4.8079999999999998E-2</v>
      </c>
      <c r="I125" s="667">
        <f t="shared" si="35"/>
        <v>4.8079999999999998E-2</v>
      </c>
      <c r="J125" s="667">
        <f t="shared" si="35"/>
        <v>4.8079999999999998E-2</v>
      </c>
      <c r="K125" s="667">
        <f t="shared" si="35"/>
        <v>4.8079999999999998E-2</v>
      </c>
      <c r="L125" s="667">
        <f t="shared" si="35"/>
        <v>4.8079999999999998E-2</v>
      </c>
      <c r="M125" s="667">
        <f t="shared" si="35"/>
        <v>4.8079999999999998E-2</v>
      </c>
      <c r="N125" s="667">
        <f t="shared" si="35"/>
        <v>4.8079999999999998E-2</v>
      </c>
      <c r="O125" s="667">
        <f t="shared" si="35"/>
        <v>4.8079999999999998E-2</v>
      </c>
      <c r="P125" s="667">
        <f t="shared" si="35"/>
        <v>4.8079999999999998E-2</v>
      </c>
      <c r="Q125" s="667">
        <f t="shared" si="35"/>
        <v>4.8079999999999998E-2</v>
      </c>
      <c r="R125" s="667">
        <f t="shared" si="35"/>
        <v>4.8079999999999998E-2</v>
      </c>
      <c r="S125" s="667">
        <f t="shared" si="35"/>
        <v>4.8079999999999998E-2</v>
      </c>
      <c r="T125" s="667">
        <f t="shared" si="35"/>
        <v>4.8079999999999998E-2</v>
      </c>
      <c r="U125" s="667">
        <f t="shared" si="35"/>
        <v>4.8079999999999998E-2</v>
      </c>
      <c r="V125" s="667">
        <f t="shared" si="35"/>
        <v>4.8079999999999998E-2</v>
      </c>
      <c r="X125" s="307"/>
      <c r="Y125" s="302">
        <f>Y119</f>
        <v>2080</v>
      </c>
      <c r="AA125" s="107"/>
      <c r="AB125" s="108"/>
      <c r="AD125" t="str">
        <f t="shared" si="31"/>
        <v>TBUSLPG</v>
      </c>
      <c r="AE125" t="str">
        <f t="shared" si="29"/>
        <v>TBU</v>
      </c>
      <c r="AF125">
        <f t="shared" si="33"/>
        <v>2080</v>
      </c>
      <c r="AG125" s="105">
        <f t="shared" si="30"/>
        <v>57.777777777777779</v>
      </c>
      <c r="AH125" s="19">
        <v>9.8000000000000007</v>
      </c>
      <c r="AI125" s="105">
        <f t="shared" si="34"/>
        <v>5.895691609977324</v>
      </c>
      <c r="AJ125" s="105">
        <f t="shared" si="32"/>
        <v>5.895691609977324</v>
      </c>
    </row>
    <row r="126" spans="2:36" x14ac:dyDescent="0.25">
      <c r="B126" s="186" t="s">
        <v>77</v>
      </c>
      <c r="C126" s="186" t="s">
        <v>334</v>
      </c>
      <c r="D126" s="186"/>
      <c r="E126" s="186"/>
      <c r="F126" s="186" t="s">
        <v>415</v>
      </c>
      <c r="G126" s="660">
        <f t="shared" si="28"/>
        <v>9.5240000000000005E-2</v>
      </c>
      <c r="H126" s="667">
        <f t="shared" si="25"/>
        <v>9.5240000000000005E-2</v>
      </c>
      <c r="I126" s="667">
        <f t="shared" si="35"/>
        <v>9.5240000000000005E-2</v>
      </c>
      <c r="J126" s="667">
        <f t="shared" si="35"/>
        <v>9.5240000000000005E-2</v>
      </c>
      <c r="K126" s="667">
        <f t="shared" si="35"/>
        <v>9.5240000000000005E-2</v>
      </c>
      <c r="L126" s="667">
        <f t="shared" si="35"/>
        <v>9.5240000000000005E-2</v>
      </c>
      <c r="M126" s="667">
        <f t="shared" si="35"/>
        <v>9.5240000000000005E-2</v>
      </c>
      <c r="N126" s="667">
        <f t="shared" si="35"/>
        <v>9.5240000000000005E-2</v>
      </c>
      <c r="O126" s="667">
        <f t="shared" si="35"/>
        <v>9.5240000000000005E-2</v>
      </c>
      <c r="P126" s="667">
        <f t="shared" si="35"/>
        <v>9.5240000000000005E-2</v>
      </c>
      <c r="Q126" s="667">
        <f t="shared" si="35"/>
        <v>9.5240000000000005E-2</v>
      </c>
      <c r="R126" s="667">
        <f t="shared" si="35"/>
        <v>9.5240000000000005E-2</v>
      </c>
      <c r="S126" s="667">
        <f t="shared" si="35"/>
        <v>9.5240000000000005E-2</v>
      </c>
      <c r="T126" s="667">
        <f t="shared" si="35"/>
        <v>9.5240000000000005E-2</v>
      </c>
      <c r="U126" s="667">
        <f t="shared" si="35"/>
        <v>9.5240000000000005E-2</v>
      </c>
      <c r="V126" s="667">
        <f t="shared" si="35"/>
        <v>9.5240000000000005E-2</v>
      </c>
      <c r="X126" s="307"/>
      <c r="Y126" s="415">
        <f>Y110*0.7</f>
        <v>1050</v>
      </c>
      <c r="AA126" s="107" t="s">
        <v>711</v>
      </c>
      <c r="AB126" s="108"/>
      <c r="AD126" t="str">
        <f t="shared" si="31"/>
        <v>TBUSPYD</v>
      </c>
      <c r="AE126" t="str">
        <f t="shared" si="29"/>
        <v>TBU</v>
      </c>
      <c r="AF126">
        <f t="shared" si="33"/>
        <v>1050</v>
      </c>
      <c r="AG126" s="105">
        <f t="shared" si="30"/>
        <v>29.166666666666664</v>
      </c>
      <c r="AH126" s="19">
        <v>9.1</v>
      </c>
      <c r="AI126" s="105">
        <f t="shared" si="34"/>
        <v>3.2051282051282048</v>
      </c>
      <c r="AJ126" s="105">
        <f t="shared" si="32"/>
        <v>3.2051282051282048</v>
      </c>
    </row>
    <row r="127" spans="2:36" x14ac:dyDescent="0.25">
      <c r="B127" s="186" t="s">
        <v>77</v>
      </c>
      <c r="C127" s="186" t="s">
        <v>334</v>
      </c>
      <c r="D127" s="186"/>
      <c r="E127" s="186"/>
      <c r="F127" s="186" t="s">
        <v>593</v>
      </c>
      <c r="G127" s="660">
        <f t="shared" si="28"/>
        <v>9.5240000000000005E-2</v>
      </c>
      <c r="H127" s="667">
        <f t="shared" si="25"/>
        <v>9.5240000000000005E-2</v>
      </c>
      <c r="I127" s="667">
        <f t="shared" si="35"/>
        <v>9.5240000000000005E-2</v>
      </c>
      <c r="J127" s="667">
        <f t="shared" si="35"/>
        <v>9.5240000000000005E-2</v>
      </c>
      <c r="K127" s="667">
        <f t="shared" si="35"/>
        <v>9.5240000000000005E-2</v>
      </c>
      <c r="L127" s="667">
        <f t="shared" si="35"/>
        <v>9.5240000000000005E-2</v>
      </c>
      <c r="M127" s="667">
        <f t="shared" si="35"/>
        <v>9.5240000000000005E-2</v>
      </c>
      <c r="N127" s="667">
        <f t="shared" si="35"/>
        <v>9.5240000000000005E-2</v>
      </c>
      <c r="O127" s="667">
        <f t="shared" si="35"/>
        <v>9.5240000000000005E-2</v>
      </c>
      <c r="P127" s="667">
        <f t="shared" si="35"/>
        <v>9.5240000000000005E-2</v>
      </c>
      <c r="Q127" s="667">
        <f t="shared" si="35"/>
        <v>9.5240000000000005E-2</v>
      </c>
      <c r="R127" s="667">
        <f t="shared" si="35"/>
        <v>9.5240000000000005E-2</v>
      </c>
      <c r="S127" s="667">
        <f t="shared" si="35"/>
        <v>9.5240000000000005E-2</v>
      </c>
      <c r="T127" s="667">
        <f t="shared" si="35"/>
        <v>9.5240000000000005E-2</v>
      </c>
      <c r="U127" s="667">
        <f t="shared" si="35"/>
        <v>9.5240000000000005E-2</v>
      </c>
      <c r="V127" s="667">
        <f t="shared" si="35"/>
        <v>9.5240000000000005E-2</v>
      </c>
      <c r="X127" s="307"/>
      <c r="Y127" s="415">
        <f>Y111*0.7</f>
        <v>1050</v>
      </c>
      <c r="AA127" s="107" t="s">
        <v>711</v>
      </c>
      <c r="AB127" s="108"/>
      <c r="AD127" t="str">
        <f t="shared" si="31"/>
        <v>TBUSPYD</v>
      </c>
      <c r="AE127" t="str">
        <f t="shared" si="29"/>
        <v>TBU</v>
      </c>
      <c r="AF127">
        <f t="shared" si="33"/>
        <v>1050</v>
      </c>
      <c r="AG127" s="105">
        <f t="shared" si="30"/>
        <v>29.166666666666664</v>
      </c>
      <c r="AH127" s="19">
        <v>9.1</v>
      </c>
      <c r="AI127" s="105">
        <f t="shared" si="34"/>
        <v>3.2051282051282048</v>
      </c>
      <c r="AJ127" s="105">
        <f t="shared" si="32"/>
        <v>3.2051282051282048</v>
      </c>
    </row>
    <row r="128" spans="2:36" x14ac:dyDescent="0.25">
      <c r="B128" s="186" t="s">
        <v>77</v>
      </c>
      <c r="C128" s="186" t="s">
        <v>335</v>
      </c>
      <c r="D128" s="186"/>
      <c r="E128" s="186"/>
      <c r="F128" s="186" t="s">
        <v>415</v>
      </c>
      <c r="G128" s="660">
        <f t="shared" si="28"/>
        <v>6.8680000000000005E-2</v>
      </c>
      <c r="H128" s="667">
        <f t="shared" si="25"/>
        <v>6.8680000000000005E-2</v>
      </c>
      <c r="I128" s="667">
        <f t="shared" ref="I128:V137" si="36">$H128</f>
        <v>6.8680000000000005E-2</v>
      </c>
      <c r="J128" s="667">
        <f t="shared" si="36"/>
        <v>6.8680000000000005E-2</v>
      </c>
      <c r="K128" s="667">
        <f t="shared" si="36"/>
        <v>6.8680000000000005E-2</v>
      </c>
      <c r="L128" s="667">
        <f t="shared" si="36"/>
        <v>6.8680000000000005E-2</v>
      </c>
      <c r="M128" s="667">
        <f t="shared" si="36"/>
        <v>6.8680000000000005E-2</v>
      </c>
      <c r="N128" s="667">
        <f t="shared" si="36"/>
        <v>6.8680000000000005E-2</v>
      </c>
      <c r="O128" s="667">
        <f t="shared" si="36"/>
        <v>6.8680000000000005E-2</v>
      </c>
      <c r="P128" s="667">
        <f t="shared" si="36"/>
        <v>6.8680000000000005E-2</v>
      </c>
      <c r="Q128" s="667">
        <f t="shared" si="36"/>
        <v>6.8680000000000005E-2</v>
      </c>
      <c r="R128" s="667">
        <f t="shared" si="36"/>
        <v>6.8680000000000005E-2</v>
      </c>
      <c r="S128" s="667">
        <f t="shared" si="36"/>
        <v>6.8680000000000005E-2</v>
      </c>
      <c r="T128" s="667">
        <f t="shared" si="36"/>
        <v>6.8680000000000005E-2</v>
      </c>
      <c r="U128" s="667">
        <f t="shared" si="36"/>
        <v>6.8680000000000005E-2</v>
      </c>
      <c r="V128" s="667">
        <f t="shared" si="36"/>
        <v>6.8680000000000005E-2</v>
      </c>
      <c r="X128" s="307"/>
      <c r="Y128" s="415">
        <f>Y118*0.7</f>
        <v>1456</v>
      </c>
      <c r="AA128" s="107" t="s">
        <v>712</v>
      </c>
      <c r="AB128" s="108"/>
    </row>
    <row r="129" spans="2:28" x14ac:dyDescent="0.25">
      <c r="B129" s="546" t="s">
        <v>77</v>
      </c>
      <c r="C129" s="546" t="s">
        <v>335</v>
      </c>
      <c r="D129" s="546"/>
      <c r="E129" s="546"/>
      <c r="F129" s="546" t="s">
        <v>593</v>
      </c>
      <c r="G129" s="669">
        <f t="shared" si="28"/>
        <v>6.8680000000000005E-2</v>
      </c>
      <c r="H129" s="668">
        <f t="shared" si="25"/>
        <v>6.8680000000000005E-2</v>
      </c>
      <c r="I129" s="662">
        <f t="shared" si="36"/>
        <v>6.8680000000000005E-2</v>
      </c>
      <c r="J129" s="662">
        <f t="shared" si="36"/>
        <v>6.8680000000000005E-2</v>
      </c>
      <c r="K129" s="662">
        <f t="shared" si="36"/>
        <v>6.8680000000000005E-2</v>
      </c>
      <c r="L129" s="662">
        <f t="shared" si="36"/>
        <v>6.8680000000000005E-2</v>
      </c>
      <c r="M129" s="662">
        <f t="shared" si="36"/>
        <v>6.8680000000000005E-2</v>
      </c>
      <c r="N129" s="662">
        <f t="shared" si="36"/>
        <v>6.8680000000000005E-2</v>
      </c>
      <c r="O129" s="662">
        <f t="shared" si="36"/>
        <v>6.8680000000000005E-2</v>
      </c>
      <c r="P129" s="662">
        <f t="shared" si="36"/>
        <v>6.8680000000000005E-2</v>
      </c>
      <c r="Q129" s="662">
        <f t="shared" si="36"/>
        <v>6.8680000000000005E-2</v>
      </c>
      <c r="R129" s="662">
        <f t="shared" si="36"/>
        <v>6.8680000000000005E-2</v>
      </c>
      <c r="S129" s="662">
        <f t="shared" si="36"/>
        <v>6.8680000000000005E-2</v>
      </c>
      <c r="T129" s="662">
        <f t="shared" si="36"/>
        <v>6.8680000000000005E-2</v>
      </c>
      <c r="U129" s="662">
        <f t="shared" si="36"/>
        <v>6.8680000000000005E-2</v>
      </c>
      <c r="V129" s="662">
        <f t="shared" si="36"/>
        <v>6.8680000000000005E-2</v>
      </c>
      <c r="X129" s="547"/>
      <c r="Y129" s="548">
        <f>Y119*0.7</f>
        <v>1456</v>
      </c>
      <c r="AA129" s="107" t="s">
        <v>712</v>
      </c>
      <c r="AB129" s="108"/>
    </row>
    <row r="130" spans="2:28" x14ac:dyDescent="0.25">
      <c r="B130" s="186" t="s">
        <v>77</v>
      </c>
      <c r="C130" s="186" t="s">
        <v>336</v>
      </c>
      <c r="D130" s="186"/>
      <c r="E130" s="186"/>
      <c r="F130" s="186" t="s">
        <v>414</v>
      </c>
      <c r="G130" s="660">
        <f>ROUND(10^2/(Y130*$G$105),5)</f>
        <v>8.3330000000000001E-2</v>
      </c>
      <c r="H130" s="667">
        <f>$G130</f>
        <v>8.3330000000000001E-2</v>
      </c>
      <c r="I130" s="667">
        <f t="shared" si="36"/>
        <v>8.3330000000000001E-2</v>
      </c>
      <c r="J130" s="667">
        <f t="shared" si="36"/>
        <v>8.3330000000000001E-2</v>
      </c>
      <c r="K130" s="667">
        <f t="shared" si="36"/>
        <v>8.3330000000000001E-2</v>
      </c>
      <c r="L130" s="667">
        <f t="shared" si="36"/>
        <v>8.3330000000000001E-2</v>
      </c>
      <c r="M130" s="667">
        <f t="shared" si="36"/>
        <v>8.3330000000000001E-2</v>
      </c>
      <c r="N130" s="667">
        <f t="shared" si="36"/>
        <v>8.3330000000000001E-2</v>
      </c>
      <c r="O130" s="667">
        <f t="shared" si="36"/>
        <v>8.3330000000000001E-2</v>
      </c>
      <c r="P130" s="667">
        <f t="shared" si="36"/>
        <v>8.3330000000000001E-2</v>
      </c>
      <c r="Q130" s="667">
        <f t="shared" si="36"/>
        <v>8.3330000000000001E-2</v>
      </c>
      <c r="R130" s="667">
        <f t="shared" si="36"/>
        <v>8.3330000000000001E-2</v>
      </c>
      <c r="S130" s="667">
        <f t="shared" si="36"/>
        <v>8.3330000000000001E-2</v>
      </c>
      <c r="T130" s="667">
        <f t="shared" si="36"/>
        <v>8.3330000000000001E-2</v>
      </c>
      <c r="U130" s="667">
        <f t="shared" si="36"/>
        <v>8.3330000000000001E-2</v>
      </c>
      <c r="V130" s="667">
        <f t="shared" si="36"/>
        <v>8.3330000000000001E-2</v>
      </c>
      <c r="X130" s="307"/>
      <c r="Y130" s="412">
        <v>1200</v>
      </c>
      <c r="AA130" s="107"/>
      <c r="AB130" s="108"/>
    </row>
    <row r="131" spans="2:28" x14ac:dyDescent="0.25">
      <c r="B131" s="186" t="s">
        <v>77</v>
      </c>
      <c r="C131" s="186" t="s">
        <v>336</v>
      </c>
      <c r="D131" s="186"/>
      <c r="E131" s="186"/>
      <c r="F131" s="186" t="s">
        <v>590</v>
      </c>
      <c r="G131" s="660">
        <f t="shared" si="28"/>
        <v>8.3330000000000001E-2</v>
      </c>
      <c r="H131" s="667">
        <f t="shared" si="25"/>
        <v>8.3330000000000001E-2</v>
      </c>
      <c r="I131" s="667">
        <f t="shared" si="36"/>
        <v>8.3330000000000001E-2</v>
      </c>
      <c r="J131" s="667">
        <f t="shared" si="36"/>
        <v>8.3330000000000001E-2</v>
      </c>
      <c r="K131" s="667">
        <f t="shared" si="36"/>
        <v>8.3330000000000001E-2</v>
      </c>
      <c r="L131" s="667">
        <f t="shared" si="36"/>
        <v>8.3330000000000001E-2</v>
      </c>
      <c r="M131" s="667">
        <f t="shared" si="36"/>
        <v>8.3330000000000001E-2</v>
      </c>
      <c r="N131" s="667">
        <f t="shared" si="36"/>
        <v>8.3330000000000001E-2</v>
      </c>
      <c r="O131" s="667">
        <f t="shared" si="36"/>
        <v>8.3330000000000001E-2</v>
      </c>
      <c r="P131" s="667">
        <f t="shared" si="36"/>
        <v>8.3330000000000001E-2</v>
      </c>
      <c r="Q131" s="667">
        <f t="shared" si="36"/>
        <v>8.3330000000000001E-2</v>
      </c>
      <c r="R131" s="667">
        <f t="shared" si="36"/>
        <v>8.3330000000000001E-2</v>
      </c>
      <c r="S131" s="667">
        <f t="shared" si="36"/>
        <v>8.3330000000000001E-2</v>
      </c>
      <c r="T131" s="667">
        <f t="shared" si="36"/>
        <v>8.3330000000000001E-2</v>
      </c>
      <c r="U131" s="667">
        <f t="shared" si="36"/>
        <v>8.3330000000000001E-2</v>
      </c>
      <c r="V131" s="667">
        <f t="shared" si="36"/>
        <v>8.3330000000000001E-2</v>
      </c>
      <c r="X131" s="307"/>
      <c r="Y131" s="412">
        <v>1200</v>
      </c>
      <c r="AA131" s="107"/>
      <c r="AB131" s="108"/>
    </row>
    <row r="132" spans="2:28" x14ac:dyDescent="0.25">
      <c r="B132" s="186" t="s">
        <v>77</v>
      </c>
      <c r="C132" s="186" t="s">
        <v>337</v>
      </c>
      <c r="D132" s="186"/>
      <c r="E132" s="186"/>
      <c r="F132" s="186" t="s">
        <v>414</v>
      </c>
      <c r="G132" s="660">
        <f t="shared" si="28"/>
        <v>8.3330000000000001E-2</v>
      </c>
      <c r="H132" s="667">
        <f t="shared" si="25"/>
        <v>8.3330000000000001E-2</v>
      </c>
      <c r="I132" s="667">
        <f t="shared" si="36"/>
        <v>8.3330000000000001E-2</v>
      </c>
      <c r="J132" s="667">
        <f t="shared" si="36"/>
        <v>8.3330000000000001E-2</v>
      </c>
      <c r="K132" s="667">
        <f t="shared" si="36"/>
        <v>8.3330000000000001E-2</v>
      </c>
      <c r="L132" s="667">
        <f t="shared" si="36"/>
        <v>8.3330000000000001E-2</v>
      </c>
      <c r="M132" s="667">
        <f t="shared" si="36"/>
        <v>8.3330000000000001E-2</v>
      </c>
      <c r="N132" s="667">
        <f t="shared" si="36"/>
        <v>8.3330000000000001E-2</v>
      </c>
      <c r="O132" s="667">
        <f t="shared" si="36"/>
        <v>8.3330000000000001E-2</v>
      </c>
      <c r="P132" s="667">
        <f t="shared" si="36"/>
        <v>8.3330000000000001E-2</v>
      </c>
      <c r="Q132" s="667">
        <f t="shared" si="36"/>
        <v>8.3330000000000001E-2</v>
      </c>
      <c r="R132" s="667">
        <f t="shared" si="36"/>
        <v>8.3330000000000001E-2</v>
      </c>
      <c r="S132" s="667">
        <f t="shared" si="36"/>
        <v>8.3330000000000001E-2</v>
      </c>
      <c r="T132" s="667">
        <f t="shared" si="36"/>
        <v>8.3330000000000001E-2</v>
      </c>
      <c r="U132" s="667">
        <f t="shared" si="36"/>
        <v>8.3330000000000001E-2</v>
      </c>
      <c r="V132" s="667">
        <f t="shared" si="36"/>
        <v>8.3330000000000001E-2</v>
      </c>
      <c r="X132" s="307" t="s">
        <v>713</v>
      </c>
      <c r="Y132" s="412">
        <v>1200</v>
      </c>
      <c r="AA132" s="107" t="s">
        <v>714</v>
      </c>
      <c r="AB132" s="108">
        <v>1200</v>
      </c>
    </row>
    <row r="133" spans="2:28" x14ac:dyDescent="0.25">
      <c r="B133" s="186" t="s">
        <v>77</v>
      </c>
      <c r="C133" s="186" t="s">
        <v>337</v>
      </c>
      <c r="D133" s="186"/>
      <c r="E133" s="186"/>
      <c r="F133" s="186" t="s">
        <v>590</v>
      </c>
      <c r="G133" s="660">
        <f t="shared" si="28"/>
        <v>8.3330000000000001E-2</v>
      </c>
      <c r="H133" s="667">
        <f t="shared" si="25"/>
        <v>8.3330000000000001E-2</v>
      </c>
      <c r="I133" s="667">
        <f t="shared" si="36"/>
        <v>8.3330000000000001E-2</v>
      </c>
      <c r="J133" s="667">
        <f t="shared" si="36"/>
        <v>8.3330000000000001E-2</v>
      </c>
      <c r="K133" s="667">
        <f t="shared" si="36"/>
        <v>8.3330000000000001E-2</v>
      </c>
      <c r="L133" s="667">
        <f t="shared" si="36"/>
        <v>8.3330000000000001E-2</v>
      </c>
      <c r="M133" s="667">
        <f t="shared" si="36"/>
        <v>8.3330000000000001E-2</v>
      </c>
      <c r="N133" s="667">
        <f t="shared" si="36"/>
        <v>8.3330000000000001E-2</v>
      </c>
      <c r="O133" s="667">
        <f t="shared" si="36"/>
        <v>8.3330000000000001E-2</v>
      </c>
      <c r="P133" s="667">
        <f t="shared" si="36"/>
        <v>8.3330000000000001E-2</v>
      </c>
      <c r="Q133" s="667">
        <f t="shared" si="36"/>
        <v>8.3330000000000001E-2</v>
      </c>
      <c r="R133" s="667">
        <f t="shared" si="36"/>
        <v>8.3330000000000001E-2</v>
      </c>
      <c r="S133" s="667">
        <f t="shared" si="36"/>
        <v>8.3330000000000001E-2</v>
      </c>
      <c r="T133" s="667">
        <f t="shared" si="36"/>
        <v>8.3330000000000001E-2</v>
      </c>
      <c r="U133" s="667">
        <f t="shared" si="36"/>
        <v>8.3330000000000001E-2</v>
      </c>
      <c r="V133" s="667">
        <f t="shared" si="36"/>
        <v>8.3330000000000001E-2</v>
      </c>
      <c r="X133" s="307" t="s">
        <v>713</v>
      </c>
      <c r="Y133" s="412">
        <v>1200</v>
      </c>
      <c r="AA133" s="107" t="s">
        <v>714</v>
      </c>
      <c r="AB133" s="108">
        <v>1200</v>
      </c>
    </row>
    <row r="134" spans="2:28" s="23" customFormat="1" x14ac:dyDescent="0.25">
      <c r="B134" s="649" t="s">
        <v>77</v>
      </c>
      <c r="C134" s="649" t="s">
        <v>338</v>
      </c>
      <c r="D134" s="649"/>
      <c r="E134" s="649"/>
      <c r="F134" s="649" t="s">
        <v>414</v>
      </c>
      <c r="G134" s="660">
        <f>ROUND(10^2/(Y134*$G$105),5)</f>
        <v>0.16667000000000001</v>
      </c>
      <c r="H134" s="670">
        <f t="shared" si="25"/>
        <v>0.16667000000000001</v>
      </c>
      <c r="I134" s="670">
        <f t="shared" si="36"/>
        <v>0.16667000000000001</v>
      </c>
      <c r="J134" s="670">
        <f t="shared" si="36"/>
        <v>0.16667000000000001</v>
      </c>
      <c r="K134" s="670">
        <f t="shared" si="36"/>
        <v>0.16667000000000001</v>
      </c>
      <c r="L134" s="670">
        <f t="shared" si="36"/>
        <v>0.16667000000000001</v>
      </c>
      <c r="M134" s="670">
        <f t="shared" si="36"/>
        <v>0.16667000000000001</v>
      </c>
      <c r="N134" s="670">
        <f t="shared" si="36"/>
        <v>0.16667000000000001</v>
      </c>
      <c r="O134" s="670">
        <f t="shared" si="36"/>
        <v>0.16667000000000001</v>
      </c>
      <c r="P134" s="670">
        <f t="shared" si="36"/>
        <v>0.16667000000000001</v>
      </c>
      <c r="Q134" s="670">
        <f t="shared" si="36"/>
        <v>0.16667000000000001</v>
      </c>
      <c r="R134" s="670">
        <f t="shared" si="36"/>
        <v>0.16667000000000001</v>
      </c>
      <c r="S134" s="670">
        <f t="shared" si="36"/>
        <v>0.16667000000000001</v>
      </c>
      <c r="T134" s="670">
        <f t="shared" si="36"/>
        <v>0.16667000000000001</v>
      </c>
      <c r="U134" s="670">
        <f t="shared" si="36"/>
        <v>0.16667000000000001</v>
      </c>
      <c r="V134" s="670">
        <f t="shared" si="36"/>
        <v>0.16667000000000001</v>
      </c>
      <c r="X134" s="644"/>
      <c r="Y134" s="417">
        <f>Y112</f>
        <v>600</v>
      </c>
      <c r="AA134" s="647" t="s">
        <v>715</v>
      </c>
      <c r="AB134" s="648"/>
    </row>
    <row r="135" spans="2:28" s="23" customFormat="1" x14ac:dyDescent="0.25">
      <c r="B135" s="649" t="s">
        <v>77</v>
      </c>
      <c r="C135" s="649" t="s">
        <v>338</v>
      </c>
      <c r="D135" s="649"/>
      <c r="E135" s="649"/>
      <c r="F135" s="649" t="s">
        <v>590</v>
      </c>
      <c r="G135" s="660">
        <f t="shared" si="28"/>
        <v>0.16667000000000001</v>
      </c>
      <c r="H135" s="670">
        <f t="shared" si="25"/>
        <v>0.16667000000000001</v>
      </c>
      <c r="I135" s="670">
        <f t="shared" si="36"/>
        <v>0.16667000000000001</v>
      </c>
      <c r="J135" s="670">
        <f t="shared" si="36"/>
        <v>0.16667000000000001</v>
      </c>
      <c r="K135" s="670">
        <f t="shared" si="36"/>
        <v>0.16667000000000001</v>
      </c>
      <c r="L135" s="670">
        <f t="shared" si="36"/>
        <v>0.16667000000000001</v>
      </c>
      <c r="M135" s="670">
        <f t="shared" si="36"/>
        <v>0.16667000000000001</v>
      </c>
      <c r="N135" s="670">
        <f t="shared" si="36"/>
        <v>0.16667000000000001</v>
      </c>
      <c r="O135" s="670">
        <f t="shared" si="36"/>
        <v>0.16667000000000001</v>
      </c>
      <c r="P135" s="670">
        <f t="shared" si="36"/>
        <v>0.16667000000000001</v>
      </c>
      <c r="Q135" s="670">
        <f t="shared" si="36"/>
        <v>0.16667000000000001</v>
      </c>
      <c r="R135" s="670">
        <f t="shared" si="36"/>
        <v>0.16667000000000001</v>
      </c>
      <c r="S135" s="670">
        <f t="shared" si="36"/>
        <v>0.16667000000000001</v>
      </c>
      <c r="T135" s="670">
        <f t="shared" si="36"/>
        <v>0.16667000000000001</v>
      </c>
      <c r="U135" s="670">
        <f t="shared" si="36"/>
        <v>0.16667000000000001</v>
      </c>
      <c r="V135" s="670">
        <f t="shared" si="36"/>
        <v>0.16667000000000001</v>
      </c>
      <c r="X135" s="644"/>
      <c r="Y135" s="417">
        <f>Y113</f>
        <v>600</v>
      </c>
      <c r="AA135" s="647" t="s">
        <v>715</v>
      </c>
      <c r="AB135" s="648"/>
    </row>
    <row r="136" spans="2:28" x14ac:dyDescent="0.25">
      <c r="B136" s="186" t="s">
        <v>77</v>
      </c>
      <c r="C136" s="186" t="s">
        <v>339</v>
      </c>
      <c r="D136" s="186"/>
      <c r="E136" s="186"/>
      <c r="F136" s="186" t="s">
        <v>414</v>
      </c>
      <c r="G136" s="660">
        <f t="shared" si="28"/>
        <v>4.3290000000000002E-2</v>
      </c>
      <c r="H136" s="667">
        <f t="shared" si="25"/>
        <v>4.3290000000000002E-2</v>
      </c>
      <c r="I136" s="667">
        <f t="shared" si="36"/>
        <v>4.3290000000000002E-2</v>
      </c>
      <c r="J136" s="667">
        <f t="shared" si="36"/>
        <v>4.3290000000000002E-2</v>
      </c>
      <c r="K136" s="667">
        <f t="shared" si="36"/>
        <v>4.3290000000000002E-2</v>
      </c>
      <c r="L136" s="667">
        <f t="shared" si="36"/>
        <v>4.3290000000000002E-2</v>
      </c>
      <c r="M136" s="667">
        <f t="shared" si="36"/>
        <v>4.3290000000000002E-2</v>
      </c>
      <c r="N136" s="667">
        <f t="shared" si="36"/>
        <v>4.3290000000000002E-2</v>
      </c>
      <c r="O136" s="667">
        <f t="shared" si="36"/>
        <v>4.3290000000000002E-2</v>
      </c>
      <c r="P136" s="667">
        <f t="shared" si="36"/>
        <v>4.3290000000000002E-2</v>
      </c>
      <c r="Q136" s="667">
        <f t="shared" si="36"/>
        <v>4.3290000000000002E-2</v>
      </c>
      <c r="R136" s="667">
        <f t="shared" si="36"/>
        <v>4.3290000000000002E-2</v>
      </c>
      <c r="S136" s="667">
        <f t="shared" si="36"/>
        <v>4.3290000000000002E-2</v>
      </c>
      <c r="T136" s="667">
        <f t="shared" si="36"/>
        <v>4.3290000000000002E-2</v>
      </c>
      <c r="U136" s="667">
        <f t="shared" si="36"/>
        <v>4.3290000000000002E-2</v>
      </c>
      <c r="V136" s="667">
        <f t="shared" si="36"/>
        <v>4.3290000000000002E-2</v>
      </c>
      <c r="X136" s="307" t="s">
        <v>716</v>
      </c>
      <c r="Y136" s="412">
        <v>2310</v>
      </c>
      <c r="AA136" s="107" t="s">
        <v>714</v>
      </c>
      <c r="AB136" s="108">
        <v>2310</v>
      </c>
    </row>
    <row r="137" spans="2:28" x14ac:dyDescent="0.25">
      <c r="B137" s="186" t="s">
        <v>77</v>
      </c>
      <c r="C137" s="186" t="s">
        <v>339</v>
      </c>
      <c r="D137" s="186"/>
      <c r="E137" s="186"/>
      <c r="F137" s="186" t="s">
        <v>590</v>
      </c>
      <c r="G137" s="660">
        <f t="shared" si="28"/>
        <v>4.3290000000000002E-2</v>
      </c>
      <c r="H137" s="667">
        <f t="shared" si="25"/>
        <v>4.3290000000000002E-2</v>
      </c>
      <c r="I137" s="667">
        <f t="shared" si="36"/>
        <v>4.3290000000000002E-2</v>
      </c>
      <c r="J137" s="667">
        <f t="shared" si="36"/>
        <v>4.3290000000000002E-2</v>
      </c>
      <c r="K137" s="667">
        <f t="shared" si="36"/>
        <v>4.3290000000000002E-2</v>
      </c>
      <c r="L137" s="667">
        <f t="shared" si="36"/>
        <v>4.3290000000000002E-2</v>
      </c>
      <c r="M137" s="667">
        <f t="shared" si="36"/>
        <v>4.3290000000000002E-2</v>
      </c>
      <c r="N137" s="667">
        <f t="shared" si="36"/>
        <v>4.3290000000000002E-2</v>
      </c>
      <c r="O137" s="667">
        <f t="shared" si="36"/>
        <v>4.3290000000000002E-2</v>
      </c>
      <c r="P137" s="667">
        <f t="shared" si="36"/>
        <v>4.3290000000000002E-2</v>
      </c>
      <c r="Q137" s="667">
        <f t="shared" si="36"/>
        <v>4.3290000000000002E-2</v>
      </c>
      <c r="R137" s="667">
        <f t="shared" si="36"/>
        <v>4.3290000000000002E-2</v>
      </c>
      <c r="S137" s="667">
        <f t="shared" si="36"/>
        <v>4.3290000000000002E-2</v>
      </c>
      <c r="T137" s="667">
        <f t="shared" si="36"/>
        <v>4.3290000000000002E-2</v>
      </c>
      <c r="U137" s="667">
        <f t="shared" si="36"/>
        <v>4.3290000000000002E-2</v>
      </c>
      <c r="V137" s="667">
        <f t="shared" si="36"/>
        <v>4.3290000000000002E-2</v>
      </c>
      <c r="X137" s="307" t="s">
        <v>716</v>
      </c>
      <c r="Y137" s="412">
        <v>2310</v>
      </c>
      <c r="AA137" s="107" t="s">
        <v>714</v>
      </c>
      <c r="AB137" s="108">
        <v>2310</v>
      </c>
    </row>
    <row r="138" spans="2:28" x14ac:dyDescent="0.25">
      <c r="B138" s="186" t="s">
        <v>77</v>
      </c>
      <c r="C138" s="186" t="s">
        <v>340</v>
      </c>
      <c r="D138" s="186"/>
      <c r="E138" s="186"/>
      <c r="F138" s="186" t="s">
        <v>414</v>
      </c>
      <c r="G138" s="660">
        <f t="shared" si="28"/>
        <v>8.8109999999999994E-2</v>
      </c>
      <c r="H138" s="667">
        <f t="shared" si="25"/>
        <v>8.8109999999999994E-2</v>
      </c>
      <c r="I138" s="667">
        <f t="shared" ref="I138:V151" si="37">$H138</f>
        <v>8.8109999999999994E-2</v>
      </c>
      <c r="J138" s="667">
        <f t="shared" si="37"/>
        <v>8.8109999999999994E-2</v>
      </c>
      <c r="K138" s="667">
        <f t="shared" si="37"/>
        <v>8.8109999999999994E-2</v>
      </c>
      <c r="L138" s="667">
        <f t="shared" si="37"/>
        <v>8.8109999999999994E-2</v>
      </c>
      <c r="M138" s="667">
        <f t="shared" si="37"/>
        <v>8.8109999999999994E-2</v>
      </c>
      <c r="N138" s="667">
        <f t="shared" si="37"/>
        <v>8.8109999999999994E-2</v>
      </c>
      <c r="O138" s="667">
        <f t="shared" si="37"/>
        <v>8.8109999999999994E-2</v>
      </c>
      <c r="P138" s="667">
        <f t="shared" si="37"/>
        <v>8.8109999999999994E-2</v>
      </c>
      <c r="Q138" s="667">
        <f t="shared" si="37"/>
        <v>8.8109999999999994E-2</v>
      </c>
      <c r="R138" s="667">
        <f t="shared" si="37"/>
        <v>8.8109999999999994E-2</v>
      </c>
      <c r="S138" s="667">
        <f t="shared" si="37"/>
        <v>8.8109999999999994E-2</v>
      </c>
      <c r="T138" s="667">
        <f t="shared" si="37"/>
        <v>8.8109999999999994E-2</v>
      </c>
      <c r="U138" s="667">
        <f t="shared" si="37"/>
        <v>8.8109999999999994E-2</v>
      </c>
      <c r="V138" s="667">
        <f t="shared" si="37"/>
        <v>8.8109999999999994E-2</v>
      </c>
      <c r="X138" s="307" t="s">
        <v>717</v>
      </c>
      <c r="Y138" s="302">
        <v>1135</v>
      </c>
      <c r="AA138" s="107" t="s">
        <v>714</v>
      </c>
      <c r="AB138" s="108">
        <v>1135</v>
      </c>
    </row>
    <row r="139" spans="2:28" x14ac:dyDescent="0.25">
      <c r="B139" s="186" t="s">
        <v>77</v>
      </c>
      <c r="C139" s="186" t="s">
        <v>340</v>
      </c>
      <c r="D139" s="186"/>
      <c r="E139" s="186"/>
      <c r="F139" s="186" t="s">
        <v>590</v>
      </c>
      <c r="G139" s="660">
        <f>ROUND(10^2/(Y139*$G$105),5)</f>
        <v>8.8109999999999994E-2</v>
      </c>
      <c r="H139" s="667">
        <f t="shared" si="25"/>
        <v>8.8109999999999994E-2</v>
      </c>
      <c r="I139" s="667">
        <f t="shared" si="37"/>
        <v>8.8109999999999994E-2</v>
      </c>
      <c r="J139" s="667">
        <f t="shared" si="37"/>
        <v>8.8109999999999994E-2</v>
      </c>
      <c r="K139" s="667">
        <f t="shared" si="37"/>
        <v>8.8109999999999994E-2</v>
      </c>
      <c r="L139" s="667">
        <f t="shared" si="37"/>
        <v>8.8109999999999994E-2</v>
      </c>
      <c r="M139" s="667">
        <f t="shared" si="37"/>
        <v>8.8109999999999994E-2</v>
      </c>
      <c r="N139" s="667">
        <f t="shared" si="37"/>
        <v>8.8109999999999994E-2</v>
      </c>
      <c r="O139" s="667">
        <f t="shared" si="37"/>
        <v>8.8109999999999994E-2</v>
      </c>
      <c r="P139" s="667">
        <f t="shared" si="37"/>
        <v>8.8109999999999994E-2</v>
      </c>
      <c r="Q139" s="667">
        <f t="shared" si="37"/>
        <v>8.8109999999999994E-2</v>
      </c>
      <c r="R139" s="667">
        <f t="shared" si="37"/>
        <v>8.8109999999999994E-2</v>
      </c>
      <c r="S139" s="667">
        <f t="shared" si="37"/>
        <v>8.8109999999999994E-2</v>
      </c>
      <c r="T139" s="667">
        <f t="shared" si="37"/>
        <v>8.8109999999999994E-2</v>
      </c>
      <c r="U139" s="667">
        <f t="shared" si="37"/>
        <v>8.8109999999999994E-2</v>
      </c>
      <c r="V139" s="667">
        <f t="shared" si="37"/>
        <v>8.8109999999999994E-2</v>
      </c>
      <c r="X139" s="307" t="s">
        <v>717</v>
      </c>
      <c r="Y139" s="302">
        <v>1135</v>
      </c>
      <c r="AA139" s="107" t="s">
        <v>714</v>
      </c>
      <c r="AB139" s="108">
        <v>1135</v>
      </c>
    </row>
    <row r="140" spans="2:28" x14ac:dyDescent="0.25">
      <c r="B140" s="186" t="s">
        <v>77</v>
      </c>
      <c r="C140" s="186" t="s">
        <v>341</v>
      </c>
      <c r="D140" s="186"/>
      <c r="E140" s="186"/>
      <c r="F140" s="186" t="s">
        <v>414</v>
      </c>
      <c r="G140" s="660">
        <f t="shared" si="28"/>
        <v>5.0610000000000002E-2</v>
      </c>
      <c r="H140" s="667">
        <f t="shared" si="25"/>
        <v>5.0610000000000002E-2</v>
      </c>
      <c r="I140" s="667">
        <f t="shared" si="37"/>
        <v>5.0610000000000002E-2</v>
      </c>
      <c r="J140" s="667">
        <f t="shared" si="37"/>
        <v>5.0610000000000002E-2</v>
      </c>
      <c r="K140" s="667">
        <f t="shared" si="37"/>
        <v>5.0610000000000002E-2</v>
      </c>
      <c r="L140" s="667">
        <f t="shared" si="37"/>
        <v>5.0610000000000002E-2</v>
      </c>
      <c r="M140" s="667">
        <f t="shared" si="37"/>
        <v>5.0610000000000002E-2</v>
      </c>
      <c r="N140" s="667">
        <f t="shared" si="37"/>
        <v>5.0610000000000002E-2</v>
      </c>
      <c r="O140" s="667">
        <f t="shared" si="37"/>
        <v>5.0610000000000002E-2</v>
      </c>
      <c r="P140" s="667">
        <f t="shared" si="37"/>
        <v>5.0610000000000002E-2</v>
      </c>
      <c r="Q140" s="667">
        <f t="shared" si="37"/>
        <v>5.0610000000000002E-2</v>
      </c>
      <c r="R140" s="667">
        <f t="shared" si="37"/>
        <v>5.0610000000000002E-2</v>
      </c>
      <c r="S140" s="667">
        <f t="shared" si="37"/>
        <v>5.0610000000000002E-2</v>
      </c>
      <c r="T140" s="667">
        <f t="shared" si="37"/>
        <v>5.0610000000000002E-2</v>
      </c>
      <c r="U140" s="667">
        <f t="shared" si="37"/>
        <v>5.0610000000000002E-2</v>
      </c>
      <c r="V140" s="667">
        <f t="shared" si="37"/>
        <v>5.0610000000000002E-2</v>
      </c>
      <c r="X140" s="307" t="s">
        <v>718</v>
      </c>
      <c r="Y140" s="302">
        <f t="shared" ref="Y140:Y141" si="38">Y118*0.95</f>
        <v>1976</v>
      </c>
      <c r="AA140" s="107" t="s">
        <v>682</v>
      </c>
      <c r="AB140" s="108">
        <f t="shared" ref="AB140:AB141" si="39">AB118*0.95</f>
        <v>1976</v>
      </c>
    </row>
    <row r="141" spans="2:28" x14ac:dyDescent="0.25">
      <c r="B141" s="186" t="s">
        <v>77</v>
      </c>
      <c r="C141" s="186" t="s">
        <v>341</v>
      </c>
      <c r="D141" s="186"/>
      <c r="E141" s="186"/>
      <c r="F141" s="186" t="s">
        <v>590</v>
      </c>
      <c r="G141" s="660">
        <f t="shared" si="28"/>
        <v>5.0610000000000002E-2</v>
      </c>
      <c r="H141" s="667">
        <f t="shared" si="25"/>
        <v>5.0610000000000002E-2</v>
      </c>
      <c r="I141" s="667">
        <f t="shared" si="37"/>
        <v>5.0610000000000002E-2</v>
      </c>
      <c r="J141" s="667">
        <f t="shared" si="37"/>
        <v>5.0610000000000002E-2</v>
      </c>
      <c r="K141" s="667">
        <f t="shared" si="37"/>
        <v>5.0610000000000002E-2</v>
      </c>
      <c r="L141" s="667">
        <f t="shared" si="37"/>
        <v>5.0610000000000002E-2</v>
      </c>
      <c r="M141" s="667">
        <f t="shared" si="37"/>
        <v>5.0610000000000002E-2</v>
      </c>
      <c r="N141" s="667">
        <f t="shared" si="37"/>
        <v>5.0610000000000002E-2</v>
      </c>
      <c r="O141" s="667">
        <f t="shared" si="37"/>
        <v>5.0610000000000002E-2</v>
      </c>
      <c r="P141" s="667">
        <f t="shared" si="37"/>
        <v>5.0610000000000002E-2</v>
      </c>
      <c r="Q141" s="667">
        <f t="shared" si="37"/>
        <v>5.0610000000000002E-2</v>
      </c>
      <c r="R141" s="667">
        <f t="shared" si="37"/>
        <v>5.0610000000000002E-2</v>
      </c>
      <c r="S141" s="667">
        <f t="shared" si="37"/>
        <v>5.0610000000000002E-2</v>
      </c>
      <c r="T141" s="667">
        <f t="shared" si="37"/>
        <v>5.0610000000000002E-2</v>
      </c>
      <c r="U141" s="667">
        <f t="shared" si="37"/>
        <v>5.0610000000000002E-2</v>
      </c>
      <c r="V141" s="667">
        <f t="shared" si="37"/>
        <v>5.0610000000000002E-2</v>
      </c>
      <c r="X141" s="307" t="s">
        <v>718</v>
      </c>
      <c r="Y141" s="302">
        <f t="shared" si="38"/>
        <v>1976</v>
      </c>
      <c r="AA141" s="107" t="s">
        <v>682</v>
      </c>
      <c r="AB141" s="108">
        <f t="shared" si="39"/>
        <v>1976</v>
      </c>
    </row>
    <row r="142" spans="2:28" x14ac:dyDescent="0.25">
      <c r="B142" s="186" t="s">
        <v>77</v>
      </c>
      <c r="C142" s="186" t="s">
        <v>342</v>
      </c>
      <c r="D142" s="186"/>
      <c r="E142" s="186"/>
      <c r="F142" s="186" t="s">
        <v>414</v>
      </c>
      <c r="G142" s="660">
        <f t="shared" si="28"/>
        <v>8.7720000000000006E-2</v>
      </c>
      <c r="H142" s="667">
        <f t="shared" si="25"/>
        <v>8.7720000000000006E-2</v>
      </c>
      <c r="I142" s="667">
        <f t="shared" si="37"/>
        <v>8.7720000000000006E-2</v>
      </c>
      <c r="J142" s="667">
        <f t="shared" si="37"/>
        <v>8.7720000000000006E-2</v>
      </c>
      <c r="K142" s="667">
        <f t="shared" si="37"/>
        <v>8.7720000000000006E-2</v>
      </c>
      <c r="L142" s="667">
        <f t="shared" si="37"/>
        <v>8.7720000000000006E-2</v>
      </c>
      <c r="M142" s="667">
        <f t="shared" si="37"/>
        <v>8.7720000000000006E-2</v>
      </c>
      <c r="N142" s="667">
        <f t="shared" si="37"/>
        <v>8.7720000000000006E-2</v>
      </c>
      <c r="O142" s="667">
        <f t="shared" si="37"/>
        <v>8.7720000000000006E-2</v>
      </c>
      <c r="P142" s="667">
        <f t="shared" si="37"/>
        <v>8.7720000000000006E-2</v>
      </c>
      <c r="Q142" s="667">
        <f t="shared" si="37"/>
        <v>8.7720000000000006E-2</v>
      </c>
      <c r="R142" s="667">
        <f t="shared" si="37"/>
        <v>8.7720000000000006E-2</v>
      </c>
      <c r="S142" s="667">
        <f t="shared" si="37"/>
        <v>8.7720000000000006E-2</v>
      </c>
      <c r="T142" s="667">
        <f t="shared" si="37"/>
        <v>8.7720000000000006E-2</v>
      </c>
      <c r="U142" s="667">
        <f t="shared" si="37"/>
        <v>8.7720000000000006E-2</v>
      </c>
      <c r="V142" s="667">
        <f t="shared" si="37"/>
        <v>8.7720000000000006E-2</v>
      </c>
      <c r="X142" s="307"/>
      <c r="Y142" s="416">
        <f>Y132*0.95</f>
        <v>1140</v>
      </c>
      <c r="AA142" s="107"/>
      <c r="AB142" s="108"/>
    </row>
    <row r="143" spans="2:28" x14ac:dyDescent="0.25">
      <c r="B143" s="186" t="s">
        <v>77</v>
      </c>
      <c r="C143" s="186" t="s">
        <v>342</v>
      </c>
      <c r="D143" s="186"/>
      <c r="E143" s="186"/>
      <c r="F143" s="186" t="s">
        <v>590</v>
      </c>
      <c r="G143" s="660">
        <f t="shared" si="28"/>
        <v>8.7720000000000006E-2</v>
      </c>
      <c r="H143" s="667">
        <f t="shared" si="25"/>
        <v>8.7720000000000006E-2</v>
      </c>
      <c r="I143" s="667">
        <f t="shared" si="37"/>
        <v>8.7720000000000006E-2</v>
      </c>
      <c r="J143" s="667">
        <f t="shared" si="37"/>
        <v>8.7720000000000006E-2</v>
      </c>
      <c r="K143" s="667">
        <f t="shared" si="37"/>
        <v>8.7720000000000006E-2</v>
      </c>
      <c r="L143" s="667">
        <f t="shared" si="37"/>
        <v>8.7720000000000006E-2</v>
      </c>
      <c r="M143" s="667">
        <f t="shared" si="37"/>
        <v>8.7720000000000006E-2</v>
      </c>
      <c r="N143" s="667">
        <f t="shared" si="37"/>
        <v>8.7720000000000006E-2</v>
      </c>
      <c r="O143" s="667">
        <f t="shared" si="37"/>
        <v>8.7720000000000006E-2</v>
      </c>
      <c r="P143" s="667">
        <f t="shared" si="37"/>
        <v>8.7720000000000006E-2</v>
      </c>
      <c r="Q143" s="667">
        <f t="shared" si="37"/>
        <v>8.7720000000000006E-2</v>
      </c>
      <c r="R143" s="667">
        <f t="shared" si="37"/>
        <v>8.7720000000000006E-2</v>
      </c>
      <c r="S143" s="667">
        <f t="shared" si="37"/>
        <v>8.7720000000000006E-2</v>
      </c>
      <c r="T143" s="667">
        <f t="shared" si="37"/>
        <v>8.7720000000000006E-2</v>
      </c>
      <c r="U143" s="667">
        <f t="shared" si="37"/>
        <v>8.7720000000000006E-2</v>
      </c>
      <c r="V143" s="667">
        <f t="shared" si="37"/>
        <v>8.7720000000000006E-2</v>
      </c>
      <c r="X143" s="307"/>
      <c r="Y143" s="416">
        <f>Y133*0.95</f>
        <v>1140</v>
      </c>
      <c r="AA143" s="107"/>
      <c r="AB143" s="108"/>
    </row>
    <row r="144" spans="2:28" x14ac:dyDescent="0.25">
      <c r="B144" s="186" t="s">
        <v>77</v>
      </c>
      <c r="C144" s="186" t="s">
        <v>343</v>
      </c>
      <c r="D144" s="186"/>
      <c r="E144" s="186"/>
      <c r="F144" s="186" t="s">
        <v>414</v>
      </c>
      <c r="G144" s="660">
        <f t="shared" si="28"/>
        <v>5.3269999999999998E-2</v>
      </c>
      <c r="H144" s="667">
        <f t="shared" si="25"/>
        <v>5.3269999999999998E-2</v>
      </c>
      <c r="I144" s="667">
        <f t="shared" si="37"/>
        <v>5.3269999999999998E-2</v>
      </c>
      <c r="J144" s="667">
        <f t="shared" si="37"/>
        <v>5.3269999999999998E-2</v>
      </c>
      <c r="K144" s="667">
        <f t="shared" si="37"/>
        <v>5.3269999999999998E-2</v>
      </c>
      <c r="L144" s="667">
        <f t="shared" si="37"/>
        <v>5.3269999999999998E-2</v>
      </c>
      <c r="M144" s="667">
        <f t="shared" si="37"/>
        <v>5.3269999999999998E-2</v>
      </c>
      <c r="N144" s="667">
        <f t="shared" si="37"/>
        <v>5.3269999999999998E-2</v>
      </c>
      <c r="O144" s="667">
        <f t="shared" si="37"/>
        <v>5.3269999999999998E-2</v>
      </c>
      <c r="P144" s="667">
        <f t="shared" si="37"/>
        <v>5.3269999999999998E-2</v>
      </c>
      <c r="Q144" s="667">
        <f t="shared" si="37"/>
        <v>5.3269999999999998E-2</v>
      </c>
      <c r="R144" s="667">
        <f t="shared" si="37"/>
        <v>5.3269999999999998E-2</v>
      </c>
      <c r="S144" s="667">
        <f t="shared" si="37"/>
        <v>5.3269999999999998E-2</v>
      </c>
      <c r="T144" s="667">
        <f t="shared" si="37"/>
        <v>5.3269999999999998E-2</v>
      </c>
      <c r="U144" s="667">
        <f t="shared" si="37"/>
        <v>5.3269999999999998E-2</v>
      </c>
      <c r="V144" s="667">
        <f t="shared" si="37"/>
        <v>5.3269999999999998E-2</v>
      </c>
      <c r="X144" s="307"/>
      <c r="Y144" s="416">
        <f>Y140*0.95</f>
        <v>1877.1999999999998</v>
      </c>
      <c r="AA144" s="107"/>
      <c r="AB144" s="108"/>
    </row>
    <row r="145" spans="2:36" x14ac:dyDescent="0.25">
      <c r="B145" s="186" t="s">
        <v>77</v>
      </c>
      <c r="C145" s="186" t="s">
        <v>343</v>
      </c>
      <c r="D145" s="186"/>
      <c r="E145" s="186"/>
      <c r="F145" s="186" t="s">
        <v>590</v>
      </c>
      <c r="G145" s="660">
        <f t="shared" si="28"/>
        <v>5.3269999999999998E-2</v>
      </c>
      <c r="H145" s="667">
        <f t="shared" si="25"/>
        <v>5.3269999999999998E-2</v>
      </c>
      <c r="I145" s="667">
        <f t="shared" si="37"/>
        <v>5.3269999999999998E-2</v>
      </c>
      <c r="J145" s="667">
        <f t="shared" si="37"/>
        <v>5.3269999999999998E-2</v>
      </c>
      <c r="K145" s="667">
        <f t="shared" si="37"/>
        <v>5.3269999999999998E-2</v>
      </c>
      <c r="L145" s="667">
        <f t="shared" si="37"/>
        <v>5.3269999999999998E-2</v>
      </c>
      <c r="M145" s="667">
        <f t="shared" si="37"/>
        <v>5.3269999999999998E-2</v>
      </c>
      <c r="N145" s="667">
        <f t="shared" si="37"/>
        <v>5.3269999999999998E-2</v>
      </c>
      <c r="O145" s="667">
        <f t="shared" si="37"/>
        <v>5.3269999999999998E-2</v>
      </c>
      <c r="P145" s="667">
        <f t="shared" si="37"/>
        <v>5.3269999999999998E-2</v>
      </c>
      <c r="Q145" s="667">
        <f t="shared" si="37"/>
        <v>5.3269999999999998E-2</v>
      </c>
      <c r="R145" s="667">
        <f t="shared" si="37"/>
        <v>5.3269999999999998E-2</v>
      </c>
      <c r="S145" s="667">
        <f t="shared" si="37"/>
        <v>5.3269999999999998E-2</v>
      </c>
      <c r="T145" s="667">
        <f t="shared" si="37"/>
        <v>5.3269999999999998E-2</v>
      </c>
      <c r="U145" s="667">
        <f t="shared" si="37"/>
        <v>5.3269999999999998E-2</v>
      </c>
      <c r="V145" s="667">
        <f t="shared" si="37"/>
        <v>5.3269999999999998E-2</v>
      </c>
      <c r="X145" s="307"/>
      <c r="Y145" s="416">
        <f>Y141*0.95</f>
        <v>1877.1999999999998</v>
      </c>
      <c r="AA145" s="107"/>
      <c r="AB145" s="108"/>
    </row>
    <row r="146" spans="2:36" x14ac:dyDescent="0.25">
      <c r="B146" s="186" t="s">
        <v>77</v>
      </c>
      <c r="C146" s="186" t="s">
        <v>344</v>
      </c>
      <c r="D146" s="186"/>
      <c r="E146" s="186"/>
      <c r="F146" s="186" t="s">
        <v>414</v>
      </c>
      <c r="G146" s="660">
        <f t="shared" si="28"/>
        <v>5.0610000000000002E-2</v>
      </c>
      <c r="H146" s="667">
        <f t="shared" si="25"/>
        <v>5.0610000000000002E-2</v>
      </c>
      <c r="I146" s="667">
        <f t="shared" si="37"/>
        <v>5.0610000000000002E-2</v>
      </c>
      <c r="J146" s="667">
        <f t="shared" si="37"/>
        <v>5.0610000000000002E-2</v>
      </c>
      <c r="K146" s="667">
        <f t="shared" si="37"/>
        <v>5.0610000000000002E-2</v>
      </c>
      <c r="L146" s="667">
        <f t="shared" si="37"/>
        <v>5.0610000000000002E-2</v>
      </c>
      <c r="M146" s="667">
        <f t="shared" si="37"/>
        <v>5.0610000000000002E-2</v>
      </c>
      <c r="N146" s="667">
        <f t="shared" si="37"/>
        <v>5.0610000000000002E-2</v>
      </c>
      <c r="O146" s="667">
        <f t="shared" si="37"/>
        <v>5.0610000000000002E-2</v>
      </c>
      <c r="P146" s="667">
        <f t="shared" si="37"/>
        <v>5.0610000000000002E-2</v>
      </c>
      <c r="Q146" s="667">
        <f t="shared" si="37"/>
        <v>5.0610000000000002E-2</v>
      </c>
      <c r="R146" s="667">
        <f t="shared" si="37"/>
        <v>5.0610000000000002E-2</v>
      </c>
      <c r="S146" s="667">
        <f t="shared" si="37"/>
        <v>5.0610000000000002E-2</v>
      </c>
      <c r="T146" s="667">
        <f t="shared" si="37"/>
        <v>5.0610000000000002E-2</v>
      </c>
      <c r="U146" s="667">
        <f t="shared" si="37"/>
        <v>5.0610000000000002E-2</v>
      </c>
      <c r="V146" s="667">
        <f t="shared" si="37"/>
        <v>5.0610000000000002E-2</v>
      </c>
      <c r="X146" s="307"/>
      <c r="Y146" s="359">
        <f>Y140</f>
        <v>1976</v>
      </c>
      <c r="AA146" s="107"/>
      <c r="AB146" s="108"/>
    </row>
    <row r="147" spans="2:36" x14ac:dyDescent="0.25">
      <c r="B147" s="186" t="s">
        <v>77</v>
      </c>
      <c r="C147" s="186" t="s">
        <v>344</v>
      </c>
      <c r="D147" s="186"/>
      <c r="E147" s="186"/>
      <c r="F147" s="186" t="s">
        <v>590</v>
      </c>
      <c r="G147" s="660">
        <f t="shared" si="28"/>
        <v>5.0610000000000002E-2</v>
      </c>
      <c r="H147" s="667">
        <f t="shared" si="25"/>
        <v>5.0610000000000002E-2</v>
      </c>
      <c r="I147" s="667">
        <f t="shared" si="37"/>
        <v>5.0610000000000002E-2</v>
      </c>
      <c r="J147" s="667">
        <f t="shared" si="37"/>
        <v>5.0610000000000002E-2</v>
      </c>
      <c r="K147" s="667">
        <f t="shared" si="37"/>
        <v>5.0610000000000002E-2</v>
      </c>
      <c r="L147" s="667">
        <f t="shared" si="37"/>
        <v>5.0610000000000002E-2</v>
      </c>
      <c r="M147" s="667">
        <f t="shared" si="37"/>
        <v>5.0610000000000002E-2</v>
      </c>
      <c r="N147" s="667">
        <f t="shared" si="37"/>
        <v>5.0610000000000002E-2</v>
      </c>
      <c r="O147" s="667">
        <f t="shared" si="37"/>
        <v>5.0610000000000002E-2</v>
      </c>
      <c r="P147" s="667">
        <f t="shared" si="37"/>
        <v>5.0610000000000002E-2</v>
      </c>
      <c r="Q147" s="667">
        <f t="shared" si="37"/>
        <v>5.0610000000000002E-2</v>
      </c>
      <c r="R147" s="667">
        <f t="shared" si="37"/>
        <v>5.0610000000000002E-2</v>
      </c>
      <c r="S147" s="667">
        <f t="shared" si="37"/>
        <v>5.0610000000000002E-2</v>
      </c>
      <c r="T147" s="667">
        <f t="shared" si="37"/>
        <v>5.0610000000000002E-2</v>
      </c>
      <c r="U147" s="667">
        <f t="shared" si="37"/>
        <v>5.0610000000000002E-2</v>
      </c>
      <c r="V147" s="667">
        <f t="shared" si="37"/>
        <v>5.0610000000000002E-2</v>
      </c>
      <c r="X147" s="307"/>
      <c r="Y147" s="359">
        <f>Y141</f>
        <v>1976</v>
      </c>
      <c r="AA147" s="107"/>
      <c r="AB147" s="108"/>
    </row>
    <row r="148" spans="2:36" x14ac:dyDescent="0.25">
      <c r="B148" s="186" t="s">
        <v>77</v>
      </c>
      <c r="C148" s="186" t="s">
        <v>345</v>
      </c>
      <c r="D148" s="186"/>
      <c r="E148" s="186"/>
      <c r="F148" s="186" t="s">
        <v>414</v>
      </c>
      <c r="G148" s="660">
        <f t="shared" si="28"/>
        <v>9.2590000000000006E-2</v>
      </c>
      <c r="H148" s="667">
        <f t="shared" si="25"/>
        <v>9.2590000000000006E-2</v>
      </c>
      <c r="I148" s="667">
        <f t="shared" si="37"/>
        <v>9.2590000000000006E-2</v>
      </c>
      <c r="J148" s="667">
        <f t="shared" si="37"/>
        <v>9.2590000000000006E-2</v>
      </c>
      <c r="K148" s="667">
        <f t="shared" si="37"/>
        <v>9.2590000000000006E-2</v>
      </c>
      <c r="L148" s="667">
        <f t="shared" si="37"/>
        <v>9.2590000000000006E-2</v>
      </c>
      <c r="M148" s="667">
        <f t="shared" si="37"/>
        <v>9.2590000000000006E-2</v>
      </c>
      <c r="N148" s="667">
        <f t="shared" si="37"/>
        <v>9.2590000000000006E-2</v>
      </c>
      <c r="O148" s="667">
        <f t="shared" si="37"/>
        <v>9.2590000000000006E-2</v>
      </c>
      <c r="P148" s="667">
        <f t="shared" si="37"/>
        <v>9.2590000000000006E-2</v>
      </c>
      <c r="Q148" s="667">
        <f t="shared" si="37"/>
        <v>9.2590000000000006E-2</v>
      </c>
      <c r="R148" s="667">
        <f t="shared" si="37"/>
        <v>9.2590000000000006E-2</v>
      </c>
      <c r="S148" s="667">
        <f t="shared" si="37"/>
        <v>9.2590000000000006E-2</v>
      </c>
      <c r="T148" s="667">
        <f t="shared" si="37"/>
        <v>9.2590000000000006E-2</v>
      </c>
      <c r="U148" s="667">
        <f t="shared" si="37"/>
        <v>9.2590000000000006E-2</v>
      </c>
      <c r="V148" s="667">
        <f t="shared" si="37"/>
        <v>9.2590000000000006E-2</v>
      </c>
      <c r="X148" s="307"/>
      <c r="Y148" s="416">
        <f>Y132*0.9</f>
        <v>1080</v>
      </c>
      <c r="AA148" s="107"/>
      <c r="AB148" s="108"/>
    </row>
    <row r="149" spans="2:36" x14ac:dyDescent="0.25">
      <c r="B149" s="186" t="s">
        <v>77</v>
      </c>
      <c r="C149" s="186" t="s">
        <v>345</v>
      </c>
      <c r="D149" s="186"/>
      <c r="E149" s="186"/>
      <c r="F149" s="186" t="s">
        <v>590</v>
      </c>
      <c r="G149" s="660">
        <f t="shared" si="28"/>
        <v>9.2590000000000006E-2</v>
      </c>
      <c r="H149" s="667">
        <f t="shared" si="25"/>
        <v>9.2590000000000006E-2</v>
      </c>
      <c r="I149" s="667">
        <f t="shared" si="37"/>
        <v>9.2590000000000006E-2</v>
      </c>
      <c r="J149" s="667">
        <f t="shared" si="37"/>
        <v>9.2590000000000006E-2</v>
      </c>
      <c r="K149" s="667">
        <f t="shared" si="37"/>
        <v>9.2590000000000006E-2</v>
      </c>
      <c r="L149" s="667">
        <f t="shared" si="37"/>
        <v>9.2590000000000006E-2</v>
      </c>
      <c r="M149" s="667">
        <f t="shared" si="37"/>
        <v>9.2590000000000006E-2</v>
      </c>
      <c r="N149" s="667">
        <f t="shared" si="37"/>
        <v>9.2590000000000006E-2</v>
      </c>
      <c r="O149" s="667">
        <f t="shared" si="37"/>
        <v>9.2590000000000006E-2</v>
      </c>
      <c r="P149" s="667">
        <f t="shared" si="37"/>
        <v>9.2590000000000006E-2</v>
      </c>
      <c r="Q149" s="667">
        <f t="shared" si="37"/>
        <v>9.2590000000000006E-2</v>
      </c>
      <c r="R149" s="667">
        <f t="shared" si="37"/>
        <v>9.2590000000000006E-2</v>
      </c>
      <c r="S149" s="667">
        <f t="shared" si="37"/>
        <v>9.2590000000000006E-2</v>
      </c>
      <c r="T149" s="667">
        <f t="shared" si="37"/>
        <v>9.2590000000000006E-2</v>
      </c>
      <c r="U149" s="667">
        <f t="shared" si="37"/>
        <v>9.2590000000000006E-2</v>
      </c>
      <c r="V149" s="667">
        <f t="shared" si="37"/>
        <v>9.2590000000000006E-2</v>
      </c>
      <c r="X149" s="307"/>
      <c r="Y149" s="416">
        <f>Y133*0.9</f>
        <v>1080</v>
      </c>
      <c r="AA149" s="107"/>
      <c r="AB149" s="108"/>
    </row>
    <row r="150" spans="2:36" x14ac:dyDescent="0.25">
      <c r="B150" s="186" t="s">
        <v>77</v>
      </c>
      <c r="C150" s="186" t="s">
        <v>346</v>
      </c>
      <c r="D150" s="186"/>
      <c r="E150" s="186"/>
      <c r="F150" s="186" t="s">
        <v>414</v>
      </c>
      <c r="G150" s="660">
        <f t="shared" si="28"/>
        <v>5.6230000000000002E-2</v>
      </c>
      <c r="H150" s="667">
        <f t="shared" si="25"/>
        <v>5.6230000000000002E-2</v>
      </c>
      <c r="I150" s="667">
        <f t="shared" si="37"/>
        <v>5.6230000000000002E-2</v>
      </c>
      <c r="J150" s="667">
        <f t="shared" si="37"/>
        <v>5.6230000000000002E-2</v>
      </c>
      <c r="K150" s="667">
        <f t="shared" si="37"/>
        <v>5.6230000000000002E-2</v>
      </c>
      <c r="L150" s="667">
        <f t="shared" si="37"/>
        <v>5.6230000000000002E-2</v>
      </c>
      <c r="M150" s="667">
        <f t="shared" si="37"/>
        <v>5.6230000000000002E-2</v>
      </c>
      <c r="N150" s="667">
        <f t="shared" si="37"/>
        <v>5.6230000000000002E-2</v>
      </c>
      <c r="O150" s="667">
        <f t="shared" si="37"/>
        <v>5.6230000000000002E-2</v>
      </c>
      <c r="P150" s="667">
        <f t="shared" si="37"/>
        <v>5.6230000000000002E-2</v>
      </c>
      <c r="Q150" s="667">
        <f t="shared" si="37"/>
        <v>5.6230000000000002E-2</v>
      </c>
      <c r="R150" s="667">
        <f t="shared" si="37"/>
        <v>5.6230000000000002E-2</v>
      </c>
      <c r="S150" s="667">
        <f t="shared" si="37"/>
        <v>5.6230000000000002E-2</v>
      </c>
      <c r="T150" s="667">
        <f t="shared" si="37"/>
        <v>5.6230000000000002E-2</v>
      </c>
      <c r="U150" s="667">
        <f t="shared" si="37"/>
        <v>5.6230000000000002E-2</v>
      </c>
      <c r="V150" s="667">
        <f t="shared" si="37"/>
        <v>5.6230000000000002E-2</v>
      </c>
      <c r="X150" s="307"/>
      <c r="Y150" s="416">
        <f>Y140*0.9</f>
        <v>1778.4</v>
      </c>
      <c r="AA150" s="107"/>
      <c r="AB150" s="108"/>
    </row>
    <row r="151" spans="2:36" x14ac:dyDescent="0.25">
      <c r="B151" s="186" t="s">
        <v>77</v>
      </c>
      <c r="C151" s="186" t="s">
        <v>346</v>
      </c>
      <c r="D151" s="186"/>
      <c r="E151" s="186"/>
      <c r="F151" s="186" t="s">
        <v>590</v>
      </c>
      <c r="G151" s="660">
        <f t="shared" si="28"/>
        <v>5.6230000000000002E-2</v>
      </c>
      <c r="H151" s="667">
        <f t="shared" si="25"/>
        <v>5.6230000000000002E-2</v>
      </c>
      <c r="I151" s="667">
        <f t="shared" si="37"/>
        <v>5.6230000000000002E-2</v>
      </c>
      <c r="J151" s="667">
        <f t="shared" si="37"/>
        <v>5.6230000000000002E-2</v>
      </c>
      <c r="K151" s="667">
        <f t="shared" si="37"/>
        <v>5.6230000000000002E-2</v>
      </c>
      <c r="L151" s="667">
        <f t="shared" si="37"/>
        <v>5.6230000000000002E-2</v>
      </c>
      <c r="M151" s="667">
        <f t="shared" si="37"/>
        <v>5.6230000000000002E-2</v>
      </c>
      <c r="N151" s="667">
        <f t="shared" si="37"/>
        <v>5.6230000000000002E-2</v>
      </c>
      <c r="O151" s="667">
        <f t="shared" si="37"/>
        <v>5.6230000000000002E-2</v>
      </c>
      <c r="P151" s="667">
        <f t="shared" si="37"/>
        <v>5.6230000000000002E-2</v>
      </c>
      <c r="Q151" s="667">
        <f t="shared" si="37"/>
        <v>5.6230000000000002E-2</v>
      </c>
      <c r="R151" s="667">
        <f t="shared" si="37"/>
        <v>5.6230000000000002E-2</v>
      </c>
      <c r="S151" s="667">
        <f t="shared" si="37"/>
        <v>5.6230000000000002E-2</v>
      </c>
      <c r="T151" s="667">
        <f t="shared" si="37"/>
        <v>5.6230000000000002E-2</v>
      </c>
      <c r="U151" s="667">
        <f t="shared" si="37"/>
        <v>5.6230000000000002E-2</v>
      </c>
      <c r="V151" s="667">
        <f t="shared" si="37"/>
        <v>5.6230000000000002E-2</v>
      </c>
      <c r="X151" s="307"/>
      <c r="Y151" s="416">
        <f>Y141*0.9</f>
        <v>1778.4</v>
      </c>
      <c r="AA151" s="107"/>
      <c r="AB151" s="108"/>
    </row>
    <row r="152" spans="2:36" x14ac:dyDescent="0.25">
      <c r="B152" s="22"/>
      <c r="C152" s="22"/>
      <c r="D152" s="22"/>
      <c r="E152" s="22"/>
      <c r="F152" s="22"/>
      <c r="G152" s="454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X152" s="455"/>
      <c r="Y152" s="463"/>
      <c r="AA152" s="107"/>
      <c r="AB152" s="108"/>
    </row>
    <row r="153" spans="2:36" x14ac:dyDescent="0.25">
      <c r="B153" s="22"/>
      <c r="C153" s="22"/>
      <c r="D153" s="14"/>
      <c r="E153" s="22"/>
      <c r="F153" s="22"/>
      <c r="G153" s="454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X153" s="493"/>
      <c r="Y153" s="494"/>
    </row>
    <row r="154" spans="2:36" x14ac:dyDescent="0.25">
      <c r="B154" s="466" t="s">
        <v>719</v>
      </c>
      <c r="C154" s="22"/>
      <c r="D154" s="22"/>
      <c r="E154" s="22"/>
      <c r="F154" s="22"/>
      <c r="G154" s="822">
        <v>1.25</v>
      </c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X154" s="455"/>
      <c r="Y154" s="463"/>
      <c r="AA154" s="107"/>
      <c r="AB154" s="108"/>
    </row>
    <row r="155" spans="2:36" x14ac:dyDescent="0.25">
      <c r="B155" s="259" t="s">
        <v>463</v>
      </c>
      <c r="C155" s="259" t="s">
        <v>104</v>
      </c>
      <c r="D155" s="259" t="s">
        <v>465</v>
      </c>
      <c r="E155" s="259" t="s">
        <v>673</v>
      </c>
      <c r="F155" s="259" t="s">
        <v>674</v>
      </c>
      <c r="G155" s="160" t="s">
        <v>675</v>
      </c>
      <c r="H155" s="160" t="str">
        <f t="shared" ref="H155:V155" si="40">H10</f>
        <v>Z01</v>
      </c>
      <c r="I155" s="160" t="str">
        <f t="shared" si="40"/>
        <v>Z02</v>
      </c>
      <c r="J155" s="160" t="str">
        <f t="shared" si="40"/>
        <v>Z03</v>
      </c>
      <c r="K155" s="160" t="str">
        <f t="shared" si="40"/>
        <v>Z04</v>
      </c>
      <c r="L155" s="160" t="str">
        <f t="shared" si="40"/>
        <v>Z05</v>
      </c>
      <c r="M155" s="160" t="str">
        <f t="shared" si="40"/>
        <v>Z06</v>
      </c>
      <c r="N155" s="160" t="str">
        <f t="shared" si="40"/>
        <v>Z07</v>
      </c>
      <c r="O155" s="160" t="str">
        <f t="shared" si="40"/>
        <v>Z08</v>
      </c>
      <c r="P155" s="160" t="str">
        <f t="shared" si="40"/>
        <v>Z09</v>
      </c>
      <c r="Q155" s="160" t="str">
        <f t="shared" si="40"/>
        <v>Z10</v>
      </c>
      <c r="R155" s="160" t="str">
        <f t="shared" si="40"/>
        <v>Z11</v>
      </c>
      <c r="S155" s="160" t="str">
        <f t="shared" si="40"/>
        <v>Z12</v>
      </c>
      <c r="T155" s="160" t="str">
        <f t="shared" si="40"/>
        <v>Z13</v>
      </c>
      <c r="U155" s="160" t="str">
        <f t="shared" si="40"/>
        <v>Z14</v>
      </c>
      <c r="V155" s="160" t="str">
        <f t="shared" si="40"/>
        <v>Z15</v>
      </c>
      <c r="W155" s="110"/>
      <c r="X155" s="460" t="s">
        <v>676</v>
      </c>
      <c r="Y155" s="109" t="s">
        <v>677</v>
      </c>
      <c r="AA155" s="460" t="s">
        <v>676</v>
      </c>
      <c r="AB155" s="109" t="s">
        <v>677</v>
      </c>
    </row>
    <row r="156" spans="2:36" x14ac:dyDescent="0.25">
      <c r="B156" s="259"/>
      <c r="C156" s="259"/>
      <c r="D156" s="259"/>
      <c r="E156" s="259"/>
      <c r="F156" s="259"/>
      <c r="G156" s="160" t="s">
        <v>678</v>
      </c>
      <c r="H156" s="160" t="s">
        <v>678</v>
      </c>
      <c r="I156" s="160" t="s">
        <v>678</v>
      </c>
      <c r="J156" s="160" t="s">
        <v>678</v>
      </c>
      <c r="K156" s="160" t="s">
        <v>678</v>
      </c>
      <c r="L156" s="160" t="s">
        <v>678</v>
      </c>
      <c r="M156" s="160" t="s">
        <v>678</v>
      </c>
      <c r="N156" s="160" t="s">
        <v>678</v>
      </c>
      <c r="O156" s="160" t="s">
        <v>678</v>
      </c>
      <c r="P156" s="160" t="s">
        <v>678</v>
      </c>
      <c r="Q156" s="160" t="s">
        <v>678</v>
      </c>
      <c r="R156" s="160" t="s">
        <v>678</v>
      </c>
      <c r="S156" s="160" t="s">
        <v>678</v>
      </c>
      <c r="T156" s="160" t="s">
        <v>678</v>
      </c>
      <c r="U156" s="160" t="s">
        <v>678</v>
      </c>
      <c r="V156" s="160" t="s">
        <v>678</v>
      </c>
      <c r="W156" s="110"/>
      <c r="X156" s="109"/>
      <c r="Y156" s="109" t="s">
        <v>679</v>
      </c>
      <c r="AA156" s="109"/>
      <c r="AB156" s="109" t="s">
        <v>679</v>
      </c>
    </row>
    <row r="157" spans="2:36" x14ac:dyDescent="0.25">
      <c r="B157" s="573" t="s">
        <v>78</v>
      </c>
      <c r="C157" s="574" t="s">
        <v>557</v>
      </c>
      <c r="D157" s="546"/>
      <c r="E157" s="546"/>
      <c r="F157" s="542" t="s">
        <v>427</v>
      </c>
      <c r="G157" s="669">
        <f t="shared" ref="G157" si="41">ROUND(10^2/Y157,5)</f>
        <v>3.0303</v>
      </c>
      <c r="H157" s="668">
        <f t="shared" ref="H157:H278" si="42">$G157</f>
        <v>3.0303</v>
      </c>
      <c r="I157" s="668">
        <f t="shared" ref="I157:I159" si="43">$H157</f>
        <v>3.0303</v>
      </c>
      <c r="J157" s="668">
        <f t="shared" ref="J157:V159" si="44">$H157</f>
        <v>3.0303</v>
      </c>
      <c r="K157" s="668">
        <f t="shared" si="44"/>
        <v>3.0303</v>
      </c>
      <c r="L157" s="668">
        <f t="shared" si="44"/>
        <v>3.0303</v>
      </c>
      <c r="M157" s="668">
        <f t="shared" si="44"/>
        <v>3.0303</v>
      </c>
      <c r="N157" s="668">
        <f t="shared" si="44"/>
        <v>3.0303</v>
      </c>
      <c r="O157" s="668">
        <f t="shared" si="44"/>
        <v>3.0303</v>
      </c>
      <c r="P157" s="668">
        <f t="shared" si="44"/>
        <v>3.0303</v>
      </c>
      <c r="Q157" s="668">
        <f t="shared" si="44"/>
        <v>3.0303</v>
      </c>
      <c r="R157" s="668">
        <f t="shared" si="44"/>
        <v>3.0303</v>
      </c>
      <c r="S157" s="668">
        <f t="shared" si="44"/>
        <v>3.0303</v>
      </c>
      <c r="T157" s="668">
        <f t="shared" si="44"/>
        <v>3.0303</v>
      </c>
      <c r="U157" s="668">
        <f t="shared" si="44"/>
        <v>3.0303</v>
      </c>
      <c r="V157" s="668">
        <f t="shared" si="44"/>
        <v>3.0303</v>
      </c>
      <c r="X157" s="547"/>
      <c r="Y157" s="548">
        <v>33</v>
      </c>
      <c r="AA157" s="107"/>
      <c r="AB157" s="108"/>
      <c r="AF157" t="s">
        <v>679</v>
      </c>
      <c r="AG157" t="s">
        <v>695</v>
      </c>
      <c r="AH157" t="s">
        <v>696</v>
      </c>
      <c r="AI157" t="s">
        <v>697</v>
      </c>
      <c r="AJ157" t="s">
        <v>698</v>
      </c>
    </row>
    <row r="158" spans="2:36" x14ac:dyDescent="0.25">
      <c r="B158" s="191" t="s">
        <v>78</v>
      </c>
      <c r="C158" s="186" t="s">
        <v>347</v>
      </c>
      <c r="D158" s="186"/>
      <c r="E158" s="186"/>
      <c r="F158" s="191" t="s">
        <v>431</v>
      </c>
      <c r="G158" s="660">
        <f>ROUND(10^2/(Y158*$G$154),5)</f>
        <v>0.42781000000000002</v>
      </c>
      <c r="H158" s="667">
        <f t="shared" si="42"/>
        <v>0.42781000000000002</v>
      </c>
      <c r="I158" s="667">
        <f t="shared" si="43"/>
        <v>0.42781000000000002</v>
      </c>
      <c r="J158" s="667">
        <f t="shared" si="44"/>
        <v>0.42781000000000002</v>
      </c>
      <c r="K158" s="667">
        <f t="shared" si="44"/>
        <v>0.42781000000000002</v>
      </c>
      <c r="L158" s="667">
        <f t="shared" si="44"/>
        <v>0.42781000000000002</v>
      </c>
      <c r="M158" s="667">
        <f t="shared" si="44"/>
        <v>0.42781000000000002</v>
      </c>
      <c r="N158" s="667">
        <f t="shared" si="44"/>
        <v>0.42781000000000002</v>
      </c>
      <c r="O158" s="667">
        <f t="shared" si="44"/>
        <v>0.42781000000000002</v>
      </c>
      <c r="P158" s="667">
        <f t="shared" si="44"/>
        <v>0.42781000000000002</v>
      </c>
      <c r="Q158" s="667">
        <f t="shared" si="44"/>
        <v>0.42781000000000002</v>
      </c>
      <c r="R158" s="667">
        <f t="shared" si="44"/>
        <v>0.42781000000000002</v>
      </c>
      <c r="S158" s="667">
        <f t="shared" si="44"/>
        <v>0.42781000000000002</v>
      </c>
      <c r="T158" s="667">
        <f t="shared" si="44"/>
        <v>0.42781000000000002</v>
      </c>
      <c r="U158" s="667">
        <f t="shared" si="44"/>
        <v>0.42781000000000002</v>
      </c>
      <c r="V158" s="667">
        <f t="shared" si="44"/>
        <v>0.42781000000000002</v>
      </c>
      <c r="X158" s="307" t="s">
        <v>699</v>
      </c>
      <c r="Y158" s="302">
        <f>Y160</f>
        <v>187</v>
      </c>
      <c r="AA158" s="107"/>
      <c r="AB158" s="108"/>
      <c r="AD158" t="str">
        <f>MID(C158, 1, 7)</f>
        <v>TFLEBDL</v>
      </c>
      <c r="AE158" t="str">
        <f>MID(F158, 1, 4)</f>
        <v>TFLL</v>
      </c>
      <c r="AF158">
        <f>Y158</f>
        <v>187</v>
      </c>
      <c r="AG158" s="105">
        <f>AF158/10/3.6</f>
        <v>5.1944444444444438</v>
      </c>
      <c r="AH158">
        <v>9.8000000000000007</v>
      </c>
      <c r="AI158" s="105">
        <f>AG158/AH158</f>
        <v>0.53004535147392284</v>
      </c>
      <c r="AJ158" s="105">
        <f>AI158*$G$154</f>
        <v>0.66255668934240353</v>
      </c>
    </row>
    <row r="159" spans="2:36" x14ac:dyDescent="0.25">
      <c r="B159" s="191" t="s">
        <v>78</v>
      </c>
      <c r="C159" s="186" t="s">
        <v>347</v>
      </c>
      <c r="D159" s="186"/>
      <c r="E159" s="186"/>
      <c r="F159" s="191" t="s">
        <v>429</v>
      </c>
      <c r="G159" s="660">
        <f t="shared" ref="G159:G179" si="45">ROUND(10^2/(Y159*$G$154),5)</f>
        <v>0.37558999999999998</v>
      </c>
      <c r="H159" s="667">
        <f t="shared" si="42"/>
        <v>0.37558999999999998</v>
      </c>
      <c r="I159" s="667">
        <f t="shared" si="43"/>
        <v>0.37558999999999998</v>
      </c>
      <c r="J159" s="667">
        <f t="shared" si="44"/>
        <v>0.37558999999999998</v>
      </c>
      <c r="K159" s="667">
        <f t="shared" si="44"/>
        <v>0.37558999999999998</v>
      </c>
      <c r="L159" s="667">
        <f t="shared" si="44"/>
        <v>0.37558999999999998</v>
      </c>
      <c r="M159" s="667">
        <f t="shared" si="44"/>
        <v>0.37558999999999998</v>
      </c>
      <c r="N159" s="667">
        <f t="shared" si="44"/>
        <v>0.37558999999999998</v>
      </c>
      <c r="O159" s="667">
        <f t="shared" si="44"/>
        <v>0.37558999999999998</v>
      </c>
      <c r="P159" s="667">
        <f t="shared" si="44"/>
        <v>0.37558999999999998</v>
      </c>
      <c r="Q159" s="667">
        <f t="shared" si="44"/>
        <v>0.37558999999999998</v>
      </c>
      <c r="R159" s="667">
        <f t="shared" si="44"/>
        <v>0.37558999999999998</v>
      </c>
      <c r="S159" s="667">
        <f t="shared" si="44"/>
        <v>0.37558999999999998</v>
      </c>
      <c r="T159" s="667">
        <f t="shared" si="44"/>
        <v>0.37558999999999998</v>
      </c>
      <c r="U159" s="667">
        <f t="shared" si="44"/>
        <v>0.37558999999999998</v>
      </c>
      <c r="V159" s="667">
        <f t="shared" si="44"/>
        <v>0.37558999999999998</v>
      </c>
      <c r="X159" s="307" t="s">
        <v>699</v>
      </c>
      <c r="Y159" s="302">
        <f>Y161</f>
        <v>213</v>
      </c>
      <c r="AA159" s="107"/>
      <c r="AB159" s="108"/>
      <c r="AD159" t="str">
        <f>MID(C159, 1, 7)</f>
        <v>TFLEBDL</v>
      </c>
      <c r="AE159" t="str">
        <f t="shared" ref="AE159:AE177" si="46">MID(F159, 1, 4)</f>
        <v>TFLS</v>
      </c>
      <c r="AF159">
        <f>Y159</f>
        <v>213</v>
      </c>
      <c r="AG159" s="105">
        <f t="shared" ref="AG159:AG177" si="47">AF159/10/3.6</f>
        <v>5.916666666666667</v>
      </c>
      <c r="AH159">
        <v>9.8000000000000007</v>
      </c>
      <c r="AI159" s="105">
        <f>AG159/AH159</f>
        <v>0.6037414965986394</v>
      </c>
      <c r="AJ159" s="105">
        <f t="shared" ref="AJ159:AJ177" si="48">AI159*$G$154</f>
        <v>0.75467687074829926</v>
      </c>
    </row>
    <row r="160" spans="2:36" x14ac:dyDescent="0.25">
      <c r="B160" s="191" t="s">
        <v>78</v>
      </c>
      <c r="C160" s="191" t="s">
        <v>348</v>
      </c>
      <c r="D160" s="191"/>
      <c r="E160" s="191"/>
      <c r="F160" s="191" t="s">
        <v>431</v>
      </c>
      <c r="G160" s="660">
        <f t="shared" si="45"/>
        <v>0.42781000000000002</v>
      </c>
      <c r="H160" s="667">
        <f t="shared" si="42"/>
        <v>0.42781000000000002</v>
      </c>
      <c r="I160" s="667">
        <f t="shared" ref="I160:V282" si="49">$H160</f>
        <v>0.42781000000000002</v>
      </c>
      <c r="J160" s="667">
        <f t="shared" ref="J160:V165" si="50">$H160</f>
        <v>0.42781000000000002</v>
      </c>
      <c r="K160" s="667">
        <f t="shared" si="50"/>
        <v>0.42781000000000002</v>
      </c>
      <c r="L160" s="667">
        <f t="shared" si="50"/>
        <v>0.42781000000000002</v>
      </c>
      <c r="M160" s="667">
        <f t="shared" si="50"/>
        <v>0.42781000000000002</v>
      </c>
      <c r="N160" s="667">
        <f t="shared" si="50"/>
        <v>0.42781000000000002</v>
      </c>
      <c r="O160" s="667">
        <f t="shared" si="50"/>
        <v>0.42781000000000002</v>
      </c>
      <c r="P160" s="667">
        <f t="shared" si="50"/>
        <v>0.42781000000000002</v>
      </c>
      <c r="Q160" s="667">
        <f t="shared" si="50"/>
        <v>0.42781000000000002</v>
      </c>
      <c r="R160" s="667">
        <f t="shared" si="50"/>
        <v>0.42781000000000002</v>
      </c>
      <c r="S160" s="667">
        <f t="shared" si="50"/>
        <v>0.42781000000000002</v>
      </c>
      <c r="T160" s="667">
        <f t="shared" si="50"/>
        <v>0.42781000000000002</v>
      </c>
      <c r="U160" s="667">
        <f t="shared" si="50"/>
        <v>0.42781000000000002</v>
      </c>
      <c r="V160" s="667">
        <f t="shared" si="50"/>
        <v>0.42781000000000002</v>
      </c>
      <c r="X160" s="307" t="s">
        <v>699</v>
      </c>
      <c r="Y160" s="302">
        <v>187</v>
      </c>
      <c r="AA160" s="107" t="s">
        <v>700</v>
      </c>
      <c r="AB160" s="108">
        <v>174</v>
      </c>
      <c r="AD160" t="str">
        <f t="shared" ref="AD160:AD177" si="51">MID(C160, 1, 7)</f>
        <v>TFLEDST</v>
      </c>
      <c r="AE160" t="str">
        <f t="shared" si="46"/>
        <v>TFLL</v>
      </c>
      <c r="AF160">
        <f t="shared" ref="AF160:AF177" si="52">Y160</f>
        <v>187</v>
      </c>
      <c r="AG160" s="105">
        <f t="shared" si="47"/>
        <v>5.1944444444444438</v>
      </c>
      <c r="AJ160" s="105">
        <f t="shared" si="48"/>
        <v>0</v>
      </c>
    </row>
    <row r="161" spans="2:36" x14ac:dyDescent="0.25">
      <c r="B161" s="191" t="s">
        <v>78</v>
      </c>
      <c r="C161" s="191" t="s">
        <v>348</v>
      </c>
      <c r="D161" s="191"/>
      <c r="E161" s="191"/>
      <c r="F161" s="191" t="s">
        <v>429</v>
      </c>
      <c r="G161" s="660">
        <f t="shared" si="45"/>
        <v>0.37558999999999998</v>
      </c>
      <c r="H161" s="667">
        <f t="shared" si="42"/>
        <v>0.37558999999999998</v>
      </c>
      <c r="I161" s="667">
        <f t="shared" si="49"/>
        <v>0.37558999999999998</v>
      </c>
      <c r="J161" s="667">
        <f t="shared" si="50"/>
        <v>0.37558999999999998</v>
      </c>
      <c r="K161" s="667">
        <f t="shared" si="50"/>
        <v>0.37558999999999998</v>
      </c>
      <c r="L161" s="667">
        <f t="shared" si="50"/>
        <v>0.37558999999999998</v>
      </c>
      <c r="M161" s="667">
        <f t="shared" si="50"/>
        <v>0.37558999999999998</v>
      </c>
      <c r="N161" s="667">
        <f t="shared" si="50"/>
        <v>0.37558999999999998</v>
      </c>
      <c r="O161" s="667">
        <f t="shared" si="50"/>
        <v>0.37558999999999998</v>
      </c>
      <c r="P161" s="667">
        <f t="shared" si="50"/>
        <v>0.37558999999999998</v>
      </c>
      <c r="Q161" s="667">
        <f t="shared" si="50"/>
        <v>0.37558999999999998</v>
      </c>
      <c r="R161" s="667">
        <f t="shared" si="50"/>
        <v>0.37558999999999998</v>
      </c>
      <c r="S161" s="667">
        <f t="shared" si="50"/>
        <v>0.37558999999999998</v>
      </c>
      <c r="T161" s="667">
        <f t="shared" si="50"/>
        <v>0.37558999999999998</v>
      </c>
      <c r="U161" s="667">
        <f t="shared" si="50"/>
        <v>0.37558999999999998</v>
      </c>
      <c r="V161" s="667">
        <f t="shared" si="50"/>
        <v>0.37558999999999998</v>
      </c>
      <c r="X161" s="307" t="s">
        <v>699</v>
      </c>
      <c r="Y161" s="302">
        <v>213</v>
      </c>
      <c r="AA161" s="107" t="s">
        <v>700</v>
      </c>
      <c r="AB161" s="108">
        <v>199</v>
      </c>
      <c r="AD161" t="str">
        <f t="shared" si="51"/>
        <v>TFLEDST</v>
      </c>
      <c r="AE161" t="str">
        <f t="shared" si="46"/>
        <v>TFLS</v>
      </c>
      <c r="AF161">
        <f t="shared" si="52"/>
        <v>213</v>
      </c>
      <c r="AG161" s="105">
        <f t="shared" si="47"/>
        <v>5.916666666666667</v>
      </c>
      <c r="AJ161" s="105">
        <f t="shared" si="48"/>
        <v>0</v>
      </c>
    </row>
    <row r="162" spans="2:36" x14ac:dyDescent="0.25">
      <c r="B162" s="191" t="s">
        <v>78</v>
      </c>
      <c r="C162" s="191" t="s">
        <v>349</v>
      </c>
      <c r="D162" s="191"/>
      <c r="E162" s="191"/>
      <c r="F162" s="191" t="s">
        <v>431</v>
      </c>
      <c r="G162" s="660">
        <f t="shared" si="45"/>
        <v>1.0389600000000001</v>
      </c>
      <c r="H162" s="667">
        <f t="shared" si="42"/>
        <v>1.0389600000000001</v>
      </c>
      <c r="I162" s="667">
        <f t="shared" si="49"/>
        <v>1.0389600000000001</v>
      </c>
      <c r="J162" s="667">
        <f t="shared" si="50"/>
        <v>1.0389600000000001</v>
      </c>
      <c r="K162" s="667">
        <f t="shared" si="50"/>
        <v>1.0389600000000001</v>
      </c>
      <c r="L162" s="667">
        <f t="shared" si="50"/>
        <v>1.0389600000000001</v>
      </c>
      <c r="M162" s="667">
        <f t="shared" si="50"/>
        <v>1.0389600000000001</v>
      </c>
      <c r="N162" s="667">
        <f t="shared" si="50"/>
        <v>1.0389600000000001</v>
      </c>
      <c r="O162" s="667">
        <f t="shared" si="50"/>
        <v>1.0389600000000001</v>
      </c>
      <c r="P162" s="667">
        <f t="shared" si="50"/>
        <v>1.0389600000000001</v>
      </c>
      <c r="Q162" s="667">
        <f t="shared" si="50"/>
        <v>1.0389600000000001</v>
      </c>
      <c r="R162" s="667">
        <f t="shared" si="50"/>
        <v>1.0389600000000001</v>
      </c>
      <c r="S162" s="667">
        <f t="shared" si="50"/>
        <v>1.0389600000000001</v>
      </c>
      <c r="T162" s="667">
        <f t="shared" si="50"/>
        <v>1.0389600000000001</v>
      </c>
      <c r="U162" s="667">
        <f t="shared" si="50"/>
        <v>1.0389600000000001</v>
      </c>
      <c r="V162" s="667">
        <f t="shared" si="50"/>
        <v>1.0389600000000001</v>
      </c>
      <c r="X162" s="307" t="s">
        <v>699</v>
      </c>
      <c r="Y162" s="302">
        <v>77</v>
      </c>
      <c r="AA162" s="107" t="s">
        <v>700</v>
      </c>
      <c r="AB162" s="108">
        <v>77</v>
      </c>
      <c r="AD162" t="str">
        <f t="shared" si="51"/>
        <v>TFLEELC</v>
      </c>
      <c r="AE162" t="str">
        <f t="shared" si="46"/>
        <v>TFLL</v>
      </c>
      <c r="AF162">
        <f t="shared" si="52"/>
        <v>77</v>
      </c>
      <c r="AG162" s="105">
        <f t="shared" si="47"/>
        <v>2.1388888888888888</v>
      </c>
      <c r="AH162">
        <v>5.83</v>
      </c>
      <c r="AI162" s="105">
        <f t="shared" ref="AI162:AI177" si="53">AG162/AH162</f>
        <v>0.3668763102725367</v>
      </c>
      <c r="AJ162" s="105">
        <f t="shared" si="48"/>
        <v>0.45859538784067089</v>
      </c>
    </row>
    <row r="163" spans="2:36" x14ac:dyDescent="0.25">
      <c r="B163" s="191" t="s">
        <v>78</v>
      </c>
      <c r="C163" s="191" t="s">
        <v>349</v>
      </c>
      <c r="D163" s="191"/>
      <c r="E163" s="191"/>
      <c r="F163" s="191" t="s">
        <v>429</v>
      </c>
      <c r="G163" s="660">
        <f t="shared" si="45"/>
        <v>1.2903199999999999</v>
      </c>
      <c r="H163" s="667">
        <f t="shared" si="42"/>
        <v>1.2903199999999999</v>
      </c>
      <c r="I163" s="667">
        <f t="shared" si="49"/>
        <v>1.2903199999999999</v>
      </c>
      <c r="J163" s="667">
        <f t="shared" si="50"/>
        <v>1.2903199999999999</v>
      </c>
      <c r="K163" s="667">
        <f t="shared" si="50"/>
        <v>1.2903199999999999</v>
      </c>
      <c r="L163" s="667">
        <f t="shared" si="50"/>
        <v>1.2903199999999999</v>
      </c>
      <c r="M163" s="667">
        <f t="shared" si="50"/>
        <v>1.2903199999999999</v>
      </c>
      <c r="N163" s="667">
        <f t="shared" si="50"/>
        <v>1.2903199999999999</v>
      </c>
      <c r="O163" s="667">
        <f t="shared" si="50"/>
        <v>1.2903199999999999</v>
      </c>
      <c r="P163" s="667">
        <f t="shared" si="50"/>
        <v>1.2903199999999999</v>
      </c>
      <c r="Q163" s="667">
        <f t="shared" si="50"/>
        <v>1.2903199999999999</v>
      </c>
      <c r="R163" s="667">
        <f t="shared" si="50"/>
        <v>1.2903199999999999</v>
      </c>
      <c r="S163" s="667">
        <f t="shared" si="50"/>
        <v>1.2903199999999999</v>
      </c>
      <c r="T163" s="667">
        <f t="shared" si="50"/>
        <v>1.2903199999999999</v>
      </c>
      <c r="U163" s="667">
        <f t="shared" si="50"/>
        <v>1.2903199999999999</v>
      </c>
      <c r="V163" s="667">
        <f t="shared" si="50"/>
        <v>1.2903199999999999</v>
      </c>
      <c r="X163" s="307" t="s">
        <v>699</v>
      </c>
      <c r="Y163" s="302">
        <v>62</v>
      </c>
      <c r="AA163" s="107" t="s">
        <v>700</v>
      </c>
      <c r="AB163" s="108">
        <v>62</v>
      </c>
      <c r="AD163" t="str">
        <f t="shared" si="51"/>
        <v>TFLEELC</v>
      </c>
      <c r="AE163" t="str">
        <f t="shared" si="46"/>
        <v>TFLS</v>
      </c>
      <c r="AF163">
        <f t="shared" si="52"/>
        <v>62</v>
      </c>
      <c r="AG163" s="105">
        <f t="shared" si="47"/>
        <v>1.7222222222222223</v>
      </c>
      <c r="AH163">
        <v>5.83</v>
      </c>
      <c r="AI163" s="105">
        <f t="shared" si="53"/>
        <v>0.29540689918048407</v>
      </c>
      <c r="AJ163" s="105">
        <f t="shared" si="48"/>
        <v>0.3692586239756051</v>
      </c>
    </row>
    <row r="164" spans="2:36" x14ac:dyDescent="0.25">
      <c r="B164" s="191" t="s">
        <v>78</v>
      </c>
      <c r="C164" s="191" t="s">
        <v>350</v>
      </c>
      <c r="D164" s="191"/>
      <c r="E164" s="191"/>
      <c r="F164" s="191" t="s">
        <v>431</v>
      </c>
      <c r="G164" s="660">
        <f t="shared" si="45"/>
        <v>0.38646999999999998</v>
      </c>
      <c r="H164" s="667">
        <f t="shared" si="42"/>
        <v>0.38646999999999998</v>
      </c>
      <c r="I164" s="667">
        <f t="shared" si="49"/>
        <v>0.38646999999999998</v>
      </c>
      <c r="J164" s="667">
        <f t="shared" si="50"/>
        <v>0.38646999999999998</v>
      </c>
      <c r="K164" s="667">
        <f t="shared" si="50"/>
        <v>0.38646999999999998</v>
      </c>
      <c r="L164" s="667">
        <f t="shared" si="50"/>
        <v>0.38646999999999998</v>
      </c>
      <c r="M164" s="667">
        <f t="shared" si="50"/>
        <v>0.38646999999999998</v>
      </c>
      <c r="N164" s="667">
        <f t="shared" si="50"/>
        <v>0.38646999999999998</v>
      </c>
      <c r="O164" s="667">
        <f t="shared" si="50"/>
        <v>0.38646999999999998</v>
      </c>
      <c r="P164" s="667">
        <f t="shared" si="50"/>
        <v>0.38646999999999998</v>
      </c>
      <c r="Q164" s="667">
        <f t="shared" si="50"/>
        <v>0.38646999999999998</v>
      </c>
      <c r="R164" s="667">
        <f t="shared" si="50"/>
        <v>0.38646999999999998</v>
      </c>
      <c r="S164" s="667">
        <f t="shared" si="50"/>
        <v>0.38646999999999998</v>
      </c>
      <c r="T164" s="667">
        <f t="shared" si="50"/>
        <v>0.38646999999999998</v>
      </c>
      <c r="U164" s="667">
        <f t="shared" si="50"/>
        <v>0.38646999999999998</v>
      </c>
      <c r="V164" s="667">
        <f t="shared" si="50"/>
        <v>0.38646999999999998</v>
      </c>
      <c r="X164" s="307" t="s">
        <v>701</v>
      </c>
      <c r="Y164" s="302">
        <v>207</v>
      </c>
      <c r="AA164" s="107" t="s">
        <v>700</v>
      </c>
      <c r="AB164" s="108">
        <v>193</v>
      </c>
      <c r="AD164" t="str">
        <f t="shared" si="51"/>
        <v>TFLEETH</v>
      </c>
      <c r="AE164" t="str">
        <f t="shared" si="46"/>
        <v>TFLL</v>
      </c>
      <c r="AF164">
        <f t="shared" si="52"/>
        <v>207</v>
      </c>
      <c r="AG164" s="105">
        <f t="shared" si="47"/>
        <v>5.75</v>
      </c>
      <c r="AH164">
        <v>9.6999999999999993</v>
      </c>
      <c r="AI164" s="105">
        <f t="shared" si="53"/>
        <v>0.59278350515463918</v>
      </c>
      <c r="AJ164" s="105">
        <f t="shared" si="48"/>
        <v>0.740979381443299</v>
      </c>
    </row>
    <row r="165" spans="2:36" x14ac:dyDescent="0.25">
      <c r="B165" s="191" t="s">
        <v>78</v>
      </c>
      <c r="C165" s="191" t="s">
        <v>350</v>
      </c>
      <c r="D165" s="191"/>
      <c r="E165" s="191"/>
      <c r="F165" s="191" t="s">
        <v>429</v>
      </c>
      <c r="G165" s="660">
        <f t="shared" si="45"/>
        <v>0.31873000000000001</v>
      </c>
      <c r="H165" s="667">
        <f t="shared" si="42"/>
        <v>0.31873000000000001</v>
      </c>
      <c r="I165" s="667">
        <f t="shared" si="49"/>
        <v>0.31873000000000001</v>
      </c>
      <c r="J165" s="667">
        <f t="shared" si="50"/>
        <v>0.31873000000000001</v>
      </c>
      <c r="K165" s="667">
        <f t="shared" si="50"/>
        <v>0.31873000000000001</v>
      </c>
      <c r="L165" s="667">
        <f t="shared" si="50"/>
        <v>0.31873000000000001</v>
      </c>
      <c r="M165" s="667">
        <f t="shared" ref="J165:V231" si="54">$H165</f>
        <v>0.31873000000000001</v>
      </c>
      <c r="N165" s="667">
        <f t="shared" si="54"/>
        <v>0.31873000000000001</v>
      </c>
      <c r="O165" s="667">
        <f t="shared" si="54"/>
        <v>0.31873000000000001</v>
      </c>
      <c r="P165" s="667">
        <f t="shared" si="54"/>
        <v>0.31873000000000001</v>
      </c>
      <c r="Q165" s="667">
        <f t="shared" si="54"/>
        <v>0.31873000000000001</v>
      </c>
      <c r="R165" s="667">
        <f t="shared" si="54"/>
        <v>0.31873000000000001</v>
      </c>
      <c r="S165" s="667">
        <f t="shared" si="54"/>
        <v>0.31873000000000001</v>
      </c>
      <c r="T165" s="667">
        <f t="shared" si="54"/>
        <v>0.31873000000000001</v>
      </c>
      <c r="U165" s="667">
        <f t="shared" si="54"/>
        <v>0.31873000000000001</v>
      </c>
      <c r="V165" s="667">
        <f t="shared" si="54"/>
        <v>0.31873000000000001</v>
      </c>
      <c r="X165" s="307" t="s">
        <v>701</v>
      </c>
      <c r="Y165" s="302">
        <v>251</v>
      </c>
      <c r="AA165" s="107" t="s">
        <v>700</v>
      </c>
      <c r="AB165" s="108">
        <v>235</v>
      </c>
      <c r="AD165" t="str">
        <f t="shared" si="51"/>
        <v>TFLEETH</v>
      </c>
      <c r="AE165" t="str">
        <f t="shared" si="46"/>
        <v>TFLS</v>
      </c>
      <c r="AF165">
        <f t="shared" si="52"/>
        <v>251</v>
      </c>
      <c r="AG165" s="105">
        <f t="shared" si="47"/>
        <v>6.9722222222222223</v>
      </c>
      <c r="AH165">
        <v>9.6999999999999993</v>
      </c>
      <c r="AI165" s="105">
        <f t="shared" si="53"/>
        <v>0.71878579610538385</v>
      </c>
      <c r="AJ165" s="105">
        <f t="shared" si="48"/>
        <v>0.89848224513172981</v>
      </c>
    </row>
    <row r="166" spans="2:36" x14ac:dyDescent="0.25">
      <c r="B166" s="191" t="s">
        <v>78</v>
      </c>
      <c r="C166" s="191" t="s">
        <v>351</v>
      </c>
      <c r="D166" s="191"/>
      <c r="E166" s="191"/>
      <c r="F166" s="191" t="s">
        <v>431</v>
      </c>
      <c r="G166" s="660">
        <f t="shared" si="45"/>
        <v>0.38646999999999998</v>
      </c>
      <c r="H166" s="667">
        <f t="shared" si="42"/>
        <v>0.38646999999999998</v>
      </c>
      <c r="I166" s="667">
        <f t="shared" si="49"/>
        <v>0.38646999999999998</v>
      </c>
      <c r="J166" s="667">
        <f t="shared" si="54"/>
        <v>0.38646999999999998</v>
      </c>
      <c r="K166" s="667">
        <f t="shared" si="54"/>
        <v>0.38646999999999998</v>
      </c>
      <c r="L166" s="667">
        <f t="shared" si="54"/>
        <v>0.38646999999999998</v>
      </c>
      <c r="M166" s="667">
        <f t="shared" si="54"/>
        <v>0.38646999999999998</v>
      </c>
      <c r="N166" s="667">
        <f t="shared" si="54"/>
        <v>0.38646999999999998</v>
      </c>
      <c r="O166" s="667">
        <f t="shared" si="54"/>
        <v>0.38646999999999998</v>
      </c>
      <c r="P166" s="667">
        <f t="shared" si="54"/>
        <v>0.38646999999999998</v>
      </c>
      <c r="Q166" s="667">
        <f t="shared" si="54"/>
        <v>0.38646999999999998</v>
      </c>
      <c r="R166" s="667">
        <f t="shared" si="54"/>
        <v>0.38646999999999998</v>
      </c>
      <c r="S166" s="667">
        <f t="shared" si="54"/>
        <v>0.38646999999999998</v>
      </c>
      <c r="T166" s="667">
        <f t="shared" si="54"/>
        <v>0.38646999999999998</v>
      </c>
      <c r="U166" s="667">
        <f t="shared" si="54"/>
        <v>0.38646999999999998</v>
      </c>
      <c r="V166" s="667">
        <f t="shared" si="54"/>
        <v>0.38646999999999998</v>
      </c>
      <c r="X166" s="307" t="s">
        <v>701</v>
      </c>
      <c r="Y166" s="302">
        <v>207</v>
      </c>
      <c r="AA166" s="107" t="s">
        <v>700</v>
      </c>
      <c r="AB166" s="108">
        <v>193</v>
      </c>
      <c r="AD166" t="str">
        <f t="shared" si="51"/>
        <v>TFLEGAS</v>
      </c>
      <c r="AE166" t="str">
        <f t="shared" si="46"/>
        <v>TFLL</v>
      </c>
      <c r="AF166">
        <f t="shared" si="52"/>
        <v>207</v>
      </c>
      <c r="AG166" s="105">
        <f t="shared" si="47"/>
        <v>5.75</v>
      </c>
      <c r="AH166">
        <v>9.1</v>
      </c>
      <c r="AI166" s="105">
        <f t="shared" si="53"/>
        <v>0.63186813186813184</v>
      </c>
      <c r="AJ166" s="105">
        <f t="shared" si="48"/>
        <v>0.7898351648351648</v>
      </c>
    </row>
    <row r="167" spans="2:36" x14ac:dyDescent="0.25">
      <c r="B167" s="191" t="s">
        <v>78</v>
      </c>
      <c r="C167" s="191" t="s">
        <v>351</v>
      </c>
      <c r="D167" s="191"/>
      <c r="E167" s="191"/>
      <c r="F167" s="191" t="s">
        <v>429</v>
      </c>
      <c r="G167" s="660">
        <f t="shared" si="45"/>
        <v>0.31873000000000001</v>
      </c>
      <c r="H167" s="667">
        <f t="shared" si="42"/>
        <v>0.31873000000000001</v>
      </c>
      <c r="I167" s="667">
        <f t="shared" si="49"/>
        <v>0.31873000000000001</v>
      </c>
      <c r="J167" s="667">
        <f t="shared" si="54"/>
        <v>0.31873000000000001</v>
      </c>
      <c r="K167" s="667">
        <f t="shared" si="54"/>
        <v>0.31873000000000001</v>
      </c>
      <c r="L167" s="667">
        <f t="shared" si="54"/>
        <v>0.31873000000000001</v>
      </c>
      <c r="M167" s="667">
        <f t="shared" si="54"/>
        <v>0.31873000000000001</v>
      </c>
      <c r="N167" s="667">
        <f t="shared" si="54"/>
        <v>0.31873000000000001</v>
      </c>
      <c r="O167" s="667">
        <f t="shared" si="54"/>
        <v>0.31873000000000001</v>
      </c>
      <c r="P167" s="667">
        <f t="shared" si="54"/>
        <v>0.31873000000000001</v>
      </c>
      <c r="Q167" s="667">
        <f t="shared" si="54"/>
        <v>0.31873000000000001</v>
      </c>
      <c r="R167" s="667">
        <f t="shared" si="54"/>
        <v>0.31873000000000001</v>
      </c>
      <c r="S167" s="667">
        <f t="shared" si="54"/>
        <v>0.31873000000000001</v>
      </c>
      <c r="T167" s="667">
        <f t="shared" si="54"/>
        <v>0.31873000000000001</v>
      </c>
      <c r="U167" s="667">
        <f t="shared" si="54"/>
        <v>0.31873000000000001</v>
      </c>
      <c r="V167" s="667">
        <f t="shared" si="54"/>
        <v>0.31873000000000001</v>
      </c>
      <c r="X167" s="307" t="s">
        <v>701</v>
      </c>
      <c r="Y167" s="302">
        <v>251</v>
      </c>
      <c r="AA167" s="107" t="s">
        <v>700</v>
      </c>
      <c r="AB167" s="108">
        <v>235</v>
      </c>
      <c r="AD167" t="str">
        <f t="shared" si="51"/>
        <v>TFLEGAS</v>
      </c>
      <c r="AE167" t="str">
        <f t="shared" si="46"/>
        <v>TFLS</v>
      </c>
      <c r="AF167">
        <f t="shared" si="52"/>
        <v>251</v>
      </c>
      <c r="AG167" s="105">
        <f t="shared" si="47"/>
        <v>6.9722222222222223</v>
      </c>
      <c r="AH167">
        <v>9.1</v>
      </c>
      <c r="AI167" s="105">
        <f t="shared" si="53"/>
        <v>0.76617826617826623</v>
      </c>
      <c r="AJ167" s="105">
        <f t="shared" si="48"/>
        <v>0.95772283272283276</v>
      </c>
    </row>
    <row r="168" spans="2:36" x14ac:dyDescent="0.25">
      <c r="B168" s="191" t="s">
        <v>78</v>
      </c>
      <c r="C168" s="191" t="s">
        <v>352</v>
      </c>
      <c r="D168" s="191"/>
      <c r="E168" s="191"/>
      <c r="F168" s="191" t="s">
        <v>431</v>
      </c>
      <c r="G168" s="660">
        <f t="shared" si="45"/>
        <v>0.38646999999999998</v>
      </c>
      <c r="H168" s="667">
        <f t="shared" si="42"/>
        <v>0.38646999999999998</v>
      </c>
      <c r="I168" s="667">
        <f t="shared" si="49"/>
        <v>0.38646999999999998</v>
      </c>
      <c r="J168" s="667">
        <f t="shared" si="54"/>
        <v>0.38646999999999998</v>
      </c>
      <c r="K168" s="667">
        <f t="shared" si="54"/>
        <v>0.38646999999999998</v>
      </c>
      <c r="L168" s="667">
        <f t="shared" si="54"/>
        <v>0.38646999999999998</v>
      </c>
      <c r="M168" s="667">
        <f t="shared" si="54"/>
        <v>0.38646999999999998</v>
      </c>
      <c r="N168" s="667">
        <f t="shared" si="54"/>
        <v>0.38646999999999998</v>
      </c>
      <c r="O168" s="667">
        <f t="shared" si="54"/>
        <v>0.38646999999999998</v>
      </c>
      <c r="P168" s="667">
        <f t="shared" si="54"/>
        <v>0.38646999999999998</v>
      </c>
      <c r="Q168" s="667">
        <f t="shared" si="54"/>
        <v>0.38646999999999998</v>
      </c>
      <c r="R168" s="667">
        <f t="shared" si="54"/>
        <v>0.38646999999999998</v>
      </c>
      <c r="S168" s="667">
        <f t="shared" si="54"/>
        <v>0.38646999999999998</v>
      </c>
      <c r="T168" s="667">
        <f t="shared" si="54"/>
        <v>0.38646999999999998</v>
      </c>
      <c r="U168" s="667">
        <f t="shared" si="54"/>
        <v>0.38646999999999998</v>
      </c>
      <c r="V168" s="667">
        <f t="shared" si="54"/>
        <v>0.38646999999999998</v>
      </c>
      <c r="X168" s="307" t="s">
        <v>699</v>
      </c>
      <c r="Y168" s="302">
        <v>207</v>
      </c>
      <c r="AA168" s="107" t="s">
        <v>700</v>
      </c>
      <c r="AB168" s="108">
        <v>193</v>
      </c>
      <c r="AD168" t="str">
        <f t="shared" si="51"/>
        <v>TFLEGSL</v>
      </c>
      <c r="AE168" t="str">
        <f t="shared" si="46"/>
        <v>TFLL</v>
      </c>
      <c r="AF168">
        <f t="shared" si="52"/>
        <v>207</v>
      </c>
      <c r="AG168" s="105">
        <f t="shared" si="47"/>
        <v>5.75</v>
      </c>
      <c r="AH168">
        <v>9.8000000000000007</v>
      </c>
      <c r="AI168" s="105">
        <f t="shared" si="53"/>
        <v>0.58673469387755095</v>
      </c>
      <c r="AJ168" s="105">
        <f t="shared" si="48"/>
        <v>0.73341836734693866</v>
      </c>
    </row>
    <row r="169" spans="2:36" x14ac:dyDescent="0.25">
      <c r="B169" s="191" t="s">
        <v>78</v>
      </c>
      <c r="C169" s="191" t="s">
        <v>352</v>
      </c>
      <c r="D169" s="191"/>
      <c r="E169" s="191"/>
      <c r="F169" s="191" t="s">
        <v>429</v>
      </c>
      <c r="G169" s="660">
        <f t="shared" si="45"/>
        <v>0.31873000000000001</v>
      </c>
      <c r="H169" s="667">
        <f t="shared" si="42"/>
        <v>0.31873000000000001</v>
      </c>
      <c r="I169" s="667">
        <f t="shared" si="49"/>
        <v>0.31873000000000001</v>
      </c>
      <c r="J169" s="667">
        <f t="shared" si="54"/>
        <v>0.31873000000000001</v>
      </c>
      <c r="K169" s="667">
        <f t="shared" si="54"/>
        <v>0.31873000000000001</v>
      </c>
      <c r="L169" s="667">
        <f t="shared" si="54"/>
        <v>0.31873000000000001</v>
      </c>
      <c r="M169" s="667">
        <f t="shared" si="54"/>
        <v>0.31873000000000001</v>
      </c>
      <c r="N169" s="667">
        <f t="shared" si="54"/>
        <v>0.31873000000000001</v>
      </c>
      <c r="O169" s="667">
        <f t="shared" si="54"/>
        <v>0.31873000000000001</v>
      </c>
      <c r="P169" s="667">
        <f t="shared" si="54"/>
        <v>0.31873000000000001</v>
      </c>
      <c r="Q169" s="667">
        <f t="shared" si="54"/>
        <v>0.31873000000000001</v>
      </c>
      <c r="R169" s="667">
        <f t="shared" si="54"/>
        <v>0.31873000000000001</v>
      </c>
      <c r="S169" s="667">
        <f t="shared" si="54"/>
        <v>0.31873000000000001</v>
      </c>
      <c r="T169" s="667">
        <f t="shared" si="54"/>
        <v>0.31873000000000001</v>
      </c>
      <c r="U169" s="667">
        <f t="shared" si="54"/>
        <v>0.31873000000000001</v>
      </c>
      <c r="V169" s="667">
        <f t="shared" si="54"/>
        <v>0.31873000000000001</v>
      </c>
      <c r="X169" s="307" t="s">
        <v>699</v>
      </c>
      <c r="Y169" s="302">
        <v>251</v>
      </c>
      <c r="AA169" s="107" t="s">
        <v>700</v>
      </c>
      <c r="AB169" s="108">
        <v>235</v>
      </c>
      <c r="AD169" t="str">
        <f t="shared" si="51"/>
        <v>TFLEGSL</v>
      </c>
      <c r="AE169" t="str">
        <f t="shared" si="46"/>
        <v>TFLS</v>
      </c>
      <c r="AF169">
        <f t="shared" si="52"/>
        <v>251</v>
      </c>
      <c r="AG169" s="105">
        <f t="shared" si="47"/>
        <v>6.9722222222222223</v>
      </c>
      <c r="AH169">
        <v>9.8000000000000007</v>
      </c>
      <c r="AI169" s="105">
        <f t="shared" si="53"/>
        <v>0.71145124716553287</v>
      </c>
      <c r="AJ169" s="105">
        <f t="shared" si="48"/>
        <v>0.88931405895691606</v>
      </c>
    </row>
    <row r="170" spans="2:36" x14ac:dyDescent="0.25">
      <c r="B170" s="191" t="s">
        <v>78</v>
      </c>
      <c r="C170" s="191" t="s">
        <v>353</v>
      </c>
      <c r="D170" s="191"/>
      <c r="E170" s="191"/>
      <c r="F170" s="191" t="s">
        <v>431</v>
      </c>
      <c r="G170" s="660">
        <f t="shared" si="45"/>
        <v>0.53332999999999997</v>
      </c>
      <c r="H170" s="667">
        <f t="shared" si="42"/>
        <v>0.53332999999999997</v>
      </c>
      <c r="I170" s="667">
        <f t="shared" ref="I170:V179" si="55">$H170</f>
        <v>0.53332999999999997</v>
      </c>
      <c r="J170" s="667">
        <f t="shared" si="54"/>
        <v>0.53332999999999997</v>
      </c>
      <c r="K170" s="667">
        <f t="shared" si="54"/>
        <v>0.53332999999999997</v>
      </c>
      <c r="L170" s="667">
        <f t="shared" si="54"/>
        <v>0.53332999999999997</v>
      </c>
      <c r="M170" s="667">
        <f t="shared" si="54"/>
        <v>0.53332999999999997</v>
      </c>
      <c r="N170" s="667">
        <f t="shared" si="54"/>
        <v>0.53332999999999997</v>
      </c>
      <c r="O170" s="667">
        <f t="shared" si="54"/>
        <v>0.53332999999999997</v>
      </c>
      <c r="P170" s="667">
        <f t="shared" si="54"/>
        <v>0.53332999999999997</v>
      </c>
      <c r="Q170" s="667">
        <f t="shared" si="54"/>
        <v>0.53332999999999997</v>
      </c>
      <c r="R170" s="667">
        <f t="shared" si="54"/>
        <v>0.53332999999999997</v>
      </c>
      <c r="S170" s="667">
        <f t="shared" si="54"/>
        <v>0.53332999999999997</v>
      </c>
      <c r="T170" s="667">
        <f t="shared" si="54"/>
        <v>0.53332999999999997</v>
      </c>
      <c r="U170" s="667">
        <f t="shared" si="54"/>
        <v>0.53332999999999997</v>
      </c>
      <c r="V170" s="667">
        <f t="shared" si="54"/>
        <v>0.53332999999999997</v>
      </c>
      <c r="X170" s="307" t="s">
        <v>699</v>
      </c>
      <c r="Y170" s="302">
        <v>150</v>
      </c>
      <c r="AA170" s="107"/>
      <c r="AB170" s="108"/>
      <c r="AD170" t="str">
        <f t="shared" si="51"/>
        <v>TFLEHYD</v>
      </c>
      <c r="AE170" t="str">
        <f t="shared" si="46"/>
        <v>TFLL</v>
      </c>
      <c r="AF170">
        <f t="shared" si="52"/>
        <v>150</v>
      </c>
      <c r="AG170" s="105">
        <f t="shared" si="47"/>
        <v>4.166666666666667</v>
      </c>
      <c r="AH170">
        <v>9.1</v>
      </c>
      <c r="AI170" s="105">
        <f t="shared" si="53"/>
        <v>0.45787545787545791</v>
      </c>
      <c r="AJ170" s="105">
        <f t="shared" si="48"/>
        <v>0.57234432234432242</v>
      </c>
    </row>
    <row r="171" spans="2:36" x14ac:dyDescent="0.25">
      <c r="B171" s="191" t="s">
        <v>78</v>
      </c>
      <c r="C171" s="191" t="s">
        <v>353</v>
      </c>
      <c r="D171" s="191"/>
      <c r="E171" s="191"/>
      <c r="F171" s="191" t="s">
        <v>429</v>
      </c>
      <c r="G171" s="660">
        <f t="shared" si="45"/>
        <v>0.47059000000000001</v>
      </c>
      <c r="H171" s="667">
        <f t="shared" si="42"/>
        <v>0.47059000000000001</v>
      </c>
      <c r="I171" s="667">
        <f t="shared" si="55"/>
        <v>0.47059000000000001</v>
      </c>
      <c r="J171" s="667">
        <f t="shared" si="54"/>
        <v>0.47059000000000001</v>
      </c>
      <c r="K171" s="667">
        <f t="shared" si="54"/>
        <v>0.47059000000000001</v>
      </c>
      <c r="L171" s="667">
        <f t="shared" si="54"/>
        <v>0.47059000000000001</v>
      </c>
      <c r="M171" s="667">
        <f t="shared" si="54"/>
        <v>0.47059000000000001</v>
      </c>
      <c r="N171" s="667">
        <f t="shared" si="54"/>
        <v>0.47059000000000001</v>
      </c>
      <c r="O171" s="667">
        <f t="shared" si="54"/>
        <v>0.47059000000000001</v>
      </c>
      <c r="P171" s="667">
        <f t="shared" si="54"/>
        <v>0.47059000000000001</v>
      </c>
      <c r="Q171" s="667">
        <f t="shared" si="54"/>
        <v>0.47059000000000001</v>
      </c>
      <c r="R171" s="667">
        <f t="shared" si="54"/>
        <v>0.47059000000000001</v>
      </c>
      <c r="S171" s="667">
        <f t="shared" si="54"/>
        <v>0.47059000000000001</v>
      </c>
      <c r="T171" s="667">
        <f t="shared" si="54"/>
        <v>0.47059000000000001</v>
      </c>
      <c r="U171" s="667">
        <f t="shared" si="54"/>
        <v>0.47059000000000001</v>
      </c>
      <c r="V171" s="667">
        <f t="shared" si="54"/>
        <v>0.47059000000000001</v>
      </c>
      <c r="X171" s="307" t="s">
        <v>699</v>
      </c>
      <c r="Y171" s="302">
        <v>170</v>
      </c>
      <c r="AA171" s="107"/>
      <c r="AB171" s="108"/>
      <c r="AD171" t="str">
        <f t="shared" si="51"/>
        <v>TFLEHYD</v>
      </c>
      <c r="AE171" t="str">
        <f t="shared" si="46"/>
        <v>TFLS</v>
      </c>
      <c r="AF171">
        <f t="shared" si="52"/>
        <v>170</v>
      </c>
      <c r="AG171" s="105">
        <f t="shared" si="47"/>
        <v>4.7222222222222223</v>
      </c>
      <c r="AH171">
        <v>9.1</v>
      </c>
      <c r="AI171" s="105">
        <f t="shared" si="53"/>
        <v>0.51892551892551897</v>
      </c>
      <c r="AJ171" s="105">
        <f t="shared" si="48"/>
        <v>0.64865689865689868</v>
      </c>
    </row>
    <row r="172" spans="2:36" x14ac:dyDescent="0.25">
      <c r="B172" s="191" t="s">
        <v>78</v>
      </c>
      <c r="C172" s="191" t="s">
        <v>354</v>
      </c>
      <c r="D172" s="191"/>
      <c r="E172" s="191"/>
      <c r="F172" s="191" t="s">
        <v>431</v>
      </c>
      <c r="G172" s="660">
        <f t="shared" si="45"/>
        <v>0.47904000000000002</v>
      </c>
      <c r="H172" s="667">
        <f t="shared" si="42"/>
        <v>0.47904000000000002</v>
      </c>
      <c r="I172" s="667">
        <f t="shared" si="55"/>
        <v>0.47904000000000002</v>
      </c>
      <c r="J172" s="667">
        <f t="shared" si="55"/>
        <v>0.47904000000000002</v>
      </c>
      <c r="K172" s="667">
        <f t="shared" si="55"/>
        <v>0.47904000000000002</v>
      </c>
      <c r="L172" s="667">
        <f t="shared" si="55"/>
        <v>0.47904000000000002</v>
      </c>
      <c r="M172" s="667">
        <f t="shared" si="55"/>
        <v>0.47904000000000002</v>
      </c>
      <c r="N172" s="667">
        <f t="shared" si="55"/>
        <v>0.47904000000000002</v>
      </c>
      <c r="O172" s="667">
        <f t="shared" si="55"/>
        <v>0.47904000000000002</v>
      </c>
      <c r="P172" s="667">
        <f t="shared" si="55"/>
        <v>0.47904000000000002</v>
      </c>
      <c r="Q172" s="667">
        <f t="shared" si="55"/>
        <v>0.47904000000000002</v>
      </c>
      <c r="R172" s="667">
        <f t="shared" si="55"/>
        <v>0.47904000000000002</v>
      </c>
      <c r="S172" s="667">
        <f t="shared" si="55"/>
        <v>0.47904000000000002</v>
      </c>
      <c r="T172" s="667">
        <f t="shared" si="55"/>
        <v>0.47904000000000002</v>
      </c>
      <c r="U172" s="667">
        <f t="shared" si="55"/>
        <v>0.47904000000000002</v>
      </c>
      <c r="V172" s="667">
        <f t="shared" si="55"/>
        <v>0.47904000000000002</v>
      </c>
      <c r="X172" s="307" t="s">
        <v>699</v>
      </c>
      <c r="Y172" s="302">
        <v>167</v>
      </c>
      <c r="AA172" s="107"/>
      <c r="AB172" s="108"/>
      <c r="AD172" t="str">
        <f t="shared" si="51"/>
        <v>TFLEHYG</v>
      </c>
      <c r="AE172" t="str">
        <f t="shared" si="46"/>
        <v>TFLL</v>
      </c>
      <c r="AF172">
        <f t="shared" si="52"/>
        <v>167</v>
      </c>
      <c r="AG172" s="105">
        <f t="shared" si="47"/>
        <v>4.6388888888888884</v>
      </c>
      <c r="AH172">
        <v>12.79</v>
      </c>
      <c r="AI172" s="105">
        <f t="shared" si="53"/>
        <v>0.36269655112501087</v>
      </c>
      <c r="AJ172" s="105">
        <f t="shared" si="48"/>
        <v>0.45337068890626359</v>
      </c>
    </row>
    <row r="173" spans="2:36" x14ac:dyDescent="0.25">
      <c r="B173" s="191" t="s">
        <v>78</v>
      </c>
      <c r="C173" s="191" t="s">
        <v>354</v>
      </c>
      <c r="D173" s="191"/>
      <c r="E173" s="191"/>
      <c r="F173" s="191" t="s">
        <v>429</v>
      </c>
      <c r="G173" s="660">
        <f t="shared" si="45"/>
        <v>0.39604</v>
      </c>
      <c r="H173" s="667">
        <f t="shared" si="42"/>
        <v>0.39604</v>
      </c>
      <c r="I173" s="667">
        <f t="shared" si="55"/>
        <v>0.39604</v>
      </c>
      <c r="J173" s="667">
        <f t="shared" si="55"/>
        <v>0.39604</v>
      </c>
      <c r="K173" s="667">
        <f t="shared" si="55"/>
        <v>0.39604</v>
      </c>
      <c r="L173" s="667">
        <f t="shared" si="55"/>
        <v>0.39604</v>
      </c>
      <c r="M173" s="667">
        <f t="shared" si="55"/>
        <v>0.39604</v>
      </c>
      <c r="N173" s="667">
        <f t="shared" si="55"/>
        <v>0.39604</v>
      </c>
      <c r="O173" s="667">
        <f t="shared" si="55"/>
        <v>0.39604</v>
      </c>
      <c r="P173" s="667">
        <f t="shared" si="55"/>
        <v>0.39604</v>
      </c>
      <c r="Q173" s="667">
        <f t="shared" si="55"/>
        <v>0.39604</v>
      </c>
      <c r="R173" s="667">
        <f t="shared" si="55"/>
        <v>0.39604</v>
      </c>
      <c r="S173" s="667">
        <f t="shared" si="55"/>
        <v>0.39604</v>
      </c>
      <c r="T173" s="667">
        <f t="shared" si="55"/>
        <v>0.39604</v>
      </c>
      <c r="U173" s="667">
        <f t="shared" si="55"/>
        <v>0.39604</v>
      </c>
      <c r="V173" s="667">
        <f t="shared" si="55"/>
        <v>0.39604</v>
      </c>
      <c r="X173" s="307" t="s">
        <v>699</v>
      </c>
      <c r="Y173" s="302">
        <v>202</v>
      </c>
      <c r="AA173" s="107"/>
      <c r="AB173" s="108"/>
      <c r="AD173" t="str">
        <f t="shared" si="51"/>
        <v>TFLEHYG</v>
      </c>
      <c r="AE173" t="str">
        <f t="shared" si="46"/>
        <v>TFLS</v>
      </c>
      <c r="AF173">
        <f t="shared" si="52"/>
        <v>202</v>
      </c>
      <c r="AG173" s="105">
        <f t="shared" si="47"/>
        <v>5.6111111111111107</v>
      </c>
      <c r="AH173">
        <v>12.79</v>
      </c>
      <c r="AI173" s="105">
        <f t="shared" si="53"/>
        <v>0.43871079836677962</v>
      </c>
      <c r="AJ173" s="105">
        <f t="shared" si="48"/>
        <v>0.54838849795847455</v>
      </c>
    </row>
    <row r="174" spans="2:36" x14ac:dyDescent="0.25">
      <c r="B174" s="191" t="s">
        <v>78</v>
      </c>
      <c r="C174" s="191" t="s">
        <v>355</v>
      </c>
      <c r="D174" s="191"/>
      <c r="E174" s="191"/>
      <c r="F174" s="191" t="s">
        <v>431</v>
      </c>
      <c r="G174" s="660">
        <f t="shared" si="45"/>
        <v>0.38646999999999998</v>
      </c>
      <c r="H174" s="667">
        <f t="shared" si="42"/>
        <v>0.38646999999999998</v>
      </c>
      <c r="I174" s="667">
        <f t="shared" si="55"/>
        <v>0.38646999999999998</v>
      </c>
      <c r="J174" s="667">
        <f t="shared" si="55"/>
        <v>0.38646999999999998</v>
      </c>
      <c r="K174" s="667">
        <f t="shared" si="55"/>
        <v>0.38646999999999998</v>
      </c>
      <c r="L174" s="667">
        <f t="shared" si="55"/>
        <v>0.38646999999999998</v>
      </c>
      <c r="M174" s="667">
        <f t="shared" si="55"/>
        <v>0.38646999999999998</v>
      </c>
      <c r="N174" s="667">
        <f t="shared" si="55"/>
        <v>0.38646999999999998</v>
      </c>
      <c r="O174" s="667">
        <f t="shared" si="55"/>
        <v>0.38646999999999998</v>
      </c>
      <c r="P174" s="667">
        <f t="shared" si="55"/>
        <v>0.38646999999999998</v>
      </c>
      <c r="Q174" s="667">
        <f t="shared" si="55"/>
        <v>0.38646999999999998</v>
      </c>
      <c r="R174" s="667">
        <f t="shared" si="55"/>
        <v>0.38646999999999998</v>
      </c>
      <c r="S174" s="667">
        <f t="shared" si="55"/>
        <v>0.38646999999999998</v>
      </c>
      <c r="T174" s="667">
        <f t="shared" si="55"/>
        <v>0.38646999999999998</v>
      </c>
      <c r="U174" s="667">
        <f t="shared" si="55"/>
        <v>0.38646999999999998</v>
      </c>
      <c r="V174" s="667">
        <f t="shared" si="55"/>
        <v>0.38646999999999998</v>
      </c>
      <c r="X174" s="307" t="s">
        <v>701</v>
      </c>
      <c r="Y174" s="302">
        <v>207</v>
      </c>
      <c r="AA174" s="107" t="s">
        <v>700</v>
      </c>
      <c r="AB174" s="108">
        <v>193</v>
      </c>
      <c r="AD174" t="str">
        <f t="shared" si="51"/>
        <v>TFLELPG</v>
      </c>
      <c r="AE174" t="str">
        <f t="shared" si="46"/>
        <v>TFLL</v>
      </c>
      <c r="AF174">
        <f t="shared" si="52"/>
        <v>207</v>
      </c>
      <c r="AG174" s="105">
        <f t="shared" si="47"/>
        <v>5.75</v>
      </c>
      <c r="AH174" s="19">
        <v>9.8000000000000007</v>
      </c>
      <c r="AI174" s="105">
        <f t="shared" si="53"/>
        <v>0.58673469387755095</v>
      </c>
      <c r="AJ174" s="105">
        <f t="shared" si="48"/>
        <v>0.73341836734693866</v>
      </c>
    </row>
    <row r="175" spans="2:36" x14ac:dyDescent="0.25">
      <c r="B175" s="191" t="s">
        <v>78</v>
      </c>
      <c r="C175" s="191" t="s">
        <v>355</v>
      </c>
      <c r="D175" s="191"/>
      <c r="E175" s="191"/>
      <c r="F175" s="191" t="s">
        <v>429</v>
      </c>
      <c r="G175" s="660">
        <f t="shared" si="45"/>
        <v>0.31873000000000001</v>
      </c>
      <c r="H175" s="667">
        <f t="shared" si="42"/>
        <v>0.31873000000000001</v>
      </c>
      <c r="I175" s="667">
        <f t="shared" si="55"/>
        <v>0.31873000000000001</v>
      </c>
      <c r="J175" s="667">
        <f t="shared" si="55"/>
        <v>0.31873000000000001</v>
      </c>
      <c r="K175" s="667">
        <f t="shared" si="55"/>
        <v>0.31873000000000001</v>
      </c>
      <c r="L175" s="667">
        <f t="shared" si="55"/>
        <v>0.31873000000000001</v>
      </c>
      <c r="M175" s="667">
        <f t="shared" si="55"/>
        <v>0.31873000000000001</v>
      </c>
      <c r="N175" s="667">
        <f t="shared" si="55"/>
        <v>0.31873000000000001</v>
      </c>
      <c r="O175" s="667">
        <f t="shared" si="55"/>
        <v>0.31873000000000001</v>
      </c>
      <c r="P175" s="667">
        <f t="shared" si="55"/>
        <v>0.31873000000000001</v>
      </c>
      <c r="Q175" s="667">
        <f t="shared" si="55"/>
        <v>0.31873000000000001</v>
      </c>
      <c r="R175" s="667">
        <f t="shared" si="55"/>
        <v>0.31873000000000001</v>
      </c>
      <c r="S175" s="667">
        <f t="shared" si="55"/>
        <v>0.31873000000000001</v>
      </c>
      <c r="T175" s="667">
        <f t="shared" si="55"/>
        <v>0.31873000000000001</v>
      </c>
      <c r="U175" s="667">
        <f t="shared" si="55"/>
        <v>0.31873000000000001</v>
      </c>
      <c r="V175" s="667">
        <f t="shared" si="55"/>
        <v>0.31873000000000001</v>
      </c>
      <c r="X175" s="307" t="s">
        <v>701</v>
      </c>
      <c r="Y175" s="302">
        <v>251</v>
      </c>
      <c r="AA175" s="107" t="s">
        <v>700</v>
      </c>
      <c r="AB175" s="108">
        <v>235</v>
      </c>
      <c r="AD175" t="str">
        <f t="shared" si="51"/>
        <v>TFLELPG</v>
      </c>
      <c r="AE175" t="str">
        <f t="shared" si="46"/>
        <v>TFLS</v>
      </c>
      <c r="AF175">
        <f t="shared" si="52"/>
        <v>251</v>
      </c>
      <c r="AG175" s="105">
        <f t="shared" si="47"/>
        <v>6.9722222222222223</v>
      </c>
      <c r="AH175" s="19">
        <v>9.8000000000000007</v>
      </c>
      <c r="AI175" s="105">
        <f t="shared" si="53"/>
        <v>0.71145124716553287</v>
      </c>
      <c r="AJ175" s="105">
        <f t="shared" si="48"/>
        <v>0.88931405895691606</v>
      </c>
    </row>
    <row r="176" spans="2:36" x14ac:dyDescent="0.25">
      <c r="B176" s="191" t="s">
        <v>78</v>
      </c>
      <c r="C176" s="191" t="s">
        <v>356</v>
      </c>
      <c r="D176" s="191"/>
      <c r="E176" s="191"/>
      <c r="F176" s="191" t="s">
        <v>431</v>
      </c>
      <c r="G176" s="660">
        <f t="shared" si="45"/>
        <v>0.68376000000000003</v>
      </c>
      <c r="H176" s="667">
        <f t="shared" si="42"/>
        <v>0.68376000000000003</v>
      </c>
      <c r="I176" s="667">
        <f t="shared" si="55"/>
        <v>0.68376000000000003</v>
      </c>
      <c r="J176" s="667">
        <f t="shared" si="55"/>
        <v>0.68376000000000003</v>
      </c>
      <c r="K176" s="667">
        <f t="shared" si="55"/>
        <v>0.68376000000000003</v>
      </c>
      <c r="L176" s="667">
        <f t="shared" si="55"/>
        <v>0.68376000000000003</v>
      </c>
      <c r="M176" s="667">
        <f t="shared" si="55"/>
        <v>0.68376000000000003</v>
      </c>
      <c r="N176" s="667">
        <f t="shared" si="55"/>
        <v>0.68376000000000003</v>
      </c>
      <c r="O176" s="667">
        <f t="shared" si="55"/>
        <v>0.68376000000000003</v>
      </c>
      <c r="P176" s="667">
        <f t="shared" si="55"/>
        <v>0.68376000000000003</v>
      </c>
      <c r="Q176" s="667">
        <f t="shared" si="55"/>
        <v>0.68376000000000003</v>
      </c>
      <c r="R176" s="667">
        <f t="shared" si="55"/>
        <v>0.68376000000000003</v>
      </c>
      <c r="S176" s="667">
        <f t="shared" si="55"/>
        <v>0.68376000000000003</v>
      </c>
      <c r="T176" s="667">
        <f t="shared" si="55"/>
        <v>0.68376000000000003</v>
      </c>
      <c r="U176" s="667">
        <f t="shared" si="55"/>
        <v>0.68376000000000003</v>
      </c>
      <c r="V176" s="667">
        <f t="shared" si="55"/>
        <v>0.68376000000000003</v>
      </c>
      <c r="X176" s="307" t="s">
        <v>699</v>
      </c>
      <c r="Y176" s="302">
        <v>117</v>
      </c>
      <c r="AA176" s="107"/>
      <c r="AB176" s="108"/>
      <c r="AD176" t="str">
        <f t="shared" si="51"/>
        <v>TFLEPYD</v>
      </c>
      <c r="AE176" t="str">
        <f t="shared" si="46"/>
        <v>TFLL</v>
      </c>
      <c r="AF176">
        <f t="shared" si="52"/>
        <v>117</v>
      </c>
      <c r="AG176" s="105">
        <f t="shared" si="47"/>
        <v>3.2499999999999996</v>
      </c>
      <c r="AH176" s="19">
        <v>9.1</v>
      </c>
      <c r="AI176" s="105">
        <f t="shared" si="53"/>
        <v>0.3571428571428571</v>
      </c>
      <c r="AJ176" s="105">
        <f t="shared" si="48"/>
        <v>0.4464285714285714</v>
      </c>
    </row>
    <row r="177" spans="2:36" x14ac:dyDescent="0.25">
      <c r="B177" s="191" t="s">
        <v>78</v>
      </c>
      <c r="C177" s="191" t="s">
        <v>356</v>
      </c>
      <c r="D177" s="191"/>
      <c r="E177" s="191"/>
      <c r="F177" s="191" t="s">
        <v>429</v>
      </c>
      <c r="G177" s="660">
        <f t="shared" si="45"/>
        <v>0.87912000000000001</v>
      </c>
      <c r="H177" s="667">
        <f t="shared" si="42"/>
        <v>0.87912000000000001</v>
      </c>
      <c r="I177" s="667">
        <f t="shared" si="55"/>
        <v>0.87912000000000001</v>
      </c>
      <c r="J177" s="667">
        <f t="shared" si="55"/>
        <v>0.87912000000000001</v>
      </c>
      <c r="K177" s="667">
        <f t="shared" si="55"/>
        <v>0.87912000000000001</v>
      </c>
      <c r="L177" s="667">
        <f t="shared" si="55"/>
        <v>0.87912000000000001</v>
      </c>
      <c r="M177" s="667">
        <f t="shared" si="55"/>
        <v>0.87912000000000001</v>
      </c>
      <c r="N177" s="667">
        <f t="shared" si="55"/>
        <v>0.87912000000000001</v>
      </c>
      <c r="O177" s="667">
        <f t="shared" si="55"/>
        <v>0.87912000000000001</v>
      </c>
      <c r="P177" s="667">
        <f t="shared" si="55"/>
        <v>0.87912000000000001</v>
      </c>
      <c r="Q177" s="667">
        <f t="shared" si="55"/>
        <v>0.87912000000000001</v>
      </c>
      <c r="R177" s="667">
        <f t="shared" si="55"/>
        <v>0.87912000000000001</v>
      </c>
      <c r="S177" s="667">
        <f t="shared" si="55"/>
        <v>0.87912000000000001</v>
      </c>
      <c r="T177" s="667">
        <f t="shared" si="55"/>
        <v>0.87912000000000001</v>
      </c>
      <c r="U177" s="667">
        <f t="shared" si="55"/>
        <v>0.87912000000000001</v>
      </c>
      <c r="V177" s="667">
        <f t="shared" si="55"/>
        <v>0.87912000000000001</v>
      </c>
      <c r="X177" s="307" t="s">
        <v>699</v>
      </c>
      <c r="Y177" s="302">
        <v>91</v>
      </c>
      <c r="AA177" s="107"/>
      <c r="AB177" s="108"/>
      <c r="AD177" t="str">
        <f t="shared" si="51"/>
        <v>TFLEPYD</v>
      </c>
      <c r="AE177" t="str">
        <f t="shared" si="46"/>
        <v>TFLS</v>
      </c>
      <c r="AF177">
        <f t="shared" si="52"/>
        <v>91</v>
      </c>
      <c r="AG177" s="105">
        <f t="shared" si="47"/>
        <v>2.5277777777777777</v>
      </c>
      <c r="AH177" s="19">
        <v>9.1</v>
      </c>
      <c r="AI177" s="105">
        <f t="shared" si="53"/>
        <v>0.27777777777777779</v>
      </c>
      <c r="AJ177" s="105">
        <f t="shared" si="48"/>
        <v>0.34722222222222221</v>
      </c>
    </row>
    <row r="178" spans="2:36" x14ac:dyDescent="0.25">
      <c r="B178" s="191" t="s">
        <v>78</v>
      </c>
      <c r="C178" s="191" t="s">
        <v>357</v>
      </c>
      <c r="D178" s="191"/>
      <c r="E178" s="191"/>
      <c r="F178" s="191" t="s">
        <v>431</v>
      </c>
      <c r="G178" s="660">
        <f t="shared" si="45"/>
        <v>0.72726999999999997</v>
      </c>
      <c r="H178" s="667">
        <f t="shared" si="42"/>
        <v>0.72726999999999997</v>
      </c>
      <c r="I178" s="667">
        <f t="shared" si="55"/>
        <v>0.72726999999999997</v>
      </c>
      <c r="J178" s="667">
        <f t="shared" si="55"/>
        <v>0.72726999999999997</v>
      </c>
      <c r="K178" s="667">
        <f t="shared" si="55"/>
        <v>0.72726999999999997</v>
      </c>
      <c r="L178" s="667">
        <f t="shared" si="55"/>
        <v>0.72726999999999997</v>
      </c>
      <c r="M178" s="667">
        <f t="shared" si="55"/>
        <v>0.72726999999999997</v>
      </c>
      <c r="N178" s="667">
        <f t="shared" si="55"/>
        <v>0.72726999999999997</v>
      </c>
      <c r="O178" s="667">
        <f t="shared" si="55"/>
        <v>0.72726999999999997</v>
      </c>
      <c r="P178" s="667">
        <f t="shared" si="55"/>
        <v>0.72726999999999997</v>
      </c>
      <c r="Q178" s="667">
        <f t="shared" si="55"/>
        <v>0.72726999999999997</v>
      </c>
      <c r="R178" s="667">
        <f t="shared" si="55"/>
        <v>0.72726999999999997</v>
      </c>
      <c r="S178" s="667">
        <f t="shared" si="55"/>
        <v>0.72726999999999997</v>
      </c>
      <c r="T178" s="667">
        <f t="shared" si="55"/>
        <v>0.72726999999999997</v>
      </c>
      <c r="U178" s="667">
        <f t="shared" si="55"/>
        <v>0.72726999999999997</v>
      </c>
      <c r="V178" s="667">
        <f t="shared" si="55"/>
        <v>0.72726999999999997</v>
      </c>
      <c r="X178" s="307" t="s">
        <v>699</v>
      </c>
      <c r="Y178" s="302">
        <v>110</v>
      </c>
      <c r="AA178" s="107"/>
      <c r="AB178" s="108"/>
    </row>
    <row r="179" spans="2:36" x14ac:dyDescent="0.25">
      <c r="B179" s="546" t="s">
        <v>78</v>
      </c>
      <c r="C179" s="546" t="s">
        <v>357</v>
      </c>
      <c r="D179" s="546"/>
      <c r="E179" s="546"/>
      <c r="F179" s="546" t="s">
        <v>429</v>
      </c>
      <c r="G179" s="669">
        <f t="shared" si="45"/>
        <v>0.82474000000000003</v>
      </c>
      <c r="H179" s="668">
        <f t="shared" si="42"/>
        <v>0.82474000000000003</v>
      </c>
      <c r="I179" s="662">
        <f t="shared" si="55"/>
        <v>0.82474000000000003</v>
      </c>
      <c r="J179" s="662">
        <f t="shared" si="55"/>
        <v>0.82474000000000003</v>
      </c>
      <c r="K179" s="662">
        <f t="shared" si="55"/>
        <v>0.82474000000000003</v>
      </c>
      <c r="L179" s="662">
        <f t="shared" si="55"/>
        <v>0.82474000000000003</v>
      </c>
      <c r="M179" s="662">
        <f t="shared" si="55"/>
        <v>0.82474000000000003</v>
      </c>
      <c r="N179" s="662">
        <f t="shared" si="55"/>
        <v>0.82474000000000003</v>
      </c>
      <c r="O179" s="662">
        <f t="shared" si="55"/>
        <v>0.82474000000000003</v>
      </c>
      <c r="P179" s="662">
        <f t="shared" si="55"/>
        <v>0.82474000000000003</v>
      </c>
      <c r="Q179" s="662">
        <f t="shared" si="55"/>
        <v>0.82474000000000003</v>
      </c>
      <c r="R179" s="662">
        <f t="shared" si="55"/>
        <v>0.82474000000000003</v>
      </c>
      <c r="S179" s="662">
        <f t="shared" si="55"/>
        <v>0.82474000000000003</v>
      </c>
      <c r="T179" s="662">
        <f t="shared" si="55"/>
        <v>0.82474000000000003</v>
      </c>
      <c r="U179" s="662">
        <f t="shared" si="55"/>
        <v>0.82474000000000003</v>
      </c>
      <c r="V179" s="662">
        <f t="shared" si="55"/>
        <v>0.82474000000000003</v>
      </c>
      <c r="X179" s="547" t="s">
        <v>699</v>
      </c>
      <c r="Y179" s="548">
        <v>97</v>
      </c>
      <c r="AA179" s="107"/>
      <c r="AB179" s="108"/>
    </row>
    <row r="180" spans="2:36" x14ac:dyDescent="0.25">
      <c r="B180" s="191" t="s">
        <v>78</v>
      </c>
      <c r="C180" s="191" t="s">
        <v>358</v>
      </c>
      <c r="D180" s="191"/>
      <c r="E180" s="191"/>
      <c r="F180" s="191" t="s">
        <v>435</v>
      </c>
      <c r="G180" s="660">
        <f>ROUND(10^2/(Y180*$G$154),5)</f>
        <v>7.0400000000000004E-2</v>
      </c>
      <c r="H180" s="667">
        <f t="shared" si="42"/>
        <v>7.0400000000000004E-2</v>
      </c>
      <c r="I180" s="667">
        <f t="shared" ref="I180:V198" si="56">$H180</f>
        <v>7.0400000000000004E-2</v>
      </c>
      <c r="J180" s="667">
        <f t="shared" si="56"/>
        <v>7.0400000000000004E-2</v>
      </c>
      <c r="K180" s="667">
        <f t="shared" si="56"/>
        <v>7.0400000000000004E-2</v>
      </c>
      <c r="L180" s="667">
        <f t="shared" si="56"/>
        <v>7.0400000000000004E-2</v>
      </c>
      <c r="M180" s="667">
        <f t="shared" si="56"/>
        <v>7.0400000000000004E-2</v>
      </c>
      <c r="N180" s="667">
        <f t="shared" si="56"/>
        <v>7.0400000000000004E-2</v>
      </c>
      <c r="O180" s="667">
        <f t="shared" si="56"/>
        <v>7.0400000000000004E-2</v>
      </c>
      <c r="P180" s="667">
        <f t="shared" si="56"/>
        <v>7.0400000000000004E-2</v>
      </c>
      <c r="Q180" s="667">
        <f t="shared" si="56"/>
        <v>7.0400000000000004E-2</v>
      </c>
      <c r="R180" s="667">
        <f t="shared" si="56"/>
        <v>7.0400000000000004E-2</v>
      </c>
      <c r="S180" s="667">
        <f t="shared" si="56"/>
        <v>7.0400000000000004E-2</v>
      </c>
      <c r="T180" s="667">
        <f t="shared" si="56"/>
        <v>7.0400000000000004E-2</v>
      </c>
      <c r="U180" s="667">
        <f t="shared" si="56"/>
        <v>7.0400000000000004E-2</v>
      </c>
      <c r="V180" s="667">
        <f t="shared" si="56"/>
        <v>7.0400000000000004E-2</v>
      </c>
      <c r="X180" s="307" t="s">
        <v>720</v>
      </c>
      <c r="Y180" s="359">
        <f>Y182</f>
        <v>1136.3636363636363</v>
      </c>
      <c r="AA180" s="107"/>
      <c r="AB180" s="108"/>
    </row>
    <row r="181" spans="2:36" x14ac:dyDescent="0.25">
      <c r="B181" s="191" t="s">
        <v>78</v>
      </c>
      <c r="C181" s="191" t="s">
        <v>358</v>
      </c>
      <c r="D181" s="191"/>
      <c r="E181" s="191"/>
      <c r="F181" s="191" t="s">
        <v>433</v>
      </c>
      <c r="G181" s="660">
        <f t="shared" ref="G181:G223" si="57">ROUND(10^2/(Y181*$G$154),5)</f>
        <v>5.6320000000000002E-2</v>
      </c>
      <c r="H181" s="667">
        <f t="shared" si="42"/>
        <v>5.6320000000000002E-2</v>
      </c>
      <c r="I181" s="667">
        <f t="shared" si="56"/>
        <v>5.6320000000000002E-2</v>
      </c>
      <c r="J181" s="667">
        <f t="shared" si="56"/>
        <v>5.6320000000000002E-2</v>
      </c>
      <c r="K181" s="667">
        <f t="shared" si="56"/>
        <v>5.6320000000000002E-2</v>
      </c>
      <c r="L181" s="667">
        <f t="shared" si="56"/>
        <v>5.6320000000000002E-2</v>
      </c>
      <c r="M181" s="667">
        <f t="shared" si="56"/>
        <v>5.6320000000000002E-2</v>
      </c>
      <c r="N181" s="667">
        <f t="shared" si="56"/>
        <v>5.6320000000000002E-2</v>
      </c>
      <c r="O181" s="667">
        <f t="shared" si="56"/>
        <v>5.6320000000000002E-2</v>
      </c>
      <c r="P181" s="667">
        <f t="shared" si="56"/>
        <v>5.6320000000000002E-2</v>
      </c>
      <c r="Q181" s="667">
        <f t="shared" si="56"/>
        <v>5.6320000000000002E-2</v>
      </c>
      <c r="R181" s="667">
        <f t="shared" si="56"/>
        <v>5.6320000000000002E-2</v>
      </c>
      <c r="S181" s="667">
        <f t="shared" si="56"/>
        <v>5.6320000000000002E-2</v>
      </c>
      <c r="T181" s="667">
        <f t="shared" si="56"/>
        <v>5.6320000000000002E-2</v>
      </c>
      <c r="U181" s="667">
        <f t="shared" si="56"/>
        <v>5.6320000000000002E-2</v>
      </c>
      <c r="V181" s="667">
        <f t="shared" si="56"/>
        <v>5.6320000000000002E-2</v>
      </c>
      <c r="X181" s="307" t="s">
        <v>720</v>
      </c>
      <c r="Y181" s="359">
        <f>Y183</f>
        <v>1420.4545454545453</v>
      </c>
      <c r="AA181" s="107"/>
      <c r="AB181" s="108"/>
    </row>
    <row r="182" spans="2:36" s="19" customFormat="1" x14ac:dyDescent="0.25">
      <c r="B182" s="191" t="s">
        <v>78</v>
      </c>
      <c r="C182" s="191" t="s">
        <v>359</v>
      </c>
      <c r="D182" s="191"/>
      <c r="E182" s="191"/>
      <c r="F182" s="191" t="s">
        <v>435</v>
      </c>
      <c r="G182" s="660">
        <f t="shared" si="57"/>
        <v>7.0400000000000004E-2</v>
      </c>
      <c r="H182" s="667">
        <f t="shared" si="42"/>
        <v>7.0400000000000004E-2</v>
      </c>
      <c r="I182" s="667">
        <f t="shared" si="56"/>
        <v>7.0400000000000004E-2</v>
      </c>
      <c r="J182" s="667">
        <f t="shared" si="56"/>
        <v>7.0400000000000004E-2</v>
      </c>
      <c r="K182" s="667">
        <f t="shared" si="56"/>
        <v>7.0400000000000004E-2</v>
      </c>
      <c r="L182" s="667">
        <f t="shared" si="56"/>
        <v>7.0400000000000004E-2</v>
      </c>
      <c r="M182" s="667">
        <f t="shared" si="56"/>
        <v>7.0400000000000004E-2</v>
      </c>
      <c r="N182" s="667">
        <f t="shared" si="56"/>
        <v>7.0400000000000004E-2</v>
      </c>
      <c r="O182" s="667">
        <f t="shared" si="56"/>
        <v>7.0400000000000004E-2</v>
      </c>
      <c r="P182" s="667">
        <f t="shared" si="56"/>
        <v>7.0400000000000004E-2</v>
      </c>
      <c r="Q182" s="667">
        <f t="shared" si="56"/>
        <v>7.0400000000000004E-2</v>
      </c>
      <c r="R182" s="667">
        <f t="shared" si="56"/>
        <v>7.0400000000000004E-2</v>
      </c>
      <c r="S182" s="667">
        <f t="shared" si="56"/>
        <v>7.0400000000000004E-2</v>
      </c>
      <c r="T182" s="667">
        <f t="shared" si="56"/>
        <v>7.0400000000000004E-2</v>
      </c>
      <c r="U182" s="667">
        <f t="shared" si="56"/>
        <v>7.0400000000000004E-2</v>
      </c>
      <c r="V182" s="667">
        <f t="shared" si="56"/>
        <v>7.0400000000000004E-2</v>
      </c>
      <c r="X182" s="307" t="s">
        <v>720</v>
      </c>
      <c r="Y182" s="359">
        <f>Y204/1.1</f>
        <v>1136.3636363636363</v>
      </c>
    </row>
    <row r="183" spans="2:36" s="19" customFormat="1" x14ac:dyDescent="0.25">
      <c r="B183" s="191" t="s">
        <v>78</v>
      </c>
      <c r="C183" s="191" t="s">
        <v>359</v>
      </c>
      <c r="D183" s="191"/>
      <c r="E183" s="191"/>
      <c r="F183" s="191" t="s">
        <v>433</v>
      </c>
      <c r="G183" s="660">
        <f t="shared" si="57"/>
        <v>5.6320000000000002E-2</v>
      </c>
      <c r="H183" s="667">
        <f t="shared" si="42"/>
        <v>5.6320000000000002E-2</v>
      </c>
      <c r="I183" s="667">
        <f t="shared" si="56"/>
        <v>5.6320000000000002E-2</v>
      </c>
      <c r="J183" s="667">
        <f t="shared" si="56"/>
        <v>5.6320000000000002E-2</v>
      </c>
      <c r="K183" s="667">
        <f t="shared" si="56"/>
        <v>5.6320000000000002E-2</v>
      </c>
      <c r="L183" s="667">
        <f t="shared" si="56"/>
        <v>5.6320000000000002E-2</v>
      </c>
      <c r="M183" s="667">
        <f t="shared" si="56"/>
        <v>5.6320000000000002E-2</v>
      </c>
      <c r="N183" s="667">
        <f t="shared" si="56"/>
        <v>5.6320000000000002E-2</v>
      </c>
      <c r="O183" s="667">
        <f t="shared" si="56"/>
        <v>5.6320000000000002E-2</v>
      </c>
      <c r="P183" s="667">
        <f t="shared" si="56"/>
        <v>5.6320000000000002E-2</v>
      </c>
      <c r="Q183" s="667">
        <f t="shared" si="56"/>
        <v>5.6320000000000002E-2</v>
      </c>
      <c r="R183" s="667">
        <f t="shared" si="56"/>
        <v>5.6320000000000002E-2</v>
      </c>
      <c r="S183" s="667">
        <f t="shared" si="56"/>
        <v>5.6320000000000002E-2</v>
      </c>
      <c r="T183" s="667">
        <f t="shared" si="56"/>
        <v>5.6320000000000002E-2</v>
      </c>
      <c r="U183" s="667">
        <f t="shared" si="56"/>
        <v>5.6320000000000002E-2</v>
      </c>
      <c r="V183" s="667">
        <f t="shared" si="56"/>
        <v>5.6320000000000002E-2</v>
      </c>
      <c r="X183" s="307" t="s">
        <v>720</v>
      </c>
      <c r="Y183" s="359">
        <f>Y205/1.1</f>
        <v>1420.4545454545453</v>
      </c>
    </row>
    <row r="184" spans="2:36" s="23" customFormat="1" x14ac:dyDescent="0.25">
      <c r="B184" s="420" t="s">
        <v>78</v>
      </c>
      <c r="C184" s="420" t="s">
        <v>360</v>
      </c>
      <c r="D184" s="420"/>
      <c r="E184" s="420"/>
      <c r="F184" s="420" t="s">
        <v>435</v>
      </c>
      <c r="G184" s="660">
        <f t="shared" si="57"/>
        <v>5.3330000000000002E-2</v>
      </c>
      <c r="H184" s="670">
        <f t="shared" si="42"/>
        <v>5.3330000000000002E-2</v>
      </c>
      <c r="I184" s="670">
        <f t="shared" si="56"/>
        <v>5.3330000000000002E-2</v>
      </c>
      <c r="J184" s="670">
        <f t="shared" si="56"/>
        <v>5.3330000000000002E-2</v>
      </c>
      <c r="K184" s="670">
        <f t="shared" si="56"/>
        <v>5.3330000000000002E-2</v>
      </c>
      <c r="L184" s="670">
        <f t="shared" si="56"/>
        <v>5.3330000000000002E-2</v>
      </c>
      <c r="M184" s="670">
        <f t="shared" si="56"/>
        <v>5.3330000000000002E-2</v>
      </c>
      <c r="N184" s="670">
        <f t="shared" si="56"/>
        <v>5.3330000000000002E-2</v>
      </c>
      <c r="O184" s="670">
        <f t="shared" si="56"/>
        <v>5.3330000000000002E-2</v>
      </c>
      <c r="P184" s="670">
        <f t="shared" si="56"/>
        <v>5.3330000000000002E-2</v>
      </c>
      <c r="Q184" s="670">
        <f t="shared" si="56"/>
        <v>5.3330000000000002E-2</v>
      </c>
      <c r="R184" s="670">
        <f t="shared" si="56"/>
        <v>5.3330000000000002E-2</v>
      </c>
      <c r="S184" s="670">
        <f t="shared" si="56"/>
        <v>5.3330000000000002E-2</v>
      </c>
      <c r="T184" s="670">
        <f t="shared" si="56"/>
        <v>5.3330000000000002E-2</v>
      </c>
      <c r="U184" s="670">
        <f t="shared" si="56"/>
        <v>5.3330000000000002E-2</v>
      </c>
      <c r="V184" s="670">
        <f t="shared" si="56"/>
        <v>5.3330000000000002E-2</v>
      </c>
      <c r="X184" s="644" t="s">
        <v>721</v>
      </c>
      <c r="Y184" s="415">
        <f>Y185*2.5</f>
        <v>1500</v>
      </c>
    </row>
    <row r="185" spans="2:36" s="19" customFormat="1" x14ac:dyDescent="0.25">
      <c r="B185" s="191" t="s">
        <v>78</v>
      </c>
      <c r="C185" s="191" t="s">
        <v>360</v>
      </c>
      <c r="D185" s="191"/>
      <c r="E185" s="191"/>
      <c r="F185" s="191" t="s">
        <v>433</v>
      </c>
      <c r="G185" s="660">
        <f t="shared" si="57"/>
        <v>0.13333</v>
      </c>
      <c r="H185" s="667">
        <f t="shared" si="42"/>
        <v>0.13333</v>
      </c>
      <c r="I185" s="667">
        <f t="shared" si="56"/>
        <v>0.13333</v>
      </c>
      <c r="J185" s="667">
        <f t="shared" si="56"/>
        <v>0.13333</v>
      </c>
      <c r="K185" s="667">
        <f t="shared" si="56"/>
        <v>0.13333</v>
      </c>
      <c r="L185" s="667">
        <f t="shared" si="56"/>
        <v>0.13333</v>
      </c>
      <c r="M185" s="667">
        <f t="shared" si="56"/>
        <v>0.13333</v>
      </c>
      <c r="N185" s="667">
        <f t="shared" si="56"/>
        <v>0.13333</v>
      </c>
      <c r="O185" s="667">
        <f t="shared" si="56"/>
        <v>0.13333</v>
      </c>
      <c r="P185" s="667">
        <f t="shared" si="56"/>
        <v>0.13333</v>
      </c>
      <c r="Q185" s="667">
        <f t="shared" si="56"/>
        <v>0.13333</v>
      </c>
      <c r="R185" s="667">
        <f t="shared" si="56"/>
        <v>0.13333</v>
      </c>
      <c r="S185" s="667">
        <f t="shared" si="56"/>
        <v>0.13333</v>
      </c>
      <c r="T185" s="667">
        <f t="shared" si="56"/>
        <v>0.13333</v>
      </c>
      <c r="U185" s="667">
        <f t="shared" si="56"/>
        <v>0.13333</v>
      </c>
      <c r="V185" s="667">
        <f t="shared" si="56"/>
        <v>0.13333</v>
      </c>
      <c r="X185" s="307" t="s">
        <v>722</v>
      </c>
      <c r="Y185" s="416">
        <f>Y111/2.5</f>
        <v>600</v>
      </c>
    </row>
    <row r="186" spans="2:36" s="19" customFormat="1" x14ac:dyDescent="0.25">
      <c r="B186" s="191" t="s">
        <v>78</v>
      </c>
      <c r="C186" s="191" t="s">
        <v>361</v>
      </c>
      <c r="D186" s="191"/>
      <c r="E186" s="191"/>
      <c r="F186" s="191" t="s">
        <v>435</v>
      </c>
      <c r="G186" s="660">
        <f t="shared" si="57"/>
        <v>7.0400000000000004E-2</v>
      </c>
      <c r="H186" s="667">
        <f t="shared" si="42"/>
        <v>7.0400000000000004E-2</v>
      </c>
      <c r="I186" s="667">
        <f t="shared" si="56"/>
        <v>7.0400000000000004E-2</v>
      </c>
      <c r="J186" s="667">
        <f t="shared" si="56"/>
        <v>7.0400000000000004E-2</v>
      </c>
      <c r="K186" s="667">
        <f t="shared" si="56"/>
        <v>7.0400000000000004E-2</v>
      </c>
      <c r="L186" s="667">
        <f t="shared" si="56"/>
        <v>7.0400000000000004E-2</v>
      </c>
      <c r="M186" s="667">
        <f t="shared" si="56"/>
        <v>7.0400000000000004E-2</v>
      </c>
      <c r="N186" s="667">
        <f t="shared" si="56"/>
        <v>7.0400000000000004E-2</v>
      </c>
      <c r="O186" s="667">
        <f t="shared" si="56"/>
        <v>7.0400000000000004E-2</v>
      </c>
      <c r="P186" s="667">
        <f t="shared" si="56"/>
        <v>7.0400000000000004E-2</v>
      </c>
      <c r="Q186" s="667">
        <f t="shared" si="56"/>
        <v>7.0400000000000004E-2</v>
      </c>
      <c r="R186" s="667">
        <f t="shared" si="56"/>
        <v>7.0400000000000004E-2</v>
      </c>
      <c r="S186" s="667">
        <f t="shared" si="56"/>
        <v>7.0400000000000004E-2</v>
      </c>
      <c r="T186" s="667">
        <f t="shared" si="56"/>
        <v>7.0400000000000004E-2</v>
      </c>
      <c r="U186" s="667">
        <f t="shared" si="56"/>
        <v>7.0400000000000004E-2</v>
      </c>
      <c r="V186" s="667">
        <f t="shared" si="56"/>
        <v>7.0400000000000004E-2</v>
      </c>
      <c r="X186" s="307" t="s">
        <v>720</v>
      </c>
      <c r="Y186" s="359">
        <f>Y182</f>
        <v>1136.3636363636363</v>
      </c>
    </row>
    <row r="187" spans="2:36" s="19" customFormat="1" x14ac:dyDescent="0.25">
      <c r="B187" s="191" t="s">
        <v>78</v>
      </c>
      <c r="C187" s="191" t="s">
        <v>361</v>
      </c>
      <c r="D187" s="191"/>
      <c r="E187" s="191"/>
      <c r="F187" s="191" t="s">
        <v>433</v>
      </c>
      <c r="G187" s="660">
        <f t="shared" si="57"/>
        <v>5.6320000000000002E-2</v>
      </c>
      <c r="H187" s="667">
        <f t="shared" si="42"/>
        <v>5.6320000000000002E-2</v>
      </c>
      <c r="I187" s="667">
        <f t="shared" si="56"/>
        <v>5.6320000000000002E-2</v>
      </c>
      <c r="J187" s="667">
        <f t="shared" si="56"/>
        <v>5.6320000000000002E-2</v>
      </c>
      <c r="K187" s="667">
        <f t="shared" si="56"/>
        <v>5.6320000000000002E-2</v>
      </c>
      <c r="L187" s="667">
        <f t="shared" si="56"/>
        <v>5.6320000000000002E-2</v>
      </c>
      <c r="M187" s="667">
        <f t="shared" si="56"/>
        <v>5.6320000000000002E-2</v>
      </c>
      <c r="N187" s="667">
        <f t="shared" si="56"/>
        <v>5.6320000000000002E-2</v>
      </c>
      <c r="O187" s="667">
        <f t="shared" si="56"/>
        <v>5.6320000000000002E-2</v>
      </c>
      <c r="P187" s="667">
        <f t="shared" si="56"/>
        <v>5.6320000000000002E-2</v>
      </c>
      <c r="Q187" s="667">
        <f t="shared" si="56"/>
        <v>5.6320000000000002E-2</v>
      </c>
      <c r="R187" s="667">
        <f t="shared" si="56"/>
        <v>5.6320000000000002E-2</v>
      </c>
      <c r="S187" s="667">
        <f t="shared" si="56"/>
        <v>5.6320000000000002E-2</v>
      </c>
      <c r="T187" s="667">
        <f t="shared" si="56"/>
        <v>5.6320000000000002E-2</v>
      </c>
      <c r="U187" s="667">
        <f t="shared" si="56"/>
        <v>5.6320000000000002E-2</v>
      </c>
      <c r="V187" s="667">
        <f t="shared" si="56"/>
        <v>5.6320000000000002E-2</v>
      </c>
      <c r="X187" s="307" t="s">
        <v>720</v>
      </c>
      <c r="Y187" s="359">
        <f>Y183</f>
        <v>1420.4545454545453</v>
      </c>
    </row>
    <row r="188" spans="2:36" s="19" customFormat="1" x14ac:dyDescent="0.25">
      <c r="B188" s="191" t="s">
        <v>78</v>
      </c>
      <c r="C188" s="191" t="s">
        <v>362</v>
      </c>
      <c r="D188" s="191"/>
      <c r="E188" s="191"/>
      <c r="F188" s="191" t="s">
        <v>435</v>
      </c>
      <c r="G188" s="660">
        <f t="shared" si="57"/>
        <v>6.2859999999999999E-2</v>
      </c>
      <c r="H188" s="667">
        <f t="shared" si="42"/>
        <v>6.2859999999999999E-2</v>
      </c>
      <c r="I188" s="667">
        <f t="shared" si="56"/>
        <v>6.2859999999999999E-2</v>
      </c>
      <c r="J188" s="667">
        <f t="shared" si="56"/>
        <v>6.2859999999999999E-2</v>
      </c>
      <c r="K188" s="667">
        <f t="shared" si="56"/>
        <v>6.2859999999999999E-2</v>
      </c>
      <c r="L188" s="667">
        <f t="shared" si="56"/>
        <v>6.2859999999999999E-2</v>
      </c>
      <c r="M188" s="667">
        <f t="shared" si="56"/>
        <v>6.2859999999999999E-2</v>
      </c>
      <c r="N188" s="667">
        <f t="shared" si="56"/>
        <v>6.2859999999999999E-2</v>
      </c>
      <c r="O188" s="667">
        <f t="shared" si="56"/>
        <v>6.2859999999999999E-2</v>
      </c>
      <c r="P188" s="667">
        <f t="shared" si="56"/>
        <v>6.2859999999999999E-2</v>
      </c>
      <c r="Q188" s="667">
        <f t="shared" si="56"/>
        <v>6.2859999999999999E-2</v>
      </c>
      <c r="R188" s="667">
        <f t="shared" si="56"/>
        <v>6.2859999999999999E-2</v>
      </c>
      <c r="S188" s="667">
        <f t="shared" si="56"/>
        <v>6.2859999999999999E-2</v>
      </c>
      <c r="T188" s="667">
        <f t="shared" si="56"/>
        <v>6.2859999999999999E-2</v>
      </c>
      <c r="U188" s="667">
        <f t="shared" si="56"/>
        <v>6.2859999999999999E-2</v>
      </c>
      <c r="V188" s="667">
        <f t="shared" si="56"/>
        <v>6.2859999999999999E-2</v>
      </c>
      <c r="X188" s="307" t="s">
        <v>720</v>
      </c>
      <c r="Y188" s="359">
        <f t="shared" ref="Y188:Y197" si="58">Y210/1.1</f>
        <v>1272.7272727272725</v>
      </c>
    </row>
    <row r="189" spans="2:36" s="19" customFormat="1" x14ac:dyDescent="0.25">
      <c r="B189" s="191" t="s">
        <v>78</v>
      </c>
      <c r="C189" s="191" t="s">
        <v>362</v>
      </c>
      <c r="D189" s="191"/>
      <c r="E189" s="191"/>
      <c r="F189" s="191" t="s">
        <v>433</v>
      </c>
      <c r="G189" s="660">
        <f t="shared" si="57"/>
        <v>5.0290000000000001E-2</v>
      </c>
      <c r="H189" s="667">
        <f t="shared" si="42"/>
        <v>5.0290000000000001E-2</v>
      </c>
      <c r="I189" s="667">
        <f t="shared" si="56"/>
        <v>5.0290000000000001E-2</v>
      </c>
      <c r="J189" s="667">
        <f t="shared" si="56"/>
        <v>5.0290000000000001E-2</v>
      </c>
      <c r="K189" s="667">
        <f t="shared" si="56"/>
        <v>5.0290000000000001E-2</v>
      </c>
      <c r="L189" s="667">
        <f t="shared" si="56"/>
        <v>5.0290000000000001E-2</v>
      </c>
      <c r="M189" s="667">
        <f t="shared" si="56"/>
        <v>5.0290000000000001E-2</v>
      </c>
      <c r="N189" s="667">
        <f t="shared" si="56"/>
        <v>5.0290000000000001E-2</v>
      </c>
      <c r="O189" s="667">
        <f t="shared" si="56"/>
        <v>5.0290000000000001E-2</v>
      </c>
      <c r="P189" s="667">
        <f t="shared" si="56"/>
        <v>5.0290000000000001E-2</v>
      </c>
      <c r="Q189" s="667">
        <f t="shared" si="56"/>
        <v>5.0290000000000001E-2</v>
      </c>
      <c r="R189" s="667">
        <f t="shared" si="56"/>
        <v>5.0290000000000001E-2</v>
      </c>
      <c r="S189" s="667">
        <f t="shared" si="56"/>
        <v>5.0290000000000001E-2</v>
      </c>
      <c r="T189" s="667">
        <f t="shared" si="56"/>
        <v>5.0290000000000001E-2</v>
      </c>
      <c r="U189" s="667">
        <f t="shared" si="56"/>
        <v>5.0290000000000001E-2</v>
      </c>
      <c r="V189" s="667">
        <f t="shared" si="56"/>
        <v>5.0290000000000001E-2</v>
      </c>
      <c r="X189" s="307" t="s">
        <v>720</v>
      </c>
      <c r="Y189" s="359">
        <f t="shared" si="58"/>
        <v>1590.9090909090908</v>
      </c>
    </row>
    <row r="190" spans="2:36" s="19" customFormat="1" x14ac:dyDescent="0.25">
      <c r="B190" s="191" t="s">
        <v>78</v>
      </c>
      <c r="C190" s="191" t="s">
        <v>363</v>
      </c>
      <c r="D190" s="191"/>
      <c r="E190" s="191"/>
      <c r="F190" s="191" t="s">
        <v>435</v>
      </c>
      <c r="G190" s="660">
        <f t="shared" si="57"/>
        <v>7.3950000000000002E-2</v>
      </c>
      <c r="H190" s="667">
        <f t="shared" si="42"/>
        <v>7.3950000000000002E-2</v>
      </c>
      <c r="I190" s="667">
        <f t="shared" si="56"/>
        <v>7.3950000000000002E-2</v>
      </c>
      <c r="J190" s="667">
        <f t="shared" si="56"/>
        <v>7.3950000000000002E-2</v>
      </c>
      <c r="K190" s="667">
        <f t="shared" si="56"/>
        <v>7.3950000000000002E-2</v>
      </c>
      <c r="L190" s="667">
        <f t="shared" si="56"/>
        <v>7.3950000000000002E-2</v>
      </c>
      <c r="M190" s="667">
        <f t="shared" si="56"/>
        <v>7.3950000000000002E-2</v>
      </c>
      <c r="N190" s="667">
        <f t="shared" si="56"/>
        <v>7.3950000000000002E-2</v>
      </c>
      <c r="O190" s="667">
        <f t="shared" si="56"/>
        <v>7.3950000000000002E-2</v>
      </c>
      <c r="P190" s="667">
        <f t="shared" si="56"/>
        <v>7.3950000000000002E-2</v>
      </c>
      <c r="Q190" s="667">
        <f t="shared" si="56"/>
        <v>7.3950000000000002E-2</v>
      </c>
      <c r="R190" s="667">
        <f t="shared" si="56"/>
        <v>7.3950000000000002E-2</v>
      </c>
      <c r="S190" s="667">
        <f t="shared" si="56"/>
        <v>7.3950000000000002E-2</v>
      </c>
      <c r="T190" s="667">
        <f t="shared" si="56"/>
        <v>7.3950000000000002E-2</v>
      </c>
      <c r="U190" s="667">
        <f t="shared" si="56"/>
        <v>7.3950000000000002E-2</v>
      </c>
      <c r="V190" s="667">
        <f t="shared" si="56"/>
        <v>7.3950000000000002E-2</v>
      </c>
      <c r="X190" s="307" t="s">
        <v>720</v>
      </c>
      <c r="Y190" s="359">
        <f t="shared" si="58"/>
        <v>1081.8181818181818</v>
      </c>
    </row>
    <row r="191" spans="2:36" s="19" customFormat="1" x14ac:dyDescent="0.25">
      <c r="B191" s="191" t="s">
        <v>78</v>
      </c>
      <c r="C191" s="191" t="s">
        <v>363</v>
      </c>
      <c r="D191" s="191"/>
      <c r="E191" s="191"/>
      <c r="F191" s="191" t="s">
        <v>433</v>
      </c>
      <c r="G191" s="660">
        <f t="shared" si="57"/>
        <v>5.9159999999999997E-2</v>
      </c>
      <c r="H191" s="667">
        <f t="shared" si="42"/>
        <v>5.9159999999999997E-2</v>
      </c>
      <c r="I191" s="667">
        <f t="shared" si="56"/>
        <v>5.9159999999999997E-2</v>
      </c>
      <c r="J191" s="667">
        <f t="shared" si="56"/>
        <v>5.9159999999999997E-2</v>
      </c>
      <c r="K191" s="667">
        <f t="shared" si="56"/>
        <v>5.9159999999999997E-2</v>
      </c>
      <c r="L191" s="667">
        <f t="shared" si="56"/>
        <v>5.9159999999999997E-2</v>
      </c>
      <c r="M191" s="667">
        <f t="shared" si="56"/>
        <v>5.9159999999999997E-2</v>
      </c>
      <c r="N191" s="667">
        <f t="shared" si="56"/>
        <v>5.9159999999999997E-2</v>
      </c>
      <c r="O191" s="667">
        <f t="shared" si="56"/>
        <v>5.9159999999999997E-2</v>
      </c>
      <c r="P191" s="667">
        <f t="shared" si="56"/>
        <v>5.9159999999999997E-2</v>
      </c>
      <c r="Q191" s="667">
        <f t="shared" si="56"/>
        <v>5.9159999999999997E-2</v>
      </c>
      <c r="R191" s="667">
        <f t="shared" si="56"/>
        <v>5.9159999999999997E-2</v>
      </c>
      <c r="S191" s="667">
        <f t="shared" si="56"/>
        <v>5.9159999999999997E-2</v>
      </c>
      <c r="T191" s="667">
        <f t="shared" si="56"/>
        <v>5.9159999999999997E-2</v>
      </c>
      <c r="U191" s="667">
        <f t="shared" si="56"/>
        <v>5.9159999999999997E-2</v>
      </c>
      <c r="V191" s="667">
        <f t="shared" si="56"/>
        <v>5.9159999999999997E-2</v>
      </c>
      <c r="X191" s="307" t="s">
        <v>720</v>
      </c>
      <c r="Y191" s="359">
        <f t="shared" si="58"/>
        <v>1352.2727272727273</v>
      </c>
    </row>
    <row r="192" spans="2:36" s="19" customFormat="1" x14ac:dyDescent="0.25">
      <c r="B192" s="191" t="s">
        <v>78</v>
      </c>
      <c r="C192" s="191" t="s">
        <v>364</v>
      </c>
      <c r="D192" s="191"/>
      <c r="E192" s="191"/>
      <c r="F192" s="191" t="s">
        <v>435</v>
      </c>
      <c r="G192" s="660">
        <f t="shared" si="57"/>
        <v>7.8219999999999998E-2</v>
      </c>
      <c r="H192" s="667">
        <f t="shared" si="42"/>
        <v>7.8219999999999998E-2</v>
      </c>
      <c r="I192" s="667">
        <f t="shared" si="56"/>
        <v>7.8219999999999998E-2</v>
      </c>
      <c r="J192" s="667">
        <f t="shared" si="56"/>
        <v>7.8219999999999998E-2</v>
      </c>
      <c r="K192" s="667">
        <f t="shared" si="56"/>
        <v>7.8219999999999998E-2</v>
      </c>
      <c r="L192" s="667">
        <f t="shared" si="56"/>
        <v>7.8219999999999998E-2</v>
      </c>
      <c r="M192" s="667">
        <f t="shared" si="56"/>
        <v>7.8219999999999998E-2</v>
      </c>
      <c r="N192" s="667">
        <f t="shared" si="56"/>
        <v>7.8219999999999998E-2</v>
      </c>
      <c r="O192" s="667">
        <f t="shared" si="56"/>
        <v>7.8219999999999998E-2</v>
      </c>
      <c r="P192" s="667">
        <f t="shared" si="56"/>
        <v>7.8219999999999998E-2</v>
      </c>
      <c r="Q192" s="667">
        <f t="shared" si="56"/>
        <v>7.8219999999999998E-2</v>
      </c>
      <c r="R192" s="667">
        <f t="shared" si="56"/>
        <v>7.8219999999999998E-2</v>
      </c>
      <c r="S192" s="667">
        <f t="shared" si="56"/>
        <v>7.8219999999999998E-2</v>
      </c>
      <c r="T192" s="667">
        <f t="shared" si="56"/>
        <v>7.8219999999999998E-2</v>
      </c>
      <c r="U192" s="667">
        <f t="shared" si="56"/>
        <v>7.8219999999999998E-2</v>
      </c>
      <c r="V192" s="667">
        <f t="shared" si="56"/>
        <v>7.8219999999999998E-2</v>
      </c>
      <c r="X192" s="307" t="s">
        <v>720</v>
      </c>
      <c r="Y192" s="359">
        <f t="shared" si="58"/>
        <v>1022.7272727272726</v>
      </c>
    </row>
    <row r="193" spans="2:36" s="19" customFormat="1" x14ac:dyDescent="0.25">
      <c r="B193" s="191" t="s">
        <v>78</v>
      </c>
      <c r="C193" s="191" t="s">
        <v>364</v>
      </c>
      <c r="D193" s="191"/>
      <c r="E193" s="191"/>
      <c r="F193" s="191" t="s">
        <v>433</v>
      </c>
      <c r="G193" s="660">
        <f t="shared" si="57"/>
        <v>6.2579999999999997E-2</v>
      </c>
      <c r="H193" s="667">
        <f t="shared" si="42"/>
        <v>6.2579999999999997E-2</v>
      </c>
      <c r="I193" s="667">
        <f t="shared" si="56"/>
        <v>6.2579999999999997E-2</v>
      </c>
      <c r="J193" s="667">
        <f t="shared" si="56"/>
        <v>6.2579999999999997E-2</v>
      </c>
      <c r="K193" s="667">
        <f t="shared" si="56"/>
        <v>6.2579999999999997E-2</v>
      </c>
      <c r="L193" s="667">
        <f t="shared" si="56"/>
        <v>6.2579999999999997E-2</v>
      </c>
      <c r="M193" s="667">
        <f t="shared" si="56"/>
        <v>6.2579999999999997E-2</v>
      </c>
      <c r="N193" s="667">
        <f t="shared" si="56"/>
        <v>6.2579999999999997E-2</v>
      </c>
      <c r="O193" s="667">
        <f t="shared" si="56"/>
        <v>6.2579999999999997E-2</v>
      </c>
      <c r="P193" s="667">
        <f t="shared" si="56"/>
        <v>6.2579999999999997E-2</v>
      </c>
      <c r="Q193" s="667">
        <f t="shared" si="56"/>
        <v>6.2579999999999997E-2</v>
      </c>
      <c r="R193" s="667">
        <f t="shared" si="56"/>
        <v>6.2579999999999997E-2</v>
      </c>
      <c r="S193" s="667">
        <f t="shared" si="56"/>
        <v>6.2579999999999997E-2</v>
      </c>
      <c r="T193" s="667">
        <f t="shared" si="56"/>
        <v>6.2579999999999997E-2</v>
      </c>
      <c r="U193" s="667">
        <f t="shared" si="56"/>
        <v>6.2579999999999997E-2</v>
      </c>
      <c r="V193" s="667">
        <f t="shared" si="56"/>
        <v>6.2579999999999997E-2</v>
      </c>
      <c r="X193" s="307" t="s">
        <v>720</v>
      </c>
      <c r="Y193" s="359">
        <f t="shared" si="58"/>
        <v>1278.4090909090908</v>
      </c>
    </row>
    <row r="194" spans="2:36" s="19" customFormat="1" x14ac:dyDescent="0.25">
      <c r="B194" s="191" t="s">
        <v>78</v>
      </c>
      <c r="C194" s="191" t="s">
        <v>365</v>
      </c>
      <c r="D194" s="191"/>
      <c r="E194" s="191"/>
      <c r="F194" s="191" t="s">
        <v>435</v>
      </c>
      <c r="G194" s="660">
        <f t="shared" si="57"/>
        <v>9.2630000000000004E-2</v>
      </c>
      <c r="H194" s="667">
        <f t="shared" si="42"/>
        <v>9.2630000000000004E-2</v>
      </c>
      <c r="I194" s="667">
        <f t="shared" si="56"/>
        <v>9.2630000000000004E-2</v>
      </c>
      <c r="J194" s="667">
        <f t="shared" si="56"/>
        <v>9.2630000000000004E-2</v>
      </c>
      <c r="K194" s="667">
        <f t="shared" si="56"/>
        <v>9.2630000000000004E-2</v>
      </c>
      <c r="L194" s="667">
        <f t="shared" si="56"/>
        <v>9.2630000000000004E-2</v>
      </c>
      <c r="M194" s="667">
        <f t="shared" si="56"/>
        <v>9.2630000000000004E-2</v>
      </c>
      <c r="N194" s="667">
        <f t="shared" si="56"/>
        <v>9.2630000000000004E-2</v>
      </c>
      <c r="O194" s="667">
        <f t="shared" si="56"/>
        <v>9.2630000000000004E-2</v>
      </c>
      <c r="P194" s="667">
        <f t="shared" si="56"/>
        <v>9.2630000000000004E-2</v>
      </c>
      <c r="Q194" s="667">
        <f t="shared" si="56"/>
        <v>9.2630000000000004E-2</v>
      </c>
      <c r="R194" s="667">
        <f t="shared" si="56"/>
        <v>9.2630000000000004E-2</v>
      </c>
      <c r="S194" s="667">
        <f t="shared" si="56"/>
        <v>9.2630000000000004E-2</v>
      </c>
      <c r="T194" s="667">
        <f t="shared" si="56"/>
        <v>9.2630000000000004E-2</v>
      </c>
      <c r="U194" s="667">
        <f t="shared" si="56"/>
        <v>9.2630000000000004E-2</v>
      </c>
      <c r="V194" s="667">
        <f t="shared" si="56"/>
        <v>9.2630000000000004E-2</v>
      </c>
      <c r="X194" s="307" t="s">
        <v>720</v>
      </c>
      <c r="Y194" s="359">
        <f t="shared" si="58"/>
        <v>863.63636363636351</v>
      </c>
    </row>
    <row r="195" spans="2:36" s="19" customFormat="1" x14ac:dyDescent="0.25">
      <c r="B195" s="191" t="s">
        <v>78</v>
      </c>
      <c r="C195" s="191" t="s">
        <v>365</v>
      </c>
      <c r="D195" s="191"/>
      <c r="E195" s="191"/>
      <c r="F195" s="191" t="s">
        <v>433</v>
      </c>
      <c r="G195" s="660">
        <f t="shared" si="57"/>
        <v>7.4109999999999995E-2</v>
      </c>
      <c r="H195" s="667">
        <f t="shared" si="42"/>
        <v>7.4109999999999995E-2</v>
      </c>
      <c r="I195" s="667">
        <f t="shared" si="56"/>
        <v>7.4109999999999995E-2</v>
      </c>
      <c r="J195" s="667">
        <f t="shared" si="56"/>
        <v>7.4109999999999995E-2</v>
      </c>
      <c r="K195" s="667">
        <f t="shared" si="56"/>
        <v>7.4109999999999995E-2</v>
      </c>
      <c r="L195" s="667">
        <f t="shared" si="56"/>
        <v>7.4109999999999995E-2</v>
      </c>
      <c r="M195" s="667">
        <f t="shared" si="56"/>
        <v>7.4109999999999995E-2</v>
      </c>
      <c r="N195" s="667">
        <f t="shared" si="56"/>
        <v>7.4109999999999995E-2</v>
      </c>
      <c r="O195" s="667">
        <f t="shared" si="56"/>
        <v>7.4109999999999995E-2</v>
      </c>
      <c r="P195" s="667">
        <f t="shared" si="56"/>
        <v>7.4109999999999995E-2</v>
      </c>
      <c r="Q195" s="667">
        <f t="shared" si="56"/>
        <v>7.4109999999999995E-2</v>
      </c>
      <c r="R195" s="667">
        <f t="shared" si="56"/>
        <v>7.4109999999999995E-2</v>
      </c>
      <c r="S195" s="667">
        <f t="shared" si="56"/>
        <v>7.4109999999999995E-2</v>
      </c>
      <c r="T195" s="667">
        <f t="shared" si="56"/>
        <v>7.4109999999999995E-2</v>
      </c>
      <c r="U195" s="667">
        <f t="shared" si="56"/>
        <v>7.4109999999999995E-2</v>
      </c>
      <c r="V195" s="667">
        <f t="shared" si="56"/>
        <v>7.4109999999999995E-2</v>
      </c>
      <c r="X195" s="307" t="s">
        <v>720</v>
      </c>
      <c r="Y195" s="359">
        <f t="shared" si="58"/>
        <v>1079.5454545454545</v>
      </c>
    </row>
    <row r="196" spans="2:36" s="19" customFormat="1" x14ac:dyDescent="0.25">
      <c r="B196" s="191" t="s">
        <v>78</v>
      </c>
      <c r="C196" s="191" t="s">
        <v>366</v>
      </c>
      <c r="D196" s="191"/>
      <c r="E196" s="191"/>
      <c r="F196" s="191" t="s">
        <v>435</v>
      </c>
      <c r="G196" s="660">
        <f t="shared" si="57"/>
        <v>7.3950000000000002E-2</v>
      </c>
      <c r="H196" s="667">
        <f t="shared" si="42"/>
        <v>7.3950000000000002E-2</v>
      </c>
      <c r="I196" s="667">
        <f t="shared" si="56"/>
        <v>7.3950000000000002E-2</v>
      </c>
      <c r="J196" s="667">
        <f t="shared" si="56"/>
        <v>7.3950000000000002E-2</v>
      </c>
      <c r="K196" s="667">
        <f t="shared" si="56"/>
        <v>7.3950000000000002E-2</v>
      </c>
      <c r="L196" s="667">
        <f t="shared" si="56"/>
        <v>7.3950000000000002E-2</v>
      </c>
      <c r="M196" s="667">
        <f t="shared" si="56"/>
        <v>7.3950000000000002E-2</v>
      </c>
      <c r="N196" s="667">
        <f t="shared" si="56"/>
        <v>7.3950000000000002E-2</v>
      </c>
      <c r="O196" s="667">
        <f t="shared" si="56"/>
        <v>7.3950000000000002E-2</v>
      </c>
      <c r="P196" s="667">
        <f t="shared" si="56"/>
        <v>7.3950000000000002E-2</v>
      </c>
      <c r="Q196" s="667">
        <f t="shared" si="56"/>
        <v>7.3950000000000002E-2</v>
      </c>
      <c r="R196" s="667">
        <f t="shared" si="56"/>
        <v>7.3950000000000002E-2</v>
      </c>
      <c r="S196" s="667">
        <f t="shared" si="56"/>
        <v>7.3950000000000002E-2</v>
      </c>
      <c r="T196" s="667">
        <f t="shared" si="56"/>
        <v>7.3950000000000002E-2</v>
      </c>
      <c r="U196" s="667">
        <f t="shared" si="56"/>
        <v>7.3950000000000002E-2</v>
      </c>
      <c r="V196" s="667">
        <f t="shared" si="56"/>
        <v>7.3950000000000002E-2</v>
      </c>
      <c r="X196" s="307" t="s">
        <v>720</v>
      </c>
      <c r="Y196" s="359">
        <f t="shared" si="58"/>
        <v>1081.8181818181818</v>
      </c>
    </row>
    <row r="197" spans="2:36" s="19" customFormat="1" x14ac:dyDescent="0.25">
      <c r="B197" s="191" t="s">
        <v>78</v>
      </c>
      <c r="C197" s="191" t="s">
        <v>366</v>
      </c>
      <c r="D197" s="191"/>
      <c r="E197" s="191"/>
      <c r="F197" s="191" t="s">
        <v>433</v>
      </c>
      <c r="G197" s="660">
        <f t="shared" si="57"/>
        <v>5.9159999999999997E-2</v>
      </c>
      <c r="H197" s="667">
        <f t="shared" si="42"/>
        <v>5.9159999999999997E-2</v>
      </c>
      <c r="I197" s="667">
        <f t="shared" si="56"/>
        <v>5.9159999999999997E-2</v>
      </c>
      <c r="J197" s="667">
        <f t="shared" si="56"/>
        <v>5.9159999999999997E-2</v>
      </c>
      <c r="K197" s="667">
        <f t="shared" si="56"/>
        <v>5.9159999999999997E-2</v>
      </c>
      <c r="L197" s="667">
        <f t="shared" si="56"/>
        <v>5.9159999999999997E-2</v>
      </c>
      <c r="M197" s="667">
        <f t="shared" si="56"/>
        <v>5.9159999999999997E-2</v>
      </c>
      <c r="N197" s="667">
        <f t="shared" si="56"/>
        <v>5.9159999999999997E-2</v>
      </c>
      <c r="O197" s="667">
        <f t="shared" si="56"/>
        <v>5.9159999999999997E-2</v>
      </c>
      <c r="P197" s="667">
        <f t="shared" si="56"/>
        <v>5.9159999999999997E-2</v>
      </c>
      <c r="Q197" s="667">
        <f t="shared" si="56"/>
        <v>5.9159999999999997E-2</v>
      </c>
      <c r="R197" s="667">
        <f t="shared" si="56"/>
        <v>5.9159999999999997E-2</v>
      </c>
      <c r="S197" s="667">
        <f t="shared" si="56"/>
        <v>5.9159999999999997E-2</v>
      </c>
      <c r="T197" s="667">
        <f t="shared" si="56"/>
        <v>5.9159999999999997E-2</v>
      </c>
      <c r="U197" s="667">
        <f t="shared" si="56"/>
        <v>5.9159999999999997E-2</v>
      </c>
      <c r="V197" s="667">
        <f t="shared" si="56"/>
        <v>5.9159999999999997E-2</v>
      </c>
      <c r="X197" s="307" t="s">
        <v>720</v>
      </c>
      <c r="Y197" s="359">
        <f t="shared" si="58"/>
        <v>1352.2727272727273</v>
      </c>
    </row>
    <row r="198" spans="2:36" s="19" customFormat="1" x14ac:dyDescent="0.25">
      <c r="B198" s="191" t="s">
        <v>78</v>
      </c>
      <c r="C198" s="191" t="s">
        <v>367</v>
      </c>
      <c r="D198" s="191"/>
      <c r="E198" s="191"/>
      <c r="F198" s="191" t="s">
        <v>435</v>
      </c>
      <c r="G198" s="660">
        <f t="shared" si="57"/>
        <v>8.2339999999999997E-2</v>
      </c>
      <c r="H198" s="667">
        <f t="shared" si="42"/>
        <v>8.2339999999999997E-2</v>
      </c>
      <c r="I198" s="667">
        <f t="shared" si="56"/>
        <v>8.2339999999999997E-2</v>
      </c>
      <c r="J198" s="667">
        <f t="shared" si="56"/>
        <v>8.2339999999999997E-2</v>
      </c>
      <c r="K198" s="667">
        <f t="shared" si="56"/>
        <v>8.2339999999999997E-2</v>
      </c>
      <c r="L198" s="667">
        <f t="shared" ref="I198:V203" si="59">$H198</f>
        <v>8.2339999999999997E-2</v>
      </c>
      <c r="M198" s="667">
        <f t="shared" si="59"/>
        <v>8.2339999999999997E-2</v>
      </c>
      <c r="N198" s="667">
        <f t="shared" si="59"/>
        <v>8.2339999999999997E-2</v>
      </c>
      <c r="O198" s="667">
        <f t="shared" si="59"/>
        <v>8.2339999999999997E-2</v>
      </c>
      <c r="P198" s="667">
        <f t="shared" si="59"/>
        <v>8.2339999999999997E-2</v>
      </c>
      <c r="Q198" s="667">
        <f t="shared" si="59"/>
        <v>8.2339999999999997E-2</v>
      </c>
      <c r="R198" s="667">
        <f t="shared" si="59"/>
        <v>8.2339999999999997E-2</v>
      </c>
      <c r="S198" s="667">
        <f t="shared" si="59"/>
        <v>8.2339999999999997E-2</v>
      </c>
      <c r="T198" s="667">
        <f t="shared" si="59"/>
        <v>8.2339999999999997E-2</v>
      </c>
      <c r="U198" s="667">
        <f t="shared" si="59"/>
        <v>8.2339999999999997E-2</v>
      </c>
      <c r="V198" s="667">
        <f t="shared" si="59"/>
        <v>8.2339999999999997E-2</v>
      </c>
      <c r="X198" s="307" t="s">
        <v>723</v>
      </c>
      <c r="Y198" s="416">
        <f>Y192*0.95</f>
        <v>971.59090909090901</v>
      </c>
    </row>
    <row r="199" spans="2:36" s="19" customFormat="1" x14ac:dyDescent="0.25">
      <c r="B199" s="191" t="s">
        <v>78</v>
      </c>
      <c r="C199" s="191" t="s">
        <v>367</v>
      </c>
      <c r="D199" s="191"/>
      <c r="E199" s="191"/>
      <c r="F199" s="191" t="s">
        <v>433</v>
      </c>
      <c r="G199" s="660">
        <f t="shared" si="57"/>
        <v>6.5869999999999998E-2</v>
      </c>
      <c r="H199" s="667">
        <f t="shared" si="42"/>
        <v>6.5869999999999998E-2</v>
      </c>
      <c r="I199" s="667">
        <f t="shared" si="59"/>
        <v>6.5869999999999998E-2</v>
      </c>
      <c r="J199" s="667">
        <f t="shared" si="59"/>
        <v>6.5869999999999998E-2</v>
      </c>
      <c r="K199" s="667">
        <f t="shared" si="59"/>
        <v>6.5869999999999998E-2</v>
      </c>
      <c r="L199" s="667">
        <f t="shared" si="59"/>
        <v>6.5869999999999998E-2</v>
      </c>
      <c r="M199" s="667">
        <f t="shared" si="59"/>
        <v>6.5869999999999998E-2</v>
      </c>
      <c r="N199" s="667">
        <f t="shared" si="59"/>
        <v>6.5869999999999998E-2</v>
      </c>
      <c r="O199" s="667">
        <f t="shared" si="59"/>
        <v>6.5869999999999998E-2</v>
      </c>
      <c r="P199" s="667">
        <f t="shared" si="59"/>
        <v>6.5869999999999998E-2</v>
      </c>
      <c r="Q199" s="667">
        <f t="shared" si="59"/>
        <v>6.5869999999999998E-2</v>
      </c>
      <c r="R199" s="667">
        <f t="shared" si="59"/>
        <v>6.5869999999999998E-2</v>
      </c>
      <c r="S199" s="667">
        <f t="shared" si="59"/>
        <v>6.5869999999999998E-2</v>
      </c>
      <c r="T199" s="667">
        <f t="shared" si="59"/>
        <v>6.5869999999999998E-2</v>
      </c>
      <c r="U199" s="667">
        <f t="shared" si="59"/>
        <v>6.5869999999999998E-2</v>
      </c>
      <c r="V199" s="667">
        <f t="shared" si="59"/>
        <v>6.5869999999999998E-2</v>
      </c>
      <c r="X199" s="307" t="s">
        <v>723</v>
      </c>
      <c r="Y199" s="416">
        <f>Y193*0.95</f>
        <v>1214.4886363636363</v>
      </c>
    </row>
    <row r="200" spans="2:36" s="19" customFormat="1" x14ac:dyDescent="0.25">
      <c r="B200" s="191" t="s">
        <v>78</v>
      </c>
      <c r="C200" s="191" t="s">
        <v>368</v>
      </c>
      <c r="D200" s="191"/>
      <c r="E200" s="191"/>
      <c r="F200" s="191" t="s">
        <v>435</v>
      </c>
      <c r="G200" s="660">
        <f t="shared" si="57"/>
        <v>72.727270000000004</v>
      </c>
      <c r="H200" s="667">
        <f t="shared" si="42"/>
        <v>72.727270000000004</v>
      </c>
      <c r="I200" s="667">
        <f t="shared" si="59"/>
        <v>72.727270000000004</v>
      </c>
      <c r="J200" s="667">
        <f t="shared" si="59"/>
        <v>72.727270000000004</v>
      </c>
      <c r="K200" s="667">
        <f t="shared" si="59"/>
        <v>72.727270000000004</v>
      </c>
      <c r="L200" s="667">
        <f t="shared" si="59"/>
        <v>72.727270000000004</v>
      </c>
      <c r="M200" s="667">
        <f t="shared" si="59"/>
        <v>72.727270000000004</v>
      </c>
      <c r="N200" s="667">
        <f t="shared" si="59"/>
        <v>72.727270000000004</v>
      </c>
      <c r="O200" s="667">
        <f t="shared" si="59"/>
        <v>72.727270000000004</v>
      </c>
      <c r="P200" s="667">
        <f t="shared" si="59"/>
        <v>72.727270000000004</v>
      </c>
      <c r="Q200" s="667">
        <f t="shared" si="59"/>
        <v>72.727270000000004</v>
      </c>
      <c r="R200" s="667">
        <f t="shared" si="59"/>
        <v>72.727270000000004</v>
      </c>
      <c r="S200" s="667">
        <f t="shared" si="59"/>
        <v>72.727270000000004</v>
      </c>
      <c r="T200" s="667">
        <f t="shared" si="59"/>
        <v>72.727270000000004</v>
      </c>
      <c r="U200" s="667">
        <f t="shared" si="59"/>
        <v>72.727270000000004</v>
      </c>
      <c r="V200" s="667">
        <f t="shared" si="59"/>
        <v>72.727270000000004</v>
      </c>
      <c r="X200" s="307" t="s">
        <v>724</v>
      </c>
      <c r="Y200" s="438">
        <v>1.1000000000000001</v>
      </c>
    </row>
    <row r="201" spans="2:36" s="19" customFormat="1" x14ac:dyDescent="0.25">
      <c r="B201" s="546" t="s">
        <v>78</v>
      </c>
      <c r="C201" s="546" t="s">
        <v>368</v>
      </c>
      <c r="D201" s="546"/>
      <c r="E201" s="546"/>
      <c r="F201" s="546" t="s">
        <v>433</v>
      </c>
      <c r="G201" s="669">
        <f t="shared" si="57"/>
        <v>72.727270000000004</v>
      </c>
      <c r="H201" s="668">
        <f t="shared" si="42"/>
        <v>72.727270000000004</v>
      </c>
      <c r="I201" s="662">
        <f t="shared" si="59"/>
        <v>72.727270000000004</v>
      </c>
      <c r="J201" s="662">
        <f t="shared" si="59"/>
        <v>72.727270000000004</v>
      </c>
      <c r="K201" s="662">
        <f t="shared" si="59"/>
        <v>72.727270000000004</v>
      </c>
      <c r="L201" s="662">
        <f t="shared" si="59"/>
        <v>72.727270000000004</v>
      </c>
      <c r="M201" s="662">
        <f t="shared" si="59"/>
        <v>72.727270000000004</v>
      </c>
      <c r="N201" s="662">
        <f t="shared" si="59"/>
        <v>72.727270000000004</v>
      </c>
      <c r="O201" s="662">
        <f t="shared" si="59"/>
        <v>72.727270000000004</v>
      </c>
      <c r="P201" s="662">
        <f t="shared" si="59"/>
        <v>72.727270000000004</v>
      </c>
      <c r="Q201" s="662">
        <f t="shared" si="59"/>
        <v>72.727270000000004</v>
      </c>
      <c r="R201" s="662">
        <f t="shared" si="59"/>
        <v>72.727270000000004</v>
      </c>
      <c r="S201" s="662">
        <f t="shared" si="59"/>
        <v>72.727270000000004</v>
      </c>
      <c r="T201" s="662">
        <f t="shared" si="59"/>
        <v>72.727270000000004</v>
      </c>
      <c r="U201" s="662">
        <f t="shared" si="59"/>
        <v>72.727270000000004</v>
      </c>
      <c r="V201" s="662">
        <f t="shared" si="59"/>
        <v>72.727270000000004</v>
      </c>
      <c r="X201" s="547" t="s">
        <v>724</v>
      </c>
      <c r="Y201" s="575">
        <v>1.1000000000000001</v>
      </c>
      <c r="AD201"/>
      <c r="AE201"/>
      <c r="AF201" t="s">
        <v>679</v>
      </c>
      <c r="AG201" t="s">
        <v>695</v>
      </c>
      <c r="AH201" t="s">
        <v>696</v>
      </c>
      <c r="AI201" t="s">
        <v>697</v>
      </c>
      <c r="AJ201" t="s">
        <v>698</v>
      </c>
    </row>
    <row r="202" spans="2:36" s="19" customFormat="1" x14ac:dyDescent="0.25">
      <c r="B202" s="191" t="s">
        <v>78</v>
      </c>
      <c r="C202" s="191" t="s">
        <v>369</v>
      </c>
      <c r="D202" s="191"/>
      <c r="E202" s="191"/>
      <c r="F202" s="191" t="s">
        <v>439</v>
      </c>
      <c r="G202" s="660">
        <f t="shared" si="57"/>
        <v>6.4000000000000001E-2</v>
      </c>
      <c r="H202" s="667">
        <f t="shared" si="42"/>
        <v>6.4000000000000001E-2</v>
      </c>
      <c r="I202" s="667">
        <f t="shared" si="59"/>
        <v>6.4000000000000001E-2</v>
      </c>
      <c r="J202" s="667">
        <f t="shared" si="59"/>
        <v>6.4000000000000001E-2</v>
      </c>
      <c r="K202" s="667">
        <f t="shared" si="59"/>
        <v>6.4000000000000001E-2</v>
      </c>
      <c r="L202" s="667">
        <f t="shared" si="59"/>
        <v>6.4000000000000001E-2</v>
      </c>
      <c r="M202" s="667">
        <f t="shared" si="59"/>
        <v>6.4000000000000001E-2</v>
      </c>
      <c r="N202" s="667">
        <f t="shared" si="59"/>
        <v>6.4000000000000001E-2</v>
      </c>
      <c r="O202" s="667">
        <f t="shared" si="59"/>
        <v>6.4000000000000001E-2</v>
      </c>
      <c r="P202" s="667">
        <f t="shared" si="59"/>
        <v>6.4000000000000001E-2</v>
      </c>
      <c r="Q202" s="667">
        <f t="shared" si="59"/>
        <v>6.4000000000000001E-2</v>
      </c>
      <c r="R202" s="667">
        <f t="shared" si="59"/>
        <v>6.4000000000000001E-2</v>
      </c>
      <c r="S202" s="667">
        <f t="shared" si="59"/>
        <v>6.4000000000000001E-2</v>
      </c>
      <c r="T202" s="667">
        <f t="shared" si="59"/>
        <v>6.4000000000000001E-2</v>
      </c>
      <c r="U202" s="667">
        <f t="shared" si="59"/>
        <v>6.4000000000000001E-2</v>
      </c>
      <c r="V202" s="667">
        <f t="shared" si="59"/>
        <v>6.4000000000000001E-2</v>
      </c>
      <c r="X202" s="307" t="s">
        <v>699</v>
      </c>
      <c r="Y202" s="359">
        <f>Y204</f>
        <v>1250</v>
      </c>
      <c r="AD202" t="str">
        <f>MID(C202, 1, 7)</f>
        <v>TFREBDL</v>
      </c>
      <c r="AE202" t="str">
        <f>MID(F202, 1, 4)</f>
        <v>TFRL</v>
      </c>
      <c r="AF202">
        <f>Y202</f>
        <v>1250</v>
      </c>
      <c r="AG202" s="105">
        <f>AF202/10/3.6</f>
        <v>34.722222222222221</v>
      </c>
      <c r="AH202">
        <v>9.8000000000000007</v>
      </c>
      <c r="AI202" s="105">
        <f>AG202/AH202</f>
        <v>3.5430839002267569</v>
      </c>
      <c r="AJ202" s="732">
        <f>AI202*$G$154</f>
        <v>4.428854875283446</v>
      </c>
    </row>
    <row r="203" spans="2:36" s="19" customFormat="1" x14ac:dyDescent="0.25">
      <c r="B203" s="191" t="s">
        <v>78</v>
      </c>
      <c r="C203" s="191" t="s">
        <v>369</v>
      </c>
      <c r="D203" s="191"/>
      <c r="E203" s="191"/>
      <c r="F203" s="191" t="s">
        <v>437</v>
      </c>
      <c r="G203" s="660">
        <f t="shared" si="57"/>
        <v>5.1200000000000002E-2</v>
      </c>
      <c r="H203" s="667">
        <f t="shared" si="42"/>
        <v>5.1200000000000002E-2</v>
      </c>
      <c r="I203" s="667">
        <f t="shared" si="59"/>
        <v>5.1200000000000002E-2</v>
      </c>
      <c r="J203" s="667">
        <f t="shared" si="59"/>
        <v>5.1200000000000002E-2</v>
      </c>
      <c r="K203" s="667">
        <f t="shared" si="59"/>
        <v>5.1200000000000002E-2</v>
      </c>
      <c r="L203" s="667">
        <f t="shared" si="59"/>
        <v>5.1200000000000002E-2</v>
      </c>
      <c r="M203" s="667">
        <f t="shared" si="59"/>
        <v>5.1200000000000002E-2</v>
      </c>
      <c r="N203" s="667">
        <f t="shared" si="59"/>
        <v>5.1200000000000002E-2</v>
      </c>
      <c r="O203" s="667">
        <f t="shared" si="59"/>
        <v>5.1200000000000002E-2</v>
      </c>
      <c r="P203" s="667">
        <f t="shared" si="59"/>
        <v>5.1200000000000002E-2</v>
      </c>
      <c r="Q203" s="667">
        <f t="shared" si="59"/>
        <v>5.1200000000000002E-2</v>
      </c>
      <c r="R203" s="667">
        <f t="shared" si="59"/>
        <v>5.1200000000000002E-2</v>
      </c>
      <c r="S203" s="667">
        <f t="shared" si="59"/>
        <v>5.1200000000000002E-2</v>
      </c>
      <c r="T203" s="667">
        <f t="shared" si="59"/>
        <v>5.1200000000000002E-2</v>
      </c>
      <c r="U203" s="667">
        <f t="shared" si="59"/>
        <v>5.1200000000000002E-2</v>
      </c>
      <c r="V203" s="667">
        <f t="shared" si="59"/>
        <v>5.1200000000000002E-2</v>
      </c>
      <c r="X203" s="307" t="s">
        <v>725</v>
      </c>
      <c r="Y203" s="359">
        <f>Y202*1.25</f>
        <v>1562.5</v>
      </c>
      <c r="AD203" t="str">
        <f>MID(C203, 1, 7)</f>
        <v>TFREBDL</v>
      </c>
      <c r="AE203" t="str">
        <f t="shared" ref="AE203:AE221" si="60">MID(F203, 1, 4)</f>
        <v>TFRS</v>
      </c>
      <c r="AF203">
        <f>Y203</f>
        <v>1562.5</v>
      </c>
      <c r="AG203" s="105">
        <f t="shared" ref="AG203:AG223" si="61">AF203/10/3.6</f>
        <v>43.402777777777779</v>
      </c>
      <c r="AH203">
        <v>9.8000000000000007</v>
      </c>
      <c r="AI203" s="105">
        <f>AG203/AH203</f>
        <v>4.4288548752834469</v>
      </c>
      <c r="AJ203" s="732">
        <f t="shared" ref="AJ203:AJ223" si="62">AI203*$G$154</f>
        <v>5.5360685941043091</v>
      </c>
    </row>
    <row r="204" spans="2:36" x14ac:dyDescent="0.25">
      <c r="B204" s="191" t="s">
        <v>78</v>
      </c>
      <c r="C204" s="191" t="s">
        <v>370</v>
      </c>
      <c r="D204" s="191"/>
      <c r="E204" s="191"/>
      <c r="F204" s="191" t="s">
        <v>439</v>
      </c>
      <c r="G204" s="665">
        <f t="shared" si="57"/>
        <v>6.4000000000000001E-2</v>
      </c>
      <c r="H204" s="667">
        <f t="shared" si="42"/>
        <v>6.4000000000000001E-2</v>
      </c>
      <c r="I204" s="667">
        <f t="shared" si="49"/>
        <v>6.4000000000000001E-2</v>
      </c>
      <c r="J204" s="667">
        <f t="shared" si="54"/>
        <v>6.4000000000000001E-2</v>
      </c>
      <c r="K204" s="667">
        <f t="shared" si="54"/>
        <v>6.4000000000000001E-2</v>
      </c>
      <c r="L204" s="667">
        <f t="shared" si="54"/>
        <v>6.4000000000000001E-2</v>
      </c>
      <c r="M204" s="667">
        <f t="shared" si="54"/>
        <v>6.4000000000000001E-2</v>
      </c>
      <c r="N204" s="667">
        <f t="shared" si="54"/>
        <v>6.4000000000000001E-2</v>
      </c>
      <c r="O204" s="667">
        <f t="shared" si="54"/>
        <v>6.4000000000000001E-2</v>
      </c>
      <c r="P204" s="667">
        <f t="shared" si="54"/>
        <v>6.4000000000000001E-2</v>
      </c>
      <c r="Q204" s="667">
        <f t="shared" si="54"/>
        <v>6.4000000000000001E-2</v>
      </c>
      <c r="R204" s="667">
        <f t="shared" si="54"/>
        <v>6.4000000000000001E-2</v>
      </c>
      <c r="S204" s="667">
        <f t="shared" si="54"/>
        <v>6.4000000000000001E-2</v>
      </c>
      <c r="T204" s="667">
        <f t="shared" si="54"/>
        <v>6.4000000000000001E-2</v>
      </c>
      <c r="U204" s="667">
        <f t="shared" si="54"/>
        <v>6.4000000000000001E-2</v>
      </c>
      <c r="V204" s="667">
        <f t="shared" si="54"/>
        <v>6.4000000000000001E-2</v>
      </c>
      <c r="X204" s="307" t="s">
        <v>699</v>
      </c>
      <c r="Y204" s="359">
        <v>1250</v>
      </c>
      <c r="AA204" s="107" t="s">
        <v>700</v>
      </c>
      <c r="AB204" s="108">
        <v>1080</v>
      </c>
      <c r="AD204" t="str">
        <f t="shared" ref="AD204:AD221" si="63">MID(C204, 1, 7)</f>
        <v>TFREDST</v>
      </c>
      <c r="AE204" t="str">
        <f t="shared" si="60"/>
        <v>TFRL</v>
      </c>
      <c r="AF204">
        <f t="shared" ref="AF204:AF221" si="64">Y204</f>
        <v>1250</v>
      </c>
      <c r="AG204" s="105">
        <f t="shared" si="61"/>
        <v>34.722222222222221</v>
      </c>
      <c r="AH204">
        <v>9.8000000000000007</v>
      </c>
      <c r="AI204" s="105">
        <f t="shared" ref="AI204:AI205" si="65">AG204/AH204</f>
        <v>3.5430839002267569</v>
      </c>
      <c r="AJ204" s="732">
        <f t="shared" si="62"/>
        <v>4.428854875283446</v>
      </c>
    </row>
    <row r="205" spans="2:36" ht="14.25" customHeight="1" x14ac:dyDescent="0.25">
      <c r="B205" s="191" t="s">
        <v>78</v>
      </c>
      <c r="C205" s="191" t="s">
        <v>370</v>
      </c>
      <c r="D205" s="191"/>
      <c r="E205" s="191"/>
      <c r="F205" s="191" t="s">
        <v>437</v>
      </c>
      <c r="G205" s="665">
        <f t="shared" si="57"/>
        <v>5.1200000000000002E-2</v>
      </c>
      <c r="H205" s="667">
        <f t="shared" si="42"/>
        <v>5.1200000000000002E-2</v>
      </c>
      <c r="I205" s="667">
        <f t="shared" si="49"/>
        <v>5.1200000000000002E-2</v>
      </c>
      <c r="J205" s="667">
        <f t="shared" si="54"/>
        <v>5.1200000000000002E-2</v>
      </c>
      <c r="K205" s="667">
        <f t="shared" si="54"/>
        <v>5.1200000000000002E-2</v>
      </c>
      <c r="L205" s="667">
        <f t="shared" si="54"/>
        <v>5.1200000000000002E-2</v>
      </c>
      <c r="M205" s="667">
        <f t="shared" si="54"/>
        <v>5.1200000000000002E-2</v>
      </c>
      <c r="N205" s="667">
        <f t="shared" si="54"/>
        <v>5.1200000000000002E-2</v>
      </c>
      <c r="O205" s="667">
        <f t="shared" si="54"/>
        <v>5.1200000000000002E-2</v>
      </c>
      <c r="P205" s="667">
        <f t="shared" si="54"/>
        <v>5.1200000000000002E-2</v>
      </c>
      <c r="Q205" s="667">
        <f t="shared" si="54"/>
        <v>5.1200000000000002E-2</v>
      </c>
      <c r="R205" s="667">
        <f t="shared" si="54"/>
        <v>5.1200000000000002E-2</v>
      </c>
      <c r="S205" s="667">
        <f t="shared" si="54"/>
        <v>5.1200000000000002E-2</v>
      </c>
      <c r="T205" s="667">
        <f t="shared" si="54"/>
        <v>5.1200000000000002E-2</v>
      </c>
      <c r="U205" s="667">
        <f t="shared" si="54"/>
        <v>5.1200000000000002E-2</v>
      </c>
      <c r="V205" s="667">
        <f t="shared" si="54"/>
        <v>5.1200000000000002E-2</v>
      </c>
      <c r="X205" s="307" t="s">
        <v>725</v>
      </c>
      <c r="Y205" s="359">
        <f>Y204*1.25</f>
        <v>1562.5</v>
      </c>
      <c r="AA205" s="107" t="s">
        <v>700</v>
      </c>
      <c r="AB205" s="108">
        <v>1080</v>
      </c>
      <c r="AD205" t="str">
        <f t="shared" si="63"/>
        <v>TFREDST</v>
      </c>
      <c r="AE205" t="str">
        <f t="shared" si="60"/>
        <v>TFRS</v>
      </c>
      <c r="AF205">
        <f t="shared" si="64"/>
        <v>1562.5</v>
      </c>
      <c r="AG205" s="105">
        <f t="shared" si="61"/>
        <v>43.402777777777779</v>
      </c>
      <c r="AH205">
        <v>9.8000000000000007</v>
      </c>
      <c r="AI205" s="105">
        <f t="shared" si="65"/>
        <v>4.4288548752834469</v>
      </c>
      <c r="AJ205" s="732">
        <f t="shared" si="62"/>
        <v>5.5360685941043091</v>
      </c>
    </row>
    <row r="206" spans="2:36" s="23" customFormat="1" x14ac:dyDescent="0.25">
      <c r="B206" s="420" t="s">
        <v>78</v>
      </c>
      <c r="C206" s="420" t="s">
        <v>371</v>
      </c>
      <c r="D206" s="420"/>
      <c r="E206" s="420"/>
      <c r="F206" s="420" t="s">
        <v>439</v>
      </c>
      <c r="G206" s="660">
        <f t="shared" si="57"/>
        <v>72.727270000000004</v>
      </c>
      <c r="H206" s="670">
        <f t="shared" si="42"/>
        <v>72.727270000000004</v>
      </c>
      <c r="I206" s="670">
        <f t="shared" ref="I206:V207" si="66">$H206</f>
        <v>72.727270000000004</v>
      </c>
      <c r="J206" s="670">
        <f t="shared" si="66"/>
        <v>72.727270000000004</v>
      </c>
      <c r="K206" s="670">
        <f t="shared" si="66"/>
        <v>72.727270000000004</v>
      </c>
      <c r="L206" s="670">
        <f t="shared" si="66"/>
        <v>72.727270000000004</v>
      </c>
      <c r="M206" s="670">
        <f t="shared" si="66"/>
        <v>72.727270000000004</v>
      </c>
      <c r="N206" s="670">
        <f t="shared" si="66"/>
        <v>72.727270000000004</v>
      </c>
      <c r="O206" s="670">
        <f t="shared" si="66"/>
        <v>72.727270000000004</v>
      </c>
      <c r="P206" s="670">
        <f t="shared" si="66"/>
        <v>72.727270000000004</v>
      </c>
      <c r="Q206" s="670">
        <f t="shared" si="66"/>
        <v>72.727270000000004</v>
      </c>
      <c r="R206" s="670">
        <f t="shared" si="66"/>
        <v>72.727270000000004</v>
      </c>
      <c r="S206" s="670">
        <f t="shared" si="66"/>
        <v>72.727270000000004</v>
      </c>
      <c r="T206" s="670">
        <f t="shared" si="66"/>
        <v>72.727270000000004</v>
      </c>
      <c r="U206" s="670">
        <f t="shared" si="66"/>
        <v>72.727270000000004</v>
      </c>
      <c r="V206" s="670">
        <f t="shared" si="66"/>
        <v>72.727270000000004</v>
      </c>
      <c r="X206" s="644" t="s">
        <v>715</v>
      </c>
      <c r="Y206" s="415">
        <v>1.1000000000000001</v>
      </c>
      <c r="AA206" s="647"/>
      <c r="AB206" s="648"/>
      <c r="AD206" t="str">
        <f t="shared" si="63"/>
        <v>TFREELC</v>
      </c>
      <c r="AE206" t="str">
        <f t="shared" si="60"/>
        <v>TFRL</v>
      </c>
      <c r="AF206">
        <f t="shared" si="64"/>
        <v>1.1000000000000001</v>
      </c>
      <c r="AG206" s="105">
        <f t="shared" si="61"/>
        <v>3.0555555555555558E-2</v>
      </c>
      <c r="AI206" s="105"/>
      <c r="AJ206" s="732"/>
    </row>
    <row r="207" spans="2:36" s="23" customFormat="1" x14ac:dyDescent="0.25">
      <c r="B207" s="420" t="s">
        <v>78</v>
      </c>
      <c r="C207" s="420" t="s">
        <v>371</v>
      </c>
      <c r="D207" s="420"/>
      <c r="E207" s="420"/>
      <c r="F207" s="420" t="s">
        <v>437</v>
      </c>
      <c r="G207" s="660">
        <f t="shared" si="57"/>
        <v>72.727270000000004</v>
      </c>
      <c r="H207" s="670">
        <f t="shared" si="42"/>
        <v>72.727270000000004</v>
      </c>
      <c r="I207" s="670">
        <f t="shared" si="66"/>
        <v>72.727270000000004</v>
      </c>
      <c r="J207" s="670">
        <f t="shared" si="66"/>
        <v>72.727270000000004</v>
      </c>
      <c r="K207" s="670">
        <f t="shared" si="66"/>
        <v>72.727270000000004</v>
      </c>
      <c r="L207" s="670">
        <f t="shared" si="66"/>
        <v>72.727270000000004</v>
      </c>
      <c r="M207" s="670">
        <f t="shared" si="66"/>
        <v>72.727270000000004</v>
      </c>
      <c r="N207" s="670">
        <f t="shared" si="66"/>
        <v>72.727270000000004</v>
      </c>
      <c r="O207" s="670">
        <f t="shared" si="66"/>
        <v>72.727270000000004</v>
      </c>
      <c r="P207" s="670">
        <f t="shared" si="66"/>
        <v>72.727270000000004</v>
      </c>
      <c r="Q207" s="670">
        <f t="shared" si="66"/>
        <v>72.727270000000004</v>
      </c>
      <c r="R207" s="670">
        <f t="shared" si="66"/>
        <v>72.727270000000004</v>
      </c>
      <c r="S207" s="670">
        <f t="shared" si="66"/>
        <v>72.727270000000004</v>
      </c>
      <c r="T207" s="670">
        <f t="shared" si="66"/>
        <v>72.727270000000004</v>
      </c>
      <c r="U207" s="670">
        <f t="shared" si="66"/>
        <v>72.727270000000004</v>
      </c>
      <c r="V207" s="670">
        <f t="shared" si="66"/>
        <v>72.727270000000004</v>
      </c>
      <c r="X207" s="644" t="s">
        <v>715</v>
      </c>
      <c r="Y207" s="415">
        <v>1.1000000000000001</v>
      </c>
      <c r="AA207" s="647"/>
      <c r="AB207" s="648"/>
      <c r="AD207" t="str">
        <f t="shared" si="63"/>
        <v>TFREELC</v>
      </c>
      <c r="AE207" t="str">
        <f t="shared" si="60"/>
        <v>TFRS</v>
      </c>
      <c r="AF207">
        <f t="shared" si="64"/>
        <v>1.1000000000000001</v>
      </c>
      <c r="AG207" s="105">
        <f t="shared" si="61"/>
        <v>3.0555555555555558E-2</v>
      </c>
      <c r="AI207" s="105"/>
      <c r="AJ207" s="732"/>
    </row>
    <row r="208" spans="2:36" x14ac:dyDescent="0.25">
      <c r="B208" s="191" t="s">
        <v>78</v>
      </c>
      <c r="C208" s="191" t="s">
        <v>372</v>
      </c>
      <c r="D208" s="191"/>
      <c r="E208" s="191"/>
      <c r="F208" s="191" t="s">
        <v>439</v>
      </c>
      <c r="G208" s="660">
        <f t="shared" si="57"/>
        <v>6.4000000000000001E-2</v>
      </c>
      <c r="H208" s="667">
        <f t="shared" si="42"/>
        <v>6.4000000000000001E-2</v>
      </c>
      <c r="I208" s="667">
        <f t="shared" si="49"/>
        <v>6.4000000000000001E-2</v>
      </c>
      <c r="J208" s="667">
        <f t="shared" si="54"/>
        <v>6.4000000000000001E-2</v>
      </c>
      <c r="K208" s="667">
        <f t="shared" si="54"/>
        <v>6.4000000000000001E-2</v>
      </c>
      <c r="L208" s="667">
        <f t="shared" si="54"/>
        <v>6.4000000000000001E-2</v>
      </c>
      <c r="M208" s="667">
        <f t="shared" si="54"/>
        <v>6.4000000000000001E-2</v>
      </c>
      <c r="N208" s="667">
        <f t="shared" si="54"/>
        <v>6.4000000000000001E-2</v>
      </c>
      <c r="O208" s="667">
        <f t="shared" si="54"/>
        <v>6.4000000000000001E-2</v>
      </c>
      <c r="P208" s="667">
        <f t="shared" si="54"/>
        <v>6.4000000000000001E-2</v>
      </c>
      <c r="Q208" s="667">
        <f t="shared" si="54"/>
        <v>6.4000000000000001E-2</v>
      </c>
      <c r="R208" s="667">
        <f t="shared" si="54"/>
        <v>6.4000000000000001E-2</v>
      </c>
      <c r="S208" s="667">
        <f t="shared" si="54"/>
        <v>6.4000000000000001E-2</v>
      </c>
      <c r="T208" s="667">
        <f t="shared" si="54"/>
        <v>6.4000000000000001E-2</v>
      </c>
      <c r="U208" s="667">
        <f t="shared" si="54"/>
        <v>6.4000000000000001E-2</v>
      </c>
      <c r="V208" s="667">
        <f t="shared" si="54"/>
        <v>6.4000000000000001E-2</v>
      </c>
      <c r="X208" s="307" t="s">
        <v>726</v>
      </c>
      <c r="Y208" s="359">
        <f>Y204</f>
        <v>1250</v>
      </c>
      <c r="AA208" s="107" t="s">
        <v>700</v>
      </c>
      <c r="AB208" s="108">
        <v>1190</v>
      </c>
      <c r="AD208" t="str">
        <f t="shared" si="63"/>
        <v>TFREETH</v>
      </c>
      <c r="AE208" t="str">
        <f t="shared" si="60"/>
        <v>TFRL</v>
      </c>
      <c r="AF208">
        <f t="shared" si="64"/>
        <v>1250</v>
      </c>
      <c r="AG208" s="105">
        <f t="shared" si="61"/>
        <v>34.722222222222221</v>
      </c>
      <c r="AH208">
        <v>5.83</v>
      </c>
      <c r="AI208" s="105">
        <f t="shared" ref="AI208:AI209" si="67">AG208/AH208</f>
        <v>5.9557842576710502</v>
      </c>
      <c r="AJ208" s="732">
        <f t="shared" si="62"/>
        <v>7.4447303220888124</v>
      </c>
    </row>
    <row r="209" spans="2:36" x14ac:dyDescent="0.25">
      <c r="B209" s="191" t="s">
        <v>78</v>
      </c>
      <c r="C209" s="191" t="s">
        <v>372</v>
      </c>
      <c r="D209" s="191"/>
      <c r="E209" s="191"/>
      <c r="F209" s="191" t="s">
        <v>437</v>
      </c>
      <c r="G209" s="660">
        <f t="shared" si="57"/>
        <v>5.1200000000000002E-2</v>
      </c>
      <c r="H209" s="667">
        <f t="shared" si="42"/>
        <v>5.1200000000000002E-2</v>
      </c>
      <c r="I209" s="667">
        <f t="shared" si="49"/>
        <v>5.1200000000000002E-2</v>
      </c>
      <c r="J209" s="667">
        <f t="shared" si="54"/>
        <v>5.1200000000000002E-2</v>
      </c>
      <c r="K209" s="667">
        <f t="shared" si="54"/>
        <v>5.1200000000000002E-2</v>
      </c>
      <c r="L209" s="667">
        <f t="shared" si="54"/>
        <v>5.1200000000000002E-2</v>
      </c>
      <c r="M209" s="667">
        <f t="shared" si="54"/>
        <v>5.1200000000000002E-2</v>
      </c>
      <c r="N209" s="667">
        <f t="shared" si="54"/>
        <v>5.1200000000000002E-2</v>
      </c>
      <c r="O209" s="667">
        <f t="shared" si="54"/>
        <v>5.1200000000000002E-2</v>
      </c>
      <c r="P209" s="667">
        <f t="shared" si="54"/>
        <v>5.1200000000000002E-2</v>
      </c>
      <c r="Q209" s="667">
        <f t="shared" si="54"/>
        <v>5.1200000000000002E-2</v>
      </c>
      <c r="R209" s="667">
        <f t="shared" si="54"/>
        <v>5.1200000000000002E-2</v>
      </c>
      <c r="S209" s="667">
        <f t="shared" si="54"/>
        <v>5.1200000000000002E-2</v>
      </c>
      <c r="T209" s="667">
        <f t="shared" si="54"/>
        <v>5.1200000000000002E-2</v>
      </c>
      <c r="U209" s="667">
        <f t="shared" si="54"/>
        <v>5.1200000000000002E-2</v>
      </c>
      <c r="V209" s="667">
        <f t="shared" si="54"/>
        <v>5.1200000000000002E-2</v>
      </c>
      <c r="X209" s="307" t="s">
        <v>725</v>
      </c>
      <c r="Y209" s="359">
        <f>Y205</f>
        <v>1562.5</v>
      </c>
      <c r="AA209" s="107" t="s">
        <v>700</v>
      </c>
      <c r="AB209" s="108">
        <v>1190</v>
      </c>
      <c r="AD209" t="str">
        <f t="shared" si="63"/>
        <v>TFREETH</v>
      </c>
      <c r="AE209" t="str">
        <f t="shared" si="60"/>
        <v>TFRS</v>
      </c>
      <c r="AF209">
        <f t="shared" si="64"/>
        <v>1562.5</v>
      </c>
      <c r="AG209" s="105">
        <f t="shared" si="61"/>
        <v>43.402777777777779</v>
      </c>
      <c r="AH209">
        <v>5.83</v>
      </c>
      <c r="AI209" s="105">
        <f t="shared" si="67"/>
        <v>7.4447303220888124</v>
      </c>
      <c r="AJ209" s="732">
        <f t="shared" si="62"/>
        <v>9.3059129026110163</v>
      </c>
    </row>
    <row r="210" spans="2:36" x14ac:dyDescent="0.25">
      <c r="B210" s="191" t="s">
        <v>78</v>
      </c>
      <c r="C210" s="191" t="s">
        <v>373</v>
      </c>
      <c r="D210" s="191"/>
      <c r="E210" s="191"/>
      <c r="F210" s="191" t="s">
        <v>439</v>
      </c>
      <c r="G210" s="660">
        <f t="shared" si="57"/>
        <v>5.7140000000000003E-2</v>
      </c>
      <c r="H210" s="667">
        <f t="shared" si="42"/>
        <v>5.7140000000000003E-2</v>
      </c>
      <c r="I210" s="667">
        <f t="shared" si="49"/>
        <v>5.7140000000000003E-2</v>
      </c>
      <c r="J210" s="667">
        <f t="shared" si="54"/>
        <v>5.7140000000000003E-2</v>
      </c>
      <c r="K210" s="667">
        <f t="shared" si="54"/>
        <v>5.7140000000000003E-2</v>
      </c>
      <c r="L210" s="667">
        <f t="shared" si="54"/>
        <v>5.7140000000000003E-2</v>
      </c>
      <c r="M210" s="667">
        <f t="shared" si="54"/>
        <v>5.7140000000000003E-2</v>
      </c>
      <c r="N210" s="667">
        <f t="shared" si="54"/>
        <v>5.7140000000000003E-2</v>
      </c>
      <c r="O210" s="667">
        <f t="shared" si="54"/>
        <v>5.7140000000000003E-2</v>
      </c>
      <c r="P210" s="667">
        <f t="shared" si="54"/>
        <v>5.7140000000000003E-2</v>
      </c>
      <c r="Q210" s="667">
        <f t="shared" si="54"/>
        <v>5.7140000000000003E-2</v>
      </c>
      <c r="R210" s="667">
        <f t="shared" si="54"/>
        <v>5.7140000000000003E-2</v>
      </c>
      <c r="S210" s="667">
        <f t="shared" si="54"/>
        <v>5.7140000000000003E-2</v>
      </c>
      <c r="T210" s="667">
        <f t="shared" si="54"/>
        <v>5.7140000000000003E-2</v>
      </c>
      <c r="U210" s="667">
        <f t="shared" si="54"/>
        <v>5.7140000000000003E-2</v>
      </c>
      <c r="V210" s="667">
        <f t="shared" si="54"/>
        <v>5.7140000000000003E-2</v>
      </c>
      <c r="X210" s="307" t="s">
        <v>699</v>
      </c>
      <c r="Y210" s="359">
        <v>1400</v>
      </c>
      <c r="AA210" s="107"/>
      <c r="AB210" s="108">
        <v>1300</v>
      </c>
      <c r="AD210" t="str">
        <f t="shared" si="63"/>
        <v>TFREGAS</v>
      </c>
      <c r="AE210" t="str">
        <f t="shared" si="60"/>
        <v>TFRL</v>
      </c>
      <c r="AF210">
        <f t="shared" si="64"/>
        <v>1400</v>
      </c>
      <c r="AG210" s="105">
        <f t="shared" si="61"/>
        <v>38.888888888888886</v>
      </c>
      <c r="AH210">
        <v>9.6999999999999993</v>
      </c>
      <c r="AI210" s="105">
        <f t="shared" ref="AI210:AI221" si="68">AG210/AH210</f>
        <v>4.0091638029782359</v>
      </c>
      <c r="AJ210" s="732">
        <f t="shared" si="62"/>
        <v>5.0114547537227949</v>
      </c>
    </row>
    <row r="211" spans="2:36" x14ac:dyDescent="0.25">
      <c r="B211" s="191" t="s">
        <v>78</v>
      </c>
      <c r="C211" s="191" t="s">
        <v>373</v>
      </c>
      <c r="D211" s="191"/>
      <c r="E211" s="191"/>
      <c r="F211" s="191" t="s">
        <v>437</v>
      </c>
      <c r="G211" s="660">
        <f t="shared" si="57"/>
        <v>4.5710000000000001E-2</v>
      </c>
      <c r="H211" s="667">
        <f t="shared" si="42"/>
        <v>4.5710000000000001E-2</v>
      </c>
      <c r="I211" s="667">
        <f t="shared" si="49"/>
        <v>4.5710000000000001E-2</v>
      </c>
      <c r="J211" s="667">
        <f t="shared" si="54"/>
        <v>4.5710000000000001E-2</v>
      </c>
      <c r="K211" s="667">
        <f t="shared" si="54"/>
        <v>4.5710000000000001E-2</v>
      </c>
      <c r="L211" s="667">
        <f t="shared" si="54"/>
        <v>4.5710000000000001E-2</v>
      </c>
      <c r="M211" s="667">
        <f t="shared" si="54"/>
        <v>4.5710000000000001E-2</v>
      </c>
      <c r="N211" s="667">
        <f t="shared" si="54"/>
        <v>4.5710000000000001E-2</v>
      </c>
      <c r="O211" s="667">
        <f t="shared" si="54"/>
        <v>4.5710000000000001E-2</v>
      </c>
      <c r="P211" s="667">
        <f t="shared" si="54"/>
        <v>4.5710000000000001E-2</v>
      </c>
      <c r="Q211" s="667">
        <f t="shared" si="54"/>
        <v>4.5710000000000001E-2</v>
      </c>
      <c r="R211" s="667">
        <f t="shared" si="54"/>
        <v>4.5710000000000001E-2</v>
      </c>
      <c r="S211" s="667">
        <f t="shared" si="54"/>
        <v>4.5710000000000001E-2</v>
      </c>
      <c r="T211" s="667">
        <f t="shared" si="54"/>
        <v>4.5710000000000001E-2</v>
      </c>
      <c r="U211" s="667">
        <f t="shared" si="54"/>
        <v>4.5710000000000001E-2</v>
      </c>
      <c r="V211" s="667">
        <f t="shared" si="54"/>
        <v>4.5710000000000001E-2</v>
      </c>
      <c r="X211" s="307" t="s">
        <v>725</v>
      </c>
      <c r="Y211" s="359">
        <f>Y210*1.25</f>
        <v>1750</v>
      </c>
      <c r="AA211" s="107"/>
      <c r="AB211" s="108">
        <v>1300</v>
      </c>
      <c r="AD211" t="str">
        <f t="shared" si="63"/>
        <v>TFREGAS</v>
      </c>
      <c r="AE211" t="str">
        <f t="shared" si="60"/>
        <v>TFRS</v>
      </c>
      <c r="AF211">
        <f t="shared" si="64"/>
        <v>1750</v>
      </c>
      <c r="AG211" s="105">
        <f t="shared" si="61"/>
        <v>48.611111111111107</v>
      </c>
      <c r="AH211">
        <v>9.6999999999999993</v>
      </c>
      <c r="AI211" s="105">
        <f t="shared" si="68"/>
        <v>5.0114547537227949</v>
      </c>
      <c r="AJ211" s="732">
        <f t="shared" si="62"/>
        <v>6.2643184421534936</v>
      </c>
    </row>
    <row r="212" spans="2:36" x14ac:dyDescent="0.25">
      <c r="B212" s="191" t="s">
        <v>78</v>
      </c>
      <c r="C212" s="191" t="s">
        <v>374</v>
      </c>
      <c r="D212" s="191"/>
      <c r="E212" s="191"/>
      <c r="F212" s="191" t="s">
        <v>439</v>
      </c>
      <c r="G212" s="660">
        <f t="shared" si="57"/>
        <v>6.7229999999999998E-2</v>
      </c>
      <c r="H212" s="667">
        <f t="shared" si="42"/>
        <v>6.7229999999999998E-2</v>
      </c>
      <c r="I212" s="667">
        <f t="shared" si="49"/>
        <v>6.7229999999999998E-2</v>
      </c>
      <c r="J212" s="667">
        <f t="shared" si="54"/>
        <v>6.7229999999999998E-2</v>
      </c>
      <c r="K212" s="667">
        <f t="shared" si="54"/>
        <v>6.7229999999999998E-2</v>
      </c>
      <c r="L212" s="667">
        <f t="shared" si="54"/>
        <v>6.7229999999999998E-2</v>
      </c>
      <c r="M212" s="667">
        <f t="shared" si="54"/>
        <v>6.7229999999999998E-2</v>
      </c>
      <c r="N212" s="667">
        <f t="shared" si="54"/>
        <v>6.7229999999999998E-2</v>
      </c>
      <c r="O212" s="667">
        <f t="shared" si="54"/>
        <v>6.7229999999999998E-2</v>
      </c>
      <c r="P212" s="667">
        <f t="shared" si="54"/>
        <v>6.7229999999999998E-2</v>
      </c>
      <c r="Q212" s="667">
        <f t="shared" si="54"/>
        <v>6.7229999999999998E-2</v>
      </c>
      <c r="R212" s="667">
        <f t="shared" si="54"/>
        <v>6.7229999999999998E-2</v>
      </c>
      <c r="S212" s="667">
        <f t="shared" si="54"/>
        <v>6.7229999999999998E-2</v>
      </c>
      <c r="T212" s="667">
        <f t="shared" si="54"/>
        <v>6.7229999999999998E-2</v>
      </c>
      <c r="U212" s="667">
        <f t="shared" si="54"/>
        <v>6.7229999999999998E-2</v>
      </c>
      <c r="V212" s="667">
        <f t="shared" si="54"/>
        <v>6.7229999999999998E-2</v>
      </c>
      <c r="X212" s="307" t="s">
        <v>699</v>
      </c>
      <c r="Y212" s="359">
        <v>1190</v>
      </c>
      <c r="AA212" s="107" t="s">
        <v>700</v>
      </c>
      <c r="AB212" s="108">
        <v>1190</v>
      </c>
      <c r="AD212" t="str">
        <f t="shared" si="63"/>
        <v>TFREGSL</v>
      </c>
      <c r="AE212" t="str">
        <f t="shared" si="60"/>
        <v>TFRL</v>
      </c>
      <c r="AF212">
        <f t="shared" si="64"/>
        <v>1190</v>
      </c>
      <c r="AG212" s="105">
        <f t="shared" si="61"/>
        <v>33.055555555555557</v>
      </c>
      <c r="AH212">
        <v>9.1</v>
      </c>
      <c r="AI212" s="105">
        <f t="shared" si="68"/>
        <v>3.6324786324786329</v>
      </c>
      <c r="AJ212" s="732">
        <f t="shared" si="62"/>
        <v>4.5405982905982913</v>
      </c>
    </row>
    <row r="213" spans="2:36" x14ac:dyDescent="0.25">
      <c r="B213" s="191" t="s">
        <v>78</v>
      </c>
      <c r="C213" s="191" t="s">
        <v>374</v>
      </c>
      <c r="D213" s="191"/>
      <c r="E213" s="191"/>
      <c r="F213" s="191" t="s">
        <v>437</v>
      </c>
      <c r="G213" s="660">
        <f t="shared" si="57"/>
        <v>5.3780000000000001E-2</v>
      </c>
      <c r="H213" s="667">
        <f t="shared" si="42"/>
        <v>5.3780000000000001E-2</v>
      </c>
      <c r="I213" s="667">
        <f t="shared" si="49"/>
        <v>5.3780000000000001E-2</v>
      </c>
      <c r="J213" s="667">
        <f t="shared" si="54"/>
        <v>5.3780000000000001E-2</v>
      </c>
      <c r="K213" s="667">
        <f t="shared" si="54"/>
        <v>5.3780000000000001E-2</v>
      </c>
      <c r="L213" s="667">
        <f t="shared" si="54"/>
        <v>5.3780000000000001E-2</v>
      </c>
      <c r="M213" s="667">
        <f t="shared" si="54"/>
        <v>5.3780000000000001E-2</v>
      </c>
      <c r="N213" s="667">
        <f t="shared" si="54"/>
        <v>5.3780000000000001E-2</v>
      </c>
      <c r="O213" s="667">
        <f t="shared" si="54"/>
        <v>5.3780000000000001E-2</v>
      </c>
      <c r="P213" s="667">
        <f t="shared" si="54"/>
        <v>5.3780000000000001E-2</v>
      </c>
      <c r="Q213" s="667">
        <f t="shared" si="54"/>
        <v>5.3780000000000001E-2</v>
      </c>
      <c r="R213" s="667">
        <f t="shared" si="54"/>
        <v>5.3780000000000001E-2</v>
      </c>
      <c r="S213" s="667">
        <f t="shared" si="54"/>
        <v>5.3780000000000001E-2</v>
      </c>
      <c r="T213" s="667">
        <f t="shared" si="54"/>
        <v>5.3780000000000001E-2</v>
      </c>
      <c r="U213" s="667">
        <f t="shared" si="54"/>
        <v>5.3780000000000001E-2</v>
      </c>
      <c r="V213" s="667">
        <f t="shared" si="54"/>
        <v>5.3780000000000001E-2</v>
      </c>
      <c r="X213" s="307" t="s">
        <v>725</v>
      </c>
      <c r="Y213" s="359">
        <f>Y212*1.25</f>
        <v>1487.5</v>
      </c>
      <c r="AA213" s="107" t="s">
        <v>700</v>
      </c>
      <c r="AB213" s="108">
        <v>1190</v>
      </c>
      <c r="AD213" t="str">
        <f t="shared" si="63"/>
        <v>TFREGSL</v>
      </c>
      <c r="AE213" t="str">
        <f t="shared" si="60"/>
        <v>TFRS</v>
      </c>
      <c r="AF213">
        <f t="shared" si="64"/>
        <v>1487.5</v>
      </c>
      <c r="AG213" s="105">
        <f t="shared" si="61"/>
        <v>41.319444444444443</v>
      </c>
      <c r="AH213">
        <v>9.1</v>
      </c>
      <c r="AI213" s="105">
        <f t="shared" si="68"/>
        <v>4.5405982905982905</v>
      </c>
      <c r="AJ213" s="732">
        <f t="shared" si="62"/>
        <v>5.6757478632478628</v>
      </c>
    </row>
    <row r="214" spans="2:36" s="360" customFormat="1" x14ac:dyDescent="0.25">
      <c r="B214" s="191" t="s">
        <v>78</v>
      </c>
      <c r="C214" s="191" t="s">
        <v>375</v>
      </c>
      <c r="D214" s="191"/>
      <c r="E214" s="191"/>
      <c r="F214" s="191" t="s">
        <v>439</v>
      </c>
      <c r="G214" s="660">
        <f t="shared" si="57"/>
        <v>7.1110000000000007E-2</v>
      </c>
      <c r="H214" s="667">
        <f t="shared" si="42"/>
        <v>7.1110000000000007E-2</v>
      </c>
      <c r="I214" s="667">
        <f t="shared" ref="I214:V228" si="69">$H214</f>
        <v>7.1110000000000007E-2</v>
      </c>
      <c r="J214" s="667">
        <f t="shared" si="69"/>
        <v>7.1110000000000007E-2</v>
      </c>
      <c r="K214" s="667">
        <f t="shared" si="69"/>
        <v>7.1110000000000007E-2</v>
      </c>
      <c r="L214" s="667">
        <f t="shared" si="69"/>
        <v>7.1110000000000007E-2</v>
      </c>
      <c r="M214" s="667">
        <f t="shared" si="69"/>
        <v>7.1110000000000007E-2</v>
      </c>
      <c r="N214" s="667">
        <f t="shared" si="69"/>
        <v>7.1110000000000007E-2</v>
      </c>
      <c r="O214" s="667">
        <f t="shared" si="69"/>
        <v>7.1110000000000007E-2</v>
      </c>
      <c r="P214" s="667">
        <f t="shared" si="69"/>
        <v>7.1110000000000007E-2</v>
      </c>
      <c r="Q214" s="667">
        <f t="shared" si="69"/>
        <v>7.1110000000000007E-2</v>
      </c>
      <c r="R214" s="667">
        <f t="shared" si="69"/>
        <v>7.1110000000000007E-2</v>
      </c>
      <c r="S214" s="667">
        <f t="shared" si="69"/>
        <v>7.1110000000000007E-2</v>
      </c>
      <c r="T214" s="667">
        <f t="shared" si="69"/>
        <v>7.1110000000000007E-2</v>
      </c>
      <c r="U214" s="667">
        <f t="shared" si="69"/>
        <v>7.1110000000000007E-2</v>
      </c>
      <c r="V214" s="667">
        <f t="shared" si="69"/>
        <v>7.1110000000000007E-2</v>
      </c>
      <c r="X214" s="307" t="s">
        <v>699</v>
      </c>
      <c r="Y214" s="302">
        <f>Y204*0.9</f>
        <v>1125</v>
      </c>
      <c r="AD214" t="str">
        <f t="shared" si="63"/>
        <v>TFREHYD</v>
      </c>
      <c r="AE214" t="str">
        <f t="shared" si="60"/>
        <v>TFRL</v>
      </c>
      <c r="AF214">
        <f t="shared" si="64"/>
        <v>1125</v>
      </c>
      <c r="AG214" s="105">
        <f t="shared" si="61"/>
        <v>31.25</v>
      </c>
      <c r="AH214">
        <v>9.8000000000000007</v>
      </c>
      <c r="AI214" s="105">
        <f t="shared" si="68"/>
        <v>3.1887755102040813</v>
      </c>
      <c r="AJ214" s="732">
        <f t="shared" si="62"/>
        <v>3.9859693877551017</v>
      </c>
    </row>
    <row r="215" spans="2:36" s="360" customFormat="1" x14ac:dyDescent="0.25">
      <c r="B215" s="191" t="s">
        <v>78</v>
      </c>
      <c r="C215" s="191" t="s">
        <v>375</v>
      </c>
      <c r="D215" s="191"/>
      <c r="E215" s="191"/>
      <c r="F215" s="191" t="s">
        <v>437</v>
      </c>
      <c r="G215" s="660">
        <f t="shared" si="57"/>
        <v>5.6890000000000003E-2</v>
      </c>
      <c r="H215" s="667">
        <f t="shared" si="42"/>
        <v>5.6890000000000003E-2</v>
      </c>
      <c r="I215" s="667">
        <f t="shared" si="69"/>
        <v>5.6890000000000003E-2</v>
      </c>
      <c r="J215" s="667">
        <f t="shared" si="69"/>
        <v>5.6890000000000003E-2</v>
      </c>
      <c r="K215" s="667">
        <f t="shared" si="69"/>
        <v>5.6890000000000003E-2</v>
      </c>
      <c r="L215" s="667">
        <f t="shared" si="69"/>
        <v>5.6890000000000003E-2</v>
      </c>
      <c r="M215" s="667">
        <f t="shared" si="69"/>
        <v>5.6890000000000003E-2</v>
      </c>
      <c r="N215" s="667">
        <f t="shared" si="69"/>
        <v>5.6890000000000003E-2</v>
      </c>
      <c r="O215" s="667">
        <f t="shared" si="69"/>
        <v>5.6890000000000003E-2</v>
      </c>
      <c r="P215" s="667">
        <f t="shared" si="69"/>
        <v>5.6890000000000003E-2</v>
      </c>
      <c r="Q215" s="667">
        <f t="shared" si="69"/>
        <v>5.6890000000000003E-2</v>
      </c>
      <c r="R215" s="667">
        <f t="shared" si="69"/>
        <v>5.6890000000000003E-2</v>
      </c>
      <c r="S215" s="667">
        <f t="shared" si="69"/>
        <v>5.6890000000000003E-2</v>
      </c>
      <c r="T215" s="667">
        <f t="shared" si="69"/>
        <v>5.6890000000000003E-2</v>
      </c>
      <c r="U215" s="667">
        <f t="shared" si="69"/>
        <v>5.6890000000000003E-2</v>
      </c>
      <c r="V215" s="667">
        <f t="shared" si="69"/>
        <v>5.6890000000000003E-2</v>
      </c>
      <c r="X215" s="307" t="s">
        <v>725</v>
      </c>
      <c r="Y215" s="359">
        <f>Y214*1.25</f>
        <v>1406.25</v>
      </c>
      <c r="AD215" t="str">
        <f t="shared" si="63"/>
        <v>TFREHYD</v>
      </c>
      <c r="AE215" t="str">
        <f t="shared" si="60"/>
        <v>TFRS</v>
      </c>
      <c r="AF215">
        <f t="shared" si="64"/>
        <v>1406.25</v>
      </c>
      <c r="AG215" s="105">
        <f t="shared" si="61"/>
        <v>39.0625</v>
      </c>
      <c r="AH215">
        <v>9.8000000000000007</v>
      </c>
      <c r="AI215" s="105">
        <f t="shared" si="68"/>
        <v>3.9859693877551017</v>
      </c>
      <c r="AJ215" s="732">
        <f t="shared" si="62"/>
        <v>4.9824617346938771</v>
      </c>
    </row>
    <row r="216" spans="2:36" s="360" customFormat="1" x14ac:dyDescent="0.25">
      <c r="B216" s="191" t="s">
        <v>78</v>
      </c>
      <c r="C216" s="191" t="s">
        <v>376</v>
      </c>
      <c r="D216" s="191"/>
      <c r="E216" s="191"/>
      <c r="F216" s="191" t="s">
        <v>439</v>
      </c>
      <c r="G216" s="660">
        <f t="shared" si="57"/>
        <v>8.4209999999999993E-2</v>
      </c>
      <c r="H216" s="667">
        <f t="shared" si="42"/>
        <v>8.4209999999999993E-2</v>
      </c>
      <c r="I216" s="667">
        <f t="shared" si="69"/>
        <v>8.4209999999999993E-2</v>
      </c>
      <c r="J216" s="667">
        <f t="shared" si="69"/>
        <v>8.4209999999999993E-2</v>
      </c>
      <c r="K216" s="667">
        <f t="shared" si="69"/>
        <v>8.4209999999999993E-2</v>
      </c>
      <c r="L216" s="667">
        <f t="shared" si="69"/>
        <v>8.4209999999999993E-2</v>
      </c>
      <c r="M216" s="667">
        <f t="shared" si="69"/>
        <v>8.4209999999999993E-2</v>
      </c>
      <c r="N216" s="667">
        <f t="shared" si="69"/>
        <v>8.4209999999999993E-2</v>
      </c>
      <c r="O216" s="667">
        <f t="shared" si="69"/>
        <v>8.4209999999999993E-2</v>
      </c>
      <c r="P216" s="667">
        <f t="shared" si="69"/>
        <v>8.4209999999999993E-2</v>
      </c>
      <c r="Q216" s="667">
        <f t="shared" si="69"/>
        <v>8.4209999999999993E-2</v>
      </c>
      <c r="R216" s="667">
        <f t="shared" si="69"/>
        <v>8.4209999999999993E-2</v>
      </c>
      <c r="S216" s="667">
        <f t="shared" si="69"/>
        <v>8.4209999999999993E-2</v>
      </c>
      <c r="T216" s="667">
        <f t="shared" si="69"/>
        <v>8.4209999999999993E-2</v>
      </c>
      <c r="U216" s="667">
        <f t="shared" si="69"/>
        <v>8.4209999999999993E-2</v>
      </c>
      <c r="V216" s="667">
        <f t="shared" si="69"/>
        <v>8.4209999999999993E-2</v>
      </c>
      <c r="X216" s="307" t="s">
        <v>699</v>
      </c>
      <c r="Y216" s="462">
        <v>950</v>
      </c>
      <c r="AD216" t="str">
        <f t="shared" si="63"/>
        <v>TFREHYG</v>
      </c>
      <c r="AE216" t="str">
        <f t="shared" si="60"/>
        <v>TFRL</v>
      </c>
      <c r="AF216">
        <f t="shared" si="64"/>
        <v>950</v>
      </c>
      <c r="AG216" s="105">
        <f t="shared" si="61"/>
        <v>26.388888888888889</v>
      </c>
      <c r="AH216">
        <v>9.1</v>
      </c>
      <c r="AI216" s="105">
        <f t="shared" si="68"/>
        <v>2.8998778998779002</v>
      </c>
      <c r="AJ216" s="732">
        <f t="shared" si="62"/>
        <v>3.6248473748473753</v>
      </c>
    </row>
    <row r="217" spans="2:36" s="360" customFormat="1" x14ac:dyDescent="0.25">
      <c r="B217" s="191" t="s">
        <v>78</v>
      </c>
      <c r="C217" s="191" t="s">
        <v>376</v>
      </c>
      <c r="D217" s="191"/>
      <c r="E217" s="191"/>
      <c r="F217" s="191" t="s">
        <v>437</v>
      </c>
      <c r="G217" s="660">
        <f t="shared" si="57"/>
        <v>6.7369999999999999E-2</v>
      </c>
      <c r="H217" s="667">
        <f t="shared" si="42"/>
        <v>6.7369999999999999E-2</v>
      </c>
      <c r="I217" s="667">
        <f t="shared" si="69"/>
        <v>6.7369999999999999E-2</v>
      </c>
      <c r="J217" s="667">
        <f t="shared" si="69"/>
        <v>6.7369999999999999E-2</v>
      </c>
      <c r="K217" s="667">
        <f t="shared" si="69"/>
        <v>6.7369999999999999E-2</v>
      </c>
      <c r="L217" s="667">
        <f t="shared" si="69"/>
        <v>6.7369999999999999E-2</v>
      </c>
      <c r="M217" s="667">
        <f t="shared" si="69"/>
        <v>6.7369999999999999E-2</v>
      </c>
      <c r="N217" s="667">
        <f t="shared" si="69"/>
        <v>6.7369999999999999E-2</v>
      </c>
      <c r="O217" s="667">
        <f t="shared" si="69"/>
        <v>6.7369999999999999E-2</v>
      </c>
      <c r="P217" s="667">
        <f t="shared" si="69"/>
        <v>6.7369999999999999E-2</v>
      </c>
      <c r="Q217" s="667">
        <f t="shared" si="69"/>
        <v>6.7369999999999999E-2</v>
      </c>
      <c r="R217" s="667">
        <f t="shared" si="69"/>
        <v>6.7369999999999999E-2</v>
      </c>
      <c r="S217" s="667">
        <f t="shared" si="69"/>
        <v>6.7369999999999999E-2</v>
      </c>
      <c r="T217" s="667">
        <f t="shared" si="69"/>
        <v>6.7369999999999999E-2</v>
      </c>
      <c r="U217" s="667">
        <f t="shared" si="69"/>
        <v>6.7369999999999999E-2</v>
      </c>
      <c r="V217" s="667">
        <f t="shared" si="69"/>
        <v>6.7369999999999999E-2</v>
      </c>
      <c r="X217" s="307" t="s">
        <v>725</v>
      </c>
      <c r="Y217" s="462">
        <f>Y216*1.25</f>
        <v>1187.5</v>
      </c>
      <c r="AD217" t="str">
        <f t="shared" si="63"/>
        <v>TFREHYG</v>
      </c>
      <c r="AE217" t="str">
        <f t="shared" si="60"/>
        <v>TFRS</v>
      </c>
      <c r="AF217">
        <f t="shared" si="64"/>
        <v>1187.5</v>
      </c>
      <c r="AG217" s="105">
        <f t="shared" si="61"/>
        <v>32.986111111111107</v>
      </c>
      <c r="AH217">
        <v>9.1</v>
      </c>
      <c r="AI217" s="105">
        <f t="shared" si="68"/>
        <v>3.6248473748473744</v>
      </c>
      <c r="AJ217" s="732">
        <f t="shared" si="62"/>
        <v>4.5310592185592178</v>
      </c>
    </row>
    <row r="218" spans="2:36" s="360" customFormat="1" x14ac:dyDescent="0.25">
      <c r="B218" s="191" t="s">
        <v>78</v>
      </c>
      <c r="C218" s="191" t="s">
        <v>377</v>
      </c>
      <c r="D218" s="191"/>
      <c r="E218" s="191"/>
      <c r="F218" s="191" t="s">
        <v>439</v>
      </c>
      <c r="G218" s="660">
        <f t="shared" si="57"/>
        <v>6.7229999999999998E-2</v>
      </c>
      <c r="H218" s="667">
        <f t="shared" si="42"/>
        <v>6.7229999999999998E-2</v>
      </c>
      <c r="I218" s="667">
        <f t="shared" si="69"/>
        <v>6.7229999999999998E-2</v>
      </c>
      <c r="J218" s="667">
        <f t="shared" si="69"/>
        <v>6.7229999999999998E-2</v>
      </c>
      <c r="K218" s="667">
        <f t="shared" si="69"/>
        <v>6.7229999999999998E-2</v>
      </c>
      <c r="L218" s="667">
        <f t="shared" si="69"/>
        <v>6.7229999999999998E-2</v>
      </c>
      <c r="M218" s="667">
        <f t="shared" si="69"/>
        <v>6.7229999999999998E-2</v>
      </c>
      <c r="N218" s="667">
        <f t="shared" si="69"/>
        <v>6.7229999999999998E-2</v>
      </c>
      <c r="O218" s="667">
        <f t="shared" si="69"/>
        <v>6.7229999999999998E-2</v>
      </c>
      <c r="P218" s="667">
        <f t="shared" si="69"/>
        <v>6.7229999999999998E-2</v>
      </c>
      <c r="Q218" s="667">
        <f t="shared" si="69"/>
        <v>6.7229999999999998E-2</v>
      </c>
      <c r="R218" s="667">
        <f t="shared" si="69"/>
        <v>6.7229999999999998E-2</v>
      </c>
      <c r="S218" s="667">
        <f t="shared" si="69"/>
        <v>6.7229999999999998E-2</v>
      </c>
      <c r="T218" s="667">
        <f t="shared" si="69"/>
        <v>6.7229999999999998E-2</v>
      </c>
      <c r="U218" s="667">
        <f t="shared" si="69"/>
        <v>6.7229999999999998E-2</v>
      </c>
      <c r="V218" s="667">
        <f t="shared" si="69"/>
        <v>6.7229999999999998E-2</v>
      </c>
      <c r="X218" s="307" t="s">
        <v>727</v>
      </c>
      <c r="Y218" s="359">
        <f>Y212</f>
        <v>1190</v>
      </c>
      <c r="AD218" t="str">
        <f t="shared" si="63"/>
        <v>TFRELPG</v>
      </c>
      <c r="AE218" t="str">
        <f t="shared" si="60"/>
        <v>TFRL</v>
      </c>
      <c r="AF218">
        <f t="shared" si="64"/>
        <v>1190</v>
      </c>
      <c r="AG218" s="105">
        <f t="shared" si="61"/>
        <v>33.055555555555557</v>
      </c>
      <c r="AH218" s="19">
        <v>12.79</v>
      </c>
      <c r="AI218" s="105">
        <f t="shared" si="68"/>
        <v>2.5844844062201378</v>
      </c>
      <c r="AJ218" s="732">
        <f t="shared" si="62"/>
        <v>3.2306055077751723</v>
      </c>
    </row>
    <row r="219" spans="2:36" s="360" customFormat="1" x14ac:dyDescent="0.25">
      <c r="B219" s="191" t="s">
        <v>78</v>
      </c>
      <c r="C219" s="191" t="s">
        <v>377</v>
      </c>
      <c r="D219" s="191"/>
      <c r="E219" s="191"/>
      <c r="F219" s="191" t="s">
        <v>437</v>
      </c>
      <c r="G219" s="660">
        <f t="shared" si="57"/>
        <v>5.3780000000000001E-2</v>
      </c>
      <c r="H219" s="667">
        <f t="shared" si="42"/>
        <v>5.3780000000000001E-2</v>
      </c>
      <c r="I219" s="667">
        <f t="shared" si="69"/>
        <v>5.3780000000000001E-2</v>
      </c>
      <c r="J219" s="667">
        <f t="shared" si="69"/>
        <v>5.3780000000000001E-2</v>
      </c>
      <c r="K219" s="667">
        <f t="shared" si="69"/>
        <v>5.3780000000000001E-2</v>
      </c>
      <c r="L219" s="667">
        <f t="shared" si="69"/>
        <v>5.3780000000000001E-2</v>
      </c>
      <c r="M219" s="667">
        <f t="shared" si="69"/>
        <v>5.3780000000000001E-2</v>
      </c>
      <c r="N219" s="667">
        <f t="shared" si="69"/>
        <v>5.3780000000000001E-2</v>
      </c>
      <c r="O219" s="667">
        <f t="shared" si="69"/>
        <v>5.3780000000000001E-2</v>
      </c>
      <c r="P219" s="667">
        <f t="shared" si="69"/>
        <v>5.3780000000000001E-2</v>
      </c>
      <c r="Q219" s="667">
        <f t="shared" si="69"/>
        <v>5.3780000000000001E-2</v>
      </c>
      <c r="R219" s="667">
        <f t="shared" si="69"/>
        <v>5.3780000000000001E-2</v>
      </c>
      <c r="S219" s="667">
        <f t="shared" si="69"/>
        <v>5.3780000000000001E-2</v>
      </c>
      <c r="T219" s="667">
        <f t="shared" si="69"/>
        <v>5.3780000000000001E-2</v>
      </c>
      <c r="U219" s="667">
        <f t="shared" si="69"/>
        <v>5.3780000000000001E-2</v>
      </c>
      <c r="V219" s="667">
        <f t="shared" si="69"/>
        <v>5.3780000000000001E-2</v>
      </c>
      <c r="X219" s="307" t="s">
        <v>727</v>
      </c>
      <c r="Y219" s="359">
        <f>Y218*1.25</f>
        <v>1487.5</v>
      </c>
      <c r="AD219" t="str">
        <f t="shared" si="63"/>
        <v>TFRELPG</v>
      </c>
      <c r="AE219" t="str">
        <f t="shared" si="60"/>
        <v>TFRS</v>
      </c>
      <c r="AF219">
        <f t="shared" si="64"/>
        <v>1487.5</v>
      </c>
      <c r="AG219" s="105">
        <f t="shared" si="61"/>
        <v>41.319444444444443</v>
      </c>
      <c r="AH219" s="19">
        <v>12.79</v>
      </c>
      <c r="AI219" s="105">
        <f t="shared" si="68"/>
        <v>3.2306055077751719</v>
      </c>
      <c r="AJ219" s="732">
        <f t="shared" si="62"/>
        <v>4.0382568847189653</v>
      </c>
    </row>
    <row r="220" spans="2:36" s="360" customFormat="1" x14ac:dyDescent="0.25">
      <c r="B220" s="191" t="s">
        <v>78</v>
      </c>
      <c r="C220" s="191" t="s">
        <v>378</v>
      </c>
      <c r="D220" s="191"/>
      <c r="E220" s="191"/>
      <c r="F220" s="191" t="s">
        <v>439</v>
      </c>
      <c r="G220" s="660">
        <f t="shared" si="57"/>
        <v>7.485E-2</v>
      </c>
      <c r="H220" s="667">
        <f t="shared" si="42"/>
        <v>7.485E-2</v>
      </c>
      <c r="I220" s="667">
        <f t="shared" si="69"/>
        <v>7.485E-2</v>
      </c>
      <c r="J220" s="667">
        <f t="shared" si="69"/>
        <v>7.485E-2</v>
      </c>
      <c r="K220" s="667">
        <f t="shared" si="69"/>
        <v>7.485E-2</v>
      </c>
      <c r="L220" s="667">
        <f t="shared" si="69"/>
        <v>7.485E-2</v>
      </c>
      <c r="M220" s="667">
        <f t="shared" si="69"/>
        <v>7.485E-2</v>
      </c>
      <c r="N220" s="667">
        <f t="shared" si="69"/>
        <v>7.485E-2</v>
      </c>
      <c r="O220" s="667">
        <f t="shared" si="69"/>
        <v>7.485E-2</v>
      </c>
      <c r="P220" s="667">
        <f t="shared" si="69"/>
        <v>7.485E-2</v>
      </c>
      <c r="Q220" s="667">
        <f t="shared" si="69"/>
        <v>7.485E-2</v>
      </c>
      <c r="R220" s="667">
        <f t="shared" si="69"/>
        <v>7.485E-2</v>
      </c>
      <c r="S220" s="667">
        <f t="shared" si="69"/>
        <v>7.485E-2</v>
      </c>
      <c r="T220" s="667">
        <f t="shared" si="69"/>
        <v>7.485E-2</v>
      </c>
      <c r="U220" s="667">
        <f t="shared" si="69"/>
        <v>7.485E-2</v>
      </c>
      <c r="V220" s="667">
        <f t="shared" si="69"/>
        <v>7.485E-2</v>
      </c>
      <c r="X220" s="307" t="s">
        <v>723</v>
      </c>
      <c r="Y220" s="417">
        <f>Y214*0.95</f>
        <v>1068.75</v>
      </c>
      <c r="AD220" t="str">
        <f t="shared" si="63"/>
        <v>TFREPYD</v>
      </c>
      <c r="AE220" t="str">
        <f t="shared" si="60"/>
        <v>TFRL</v>
      </c>
      <c r="AF220">
        <f t="shared" si="64"/>
        <v>1068.75</v>
      </c>
      <c r="AG220" s="105">
        <f t="shared" si="61"/>
        <v>29.6875</v>
      </c>
      <c r="AH220" s="19">
        <v>9.8000000000000007</v>
      </c>
      <c r="AI220" s="105">
        <f t="shared" si="68"/>
        <v>3.0293367346938775</v>
      </c>
      <c r="AJ220" s="732">
        <f t="shared" si="62"/>
        <v>3.786670918367347</v>
      </c>
    </row>
    <row r="221" spans="2:36" s="360" customFormat="1" x14ac:dyDescent="0.25">
      <c r="B221" s="191" t="s">
        <v>78</v>
      </c>
      <c r="C221" s="191" t="s">
        <v>378</v>
      </c>
      <c r="D221" s="191"/>
      <c r="E221" s="191"/>
      <c r="F221" s="191" t="s">
        <v>437</v>
      </c>
      <c r="G221" s="660">
        <f t="shared" si="57"/>
        <v>5.9880000000000003E-2</v>
      </c>
      <c r="H221" s="667">
        <f t="shared" si="42"/>
        <v>5.9880000000000003E-2</v>
      </c>
      <c r="I221" s="667">
        <f t="shared" si="69"/>
        <v>5.9880000000000003E-2</v>
      </c>
      <c r="J221" s="667">
        <f t="shared" si="69"/>
        <v>5.9880000000000003E-2</v>
      </c>
      <c r="K221" s="667">
        <f t="shared" si="69"/>
        <v>5.9880000000000003E-2</v>
      </c>
      <c r="L221" s="667">
        <f t="shared" si="69"/>
        <v>5.9880000000000003E-2</v>
      </c>
      <c r="M221" s="667">
        <f t="shared" si="69"/>
        <v>5.9880000000000003E-2</v>
      </c>
      <c r="N221" s="667">
        <f t="shared" si="69"/>
        <v>5.9880000000000003E-2</v>
      </c>
      <c r="O221" s="667">
        <f t="shared" si="69"/>
        <v>5.9880000000000003E-2</v>
      </c>
      <c r="P221" s="667">
        <f t="shared" si="69"/>
        <v>5.9880000000000003E-2</v>
      </c>
      <c r="Q221" s="667">
        <f t="shared" si="69"/>
        <v>5.9880000000000003E-2</v>
      </c>
      <c r="R221" s="667">
        <f t="shared" si="69"/>
        <v>5.9880000000000003E-2</v>
      </c>
      <c r="S221" s="667">
        <f t="shared" si="69"/>
        <v>5.9880000000000003E-2</v>
      </c>
      <c r="T221" s="667">
        <f t="shared" si="69"/>
        <v>5.9880000000000003E-2</v>
      </c>
      <c r="U221" s="667">
        <f t="shared" si="69"/>
        <v>5.9880000000000003E-2</v>
      </c>
      <c r="V221" s="667">
        <f t="shared" si="69"/>
        <v>5.9880000000000003E-2</v>
      </c>
      <c r="X221" s="307" t="s">
        <v>723</v>
      </c>
      <c r="Y221" s="417">
        <f>Y215*0.95</f>
        <v>1335.9375</v>
      </c>
      <c r="AD221" t="str">
        <f t="shared" si="63"/>
        <v>TFREPYD</v>
      </c>
      <c r="AE221" t="str">
        <f t="shared" si="60"/>
        <v>TFRS</v>
      </c>
      <c r="AF221">
        <f t="shared" si="64"/>
        <v>1335.9375</v>
      </c>
      <c r="AG221" s="105">
        <f t="shared" si="61"/>
        <v>37.109375</v>
      </c>
      <c r="AH221" s="19">
        <v>9.8000000000000007</v>
      </c>
      <c r="AI221" s="105">
        <f t="shared" si="68"/>
        <v>3.7866709183673466</v>
      </c>
      <c r="AJ221" s="732">
        <f t="shared" si="62"/>
        <v>4.733338647959183</v>
      </c>
    </row>
    <row r="222" spans="2:36" s="643" customFormat="1" x14ac:dyDescent="0.25">
      <c r="B222" s="420" t="s">
        <v>78</v>
      </c>
      <c r="C222" s="420" t="s">
        <v>379</v>
      </c>
      <c r="D222" s="420"/>
      <c r="E222" s="420"/>
      <c r="F222" s="420" t="s">
        <v>439</v>
      </c>
      <c r="G222" s="660">
        <f t="shared" si="57"/>
        <v>72.727270000000004</v>
      </c>
      <c r="H222" s="670">
        <f t="shared" si="42"/>
        <v>72.727270000000004</v>
      </c>
      <c r="I222" s="670">
        <f t="shared" si="69"/>
        <v>72.727270000000004</v>
      </c>
      <c r="J222" s="670">
        <f t="shared" si="69"/>
        <v>72.727270000000004</v>
      </c>
      <c r="K222" s="670">
        <f t="shared" si="69"/>
        <v>72.727270000000004</v>
      </c>
      <c r="L222" s="670">
        <f t="shared" si="69"/>
        <v>72.727270000000004</v>
      </c>
      <c r="M222" s="670">
        <f t="shared" si="69"/>
        <v>72.727270000000004</v>
      </c>
      <c r="N222" s="670">
        <f t="shared" si="69"/>
        <v>72.727270000000004</v>
      </c>
      <c r="O222" s="670">
        <f t="shared" si="69"/>
        <v>72.727270000000004</v>
      </c>
      <c r="P222" s="670">
        <f t="shared" si="69"/>
        <v>72.727270000000004</v>
      </c>
      <c r="Q222" s="670">
        <f t="shared" si="69"/>
        <v>72.727270000000004</v>
      </c>
      <c r="R222" s="670">
        <f t="shared" si="69"/>
        <v>72.727270000000004</v>
      </c>
      <c r="S222" s="670">
        <f t="shared" si="69"/>
        <v>72.727270000000004</v>
      </c>
      <c r="T222" s="670">
        <f t="shared" si="69"/>
        <v>72.727270000000004</v>
      </c>
      <c r="U222" s="670">
        <f t="shared" si="69"/>
        <v>72.727270000000004</v>
      </c>
      <c r="V222" s="670">
        <f t="shared" si="69"/>
        <v>72.727270000000004</v>
      </c>
      <c r="X222" s="644" t="s">
        <v>724</v>
      </c>
      <c r="Y222" s="415">
        <v>1.1000000000000001</v>
      </c>
      <c r="AD222" t="str">
        <f t="shared" ref="AD222:AD223" si="70">MID(C222, 1, 7)</f>
        <v>TFREPYG</v>
      </c>
      <c r="AE222" t="str">
        <f t="shared" ref="AE222:AE223" si="71">MID(F222, 1, 4)</f>
        <v>TFRL</v>
      </c>
      <c r="AF222">
        <f t="shared" ref="AF222:AF223" si="72">Y222</f>
        <v>1.1000000000000001</v>
      </c>
      <c r="AG222" s="105">
        <f t="shared" si="61"/>
        <v>3.0555555555555558E-2</v>
      </c>
      <c r="AH222" s="19">
        <v>9.1</v>
      </c>
      <c r="AI222" s="105">
        <f t="shared" ref="AI222:AI223" si="73">AG222/AH222</f>
        <v>3.357753357753358E-3</v>
      </c>
      <c r="AJ222" s="732">
        <f t="shared" si="62"/>
        <v>4.1971916971916979E-3</v>
      </c>
    </row>
    <row r="223" spans="2:36" s="643" customFormat="1" x14ac:dyDescent="0.25">
      <c r="B223" s="645" t="s">
        <v>78</v>
      </c>
      <c r="C223" s="645" t="s">
        <v>379</v>
      </c>
      <c r="D223" s="645"/>
      <c r="E223" s="645"/>
      <c r="F223" s="645" t="s">
        <v>437</v>
      </c>
      <c r="G223" s="669">
        <f t="shared" si="57"/>
        <v>72.727270000000004</v>
      </c>
      <c r="H223" s="671">
        <f t="shared" si="42"/>
        <v>72.727270000000004</v>
      </c>
      <c r="I223" s="671">
        <f t="shared" si="69"/>
        <v>72.727270000000004</v>
      </c>
      <c r="J223" s="671">
        <f t="shared" si="69"/>
        <v>72.727270000000004</v>
      </c>
      <c r="K223" s="671">
        <f t="shared" si="69"/>
        <v>72.727270000000004</v>
      </c>
      <c r="L223" s="671">
        <f t="shared" si="69"/>
        <v>72.727270000000004</v>
      </c>
      <c r="M223" s="671">
        <f t="shared" si="69"/>
        <v>72.727270000000004</v>
      </c>
      <c r="N223" s="671">
        <f t="shared" si="69"/>
        <v>72.727270000000004</v>
      </c>
      <c r="O223" s="671">
        <f t="shared" si="69"/>
        <v>72.727270000000004</v>
      </c>
      <c r="P223" s="671">
        <f t="shared" si="69"/>
        <v>72.727270000000004</v>
      </c>
      <c r="Q223" s="671">
        <f t="shared" si="69"/>
        <v>72.727270000000004</v>
      </c>
      <c r="R223" s="671">
        <f t="shared" si="69"/>
        <v>72.727270000000004</v>
      </c>
      <c r="S223" s="671">
        <f t="shared" si="69"/>
        <v>72.727270000000004</v>
      </c>
      <c r="T223" s="671">
        <f t="shared" si="69"/>
        <v>72.727270000000004</v>
      </c>
      <c r="U223" s="671">
        <f t="shared" si="69"/>
        <v>72.727270000000004</v>
      </c>
      <c r="V223" s="671">
        <f t="shared" si="69"/>
        <v>72.727270000000004</v>
      </c>
      <c r="X223" s="646" t="s">
        <v>724</v>
      </c>
      <c r="Y223" s="415">
        <v>1.1000000000000001</v>
      </c>
      <c r="AD223" t="str">
        <f t="shared" si="70"/>
        <v>TFREPYG</v>
      </c>
      <c r="AE223" t="str">
        <f t="shared" si="71"/>
        <v>TFRS</v>
      </c>
      <c r="AF223">
        <f t="shared" si="72"/>
        <v>1.1000000000000001</v>
      </c>
      <c r="AG223" s="105">
        <f t="shared" si="61"/>
        <v>3.0555555555555558E-2</v>
      </c>
      <c r="AH223" s="19">
        <v>9.1</v>
      </c>
      <c r="AI223" s="105">
        <f t="shared" si="73"/>
        <v>3.357753357753358E-3</v>
      </c>
      <c r="AJ223" s="732">
        <f t="shared" si="62"/>
        <v>4.1971916971916979E-3</v>
      </c>
    </row>
    <row r="224" spans="2:36" s="360" customFormat="1" x14ac:dyDescent="0.25">
      <c r="B224" s="191" t="s">
        <v>78</v>
      </c>
      <c r="C224" s="191" t="s">
        <v>565</v>
      </c>
      <c r="D224" s="191"/>
      <c r="E224" s="191"/>
      <c r="F224" s="191" t="s">
        <v>425</v>
      </c>
      <c r="G224" s="660">
        <f t="shared" ref="G224:G284" si="74">ROUND(10^2/Y224,5)</f>
        <v>4.5454499999999998</v>
      </c>
      <c r="H224" s="667">
        <f t="shared" si="42"/>
        <v>4.5454499999999998</v>
      </c>
      <c r="I224" s="667">
        <f t="shared" si="69"/>
        <v>4.5454499999999998</v>
      </c>
      <c r="J224" s="667">
        <f t="shared" si="69"/>
        <v>4.5454499999999998</v>
      </c>
      <c r="K224" s="667">
        <f t="shared" si="69"/>
        <v>4.5454499999999998</v>
      </c>
      <c r="L224" s="667">
        <f t="shared" si="69"/>
        <v>4.5454499999999998</v>
      </c>
      <c r="M224" s="667">
        <f t="shared" si="69"/>
        <v>4.5454499999999998</v>
      </c>
      <c r="N224" s="667">
        <f t="shared" si="69"/>
        <v>4.5454499999999998</v>
      </c>
      <c r="O224" s="667">
        <f t="shared" si="69"/>
        <v>4.5454499999999998</v>
      </c>
      <c r="P224" s="667">
        <f t="shared" si="69"/>
        <v>4.5454499999999998</v>
      </c>
      <c r="Q224" s="667">
        <f t="shared" si="69"/>
        <v>4.5454499999999998</v>
      </c>
      <c r="R224" s="667">
        <f t="shared" si="69"/>
        <v>4.5454499999999998</v>
      </c>
      <c r="S224" s="667">
        <f t="shared" si="69"/>
        <v>4.5454499999999998</v>
      </c>
      <c r="T224" s="667">
        <f t="shared" si="69"/>
        <v>4.5454499999999998</v>
      </c>
      <c r="U224" s="667">
        <f t="shared" si="69"/>
        <v>4.5454499999999998</v>
      </c>
      <c r="V224" s="667">
        <f t="shared" si="69"/>
        <v>4.5454499999999998</v>
      </c>
      <c r="X224" s="576"/>
      <c r="Y224" s="577">
        <v>22</v>
      </c>
    </row>
    <row r="225" spans="2:28" s="360" customFormat="1" x14ac:dyDescent="0.25">
      <c r="B225" s="546" t="s">
        <v>78</v>
      </c>
      <c r="C225" s="546" t="s">
        <v>566</v>
      </c>
      <c r="D225" s="546"/>
      <c r="E225" s="546"/>
      <c r="F225" s="546" t="s">
        <v>423</v>
      </c>
      <c r="G225" s="669">
        <f t="shared" si="74"/>
        <v>100</v>
      </c>
      <c r="H225" s="668">
        <f t="shared" si="42"/>
        <v>100</v>
      </c>
      <c r="I225" s="662">
        <f t="shared" si="69"/>
        <v>100</v>
      </c>
      <c r="J225" s="662">
        <f t="shared" si="69"/>
        <v>100</v>
      </c>
      <c r="K225" s="662">
        <f t="shared" si="69"/>
        <v>100</v>
      </c>
      <c r="L225" s="662">
        <f t="shared" si="69"/>
        <v>100</v>
      </c>
      <c r="M225" s="662">
        <f t="shared" si="69"/>
        <v>100</v>
      </c>
      <c r="N225" s="662">
        <f t="shared" si="69"/>
        <v>100</v>
      </c>
      <c r="O225" s="662">
        <f t="shared" si="69"/>
        <v>100</v>
      </c>
      <c r="P225" s="662">
        <f t="shared" si="69"/>
        <v>100</v>
      </c>
      <c r="Q225" s="662">
        <f t="shared" si="69"/>
        <v>100</v>
      </c>
      <c r="R225" s="662">
        <f t="shared" si="69"/>
        <v>100</v>
      </c>
      <c r="S225" s="662">
        <f t="shared" si="69"/>
        <v>100</v>
      </c>
      <c r="T225" s="662">
        <f t="shared" si="69"/>
        <v>100</v>
      </c>
      <c r="U225" s="662">
        <f t="shared" si="69"/>
        <v>100</v>
      </c>
      <c r="V225" s="662">
        <f t="shared" si="69"/>
        <v>100</v>
      </c>
      <c r="X225" s="547"/>
      <c r="Y225" s="575">
        <v>1</v>
      </c>
    </row>
    <row r="226" spans="2:28" s="360" customFormat="1" x14ac:dyDescent="0.25">
      <c r="B226" s="578" t="s">
        <v>507</v>
      </c>
      <c r="C226" s="579" t="s">
        <v>559</v>
      </c>
      <c r="D226" s="578"/>
      <c r="E226" s="578"/>
      <c r="F226" s="578" t="s">
        <v>634</v>
      </c>
      <c r="G226" s="669">
        <f t="shared" si="74"/>
        <v>3.0303</v>
      </c>
      <c r="H226" s="672">
        <f t="shared" si="42"/>
        <v>3.0303</v>
      </c>
      <c r="I226" s="672">
        <f t="shared" si="69"/>
        <v>3.0303</v>
      </c>
      <c r="J226" s="672">
        <f t="shared" si="69"/>
        <v>3.0303</v>
      </c>
      <c r="K226" s="672">
        <f t="shared" si="69"/>
        <v>3.0303</v>
      </c>
      <c r="L226" s="672">
        <f t="shared" si="69"/>
        <v>3.0303</v>
      </c>
      <c r="M226" s="672">
        <f t="shared" si="69"/>
        <v>3.0303</v>
      </c>
      <c r="N226" s="672">
        <f t="shared" si="69"/>
        <v>3.0303</v>
      </c>
      <c r="O226" s="672">
        <f t="shared" si="69"/>
        <v>3.0303</v>
      </c>
      <c r="P226" s="672">
        <f t="shared" si="69"/>
        <v>3.0303</v>
      </c>
      <c r="Q226" s="672">
        <f t="shared" si="69"/>
        <v>3.0303</v>
      </c>
      <c r="R226" s="672">
        <f t="shared" si="69"/>
        <v>3.0303</v>
      </c>
      <c r="S226" s="672">
        <f t="shared" si="69"/>
        <v>3.0303</v>
      </c>
      <c r="T226" s="672">
        <f t="shared" si="69"/>
        <v>3.0303</v>
      </c>
      <c r="U226" s="672">
        <f t="shared" si="69"/>
        <v>3.0303</v>
      </c>
      <c r="V226" s="672">
        <f t="shared" si="69"/>
        <v>3.0303</v>
      </c>
      <c r="X226" s="547"/>
      <c r="Y226" s="575">
        <v>33</v>
      </c>
    </row>
    <row r="227" spans="2:28" x14ac:dyDescent="0.25">
      <c r="B227" s="191" t="s">
        <v>507</v>
      </c>
      <c r="C227" s="186" t="s">
        <v>127</v>
      </c>
      <c r="D227" s="186"/>
      <c r="E227" s="186"/>
      <c r="F227" s="191" t="s">
        <v>637</v>
      </c>
      <c r="G227" s="660">
        <f t="shared" si="74"/>
        <v>0.53476000000000001</v>
      </c>
      <c r="H227" s="667">
        <f t="shared" si="42"/>
        <v>0.53476000000000001</v>
      </c>
      <c r="I227" s="667">
        <f t="shared" si="69"/>
        <v>0.53476000000000001</v>
      </c>
      <c r="J227" s="667">
        <f t="shared" si="69"/>
        <v>0.53476000000000001</v>
      </c>
      <c r="K227" s="667">
        <f t="shared" si="69"/>
        <v>0.53476000000000001</v>
      </c>
      <c r="L227" s="667">
        <f t="shared" si="69"/>
        <v>0.53476000000000001</v>
      </c>
      <c r="M227" s="667">
        <f t="shared" si="69"/>
        <v>0.53476000000000001</v>
      </c>
      <c r="N227" s="667">
        <f t="shared" si="69"/>
        <v>0.53476000000000001</v>
      </c>
      <c r="O227" s="667">
        <f t="shared" si="69"/>
        <v>0.53476000000000001</v>
      </c>
      <c r="P227" s="667">
        <f t="shared" si="69"/>
        <v>0.53476000000000001</v>
      </c>
      <c r="Q227" s="667">
        <f t="shared" si="69"/>
        <v>0.53476000000000001</v>
      </c>
      <c r="R227" s="667">
        <f t="shared" si="69"/>
        <v>0.53476000000000001</v>
      </c>
      <c r="S227" s="667">
        <f t="shared" si="69"/>
        <v>0.53476000000000001</v>
      </c>
      <c r="T227" s="667">
        <f t="shared" si="69"/>
        <v>0.53476000000000001</v>
      </c>
      <c r="U227" s="667">
        <f t="shared" si="69"/>
        <v>0.53476000000000001</v>
      </c>
      <c r="V227" s="667">
        <f t="shared" si="69"/>
        <v>0.53476000000000001</v>
      </c>
      <c r="X227" s="307" t="str">
        <f>X158</f>
        <v>JRC-EU-TIMES; data for 2010</v>
      </c>
      <c r="Y227" s="302">
        <f>Y229</f>
        <v>187</v>
      </c>
      <c r="AA227" s="107"/>
      <c r="AB227" s="108"/>
    </row>
    <row r="228" spans="2:28" x14ac:dyDescent="0.25">
      <c r="B228" s="191" t="s">
        <v>507</v>
      </c>
      <c r="C228" s="186" t="s">
        <v>127</v>
      </c>
      <c r="D228" s="186"/>
      <c r="E228" s="186"/>
      <c r="F228" s="191" t="s">
        <v>640</v>
      </c>
      <c r="G228" s="660">
        <f t="shared" si="74"/>
        <v>0.46948000000000001</v>
      </c>
      <c r="H228" s="667">
        <f t="shared" si="42"/>
        <v>0.46948000000000001</v>
      </c>
      <c r="I228" s="667">
        <f t="shared" si="69"/>
        <v>0.46948000000000001</v>
      </c>
      <c r="J228" s="667">
        <f t="shared" si="69"/>
        <v>0.46948000000000001</v>
      </c>
      <c r="K228" s="667">
        <f t="shared" si="69"/>
        <v>0.46948000000000001</v>
      </c>
      <c r="L228" s="667">
        <f t="shared" si="69"/>
        <v>0.46948000000000001</v>
      </c>
      <c r="M228" s="667">
        <f t="shared" si="69"/>
        <v>0.46948000000000001</v>
      </c>
      <c r="N228" s="667">
        <f t="shared" si="69"/>
        <v>0.46948000000000001</v>
      </c>
      <c r="O228" s="667">
        <f t="shared" si="69"/>
        <v>0.46948000000000001</v>
      </c>
      <c r="P228" s="667">
        <f t="shared" si="69"/>
        <v>0.46948000000000001</v>
      </c>
      <c r="Q228" s="667">
        <f t="shared" si="69"/>
        <v>0.46948000000000001</v>
      </c>
      <c r="R228" s="667">
        <f t="shared" si="69"/>
        <v>0.46948000000000001</v>
      </c>
      <c r="S228" s="667">
        <f t="shared" si="69"/>
        <v>0.46948000000000001</v>
      </c>
      <c r="T228" s="667">
        <f t="shared" si="69"/>
        <v>0.46948000000000001</v>
      </c>
      <c r="U228" s="667">
        <f t="shared" si="69"/>
        <v>0.46948000000000001</v>
      </c>
      <c r="V228" s="667">
        <f t="shared" si="69"/>
        <v>0.46948000000000001</v>
      </c>
      <c r="X228" s="307" t="str">
        <f t="shared" ref="X228:X291" si="75">X159</f>
        <v>JRC-EU-TIMES; data for 2010</v>
      </c>
      <c r="Y228" s="302">
        <f>Y230</f>
        <v>213</v>
      </c>
      <c r="AA228" s="107"/>
      <c r="AB228" s="108"/>
    </row>
    <row r="229" spans="2:28" x14ac:dyDescent="0.25">
      <c r="B229" s="191" t="s">
        <v>507</v>
      </c>
      <c r="C229" s="191" t="s">
        <v>128</v>
      </c>
      <c r="D229" s="191"/>
      <c r="E229" s="191"/>
      <c r="F229" s="191" t="s">
        <v>637</v>
      </c>
      <c r="G229" s="660">
        <f t="shared" si="74"/>
        <v>0.53476000000000001</v>
      </c>
      <c r="H229" s="667">
        <f t="shared" si="42"/>
        <v>0.53476000000000001</v>
      </c>
      <c r="I229" s="667">
        <f t="shared" si="49"/>
        <v>0.53476000000000001</v>
      </c>
      <c r="J229" s="667">
        <f t="shared" si="54"/>
        <v>0.53476000000000001</v>
      </c>
      <c r="K229" s="667">
        <f t="shared" si="54"/>
        <v>0.53476000000000001</v>
      </c>
      <c r="L229" s="667">
        <f t="shared" si="54"/>
        <v>0.53476000000000001</v>
      </c>
      <c r="M229" s="667">
        <f t="shared" si="54"/>
        <v>0.53476000000000001</v>
      </c>
      <c r="N229" s="667">
        <f t="shared" si="54"/>
        <v>0.53476000000000001</v>
      </c>
      <c r="O229" s="667">
        <f t="shared" si="54"/>
        <v>0.53476000000000001</v>
      </c>
      <c r="P229" s="667">
        <f t="shared" si="54"/>
        <v>0.53476000000000001</v>
      </c>
      <c r="Q229" s="667">
        <f t="shared" si="54"/>
        <v>0.53476000000000001</v>
      </c>
      <c r="R229" s="667">
        <f t="shared" si="54"/>
        <v>0.53476000000000001</v>
      </c>
      <c r="S229" s="667">
        <f t="shared" si="54"/>
        <v>0.53476000000000001</v>
      </c>
      <c r="T229" s="667">
        <f t="shared" si="54"/>
        <v>0.53476000000000001</v>
      </c>
      <c r="U229" s="667">
        <f t="shared" si="54"/>
        <v>0.53476000000000001</v>
      </c>
      <c r="V229" s="667">
        <f t="shared" si="54"/>
        <v>0.53476000000000001</v>
      </c>
      <c r="X229" s="307" t="str">
        <f t="shared" si="75"/>
        <v>JRC-EU-TIMES; data for 2010</v>
      </c>
      <c r="Y229" s="302">
        <v>187</v>
      </c>
      <c r="AA229" s="107" t="s">
        <v>700</v>
      </c>
      <c r="AB229" s="108">
        <v>174</v>
      </c>
    </row>
    <row r="230" spans="2:28" x14ac:dyDescent="0.25">
      <c r="B230" s="191" t="s">
        <v>507</v>
      </c>
      <c r="C230" s="191" t="s">
        <v>128</v>
      </c>
      <c r="D230" s="191"/>
      <c r="E230" s="191"/>
      <c r="F230" s="191" t="s">
        <v>640</v>
      </c>
      <c r="G230" s="660">
        <f t="shared" si="74"/>
        <v>0.46948000000000001</v>
      </c>
      <c r="H230" s="667">
        <f t="shared" si="42"/>
        <v>0.46948000000000001</v>
      </c>
      <c r="I230" s="667">
        <f t="shared" si="49"/>
        <v>0.46948000000000001</v>
      </c>
      <c r="J230" s="667">
        <f t="shared" si="54"/>
        <v>0.46948000000000001</v>
      </c>
      <c r="K230" s="667">
        <f t="shared" si="54"/>
        <v>0.46948000000000001</v>
      </c>
      <c r="L230" s="667">
        <f t="shared" si="54"/>
        <v>0.46948000000000001</v>
      </c>
      <c r="M230" s="667">
        <f t="shared" si="54"/>
        <v>0.46948000000000001</v>
      </c>
      <c r="N230" s="667">
        <f t="shared" si="54"/>
        <v>0.46948000000000001</v>
      </c>
      <c r="O230" s="667">
        <f t="shared" si="54"/>
        <v>0.46948000000000001</v>
      </c>
      <c r="P230" s="667">
        <f t="shared" si="54"/>
        <v>0.46948000000000001</v>
      </c>
      <c r="Q230" s="667">
        <f t="shared" si="54"/>
        <v>0.46948000000000001</v>
      </c>
      <c r="R230" s="667">
        <f t="shared" si="54"/>
        <v>0.46948000000000001</v>
      </c>
      <c r="S230" s="667">
        <f t="shared" si="54"/>
        <v>0.46948000000000001</v>
      </c>
      <c r="T230" s="667">
        <f t="shared" si="54"/>
        <v>0.46948000000000001</v>
      </c>
      <c r="U230" s="667">
        <f t="shared" si="54"/>
        <v>0.46948000000000001</v>
      </c>
      <c r="V230" s="667">
        <f t="shared" si="54"/>
        <v>0.46948000000000001</v>
      </c>
      <c r="X230" s="307" t="str">
        <f t="shared" si="75"/>
        <v>JRC-EU-TIMES; data for 2010</v>
      </c>
      <c r="Y230" s="302">
        <v>213</v>
      </c>
      <c r="AA230" s="107" t="s">
        <v>700</v>
      </c>
      <c r="AB230" s="108">
        <v>199</v>
      </c>
    </row>
    <row r="231" spans="2:28" x14ac:dyDescent="0.25">
      <c r="B231" s="191" t="s">
        <v>507</v>
      </c>
      <c r="C231" s="191" t="s">
        <v>129</v>
      </c>
      <c r="D231" s="191"/>
      <c r="E231" s="191"/>
      <c r="F231" s="191" t="s">
        <v>637</v>
      </c>
      <c r="G231" s="660">
        <f t="shared" si="74"/>
        <v>1.2987</v>
      </c>
      <c r="H231" s="667">
        <f t="shared" si="42"/>
        <v>1.2987</v>
      </c>
      <c r="I231" s="667">
        <f t="shared" si="49"/>
        <v>1.2987</v>
      </c>
      <c r="J231" s="667">
        <f t="shared" si="54"/>
        <v>1.2987</v>
      </c>
      <c r="K231" s="667">
        <f t="shared" si="54"/>
        <v>1.2987</v>
      </c>
      <c r="L231" s="667">
        <f t="shared" si="54"/>
        <v>1.2987</v>
      </c>
      <c r="M231" s="667">
        <f t="shared" si="54"/>
        <v>1.2987</v>
      </c>
      <c r="N231" s="667">
        <f t="shared" si="54"/>
        <v>1.2987</v>
      </c>
      <c r="O231" s="667">
        <f t="shared" si="54"/>
        <v>1.2987</v>
      </c>
      <c r="P231" s="667">
        <f t="shared" si="54"/>
        <v>1.2987</v>
      </c>
      <c r="Q231" s="667">
        <f t="shared" si="54"/>
        <v>1.2987</v>
      </c>
      <c r="R231" s="667">
        <f t="shared" si="54"/>
        <v>1.2987</v>
      </c>
      <c r="S231" s="667">
        <f t="shared" si="54"/>
        <v>1.2987</v>
      </c>
      <c r="T231" s="667">
        <f t="shared" si="54"/>
        <v>1.2987</v>
      </c>
      <c r="U231" s="667">
        <f t="shared" ref="J231:V282" si="76">$H231</f>
        <v>1.2987</v>
      </c>
      <c r="V231" s="667">
        <f t="shared" si="76"/>
        <v>1.2987</v>
      </c>
      <c r="X231" s="307" t="str">
        <f t="shared" si="75"/>
        <v>JRC-EU-TIMES; data for 2010</v>
      </c>
      <c r="Y231" s="302">
        <v>77</v>
      </c>
      <c r="AA231" s="107" t="s">
        <v>700</v>
      </c>
      <c r="AB231" s="108">
        <v>77</v>
      </c>
    </row>
    <row r="232" spans="2:28" x14ac:dyDescent="0.25">
      <c r="B232" s="191" t="s">
        <v>507</v>
      </c>
      <c r="C232" s="191" t="s">
        <v>129</v>
      </c>
      <c r="D232" s="191"/>
      <c r="E232" s="191"/>
      <c r="F232" s="191" t="s">
        <v>640</v>
      </c>
      <c r="G232" s="660">
        <f t="shared" si="74"/>
        <v>1.6129</v>
      </c>
      <c r="H232" s="667">
        <f t="shared" si="42"/>
        <v>1.6129</v>
      </c>
      <c r="I232" s="667">
        <f t="shared" si="49"/>
        <v>1.6129</v>
      </c>
      <c r="J232" s="667">
        <f t="shared" si="76"/>
        <v>1.6129</v>
      </c>
      <c r="K232" s="667">
        <f t="shared" si="76"/>
        <v>1.6129</v>
      </c>
      <c r="L232" s="667">
        <f t="shared" si="76"/>
        <v>1.6129</v>
      </c>
      <c r="M232" s="667">
        <f t="shared" si="76"/>
        <v>1.6129</v>
      </c>
      <c r="N232" s="667">
        <f t="shared" si="76"/>
        <v>1.6129</v>
      </c>
      <c r="O232" s="667">
        <f t="shared" si="76"/>
        <v>1.6129</v>
      </c>
      <c r="P232" s="667">
        <f t="shared" si="76"/>
        <v>1.6129</v>
      </c>
      <c r="Q232" s="667">
        <f t="shared" si="76"/>
        <v>1.6129</v>
      </c>
      <c r="R232" s="667">
        <f t="shared" si="76"/>
        <v>1.6129</v>
      </c>
      <c r="S232" s="667">
        <f t="shared" si="76"/>
        <v>1.6129</v>
      </c>
      <c r="T232" s="667">
        <f t="shared" si="76"/>
        <v>1.6129</v>
      </c>
      <c r="U232" s="667">
        <f t="shared" si="76"/>
        <v>1.6129</v>
      </c>
      <c r="V232" s="667">
        <f t="shared" si="76"/>
        <v>1.6129</v>
      </c>
      <c r="X232" s="307" t="str">
        <f t="shared" si="75"/>
        <v>JRC-EU-TIMES; data for 2010</v>
      </c>
      <c r="Y232" s="302">
        <v>62</v>
      </c>
      <c r="AA232" s="107" t="s">
        <v>700</v>
      </c>
      <c r="AB232" s="108">
        <v>62</v>
      </c>
    </row>
    <row r="233" spans="2:28" x14ac:dyDescent="0.25">
      <c r="B233" s="191" t="s">
        <v>507</v>
      </c>
      <c r="C233" s="191" t="s">
        <v>130</v>
      </c>
      <c r="D233" s="191"/>
      <c r="E233" s="191"/>
      <c r="F233" s="191" t="s">
        <v>637</v>
      </c>
      <c r="G233" s="660">
        <f t="shared" si="74"/>
        <v>0.48309000000000002</v>
      </c>
      <c r="H233" s="667">
        <f t="shared" si="42"/>
        <v>0.48309000000000002</v>
      </c>
      <c r="I233" s="667">
        <f t="shared" si="49"/>
        <v>0.48309000000000002</v>
      </c>
      <c r="J233" s="667">
        <f>$H233</f>
        <v>0.48309000000000002</v>
      </c>
      <c r="K233" s="667">
        <f t="shared" si="76"/>
        <v>0.48309000000000002</v>
      </c>
      <c r="L233" s="667">
        <f t="shared" si="76"/>
        <v>0.48309000000000002</v>
      </c>
      <c r="M233" s="667">
        <f t="shared" si="76"/>
        <v>0.48309000000000002</v>
      </c>
      <c r="N233" s="667">
        <f t="shared" si="76"/>
        <v>0.48309000000000002</v>
      </c>
      <c r="O233" s="667">
        <f t="shared" si="76"/>
        <v>0.48309000000000002</v>
      </c>
      <c r="P233" s="667">
        <f t="shared" si="76"/>
        <v>0.48309000000000002</v>
      </c>
      <c r="Q233" s="667">
        <f t="shared" si="76"/>
        <v>0.48309000000000002</v>
      </c>
      <c r="R233" s="667">
        <f t="shared" si="76"/>
        <v>0.48309000000000002</v>
      </c>
      <c r="S233" s="667">
        <f t="shared" si="76"/>
        <v>0.48309000000000002</v>
      </c>
      <c r="T233" s="667">
        <f t="shared" si="76"/>
        <v>0.48309000000000002</v>
      </c>
      <c r="U233" s="667">
        <f t="shared" si="76"/>
        <v>0.48309000000000002</v>
      </c>
      <c r="V233" s="667">
        <f t="shared" si="76"/>
        <v>0.48309000000000002</v>
      </c>
      <c r="X233" s="307" t="str">
        <f t="shared" si="75"/>
        <v>Assumed same as GSL</v>
      </c>
      <c r="Y233" s="302">
        <v>207</v>
      </c>
      <c r="AA233" s="107" t="s">
        <v>700</v>
      </c>
      <c r="AB233" s="108">
        <v>193</v>
      </c>
    </row>
    <row r="234" spans="2:28" x14ac:dyDescent="0.25">
      <c r="B234" s="191" t="s">
        <v>507</v>
      </c>
      <c r="C234" s="191" t="s">
        <v>130</v>
      </c>
      <c r="D234" s="191"/>
      <c r="E234" s="191"/>
      <c r="F234" s="191" t="s">
        <v>640</v>
      </c>
      <c r="G234" s="660">
        <f t="shared" si="74"/>
        <v>0.39840999999999999</v>
      </c>
      <c r="H234" s="667">
        <f t="shared" si="42"/>
        <v>0.39840999999999999</v>
      </c>
      <c r="I234" s="667">
        <f t="shared" si="49"/>
        <v>0.39840999999999999</v>
      </c>
      <c r="J234" s="667">
        <f t="shared" si="76"/>
        <v>0.39840999999999999</v>
      </c>
      <c r="K234" s="667">
        <f t="shared" si="76"/>
        <v>0.39840999999999999</v>
      </c>
      <c r="L234" s="667">
        <f t="shared" si="76"/>
        <v>0.39840999999999999</v>
      </c>
      <c r="M234" s="667">
        <f t="shared" si="76"/>
        <v>0.39840999999999999</v>
      </c>
      <c r="N234" s="667">
        <f t="shared" si="76"/>
        <v>0.39840999999999999</v>
      </c>
      <c r="O234" s="667">
        <f t="shared" si="76"/>
        <v>0.39840999999999999</v>
      </c>
      <c r="P234" s="667">
        <f t="shared" si="76"/>
        <v>0.39840999999999999</v>
      </c>
      <c r="Q234" s="667">
        <f t="shared" si="76"/>
        <v>0.39840999999999999</v>
      </c>
      <c r="R234" s="667">
        <f t="shared" si="76"/>
        <v>0.39840999999999999</v>
      </c>
      <c r="S234" s="667">
        <f t="shared" si="76"/>
        <v>0.39840999999999999</v>
      </c>
      <c r="T234" s="667">
        <f t="shared" si="76"/>
        <v>0.39840999999999999</v>
      </c>
      <c r="U234" s="667">
        <f t="shared" si="76"/>
        <v>0.39840999999999999</v>
      </c>
      <c r="V234" s="667">
        <f t="shared" si="76"/>
        <v>0.39840999999999999</v>
      </c>
      <c r="X234" s="307" t="str">
        <f t="shared" si="75"/>
        <v>Assumed same as GSL</v>
      </c>
      <c r="Y234" s="302">
        <v>251</v>
      </c>
      <c r="AA234" s="107" t="s">
        <v>700</v>
      </c>
      <c r="AB234" s="108">
        <v>235</v>
      </c>
    </row>
    <row r="235" spans="2:28" x14ac:dyDescent="0.25">
      <c r="B235" s="191" t="s">
        <v>507</v>
      </c>
      <c r="C235" s="191" t="s">
        <v>131</v>
      </c>
      <c r="D235" s="191"/>
      <c r="E235" s="191"/>
      <c r="F235" s="191" t="s">
        <v>637</v>
      </c>
      <c r="G235" s="660">
        <f t="shared" si="74"/>
        <v>0.48309000000000002</v>
      </c>
      <c r="H235" s="667">
        <f t="shared" si="42"/>
        <v>0.48309000000000002</v>
      </c>
      <c r="I235" s="667">
        <f t="shared" si="49"/>
        <v>0.48309000000000002</v>
      </c>
      <c r="J235" s="667">
        <f t="shared" si="76"/>
        <v>0.48309000000000002</v>
      </c>
      <c r="K235" s="667">
        <f t="shared" si="76"/>
        <v>0.48309000000000002</v>
      </c>
      <c r="L235" s="667">
        <f t="shared" si="76"/>
        <v>0.48309000000000002</v>
      </c>
      <c r="M235" s="667">
        <f t="shared" si="76"/>
        <v>0.48309000000000002</v>
      </c>
      <c r="N235" s="667">
        <f t="shared" si="76"/>
        <v>0.48309000000000002</v>
      </c>
      <c r="O235" s="667">
        <f t="shared" si="76"/>
        <v>0.48309000000000002</v>
      </c>
      <c r="P235" s="667">
        <f t="shared" si="76"/>
        <v>0.48309000000000002</v>
      </c>
      <c r="Q235" s="667">
        <f t="shared" si="76"/>
        <v>0.48309000000000002</v>
      </c>
      <c r="R235" s="667">
        <f t="shared" si="76"/>
        <v>0.48309000000000002</v>
      </c>
      <c r="S235" s="667">
        <f t="shared" si="76"/>
        <v>0.48309000000000002</v>
      </c>
      <c r="T235" s="667">
        <f t="shared" si="76"/>
        <v>0.48309000000000002</v>
      </c>
      <c r="U235" s="667">
        <f t="shared" si="76"/>
        <v>0.48309000000000002</v>
      </c>
      <c r="V235" s="667">
        <f t="shared" si="76"/>
        <v>0.48309000000000002</v>
      </c>
      <c r="X235" s="307" t="str">
        <f t="shared" si="75"/>
        <v>Assumed same as GSL</v>
      </c>
      <c r="Y235" s="302">
        <v>207</v>
      </c>
      <c r="AA235" s="107" t="s">
        <v>700</v>
      </c>
      <c r="AB235" s="108">
        <v>193</v>
      </c>
    </row>
    <row r="236" spans="2:28" x14ac:dyDescent="0.25">
      <c r="B236" s="191" t="s">
        <v>507</v>
      </c>
      <c r="C236" s="191" t="s">
        <v>131</v>
      </c>
      <c r="D236" s="191"/>
      <c r="E236" s="191"/>
      <c r="F236" s="191" t="s">
        <v>640</v>
      </c>
      <c r="G236" s="660">
        <f t="shared" si="74"/>
        <v>0.39840999999999999</v>
      </c>
      <c r="H236" s="667">
        <f t="shared" si="42"/>
        <v>0.39840999999999999</v>
      </c>
      <c r="I236" s="667">
        <f t="shared" si="49"/>
        <v>0.39840999999999999</v>
      </c>
      <c r="J236" s="667">
        <f t="shared" si="76"/>
        <v>0.39840999999999999</v>
      </c>
      <c r="K236" s="667">
        <f t="shared" si="76"/>
        <v>0.39840999999999999</v>
      </c>
      <c r="L236" s="667">
        <f t="shared" si="76"/>
        <v>0.39840999999999999</v>
      </c>
      <c r="M236" s="667">
        <f t="shared" si="76"/>
        <v>0.39840999999999999</v>
      </c>
      <c r="N236" s="667">
        <f t="shared" si="76"/>
        <v>0.39840999999999999</v>
      </c>
      <c r="O236" s="667">
        <f t="shared" si="76"/>
        <v>0.39840999999999999</v>
      </c>
      <c r="P236" s="667">
        <f t="shared" si="76"/>
        <v>0.39840999999999999</v>
      </c>
      <c r="Q236" s="667">
        <f t="shared" si="76"/>
        <v>0.39840999999999999</v>
      </c>
      <c r="R236" s="667">
        <f t="shared" si="76"/>
        <v>0.39840999999999999</v>
      </c>
      <c r="S236" s="667">
        <f t="shared" si="76"/>
        <v>0.39840999999999999</v>
      </c>
      <c r="T236" s="667">
        <f t="shared" si="76"/>
        <v>0.39840999999999999</v>
      </c>
      <c r="U236" s="667">
        <f t="shared" si="76"/>
        <v>0.39840999999999999</v>
      </c>
      <c r="V236" s="667">
        <f t="shared" si="76"/>
        <v>0.39840999999999999</v>
      </c>
      <c r="X236" s="307" t="str">
        <f t="shared" si="75"/>
        <v>Assumed same as GSL</v>
      </c>
      <c r="Y236" s="302">
        <v>251</v>
      </c>
      <c r="AA236" s="107" t="s">
        <v>700</v>
      </c>
      <c r="AB236" s="108">
        <v>235</v>
      </c>
    </row>
    <row r="237" spans="2:28" x14ac:dyDescent="0.25">
      <c r="B237" s="191" t="s">
        <v>507</v>
      </c>
      <c r="C237" s="191" t="s">
        <v>132</v>
      </c>
      <c r="D237" s="191"/>
      <c r="E237" s="191"/>
      <c r="F237" s="191" t="s">
        <v>637</v>
      </c>
      <c r="G237" s="660">
        <f t="shared" si="74"/>
        <v>0.48309000000000002</v>
      </c>
      <c r="H237" s="667">
        <f t="shared" si="42"/>
        <v>0.48309000000000002</v>
      </c>
      <c r="I237" s="667">
        <f t="shared" si="49"/>
        <v>0.48309000000000002</v>
      </c>
      <c r="J237" s="667">
        <f t="shared" si="76"/>
        <v>0.48309000000000002</v>
      </c>
      <c r="K237" s="667">
        <f t="shared" si="76"/>
        <v>0.48309000000000002</v>
      </c>
      <c r="L237" s="667">
        <f t="shared" si="76"/>
        <v>0.48309000000000002</v>
      </c>
      <c r="M237" s="667">
        <f t="shared" si="76"/>
        <v>0.48309000000000002</v>
      </c>
      <c r="N237" s="667">
        <f t="shared" si="76"/>
        <v>0.48309000000000002</v>
      </c>
      <c r="O237" s="667">
        <f t="shared" si="76"/>
        <v>0.48309000000000002</v>
      </c>
      <c r="P237" s="667">
        <f t="shared" si="76"/>
        <v>0.48309000000000002</v>
      </c>
      <c r="Q237" s="667">
        <f t="shared" si="76"/>
        <v>0.48309000000000002</v>
      </c>
      <c r="R237" s="667">
        <f t="shared" si="76"/>
        <v>0.48309000000000002</v>
      </c>
      <c r="S237" s="667">
        <f t="shared" si="76"/>
        <v>0.48309000000000002</v>
      </c>
      <c r="T237" s="667">
        <f t="shared" si="76"/>
        <v>0.48309000000000002</v>
      </c>
      <c r="U237" s="667">
        <f t="shared" si="76"/>
        <v>0.48309000000000002</v>
      </c>
      <c r="V237" s="667">
        <f t="shared" si="76"/>
        <v>0.48309000000000002</v>
      </c>
      <c r="X237" s="307" t="str">
        <f t="shared" si="75"/>
        <v>JRC-EU-TIMES; data for 2010</v>
      </c>
      <c r="Y237" s="302">
        <v>207</v>
      </c>
      <c r="AA237" s="107" t="s">
        <v>700</v>
      </c>
      <c r="AB237" s="108">
        <v>193</v>
      </c>
    </row>
    <row r="238" spans="2:28" x14ac:dyDescent="0.25">
      <c r="B238" s="191" t="s">
        <v>507</v>
      </c>
      <c r="C238" s="191" t="s">
        <v>132</v>
      </c>
      <c r="D238" s="191"/>
      <c r="E238" s="191"/>
      <c r="F238" s="191" t="s">
        <v>640</v>
      </c>
      <c r="G238" s="660">
        <f t="shared" si="74"/>
        <v>0.39840999999999999</v>
      </c>
      <c r="H238" s="667">
        <f t="shared" si="42"/>
        <v>0.39840999999999999</v>
      </c>
      <c r="I238" s="667">
        <f t="shared" si="49"/>
        <v>0.39840999999999999</v>
      </c>
      <c r="J238" s="667">
        <f t="shared" si="76"/>
        <v>0.39840999999999999</v>
      </c>
      <c r="K238" s="667">
        <f t="shared" si="76"/>
        <v>0.39840999999999999</v>
      </c>
      <c r="L238" s="667">
        <f t="shared" si="76"/>
        <v>0.39840999999999999</v>
      </c>
      <c r="M238" s="667">
        <f t="shared" si="76"/>
        <v>0.39840999999999999</v>
      </c>
      <c r="N238" s="667">
        <f t="shared" si="76"/>
        <v>0.39840999999999999</v>
      </c>
      <c r="O238" s="667">
        <f t="shared" si="76"/>
        <v>0.39840999999999999</v>
      </c>
      <c r="P238" s="667">
        <f t="shared" si="76"/>
        <v>0.39840999999999999</v>
      </c>
      <c r="Q238" s="667">
        <f t="shared" si="76"/>
        <v>0.39840999999999999</v>
      </c>
      <c r="R238" s="667">
        <f t="shared" si="76"/>
        <v>0.39840999999999999</v>
      </c>
      <c r="S238" s="667">
        <f t="shared" si="76"/>
        <v>0.39840999999999999</v>
      </c>
      <c r="T238" s="667">
        <f t="shared" si="76"/>
        <v>0.39840999999999999</v>
      </c>
      <c r="U238" s="667">
        <f t="shared" si="76"/>
        <v>0.39840999999999999</v>
      </c>
      <c r="V238" s="667">
        <f t="shared" si="76"/>
        <v>0.39840999999999999</v>
      </c>
      <c r="X238" s="307" t="str">
        <f t="shared" si="75"/>
        <v>JRC-EU-TIMES; data for 2010</v>
      </c>
      <c r="Y238" s="302">
        <v>251</v>
      </c>
      <c r="AA238" s="107" t="s">
        <v>700</v>
      </c>
      <c r="AB238" s="108">
        <v>235</v>
      </c>
    </row>
    <row r="239" spans="2:28" x14ac:dyDescent="0.25">
      <c r="B239" s="191" t="s">
        <v>507</v>
      </c>
      <c r="C239" s="191" t="s">
        <v>133</v>
      </c>
      <c r="D239" s="191"/>
      <c r="E239" s="191"/>
      <c r="F239" s="191" t="s">
        <v>637</v>
      </c>
      <c r="G239" s="660">
        <f t="shared" si="74"/>
        <v>0.66666999999999998</v>
      </c>
      <c r="H239" s="667">
        <f t="shared" si="42"/>
        <v>0.66666999999999998</v>
      </c>
      <c r="I239" s="667">
        <f t="shared" si="49"/>
        <v>0.66666999999999998</v>
      </c>
      <c r="J239" s="667">
        <f t="shared" si="76"/>
        <v>0.66666999999999998</v>
      </c>
      <c r="K239" s="667">
        <f t="shared" si="76"/>
        <v>0.66666999999999998</v>
      </c>
      <c r="L239" s="667">
        <f t="shared" si="76"/>
        <v>0.66666999999999998</v>
      </c>
      <c r="M239" s="667">
        <f t="shared" si="76"/>
        <v>0.66666999999999998</v>
      </c>
      <c r="N239" s="667">
        <f t="shared" si="76"/>
        <v>0.66666999999999998</v>
      </c>
      <c r="O239" s="667">
        <f t="shared" si="76"/>
        <v>0.66666999999999998</v>
      </c>
      <c r="P239" s="667">
        <f t="shared" si="76"/>
        <v>0.66666999999999998</v>
      </c>
      <c r="Q239" s="667">
        <f t="shared" si="76"/>
        <v>0.66666999999999998</v>
      </c>
      <c r="R239" s="667">
        <f t="shared" si="76"/>
        <v>0.66666999999999998</v>
      </c>
      <c r="S239" s="667">
        <f t="shared" si="76"/>
        <v>0.66666999999999998</v>
      </c>
      <c r="T239" s="667">
        <f t="shared" si="76"/>
        <v>0.66666999999999998</v>
      </c>
      <c r="U239" s="667">
        <f t="shared" si="76"/>
        <v>0.66666999999999998</v>
      </c>
      <c r="V239" s="667">
        <f t="shared" si="76"/>
        <v>0.66666999999999998</v>
      </c>
      <c r="X239" s="307" t="str">
        <f t="shared" si="75"/>
        <v>JRC-EU-TIMES; data for 2010</v>
      </c>
      <c r="Y239" s="302">
        <v>150</v>
      </c>
      <c r="AA239" s="107"/>
      <c r="AB239" s="108"/>
    </row>
    <row r="240" spans="2:28" x14ac:dyDescent="0.25">
      <c r="B240" s="191" t="s">
        <v>507</v>
      </c>
      <c r="C240" s="191" t="s">
        <v>133</v>
      </c>
      <c r="D240" s="191"/>
      <c r="E240" s="191"/>
      <c r="F240" s="191" t="s">
        <v>640</v>
      </c>
      <c r="G240" s="660">
        <f t="shared" si="74"/>
        <v>0.58823999999999999</v>
      </c>
      <c r="H240" s="667">
        <f t="shared" si="42"/>
        <v>0.58823999999999999</v>
      </c>
      <c r="I240" s="667">
        <f t="shared" si="49"/>
        <v>0.58823999999999999</v>
      </c>
      <c r="J240" s="667">
        <f t="shared" si="76"/>
        <v>0.58823999999999999</v>
      </c>
      <c r="K240" s="667">
        <f t="shared" si="76"/>
        <v>0.58823999999999999</v>
      </c>
      <c r="L240" s="667">
        <f t="shared" si="76"/>
        <v>0.58823999999999999</v>
      </c>
      <c r="M240" s="667">
        <f t="shared" si="76"/>
        <v>0.58823999999999999</v>
      </c>
      <c r="N240" s="667">
        <f t="shared" si="76"/>
        <v>0.58823999999999999</v>
      </c>
      <c r="O240" s="667">
        <f t="shared" si="76"/>
        <v>0.58823999999999999</v>
      </c>
      <c r="P240" s="667">
        <f t="shared" si="76"/>
        <v>0.58823999999999999</v>
      </c>
      <c r="Q240" s="667">
        <f t="shared" si="76"/>
        <v>0.58823999999999999</v>
      </c>
      <c r="R240" s="667">
        <f t="shared" si="76"/>
        <v>0.58823999999999999</v>
      </c>
      <c r="S240" s="667">
        <f t="shared" si="76"/>
        <v>0.58823999999999999</v>
      </c>
      <c r="T240" s="667">
        <f t="shared" si="76"/>
        <v>0.58823999999999999</v>
      </c>
      <c r="U240" s="667">
        <f t="shared" si="76"/>
        <v>0.58823999999999999</v>
      </c>
      <c r="V240" s="667">
        <f t="shared" si="76"/>
        <v>0.58823999999999999</v>
      </c>
      <c r="X240" s="307" t="str">
        <f t="shared" si="75"/>
        <v>JRC-EU-TIMES; data for 2010</v>
      </c>
      <c r="Y240" s="302">
        <v>170</v>
      </c>
      <c r="AA240" s="107"/>
      <c r="AB240" s="108"/>
    </row>
    <row r="241" spans="1:28" x14ac:dyDescent="0.25">
      <c r="B241" s="191" t="s">
        <v>507</v>
      </c>
      <c r="C241" s="191" t="s">
        <v>134</v>
      </c>
      <c r="D241" s="191"/>
      <c r="E241" s="191"/>
      <c r="F241" s="191" t="s">
        <v>637</v>
      </c>
      <c r="G241" s="660">
        <f t="shared" si="74"/>
        <v>0.5988</v>
      </c>
      <c r="H241" s="667">
        <f t="shared" si="42"/>
        <v>0.5988</v>
      </c>
      <c r="I241" s="667">
        <f t="shared" si="49"/>
        <v>0.5988</v>
      </c>
      <c r="J241" s="667">
        <f t="shared" si="49"/>
        <v>0.5988</v>
      </c>
      <c r="K241" s="667">
        <f t="shared" si="49"/>
        <v>0.5988</v>
      </c>
      <c r="L241" s="667">
        <f t="shared" si="49"/>
        <v>0.5988</v>
      </c>
      <c r="M241" s="667">
        <f t="shared" si="49"/>
        <v>0.5988</v>
      </c>
      <c r="N241" s="667">
        <f t="shared" si="49"/>
        <v>0.5988</v>
      </c>
      <c r="O241" s="667">
        <f t="shared" si="49"/>
        <v>0.5988</v>
      </c>
      <c r="P241" s="667">
        <f t="shared" si="49"/>
        <v>0.5988</v>
      </c>
      <c r="Q241" s="667">
        <f t="shared" si="49"/>
        <v>0.5988</v>
      </c>
      <c r="R241" s="667">
        <f t="shared" si="49"/>
        <v>0.5988</v>
      </c>
      <c r="S241" s="667">
        <f t="shared" si="49"/>
        <v>0.5988</v>
      </c>
      <c r="T241" s="667">
        <f t="shared" si="49"/>
        <v>0.5988</v>
      </c>
      <c r="U241" s="667">
        <f t="shared" si="49"/>
        <v>0.5988</v>
      </c>
      <c r="V241" s="667">
        <f t="shared" si="49"/>
        <v>0.5988</v>
      </c>
      <c r="X241" s="307" t="str">
        <f t="shared" si="75"/>
        <v>JRC-EU-TIMES; data for 2010</v>
      </c>
      <c r="Y241" s="302">
        <v>167</v>
      </c>
      <c r="AA241" s="107"/>
      <c r="AB241" s="108"/>
    </row>
    <row r="242" spans="1:28" x14ac:dyDescent="0.25">
      <c r="B242" s="191" t="s">
        <v>507</v>
      </c>
      <c r="C242" s="191" t="s">
        <v>134</v>
      </c>
      <c r="D242" s="191"/>
      <c r="E242" s="191"/>
      <c r="F242" s="191" t="s">
        <v>640</v>
      </c>
      <c r="G242" s="660">
        <f t="shared" si="74"/>
        <v>0.49504999999999999</v>
      </c>
      <c r="H242" s="667">
        <f t="shared" si="42"/>
        <v>0.49504999999999999</v>
      </c>
      <c r="I242" s="667">
        <f t="shared" si="49"/>
        <v>0.49504999999999999</v>
      </c>
      <c r="J242" s="667">
        <f t="shared" si="49"/>
        <v>0.49504999999999999</v>
      </c>
      <c r="K242" s="667">
        <f t="shared" si="49"/>
        <v>0.49504999999999999</v>
      </c>
      <c r="L242" s="667">
        <f t="shared" si="49"/>
        <v>0.49504999999999999</v>
      </c>
      <c r="M242" s="667">
        <f t="shared" si="49"/>
        <v>0.49504999999999999</v>
      </c>
      <c r="N242" s="667">
        <f t="shared" si="49"/>
        <v>0.49504999999999999</v>
      </c>
      <c r="O242" s="667">
        <f t="shared" si="49"/>
        <v>0.49504999999999999</v>
      </c>
      <c r="P242" s="667">
        <f t="shared" si="49"/>
        <v>0.49504999999999999</v>
      </c>
      <c r="Q242" s="667">
        <f t="shared" si="49"/>
        <v>0.49504999999999999</v>
      </c>
      <c r="R242" s="667">
        <f t="shared" si="49"/>
        <v>0.49504999999999999</v>
      </c>
      <c r="S242" s="667">
        <f t="shared" si="49"/>
        <v>0.49504999999999999</v>
      </c>
      <c r="T242" s="667">
        <f t="shared" si="49"/>
        <v>0.49504999999999999</v>
      </c>
      <c r="U242" s="667">
        <f t="shared" si="49"/>
        <v>0.49504999999999999</v>
      </c>
      <c r="V242" s="667">
        <f t="shared" si="49"/>
        <v>0.49504999999999999</v>
      </c>
      <c r="X242" s="307" t="str">
        <f t="shared" si="75"/>
        <v>JRC-EU-TIMES; data for 2010</v>
      </c>
      <c r="Y242" s="302">
        <v>202</v>
      </c>
      <c r="AA242" s="107"/>
      <c r="AB242" s="108"/>
    </row>
    <row r="243" spans="1:28" x14ac:dyDescent="0.25">
      <c r="B243" s="191" t="s">
        <v>507</v>
      </c>
      <c r="C243" s="191" t="s">
        <v>135</v>
      </c>
      <c r="D243" s="191"/>
      <c r="E243" s="191"/>
      <c r="F243" s="191" t="s">
        <v>637</v>
      </c>
      <c r="G243" s="660">
        <f t="shared" si="74"/>
        <v>0.48309000000000002</v>
      </c>
      <c r="H243" s="667">
        <f t="shared" si="42"/>
        <v>0.48309000000000002</v>
      </c>
      <c r="I243" s="667">
        <f t="shared" si="49"/>
        <v>0.48309000000000002</v>
      </c>
      <c r="J243" s="667">
        <f t="shared" si="76"/>
        <v>0.48309000000000002</v>
      </c>
      <c r="K243" s="667">
        <f t="shared" si="76"/>
        <v>0.48309000000000002</v>
      </c>
      <c r="L243" s="667">
        <f t="shared" si="76"/>
        <v>0.48309000000000002</v>
      </c>
      <c r="M243" s="667">
        <f t="shared" si="76"/>
        <v>0.48309000000000002</v>
      </c>
      <c r="N243" s="667">
        <f t="shared" si="76"/>
        <v>0.48309000000000002</v>
      </c>
      <c r="O243" s="667">
        <f t="shared" si="76"/>
        <v>0.48309000000000002</v>
      </c>
      <c r="P243" s="667">
        <f t="shared" si="76"/>
        <v>0.48309000000000002</v>
      </c>
      <c r="Q243" s="667">
        <f t="shared" si="76"/>
        <v>0.48309000000000002</v>
      </c>
      <c r="R243" s="667">
        <f t="shared" si="76"/>
        <v>0.48309000000000002</v>
      </c>
      <c r="S243" s="667">
        <f t="shared" si="76"/>
        <v>0.48309000000000002</v>
      </c>
      <c r="T243" s="667">
        <f t="shared" si="76"/>
        <v>0.48309000000000002</v>
      </c>
      <c r="U243" s="667">
        <f t="shared" si="76"/>
        <v>0.48309000000000002</v>
      </c>
      <c r="V243" s="667">
        <f t="shared" si="76"/>
        <v>0.48309000000000002</v>
      </c>
      <c r="X243" s="307" t="str">
        <f t="shared" si="75"/>
        <v>Assumed same as GSL</v>
      </c>
      <c r="Y243" s="302">
        <v>207</v>
      </c>
      <c r="AA243" s="107" t="s">
        <v>700</v>
      </c>
      <c r="AB243" s="108">
        <v>193</v>
      </c>
    </row>
    <row r="244" spans="1:28" x14ac:dyDescent="0.25">
      <c r="B244" s="191" t="s">
        <v>507</v>
      </c>
      <c r="C244" s="191" t="s">
        <v>135</v>
      </c>
      <c r="D244" s="191"/>
      <c r="E244" s="191"/>
      <c r="F244" s="191" t="s">
        <v>640</v>
      </c>
      <c r="G244" s="660">
        <f t="shared" si="74"/>
        <v>0.39840999999999999</v>
      </c>
      <c r="H244" s="667">
        <f t="shared" si="42"/>
        <v>0.39840999999999999</v>
      </c>
      <c r="I244" s="667">
        <f t="shared" si="49"/>
        <v>0.39840999999999999</v>
      </c>
      <c r="J244" s="667">
        <f t="shared" si="76"/>
        <v>0.39840999999999999</v>
      </c>
      <c r="K244" s="667">
        <f t="shared" si="76"/>
        <v>0.39840999999999999</v>
      </c>
      <c r="L244" s="667">
        <f t="shared" si="76"/>
        <v>0.39840999999999999</v>
      </c>
      <c r="M244" s="667">
        <f t="shared" si="76"/>
        <v>0.39840999999999999</v>
      </c>
      <c r="N244" s="667">
        <f t="shared" si="76"/>
        <v>0.39840999999999999</v>
      </c>
      <c r="O244" s="667">
        <f t="shared" si="76"/>
        <v>0.39840999999999999</v>
      </c>
      <c r="P244" s="667">
        <f t="shared" si="76"/>
        <v>0.39840999999999999</v>
      </c>
      <c r="Q244" s="667">
        <f t="shared" si="76"/>
        <v>0.39840999999999999</v>
      </c>
      <c r="R244" s="667">
        <f t="shared" si="76"/>
        <v>0.39840999999999999</v>
      </c>
      <c r="S244" s="667">
        <f t="shared" si="76"/>
        <v>0.39840999999999999</v>
      </c>
      <c r="T244" s="667">
        <f t="shared" si="76"/>
        <v>0.39840999999999999</v>
      </c>
      <c r="U244" s="667">
        <f t="shared" si="76"/>
        <v>0.39840999999999999</v>
      </c>
      <c r="V244" s="667">
        <f t="shared" si="76"/>
        <v>0.39840999999999999</v>
      </c>
      <c r="X244" s="307" t="str">
        <f t="shared" si="75"/>
        <v>Assumed same as GSL</v>
      </c>
      <c r="Y244" s="302">
        <v>251</v>
      </c>
      <c r="AA244" s="107" t="s">
        <v>700</v>
      </c>
      <c r="AB244" s="108">
        <v>235</v>
      </c>
    </row>
    <row r="245" spans="1:28" x14ac:dyDescent="0.25">
      <c r="B245" s="191" t="s">
        <v>507</v>
      </c>
      <c r="C245" s="191" t="s">
        <v>136</v>
      </c>
      <c r="D245" s="191"/>
      <c r="E245" s="191"/>
      <c r="F245" s="191" t="s">
        <v>637</v>
      </c>
      <c r="G245" s="660">
        <f t="shared" si="74"/>
        <v>0.85470000000000002</v>
      </c>
      <c r="H245" s="667">
        <f t="shared" si="42"/>
        <v>0.85470000000000002</v>
      </c>
      <c r="I245" s="667">
        <f t="shared" si="49"/>
        <v>0.85470000000000002</v>
      </c>
      <c r="J245" s="667">
        <f t="shared" si="49"/>
        <v>0.85470000000000002</v>
      </c>
      <c r="K245" s="667">
        <f t="shared" si="49"/>
        <v>0.85470000000000002</v>
      </c>
      <c r="L245" s="667">
        <f t="shared" si="49"/>
        <v>0.85470000000000002</v>
      </c>
      <c r="M245" s="667">
        <f t="shared" si="49"/>
        <v>0.85470000000000002</v>
      </c>
      <c r="N245" s="667">
        <f t="shared" si="49"/>
        <v>0.85470000000000002</v>
      </c>
      <c r="O245" s="667">
        <f t="shared" si="49"/>
        <v>0.85470000000000002</v>
      </c>
      <c r="P245" s="667">
        <f t="shared" si="49"/>
        <v>0.85470000000000002</v>
      </c>
      <c r="Q245" s="667">
        <f t="shared" si="49"/>
        <v>0.85470000000000002</v>
      </c>
      <c r="R245" s="667">
        <f t="shared" si="49"/>
        <v>0.85470000000000002</v>
      </c>
      <c r="S245" s="667">
        <f t="shared" si="49"/>
        <v>0.85470000000000002</v>
      </c>
      <c r="T245" s="667">
        <f t="shared" si="49"/>
        <v>0.85470000000000002</v>
      </c>
      <c r="U245" s="667">
        <f t="shared" si="49"/>
        <v>0.85470000000000002</v>
      </c>
      <c r="V245" s="667">
        <f t="shared" si="49"/>
        <v>0.85470000000000002</v>
      </c>
      <c r="X245" s="307" t="str">
        <f t="shared" si="75"/>
        <v>JRC-EU-TIMES; data for 2010</v>
      </c>
      <c r="Y245" s="302">
        <v>117</v>
      </c>
      <c r="AA245" s="107"/>
      <c r="AB245" s="108"/>
    </row>
    <row r="246" spans="1:28" x14ac:dyDescent="0.25">
      <c r="B246" s="191" t="s">
        <v>507</v>
      </c>
      <c r="C246" s="191" t="s">
        <v>136</v>
      </c>
      <c r="D246" s="191"/>
      <c r="E246" s="191"/>
      <c r="F246" s="191" t="s">
        <v>640</v>
      </c>
      <c r="G246" s="660">
        <f t="shared" si="74"/>
        <v>1.0989</v>
      </c>
      <c r="H246" s="667">
        <f t="shared" si="42"/>
        <v>1.0989</v>
      </c>
      <c r="I246" s="667">
        <f t="shared" si="49"/>
        <v>1.0989</v>
      </c>
      <c r="J246" s="667">
        <f t="shared" si="49"/>
        <v>1.0989</v>
      </c>
      <c r="K246" s="667">
        <f t="shared" si="49"/>
        <v>1.0989</v>
      </c>
      <c r="L246" s="667">
        <f t="shared" si="49"/>
        <v>1.0989</v>
      </c>
      <c r="M246" s="667">
        <f t="shared" si="49"/>
        <v>1.0989</v>
      </c>
      <c r="N246" s="667">
        <f t="shared" si="49"/>
        <v>1.0989</v>
      </c>
      <c r="O246" s="667">
        <f t="shared" si="49"/>
        <v>1.0989</v>
      </c>
      <c r="P246" s="667">
        <f t="shared" si="49"/>
        <v>1.0989</v>
      </c>
      <c r="Q246" s="667">
        <f t="shared" si="49"/>
        <v>1.0989</v>
      </c>
      <c r="R246" s="667">
        <f t="shared" si="49"/>
        <v>1.0989</v>
      </c>
      <c r="S246" s="667">
        <f t="shared" si="49"/>
        <v>1.0989</v>
      </c>
      <c r="T246" s="667">
        <f t="shared" si="49"/>
        <v>1.0989</v>
      </c>
      <c r="U246" s="667">
        <f t="shared" si="49"/>
        <v>1.0989</v>
      </c>
      <c r="V246" s="667">
        <f t="shared" si="49"/>
        <v>1.0989</v>
      </c>
      <c r="X246" s="307" t="str">
        <f t="shared" si="75"/>
        <v>JRC-EU-TIMES; data for 2010</v>
      </c>
      <c r="Y246" s="302">
        <v>91</v>
      </c>
      <c r="AA246" s="107"/>
      <c r="AB246" s="108"/>
    </row>
    <row r="247" spans="1:28" x14ac:dyDescent="0.25">
      <c r="B247" s="191" t="s">
        <v>507</v>
      </c>
      <c r="C247" s="191" t="s">
        <v>137</v>
      </c>
      <c r="D247" s="191"/>
      <c r="E247" s="191"/>
      <c r="F247" s="191" t="s">
        <v>637</v>
      </c>
      <c r="G247" s="660">
        <f t="shared" si="74"/>
        <v>0.90908999999999995</v>
      </c>
      <c r="H247" s="667">
        <f t="shared" si="42"/>
        <v>0.90908999999999995</v>
      </c>
      <c r="I247" s="667">
        <f t="shared" si="49"/>
        <v>0.90908999999999995</v>
      </c>
      <c r="J247" s="667">
        <f t="shared" si="49"/>
        <v>0.90908999999999995</v>
      </c>
      <c r="K247" s="667">
        <f t="shared" si="49"/>
        <v>0.90908999999999995</v>
      </c>
      <c r="L247" s="667">
        <f t="shared" si="49"/>
        <v>0.90908999999999995</v>
      </c>
      <c r="M247" s="667">
        <f t="shared" si="49"/>
        <v>0.90908999999999995</v>
      </c>
      <c r="N247" s="667">
        <f t="shared" si="49"/>
        <v>0.90908999999999995</v>
      </c>
      <c r="O247" s="667">
        <f t="shared" si="49"/>
        <v>0.90908999999999995</v>
      </c>
      <c r="P247" s="667">
        <f t="shared" si="49"/>
        <v>0.90908999999999995</v>
      </c>
      <c r="Q247" s="667">
        <f t="shared" si="49"/>
        <v>0.90908999999999995</v>
      </c>
      <c r="R247" s="667">
        <f t="shared" si="49"/>
        <v>0.90908999999999995</v>
      </c>
      <c r="S247" s="667">
        <f t="shared" si="49"/>
        <v>0.90908999999999995</v>
      </c>
      <c r="T247" s="667">
        <f t="shared" si="49"/>
        <v>0.90908999999999995</v>
      </c>
      <c r="U247" s="667">
        <f t="shared" si="49"/>
        <v>0.90908999999999995</v>
      </c>
      <c r="V247" s="667">
        <f t="shared" si="49"/>
        <v>0.90908999999999995</v>
      </c>
      <c r="X247" s="307" t="str">
        <f t="shared" si="75"/>
        <v>JRC-EU-TIMES; data for 2010</v>
      </c>
      <c r="Y247" s="302">
        <v>110</v>
      </c>
      <c r="AA247" s="107"/>
      <c r="AB247" s="108"/>
    </row>
    <row r="248" spans="1:28" x14ac:dyDescent="0.25">
      <c r="B248" s="546" t="s">
        <v>507</v>
      </c>
      <c r="C248" s="546" t="s">
        <v>137</v>
      </c>
      <c r="D248" s="546"/>
      <c r="E248" s="546"/>
      <c r="F248" s="546" t="s">
        <v>640</v>
      </c>
      <c r="G248" s="669">
        <f t="shared" si="74"/>
        <v>1.0309299999999999</v>
      </c>
      <c r="H248" s="668">
        <f t="shared" si="42"/>
        <v>1.0309299999999999</v>
      </c>
      <c r="I248" s="662">
        <f t="shared" si="49"/>
        <v>1.0309299999999999</v>
      </c>
      <c r="J248" s="662">
        <f t="shared" si="49"/>
        <v>1.0309299999999999</v>
      </c>
      <c r="K248" s="662">
        <f t="shared" si="49"/>
        <v>1.0309299999999999</v>
      </c>
      <c r="L248" s="662">
        <f t="shared" si="49"/>
        <v>1.0309299999999999</v>
      </c>
      <c r="M248" s="662">
        <f t="shared" si="49"/>
        <v>1.0309299999999999</v>
      </c>
      <c r="N248" s="662">
        <f t="shared" si="49"/>
        <v>1.0309299999999999</v>
      </c>
      <c r="O248" s="662">
        <f t="shared" si="49"/>
        <v>1.0309299999999999</v>
      </c>
      <c r="P248" s="662">
        <f t="shared" si="49"/>
        <v>1.0309299999999999</v>
      </c>
      <c r="Q248" s="662">
        <f t="shared" si="49"/>
        <v>1.0309299999999999</v>
      </c>
      <c r="R248" s="662">
        <f t="shared" si="49"/>
        <v>1.0309299999999999</v>
      </c>
      <c r="S248" s="662">
        <f t="shared" si="49"/>
        <v>1.0309299999999999</v>
      </c>
      <c r="T248" s="662">
        <f t="shared" si="49"/>
        <v>1.0309299999999999</v>
      </c>
      <c r="U248" s="662">
        <f t="shared" si="49"/>
        <v>1.0309299999999999</v>
      </c>
      <c r="V248" s="662">
        <f t="shared" si="49"/>
        <v>1.0309299999999999</v>
      </c>
      <c r="X248" s="547" t="str">
        <f t="shared" si="75"/>
        <v>JRC-EU-TIMES; data for 2010</v>
      </c>
      <c r="Y248" s="548">
        <v>97</v>
      </c>
      <c r="AA248" s="107"/>
      <c r="AB248" s="108"/>
    </row>
    <row r="249" spans="1:28" x14ac:dyDescent="0.25">
      <c r="B249" s="191" t="s">
        <v>507</v>
      </c>
      <c r="C249" s="191" t="s">
        <v>139</v>
      </c>
      <c r="D249" s="191"/>
      <c r="E249" s="191"/>
      <c r="F249" s="191" t="s">
        <v>643</v>
      </c>
      <c r="G249" s="660">
        <f t="shared" si="74"/>
        <v>0.10185</v>
      </c>
      <c r="H249" s="667">
        <f t="shared" si="42"/>
        <v>0.10185</v>
      </c>
      <c r="I249" s="667">
        <f t="shared" si="49"/>
        <v>0.10185</v>
      </c>
      <c r="J249" s="667">
        <f t="shared" si="49"/>
        <v>0.10185</v>
      </c>
      <c r="K249" s="667">
        <f t="shared" si="49"/>
        <v>0.10185</v>
      </c>
      <c r="L249" s="667">
        <f t="shared" si="49"/>
        <v>0.10185</v>
      </c>
      <c r="M249" s="667">
        <f t="shared" si="49"/>
        <v>0.10185</v>
      </c>
      <c r="N249" s="667">
        <f t="shared" si="49"/>
        <v>0.10185</v>
      </c>
      <c r="O249" s="667">
        <f t="shared" si="49"/>
        <v>0.10185</v>
      </c>
      <c r="P249" s="667">
        <f t="shared" si="49"/>
        <v>0.10185</v>
      </c>
      <c r="Q249" s="667">
        <f t="shared" si="49"/>
        <v>0.10185</v>
      </c>
      <c r="R249" s="667">
        <f t="shared" si="49"/>
        <v>0.10185</v>
      </c>
      <c r="S249" s="667">
        <f t="shared" si="49"/>
        <v>0.10185</v>
      </c>
      <c r="T249" s="667">
        <f t="shared" si="49"/>
        <v>0.10185</v>
      </c>
      <c r="U249" s="667">
        <f t="shared" si="49"/>
        <v>0.10185</v>
      </c>
      <c r="V249" s="667">
        <f t="shared" si="49"/>
        <v>0.10185</v>
      </c>
      <c r="X249" s="307" t="str">
        <f t="shared" si="75"/>
        <v>10% lower than TFR</v>
      </c>
      <c r="Y249" s="359">
        <f>Y251</f>
        <v>981.81818181818176</v>
      </c>
      <c r="AA249" s="107"/>
      <c r="AB249" s="108"/>
    </row>
    <row r="250" spans="1:28" x14ac:dyDescent="0.25">
      <c r="B250" s="191" t="s">
        <v>507</v>
      </c>
      <c r="C250" s="191" t="s">
        <v>139</v>
      </c>
      <c r="D250" s="191"/>
      <c r="E250" s="191"/>
      <c r="F250" s="191" t="s">
        <v>646</v>
      </c>
      <c r="G250" s="660">
        <f t="shared" si="74"/>
        <v>8.1479999999999997E-2</v>
      </c>
      <c r="H250" s="667">
        <f t="shared" si="42"/>
        <v>8.1479999999999997E-2</v>
      </c>
      <c r="I250" s="667">
        <f t="shared" si="49"/>
        <v>8.1479999999999997E-2</v>
      </c>
      <c r="J250" s="667">
        <f t="shared" si="49"/>
        <v>8.1479999999999997E-2</v>
      </c>
      <c r="K250" s="667">
        <f t="shared" si="49"/>
        <v>8.1479999999999997E-2</v>
      </c>
      <c r="L250" s="667">
        <f t="shared" si="49"/>
        <v>8.1479999999999997E-2</v>
      </c>
      <c r="M250" s="667">
        <f t="shared" si="49"/>
        <v>8.1479999999999997E-2</v>
      </c>
      <c r="N250" s="667">
        <f t="shared" si="49"/>
        <v>8.1479999999999997E-2</v>
      </c>
      <c r="O250" s="667">
        <f t="shared" si="49"/>
        <v>8.1479999999999997E-2</v>
      </c>
      <c r="P250" s="667">
        <f t="shared" si="49"/>
        <v>8.1479999999999997E-2</v>
      </c>
      <c r="Q250" s="667">
        <f t="shared" si="49"/>
        <v>8.1479999999999997E-2</v>
      </c>
      <c r="R250" s="667">
        <f t="shared" si="49"/>
        <v>8.1479999999999997E-2</v>
      </c>
      <c r="S250" s="667">
        <f t="shared" si="49"/>
        <v>8.1479999999999997E-2</v>
      </c>
      <c r="T250" s="667">
        <f t="shared" si="49"/>
        <v>8.1479999999999997E-2</v>
      </c>
      <c r="U250" s="667">
        <f t="shared" si="49"/>
        <v>8.1479999999999997E-2</v>
      </c>
      <c r="V250" s="667">
        <f t="shared" si="49"/>
        <v>8.1479999999999997E-2</v>
      </c>
      <c r="X250" s="307" t="str">
        <f t="shared" si="75"/>
        <v>10% lower than TFR</v>
      </c>
      <c r="Y250" s="359">
        <f>Y252</f>
        <v>1227.2727272727273</v>
      </c>
      <c r="AA250" s="107"/>
      <c r="AB250" s="108"/>
    </row>
    <row r="251" spans="1:28" s="358" customFormat="1" x14ac:dyDescent="0.25">
      <c r="A251" s="361"/>
      <c r="B251" s="191" t="s">
        <v>507</v>
      </c>
      <c r="C251" s="191" t="s">
        <v>140</v>
      </c>
      <c r="D251" s="191"/>
      <c r="E251" s="191"/>
      <c r="F251" s="191" t="s">
        <v>643</v>
      </c>
      <c r="G251" s="660">
        <f t="shared" si="74"/>
        <v>0.10185</v>
      </c>
      <c r="H251" s="667">
        <f t="shared" si="42"/>
        <v>0.10185</v>
      </c>
      <c r="I251" s="667">
        <f t="shared" ref="I251:V268" si="77">$H251</f>
        <v>0.10185</v>
      </c>
      <c r="J251" s="667">
        <f t="shared" si="77"/>
        <v>0.10185</v>
      </c>
      <c r="K251" s="667">
        <f t="shared" si="77"/>
        <v>0.10185</v>
      </c>
      <c r="L251" s="667">
        <f t="shared" si="77"/>
        <v>0.10185</v>
      </c>
      <c r="M251" s="667">
        <f t="shared" si="77"/>
        <v>0.10185</v>
      </c>
      <c r="N251" s="667">
        <f t="shared" si="77"/>
        <v>0.10185</v>
      </c>
      <c r="O251" s="667">
        <f t="shared" si="77"/>
        <v>0.10185</v>
      </c>
      <c r="P251" s="667">
        <f t="shared" si="77"/>
        <v>0.10185</v>
      </c>
      <c r="Q251" s="667">
        <f t="shared" si="77"/>
        <v>0.10185</v>
      </c>
      <c r="R251" s="667">
        <f t="shared" si="77"/>
        <v>0.10185</v>
      </c>
      <c r="S251" s="667">
        <f t="shared" si="77"/>
        <v>0.10185</v>
      </c>
      <c r="T251" s="667">
        <f t="shared" si="77"/>
        <v>0.10185</v>
      </c>
      <c r="U251" s="667">
        <f t="shared" si="77"/>
        <v>0.10185</v>
      </c>
      <c r="V251" s="667">
        <f t="shared" si="77"/>
        <v>0.10185</v>
      </c>
      <c r="X251" s="307" t="str">
        <f t="shared" si="75"/>
        <v>10% lower than TFR</v>
      </c>
      <c r="Y251" s="359">
        <f>Y273/1.1</f>
        <v>981.81818181818176</v>
      </c>
    </row>
    <row r="252" spans="1:28" s="358" customFormat="1" x14ac:dyDescent="0.25">
      <c r="A252" s="361"/>
      <c r="B252" s="191" t="s">
        <v>507</v>
      </c>
      <c r="C252" s="191" t="s">
        <v>140</v>
      </c>
      <c r="D252" s="191"/>
      <c r="E252" s="191"/>
      <c r="F252" s="191" t="s">
        <v>646</v>
      </c>
      <c r="G252" s="660">
        <f t="shared" si="74"/>
        <v>8.1479999999999997E-2</v>
      </c>
      <c r="H252" s="667">
        <f t="shared" si="42"/>
        <v>8.1479999999999997E-2</v>
      </c>
      <c r="I252" s="667">
        <f t="shared" si="77"/>
        <v>8.1479999999999997E-2</v>
      </c>
      <c r="J252" s="667">
        <f t="shared" si="77"/>
        <v>8.1479999999999997E-2</v>
      </c>
      <c r="K252" s="667">
        <f t="shared" si="77"/>
        <v>8.1479999999999997E-2</v>
      </c>
      <c r="L252" s="667">
        <f t="shared" si="77"/>
        <v>8.1479999999999997E-2</v>
      </c>
      <c r="M252" s="667">
        <f t="shared" si="77"/>
        <v>8.1479999999999997E-2</v>
      </c>
      <c r="N252" s="667">
        <f t="shared" si="77"/>
        <v>8.1479999999999997E-2</v>
      </c>
      <c r="O252" s="667">
        <f t="shared" si="77"/>
        <v>8.1479999999999997E-2</v>
      </c>
      <c r="P252" s="667">
        <f t="shared" si="77"/>
        <v>8.1479999999999997E-2</v>
      </c>
      <c r="Q252" s="667">
        <f t="shared" si="77"/>
        <v>8.1479999999999997E-2</v>
      </c>
      <c r="R252" s="667">
        <f t="shared" si="77"/>
        <v>8.1479999999999997E-2</v>
      </c>
      <c r="S252" s="667">
        <f t="shared" si="77"/>
        <v>8.1479999999999997E-2</v>
      </c>
      <c r="T252" s="667">
        <f t="shared" si="77"/>
        <v>8.1479999999999997E-2</v>
      </c>
      <c r="U252" s="667">
        <f t="shared" si="77"/>
        <v>8.1479999999999997E-2</v>
      </c>
      <c r="V252" s="667">
        <f t="shared" si="77"/>
        <v>8.1479999999999997E-2</v>
      </c>
      <c r="X252" s="307" t="str">
        <f t="shared" si="75"/>
        <v>10% lower than TFR</v>
      </c>
      <c r="Y252" s="359">
        <f>Y274/1.1</f>
        <v>1227.2727272727273</v>
      </c>
    </row>
    <row r="253" spans="1:28" s="358" customFormat="1" x14ac:dyDescent="0.25">
      <c r="A253" s="361"/>
      <c r="B253" s="191" t="s">
        <v>507</v>
      </c>
      <c r="C253" s="191" t="s">
        <v>141</v>
      </c>
      <c r="D253" s="191"/>
      <c r="E253" s="191"/>
      <c r="F253" s="191" t="s">
        <v>643</v>
      </c>
      <c r="G253" s="660">
        <f t="shared" si="74"/>
        <v>2.5773199999999998</v>
      </c>
      <c r="H253" s="667">
        <f t="shared" si="42"/>
        <v>2.5773199999999998</v>
      </c>
      <c r="I253" s="667">
        <f t="shared" si="77"/>
        <v>2.5773199999999998</v>
      </c>
      <c r="J253" s="667">
        <f t="shared" si="77"/>
        <v>2.5773199999999998</v>
      </c>
      <c r="K253" s="667">
        <f t="shared" si="77"/>
        <v>2.5773199999999998</v>
      </c>
      <c r="L253" s="667">
        <f t="shared" si="77"/>
        <v>2.5773199999999998</v>
      </c>
      <c r="M253" s="667">
        <f t="shared" si="77"/>
        <v>2.5773199999999998</v>
      </c>
      <c r="N253" s="667">
        <f t="shared" si="77"/>
        <v>2.5773199999999998</v>
      </c>
      <c r="O253" s="667">
        <f t="shared" si="77"/>
        <v>2.5773199999999998</v>
      </c>
      <c r="P253" s="667">
        <f t="shared" si="77"/>
        <v>2.5773199999999998</v>
      </c>
      <c r="Q253" s="667">
        <f t="shared" si="77"/>
        <v>2.5773199999999998</v>
      </c>
      <c r="R253" s="667">
        <f t="shared" si="77"/>
        <v>2.5773199999999998</v>
      </c>
      <c r="S253" s="667">
        <f t="shared" si="77"/>
        <v>2.5773199999999998</v>
      </c>
      <c r="T253" s="667">
        <f t="shared" si="77"/>
        <v>2.5773199999999998</v>
      </c>
      <c r="U253" s="667">
        <f t="shared" si="77"/>
        <v>2.5773199999999998</v>
      </c>
      <c r="V253" s="667">
        <f t="shared" si="77"/>
        <v>2.5773199999999998</v>
      </c>
      <c r="X253" s="307" t="str">
        <f t="shared" si="75"/>
        <v>n.a.???</v>
      </c>
      <c r="Y253" s="359">
        <f>Y179/2.5</f>
        <v>38.799999999999997</v>
      </c>
    </row>
    <row r="254" spans="1:28" s="358" customFormat="1" x14ac:dyDescent="0.25">
      <c r="A254" s="361"/>
      <c r="B254" s="191" t="s">
        <v>507</v>
      </c>
      <c r="C254" s="191" t="s">
        <v>141</v>
      </c>
      <c r="D254" s="191"/>
      <c r="E254" s="191"/>
      <c r="F254" s="191" t="s">
        <v>646</v>
      </c>
      <c r="G254" s="660">
        <f t="shared" si="74"/>
        <v>0.22</v>
      </c>
      <c r="H254" s="667">
        <f t="shared" si="42"/>
        <v>0.22</v>
      </c>
      <c r="I254" s="667">
        <f t="shared" si="77"/>
        <v>0.22</v>
      </c>
      <c r="J254" s="667">
        <f t="shared" si="77"/>
        <v>0.22</v>
      </c>
      <c r="K254" s="667">
        <f t="shared" si="77"/>
        <v>0.22</v>
      </c>
      <c r="L254" s="667">
        <f t="shared" si="77"/>
        <v>0.22</v>
      </c>
      <c r="M254" s="667">
        <f t="shared" si="77"/>
        <v>0.22</v>
      </c>
      <c r="N254" s="667">
        <f t="shared" si="77"/>
        <v>0.22</v>
      </c>
      <c r="O254" s="667">
        <f t="shared" si="77"/>
        <v>0.22</v>
      </c>
      <c r="P254" s="667">
        <f t="shared" si="77"/>
        <v>0.22</v>
      </c>
      <c r="Q254" s="667">
        <f t="shared" si="77"/>
        <v>0.22</v>
      </c>
      <c r="R254" s="667">
        <f t="shared" si="77"/>
        <v>0.22</v>
      </c>
      <c r="S254" s="667">
        <f t="shared" si="77"/>
        <v>0.22</v>
      </c>
      <c r="T254" s="667">
        <f t="shared" si="77"/>
        <v>0.22</v>
      </c>
      <c r="U254" s="667">
        <f t="shared" si="77"/>
        <v>0.22</v>
      </c>
      <c r="V254" s="667">
        <f t="shared" si="77"/>
        <v>0.22</v>
      </c>
      <c r="X254" s="307" t="str">
        <f t="shared" si="75"/>
        <v>Assumed equal to ELC BUS</v>
      </c>
      <c r="Y254" s="359">
        <f>Y180/2.5</f>
        <v>454.5454545454545</v>
      </c>
    </row>
    <row r="255" spans="1:28" s="358" customFormat="1" x14ac:dyDescent="0.25">
      <c r="A255" s="361"/>
      <c r="B255" s="191" t="s">
        <v>507</v>
      </c>
      <c r="C255" s="191" t="s">
        <v>142</v>
      </c>
      <c r="D255" s="191"/>
      <c r="E255" s="191"/>
      <c r="F255" s="191" t="s">
        <v>643</v>
      </c>
      <c r="G255" s="660">
        <f t="shared" si="74"/>
        <v>9.2439999999999994E-2</v>
      </c>
      <c r="H255" s="667">
        <f t="shared" si="42"/>
        <v>9.2439999999999994E-2</v>
      </c>
      <c r="I255" s="667">
        <f t="shared" si="77"/>
        <v>9.2439999999999994E-2</v>
      </c>
      <c r="J255" s="667">
        <f t="shared" si="77"/>
        <v>9.2439999999999994E-2</v>
      </c>
      <c r="K255" s="667">
        <f t="shared" si="77"/>
        <v>9.2439999999999994E-2</v>
      </c>
      <c r="L255" s="667">
        <f t="shared" si="77"/>
        <v>9.2439999999999994E-2</v>
      </c>
      <c r="M255" s="667">
        <f t="shared" si="77"/>
        <v>9.2439999999999994E-2</v>
      </c>
      <c r="N255" s="667">
        <f t="shared" si="77"/>
        <v>9.2439999999999994E-2</v>
      </c>
      <c r="O255" s="667">
        <f t="shared" si="77"/>
        <v>9.2439999999999994E-2</v>
      </c>
      <c r="P255" s="667">
        <f t="shared" si="77"/>
        <v>9.2439999999999994E-2</v>
      </c>
      <c r="Q255" s="667">
        <f t="shared" si="77"/>
        <v>9.2439999999999994E-2</v>
      </c>
      <c r="R255" s="667">
        <f t="shared" si="77"/>
        <v>9.2439999999999994E-2</v>
      </c>
      <c r="S255" s="667">
        <f t="shared" si="77"/>
        <v>9.2439999999999994E-2</v>
      </c>
      <c r="T255" s="667">
        <f t="shared" si="77"/>
        <v>9.2439999999999994E-2</v>
      </c>
      <c r="U255" s="667">
        <f t="shared" si="77"/>
        <v>9.2439999999999994E-2</v>
      </c>
      <c r="V255" s="667">
        <f t="shared" si="77"/>
        <v>9.2439999999999994E-2</v>
      </c>
      <c r="X255" s="307" t="str">
        <f t="shared" si="75"/>
        <v>10% lower than TFR</v>
      </c>
      <c r="Y255" s="359">
        <f t="shared" ref="Y255:Y266" si="78">Y277/1.1</f>
        <v>1081.8181818181818</v>
      </c>
    </row>
    <row r="256" spans="1:28" s="358" customFormat="1" x14ac:dyDescent="0.25">
      <c r="A256" s="361"/>
      <c r="B256" s="191" t="s">
        <v>507</v>
      </c>
      <c r="C256" s="191" t="s">
        <v>142</v>
      </c>
      <c r="D256" s="191"/>
      <c r="E256" s="191"/>
      <c r="F256" s="191" t="s">
        <v>646</v>
      </c>
      <c r="G256" s="660">
        <f t="shared" si="74"/>
        <v>7.3950000000000002E-2</v>
      </c>
      <c r="H256" s="667">
        <f t="shared" si="42"/>
        <v>7.3950000000000002E-2</v>
      </c>
      <c r="I256" s="667">
        <f t="shared" si="77"/>
        <v>7.3950000000000002E-2</v>
      </c>
      <c r="J256" s="667">
        <f t="shared" si="77"/>
        <v>7.3950000000000002E-2</v>
      </c>
      <c r="K256" s="667">
        <f t="shared" si="77"/>
        <v>7.3950000000000002E-2</v>
      </c>
      <c r="L256" s="667">
        <f t="shared" si="77"/>
        <v>7.3950000000000002E-2</v>
      </c>
      <c r="M256" s="667">
        <f t="shared" si="77"/>
        <v>7.3950000000000002E-2</v>
      </c>
      <c r="N256" s="667">
        <f t="shared" si="77"/>
        <v>7.3950000000000002E-2</v>
      </c>
      <c r="O256" s="667">
        <f t="shared" si="77"/>
        <v>7.3950000000000002E-2</v>
      </c>
      <c r="P256" s="667">
        <f t="shared" si="77"/>
        <v>7.3950000000000002E-2</v>
      </c>
      <c r="Q256" s="667">
        <f t="shared" si="77"/>
        <v>7.3950000000000002E-2</v>
      </c>
      <c r="R256" s="667">
        <f t="shared" si="77"/>
        <v>7.3950000000000002E-2</v>
      </c>
      <c r="S256" s="667">
        <f t="shared" si="77"/>
        <v>7.3950000000000002E-2</v>
      </c>
      <c r="T256" s="667">
        <f t="shared" si="77"/>
        <v>7.3950000000000002E-2</v>
      </c>
      <c r="U256" s="667">
        <f t="shared" si="77"/>
        <v>7.3950000000000002E-2</v>
      </c>
      <c r="V256" s="667">
        <f t="shared" si="77"/>
        <v>7.3950000000000002E-2</v>
      </c>
      <c r="X256" s="307" t="str">
        <f t="shared" si="75"/>
        <v>10% lower than TFR</v>
      </c>
      <c r="Y256" s="359">
        <f t="shared" si="78"/>
        <v>1352.2727272727273</v>
      </c>
    </row>
    <row r="257" spans="1:25" s="358" customFormat="1" x14ac:dyDescent="0.25">
      <c r="A257" s="361"/>
      <c r="B257" s="191" t="s">
        <v>507</v>
      </c>
      <c r="C257" s="191" t="s">
        <v>143</v>
      </c>
      <c r="D257" s="191"/>
      <c r="E257" s="191"/>
      <c r="F257" s="191" t="s">
        <v>643</v>
      </c>
      <c r="G257" s="660">
        <f t="shared" si="74"/>
        <v>8.4620000000000001E-2</v>
      </c>
      <c r="H257" s="667">
        <f t="shared" si="42"/>
        <v>8.4620000000000001E-2</v>
      </c>
      <c r="I257" s="667">
        <f t="shared" si="77"/>
        <v>8.4620000000000001E-2</v>
      </c>
      <c r="J257" s="667">
        <f t="shared" si="77"/>
        <v>8.4620000000000001E-2</v>
      </c>
      <c r="K257" s="667">
        <f t="shared" si="77"/>
        <v>8.4620000000000001E-2</v>
      </c>
      <c r="L257" s="667">
        <f t="shared" si="77"/>
        <v>8.4620000000000001E-2</v>
      </c>
      <c r="M257" s="667">
        <f t="shared" si="77"/>
        <v>8.4620000000000001E-2</v>
      </c>
      <c r="N257" s="667">
        <f t="shared" si="77"/>
        <v>8.4620000000000001E-2</v>
      </c>
      <c r="O257" s="667">
        <f t="shared" si="77"/>
        <v>8.4620000000000001E-2</v>
      </c>
      <c r="P257" s="667">
        <f t="shared" si="77"/>
        <v>8.4620000000000001E-2</v>
      </c>
      <c r="Q257" s="667">
        <f t="shared" si="77"/>
        <v>8.4620000000000001E-2</v>
      </c>
      <c r="R257" s="667">
        <f t="shared" si="77"/>
        <v>8.4620000000000001E-2</v>
      </c>
      <c r="S257" s="667">
        <f t="shared" si="77"/>
        <v>8.4620000000000001E-2</v>
      </c>
      <c r="T257" s="667">
        <f t="shared" si="77"/>
        <v>8.4620000000000001E-2</v>
      </c>
      <c r="U257" s="667">
        <f t="shared" si="77"/>
        <v>8.4620000000000001E-2</v>
      </c>
      <c r="V257" s="667">
        <f t="shared" si="77"/>
        <v>8.4620000000000001E-2</v>
      </c>
      <c r="X257" s="307" t="str">
        <f t="shared" si="75"/>
        <v>10% lower than TFR</v>
      </c>
      <c r="Y257" s="359">
        <f t="shared" si="78"/>
        <v>1181.8181818181818</v>
      </c>
    </row>
    <row r="258" spans="1:25" s="358" customFormat="1" x14ac:dyDescent="0.25">
      <c r="A258" s="361"/>
      <c r="B258" s="191" t="s">
        <v>507</v>
      </c>
      <c r="C258" s="191" t="s">
        <v>143</v>
      </c>
      <c r="D258" s="191"/>
      <c r="E258" s="191"/>
      <c r="F258" s="191" t="s">
        <v>646</v>
      </c>
      <c r="G258" s="660">
        <f t="shared" si="74"/>
        <v>6.769E-2</v>
      </c>
      <c r="H258" s="667">
        <f t="shared" si="42"/>
        <v>6.769E-2</v>
      </c>
      <c r="I258" s="667">
        <f t="shared" si="77"/>
        <v>6.769E-2</v>
      </c>
      <c r="J258" s="667">
        <f t="shared" si="77"/>
        <v>6.769E-2</v>
      </c>
      <c r="K258" s="667">
        <f t="shared" si="77"/>
        <v>6.769E-2</v>
      </c>
      <c r="L258" s="667">
        <f t="shared" si="77"/>
        <v>6.769E-2</v>
      </c>
      <c r="M258" s="667">
        <f t="shared" si="77"/>
        <v>6.769E-2</v>
      </c>
      <c r="N258" s="667">
        <f t="shared" si="77"/>
        <v>6.769E-2</v>
      </c>
      <c r="O258" s="667">
        <f t="shared" si="77"/>
        <v>6.769E-2</v>
      </c>
      <c r="P258" s="667">
        <f t="shared" si="77"/>
        <v>6.769E-2</v>
      </c>
      <c r="Q258" s="667">
        <f t="shared" si="77"/>
        <v>6.769E-2</v>
      </c>
      <c r="R258" s="667">
        <f t="shared" si="77"/>
        <v>6.769E-2</v>
      </c>
      <c r="S258" s="667">
        <f t="shared" si="77"/>
        <v>6.769E-2</v>
      </c>
      <c r="T258" s="667">
        <f t="shared" si="77"/>
        <v>6.769E-2</v>
      </c>
      <c r="U258" s="667">
        <f t="shared" si="77"/>
        <v>6.769E-2</v>
      </c>
      <c r="V258" s="667">
        <f t="shared" si="77"/>
        <v>6.769E-2</v>
      </c>
      <c r="X258" s="307" t="str">
        <f t="shared" si="75"/>
        <v>10% lower than TFR</v>
      </c>
      <c r="Y258" s="359">
        <f t="shared" si="78"/>
        <v>1477.2727272727273</v>
      </c>
    </row>
    <row r="259" spans="1:25" s="358" customFormat="1" x14ac:dyDescent="0.25">
      <c r="A259" s="361"/>
      <c r="B259" s="191" t="s">
        <v>507</v>
      </c>
      <c r="C259" s="191" t="s">
        <v>144</v>
      </c>
      <c r="D259" s="191"/>
      <c r="E259" s="191"/>
      <c r="F259" s="191" t="s">
        <v>643</v>
      </c>
      <c r="G259" s="660">
        <f t="shared" si="74"/>
        <v>9.2439999999999994E-2</v>
      </c>
      <c r="H259" s="667">
        <f t="shared" si="42"/>
        <v>9.2439999999999994E-2</v>
      </c>
      <c r="I259" s="667">
        <f t="shared" si="77"/>
        <v>9.2439999999999994E-2</v>
      </c>
      <c r="J259" s="667">
        <f t="shared" si="77"/>
        <v>9.2439999999999994E-2</v>
      </c>
      <c r="K259" s="667">
        <f t="shared" si="77"/>
        <v>9.2439999999999994E-2</v>
      </c>
      <c r="L259" s="667">
        <f t="shared" si="77"/>
        <v>9.2439999999999994E-2</v>
      </c>
      <c r="M259" s="667">
        <f t="shared" si="77"/>
        <v>9.2439999999999994E-2</v>
      </c>
      <c r="N259" s="667">
        <f t="shared" si="77"/>
        <v>9.2439999999999994E-2</v>
      </c>
      <c r="O259" s="667">
        <f t="shared" si="77"/>
        <v>9.2439999999999994E-2</v>
      </c>
      <c r="P259" s="667">
        <f t="shared" si="77"/>
        <v>9.2439999999999994E-2</v>
      </c>
      <c r="Q259" s="667">
        <f t="shared" si="77"/>
        <v>9.2439999999999994E-2</v>
      </c>
      <c r="R259" s="667">
        <f t="shared" si="77"/>
        <v>9.2439999999999994E-2</v>
      </c>
      <c r="S259" s="667">
        <f t="shared" si="77"/>
        <v>9.2439999999999994E-2</v>
      </c>
      <c r="T259" s="667">
        <f t="shared" si="77"/>
        <v>9.2439999999999994E-2</v>
      </c>
      <c r="U259" s="667">
        <f t="shared" si="77"/>
        <v>9.2439999999999994E-2</v>
      </c>
      <c r="V259" s="667">
        <f t="shared" si="77"/>
        <v>9.2439999999999994E-2</v>
      </c>
      <c r="X259" s="307" t="str">
        <f t="shared" si="75"/>
        <v>10% lower than TFR</v>
      </c>
      <c r="Y259" s="359">
        <f t="shared" si="78"/>
        <v>1081.8181818181818</v>
      </c>
    </row>
    <row r="260" spans="1:25" s="358" customFormat="1" x14ac:dyDescent="0.25">
      <c r="A260" s="361"/>
      <c r="B260" s="191" t="s">
        <v>507</v>
      </c>
      <c r="C260" s="191" t="s">
        <v>144</v>
      </c>
      <c r="D260" s="191"/>
      <c r="E260" s="191"/>
      <c r="F260" s="191" t="s">
        <v>646</v>
      </c>
      <c r="G260" s="660">
        <f t="shared" si="74"/>
        <v>7.3950000000000002E-2</v>
      </c>
      <c r="H260" s="667">
        <f t="shared" si="42"/>
        <v>7.3950000000000002E-2</v>
      </c>
      <c r="I260" s="667">
        <f t="shared" si="77"/>
        <v>7.3950000000000002E-2</v>
      </c>
      <c r="J260" s="667">
        <f t="shared" si="77"/>
        <v>7.3950000000000002E-2</v>
      </c>
      <c r="K260" s="667">
        <f t="shared" si="77"/>
        <v>7.3950000000000002E-2</v>
      </c>
      <c r="L260" s="667">
        <f t="shared" si="77"/>
        <v>7.3950000000000002E-2</v>
      </c>
      <c r="M260" s="667">
        <f t="shared" si="77"/>
        <v>7.3950000000000002E-2</v>
      </c>
      <c r="N260" s="667">
        <f t="shared" si="77"/>
        <v>7.3950000000000002E-2</v>
      </c>
      <c r="O260" s="667">
        <f t="shared" si="77"/>
        <v>7.3950000000000002E-2</v>
      </c>
      <c r="P260" s="667">
        <f t="shared" si="77"/>
        <v>7.3950000000000002E-2</v>
      </c>
      <c r="Q260" s="667">
        <f t="shared" si="77"/>
        <v>7.3950000000000002E-2</v>
      </c>
      <c r="R260" s="667">
        <f t="shared" si="77"/>
        <v>7.3950000000000002E-2</v>
      </c>
      <c r="S260" s="667">
        <f t="shared" si="77"/>
        <v>7.3950000000000002E-2</v>
      </c>
      <c r="T260" s="667">
        <f t="shared" si="77"/>
        <v>7.3950000000000002E-2</v>
      </c>
      <c r="U260" s="667">
        <f t="shared" si="77"/>
        <v>7.3950000000000002E-2</v>
      </c>
      <c r="V260" s="667">
        <f t="shared" si="77"/>
        <v>7.3950000000000002E-2</v>
      </c>
      <c r="X260" s="307" t="str">
        <f t="shared" si="75"/>
        <v>10% lower than TFR</v>
      </c>
      <c r="Y260" s="359">
        <f t="shared" si="78"/>
        <v>1352.2727272727273</v>
      </c>
    </row>
    <row r="261" spans="1:25" s="358" customFormat="1" x14ac:dyDescent="0.25">
      <c r="A261" s="361"/>
      <c r="B261" s="191" t="s">
        <v>507</v>
      </c>
      <c r="C261" s="191" t="s">
        <v>145</v>
      </c>
      <c r="D261" s="191"/>
      <c r="E261" s="191"/>
      <c r="F261" s="191" t="s">
        <v>643</v>
      </c>
      <c r="G261" s="660">
        <f t="shared" si="74"/>
        <v>0.1134</v>
      </c>
      <c r="H261" s="667">
        <f t="shared" si="42"/>
        <v>0.1134</v>
      </c>
      <c r="I261" s="667">
        <f t="shared" si="77"/>
        <v>0.1134</v>
      </c>
      <c r="J261" s="667">
        <f t="shared" si="77"/>
        <v>0.1134</v>
      </c>
      <c r="K261" s="667">
        <f t="shared" si="77"/>
        <v>0.1134</v>
      </c>
      <c r="L261" s="667">
        <f t="shared" si="77"/>
        <v>0.1134</v>
      </c>
      <c r="M261" s="667">
        <f t="shared" si="77"/>
        <v>0.1134</v>
      </c>
      <c r="N261" s="667">
        <f t="shared" si="77"/>
        <v>0.1134</v>
      </c>
      <c r="O261" s="667">
        <f t="shared" si="77"/>
        <v>0.1134</v>
      </c>
      <c r="P261" s="667">
        <f t="shared" si="77"/>
        <v>0.1134</v>
      </c>
      <c r="Q261" s="667">
        <f t="shared" si="77"/>
        <v>0.1134</v>
      </c>
      <c r="R261" s="667">
        <f t="shared" si="77"/>
        <v>0.1134</v>
      </c>
      <c r="S261" s="667">
        <f t="shared" si="77"/>
        <v>0.1134</v>
      </c>
      <c r="T261" s="667">
        <f t="shared" si="77"/>
        <v>0.1134</v>
      </c>
      <c r="U261" s="667">
        <f t="shared" si="77"/>
        <v>0.1134</v>
      </c>
      <c r="V261" s="667">
        <f t="shared" si="77"/>
        <v>0.1134</v>
      </c>
      <c r="X261" s="307" t="str">
        <f t="shared" si="75"/>
        <v>10% lower than TFR</v>
      </c>
      <c r="Y261" s="359">
        <f t="shared" si="78"/>
        <v>881.81818181818176</v>
      </c>
    </row>
    <row r="262" spans="1:25" s="358" customFormat="1" x14ac:dyDescent="0.25">
      <c r="A262" s="361"/>
      <c r="B262" s="191" t="s">
        <v>507</v>
      </c>
      <c r="C262" s="191" t="s">
        <v>145</v>
      </c>
      <c r="D262" s="191"/>
      <c r="E262" s="191"/>
      <c r="F262" s="191" t="s">
        <v>646</v>
      </c>
      <c r="G262" s="660">
        <f t="shared" si="74"/>
        <v>9.0719999999999995E-2</v>
      </c>
      <c r="H262" s="667">
        <f t="shared" si="42"/>
        <v>9.0719999999999995E-2</v>
      </c>
      <c r="I262" s="667">
        <f t="shared" si="77"/>
        <v>9.0719999999999995E-2</v>
      </c>
      <c r="J262" s="667">
        <f t="shared" si="77"/>
        <v>9.0719999999999995E-2</v>
      </c>
      <c r="K262" s="667">
        <f t="shared" si="77"/>
        <v>9.0719999999999995E-2</v>
      </c>
      <c r="L262" s="667">
        <f t="shared" si="77"/>
        <v>9.0719999999999995E-2</v>
      </c>
      <c r="M262" s="667">
        <f t="shared" si="77"/>
        <v>9.0719999999999995E-2</v>
      </c>
      <c r="N262" s="667">
        <f t="shared" si="77"/>
        <v>9.0719999999999995E-2</v>
      </c>
      <c r="O262" s="667">
        <f t="shared" si="77"/>
        <v>9.0719999999999995E-2</v>
      </c>
      <c r="P262" s="667">
        <f t="shared" si="77"/>
        <v>9.0719999999999995E-2</v>
      </c>
      <c r="Q262" s="667">
        <f t="shared" si="77"/>
        <v>9.0719999999999995E-2</v>
      </c>
      <c r="R262" s="667">
        <f t="shared" si="77"/>
        <v>9.0719999999999995E-2</v>
      </c>
      <c r="S262" s="667">
        <f t="shared" si="77"/>
        <v>9.0719999999999995E-2</v>
      </c>
      <c r="T262" s="667">
        <f t="shared" si="77"/>
        <v>9.0719999999999995E-2</v>
      </c>
      <c r="U262" s="667">
        <f t="shared" si="77"/>
        <v>9.0719999999999995E-2</v>
      </c>
      <c r="V262" s="667">
        <f t="shared" si="77"/>
        <v>9.0719999999999995E-2</v>
      </c>
      <c r="X262" s="307" t="str">
        <f t="shared" si="75"/>
        <v>10% lower than TFR</v>
      </c>
      <c r="Y262" s="359">
        <f t="shared" si="78"/>
        <v>1102.2727272727273</v>
      </c>
    </row>
    <row r="263" spans="1:25" s="358" customFormat="1" x14ac:dyDescent="0.25">
      <c r="A263" s="361"/>
      <c r="B263" s="191" t="s">
        <v>507</v>
      </c>
      <c r="C263" s="191" t="s">
        <v>146</v>
      </c>
      <c r="D263" s="191"/>
      <c r="E263" s="191"/>
      <c r="F263" s="191" t="s">
        <v>643</v>
      </c>
      <c r="G263" s="660">
        <f t="shared" si="74"/>
        <v>0.11579</v>
      </c>
      <c r="H263" s="667">
        <f t="shared" si="42"/>
        <v>0.11579</v>
      </c>
      <c r="I263" s="667">
        <f t="shared" si="77"/>
        <v>0.11579</v>
      </c>
      <c r="J263" s="667">
        <f t="shared" si="77"/>
        <v>0.11579</v>
      </c>
      <c r="K263" s="667">
        <f t="shared" si="77"/>
        <v>0.11579</v>
      </c>
      <c r="L263" s="667">
        <f t="shared" si="77"/>
        <v>0.11579</v>
      </c>
      <c r="M263" s="667">
        <f t="shared" si="77"/>
        <v>0.11579</v>
      </c>
      <c r="N263" s="667">
        <f t="shared" si="77"/>
        <v>0.11579</v>
      </c>
      <c r="O263" s="667">
        <f t="shared" si="77"/>
        <v>0.11579</v>
      </c>
      <c r="P263" s="667">
        <f t="shared" si="77"/>
        <v>0.11579</v>
      </c>
      <c r="Q263" s="667">
        <f t="shared" si="77"/>
        <v>0.11579</v>
      </c>
      <c r="R263" s="667">
        <f t="shared" si="77"/>
        <v>0.11579</v>
      </c>
      <c r="S263" s="667">
        <f t="shared" si="77"/>
        <v>0.11579</v>
      </c>
      <c r="T263" s="667">
        <f t="shared" si="77"/>
        <v>0.11579</v>
      </c>
      <c r="U263" s="667">
        <f t="shared" si="77"/>
        <v>0.11579</v>
      </c>
      <c r="V263" s="667">
        <f t="shared" si="77"/>
        <v>0.11579</v>
      </c>
      <c r="X263" s="307" t="str">
        <f t="shared" si="75"/>
        <v>10% lower than TFR</v>
      </c>
      <c r="Y263" s="359">
        <f t="shared" si="78"/>
        <v>863.63636363636351</v>
      </c>
    </row>
    <row r="264" spans="1:25" s="358" customFormat="1" x14ac:dyDescent="0.25">
      <c r="A264" s="361"/>
      <c r="B264" s="191" t="s">
        <v>507</v>
      </c>
      <c r="C264" s="191" t="s">
        <v>146</v>
      </c>
      <c r="D264" s="191"/>
      <c r="E264" s="191"/>
      <c r="F264" s="191" t="s">
        <v>646</v>
      </c>
      <c r="G264" s="660">
        <f t="shared" si="74"/>
        <v>9.2630000000000004E-2</v>
      </c>
      <c r="H264" s="667">
        <f t="shared" si="42"/>
        <v>9.2630000000000004E-2</v>
      </c>
      <c r="I264" s="667">
        <f t="shared" si="77"/>
        <v>9.2630000000000004E-2</v>
      </c>
      <c r="J264" s="667">
        <f t="shared" ref="J264:V264" si="79">$H264</f>
        <v>9.2630000000000004E-2</v>
      </c>
      <c r="K264" s="667">
        <f t="shared" si="79"/>
        <v>9.2630000000000004E-2</v>
      </c>
      <c r="L264" s="667">
        <f t="shared" si="79"/>
        <v>9.2630000000000004E-2</v>
      </c>
      <c r="M264" s="667">
        <f t="shared" si="79"/>
        <v>9.2630000000000004E-2</v>
      </c>
      <c r="N264" s="667">
        <f t="shared" si="79"/>
        <v>9.2630000000000004E-2</v>
      </c>
      <c r="O264" s="667">
        <f t="shared" si="79"/>
        <v>9.2630000000000004E-2</v>
      </c>
      <c r="P264" s="667">
        <f t="shared" si="79"/>
        <v>9.2630000000000004E-2</v>
      </c>
      <c r="Q264" s="667">
        <f t="shared" si="79"/>
        <v>9.2630000000000004E-2</v>
      </c>
      <c r="R264" s="667">
        <f t="shared" si="79"/>
        <v>9.2630000000000004E-2</v>
      </c>
      <c r="S264" s="667">
        <f t="shared" si="79"/>
        <v>9.2630000000000004E-2</v>
      </c>
      <c r="T264" s="667">
        <f t="shared" si="79"/>
        <v>9.2630000000000004E-2</v>
      </c>
      <c r="U264" s="667">
        <f t="shared" si="79"/>
        <v>9.2630000000000004E-2</v>
      </c>
      <c r="V264" s="667">
        <f t="shared" si="79"/>
        <v>9.2630000000000004E-2</v>
      </c>
      <c r="X264" s="307" t="str">
        <f t="shared" si="75"/>
        <v>10% lower than TFR</v>
      </c>
      <c r="Y264" s="359">
        <f t="shared" si="78"/>
        <v>1079.5454545454545</v>
      </c>
    </row>
    <row r="265" spans="1:25" s="358" customFormat="1" x14ac:dyDescent="0.25">
      <c r="A265" s="361"/>
      <c r="B265" s="191" t="s">
        <v>507</v>
      </c>
      <c r="C265" s="191" t="s">
        <v>147</v>
      </c>
      <c r="D265" s="191"/>
      <c r="E265" s="191"/>
      <c r="F265" s="191" t="s">
        <v>643</v>
      </c>
      <c r="G265" s="660">
        <f t="shared" si="74"/>
        <v>9.2439999999999994E-2</v>
      </c>
      <c r="H265" s="667">
        <f t="shared" si="42"/>
        <v>9.2439999999999994E-2</v>
      </c>
      <c r="I265" s="667">
        <f t="shared" si="77"/>
        <v>9.2439999999999994E-2</v>
      </c>
      <c r="J265" s="667">
        <f t="shared" si="77"/>
        <v>9.2439999999999994E-2</v>
      </c>
      <c r="K265" s="667">
        <f t="shared" si="77"/>
        <v>9.2439999999999994E-2</v>
      </c>
      <c r="L265" s="667">
        <f t="shared" si="77"/>
        <v>9.2439999999999994E-2</v>
      </c>
      <c r="M265" s="667">
        <f t="shared" si="77"/>
        <v>9.2439999999999994E-2</v>
      </c>
      <c r="N265" s="667">
        <f t="shared" si="77"/>
        <v>9.2439999999999994E-2</v>
      </c>
      <c r="O265" s="667">
        <f t="shared" si="77"/>
        <v>9.2439999999999994E-2</v>
      </c>
      <c r="P265" s="667">
        <f t="shared" si="77"/>
        <v>9.2439999999999994E-2</v>
      </c>
      <c r="Q265" s="667">
        <f t="shared" si="77"/>
        <v>9.2439999999999994E-2</v>
      </c>
      <c r="R265" s="667">
        <f t="shared" si="77"/>
        <v>9.2439999999999994E-2</v>
      </c>
      <c r="S265" s="667">
        <f t="shared" si="77"/>
        <v>9.2439999999999994E-2</v>
      </c>
      <c r="T265" s="667">
        <f t="shared" si="77"/>
        <v>9.2439999999999994E-2</v>
      </c>
      <c r="U265" s="667">
        <f t="shared" si="77"/>
        <v>9.2439999999999994E-2</v>
      </c>
      <c r="V265" s="667">
        <f t="shared" si="77"/>
        <v>9.2439999999999994E-2</v>
      </c>
      <c r="X265" s="307" t="str">
        <f t="shared" si="75"/>
        <v>10% lower than TFR</v>
      </c>
      <c r="Y265" s="359">
        <f t="shared" si="78"/>
        <v>1081.8181818181818</v>
      </c>
    </row>
    <row r="266" spans="1:25" s="358" customFormat="1" x14ac:dyDescent="0.25">
      <c r="A266" s="361"/>
      <c r="B266" s="191" t="s">
        <v>507</v>
      </c>
      <c r="C266" s="191" t="s">
        <v>147</v>
      </c>
      <c r="D266" s="191"/>
      <c r="E266" s="191"/>
      <c r="F266" s="191" t="s">
        <v>646</v>
      </c>
      <c r="G266" s="660">
        <f t="shared" si="74"/>
        <v>7.3950000000000002E-2</v>
      </c>
      <c r="H266" s="667">
        <f t="shared" si="42"/>
        <v>7.3950000000000002E-2</v>
      </c>
      <c r="I266" s="667">
        <f t="shared" si="77"/>
        <v>7.3950000000000002E-2</v>
      </c>
      <c r="J266" s="667">
        <f t="shared" si="77"/>
        <v>7.3950000000000002E-2</v>
      </c>
      <c r="K266" s="667">
        <f t="shared" si="77"/>
        <v>7.3950000000000002E-2</v>
      </c>
      <c r="L266" s="667">
        <f t="shared" si="77"/>
        <v>7.3950000000000002E-2</v>
      </c>
      <c r="M266" s="667">
        <f t="shared" si="77"/>
        <v>7.3950000000000002E-2</v>
      </c>
      <c r="N266" s="667">
        <f t="shared" si="77"/>
        <v>7.3950000000000002E-2</v>
      </c>
      <c r="O266" s="667">
        <f t="shared" si="77"/>
        <v>7.3950000000000002E-2</v>
      </c>
      <c r="P266" s="667">
        <f t="shared" si="77"/>
        <v>7.3950000000000002E-2</v>
      </c>
      <c r="Q266" s="667">
        <f t="shared" si="77"/>
        <v>7.3950000000000002E-2</v>
      </c>
      <c r="R266" s="667">
        <f t="shared" si="77"/>
        <v>7.3950000000000002E-2</v>
      </c>
      <c r="S266" s="667">
        <f t="shared" si="77"/>
        <v>7.3950000000000002E-2</v>
      </c>
      <c r="T266" s="667">
        <f t="shared" si="77"/>
        <v>7.3950000000000002E-2</v>
      </c>
      <c r="U266" s="667">
        <f t="shared" si="77"/>
        <v>7.3950000000000002E-2</v>
      </c>
      <c r="V266" s="667">
        <f t="shared" si="77"/>
        <v>7.3950000000000002E-2</v>
      </c>
      <c r="X266" s="307" t="str">
        <f t="shared" si="75"/>
        <v>10% lower than TFR</v>
      </c>
      <c r="Y266" s="359">
        <f t="shared" si="78"/>
        <v>1352.2727272727273</v>
      </c>
    </row>
    <row r="267" spans="1:25" s="19" customFormat="1" x14ac:dyDescent="0.25">
      <c r="B267" s="191" t="s">
        <v>507</v>
      </c>
      <c r="C267" s="191" t="s">
        <v>148</v>
      </c>
      <c r="D267" s="191"/>
      <c r="E267" s="191"/>
      <c r="F267" s="191" t="s">
        <v>643</v>
      </c>
      <c r="G267" s="660">
        <f t="shared" si="74"/>
        <v>0.11937</v>
      </c>
      <c r="H267" s="667">
        <f t="shared" si="42"/>
        <v>0.11937</v>
      </c>
      <c r="I267" s="667">
        <f t="shared" si="77"/>
        <v>0.11937</v>
      </c>
      <c r="J267" s="667">
        <f t="shared" si="77"/>
        <v>0.11937</v>
      </c>
      <c r="K267" s="667">
        <f t="shared" si="77"/>
        <v>0.11937</v>
      </c>
      <c r="L267" s="667">
        <f t="shared" si="77"/>
        <v>0.11937</v>
      </c>
      <c r="M267" s="667">
        <f t="shared" si="77"/>
        <v>0.11937</v>
      </c>
      <c r="N267" s="667">
        <f t="shared" si="77"/>
        <v>0.11937</v>
      </c>
      <c r="O267" s="667">
        <f t="shared" si="77"/>
        <v>0.11937</v>
      </c>
      <c r="P267" s="667">
        <f t="shared" si="77"/>
        <v>0.11937</v>
      </c>
      <c r="Q267" s="667">
        <f t="shared" si="77"/>
        <v>0.11937</v>
      </c>
      <c r="R267" s="667">
        <f t="shared" si="77"/>
        <v>0.11937</v>
      </c>
      <c r="S267" s="667">
        <f t="shared" si="77"/>
        <v>0.11937</v>
      </c>
      <c r="T267" s="667">
        <f t="shared" si="77"/>
        <v>0.11937</v>
      </c>
      <c r="U267" s="667">
        <f t="shared" si="77"/>
        <v>0.11937</v>
      </c>
      <c r="V267" s="667">
        <f t="shared" si="77"/>
        <v>0.11937</v>
      </c>
      <c r="X267" s="307" t="s">
        <v>723</v>
      </c>
      <c r="Y267" s="416">
        <f>Y261*0.95</f>
        <v>837.72727272727263</v>
      </c>
    </row>
    <row r="268" spans="1:25" s="19" customFormat="1" x14ac:dyDescent="0.25">
      <c r="B268" s="191" t="s">
        <v>507</v>
      </c>
      <c r="C268" s="191" t="s">
        <v>148</v>
      </c>
      <c r="D268" s="191"/>
      <c r="E268" s="191"/>
      <c r="F268" s="191" t="s">
        <v>646</v>
      </c>
      <c r="G268" s="660">
        <f t="shared" si="74"/>
        <v>9.5500000000000002E-2</v>
      </c>
      <c r="H268" s="667">
        <f t="shared" si="42"/>
        <v>9.5500000000000002E-2</v>
      </c>
      <c r="I268" s="667">
        <f t="shared" si="77"/>
        <v>9.5500000000000002E-2</v>
      </c>
      <c r="J268" s="667">
        <f t="shared" si="77"/>
        <v>9.5500000000000002E-2</v>
      </c>
      <c r="K268" s="667">
        <f t="shared" si="77"/>
        <v>9.5500000000000002E-2</v>
      </c>
      <c r="L268" s="667">
        <f t="shared" si="77"/>
        <v>9.5500000000000002E-2</v>
      </c>
      <c r="M268" s="667">
        <f t="shared" si="77"/>
        <v>9.5500000000000002E-2</v>
      </c>
      <c r="N268" s="667">
        <f t="shared" si="77"/>
        <v>9.5500000000000002E-2</v>
      </c>
      <c r="O268" s="667">
        <f t="shared" si="77"/>
        <v>9.5500000000000002E-2</v>
      </c>
      <c r="P268" s="667">
        <f t="shared" si="77"/>
        <v>9.5500000000000002E-2</v>
      </c>
      <c r="Q268" s="667">
        <f t="shared" si="77"/>
        <v>9.5500000000000002E-2</v>
      </c>
      <c r="R268" s="667">
        <f t="shared" si="77"/>
        <v>9.5500000000000002E-2</v>
      </c>
      <c r="S268" s="667">
        <f t="shared" si="77"/>
        <v>9.5500000000000002E-2</v>
      </c>
      <c r="T268" s="667">
        <f t="shared" si="77"/>
        <v>9.5500000000000002E-2</v>
      </c>
      <c r="U268" s="667">
        <f t="shared" si="77"/>
        <v>9.5500000000000002E-2</v>
      </c>
      <c r="V268" s="667">
        <f t="shared" si="77"/>
        <v>9.5500000000000002E-2</v>
      </c>
      <c r="X268" s="307" t="s">
        <v>723</v>
      </c>
      <c r="Y268" s="416">
        <f>Y262*0.95</f>
        <v>1047.1590909090908</v>
      </c>
    </row>
    <row r="269" spans="1:25" s="23" customFormat="1" x14ac:dyDescent="0.25">
      <c r="B269" s="420" t="s">
        <v>507</v>
      </c>
      <c r="C269" s="420" t="s">
        <v>149</v>
      </c>
      <c r="D269" s="420"/>
      <c r="E269" s="420"/>
      <c r="F269" s="420" t="s">
        <v>643</v>
      </c>
      <c r="G269" s="660">
        <f t="shared" si="74"/>
        <v>90.909090000000006</v>
      </c>
      <c r="H269" s="670">
        <f t="shared" si="42"/>
        <v>90.909090000000006</v>
      </c>
      <c r="I269" s="670">
        <f t="shared" ref="I269:V272" si="80">$H269</f>
        <v>90.909090000000006</v>
      </c>
      <c r="J269" s="670">
        <f t="shared" si="80"/>
        <v>90.909090000000006</v>
      </c>
      <c r="K269" s="670">
        <f t="shared" si="80"/>
        <v>90.909090000000006</v>
      </c>
      <c r="L269" s="670">
        <f t="shared" si="80"/>
        <v>90.909090000000006</v>
      </c>
      <c r="M269" s="670">
        <f t="shared" si="80"/>
        <v>90.909090000000006</v>
      </c>
      <c r="N269" s="670">
        <f t="shared" si="80"/>
        <v>90.909090000000006</v>
      </c>
      <c r="O269" s="670">
        <f t="shared" si="80"/>
        <v>90.909090000000006</v>
      </c>
      <c r="P269" s="670">
        <f t="shared" si="80"/>
        <v>90.909090000000006</v>
      </c>
      <c r="Q269" s="670">
        <f t="shared" si="80"/>
        <v>90.909090000000006</v>
      </c>
      <c r="R269" s="670">
        <f t="shared" si="80"/>
        <v>90.909090000000006</v>
      </c>
      <c r="S269" s="670">
        <f t="shared" si="80"/>
        <v>90.909090000000006</v>
      </c>
      <c r="T269" s="670">
        <f t="shared" si="80"/>
        <v>90.909090000000006</v>
      </c>
      <c r="U269" s="670">
        <f t="shared" si="80"/>
        <v>90.909090000000006</v>
      </c>
      <c r="V269" s="670">
        <f t="shared" si="80"/>
        <v>90.909090000000006</v>
      </c>
      <c r="X269" s="644" t="str">
        <f t="shared" si="75"/>
        <v>??</v>
      </c>
      <c r="Y269" s="438">
        <v>1.1000000000000001</v>
      </c>
    </row>
    <row r="270" spans="1:25" s="23" customFormat="1" x14ac:dyDescent="0.25">
      <c r="B270" s="645" t="s">
        <v>507</v>
      </c>
      <c r="C270" s="645" t="s">
        <v>149</v>
      </c>
      <c r="D270" s="645"/>
      <c r="E270" s="645"/>
      <c r="F270" s="645" t="s">
        <v>646</v>
      </c>
      <c r="G270" s="669">
        <f t="shared" si="74"/>
        <v>90.909090000000006</v>
      </c>
      <c r="H270" s="671">
        <f t="shared" si="42"/>
        <v>90.909090000000006</v>
      </c>
      <c r="I270" s="671">
        <f t="shared" si="80"/>
        <v>90.909090000000006</v>
      </c>
      <c r="J270" s="671">
        <f t="shared" si="80"/>
        <v>90.909090000000006</v>
      </c>
      <c r="K270" s="671">
        <f t="shared" si="80"/>
        <v>90.909090000000006</v>
      </c>
      <c r="L270" s="671">
        <f t="shared" si="80"/>
        <v>90.909090000000006</v>
      </c>
      <c r="M270" s="671">
        <f t="shared" si="80"/>
        <v>90.909090000000006</v>
      </c>
      <c r="N270" s="671">
        <f t="shared" si="80"/>
        <v>90.909090000000006</v>
      </c>
      <c r="O270" s="671">
        <f t="shared" si="80"/>
        <v>90.909090000000006</v>
      </c>
      <c r="P270" s="671">
        <f t="shared" si="80"/>
        <v>90.909090000000006</v>
      </c>
      <c r="Q270" s="671">
        <f t="shared" si="80"/>
        <v>90.909090000000006</v>
      </c>
      <c r="R270" s="671">
        <f t="shared" si="80"/>
        <v>90.909090000000006</v>
      </c>
      <c r="S270" s="671">
        <f t="shared" si="80"/>
        <v>90.909090000000006</v>
      </c>
      <c r="T270" s="671">
        <f t="shared" si="80"/>
        <v>90.909090000000006</v>
      </c>
      <c r="U270" s="671">
        <f t="shared" si="80"/>
        <v>90.909090000000006</v>
      </c>
      <c r="V270" s="671">
        <f t="shared" si="80"/>
        <v>90.909090000000006</v>
      </c>
      <c r="X270" s="646" t="str">
        <f t="shared" si="75"/>
        <v>??</v>
      </c>
      <c r="Y270" s="575">
        <v>1.1000000000000001</v>
      </c>
    </row>
    <row r="271" spans="1:25" s="19" customFormat="1" x14ac:dyDescent="0.25">
      <c r="B271" s="191" t="s">
        <v>507</v>
      </c>
      <c r="C271" s="191" t="s">
        <v>151</v>
      </c>
      <c r="D271" s="191"/>
      <c r="E271" s="191"/>
      <c r="F271" s="191" t="s">
        <v>649</v>
      </c>
      <c r="G271" s="660">
        <f t="shared" si="74"/>
        <v>9.2590000000000006E-2</v>
      </c>
      <c r="H271" s="667">
        <f t="shared" si="42"/>
        <v>9.2590000000000006E-2</v>
      </c>
      <c r="I271" s="667">
        <f t="shared" si="80"/>
        <v>9.2590000000000006E-2</v>
      </c>
      <c r="J271" s="667">
        <f t="shared" si="80"/>
        <v>9.2590000000000006E-2</v>
      </c>
      <c r="K271" s="667">
        <f t="shared" si="80"/>
        <v>9.2590000000000006E-2</v>
      </c>
      <c r="L271" s="667">
        <f t="shared" si="80"/>
        <v>9.2590000000000006E-2</v>
      </c>
      <c r="M271" s="667">
        <f t="shared" si="80"/>
        <v>9.2590000000000006E-2</v>
      </c>
      <c r="N271" s="667">
        <f t="shared" si="80"/>
        <v>9.2590000000000006E-2</v>
      </c>
      <c r="O271" s="667">
        <f t="shared" si="80"/>
        <v>9.2590000000000006E-2</v>
      </c>
      <c r="P271" s="667">
        <f t="shared" si="80"/>
        <v>9.2590000000000006E-2</v>
      </c>
      <c r="Q271" s="667">
        <f t="shared" si="80"/>
        <v>9.2590000000000006E-2</v>
      </c>
      <c r="R271" s="667">
        <f t="shared" si="80"/>
        <v>9.2590000000000006E-2</v>
      </c>
      <c r="S271" s="667">
        <f t="shared" si="80"/>
        <v>9.2590000000000006E-2</v>
      </c>
      <c r="T271" s="667">
        <f t="shared" si="80"/>
        <v>9.2590000000000006E-2</v>
      </c>
      <c r="U271" s="667">
        <f t="shared" si="80"/>
        <v>9.2590000000000006E-2</v>
      </c>
      <c r="V271" s="667">
        <f t="shared" si="80"/>
        <v>9.2590000000000006E-2</v>
      </c>
      <c r="X271" s="307" t="str">
        <f t="shared" si="75"/>
        <v>JRC-EU-TIMES; data for 2010</v>
      </c>
      <c r="Y271" s="359">
        <f>Y273</f>
        <v>1080</v>
      </c>
    </row>
    <row r="272" spans="1:25" s="19" customFormat="1" x14ac:dyDescent="0.25">
      <c r="B272" s="191" t="s">
        <v>507</v>
      </c>
      <c r="C272" s="191" t="s">
        <v>151</v>
      </c>
      <c r="D272" s="191"/>
      <c r="E272" s="191"/>
      <c r="F272" s="191" t="s">
        <v>652</v>
      </c>
      <c r="G272" s="660">
        <f t="shared" si="74"/>
        <v>7.4069999999999997E-2</v>
      </c>
      <c r="H272" s="667">
        <f t="shared" si="42"/>
        <v>7.4069999999999997E-2</v>
      </c>
      <c r="I272" s="667">
        <f t="shared" si="80"/>
        <v>7.4069999999999997E-2</v>
      </c>
      <c r="J272" s="667">
        <f t="shared" si="80"/>
        <v>7.4069999999999997E-2</v>
      </c>
      <c r="K272" s="667">
        <f t="shared" si="80"/>
        <v>7.4069999999999997E-2</v>
      </c>
      <c r="L272" s="667">
        <f t="shared" si="80"/>
        <v>7.4069999999999997E-2</v>
      </c>
      <c r="M272" s="667">
        <f t="shared" si="80"/>
        <v>7.4069999999999997E-2</v>
      </c>
      <c r="N272" s="667">
        <f t="shared" si="80"/>
        <v>7.4069999999999997E-2</v>
      </c>
      <c r="O272" s="667">
        <f t="shared" si="80"/>
        <v>7.4069999999999997E-2</v>
      </c>
      <c r="P272" s="667">
        <f t="shared" si="80"/>
        <v>7.4069999999999997E-2</v>
      </c>
      <c r="Q272" s="667">
        <f t="shared" si="80"/>
        <v>7.4069999999999997E-2</v>
      </c>
      <c r="R272" s="667">
        <f t="shared" si="80"/>
        <v>7.4069999999999997E-2</v>
      </c>
      <c r="S272" s="667">
        <f t="shared" si="80"/>
        <v>7.4069999999999997E-2</v>
      </c>
      <c r="T272" s="667">
        <f t="shared" si="80"/>
        <v>7.4069999999999997E-2</v>
      </c>
      <c r="U272" s="667">
        <f t="shared" si="80"/>
        <v>7.4069999999999997E-2</v>
      </c>
      <c r="V272" s="667">
        <f t="shared" si="80"/>
        <v>7.4069999999999997E-2</v>
      </c>
      <c r="X272" s="307" t="str">
        <f t="shared" si="75"/>
        <v>Assumed 25% higher than long-distance</v>
      </c>
      <c r="Y272" s="359">
        <f>Y271*1.25</f>
        <v>1350</v>
      </c>
    </row>
    <row r="273" spans="2:28" x14ac:dyDescent="0.25">
      <c r="B273" s="191" t="s">
        <v>507</v>
      </c>
      <c r="C273" s="191" t="s">
        <v>152</v>
      </c>
      <c r="D273" s="191"/>
      <c r="E273" s="191"/>
      <c r="F273" s="191" t="s">
        <v>649</v>
      </c>
      <c r="G273" s="660">
        <f t="shared" si="74"/>
        <v>9.2590000000000006E-2</v>
      </c>
      <c r="H273" s="667">
        <f t="shared" si="42"/>
        <v>9.2590000000000006E-2</v>
      </c>
      <c r="I273" s="667">
        <f t="shared" si="49"/>
        <v>9.2590000000000006E-2</v>
      </c>
      <c r="J273" s="667">
        <f t="shared" si="76"/>
        <v>9.2590000000000006E-2</v>
      </c>
      <c r="K273" s="667">
        <f t="shared" si="76"/>
        <v>9.2590000000000006E-2</v>
      </c>
      <c r="L273" s="667">
        <f t="shared" si="76"/>
        <v>9.2590000000000006E-2</v>
      </c>
      <c r="M273" s="667">
        <f t="shared" si="76"/>
        <v>9.2590000000000006E-2</v>
      </c>
      <c r="N273" s="667">
        <f t="shared" si="76"/>
        <v>9.2590000000000006E-2</v>
      </c>
      <c r="O273" s="667">
        <f t="shared" si="76"/>
        <v>9.2590000000000006E-2</v>
      </c>
      <c r="P273" s="667">
        <f t="shared" si="76"/>
        <v>9.2590000000000006E-2</v>
      </c>
      <c r="Q273" s="667">
        <f t="shared" si="76"/>
        <v>9.2590000000000006E-2</v>
      </c>
      <c r="R273" s="667">
        <f t="shared" si="76"/>
        <v>9.2590000000000006E-2</v>
      </c>
      <c r="S273" s="667">
        <f t="shared" si="76"/>
        <v>9.2590000000000006E-2</v>
      </c>
      <c r="T273" s="667">
        <f t="shared" si="76"/>
        <v>9.2590000000000006E-2</v>
      </c>
      <c r="U273" s="667">
        <f t="shared" si="76"/>
        <v>9.2590000000000006E-2</v>
      </c>
      <c r="V273" s="667">
        <f t="shared" si="76"/>
        <v>9.2590000000000006E-2</v>
      </c>
      <c r="X273" s="307" t="str">
        <f t="shared" si="75"/>
        <v>JRC-EU-TIMES; data for 2010</v>
      </c>
      <c r="Y273" s="359">
        <v>1080</v>
      </c>
      <c r="AA273" s="107" t="s">
        <v>700</v>
      </c>
      <c r="AB273" s="108">
        <v>1080</v>
      </c>
    </row>
    <row r="274" spans="2:28" x14ac:dyDescent="0.25">
      <c r="B274" s="191" t="s">
        <v>507</v>
      </c>
      <c r="C274" s="191" t="s">
        <v>152</v>
      </c>
      <c r="D274" s="191"/>
      <c r="E274" s="191"/>
      <c r="F274" s="191" t="s">
        <v>652</v>
      </c>
      <c r="G274" s="660">
        <f t="shared" si="74"/>
        <v>7.4069999999999997E-2</v>
      </c>
      <c r="H274" s="667">
        <f t="shared" si="42"/>
        <v>7.4069999999999997E-2</v>
      </c>
      <c r="I274" s="667">
        <f t="shared" si="49"/>
        <v>7.4069999999999997E-2</v>
      </c>
      <c r="J274" s="667">
        <f t="shared" si="76"/>
        <v>7.4069999999999997E-2</v>
      </c>
      <c r="K274" s="667">
        <f t="shared" si="76"/>
        <v>7.4069999999999997E-2</v>
      </c>
      <c r="L274" s="667">
        <f t="shared" si="76"/>
        <v>7.4069999999999997E-2</v>
      </c>
      <c r="M274" s="667">
        <f t="shared" si="76"/>
        <v>7.4069999999999997E-2</v>
      </c>
      <c r="N274" s="667">
        <f t="shared" si="76"/>
        <v>7.4069999999999997E-2</v>
      </c>
      <c r="O274" s="667">
        <f t="shared" si="76"/>
        <v>7.4069999999999997E-2</v>
      </c>
      <c r="P274" s="667">
        <f t="shared" si="76"/>
        <v>7.4069999999999997E-2</v>
      </c>
      <c r="Q274" s="667">
        <f t="shared" si="76"/>
        <v>7.4069999999999997E-2</v>
      </c>
      <c r="R274" s="667">
        <f t="shared" si="76"/>
        <v>7.4069999999999997E-2</v>
      </c>
      <c r="S274" s="667">
        <f t="shared" si="76"/>
        <v>7.4069999999999997E-2</v>
      </c>
      <c r="T274" s="667">
        <f t="shared" si="76"/>
        <v>7.4069999999999997E-2</v>
      </c>
      <c r="U274" s="667">
        <f t="shared" si="76"/>
        <v>7.4069999999999997E-2</v>
      </c>
      <c r="V274" s="667">
        <f t="shared" si="76"/>
        <v>7.4069999999999997E-2</v>
      </c>
      <c r="X274" s="307" t="str">
        <f t="shared" si="75"/>
        <v>Assumed 25% higher than long-distance</v>
      </c>
      <c r="Y274" s="359">
        <f>Y273*1.25</f>
        <v>1350</v>
      </c>
      <c r="AA274" s="107" t="s">
        <v>700</v>
      </c>
      <c r="AB274" s="108">
        <v>1080</v>
      </c>
    </row>
    <row r="275" spans="2:28" x14ac:dyDescent="0.25">
      <c r="B275" s="191" t="s">
        <v>507</v>
      </c>
      <c r="C275" s="191" t="s">
        <v>153</v>
      </c>
      <c r="D275" s="191"/>
      <c r="E275" s="191"/>
      <c r="F275" s="191" t="s">
        <v>649</v>
      </c>
      <c r="G275" s="660">
        <f t="shared" si="74"/>
        <v>90.909090000000006</v>
      </c>
      <c r="H275" s="667">
        <f t="shared" si="42"/>
        <v>90.909090000000006</v>
      </c>
      <c r="I275" s="667">
        <f t="shared" si="49"/>
        <v>90.909090000000006</v>
      </c>
      <c r="J275" s="667">
        <f t="shared" si="49"/>
        <v>90.909090000000006</v>
      </c>
      <c r="K275" s="667">
        <f t="shared" si="49"/>
        <v>90.909090000000006</v>
      </c>
      <c r="L275" s="667">
        <f t="shared" si="49"/>
        <v>90.909090000000006</v>
      </c>
      <c r="M275" s="667">
        <f t="shared" si="49"/>
        <v>90.909090000000006</v>
      </c>
      <c r="N275" s="667">
        <f t="shared" si="49"/>
        <v>90.909090000000006</v>
      </c>
      <c r="O275" s="667">
        <f t="shared" si="49"/>
        <v>90.909090000000006</v>
      </c>
      <c r="P275" s="667">
        <f t="shared" si="49"/>
        <v>90.909090000000006</v>
      </c>
      <c r="Q275" s="667">
        <f t="shared" si="49"/>
        <v>90.909090000000006</v>
      </c>
      <c r="R275" s="667">
        <f t="shared" si="49"/>
        <v>90.909090000000006</v>
      </c>
      <c r="S275" s="667">
        <f t="shared" si="49"/>
        <v>90.909090000000006</v>
      </c>
      <c r="T275" s="667">
        <f t="shared" si="49"/>
        <v>90.909090000000006</v>
      </c>
      <c r="U275" s="667">
        <f t="shared" si="49"/>
        <v>90.909090000000006</v>
      </c>
      <c r="V275" s="667">
        <f t="shared" si="49"/>
        <v>90.909090000000006</v>
      </c>
      <c r="X275" s="307" t="str">
        <f t="shared" si="75"/>
        <v>ERASE TECHNOLOGY?</v>
      </c>
      <c r="Y275" s="415">
        <v>1.1000000000000001</v>
      </c>
      <c r="AA275" s="107"/>
      <c r="AB275" s="108"/>
    </row>
    <row r="276" spans="2:28" x14ac:dyDescent="0.25">
      <c r="B276" s="191" t="s">
        <v>507</v>
      </c>
      <c r="C276" s="191" t="s">
        <v>153</v>
      </c>
      <c r="D276" s="191"/>
      <c r="E276" s="191"/>
      <c r="F276" s="191" t="s">
        <v>652</v>
      </c>
      <c r="G276" s="660">
        <f t="shared" si="74"/>
        <v>90.909090000000006</v>
      </c>
      <c r="H276" s="667">
        <f t="shared" si="42"/>
        <v>90.909090000000006</v>
      </c>
      <c r="I276" s="667">
        <f t="shared" si="49"/>
        <v>90.909090000000006</v>
      </c>
      <c r="J276" s="667">
        <f t="shared" si="49"/>
        <v>90.909090000000006</v>
      </c>
      <c r="K276" s="667">
        <f t="shared" si="49"/>
        <v>90.909090000000006</v>
      </c>
      <c r="L276" s="667">
        <f t="shared" si="49"/>
        <v>90.909090000000006</v>
      </c>
      <c r="M276" s="667">
        <f t="shared" si="49"/>
        <v>90.909090000000006</v>
      </c>
      <c r="N276" s="667">
        <f t="shared" si="49"/>
        <v>90.909090000000006</v>
      </c>
      <c r="O276" s="667">
        <f t="shared" si="49"/>
        <v>90.909090000000006</v>
      </c>
      <c r="P276" s="667">
        <f t="shared" si="49"/>
        <v>90.909090000000006</v>
      </c>
      <c r="Q276" s="667">
        <f t="shared" si="49"/>
        <v>90.909090000000006</v>
      </c>
      <c r="R276" s="667">
        <f t="shared" si="49"/>
        <v>90.909090000000006</v>
      </c>
      <c r="S276" s="667">
        <f t="shared" si="49"/>
        <v>90.909090000000006</v>
      </c>
      <c r="T276" s="667">
        <f t="shared" si="49"/>
        <v>90.909090000000006</v>
      </c>
      <c r="U276" s="667">
        <f t="shared" si="49"/>
        <v>90.909090000000006</v>
      </c>
      <c r="V276" s="667">
        <f t="shared" si="49"/>
        <v>90.909090000000006</v>
      </c>
      <c r="X276" s="307" t="str">
        <f t="shared" si="75"/>
        <v>ERASE TECHNOLOGY?</v>
      </c>
      <c r="Y276" s="415">
        <v>1.1000000000000001</v>
      </c>
      <c r="AA276" s="107"/>
      <c r="AB276" s="108"/>
    </row>
    <row r="277" spans="2:28" x14ac:dyDescent="0.25">
      <c r="B277" s="191" t="s">
        <v>507</v>
      </c>
      <c r="C277" s="191" t="s">
        <v>154</v>
      </c>
      <c r="D277" s="191"/>
      <c r="E277" s="191"/>
      <c r="F277" s="191" t="s">
        <v>649</v>
      </c>
      <c r="G277" s="660">
        <f t="shared" si="74"/>
        <v>8.4029999999999994E-2</v>
      </c>
      <c r="H277" s="667">
        <f t="shared" si="42"/>
        <v>8.4029999999999994E-2</v>
      </c>
      <c r="I277" s="667">
        <f t="shared" si="49"/>
        <v>8.4029999999999994E-2</v>
      </c>
      <c r="J277" s="667">
        <f t="shared" si="76"/>
        <v>8.4029999999999994E-2</v>
      </c>
      <c r="K277" s="667">
        <f t="shared" si="76"/>
        <v>8.4029999999999994E-2</v>
      </c>
      <c r="L277" s="667">
        <f t="shared" si="76"/>
        <v>8.4029999999999994E-2</v>
      </c>
      <c r="M277" s="667">
        <f t="shared" si="76"/>
        <v>8.4029999999999994E-2</v>
      </c>
      <c r="N277" s="667">
        <f t="shared" si="76"/>
        <v>8.4029999999999994E-2</v>
      </c>
      <c r="O277" s="667">
        <f t="shared" si="76"/>
        <v>8.4029999999999994E-2</v>
      </c>
      <c r="P277" s="667">
        <f t="shared" si="76"/>
        <v>8.4029999999999994E-2</v>
      </c>
      <c r="Q277" s="667">
        <f t="shared" si="76"/>
        <v>8.4029999999999994E-2</v>
      </c>
      <c r="R277" s="667">
        <f t="shared" si="76"/>
        <v>8.4029999999999994E-2</v>
      </c>
      <c r="S277" s="667">
        <f t="shared" si="76"/>
        <v>8.4029999999999994E-2</v>
      </c>
      <c r="T277" s="667">
        <f t="shared" si="76"/>
        <v>8.4029999999999994E-2</v>
      </c>
      <c r="U277" s="667">
        <f t="shared" si="76"/>
        <v>8.4029999999999994E-2</v>
      </c>
      <c r="V277" s="667">
        <f t="shared" si="76"/>
        <v>8.4029999999999994E-2</v>
      </c>
      <c r="X277" s="307" t="str">
        <f t="shared" si="75"/>
        <v>Assumed equal to DST</v>
      </c>
      <c r="Y277" s="359">
        <v>1190</v>
      </c>
      <c r="AA277" s="107" t="s">
        <v>700</v>
      </c>
      <c r="AB277" s="108">
        <v>1190</v>
      </c>
    </row>
    <row r="278" spans="2:28" x14ac:dyDescent="0.25">
      <c r="B278" s="191" t="s">
        <v>507</v>
      </c>
      <c r="C278" s="191" t="s">
        <v>154</v>
      </c>
      <c r="D278" s="191"/>
      <c r="E278" s="191"/>
      <c r="F278" s="191" t="s">
        <v>652</v>
      </c>
      <c r="G278" s="660">
        <f t="shared" si="74"/>
        <v>6.7229999999999998E-2</v>
      </c>
      <c r="H278" s="667">
        <f t="shared" si="42"/>
        <v>6.7229999999999998E-2</v>
      </c>
      <c r="I278" s="667">
        <f t="shared" si="49"/>
        <v>6.7229999999999998E-2</v>
      </c>
      <c r="J278" s="667">
        <f t="shared" si="76"/>
        <v>6.7229999999999998E-2</v>
      </c>
      <c r="K278" s="667">
        <f t="shared" si="76"/>
        <v>6.7229999999999998E-2</v>
      </c>
      <c r="L278" s="667">
        <f t="shared" si="76"/>
        <v>6.7229999999999998E-2</v>
      </c>
      <c r="M278" s="667">
        <f t="shared" si="76"/>
        <v>6.7229999999999998E-2</v>
      </c>
      <c r="N278" s="667">
        <f t="shared" si="76"/>
        <v>6.7229999999999998E-2</v>
      </c>
      <c r="O278" s="667">
        <f t="shared" si="76"/>
        <v>6.7229999999999998E-2</v>
      </c>
      <c r="P278" s="667">
        <f t="shared" si="76"/>
        <v>6.7229999999999998E-2</v>
      </c>
      <c r="Q278" s="667">
        <f t="shared" si="76"/>
        <v>6.7229999999999998E-2</v>
      </c>
      <c r="R278" s="667">
        <f t="shared" si="76"/>
        <v>6.7229999999999998E-2</v>
      </c>
      <c r="S278" s="667">
        <f t="shared" si="76"/>
        <v>6.7229999999999998E-2</v>
      </c>
      <c r="T278" s="667">
        <f t="shared" si="76"/>
        <v>6.7229999999999998E-2</v>
      </c>
      <c r="U278" s="667">
        <f t="shared" si="76"/>
        <v>6.7229999999999998E-2</v>
      </c>
      <c r="V278" s="667">
        <f t="shared" si="76"/>
        <v>6.7229999999999998E-2</v>
      </c>
      <c r="X278" s="307" t="str">
        <f t="shared" si="75"/>
        <v>Assumed 25% higher than long-distance</v>
      </c>
      <c r="Y278" s="359">
        <f>Y277*1.25</f>
        <v>1487.5</v>
      </c>
      <c r="AA278" s="107" t="s">
        <v>700</v>
      </c>
      <c r="AB278" s="108">
        <v>1190</v>
      </c>
    </row>
    <row r="279" spans="2:28" x14ac:dyDescent="0.25">
      <c r="B279" s="191" t="s">
        <v>507</v>
      </c>
      <c r="C279" s="191" t="s">
        <v>155</v>
      </c>
      <c r="D279" s="191"/>
      <c r="E279" s="191"/>
      <c r="F279" s="191" t="s">
        <v>649</v>
      </c>
      <c r="G279" s="660">
        <f t="shared" si="74"/>
        <v>7.6920000000000002E-2</v>
      </c>
      <c r="H279" s="667">
        <f t="shared" ref="H279:H294" si="81">$G279</f>
        <v>7.6920000000000002E-2</v>
      </c>
      <c r="I279" s="667">
        <f t="shared" si="49"/>
        <v>7.6920000000000002E-2</v>
      </c>
      <c r="J279" s="667">
        <f t="shared" si="76"/>
        <v>7.6920000000000002E-2</v>
      </c>
      <c r="K279" s="667">
        <f t="shared" si="76"/>
        <v>7.6920000000000002E-2</v>
      </c>
      <c r="L279" s="667">
        <f t="shared" si="76"/>
        <v>7.6920000000000002E-2</v>
      </c>
      <c r="M279" s="667">
        <f t="shared" si="76"/>
        <v>7.6920000000000002E-2</v>
      </c>
      <c r="N279" s="667">
        <f t="shared" si="76"/>
        <v>7.6920000000000002E-2</v>
      </c>
      <c r="O279" s="667">
        <f t="shared" si="76"/>
        <v>7.6920000000000002E-2</v>
      </c>
      <c r="P279" s="667">
        <f t="shared" si="76"/>
        <v>7.6920000000000002E-2</v>
      </c>
      <c r="Q279" s="667">
        <f t="shared" si="76"/>
        <v>7.6920000000000002E-2</v>
      </c>
      <c r="R279" s="667">
        <f t="shared" si="76"/>
        <v>7.6920000000000002E-2</v>
      </c>
      <c r="S279" s="667">
        <f t="shared" si="76"/>
        <v>7.6920000000000002E-2</v>
      </c>
      <c r="T279" s="667">
        <f t="shared" si="76"/>
        <v>7.6920000000000002E-2</v>
      </c>
      <c r="U279" s="667">
        <f t="shared" si="76"/>
        <v>7.6920000000000002E-2</v>
      </c>
      <c r="V279" s="667">
        <f t="shared" si="76"/>
        <v>7.6920000000000002E-2</v>
      </c>
      <c r="X279" s="307" t="str">
        <f t="shared" si="75"/>
        <v>JRC-EU-TIMES; data for 2010</v>
      </c>
      <c r="Y279" s="359">
        <v>1300</v>
      </c>
      <c r="AA279" s="107" t="s">
        <v>700</v>
      </c>
      <c r="AB279" s="108">
        <v>1300</v>
      </c>
    </row>
    <row r="280" spans="2:28" x14ac:dyDescent="0.25">
      <c r="B280" s="191" t="s">
        <v>507</v>
      </c>
      <c r="C280" s="191" t="s">
        <v>155</v>
      </c>
      <c r="D280" s="191"/>
      <c r="E280" s="191"/>
      <c r="F280" s="191" t="s">
        <v>652</v>
      </c>
      <c r="G280" s="660">
        <f t="shared" si="74"/>
        <v>6.1539999999999997E-2</v>
      </c>
      <c r="H280" s="667">
        <f t="shared" si="81"/>
        <v>6.1539999999999997E-2</v>
      </c>
      <c r="I280" s="667">
        <f t="shared" si="49"/>
        <v>6.1539999999999997E-2</v>
      </c>
      <c r="J280" s="667">
        <f t="shared" si="76"/>
        <v>6.1539999999999997E-2</v>
      </c>
      <c r="K280" s="667">
        <f t="shared" si="76"/>
        <v>6.1539999999999997E-2</v>
      </c>
      <c r="L280" s="667">
        <f t="shared" si="76"/>
        <v>6.1539999999999997E-2</v>
      </c>
      <c r="M280" s="667">
        <f t="shared" si="76"/>
        <v>6.1539999999999997E-2</v>
      </c>
      <c r="N280" s="667">
        <f t="shared" si="76"/>
        <v>6.1539999999999997E-2</v>
      </c>
      <c r="O280" s="667">
        <f t="shared" si="76"/>
        <v>6.1539999999999997E-2</v>
      </c>
      <c r="P280" s="667">
        <f t="shared" si="76"/>
        <v>6.1539999999999997E-2</v>
      </c>
      <c r="Q280" s="667">
        <f t="shared" si="76"/>
        <v>6.1539999999999997E-2</v>
      </c>
      <c r="R280" s="667">
        <f t="shared" si="76"/>
        <v>6.1539999999999997E-2</v>
      </c>
      <c r="S280" s="667">
        <f t="shared" si="76"/>
        <v>6.1539999999999997E-2</v>
      </c>
      <c r="T280" s="667">
        <f t="shared" si="76"/>
        <v>6.1539999999999997E-2</v>
      </c>
      <c r="U280" s="667">
        <f t="shared" si="76"/>
        <v>6.1539999999999997E-2</v>
      </c>
      <c r="V280" s="667">
        <f t="shared" si="76"/>
        <v>6.1539999999999997E-2</v>
      </c>
      <c r="X280" s="307" t="str">
        <f t="shared" si="75"/>
        <v>Assumed 25% higher than long-distance</v>
      </c>
      <c r="Y280" s="359">
        <f>Y279*1.25</f>
        <v>1625</v>
      </c>
      <c r="AA280" s="107" t="s">
        <v>700</v>
      </c>
      <c r="AB280" s="108">
        <v>1300</v>
      </c>
    </row>
    <row r="281" spans="2:28" x14ac:dyDescent="0.25">
      <c r="B281" s="191" t="s">
        <v>507</v>
      </c>
      <c r="C281" s="191" t="s">
        <v>156</v>
      </c>
      <c r="D281" s="191"/>
      <c r="E281" s="191"/>
      <c r="F281" s="191" t="s">
        <v>649</v>
      </c>
      <c r="G281" s="660">
        <f t="shared" si="74"/>
        <v>8.4029999999999994E-2</v>
      </c>
      <c r="H281" s="667">
        <f t="shared" si="81"/>
        <v>8.4029999999999994E-2</v>
      </c>
      <c r="I281" s="667">
        <f t="shared" si="49"/>
        <v>8.4029999999999994E-2</v>
      </c>
      <c r="J281" s="667">
        <f t="shared" si="76"/>
        <v>8.4029999999999994E-2</v>
      </c>
      <c r="K281" s="667">
        <f t="shared" si="76"/>
        <v>8.4029999999999994E-2</v>
      </c>
      <c r="L281" s="667">
        <f t="shared" si="76"/>
        <v>8.4029999999999994E-2</v>
      </c>
      <c r="M281" s="667">
        <f t="shared" si="76"/>
        <v>8.4029999999999994E-2</v>
      </c>
      <c r="N281" s="667">
        <f t="shared" si="76"/>
        <v>8.4029999999999994E-2</v>
      </c>
      <c r="O281" s="667">
        <f t="shared" si="76"/>
        <v>8.4029999999999994E-2</v>
      </c>
      <c r="P281" s="667">
        <f t="shared" si="76"/>
        <v>8.4029999999999994E-2</v>
      </c>
      <c r="Q281" s="667">
        <f t="shared" si="76"/>
        <v>8.4029999999999994E-2</v>
      </c>
      <c r="R281" s="667">
        <f t="shared" si="76"/>
        <v>8.4029999999999994E-2</v>
      </c>
      <c r="S281" s="667">
        <f t="shared" si="76"/>
        <v>8.4029999999999994E-2</v>
      </c>
      <c r="T281" s="667">
        <f t="shared" si="76"/>
        <v>8.4029999999999994E-2</v>
      </c>
      <c r="U281" s="667">
        <f t="shared" si="76"/>
        <v>8.4029999999999994E-2</v>
      </c>
      <c r="V281" s="667">
        <f t="shared" si="76"/>
        <v>8.4029999999999994E-2</v>
      </c>
      <c r="X281" s="307" t="str">
        <f t="shared" si="75"/>
        <v>JRC-EU-TIMES; data for 2010</v>
      </c>
      <c r="Y281" s="359">
        <v>1190</v>
      </c>
      <c r="AA281" s="107" t="s">
        <v>700</v>
      </c>
      <c r="AB281" s="108">
        <v>1190</v>
      </c>
    </row>
    <row r="282" spans="2:28" x14ac:dyDescent="0.25">
      <c r="B282" s="191" t="s">
        <v>507</v>
      </c>
      <c r="C282" s="191" t="s">
        <v>156</v>
      </c>
      <c r="D282" s="191"/>
      <c r="E282" s="191"/>
      <c r="F282" s="191" t="s">
        <v>652</v>
      </c>
      <c r="G282" s="660">
        <f t="shared" si="74"/>
        <v>6.7229999999999998E-2</v>
      </c>
      <c r="H282" s="667">
        <f t="shared" si="81"/>
        <v>6.7229999999999998E-2</v>
      </c>
      <c r="I282" s="667">
        <f t="shared" si="49"/>
        <v>6.7229999999999998E-2</v>
      </c>
      <c r="J282" s="667">
        <f t="shared" si="76"/>
        <v>6.7229999999999998E-2</v>
      </c>
      <c r="K282" s="667">
        <f t="shared" si="76"/>
        <v>6.7229999999999998E-2</v>
      </c>
      <c r="L282" s="667">
        <f t="shared" si="76"/>
        <v>6.7229999999999998E-2</v>
      </c>
      <c r="M282" s="667">
        <f t="shared" si="76"/>
        <v>6.7229999999999998E-2</v>
      </c>
      <c r="N282" s="667">
        <f t="shared" si="76"/>
        <v>6.7229999999999998E-2</v>
      </c>
      <c r="O282" s="667">
        <f t="shared" si="76"/>
        <v>6.7229999999999998E-2</v>
      </c>
      <c r="P282" s="667">
        <f t="shared" si="76"/>
        <v>6.7229999999999998E-2</v>
      </c>
      <c r="Q282" s="667">
        <f t="shared" si="76"/>
        <v>6.7229999999999998E-2</v>
      </c>
      <c r="R282" s="667">
        <f t="shared" si="76"/>
        <v>6.7229999999999998E-2</v>
      </c>
      <c r="S282" s="667">
        <f t="shared" si="76"/>
        <v>6.7229999999999998E-2</v>
      </c>
      <c r="T282" s="667">
        <f t="shared" si="76"/>
        <v>6.7229999999999998E-2</v>
      </c>
      <c r="U282" s="667">
        <f t="shared" si="76"/>
        <v>6.7229999999999998E-2</v>
      </c>
      <c r="V282" s="667">
        <f t="shared" si="76"/>
        <v>6.7229999999999998E-2</v>
      </c>
      <c r="X282" s="307" t="str">
        <f t="shared" si="75"/>
        <v>Assumed 25% higher than long-distance</v>
      </c>
      <c r="Y282" s="359">
        <f>Y281*1.25</f>
        <v>1487.5</v>
      </c>
      <c r="AA282" s="107" t="s">
        <v>700</v>
      </c>
      <c r="AB282" s="108">
        <v>1190</v>
      </c>
    </row>
    <row r="283" spans="2:28" s="360" customFormat="1" x14ac:dyDescent="0.25">
      <c r="B283" s="191" t="s">
        <v>507</v>
      </c>
      <c r="C283" s="191" t="s">
        <v>157</v>
      </c>
      <c r="D283" s="191"/>
      <c r="E283" s="191"/>
      <c r="F283" s="191" t="s">
        <v>649</v>
      </c>
      <c r="G283" s="660">
        <f t="shared" si="74"/>
        <v>0.10309</v>
      </c>
      <c r="H283" s="667">
        <f t="shared" si="81"/>
        <v>0.10309</v>
      </c>
      <c r="I283" s="667">
        <f t="shared" ref="I283:V294" si="82">$H283</f>
        <v>0.10309</v>
      </c>
      <c r="J283" s="667">
        <f t="shared" si="82"/>
        <v>0.10309</v>
      </c>
      <c r="K283" s="667">
        <f t="shared" si="82"/>
        <v>0.10309</v>
      </c>
      <c r="L283" s="667">
        <f t="shared" si="82"/>
        <v>0.10309</v>
      </c>
      <c r="M283" s="667">
        <f t="shared" si="82"/>
        <v>0.10309</v>
      </c>
      <c r="N283" s="667">
        <f t="shared" si="82"/>
        <v>0.10309</v>
      </c>
      <c r="O283" s="667">
        <f t="shared" si="82"/>
        <v>0.10309</v>
      </c>
      <c r="P283" s="667">
        <f t="shared" si="82"/>
        <v>0.10309</v>
      </c>
      <c r="Q283" s="667">
        <f t="shared" si="82"/>
        <v>0.10309</v>
      </c>
      <c r="R283" s="667">
        <f t="shared" si="82"/>
        <v>0.10309</v>
      </c>
      <c r="S283" s="667">
        <f t="shared" si="82"/>
        <v>0.10309</v>
      </c>
      <c r="T283" s="667">
        <f t="shared" si="82"/>
        <v>0.10309</v>
      </c>
      <c r="U283" s="667">
        <f t="shared" si="82"/>
        <v>0.10309</v>
      </c>
      <c r="V283" s="667">
        <f t="shared" si="82"/>
        <v>0.10309</v>
      </c>
      <c r="X283" s="307" t="str">
        <f t="shared" si="75"/>
        <v>JRC-EU-TIMES; data for 2010</v>
      </c>
      <c r="Y283" s="302">
        <v>970</v>
      </c>
    </row>
    <row r="284" spans="2:28" s="360" customFormat="1" x14ac:dyDescent="0.25">
      <c r="B284" s="191" t="s">
        <v>507</v>
      </c>
      <c r="C284" s="191" t="s">
        <v>157</v>
      </c>
      <c r="D284" s="191"/>
      <c r="E284" s="191"/>
      <c r="F284" s="191" t="s">
        <v>652</v>
      </c>
      <c r="G284" s="660">
        <f t="shared" si="74"/>
        <v>8.2470000000000002E-2</v>
      </c>
      <c r="H284" s="667">
        <f t="shared" si="81"/>
        <v>8.2470000000000002E-2</v>
      </c>
      <c r="I284" s="667">
        <f t="shared" si="82"/>
        <v>8.2470000000000002E-2</v>
      </c>
      <c r="J284" s="667">
        <f t="shared" si="82"/>
        <v>8.2470000000000002E-2</v>
      </c>
      <c r="K284" s="667">
        <f t="shared" si="82"/>
        <v>8.2470000000000002E-2</v>
      </c>
      <c r="L284" s="667">
        <f t="shared" si="82"/>
        <v>8.2470000000000002E-2</v>
      </c>
      <c r="M284" s="667">
        <f t="shared" si="82"/>
        <v>8.2470000000000002E-2</v>
      </c>
      <c r="N284" s="667">
        <f t="shared" si="82"/>
        <v>8.2470000000000002E-2</v>
      </c>
      <c r="O284" s="667">
        <f t="shared" si="82"/>
        <v>8.2470000000000002E-2</v>
      </c>
      <c r="P284" s="667">
        <f t="shared" si="82"/>
        <v>8.2470000000000002E-2</v>
      </c>
      <c r="Q284" s="667">
        <f t="shared" si="82"/>
        <v>8.2470000000000002E-2</v>
      </c>
      <c r="R284" s="667">
        <f t="shared" si="82"/>
        <v>8.2470000000000002E-2</v>
      </c>
      <c r="S284" s="667">
        <f t="shared" si="82"/>
        <v>8.2470000000000002E-2</v>
      </c>
      <c r="T284" s="667">
        <f t="shared" si="82"/>
        <v>8.2470000000000002E-2</v>
      </c>
      <c r="U284" s="667">
        <f t="shared" si="82"/>
        <v>8.2470000000000002E-2</v>
      </c>
      <c r="V284" s="667">
        <f t="shared" si="82"/>
        <v>8.2470000000000002E-2</v>
      </c>
      <c r="X284" s="307" t="str">
        <f t="shared" si="75"/>
        <v>Assumed 25% higher than long-distance</v>
      </c>
      <c r="Y284" s="359">
        <f>Y283*1.25</f>
        <v>1212.5</v>
      </c>
    </row>
    <row r="285" spans="2:28" s="360" customFormat="1" x14ac:dyDescent="0.25">
      <c r="B285" s="191" t="s">
        <v>507</v>
      </c>
      <c r="C285" s="191" t="s">
        <v>158</v>
      </c>
      <c r="D285" s="191"/>
      <c r="E285" s="191"/>
      <c r="F285" s="191" t="s">
        <v>649</v>
      </c>
      <c r="G285" s="660">
        <f t="shared" ref="G285:G294" si="83">ROUND(10^2/Y285,5)</f>
        <v>0.10526000000000001</v>
      </c>
      <c r="H285" s="667">
        <f t="shared" si="81"/>
        <v>0.10526000000000001</v>
      </c>
      <c r="I285" s="667">
        <f t="shared" si="82"/>
        <v>0.10526000000000001</v>
      </c>
      <c r="J285" s="667">
        <f t="shared" si="82"/>
        <v>0.10526000000000001</v>
      </c>
      <c r="K285" s="667">
        <f t="shared" si="82"/>
        <v>0.10526000000000001</v>
      </c>
      <c r="L285" s="667">
        <f t="shared" si="82"/>
        <v>0.10526000000000001</v>
      </c>
      <c r="M285" s="667">
        <f t="shared" si="82"/>
        <v>0.10526000000000001</v>
      </c>
      <c r="N285" s="667">
        <f t="shared" si="82"/>
        <v>0.10526000000000001</v>
      </c>
      <c r="O285" s="667">
        <f t="shared" si="82"/>
        <v>0.10526000000000001</v>
      </c>
      <c r="P285" s="667">
        <f t="shared" si="82"/>
        <v>0.10526000000000001</v>
      </c>
      <c r="Q285" s="667">
        <f t="shared" si="82"/>
        <v>0.10526000000000001</v>
      </c>
      <c r="R285" s="667">
        <f t="shared" si="82"/>
        <v>0.10526000000000001</v>
      </c>
      <c r="S285" s="667">
        <f t="shared" si="82"/>
        <v>0.10526000000000001</v>
      </c>
      <c r="T285" s="667">
        <f t="shared" si="82"/>
        <v>0.10526000000000001</v>
      </c>
      <c r="U285" s="667">
        <f t="shared" si="82"/>
        <v>0.10526000000000001</v>
      </c>
      <c r="V285" s="667">
        <f t="shared" si="82"/>
        <v>0.10526000000000001</v>
      </c>
      <c r="X285" s="307" t="str">
        <f t="shared" si="75"/>
        <v>JRC-EU-TIMES; data for 2010</v>
      </c>
      <c r="Y285" s="462">
        <v>950</v>
      </c>
    </row>
    <row r="286" spans="2:28" s="360" customFormat="1" x14ac:dyDescent="0.25">
      <c r="B286" s="191" t="s">
        <v>507</v>
      </c>
      <c r="C286" s="191" t="s">
        <v>158</v>
      </c>
      <c r="D286" s="191"/>
      <c r="E286" s="191"/>
      <c r="F286" s="191" t="s">
        <v>652</v>
      </c>
      <c r="G286" s="660">
        <f t="shared" si="83"/>
        <v>8.4209999999999993E-2</v>
      </c>
      <c r="H286" s="667">
        <f t="shared" si="81"/>
        <v>8.4209999999999993E-2</v>
      </c>
      <c r="I286" s="667">
        <f t="shared" si="82"/>
        <v>8.4209999999999993E-2</v>
      </c>
      <c r="J286" s="667">
        <f t="shared" si="82"/>
        <v>8.4209999999999993E-2</v>
      </c>
      <c r="K286" s="667">
        <f t="shared" si="82"/>
        <v>8.4209999999999993E-2</v>
      </c>
      <c r="L286" s="667">
        <f t="shared" si="82"/>
        <v>8.4209999999999993E-2</v>
      </c>
      <c r="M286" s="667">
        <f t="shared" si="82"/>
        <v>8.4209999999999993E-2</v>
      </c>
      <c r="N286" s="667">
        <f t="shared" si="82"/>
        <v>8.4209999999999993E-2</v>
      </c>
      <c r="O286" s="667">
        <f t="shared" si="82"/>
        <v>8.4209999999999993E-2</v>
      </c>
      <c r="P286" s="667">
        <f t="shared" si="82"/>
        <v>8.4209999999999993E-2</v>
      </c>
      <c r="Q286" s="667">
        <f t="shared" si="82"/>
        <v>8.4209999999999993E-2</v>
      </c>
      <c r="R286" s="667">
        <f t="shared" si="82"/>
        <v>8.4209999999999993E-2</v>
      </c>
      <c r="S286" s="667">
        <f t="shared" si="82"/>
        <v>8.4209999999999993E-2</v>
      </c>
      <c r="T286" s="667">
        <f t="shared" si="82"/>
        <v>8.4209999999999993E-2</v>
      </c>
      <c r="U286" s="667">
        <f t="shared" si="82"/>
        <v>8.4209999999999993E-2</v>
      </c>
      <c r="V286" s="667">
        <f t="shared" si="82"/>
        <v>8.4209999999999993E-2</v>
      </c>
      <c r="X286" s="307" t="str">
        <f t="shared" si="75"/>
        <v>Assumed 25% higher than long-distance</v>
      </c>
      <c r="Y286" s="462">
        <f>Y285*1.25</f>
        <v>1187.5</v>
      </c>
    </row>
    <row r="287" spans="2:28" s="360" customFormat="1" x14ac:dyDescent="0.25">
      <c r="B287" s="191" t="s">
        <v>507</v>
      </c>
      <c r="C287" s="191" t="s">
        <v>159</v>
      </c>
      <c r="D287" s="191"/>
      <c r="E287" s="191"/>
      <c r="F287" s="191" t="s">
        <v>649</v>
      </c>
      <c r="G287" s="660">
        <f t="shared" si="83"/>
        <v>8.4029999999999994E-2</v>
      </c>
      <c r="H287" s="667">
        <f t="shared" si="81"/>
        <v>8.4029999999999994E-2</v>
      </c>
      <c r="I287" s="667">
        <f t="shared" si="82"/>
        <v>8.4029999999999994E-2</v>
      </c>
      <c r="J287" s="667">
        <f t="shared" si="82"/>
        <v>8.4029999999999994E-2</v>
      </c>
      <c r="K287" s="667">
        <f t="shared" si="82"/>
        <v>8.4029999999999994E-2</v>
      </c>
      <c r="L287" s="667">
        <f t="shared" si="82"/>
        <v>8.4029999999999994E-2</v>
      </c>
      <c r="M287" s="667">
        <f t="shared" si="82"/>
        <v>8.4029999999999994E-2</v>
      </c>
      <c r="N287" s="667">
        <f t="shared" si="82"/>
        <v>8.4029999999999994E-2</v>
      </c>
      <c r="O287" s="667">
        <f t="shared" si="82"/>
        <v>8.4029999999999994E-2</v>
      </c>
      <c r="P287" s="667">
        <f t="shared" si="82"/>
        <v>8.4029999999999994E-2</v>
      </c>
      <c r="Q287" s="667">
        <f t="shared" si="82"/>
        <v>8.4029999999999994E-2</v>
      </c>
      <c r="R287" s="667">
        <f t="shared" si="82"/>
        <v>8.4029999999999994E-2</v>
      </c>
      <c r="S287" s="667">
        <f t="shared" si="82"/>
        <v>8.4029999999999994E-2</v>
      </c>
      <c r="T287" s="667">
        <f t="shared" si="82"/>
        <v>8.4029999999999994E-2</v>
      </c>
      <c r="U287" s="667">
        <f t="shared" si="82"/>
        <v>8.4029999999999994E-2</v>
      </c>
      <c r="V287" s="667">
        <f t="shared" si="82"/>
        <v>8.4029999999999994E-2</v>
      </c>
      <c r="X287" s="307" t="str">
        <f t="shared" si="75"/>
        <v>Assumed same as GSL/ETH</v>
      </c>
      <c r="Y287" s="359">
        <f>Y281</f>
        <v>1190</v>
      </c>
    </row>
    <row r="288" spans="2:28" s="360" customFormat="1" x14ac:dyDescent="0.25">
      <c r="B288" s="191" t="s">
        <v>507</v>
      </c>
      <c r="C288" s="191" t="s">
        <v>159</v>
      </c>
      <c r="D288" s="191"/>
      <c r="E288" s="191"/>
      <c r="F288" s="191" t="s">
        <v>652</v>
      </c>
      <c r="G288" s="660">
        <f t="shared" si="83"/>
        <v>6.7229999999999998E-2</v>
      </c>
      <c r="H288" s="667">
        <f t="shared" si="81"/>
        <v>6.7229999999999998E-2</v>
      </c>
      <c r="I288" s="667">
        <f t="shared" si="82"/>
        <v>6.7229999999999998E-2</v>
      </c>
      <c r="J288" s="667">
        <f t="shared" si="82"/>
        <v>6.7229999999999998E-2</v>
      </c>
      <c r="K288" s="667">
        <f t="shared" si="82"/>
        <v>6.7229999999999998E-2</v>
      </c>
      <c r="L288" s="667">
        <f t="shared" si="82"/>
        <v>6.7229999999999998E-2</v>
      </c>
      <c r="M288" s="667">
        <f t="shared" si="82"/>
        <v>6.7229999999999998E-2</v>
      </c>
      <c r="N288" s="667">
        <f t="shared" si="82"/>
        <v>6.7229999999999998E-2</v>
      </c>
      <c r="O288" s="667">
        <f t="shared" si="82"/>
        <v>6.7229999999999998E-2</v>
      </c>
      <c r="P288" s="667">
        <f t="shared" si="82"/>
        <v>6.7229999999999998E-2</v>
      </c>
      <c r="Q288" s="667">
        <f t="shared" si="82"/>
        <v>6.7229999999999998E-2</v>
      </c>
      <c r="R288" s="667">
        <f t="shared" si="82"/>
        <v>6.7229999999999998E-2</v>
      </c>
      <c r="S288" s="667">
        <f t="shared" si="82"/>
        <v>6.7229999999999998E-2</v>
      </c>
      <c r="T288" s="667">
        <f t="shared" si="82"/>
        <v>6.7229999999999998E-2</v>
      </c>
      <c r="U288" s="667">
        <f t="shared" si="82"/>
        <v>6.7229999999999998E-2</v>
      </c>
      <c r="V288" s="667">
        <f t="shared" si="82"/>
        <v>6.7229999999999998E-2</v>
      </c>
      <c r="X288" s="307" t="str">
        <f t="shared" si="75"/>
        <v>Assumed same as GSL/ETH</v>
      </c>
      <c r="Y288" s="359">
        <f>Y287*1.25</f>
        <v>1487.5</v>
      </c>
    </row>
    <row r="289" spans="2:25" s="360" customFormat="1" x14ac:dyDescent="0.25">
      <c r="B289" s="191" t="s">
        <v>507</v>
      </c>
      <c r="C289" s="191" t="s">
        <v>160</v>
      </c>
      <c r="D289" s="191"/>
      <c r="E289" s="191"/>
      <c r="F289" s="191" t="s">
        <v>649</v>
      </c>
      <c r="G289" s="660">
        <f t="shared" si="83"/>
        <v>0.10852000000000001</v>
      </c>
      <c r="H289" s="667">
        <f t="shared" si="81"/>
        <v>0.10852000000000001</v>
      </c>
      <c r="I289" s="667">
        <f t="shared" si="82"/>
        <v>0.10852000000000001</v>
      </c>
      <c r="J289" s="667">
        <f t="shared" si="82"/>
        <v>0.10852000000000001</v>
      </c>
      <c r="K289" s="667">
        <f t="shared" si="82"/>
        <v>0.10852000000000001</v>
      </c>
      <c r="L289" s="667">
        <f t="shared" si="82"/>
        <v>0.10852000000000001</v>
      </c>
      <c r="M289" s="667">
        <f t="shared" si="82"/>
        <v>0.10852000000000001</v>
      </c>
      <c r="N289" s="667">
        <f t="shared" si="82"/>
        <v>0.10852000000000001</v>
      </c>
      <c r="O289" s="667">
        <f t="shared" si="82"/>
        <v>0.10852000000000001</v>
      </c>
      <c r="P289" s="667">
        <f t="shared" si="82"/>
        <v>0.10852000000000001</v>
      </c>
      <c r="Q289" s="667">
        <f t="shared" si="82"/>
        <v>0.10852000000000001</v>
      </c>
      <c r="R289" s="667">
        <f t="shared" si="82"/>
        <v>0.10852000000000001</v>
      </c>
      <c r="S289" s="667">
        <f t="shared" si="82"/>
        <v>0.10852000000000001</v>
      </c>
      <c r="T289" s="667">
        <f t="shared" si="82"/>
        <v>0.10852000000000001</v>
      </c>
      <c r="U289" s="667">
        <f t="shared" si="82"/>
        <v>0.10852000000000001</v>
      </c>
      <c r="V289" s="667">
        <f t="shared" si="82"/>
        <v>0.10852000000000001</v>
      </c>
      <c r="X289" s="307" t="s">
        <v>723</v>
      </c>
      <c r="Y289" s="417">
        <f>Y283*0.95</f>
        <v>921.5</v>
      </c>
    </row>
    <row r="290" spans="2:25" s="360" customFormat="1" x14ac:dyDescent="0.25">
      <c r="B290" s="191" t="s">
        <v>507</v>
      </c>
      <c r="C290" s="191" t="s">
        <v>160</v>
      </c>
      <c r="D290" s="191"/>
      <c r="E290" s="191"/>
      <c r="F290" s="191" t="s">
        <v>652</v>
      </c>
      <c r="G290" s="660">
        <f t="shared" si="83"/>
        <v>8.6809999999999998E-2</v>
      </c>
      <c r="H290" s="667">
        <f t="shared" si="81"/>
        <v>8.6809999999999998E-2</v>
      </c>
      <c r="I290" s="667">
        <f t="shared" si="82"/>
        <v>8.6809999999999998E-2</v>
      </c>
      <c r="J290" s="667">
        <f t="shared" si="82"/>
        <v>8.6809999999999998E-2</v>
      </c>
      <c r="K290" s="667">
        <f t="shared" si="82"/>
        <v>8.6809999999999998E-2</v>
      </c>
      <c r="L290" s="667">
        <f t="shared" si="82"/>
        <v>8.6809999999999998E-2</v>
      </c>
      <c r="M290" s="667">
        <f t="shared" si="82"/>
        <v>8.6809999999999998E-2</v>
      </c>
      <c r="N290" s="667">
        <f t="shared" si="82"/>
        <v>8.6809999999999998E-2</v>
      </c>
      <c r="O290" s="667">
        <f t="shared" si="82"/>
        <v>8.6809999999999998E-2</v>
      </c>
      <c r="P290" s="667">
        <f t="shared" si="82"/>
        <v>8.6809999999999998E-2</v>
      </c>
      <c r="Q290" s="667">
        <f t="shared" si="82"/>
        <v>8.6809999999999998E-2</v>
      </c>
      <c r="R290" s="667">
        <f t="shared" si="82"/>
        <v>8.6809999999999998E-2</v>
      </c>
      <c r="S290" s="667">
        <f t="shared" si="82"/>
        <v>8.6809999999999998E-2</v>
      </c>
      <c r="T290" s="667">
        <f t="shared" si="82"/>
        <v>8.6809999999999998E-2</v>
      </c>
      <c r="U290" s="667">
        <f t="shared" si="82"/>
        <v>8.6809999999999998E-2</v>
      </c>
      <c r="V290" s="667">
        <f t="shared" si="82"/>
        <v>8.6809999999999998E-2</v>
      </c>
      <c r="X290" s="307" t="s">
        <v>723</v>
      </c>
      <c r="Y290" s="417">
        <f>Y284*0.95</f>
        <v>1151.875</v>
      </c>
    </row>
    <row r="291" spans="2:25" s="643" customFormat="1" x14ac:dyDescent="0.25">
      <c r="B291" s="420" t="s">
        <v>507</v>
      </c>
      <c r="C291" s="420" t="s">
        <v>161</v>
      </c>
      <c r="D291" s="420"/>
      <c r="E291" s="420"/>
      <c r="F291" s="420" t="s">
        <v>649</v>
      </c>
      <c r="G291" s="660">
        <f t="shared" si="83"/>
        <v>90.909090000000006</v>
      </c>
      <c r="H291" s="670">
        <f t="shared" si="81"/>
        <v>90.909090000000006</v>
      </c>
      <c r="I291" s="670">
        <f t="shared" si="82"/>
        <v>90.909090000000006</v>
      </c>
      <c r="J291" s="670">
        <f t="shared" si="82"/>
        <v>90.909090000000006</v>
      </c>
      <c r="K291" s="670">
        <f t="shared" si="82"/>
        <v>90.909090000000006</v>
      </c>
      <c r="L291" s="670">
        <f t="shared" si="82"/>
        <v>90.909090000000006</v>
      </c>
      <c r="M291" s="670">
        <f t="shared" si="82"/>
        <v>90.909090000000006</v>
      </c>
      <c r="N291" s="670">
        <f t="shared" si="82"/>
        <v>90.909090000000006</v>
      </c>
      <c r="O291" s="670">
        <f t="shared" si="82"/>
        <v>90.909090000000006</v>
      </c>
      <c r="P291" s="670">
        <f t="shared" si="82"/>
        <v>90.909090000000006</v>
      </c>
      <c r="Q291" s="670">
        <f t="shared" si="82"/>
        <v>90.909090000000006</v>
      </c>
      <c r="R291" s="670">
        <f t="shared" si="82"/>
        <v>90.909090000000006</v>
      </c>
      <c r="S291" s="670">
        <f t="shared" si="82"/>
        <v>90.909090000000006</v>
      </c>
      <c r="T291" s="670">
        <f t="shared" si="82"/>
        <v>90.909090000000006</v>
      </c>
      <c r="U291" s="670">
        <f t="shared" si="82"/>
        <v>90.909090000000006</v>
      </c>
      <c r="V291" s="670">
        <f t="shared" si="82"/>
        <v>90.909090000000006</v>
      </c>
      <c r="X291" s="644" t="str">
        <f t="shared" si="75"/>
        <v>??</v>
      </c>
      <c r="Y291" s="415">
        <v>1.1000000000000001</v>
      </c>
    </row>
    <row r="292" spans="2:25" s="643" customFormat="1" x14ac:dyDescent="0.25">
      <c r="B292" s="645" t="s">
        <v>507</v>
      </c>
      <c r="C292" s="645" t="s">
        <v>161</v>
      </c>
      <c r="D292" s="645"/>
      <c r="E292" s="645"/>
      <c r="F292" s="645" t="s">
        <v>652</v>
      </c>
      <c r="G292" s="669">
        <f t="shared" si="83"/>
        <v>90.909090000000006</v>
      </c>
      <c r="H292" s="671">
        <f t="shared" si="81"/>
        <v>90.909090000000006</v>
      </c>
      <c r="I292" s="671">
        <f t="shared" si="82"/>
        <v>90.909090000000006</v>
      </c>
      <c r="J292" s="671">
        <f t="shared" si="82"/>
        <v>90.909090000000006</v>
      </c>
      <c r="K292" s="671">
        <f t="shared" si="82"/>
        <v>90.909090000000006</v>
      </c>
      <c r="L292" s="671">
        <f t="shared" si="82"/>
        <v>90.909090000000006</v>
      </c>
      <c r="M292" s="671">
        <f t="shared" si="82"/>
        <v>90.909090000000006</v>
      </c>
      <c r="N292" s="671">
        <f t="shared" si="82"/>
        <v>90.909090000000006</v>
      </c>
      <c r="O292" s="671">
        <f t="shared" si="82"/>
        <v>90.909090000000006</v>
      </c>
      <c r="P292" s="671">
        <f t="shared" si="82"/>
        <v>90.909090000000006</v>
      </c>
      <c r="Q292" s="671">
        <f t="shared" si="82"/>
        <v>90.909090000000006</v>
      </c>
      <c r="R292" s="671">
        <f t="shared" si="82"/>
        <v>90.909090000000006</v>
      </c>
      <c r="S292" s="671">
        <f t="shared" si="82"/>
        <v>90.909090000000006</v>
      </c>
      <c r="T292" s="671">
        <f t="shared" si="82"/>
        <v>90.909090000000006</v>
      </c>
      <c r="U292" s="671">
        <f t="shared" si="82"/>
        <v>90.909090000000006</v>
      </c>
      <c r="V292" s="671">
        <f t="shared" si="82"/>
        <v>90.909090000000006</v>
      </c>
      <c r="X292" s="646" t="str">
        <f t="shared" ref="X292" si="84">X223</f>
        <v>??</v>
      </c>
      <c r="Y292" s="575">
        <v>1.1000000000000001</v>
      </c>
    </row>
    <row r="293" spans="2:25" s="360" customFormat="1" x14ac:dyDescent="0.25">
      <c r="B293" s="191" t="s">
        <v>507</v>
      </c>
      <c r="C293" s="191" t="s">
        <v>166</v>
      </c>
      <c r="D293" s="191"/>
      <c r="E293" s="191"/>
      <c r="F293" s="191" t="s">
        <v>510</v>
      </c>
      <c r="G293" s="660">
        <f t="shared" si="83"/>
        <v>4.5454499999999998</v>
      </c>
      <c r="H293" s="214">
        <f t="shared" si="81"/>
        <v>4.5454499999999998</v>
      </c>
      <c r="I293" s="214">
        <f t="shared" si="82"/>
        <v>4.5454499999999998</v>
      </c>
      <c r="J293" s="214">
        <f t="shared" si="82"/>
        <v>4.5454499999999998</v>
      </c>
      <c r="K293" s="214">
        <f t="shared" si="82"/>
        <v>4.5454499999999998</v>
      </c>
      <c r="L293" s="214">
        <f t="shared" si="82"/>
        <v>4.5454499999999998</v>
      </c>
      <c r="M293" s="214">
        <f t="shared" si="82"/>
        <v>4.5454499999999998</v>
      </c>
      <c r="N293" s="214">
        <f t="shared" si="82"/>
        <v>4.5454499999999998</v>
      </c>
      <c r="O293" s="214">
        <f t="shared" si="82"/>
        <v>4.5454499999999998</v>
      </c>
      <c r="P293" s="214">
        <f t="shared" si="82"/>
        <v>4.5454499999999998</v>
      </c>
      <c r="Q293" s="214">
        <f t="shared" si="82"/>
        <v>4.5454499999999998</v>
      </c>
      <c r="R293" s="214">
        <f t="shared" si="82"/>
        <v>4.5454499999999998</v>
      </c>
      <c r="S293" s="214">
        <f t="shared" si="82"/>
        <v>4.5454499999999998</v>
      </c>
      <c r="T293" s="214">
        <f t="shared" si="82"/>
        <v>4.5454499999999998</v>
      </c>
      <c r="U293" s="214">
        <f t="shared" si="82"/>
        <v>4.5454499999999998</v>
      </c>
      <c r="V293" s="214">
        <f t="shared" si="82"/>
        <v>4.5454499999999998</v>
      </c>
      <c r="X293" s="307"/>
      <c r="Y293" s="415">
        <v>22</v>
      </c>
    </row>
    <row r="294" spans="2:25" s="360" customFormat="1" x14ac:dyDescent="0.25">
      <c r="B294" s="191" t="s">
        <v>507</v>
      </c>
      <c r="C294" s="191" t="s">
        <v>167</v>
      </c>
      <c r="D294" s="191"/>
      <c r="E294" s="191"/>
      <c r="F294" s="191" t="s">
        <v>509</v>
      </c>
      <c r="G294" s="660">
        <f t="shared" si="83"/>
        <v>100</v>
      </c>
      <c r="H294" s="214">
        <f t="shared" si="81"/>
        <v>100</v>
      </c>
      <c r="I294" s="214">
        <f t="shared" si="82"/>
        <v>100</v>
      </c>
      <c r="J294" s="214">
        <f t="shared" si="82"/>
        <v>100</v>
      </c>
      <c r="K294" s="214">
        <f t="shared" si="82"/>
        <v>100</v>
      </c>
      <c r="L294" s="214">
        <f t="shared" si="82"/>
        <v>100</v>
      </c>
      <c r="M294" s="214">
        <f t="shared" si="82"/>
        <v>100</v>
      </c>
      <c r="N294" s="214">
        <f t="shared" si="82"/>
        <v>100</v>
      </c>
      <c r="O294" s="214">
        <f t="shared" si="82"/>
        <v>100</v>
      </c>
      <c r="P294" s="214">
        <f t="shared" si="82"/>
        <v>100</v>
      </c>
      <c r="Q294" s="214">
        <f t="shared" si="82"/>
        <v>100</v>
      </c>
      <c r="R294" s="214">
        <f t="shared" si="82"/>
        <v>100</v>
      </c>
      <c r="S294" s="214">
        <f t="shared" si="82"/>
        <v>100</v>
      </c>
      <c r="T294" s="214">
        <f t="shared" si="82"/>
        <v>100</v>
      </c>
      <c r="U294" s="214">
        <f t="shared" si="82"/>
        <v>100</v>
      </c>
      <c r="V294" s="214">
        <f t="shared" si="82"/>
        <v>100</v>
      </c>
      <c r="X294" s="307"/>
      <c r="Y294" s="415">
        <v>1</v>
      </c>
    </row>
    <row r="295" spans="2:25" s="360" customFormat="1" x14ac:dyDescent="0.25">
      <c r="B295" s="63"/>
      <c r="C295" s="63"/>
      <c r="D295" s="63"/>
      <c r="E295" s="63"/>
      <c r="F295" s="63"/>
      <c r="G295" s="454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X295" s="455"/>
      <c r="Y295" s="456"/>
    </row>
    <row r="297" spans="2:25" x14ac:dyDescent="0.25">
      <c r="B297" s="466" t="s">
        <v>728</v>
      </c>
      <c r="G297" s="457"/>
    </row>
    <row r="298" spans="2:25" s="3" customFormat="1" x14ac:dyDescent="0.25">
      <c r="B298" s="125" t="s">
        <v>463</v>
      </c>
      <c r="C298" s="125" t="s">
        <v>104</v>
      </c>
      <c r="D298" s="259" t="s">
        <v>465</v>
      </c>
      <c r="E298" s="125" t="s">
        <v>673</v>
      </c>
      <c r="F298" s="125" t="s">
        <v>674</v>
      </c>
      <c r="G298" s="160" t="s">
        <v>677</v>
      </c>
      <c r="H298" s="160" t="str">
        <f>INFO!C10</f>
        <v>Z01</v>
      </c>
      <c r="I298" s="160" t="str">
        <f>INFO!D10</f>
        <v>Z02</v>
      </c>
      <c r="J298" s="160" t="str">
        <f>INFO!E10</f>
        <v>Z03</v>
      </c>
      <c r="K298" s="160" t="str">
        <f>INFO!F10</f>
        <v>Z04</v>
      </c>
      <c r="L298" s="160" t="str">
        <f>INFO!G10</f>
        <v>Z05</v>
      </c>
      <c r="M298" s="160" t="str">
        <f>INFO!H10</f>
        <v>Z06</v>
      </c>
      <c r="N298" s="160" t="str">
        <f>INFO!I10</f>
        <v>Z07</v>
      </c>
      <c r="O298" s="160" t="str">
        <f>INFO!J10</f>
        <v>Z08</v>
      </c>
      <c r="P298" s="160" t="str">
        <f>INFO!K10</f>
        <v>Z09</v>
      </c>
      <c r="Q298" s="160" t="str">
        <f>INFO!L10</f>
        <v>Z10</v>
      </c>
      <c r="R298" s="160" t="str">
        <f>INFO!M10</f>
        <v>Z11</v>
      </c>
      <c r="S298" s="160" t="str">
        <f>INFO!N10</f>
        <v>Z12</v>
      </c>
      <c r="T298" s="160" t="str">
        <f>INFO!O10</f>
        <v>Z13</v>
      </c>
      <c r="U298" s="160" t="str">
        <f>INFO!P10</f>
        <v>Z14</v>
      </c>
      <c r="V298" s="160" t="str">
        <f>INFO!Q10</f>
        <v>Z15</v>
      </c>
      <c r="X298" s="460" t="s">
        <v>676</v>
      </c>
      <c r="Y298" s="109" t="s">
        <v>677</v>
      </c>
    </row>
    <row r="299" spans="2:25" s="3" customFormat="1" x14ac:dyDescent="0.25">
      <c r="B299" s="125"/>
      <c r="C299" s="125"/>
      <c r="D299" s="125"/>
      <c r="E299" s="125"/>
      <c r="F299" s="125"/>
      <c r="G299" s="160" t="s">
        <v>678</v>
      </c>
      <c r="H299" s="160" t="s">
        <v>678</v>
      </c>
      <c r="I299" s="160" t="s">
        <v>678</v>
      </c>
      <c r="J299" s="160" t="s">
        <v>678</v>
      </c>
      <c r="K299" s="160" t="s">
        <v>678</v>
      </c>
      <c r="L299" s="160" t="s">
        <v>678</v>
      </c>
      <c r="M299" s="160" t="s">
        <v>678</v>
      </c>
      <c r="N299" s="160" t="s">
        <v>678</v>
      </c>
      <c r="O299" s="160" t="s">
        <v>678</v>
      </c>
      <c r="P299" s="160" t="s">
        <v>678</v>
      </c>
      <c r="Q299" s="160" t="s">
        <v>678</v>
      </c>
      <c r="R299" s="160" t="s">
        <v>678</v>
      </c>
      <c r="S299" s="160" t="s">
        <v>678</v>
      </c>
      <c r="T299" s="160" t="s">
        <v>678</v>
      </c>
      <c r="U299" s="160" t="s">
        <v>678</v>
      </c>
      <c r="V299" s="160" t="s">
        <v>678</v>
      </c>
      <c r="X299" s="109"/>
      <c r="Y299" s="109" t="s">
        <v>679</v>
      </c>
    </row>
    <row r="300" spans="2:25" x14ac:dyDescent="0.25">
      <c r="B300" s="186" t="s">
        <v>80</v>
      </c>
      <c r="C300" s="186" t="s">
        <v>216</v>
      </c>
      <c r="D300" s="169" t="s">
        <v>178</v>
      </c>
      <c r="E300" s="186"/>
      <c r="F300" s="186" t="s">
        <v>441</v>
      </c>
      <c r="G300" s="660">
        <f t="shared" ref="G300:G305" si="85">ROUND(10^2/Y300,5)</f>
        <v>5.2500000000000003E-3</v>
      </c>
      <c r="H300" s="661">
        <f t="shared" ref="H300:V305" si="86">$G300</f>
        <v>5.2500000000000003E-3</v>
      </c>
      <c r="I300" s="661">
        <f t="shared" si="86"/>
        <v>5.2500000000000003E-3</v>
      </c>
      <c r="J300" s="661">
        <f t="shared" si="86"/>
        <v>5.2500000000000003E-3</v>
      </c>
      <c r="K300" s="661">
        <f t="shared" si="86"/>
        <v>5.2500000000000003E-3</v>
      </c>
      <c r="L300" s="661">
        <f t="shared" si="86"/>
        <v>5.2500000000000003E-3</v>
      </c>
      <c r="M300" s="661">
        <f t="shared" si="86"/>
        <v>5.2500000000000003E-3</v>
      </c>
      <c r="N300" s="661">
        <f t="shared" si="86"/>
        <v>5.2500000000000003E-3</v>
      </c>
      <c r="O300" s="661">
        <f t="shared" si="86"/>
        <v>5.2500000000000003E-3</v>
      </c>
      <c r="P300" s="661">
        <f t="shared" si="86"/>
        <v>5.2500000000000003E-3</v>
      </c>
      <c r="Q300" s="661">
        <f t="shared" si="86"/>
        <v>5.2500000000000003E-3</v>
      </c>
      <c r="R300" s="661">
        <f t="shared" si="86"/>
        <v>5.2500000000000003E-3</v>
      </c>
      <c r="S300" s="661">
        <f t="shared" si="86"/>
        <v>5.2500000000000003E-3</v>
      </c>
      <c r="T300" s="661">
        <f t="shared" si="86"/>
        <v>5.2500000000000003E-3</v>
      </c>
      <c r="U300" s="661">
        <f t="shared" si="86"/>
        <v>5.2500000000000003E-3</v>
      </c>
      <c r="V300" s="661">
        <f t="shared" si="86"/>
        <v>5.2500000000000003E-3</v>
      </c>
      <c r="X300" s="461" t="s">
        <v>729</v>
      </c>
      <c r="Y300" s="462">
        <f>3.6*118172064/22334.6506570564</f>
        <v>19047.507701473412</v>
      </c>
    </row>
    <row r="301" spans="2:25" x14ac:dyDescent="0.25">
      <c r="B301" s="186" t="s">
        <v>80</v>
      </c>
      <c r="C301" s="186" t="s">
        <v>217</v>
      </c>
      <c r="D301" s="169" t="s">
        <v>179</v>
      </c>
      <c r="E301" s="186"/>
      <c r="F301" s="186" t="s">
        <v>441</v>
      </c>
      <c r="G301" s="660">
        <f t="shared" si="85"/>
        <v>1.1350000000000001E-2</v>
      </c>
      <c r="H301" s="661">
        <f t="shared" si="86"/>
        <v>1.1350000000000001E-2</v>
      </c>
      <c r="I301" s="661">
        <f t="shared" si="86"/>
        <v>1.1350000000000001E-2</v>
      </c>
      <c r="J301" s="661">
        <f t="shared" si="86"/>
        <v>1.1350000000000001E-2</v>
      </c>
      <c r="K301" s="661">
        <f t="shared" si="86"/>
        <v>1.1350000000000001E-2</v>
      </c>
      <c r="L301" s="661">
        <f t="shared" si="86"/>
        <v>1.1350000000000001E-2</v>
      </c>
      <c r="M301" s="661">
        <f t="shared" si="86"/>
        <v>1.1350000000000001E-2</v>
      </c>
      <c r="N301" s="661">
        <f t="shared" si="86"/>
        <v>1.1350000000000001E-2</v>
      </c>
      <c r="O301" s="661">
        <f t="shared" si="86"/>
        <v>1.1350000000000001E-2</v>
      </c>
      <c r="P301" s="661">
        <f t="shared" si="86"/>
        <v>1.1350000000000001E-2</v>
      </c>
      <c r="Q301" s="661">
        <f t="shared" si="86"/>
        <v>1.1350000000000001E-2</v>
      </c>
      <c r="R301" s="661">
        <f t="shared" si="86"/>
        <v>1.1350000000000001E-2</v>
      </c>
      <c r="S301" s="661">
        <f t="shared" si="86"/>
        <v>1.1350000000000001E-2</v>
      </c>
      <c r="T301" s="661">
        <f t="shared" si="86"/>
        <v>1.1350000000000001E-2</v>
      </c>
      <c r="U301" s="661">
        <f t="shared" si="86"/>
        <v>1.1350000000000001E-2</v>
      </c>
      <c r="V301" s="661">
        <f t="shared" si="86"/>
        <v>1.1350000000000001E-2</v>
      </c>
      <c r="X301" s="461" t="s">
        <v>729</v>
      </c>
      <c r="Y301" s="462">
        <f>3.6*812787000/332247.996132791</f>
        <v>8806.7745601407314</v>
      </c>
    </row>
    <row r="302" spans="2:25" x14ac:dyDescent="0.25">
      <c r="B302" s="186" t="s">
        <v>80</v>
      </c>
      <c r="C302" s="186" t="s">
        <v>218</v>
      </c>
      <c r="D302" s="271" t="s">
        <v>173</v>
      </c>
      <c r="E302" s="186"/>
      <c r="F302" s="186" t="s">
        <v>511</v>
      </c>
      <c r="G302" s="660">
        <f t="shared" si="85"/>
        <v>6.5689999999999998E-2</v>
      </c>
      <c r="H302" s="661">
        <f t="shared" si="86"/>
        <v>6.5689999999999998E-2</v>
      </c>
      <c r="I302" s="661">
        <f t="shared" si="86"/>
        <v>6.5689999999999998E-2</v>
      </c>
      <c r="J302" s="661">
        <f t="shared" si="86"/>
        <v>6.5689999999999998E-2</v>
      </c>
      <c r="K302" s="661">
        <f t="shared" si="86"/>
        <v>6.5689999999999998E-2</v>
      </c>
      <c r="L302" s="661">
        <f t="shared" si="86"/>
        <v>6.5689999999999998E-2</v>
      </c>
      <c r="M302" s="661">
        <f t="shared" si="86"/>
        <v>6.5689999999999998E-2</v>
      </c>
      <c r="N302" s="661">
        <f t="shared" si="86"/>
        <v>6.5689999999999998E-2</v>
      </c>
      <c r="O302" s="661">
        <f t="shared" si="86"/>
        <v>6.5689999999999998E-2</v>
      </c>
      <c r="P302" s="661">
        <f t="shared" si="86"/>
        <v>6.5689999999999998E-2</v>
      </c>
      <c r="Q302" s="661">
        <f t="shared" si="86"/>
        <v>6.5689999999999998E-2</v>
      </c>
      <c r="R302" s="661">
        <f t="shared" si="86"/>
        <v>6.5689999999999998E-2</v>
      </c>
      <c r="S302" s="661">
        <f t="shared" si="86"/>
        <v>6.5689999999999998E-2</v>
      </c>
      <c r="T302" s="661">
        <f t="shared" si="86"/>
        <v>6.5689999999999998E-2</v>
      </c>
      <c r="U302" s="661">
        <f t="shared" si="86"/>
        <v>6.5689999999999998E-2</v>
      </c>
      <c r="V302" s="661">
        <f t="shared" si="86"/>
        <v>6.5689999999999998E-2</v>
      </c>
      <c r="X302" s="461" t="s">
        <v>729</v>
      </c>
      <c r="Y302" s="462">
        <f>3.6*74697000/176652.59</f>
        <v>1522.2488388084205</v>
      </c>
    </row>
    <row r="303" spans="2:25" x14ac:dyDescent="0.25">
      <c r="B303" s="186" t="s">
        <v>80</v>
      </c>
      <c r="C303" s="186" t="s">
        <v>219</v>
      </c>
      <c r="D303" s="169" t="s">
        <v>174</v>
      </c>
      <c r="E303" s="186"/>
      <c r="F303" s="186" t="s">
        <v>513</v>
      </c>
      <c r="G303" s="660">
        <f t="shared" si="85"/>
        <v>1.7610000000000001E-2</v>
      </c>
      <c r="H303" s="661">
        <f t="shared" si="86"/>
        <v>1.7610000000000001E-2</v>
      </c>
      <c r="I303" s="661">
        <f t="shared" si="86"/>
        <v>1.7610000000000001E-2</v>
      </c>
      <c r="J303" s="661">
        <f t="shared" si="86"/>
        <v>1.7610000000000001E-2</v>
      </c>
      <c r="K303" s="661">
        <f t="shared" si="86"/>
        <v>1.7610000000000001E-2</v>
      </c>
      <c r="L303" s="661">
        <f t="shared" si="86"/>
        <v>1.7610000000000001E-2</v>
      </c>
      <c r="M303" s="661">
        <f t="shared" si="86"/>
        <v>1.7610000000000001E-2</v>
      </c>
      <c r="N303" s="661">
        <f t="shared" si="86"/>
        <v>1.7610000000000001E-2</v>
      </c>
      <c r="O303" s="661">
        <f t="shared" si="86"/>
        <v>1.7610000000000001E-2</v>
      </c>
      <c r="P303" s="661">
        <f t="shared" si="86"/>
        <v>1.7610000000000001E-2</v>
      </c>
      <c r="Q303" s="661">
        <f t="shared" si="86"/>
        <v>1.7610000000000001E-2</v>
      </c>
      <c r="R303" s="661">
        <f t="shared" si="86"/>
        <v>1.7610000000000001E-2</v>
      </c>
      <c r="S303" s="661">
        <f t="shared" si="86"/>
        <v>1.7610000000000001E-2</v>
      </c>
      <c r="T303" s="661">
        <f t="shared" si="86"/>
        <v>1.7610000000000001E-2</v>
      </c>
      <c r="U303" s="661">
        <f t="shared" si="86"/>
        <v>1.7610000000000001E-2</v>
      </c>
      <c r="V303" s="661">
        <f t="shared" si="86"/>
        <v>1.7610000000000001E-2</v>
      </c>
      <c r="X303" s="461" t="s">
        <v>729</v>
      </c>
      <c r="Y303" s="462">
        <f>3.6*206929000/131218.71</f>
        <v>5677.1202826182334</v>
      </c>
    </row>
    <row r="304" spans="2:25" x14ac:dyDescent="0.25">
      <c r="B304" s="186" t="s">
        <v>80</v>
      </c>
      <c r="C304" s="186" t="s">
        <v>221</v>
      </c>
      <c r="D304" s="169" t="s">
        <v>220</v>
      </c>
      <c r="E304" s="186"/>
      <c r="F304" s="186" t="s">
        <v>417</v>
      </c>
      <c r="G304" s="660">
        <f>ROUND(10^2/Y304,5)</f>
        <v>0.1</v>
      </c>
      <c r="H304" s="661">
        <f t="shared" si="86"/>
        <v>0.1</v>
      </c>
      <c r="I304" s="661">
        <f t="shared" si="86"/>
        <v>0.1</v>
      </c>
      <c r="J304" s="661">
        <f t="shared" si="86"/>
        <v>0.1</v>
      </c>
      <c r="K304" s="661">
        <f t="shared" si="86"/>
        <v>0.1</v>
      </c>
      <c r="L304" s="661">
        <f t="shared" si="86"/>
        <v>0.1</v>
      </c>
      <c r="M304" s="661">
        <f t="shared" si="86"/>
        <v>0.1</v>
      </c>
      <c r="N304" s="661">
        <f t="shared" si="86"/>
        <v>0.1</v>
      </c>
      <c r="O304" s="661">
        <f t="shared" si="86"/>
        <v>0.1</v>
      </c>
      <c r="P304" s="661">
        <f t="shared" si="86"/>
        <v>0.1</v>
      </c>
      <c r="Q304" s="661">
        <f t="shared" si="86"/>
        <v>0.1</v>
      </c>
      <c r="R304" s="661">
        <f t="shared" si="86"/>
        <v>0.1</v>
      </c>
      <c r="S304" s="661">
        <f t="shared" si="86"/>
        <v>0.1</v>
      </c>
      <c r="T304" s="661">
        <f t="shared" si="86"/>
        <v>0.1</v>
      </c>
      <c r="U304" s="661">
        <f t="shared" si="86"/>
        <v>0.1</v>
      </c>
      <c r="V304" s="661">
        <f t="shared" si="86"/>
        <v>0.1</v>
      </c>
      <c r="X304" s="461" t="s">
        <v>730</v>
      </c>
      <c r="Y304" s="416">
        <v>1000</v>
      </c>
    </row>
    <row r="305" spans="2:27" x14ac:dyDescent="0.25">
      <c r="B305" s="186" t="s">
        <v>80</v>
      </c>
      <c r="C305" s="186" t="s">
        <v>223</v>
      </c>
      <c r="D305" s="169" t="s">
        <v>222</v>
      </c>
      <c r="E305" s="186"/>
      <c r="F305" s="186" t="s">
        <v>417</v>
      </c>
      <c r="G305" s="660">
        <f t="shared" si="85"/>
        <v>0.2</v>
      </c>
      <c r="H305" s="661">
        <f t="shared" si="86"/>
        <v>0.2</v>
      </c>
      <c r="I305" s="661">
        <f t="shared" si="86"/>
        <v>0.2</v>
      </c>
      <c r="J305" s="661">
        <f t="shared" si="86"/>
        <v>0.2</v>
      </c>
      <c r="K305" s="661">
        <f t="shared" si="86"/>
        <v>0.2</v>
      </c>
      <c r="L305" s="661">
        <f t="shared" si="86"/>
        <v>0.2</v>
      </c>
      <c r="M305" s="661">
        <f t="shared" si="86"/>
        <v>0.2</v>
      </c>
      <c r="N305" s="661">
        <f t="shared" si="86"/>
        <v>0.2</v>
      </c>
      <c r="O305" s="661">
        <f t="shared" si="86"/>
        <v>0.2</v>
      </c>
      <c r="P305" s="661">
        <f t="shared" si="86"/>
        <v>0.2</v>
      </c>
      <c r="Q305" s="661">
        <f t="shared" si="86"/>
        <v>0.2</v>
      </c>
      <c r="R305" s="661">
        <f t="shared" si="86"/>
        <v>0.2</v>
      </c>
      <c r="S305" s="661">
        <f t="shared" si="86"/>
        <v>0.2</v>
      </c>
      <c r="T305" s="661">
        <f t="shared" si="86"/>
        <v>0.2</v>
      </c>
      <c r="U305" s="661">
        <f t="shared" si="86"/>
        <v>0.2</v>
      </c>
      <c r="V305" s="661">
        <f t="shared" si="86"/>
        <v>0.2</v>
      </c>
      <c r="X305" s="461" t="s">
        <v>730</v>
      </c>
      <c r="Y305" s="416">
        <v>500</v>
      </c>
    </row>
    <row r="306" spans="2:27" x14ac:dyDescent="0.25">
      <c r="B306" s="186" t="s">
        <v>80</v>
      </c>
      <c r="C306" s="186" t="s">
        <v>224</v>
      </c>
      <c r="D306" s="169" t="s">
        <v>177</v>
      </c>
      <c r="E306" s="186"/>
      <c r="F306" s="186" t="s">
        <v>417</v>
      </c>
      <c r="G306" s="660">
        <f>ROUND(10^2/Y306,5)</f>
        <v>2.0889999999999999E-2</v>
      </c>
      <c r="H306" s="661">
        <f t="shared" ref="H306:V306" si="87">$G306</f>
        <v>2.0889999999999999E-2</v>
      </c>
      <c r="I306" s="661">
        <f t="shared" si="87"/>
        <v>2.0889999999999999E-2</v>
      </c>
      <c r="J306" s="661">
        <f t="shared" si="87"/>
        <v>2.0889999999999999E-2</v>
      </c>
      <c r="K306" s="661">
        <f t="shared" si="87"/>
        <v>2.0889999999999999E-2</v>
      </c>
      <c r="L306" s="661">
        <f t="shared" si="87"/>
        <v>2.0889999999999999E-2</v>
      </c>
      <c r="M306" s="661">
        <f t="shared" si="87"/>
        <v>2.0889999999999999E-2</v>
      </c>
      <c r="N306" s="661">
        <f t="shared" si="87"/>
        <v>2.0889999999999999E-2</v>
      </c>
      <c r="O306" s="661">
        <f t="shared" si="87"/>
        <v>2.0889999999999999E-2</v>
      </c>
      <c r="P306" s="661">
        <f t="shared" si="87"/>
        <v>2.0889999999999999E-2</v>
      </c>
      <c r="Q306" s="661">
        <f t="shared" si="87"/>
        <v>2.0889999999999999E-2</v>
      </c>
      <c r="R306" s="661">
        <f t="shared" si="87"/>
        <v>2.0889999999999999E-2</v>
      </c>
      <c r="S306" s="661">
        <f t="shared" si="87"/>
        <v>2.0889999999999999E-2</v>
      </c>
      <c r="T306" s="661">
        <f t="shared" si="87"/>
        <v>2.0889999999999999E-2</v>
      </c>
      <c r="U306" s="661">
        <f t="shared" si="87"/>
        <v>2.0889999999999999E-2</v>
      </c>
      <c r="V306" s="661">
        <f t="shared" si="87"/>
        <v>2.0889999999999999E-2</v>
      </c>
      <c r="X306" s="461" t="s">
        <v>729</v>
      </c>
      <c r="Y306" s="462">
        <f>3.6*1481502000/1114315.34857937</f>
        <v>4786.2637868171787</v>
      </c>
    </row>
    <row r="307" spans="2:27" x14ac:dyDescent="0.25">
      <c r="B307" s="22"/>
      <c r="C307" s="22"/>
      <c r="D307" s="14"/>
      <c r="E307" s="22"/>
      <c r="F307" s="22"/>
      <c r="G307" s="454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X307" s="493"/>
      <c r="Y307" s="494"/>
    </row>
    <row r="308" spans="2:27" s="360" customFormat="1" x14ac:dyDescent="0.25">
      <c r="B308" s="63"/>
      <c r="C308" s="63"/>
      <c r="D308" s="63"/>
      <c r="E308" s="63"/>
      <c r="F308" s="63"/>
      <c r="G308" s="454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X308" s="455"/>
      <c r="Y308" s="456"/>
    </row>
    <row r="309" spans="2:27" x14ac:dyDescent="0.25">
      <c r="B309" s="466" t="s">
        <v>731</v>
      </c>
      <c r="G309" s="457"/>
    </row>
    <row r="310" spans="2:27" x14ac:dyDescent="0.25">
      <c r="B310" s="259" t="s">
        <v>463</v>
      </c>
      <c r="C310" s="259" t="s">
        <v>104</v>
      </c>
      <c r="D310" s="259" t="s">
        <v>465</v>
      </c>
      <c r="E310" s="259" t="s">
        <v>673</v>
      </c>
      <c r="F310" s="259" t="s">
        <v>674</v>
      </c>
      <c r="G310" s="160" t="s">
        <v>675</v>
      </c>
      <c r="H310" s="308" t="str">
        <f>INFO!C10</f>
        <v>Z01</v>
      </c>
      <c r="I310" s="308" t="str">
        <f>INFO!D10</f>
        <v>Z02</v>
      </c>
      <c r="J310" s="308" t="str">
        <f>INFO!E10</f>
        <v>Z03</v>
      </c>
      <c r="K310" s="308" t="str">
        <f>INFO!F10</f>
        <v>Z04</v>
      </c>
      <c r="L310" s="308" t="str">
        <f>INFO!G10</f>
        <v>Z05</v>
      </c>
      <c r="M310" s="308" t="str">
        <f>INFO!H10</f>
        <v>Z06</v>
      </c>
      <c r="N310" s="308" t="str">
        <f>INFO!I10</f>
        <v>Z07</v>
      </c>
      <c r="O310" s="308" t="str">
        <f>INFO!J10</f>
        <v>Z08</v>
      </c>
      <c r="P310" s="308" t="str">
        <f>INFO!K10</f>
        <v>Z09</v>
      </c>
      <c r="Q310" s="308" t="str">
        <f>INFO!L10</f>
        <v>Z10</v>
      </c>
      <c r="R310" s="308" t="str">
        <f>INFO!M10</f>
        <v>Z11</v>
      </c>
      <c r="S310" s="308" t="str">
        <f>INFO!N10</f>
        <v>Z12</v>
      </c>
      <c r="T310" s="308" t="str">
        <f>INFO!O10</f>
        <v>Z13</v>
      </c>
      <c r="U310" s="308" t="str">
        <f>INFO!P10</f>
        <v>Z14</v>
      </c>
      <c r="V310" s="308" t="str">
        <f>INFO!Q10</f>
        <v>Z15</v>
      </c>
      <c r="X310" s="460" t="s">
        <v>676</v>
      </c>
      <c r="Y310" s="109" t="s">
        <v>677</v>
      </c>
    </row>
    <row r="311" spans="2:27" x14ac:dyDescent="0.25">
      <c r="B311" s="259"/>
      <c r="C311" s="259"/>
      <c r="D311" s="259"/>
      <c r="E311" s="259"/>
      <c r="F311" s="259"/>
      <c r="G311" s="160" t="s">
        <v>678</v>
      </c>
      <c r="H311" s="160" t="s">
        <v>678</v>
      </c>
      <c r="I311" s="160" t="s">
        <v>678</v>
      </c>
      <c r="J311" s="160" t="s">
        <v>678</v>
      </c>
      <c r="K311" s="160" t="s">
        <v>678</v>
      </c>
      <c r="L311" s="160" t="s">
        <v>678</v>
      </c>
      <c r="M311" s="160" t="s">
        <v>678</v>
      </c>
      <c r="N311" s="160" t="s">
        <v>678</v>
      </c>
      <c r="O311" s="160" t="s">
        <v>678</v>
      </c>
      <c r="P311" s="160" t="s">
        <v>678</v>
      </c>
      <c r="Q311" s="160" t="s">
        <v>678</v>
      </c>
      <c r="R311" s="160" t="s">
        <v>678</v>
      </c>
      <c r="S311" s="160" t="s">
        <v>678</v>
      </c>
      <c r="T311" s="160" t="s">
        <v>678</v>
      </c>
      <c r="U311" s="160" t="s">
        <v>678</v>
      </c>
      <c r="V311" s="160" t="s">
        <v>678</v>
      </c>
      <c r="X311" s="301"/>
      <c r="Y311" s="109" t="s">
        <v>732</v>
      </c>
    </row>
    <row r="312" spans="2:27" x14ac:dyDescent="0.25">
      <c r="B312" s="191" t="s">
        <v>81</v>
      </c>
      <c r="C312" s="191" t="s">
        <v>572</v>
      </c>
      <c r="D312" s="191" t="s">
        <v>519</v>
      </c>
      <c r="E312" s="191"/>
      <c r="F312" s="191" t="s">
        <v>228</v>
      </c>
      <c r="G312" s="665">
        <f t="shared" ref="G312:G314" si="88">ROUND(10^2/Y312,5)</f>
        <v>1.7000000000000001E-4</v>
      </c>
      <c r="H312" s="666">
        <f t="shared" ref="H312:H314" si="89">G312</f>
        <v>1.7000000000000001E-4</v>
      </c>
      <c r="I312" s="666">
        <f t="shared" ref="I312:V312" si="90">$H$312</f>
        <v>1.7000000000000001E-4</v>
      </c>
      <c r="J312" s="666">
        <f t="shared" si="90"/>
        <v>1.7000000000000001E-4</v>
      </c>
      <c r="K312" s="666">
        <f t="shared" si="90"/>
        <v>1.7000000000000001E-4</v>
      </c>
      <c r="L312" s="666">
        <f t="shared" si="90"/>
        <v>1.7000000000000001E-4</v>
      </c>
      <c r="M312" s="666">
        <f t="shared" si="90"/>
        <v>1.7000000000000001E-4</v>
      </c>
      <c r="N312" s="666">
        <f t="shared" si="90"/>
        <v>1.7000000000000001E-4</v>
      </c>
      <c r="O312" s="666">
        <f t="shared" si="90"/>
        <v>1.7000000000000001E-4</v>
      </c>
      <c r="P312" s="666">
        <f t="shared" si="90"/>
        <v>1.7000000000000001E-4</v>
      </c>
      <c r="Q312" s="666">
        <f t="shared" si="90"/>
        <v>1.7000000000000001E-4</v>
      </c>
      <c r="R312" s="666">
        <f t="shared" si="90"/>
        <v>1.7000000000000001E-4</v>
      </c>
      <c r="S312" s="666">
        <f t="shared" si="90"/>
        <v>1.7000000000000001E-4</v>
      </c>
      <c r="T312" s="666">
        <f t="shared" si="90"/>
        <v>1.7000000000000001E-4</v>
      </c>
      <c r="U312" s="666">
        <f t="shared" si="90"/>
        <v>1.7000000000000001E-4</v>
      </c>
      <c r="V312" s="666">
        <f t="shared" si="90"/>
        <v>1.7000000000000001E-4</v>
      </c>
      <c r="X312" s="453"/>
      <c r="Y312" s="302">
        <v>600000</v>
      </c>
    </row>
    <row r="313" spans="2:27" x14ac:dyDescent="0.25">
      <c r="B313" s="191" t="s">
        <v>81</v>
      </c>
      <c r="C313" s="191" t="s">
        <v>186</v>
      </c>
      <c r="D313" s="191" t="s">
        <v>733</v>
      </c>
      <c r="E313" s="191" t="s">
        <v>185</v>
      </c>
      <c r="F313" s="191" t="s">
        <v>230</v>
      </c>
      <c r="G313" s="665">
        <f t="shared" si="88"/>
        <v>1.125E-2</v>
      </c>
      <c r="H313" s="666">
        <f t="shared" si="89"/>
        <v>1.125E-2</v>
      </c>
      <c r="I313" s="666">
        <f t="shared" ref="I313:V313" si="91">$H$313</f>
        <v>1.125E-2</v>
      </c>
      <c r="J313" s="666">
        <f t="shared" si="91"/>
        <v>1.125E-2</v>
      </c>
      <c r="K313" s="666">
        <f t="shared" si="91"/>
        <v>1.125E-2</v>
      </c>
      <c r="L313" s="666">
        <f t="shared" si="91"/>
        <v>1.125E-2</v>
      </c>
      <c r="M313" s="666">
        <f t="shared" si="91"/>
        <v>1.125E-2</v>
      </c>
      <c r="N313" s="666">
        <f t="shared" si="91"/>
        <v>1.125E-2</v>
      </c>
      <c r="O313" s="666">
        <f t="shared" si="91"/>
        <v>1.125E-2</v>
      </c>
      <c r="P313" s="666">
        <f t="shared" si="91"/>
        <v>1.125E-2</v>
      </c>
      <c r="Q313" s="666">
        <f t="shared" si="91"/>
        <v>1.125E-2</v>
      </c>
      <c r="R313" s="666">
        <f t="shared" si="91"/>
        <v>1.125E-2</v>
      </c>
      <c r="S313" s="666">
        <f t="shared" si="91"/>
        <v>1.125E-2</v>
      </c>
      <c r="T313" s="666">
        <f t="shared" si="91"/>
        <v>1.125E-2</v>
      </c>
      <c r="U313" s="666">
        <f t="shared" si="91"/>
        <v>1.125E-2</v>
      </c>
      <c r="V313" s="666">
        <f t="shared" si="91"/>
        <v>1.125E-2</v>
      </c>
      <c r="X313" s="453"/>
      <c r="Y313" s="302">
        <v>8888</v>
      </c>
    </row>
    <row r="314" spans="2:27" x14ac:dyDescent="0.25">
      <c r="B314" s="191" t="s">
        <v>81</v>
      </c>
      <c r="C314" s="191" t="s">
        <v>575</v>
      </c>
      <c r="D314" s="191" t="s">
        <v>520</v>
      </c>
      <c r="E314" s="191"/>
      <c r="F314" s="191" t="s">
        <v>232</v>
      </c>
      <c r="G314" s="665">
        <f t="shared" si="88"/>
        <v>1.7000000000000001E-4</v>
      </c>
      <c r="H314" s="666">
        <f t="shared" si="89"/>
        <v>1.7000000000000001E-4</v>
      </c>
      <c r="I314" s="666">
        <f t="shared" ref="I314:V314" si="92">$H$314</f>
        <v>1.7000000000000001E-4</v>
      </c>
      <c r="J314" s="666">
        <f t="shared" si="92"/>
        <v>1.7000000000000001E-4</v>
      </c>
      <c r="K314" s="666">
        <f t="shared" si="92"/>
        <v>1.7000000000000001E-4</v>
      </c>
      <c r="L314" s="666">
        <f t="shared" si="92"/>
        <v>1.7000000000000001E-4</v>
      </c>
      <c r="M314" s="666">
        <f t="shared" si="92"/>
        <v>1.7000000000000001E-4</v>
      </c>
      <c r="N314" s="666">
        <f t="shared" si="92"/>
        <v>1.7000000000000001E-4</v>
      </c>
      <c r="O314" s="666">
        <f t="shared" si="92"/>
        <v>1.7000000000000001E-4</v>
      </c>
      <c r="P314" s="666">
        <f t="shared" si="92"/>
        <v>1.7000000000000001E-4</v>
      </c>
      <c r="Q314" s="666">
        <f t="shared" si="92"/>
        <v>1.7000000000000001E-4</v>
      </c>
      <c r="R314" s="666">
        <f t="shared" si="92"/>
        <v>1.7000000000000001E-4</v>
      </c>
      <c r="S314" s="666">
        <f t="shared" si="92"/>
        <v>1.7000000000000001E-4</v>
      </c>
      <c r="T314" s="666">
        <f t="shared" si="92"/>
        <v>1.7000000000000001E-4</v>
      </c>
      <c r="U314" s="666">
        <f t="shared" si="92"/>
        <v>1.7000000000000001E-4</v>
      </c>
      <c r="V314" s="666">
        <f t="shared" si="92"/>
        <v>1.7000000000000001E-4</v>
      </c>
      <c r="X314" s="8"/>
      <c r="Y314" s="302">
        <v>600000</v>
      </c>
    </row>
    <row r="315" spans="2:27" s="360" customFormat="1" x14ac:dyDescent="0.25">
      <c r="B315" s="63"/>
      <c r="C315" s="63"/>
      <c r="D315" s="63"/>
      <c r="E315" s="63"/>
      <c r="F315" s="63"/>
      <c r="G315" s="454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X315" s="455"/>
      <c r="Y315" s="456"/>
    </row>
    <row r="316" spans="2:27" s="360" customFormat="1" x14ac:dyDescent="0.25">
      <c r="B316" s="63"/>
      <c r="C316" s="63"/>
      <c r="D316" s="63"/>
      <c r="E316" s="63"/>
      <c r="F316" s="63"/>
      <c r="G316" s="454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X316" s="455"/>
      <c r="Y316" s="456"/>
    </row>
    <row r="317" spans="2:27" x14ac:dyDescent="0.25">
      <c r="B317" s="466" t="s">
        <v>734</v>
      </c>
      <c r="C317" s="434"/>
      <c r="D317" s="434"/>
      <c r="E317" s="434"/>
      <c r="F317" s="63"/>
      <c r="G317" s="62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Y317" s="435"/>
    </row>
    <row r="318" spans="2:27" s="3" customFormat="1" x14ac:dyDescent="0.25">
      <c r="B318" s="125" t="s">
        <v>463</v>
      </c>
      <c r="C318" s="125" t="s">
        <v>104</v>
      </c>
      <c r="D318" s="259" t="s">
        <v>465</v>
      </c>
      <c r="E318" s="125" t="s">
        <v>673</v>
      </c>
      <c r="F318" s="125" t="s">
        <v>674</v>
      </c>
      <c r="G318" s="308" t="str">
        <f>G10</f>
        <v>ALL</v>
      </c>
      <c r="H318" s="308" t="str">
        <f>INFO!C10</f>
        <v>Z01</v>
      </c>
      <c r="I318" s="308" t="str">
        <f>INFO!D10</f>
        <v>Z02</v>
      </c>
      <c r="J318" s="308" t="str">
        <f>INFO!E10</f>
        <v>Z03</v>
      </c>
      <c r="K318" s="308" t="str">
        <f>INFO!F10</f>
        <v>Z04</v>
      </c>
      <c r="L318" s="308" t="str">
        <f>INFO!G10</f>
        <v>Z05</v>
      </c>
      <c r="M318" s="308" t="str">
        <f>INFO!H10</f>
        <v>Z06</v>
      </c>
      <c r="N318" s="308" t="str">
        <f>INFO!I10</f>
        <v>Z07</v>
      </c>
      <c r="O318" s="308" t="str">
        <f>INFO!J10</f>
        <v>Z08</v>
      </c>
      <c r="P318" s="308" t="str">
        <f>INFO!K10</f>
        <v>Z09</v>
      </c>
      <c r="Q318" s="308" t="str">
        <f>INFO!L10</f>
        <v>Z10</v>
      </c>
      <c r="R318" s="308" t="str">
        <f>INFO!M10</f>
        <v>Z11</v>
      </c>
      <c r="S318" s="308" t="str">
        <f>INFO!N10</f>
        <v>Z12</v>
      </c>
      <c r="T318" s="308" t="str">
        <f>INFO!O10</f>
        <v>Z13</v>
      </c>
      <c r="U318" s="308" t="str">
        <f>INFO!P10</f>
        <v>Z14</v>
      </c>
      <c r="V318" s="308" t="str">
        <f>INFO!Q10</f>
        <v>Z15</v>
      </c>
      <c r="X318" s="460" t="s">
        <v>676</v>
      </c>
      <c r="Y318" s="109" t="s">
        <v>677</v>
      </c>
    </row>
    <row r="319" spans="2:27" s="3" customFormat="1" x14ac:dyDescent="0.25">
      <c r="B319" s="125"/>
      <c r="C319" s="125"/>
      <c r="D319" s="125"/>
      <c r="E319" s="125"/>
      <c r="F319" s="125"/>
      <c r="G319" s="160" t="s">
        <v>678</v>
      </c>
      <c r="H319" s="160" t="s">
        <v>678</v>
      </c>
      <c r="I319" s="160" t="s">
        <v>678</v>
      </c>
      <c r="J319" s="160" t="s">
        <v>678</v>
      </c>
      <c r="K319" s="160" t="s">
        <v>678</v>
      </c>
      <c r="L319" s="160" t="s">
        <v>678</v>
      </c>
      <c r="M319" s="160" t="s">
        <v>678</v>
      </c>
      <c r="N319" s="160" t="s">
        <v>678</v>
      </c>
      <c r="O319" s="160" t="s">
        <v>678</v>
      </c>
      <c r="P319" s="160" t="s">
        <v>678</v>
      </c>
      <c r="Q319" s="160" t="s">
        <v>678</v>
      </c>
      <c r="R319" s="160" t="s">
        <v>678</v>
      </c>
      <c r="S319" s="160" t="s">
        <v>678</v>
      </c>
      <c r="T319" s="160" t="s">
        <v>678</v>
      </c>
      <c r="U319" s="160" t="s">
        <v>678</v>
      </c>
      <c r="V319" s="160" t="s">
        <v>678</v>
      </c>
      <c r="X319" s="109"/>
      <c r="Y319" s="109" t="s">
        <v>679</v>
      </c>
    </row>
    <row r="320" spans="2:27" x14ac:dyDescent="0.25">
      <c r="B320" s="191" t="s">
        <v>82</v>
      </c>
      <c r="C320" s="191" t="s">
        <v>234</v>
      </c>
      <c r="D320" s="191" t="s">
        <v>525</v>
      </c>
      <c r="E320" s="420"/>
      <c r="F320" s="191" t="s">
        <v>735</v>
      </c>
      <c r="G320" s="663">
        <f t="shared" ref="G320:G321" si="93">ROUND(10^2/Y320,5)</f>
        <v>5.0000000000000001E-3</v>
      </c>
      <c r="H320" s="664">
        <f t="shared" ref="H320:H321" si="94">G320</f>
        <v>5.0000000000000001E-3</v>
      </c>
      <c r="I320" s="664">
        <f t="shared" ref="I320:V320" si="95">$H$320</f>
        <v>5.0000000000000001E-3</v>
      </c>
      <c r="J320" s="664">
        <f t="shared" si="95"/>
        <v>5.0000000000000001E-3</v>
      </c>
      <c r="K320" s="664">
        <f t="shared" si="95"/>
        <v>5.0000000000000001E-3</v>
      </c>
      <c r="L320" s="664">
        <f t="shared" si="95"/>
        <v>5.0000000000000001E-3</v>
      </c>
      <c r="M320" s="664">
        <f t="shared" si="95"/>
        <v>5.0000000000000001E-3</v>
      </c>
      <c r="N320" s="664">
        <f t="shared" si="95"/>
        <v>5.0000000000000001E-3</v>
      </c>
      <c r="O320" s="664">
        <f t="shared" si="95"/>
        <v>5.0000000000000001E-3</v>
      </c>
      <c r="P320" s="664">
        <f t="shared" si="95"/>
        <v>5.0000000000000001E-3</v>
      </c>
      <c r="Q320" s="664">
        <f t="shared" si="95"/>
        <v>5.0000000000000001E-3</v>
      </c>
      <c r="R320" s="664">
        <f t="shared" si="95"/>
        <v>5.0000000000000001E-3</v>
      </c>
      <c r="S320" s="664">
        <f t="shared" si="95"/>
        <v>5.0000000000000001E-3</v>
      </c>
      <c r="T320" s="664">
        <f t="shared" si="95"/>
        <v>5.0000000000000001E-3</v>
      </c>
      <c r="U320" s="664">
        <f t="shared" si="95"/>
        <v>5.0000000000000001E-3</v>
      </c>
      <c r="V320" s="664">
        <f t="shared" si="95"/>
        <v>5.0000000000000001E-3</v>
      </c>
      <c r="W320" s="309"/>
      <c r="X320" s="307"/>
      <c r="Y320" s="359">
        <v>20000</v>
      </c>
      <c r="AA320" s="455" t="s">
        <v>736</v>
      </c>
    </row>
    <row r="321" spans="2:33" x14ac:dyDescent="0.25">
      <c r="B321" s="191" t="s">
        <v>523</v>
      </c>
      <c r="C321" s="191" t="s">
        <v>236</v>
      </c>
      <c r="D321" s="191" t="s">
        <v>524</v>
      </c>
      <c r="E321" s="420"/>
      <c r="F321" s="191" t="s">
        <v>737</v>
      </c>
      <c r="G321" s="663">
        <f t="shared" si="93"/>
        <v>8.0000000000000002E-3</v>
      </c>
      <c r="H321" s="664">
        <f t="shared" si="94"/>
        <v>8.0000000000000002E-3</v>
      </c>
      <c r="I321" s="664">
        <f t="shared" ref="I321:V321" si="96">$H$321</f>
        <v>8.0000000000000002E-3</v>
      </c>
      <c r="J321" s="664">
        <f t="shared" si="96"/>
        <v>8.0000000000000002E-3</v>
      </c>
      <c r="K321" s="664">
        <f t="shared" si="96"/>
        <v>8.0000000000000002E-3</v>
      </c>
      <c r="L321" s="664">
        <f t="shared" si="96"/>
        <v>8.0000000000000002E-3</v>
      </c>
      <c r="M321" s="664">
        <f t="shared" si="96"/>
        <v>8.0000000000000002E-3</v>
      </c>
      <c r="N321" s="664">
        <f t="shared" si="96"/>
        <v>8.0000000000000002E-3</v>
      </c>
      <c r="O321" s="664">
        <f t="shared" si="96"/>
        <v>8.0000000000000002E-3</v>
      </c>
      <c r="P321" s="664">
        <f t="shared" si="96"/>
        <v>8.0000000000000002E-3</v>
      </c>
      <c r="Q321" s="664">
        <f t="shared" si="96"/>
        <v>8.0000000000000002E-3</v>
      </c>
      <c r="R321" s="664">
        <f t="shared" si="96"/>
        <v>8.0000000000000002E-3</v>
      </c>
      <c r="S321" s="664">
        <f t="shared" si="96"/>
        <v>8.0000000000000002E-3</v>
      </c>
      <c r="T321" s="664">
        <f t="shared" si="96"/>
        <v>8.0000000000000002E-3</v>
      </c>
      <c r="U321" s="664">
        <f t="shared" si="96"/>
        <v>8.0000000000000002E-3</v>
      </c>
      <c r="V321" s="664">
        <f t="shared" si="96"/>
        <v>8.0000000000000002E-3</v>
      </c>
      <c r="W321" s="309"/>
      <c r="X321" s="307"/>
      <c r="Y321" s="359">
        <v>12500</v>
      </c>
      <c r="AA321" s="455" t="s">
        <v>736</v>
      </c>
    </row>
    <row r="323" spans="2:33" s="1" customFormat="1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s="133"/>
      <c r="W323" s="133"/>
      <c r="X323"/>
      <c r="Y323"/>
      <c r="Z323"/>
      <c r="AA323"/>
      <c r="AB323"/>
      <c r="AC323"/>
      <c r="AD323"/>
      <c r="AE323"/>
      <c r="AF323"/>
      <c r="AG323"/>
    </row>
  </sheetData>
  <sortState xmlns:xlrd2="http://schemas.microsoft.com/office/spreadsheetml/2017/richdata2" ref="C300:C310">
    <sortCondition ref="C300:C310"/>
  </sortState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theme="8"/>
  </sheetPr>
  <dimension ref="A1:O205"/>
  <sheetViews>
    <sheetView topLeftCell="A151" zoomScale="80" zoomScaleNormal="80" workbookViewId="0">
      <selection activeCell="C172" sqref="C172"/>
    </sheetView>
  </sheetViews>
  <sheetFormatPr defaultColWidth="9.28515625" defaultRowHeight="15" x14ac:dyDescent="0.25"/>
  <cols>
    <col min="2" max="2" width="16" bestFit="1" customWidth="1"/>
    <col min="3" max="3" width="18" customWidth="1"/>
    <col min="4" max="4" width="62.28515625" bestFit="1" customWidth="1"/>
    <col min="5" max="5" width="16.7109375" customWidth="1"/>
    <col min="6" max="6" width="13.5703125" customWidth="1"/>
    <col min="7" max="7" width="5.7109375" bestFit="1" customWidth="1"/>
    <col min="8" max="8" width="12.42578125" bestFit="1" customWidth="1"/>
    <col min="9" max="9" width="8.7109375" bestFit="1" customWidth="1"/>
    <col min="12" max="12" width="11.7109375" bestFit="1" customWidth="1"/>
    <col min="13" max="13" width="38.28515625" bestFit="1" customWidth="1"/>
  </cols>
  <sheetData>
    <row r="1" spans="2:9" s="14" customFormat="1" x14ac:dyDescent="0.25"/>
    <row r="2" spans="2:9" s="14" customFormat="1" x14ac:dyDescent="0.25"/>
    <row r="3" spans="2:9" s="14" customFormat="1" x14ac:dyDescent="0.25">
      <c r="B3" s="24" t="s">
        <v>738</v>
      </c>
      <c r="C3" s="25"/>
      <c r="D3" s="25"/>
      <c r="E3" s="25"/>
      <c r="F3" s="25"/>
      <c r="G3" s="25"/>
      <c r="H3" s="25"/>
      <c r="I3" s="25"/>
    </row>
    <row r="4" spans="2:9" s="14" customFormat="1" ht="21" customHeight="1" thickBot="1" x14ac:dyDescent="0.3">
      <c r="B4" s="261" t="s">
        <v>739</v>
      </c>
      <c r="C4" s="261" t="s">
        <v>104</v>
      </c>
      <c r="D4" s="261" t="s">
        <v>740</v>
      </c>
      <c r="E4" s="261" t="s">
        <v>741</v>
      </c>
      <c r="F4" s="262" t="s">
        <v>742</v>
      </c>
      <c r="G4" s="262" t="s">
        <v>743</v>
      </c>
      <c r="H4" s="262" t="s">
        <v>744</v>
      </c>
      <c r="I4" s="262" t="s">
        <v>745</v>
      </c>
    </row>
    <row r="5" spans="2:9" s="14" customFormat="1" ht="15" customHeight="1" x14ac:dyDescent="0.25">
      <c r="B5" s="254" t="str">
        <f>IF(TAV!K42="not in use","\I:","DMD")</f>
        <v>\I:</v>
      </c>
      <c r="C5" s="144" t="s">
        <v>236</v>
      </c>
      <c r="D5" s="144" t="s">
        <v>746</v>
      </c>
      <c r="E5" s="254" t="s">
        <v>747</v>
      </c>
      <c r="F5" s="254" t="s">
        <v>748</v>
      </c>
      <c r="G5" s="253"/>
      <c r="H5" s="252" t="s">
        <v>749</v>
      </c>
      <c r="I5" s="252" t="s">
        <v>750</v>
      </c>
    </row>
    <row r="6" spans="2:9" s="14" customFormat="1" ht="15" customHeight="1" x14ac:dyDescent="0.25">
      <c r="B6" s="254" t="str">
        <f>IF(TAV!K22="not in use","\I:","DMD")</f>
        <v>\I:</v>
      </c>
      <c r="C6" s="144" t="s">
        <v>234</v>
      </c>
      <c r="D6" s="144" t="s">
        <v>751</v>
      </c>
      <c r="E6" s="254" t="s">
        <v>747</v>
      </c>
      <c r="F6" s="254" t="s">
        <v>748</v>
      </c>
      <c r="G6" s="253"/>
      <c r="H6" s="252" t="s">
        <v>749</v>
      </c>
      <c r="I6" s="252" t="s">
        <v>750</v>
      </c>
    </row>
    <row r="7" spans="2:9" s="14" customFormat="1" ht="15" customHeight="1" x14ac:dyDescent="0.25">
      <c r="B7" s="254" t="str">
        <f>IF(TB!$L$182="not in use","\I:","DMD")</f>
        <v>DMD</v>
      </c>
      <c r="C7" s="144" t="s">
        <v>336</v>
      </c>
      <c r="D7" s="145" t="s">
        <v>752</v>
      </c>
      <c r="E7" s="254" t="s">
        <v>747</v>
      </c>
      <c r="F7" s="254" t="s">
        <v>748</v>
      </c>
      <c r="G7" s="254"/>
      <c r="H7" s="254" t="s">
        <v>749</v>
      </c>
      <c r="I7" s="255" t="s">
        <v>750</v>
      </c>
    </row>
    <row r="8" spans="2:9" s="14" customFormat="1" ht="15" customHeight="1" x14ac:dyDescent="0.25">
      <c r="B8" s="254" t="str">
        <f>IF(TB!$L$182="not in use","\I:","DMD")</f>
        <v>DMD</v>
      </c>
      <c r="C8" s="145" t="s">
        <v>337</v>
      </c>
      <c r="D8" s="145" t="s">
        <v>753</v>
      </c>
      <c r="E8" s="254" t="s">
        <v>747</v>
      </c>
      <c r="F8" s="254" t="s">
        <v>748</v>
      </c>
      <c r="G8" s="254"/>
      <c r="H8" s="254" t="s">
        <v>749</v>
      </c>
      <c r="I8" s="255" t="s">
        <v>750</v>
      </c>
    </row>
    <row r="9" spans="2:9" s="14" customFormat="1" ht="15" customHeight="1" x14ac:dyDescent="0.25">
      <c r="B9" s="254" t="str">
        <f>IF(TB!$L$182="not in use","\I:","DMD")</f>
        <v>DMD</v>
      </c>
      <c r="C9" s="145" t="s">
        <v>338</v>
      </c>
      <c r="D9" s="146" t="s">
        <v>754</v>
      </c>
      <c r="E9" s="254" t="s">
        <v>747</v>
      </c>
      <c r="F9" s="254" t="s">
        <v>748</v>
      </c>
      <c r="G9" s="254"/>
      <c r="H9" s="254" t="s">
        <v>749</v>
      </c>
      <c r="I9" s="255" t="s">
        <v>750</v>
      </c>
    </row>
    <row r="10" spans="2:9" s="14" customFormat="1" ht="15" customHeight="1" x14ac:dyDescent="0.25">
      <c r="B10" s="254" t="str">
        <f>IF(TB!$L$182="not in use","\I:","DMD")</f>
        <v>DMD</v>
      </c>
      <c r="C10" s="145" t="s">
        <v>339</v>
      </c>
      <c r="D10" s="146" t="s">
        <v>755</v>
      </c>
      <c r="E10" s="254" t="s">
        <v>747</v>
      </c>
      <c r="F10" s="254" t="s">
        <v>748</v>
      </c>
      <c r="G10" s="254"/>
      <c r="H10" s="254" t="s">
        <v>749</v>
      </c>
      <c r="I10" s="255" t="s">
        <v>750</v>
      </c>
    </row>
    <row r="11" spans="2:9" s="14" customFormat="1" ht="15" customHeight="1" x14ac:dyDescent="0.25">
      <c r="B11" s="254" t="str">
        <f>IF(TB!$L$182="not in use","\I:","DMD")</f>
        <v>DMD</v>
      </c>
      <c r="C11" s="145" t="s">
        <v>340</v>
      </c>
      <c r="D11" s="146" t="s">
        <v>756</v>
      </c>
      <c r="E11" s="254" t="s">
        <v>747</v>
      </c>
      <c r="F11" s="254" t="s">
        <v>748</v>
      </c>
      <c r="G11" s="254"/>
      <c r="H11" s="254" t="s">
        <v>749</v>
      </c>
      <c r="I11" s="255" t="s">
        <v>750</v>
      </c>
    </row>
    <row r="12" spans="2:9" s="14" customFormat="1" ht="15" customHeight="1" x14ac:dyDescent="0.25">
      <c r="B12" s="254" t="str">
        <f>IF(TB!$L$182="not in use","\I:","DMD")</f>
        <v>DMD</v>
      </c>
      <c r="C12" s="145" t="s">
        <v>341</v>
      </c>
      <c r="D12" s="145" t="s">
        <v>757</v>
      </c>
      <c r="E12" s="254" t="s">
        <v>747</v>
      </c>
      <c r="F12" s="254" t="s">
        <v>748</v>
      </c>
      <c r="G12" s="254"/>
      <c r="H12" s="254" t="s">
        <v>749</v>
      </c>
      <c r="I12" s="255" t="s">
        <v>750</v>
      </c>
    </row>
    <row r="13" spans="2:9" s="14" customFormat="1" ht="15" customHeight="1" x14ac:dyDescent="0.25">
      <c r="B13" s="254" t="str">
        <f>IF(TB!$L$182="not in use","\I:","DMD")</f>
        <v>DMD</v>
      </c>
      <c r="C13" s="145" t="s">
        <v>342</v>
      </c>
      <c r="D13" s="145" t="s">
        <v>758</v>
      </c>
      <c r="E13" s="254" t="s">
        <v>747</v>
      </c>
      <c r="F13" s="254" t="s">
        <v>748</v>
      </c>
      <c r="G13" s="254"/>
      <c r="H13" s="254" t="s">
        <v>749</v>
      </c>
      <c r="I13" s="255" t="s">
        <v>750</v>
      </c>
    </row>
    <row r="14" spans="2:9" s="14" customFormat="1" ht="15" customHeight="1" x14ac:dyDescent="0.25">
      <c r="B14" s="254" t="str">
        <f>IF(TB!$L$182="not in use","\I:","DMD")</f>
        <v>DMD</v>
      </c>
      <c r="C14" s="145" t="s">
        <v>343</v>
      </c>
      <c r="D14" s="145" t="s">
        <v>759</v>
      </c>
      <c r="E14" s="254" t="s">
        <v>747</v>
      </c>
      <c r="F14" s="254" t="s">
        <v>748</v>
      </c>
      <c r="G14" s="254"/>
      <c r="H14" s="254" t="s">
        <v>749</v>
      </c>
      <c r="I14" s="255" t="s">
        <v>750</v>
      </c>
    </row>
    <row r="15" spans="2:9" s="14" customFormat="1" ht="15" customHeight="1" x14ac:dyDescent="0.25">
      <c r="B15" s="254" t="str">
        <f>IF(TB!$L$182="not in use","\I:","DMD")</f>
        <v>DMD</v>
      </c>
      <c r="C15" s="145" t="s">
        <v>344</v>
      </c>
      <c r="D15" s="145" t="s">
        <v>760</v>
      </c>
      <c r="E15" s="254" t="s">
        <v>747</v>
      </c>
      <c r="F15" s="254" t="s">
        <v>748</v>
      </c>
      <c r="G15" s="254"/>
      <c r="H15" s="254" t="s">
        <v>749</v>
      </c>
      <c r="I15" s="255" t="s">
        <v>750</v>
      </c>
    </row>
    <row r="16" spans="2:9" s="14" customFormat="1" ht="15" customHeight="1" x14ac:dyDescent="0.25">
      <c r="B16" s="254" t="str">
        <f>IF(TB!$L$182="not in use","\I:","DMD")</f>
        <v>DMD</v>
      </c>
      <c r="C16" s="145" t="s">
        <v>345</v>
      </c>
      <c r="D16" s="145" t="s">
        <v>761</v>
      </c>
      <c r="E16" s="254" t="s">
        <v>747</v>
      </c>
      <c r="F16" s="254" t="s">
        <v>748</v>
      </c>
      <c r="G16" s="254"/>
      <c r="H16" s="254" t="s">
        <v>749</v>
      </c>
      <c r="I16" s="255" t="s">
        <v>750</v>
      </c>
    </row>
    <row r="17" spans="1:13" s="14" customFormat="1" ht="15" customHeight="1" x14ac:dyDescent="0.25">
      <c r="B17" s="254" t="str">
        <f>IF(TB!$L$182="not in use","\I:","DMD")</f>
        <v>DMD</v>
      </c>
      <c r="C17" s="145" t="s">
        <v>346</v>
      </c>
      <c r="D17" s="145" t="s">
        <v>762</v>
      </c>
      <c r="E17" s="254" t="s">
        <v>747</v>
      </c>
      <c r="F17" s="254" t="s">
        <v>748</v>
      </c>
      <c r="G17" s="254"/>
      <c r="H17" s="254" t="s">
        <v>749</v>
      </c>
      <c r="I17" s="255" t="s">
        <v>750</v>
      </c>
    </row>
    <row r="18" spans="1:13" s="14" customFormat="1" ht="15" customHeight="1" x14ac:dyDescent="0.25">
      <c r="A18" s="102"/>
      <c r="B18" s="254" t="str">
        <f>IF(TB!$L$32="not in use","\I:","DMD")</f>
        <v>\I:</v>
      </c>
      <c r="C18" s="145" t="s">
        <v>325</v>
      </c>
      <c r="D18" s="145" t="s">
        <v>763</v>
      </c>
      <c r="E18" s="254" t="s">
        <v>747</v>
      </c>
      <c r="F18" s="254" t="s">
        <v>748</v>
      </c>
      <c r="G18" s="254"/>
      <c r="H18" s="254" t="s">
        <v>749</v>
      </c>
      <c r="I18" s="255" t="s">
        <v>750</v>
      </c>
    </row>
    <row r="19" spans="1:13" s="14" customFormat="1" ht="15" customHeight="1" x14ac:dyDescent="0.25">
      <c r="B19" s="254" t="str">
        <f>IF(TB!$L$32="not in use","\I:","DMD")</f>
        <v>\I:</v>
      </c>
      <c r="C19" s="145" t="s">
        <v>326</v>
      </c>
      <c r="D19" s="145" t="s">
        <v>764</v>
      </c>
      <c r="E19" s="254" t="s">
        <v>747</v>
      </c>
      <c r="F19" s="254" t="s">
        <v>748</v>
      </c>
      <c r="G19" s="254"/>
      <c r="H19" s="254" t="s">
        <v>749</v>
      </c>
      <c r="I19" s="255" t="s">
        <v>750</v>
      </c>
    </row>
    <row r="20" spans="1:13" x14ac:dyDescent="0.25">
      <c r="B20" s="254" t="str">
        <f>IF(TB!$L$32="not in use","\I:","DMD")</f>
        <v>\I:</v>
      </c>
      <c r="C20" s="145" t="s">
        <v>327</v>
      </c>
      <c r="D20" s="146" t="s">
        <v>765</v>
      </c>
      <c r="E20" s="254" t="s">
        <v>747</v>
      </c>
      <c r="F20" s="254" t="s">
        <v>748</v>
      </c>
      <c r="G20" s="254"/>
      <c r="H20" s="254" t="s">
        <v>749</v>
      </c>
      <c r="I20" s="255" t="s">
        <v>750</v>
      </c>
      <c r="L20" s="14"/>
      <c r="M20" s="14"/>
    </row>
    <row r="21" spans="1:13" s="14" customFormat="1" ht="15" customHeight="1" x14ac:dyDescent="0.25">
      <c r="B21" s="254" t="str">
        <f>IF(TB!$L$32="not in use","\I:","DMD")</f>
        <v>\I:</v>
      </c>
      <c r="C21" s="146" t="s">
        <v>328</v>
      </c>
      <c r="D21" s="146" t="s">
        <v>766</v>
      </c>
      <c r="E21" s="254" t="s">
        <v>747</v>
      </c>
      <c r="F21" s="254" t="s">
        <v>748</v>
      </c>
      <c r="G21" s="254"/>
      <c r="H21" s="254" t="s">
        <v>749</v>
      </c>
      <c r="I21" s="255" t="s">
        <v>750</v>
      </c>
    </row>
    <row r="22" spans="1:13" x14ac:dyDescent="0.25">
      <c r="B22" s="254" t="str">
        <f>IF(TB!$L$32="not in use","\I:","DMD")</f>
        <v>\I:</v>
      </c>
      <c r="C22" s="146" t="s">
        <v>329</v>
      </c>
      <c r="D22" s="146" t="s">
        <v>767</v>
      </c>
      <c r="E22" s="254" t="s">
        <v>747</v>
      </c>
      <c r="F22" s="254" t="s">
        <v>748</v>
      </c>
      <c r="G22" s="254"/>
      <c r="H22" s="254" t="s">
        <v>749</v>
      </c>
      <c r="I22" s="255" t="s">
        <v>750</v>
      </c>
      <c r="L22" s="14"/>
      <c r="M22" s="14"/>
    </row>
    <row r="23" spans="1:13" s="14" customFormat="1" ht="15" customHeight="1" x14ac:dyDescent="0.25">
      <c r="B23" s="254" t="str">
        <f>IF(TB!$L$32="not in use","\I:","DMD")</f>
        <v>\I:</v>
      </c>
      <c r="C23" s="145" t="s">
        <v>330</v>
      </c>
      <c r="D23" s="145" t="s">
        <v>768</v>
      </c>
      <c r="E23" s="254" t="s">
        <v>747</v>
      </c>
      <c r="F23" s="254" t="s">
        <v>748</v>
      </c>
      <c r="G23" s="254"/>
      <c r="H23" s="254" t="s">
        <v>749</v>
      </c>
      <c r="I23" s="255" t="s">
        <v>750</v>
      </c>
    </row>
    <row r="24" spans="1:13" s="14" customFormat="1" x14ac:dyDescent="0.25">
      <c r="B24" s="254" t="str">
        <f>IF(TB!$L$32="not in use","\I:","DMD")</f>
        <v>\I:</v>
      </c>
      <c r="C24" s="145" t="s">
        <v>331</v>
      </c>
      <c r="D24" s="145" t="s">
        <v>769</v>
      </c>
      <c r="E24" s="254" t="s">
        <v>747</v>
      </c>
      <c r="F24" s="254" t="s">
        <v>748</v>
      </c>
      <c r="G24" s="254"/>
      <c r="H24" s="254" t="s">
        <v>749</v>
      </c>
      <c r="I24" s="255" t="s">
        <v>750</v>
      </c>
    </row>
    <row r="25" spans="1:13" s="14" customFormat="1" ht="15" customHeight="1" x14ac:dyDescent="0.25">
      <c r="B25" s="254" t="str">
        <f>IF(TB!$L$32="not in use","\I:","DMD")</f>
        <v>\I:</v>
      </c>
      <c r="C25" s="145" t="s">
        <v>332</v>
      </c>
      <c r="D25" s="145" t="s">
        <v>770</v>
      </c>
      <c r="E25" s="254" t="s">
        <v>747</v>
      </c>
      <c r="F25" s="254" t="s">
        <v>748</v>
      </c>
      <c r="G25" s="254"/>
      <c r="H25" s="254" t="s">
        <v>749</v>
      </c>
      <c r="I25" s="255" t="s">
        <v>750</v>
      </c>
    </row>
    <row r="26" spans="1:13" s="14" customFormat="1" ht="15" customHeight="1" x14ac:dyDescent="0.25">
      <c r="B26" s="254" t="str">
        <f>IF(TB!$L$32="not in use","\I:","DMD")</f>
        <v>\I:</v>
      </c>
      <c r="C26" s="145" t="s">
        <v>333</v>
      </c>
      <c r="D26" s="145" t="s">
        <v>771</v>
      </c>
      <c r="E26" s="254" t="s">
        <v>747</v>
      </c>
      <c r="F26" s="254" t="s">
        <v>748</v>
      </c>
      <c r="G26" s="254"/>
      <c r="H26" s="254" t="s">
        <v>749</v>
      </c>
      <c r="I26" s="255" t="s">
        <v>750</v>
      </c>
    </row>
    <row r="27" spans="1:13" s="14" customFormat="1" ht="15" customHeight="1" x14ac:dyDescent="0.25">
      <c r="B27" s="254" t="str">
        <f>IF(TB!$L$32="not in use","\I:","DMD")</f>
        <v>\I:</v>
      </c>
      <c r="C27" s="145" t="s">
        <v>334</v>
      </c>
      <c r="D27" s="145" t="s">
        <v>772</v>
      </c>
      <c r="E27" s="254" t="s">
        <v>747</v>
      </c>
      <c r="F27" s="254" t="s">
        <v>748</v>
      </c>
      <c r="G27" s="254"/>
      <c r="H27" s="254" t="s">
        <v>749</v>
      </c>
      <c r="I27" s="255" t="s">
        <v>750</v>
      </c>
      <c r="L27"/>
      <c r="M27"/>
    </row>
    <row r="28" spans="1:13" s="14" customFormat="1" ht="15" customHeight="1" x14ac:dyDescent="0.25">
      <c r="B28" s="254" t="str">
        <f>IF(TB!$L$32="not in use","\I:","DMD")</f>
        <v>\I:</v>
      </c>
      <c r="C28" s="145" t="s">
        <v>335</v>
      </c>
      <c r="D28" s="145" t="s">
        <v>773</v>
      </c>
      <c r="E28" s="254" t="s">
        <v>747</v>
      </c>
      <c r="F28" s="254" t="s">
        <v>748</v>
      </c>
      <c r="G28" s="254"/>
      <c r="H28" s="254" t="s">
        <v>749</v>
      </c>
      <c r="I28" s="255" t="s">
        <v>750</v>
      </c>
    </row>
    <row r="29" spans="1:13" s="14" customFormat="1" ht="15" customHeight="1" x14ac:dyDescent="0.25">
      <c r="B29" s="254" t="str">
        <f>IF(TC_Private!$L$29="not in use","\I:","DMD")</f>
        <v>DMD</v>
      </c>
      <c r="C29" s="145" t="s">
        <v>302</v>
      </c>
      <c r="D29" s="145" t="s">
        <v>774</v>
      </c>
      <c r="E29" s="254" t="s">
        <v>747</v>
      </c>
      <c r="F29" s="254" t="s">
        <v>748</v>
      </c>
      <c r="G29" s="254"/>
      <c r="H29" s="254" t="s">
        <v>749</v>
      </c>
      <c r="I29" s="255" t="s">
        <v>750</v>
      </c>
      <c r="L29"/>
      <c r="M29"/>
    </row>
    <row r="30" spans="1:13" s="14" customFormat="1" ht="15" customHeight="1" x14ac:dyDescent="0.25">
      <c r="B30" s="254" t="str">
        <f>IF(TC_Pool!$L$27="not in use","\I:","DMD")</f>
        <v>\I:</v>
      </c>
      <c r="C30" s="145" t="s">
        <v>313</v>
      </c>
      <c r="D30" s="145" t="s">
        <v>775</v>
      </c>
      <c r="E30" s="254" t="s">
        <v>747</v>
      </c>
      <c r="F30" s="254" t="s">
        <v>748</v>
      </c>
      <c r="G30" s="254"/>
      <c r="H30" s="254" t="s">
        <v>749</v>
      </c>
      <c r="I30" s="255" t="s">
        <v>750</v>
      </c>
    </row>
    <row r="31" spans="1:13" s="14" customFormat="1" ht="15" customHeight="1" x14ac:dyDescent="0.25">
      <c r="B31" s="254" t="str">
        <f>IF(TC_City!$L$29="not in use","\I:","DMD")</f>
        <v>\I:</v>
      </c>
      <c r="C31" s="145" t="s">
        <v>529</v>
      </c>
      <c r="D31" s="145" t="s">
        <v>776</v>
      </c>
      <c r="E31" s="254" t="s">
        <v>747</v>
      </c>
      <c r="F31" s="254" t="s">
        <v>748</v>
      </c>
      <c r="G31" s="254"/>
      <c r="H31" s="254" t="s">
        <v>749</v>
      </c>
      <c r="I31" s="255" t="s">
        <v>750</v>
      </c>
    </row>
    <row r="32" spans="1:13" s="14" customFormat="1" ht="15" customHeight="1" x14ac:dyDescent="0.25">
      <c r="B32" s="254" t="str">
        <f>IF(TC_Private!$L$29="not in use","\I:","DMD")</f>
        <v>DMD</v>
      </c>
      <c r="C32" s="146" t="s">
        <v>303</v>
      </c>
      <c r="D32" s="146" t="s">
        <v>777</v>
      </c>
      <c r="E32" s="254" t="s">
        <v>747</v>
      </c>
      <c r="F32" s="254" t="s">
        <v>748</v>
      </c>
      <c r="G32" s="254"/>
      <c r="H32" s="254" t="s">
        <v>749</v>
      </c>
      <c r="I32" s="255" t="s">
        <v>750</v>
      </c>
    </row>
    <row r="33" spans="2:13" s="14" customFormat="1" ht="15" customHeight="1" x14ac:dyDescent="0.25">
      <c r="B33" s="254" t="str">
        <f>IF(TC_Pool!$L$27="not in use","\I:","DMD")</f>
        <v>\I:</v>
      </c>
      <c r="C33" s="146" t="s">
        <v>314</v>
      </c>
      <c r="D33" s="146" t="s">
        <v>778</v>
      </c>
      <c r="E33" s="254" t="s">
        <v>747</v>
      </c>
      <c r="F33" s="254" t="s">
        <v>748</v>
      </c>
      <c r="G33" s="254"/>
      <c r="H33" s="254" t="s">
        <v>749</v>
      </c>
      <c r="I33" s="255" t="s">
        <v>750</v>
      </c>
    </row>
    <row r="34" spans="2:13" s="14" customFormat="1" ht="15" customHeight="1" x14ac:dyDescent="0.25">
      <c r="B34" s="254" t="str">
        <f>IF(TC_City!$L$29="not in use","\I:","DMD")</f>
        <v>\I:</v>
      </c>
      <c r="C34" s="146" t="s">
        <v>530</v>
      </c>
      <c r="D34" s="146" t="s">
        <v>779</v>
      </c>
      <c r="E34" s="254" t="s">
        <v>747</v>
      </c>
      <c r="F34" s="254" t="s">
        <v>748</v>
      </c>
      <c r="G34" s="254"/>
      <c r="H34" s="254" t="s">
        <v>749</v>
      </c>
      <c r="I34" s="255" t="s">
        <v>750</v>
      </c>
    </row>
    <row r="35" spans="2:13" s="14" customFormat="1" ht="15" customHeight="1" x14ac:dyDescent="0.25">
      <c r="B35" s="254" t="str">
        <f>IF(TC_Private!$L$29="not in use","\I:","DMD")</f>
        <v>DMD</v>
      </c>
      <c r="C35" s="146" t="s">
        <v>304</v>
      </c>
      <c r="D35" s="146" t="s">
        <v>780</v>
      </c>
      <c r="E35" s="254" t="s">
        <v>747</v>
      </c>
      <c r="F35" s="254" t="s">
        <v>748</v>
      </c>
      <c r="G35" s="254"/>
      <c r="H35" s="254" t="s">
        <v>749</v>
      </c>
      <c r="I35" s="255" t="s">
        <v>750</v>
      </c>
    </row>
    <row r="36" spans="2:13" s="14" customFormat="1" ht="15" customHeight="1" x14ac:dyDescent="0.25">
      <c r="B36" s="254" t="str">
        <f>IF(TC_Pool!$L$27="not in use","\I:","DMD")</f>
        <v>\I:</v>
      </c>
      <c r="C36" s="146" t="s">
        <v>315</v>
      </c>
      <c r="D36" s="146" t="s">
        <v>781</v>
      </c>
      <c r="E36" s="254" t="s">
        <v>747</v>
      </c>
      <c r="F36" s="254" t="s">
        <v>748</v>
      </c>
      <c r="G36" s="254"/>
      <c r="H36" s="254" t="s">
        <v>749</v>
      </c>
      <c r="I36" s="255" t="s">
        <v>750</v>
      </c>
    </row>
    <row r="37" spans="2:13" s="14" customFormat="1" ht="15" customHeight="1" x14ac:dyDescent="0.25">
      <c r="B37" s="254" t="str">
        <f>IF(TC_City!$L$29="not in use","\I:","DMD")</f>
        <v>\I:</v>
      </c>
      <c r="C37" s="146" t="s">
        <v>531</v>
      </c>
      <c r="D37" s="146" t="s">
        <v>782</v>
      </c>
      <c r="E37" s="254" t="s">
        <v>747</v>
      </c>
      <c r="F37" s="254" t="s">
        <v>748</v>
      </c>
      <c r="G37" s="254"/>
      <c r="H37" s="254" t="s">
        <v>749</v>
      </c>
      <c r="I37" s="255" t="s">
        <v>750</v>
      </c>
    </row>
    <row r="38" spans="2:13" s="14" customFormat="1" ht="15" customHeight="1" x14ac:dyDescent="0.25">
      <c r="B38" s="254" t="str">
        <f>IF(TC_Private!$L$29="not in use","\I:","DMD")</f>
        <v>DMD</v>
      </c>
      <c r="C38" s="146" t="s">
        <v>305</v>
      </c>
      <c r="D38" s="146" t="s">
        <v>783</v>
      </c>
      <c r="E38" s="254" t="s">
        <v>747</v>
      </c>
      <c r="F38" s="254" t="s">
        <v>748</v>
      </c>
      <c r="G38" s="254"/>
      <c r="H38" s="254" t="s">
        <v>749</v>
      </c>
      <c r="I38" s="255" t="s">
        <v>750</v>
      </c>
    </row>
    <row r="39" spans="2:13" s="14" customFormat="1" ht="15" customHeight="1" x14ac:dyDescent="0.25">
      <c r="B39" s="254" t="str">
        <f>IF(TC_Pool!$L$27="not in use","\I:","DMD")</f>
        <v>\I:</v>
      </c>
      <c r="C39" s="146" t="s">
        <v>316</v>
      </c>
      <c r="D39" s="146" t="s">
        <v>784</v>
      </c>
      <c r="E39" s="254" t="s">
        <v>747</v>
      </c>
      <c r="F39" s="254" t="s">
        <v>748</v>
      </c>
      <c r="G39" s="254"/>
      <c r="H39" s="254" t="s">
        <v>749</v>
      </c>
      <c r="I39" s="255" t="s">
        <v>750</v>
      </c>
    </row>
    <row r="40" spans="2:13" s="14" customFormat="1" ht="15" customHeight="1" x14ac:dyDescent="0.25">
      <c r="B40" s="254" t="str">
        <f>IF(TC_City!$L$29="not in use","\I:","DMD")</f>
        <v>\I:</v>
      </c>
      <c r="C40" s="146" t="s">
        <v>532</v>
      </c>
      <c r="D40" s="146" t="s">
        <v>785</v>
      </c>
      <c r="E40" s="254" t="s">
        <v>747</v>
      </c>
      <c r="F40" s="254" t="s">
        <v>748</v>
      </c>
      <c r="G40" s="254"/>
      <c r="H40" s="254" t="s">
        <v>749</v>
      </c>
      <c r="I40" s="255" t="s">
        <v>750</v>
      </c>
    </row>
    <row r="41" spans="2:13" s="14" customFormat="1" ht="15" customHeight="1" x14ac:dyDescent="0.25">
      <c r="B41" s="254" t="str">
        <f>IF(TC_Private!$L$29="not in use","\I:","DMD")</f>
        <v>DMD</v>
      </c>
      <c r="C41" s="145" t="s">
        <v>306</v>
      </c>
      <c r="D41" s="145" t="s">
        <v>786</v>
      </c>
      <c r="E41" s="254" t="s">
        <v>747</v>
      </c>
      <c r="F41" s="254" t="s">
        <v>748</v>
      </c>
      <c r="G41" s="254"/>
      <c r="H41" s="254" t="s">
        <v>749</v>
      </c>
      <c r="I41" s="255" t="s">
        <v>750</v>
      </c>
    </row>
    <row r="42" spans="2:13" s="14" customFormat="1" ht="15" customHeight="1" x14ac:dyDescent="0.25">
      <c r="B42" s="254" t="str">
        <f>IF(TC_Pool!$L$27="not in use","\I:","DMD")</f>
        <v>\I:</v>
      </c>
      <c r="C42" s="145" t="s">
        <v>317</v>
      </c>
      <c r="D42" s="145" t="s">
        <v>787</v>
      </c>
      <c r="E42" s="254" t="s">
        <v>747</v>
      </c>
      <c r="F42" s="254" t="s">
        <v>748</v>
      </c>
      <c r="G42" s="254"/>
      <c r="H42" s="254" t="s">
        <v>749</v>
      </c>
      <c r="I42" s="255" t="s">
        <v>750</v>
      </c>
    </row>
    <row r="43" spans="2:13" s="14" customFormat="1" ht="15" customHeight="1" x14ac:dyDescent="0.25">
      <c r="B43" s="254" t="str">
        <f>IF(TC_City!$L$29="not in use","\I:","DMD")</f>
        <v>\I:</v>
      </c>
      <c r="C43" s="145" t="s">
        <v>533</v>
      </c>
      <c r="D43" s="145" t="s">
        <v>788</v>
      </c>
      <c r="E43" s="254" t="s">
        <v>747</v>
      </c>
      <c r="F43" s="254" t="s">
        <v>748</v>
      </c>
      <c r="G43" s="254"/>
      <c r="H43" s="254" t="s">
        <v>749</v>
      </c>
      <c r="I43" s="255" t="s">
        <v>750</v>
      </c>
    </row>
    <row r="44" spans="2:13" s="14" customFormat="1" ht="15" customHeight="1" x14ac:dyDescent="0.25">
      <c r="B44" s="254" t="str">
        <f>IF(TC_Private!$L$29="not in use","\I:","DMD")</f>
        <v>DMD</v>
      </c>
      <c r="C44" s="145" t="s">
        <v>307</v>
      </c>
      <c r="D44" s="145" t="s">
        <v>789</v>
      </c>
      <c r="E44" s="254" t="s">
        <v>747</v>
      </c>
      <c r="F44" s="254" t="s">
        <v>748</v>
      </c>
      <c r="G44" s="254"/>
      <c r="H44" s="254" t="s">
        <v>749</v>
      </c>
      <c r="I44" s="255" t="s">
        <v>750</v>
      </c>
    </row>
    <row r="45" spans="2:13" s="14" customFormat="1" ht="15" customHeight="1" x14ac:dyDescent="0.25">
      <c r="B45" s="254" t="str">
        <f>IF(TC_Pool!$L$27="not in use","\I:","DMD")</f>
        <v>\I:</v>
      </c>
      <c r="C45" s="145" t="s">
        <v>318</v>
      </c>
      <c r="D45" s="145" t="s">
        <v>790</v>
      </c>
      <c r="E45" s="254" t="s">
        <v>747</v>
      </c>
      <c r="F45" s="254" t="s">
        <v>748</v>
      </c>
      <c r="G45" s="254"/>
      <c r="H45" s="254" t="s">
        <v>749</v>
      </c>
      <c r="I45" s="255" t="s">
        <v>750</v>
      </c>
    </row>
    <row r="46" spans="2:13" x14ac:dyDescent="0.25">
      <c r="B46" s="254" t="str">
        <f>IF(TC_City!$L$29="not in use","\I:","DMD")</f>
        <v>\I:</v>
      </c>
      <c r="C46" s="145" t="s">
        <v>534</v>
      </c>
      <c r="D46" s="145" t="s">
        <v>791</v>
      </c>
      <c r="E46" s="254" t="s">
        <v>747</v>
      </c>
      <c r="F46" s="254" t="s">
        <v>748</v>
      </c>
      <c r="G46" s="254"/>
      <c r="H46" s="254" t="s">
        <v>749</v>
      </c>
      <c r="I46" s="255" t="s">
        <v>750</v>
      </c>
      <c r="L46" s="14"/>
      <c r="M46" s="14"/>
    </row>
    <row r="47" spans="2:13" s="14" customFormat="1" ht="15" customHeight="1" x14ac:dyDescent="0.25">
      <c r="B47" s="254" t="str">
        <f>IF(TC_Private!$L$29="not in use","\I:","DMD")</f>
        <v>DMD</v>
      </c>
      <c r="C47" s="145" t="s">
        <v>308</v>
      </c>
      <c r="D47" s="145" t="s">
        <v>792</v>
      </c>
      <c r="E47" s="254" t="s">
        <v>747</v>
      </c>
      <c r="F47" s="254" t="s">
        <v>748</v>
      </c>
      <c r="G47" s="254"/>
      <c r="H47" s="254" t="s">
        <v>749</v>
      </c>
      <c r="I47" s="255" t="s">
        <v>750</v>
      </c>
    </row>
    <row r="48" spans="2:13" s="14" customFormat="1" ht="15" customHeight="1" x14ac:dyDescent="0.25">
      <c r="B48" s="254" t="str">
        <f>IF(TC_Pool!$L$27="not in use","\I:","DMD")</f>
        <v>\I:</v>
      </c>
      <c r="C48" s="145" t="s">
        <v>319</v>
      </c>
      <c r="D48" s="145" t="s">
        <v>793</v>
      </c>
      <c r="E48" s="254" t="s">
        <v>747</v>
      </c>
      <c r="F48" s="254" t="s">
        <v>748</v>
      </c>
      <c r="G48" s="254"/>
      <c r="H48" s="254" t="s">
        <v>749</v>
      </c>
      <c r="I48" s="255" t="s">
        <v>750</v>
      </c>
    </row>
    <row r="49" spans="2:13" s="14" customFormat="1" ht="15" customHeight="1" x14ac:dyDescent="0.25">
      <c r="B49" s="254" t="str">
        <f>IF(TC_City!$L$29="not in use","\I:","DMD")</f>
        <v>\I:</v>
      </c>
      <c r="C49" s="145" t="s">
        <v>535</v>
      </c>
      <c r="D49" s="145" t="s">
        <v>794</v>
      </c>
      <c r="E49" s="254" t="s">
        <v>747</v>
      </c>
      <c r="F49" s="254" t="s">
        <v>748</v>
      </c>
      <c r="G49" s="254"/>
      <c r="H49" s="254" t="s">
        <v>749</v>
      </c>
      <c r="I49" s="255" t="s">
        <v>750</v>
      </c>
    </row>
    <row r="50" spans="2:13" s="14" customFormat="1" ht="15" customHeight="1" x14ac:dyDescent="0.25">
      <c r="B50" s="254" t="str">
        <f>IF(TC_Private!$L$29="not in use","\I:","DMD")</f>
        <v>DMD</v>
      </c>
      <c r="C50" s="146" t="s">
        <v>309</v>
      </c>
      <c r="D50" s="146" t="s">
        <v>795</v>
      </c>
      <c r="E50" s="254" t="s">
        <v>747</v>
      </c>
      <c r="F50" s="254" t="s">
        <v>748</v>
      </c>
      <c r="G50" s="254"/>
      <c r="H50" s="254" t="s">
        <v>749</v>
      </c>
      <c r="I50" s="255" t="s">
        <v>750</v>
      </c>
    </row>
    <row r="51" spans="2:13" s="14" customFormat="1" ht="15" customHeight="1" x14ac:dyDescent="0.25">
      <c r="B51" s="254" t="str">
        <f>IF(TC_Pool!$L$27="not in use","\I:","DMD")</f>
        <v>\I:</v>
      </c>
      <c r="C51" s="146" t="s">
        <v>320</v>
      </c>
      <c r="D51" s="146" t="s">
        <v>796</v>
      </c>
      <c r="E51" s="254" t="s">
        <v>747</v>
      </c>
      <c r="F51" s="254" t="s">
        <v>748</v>
      </c>
      <c r="G51" s="254"/>
      <c r="H51" s="254" t="s">
        <v>749</v>
      </c>
      <c r="I51" s="255" t="s">
        <v>750</v>
      </c>
      <c r="L51"/>
      <c r="M51"/>
    </row>
    <row r="52" spans="2:13" s="14" customFormat="1" ht="15" customHeight="1" x14ac:dyDescent="0.25">
      <c r="B52" s="254" t="str">
        <f>IF(TC_City!$L$29="not in use","\I:","DMD")</f>
        <v>\I:</v>
      </c>
      <c r="C52" s="146" t="s">
        <v>536</v>
      </c>
      <c r="D52" s="146" t="s">
        <v>797</v>
      </c>
      <c r="E52" s="254" t="s">
        <v>747</v>
      </c>
      <c r="F52" s="254" t="s">
        <v>748</v>
      </c>
      <c r="G52" s="254"/>
      <c r="H52" s="254" t="s">
        <v>749</v>
      </c>
      <c r="I52" s="255" t="s">
        <v>750</v>
      </c>
    </row>
    <row r="53" spans="2:13" s="14" customFormat="1" ht="15" customHeight="1" x14ac:dyDescent="0.25">
      <c r="B53" s="254" t="str">
        <f>IF(TC_Private!$L$29="not in use","\I:","DMD")</f>
        <v>DMD</v>
      </c>
      <c r="C53" s="146" t="s">
        <v>310</v>
      </c>
      <c r="D53" s="145" t="s">
        <v>798</v>
      </c>
      <c r="E53" s="254" t="s">
        <v>747</v>
      </c>
      <c r="F53" s="254" t="s">
        <v>748</v>
      </c>
      <c r="G53" s="254"/>
      <c r="H53" s="254" t="s">
        <v>749</v>
      </c>
      <c r="I53" s="255" t="s">
        <v>750</v>
      </c>
    </row>
    <row r="54" spans="2:13" s="14" customFormat="1" ht="15" customHeight="1" x14ac:dyDescent="0.25">
      <c r="B54" s="254" t="str">
        <f>IF(TC_Pool!$L$27="not in use","\I:","DMD")</f>
        <v>\I:</v>
      </c>
      <c r="C54" s="146" t="s">
        <v>321</v>
      </c>
      <c r="D54" s="145" t="s">
        <v>799</v>
      </c>
      <c r="E54" s="254" t="s">
        <v>747</v>
      </c>
      <c r="F54" s="254" t="s">
        <v>748</v>
      </c>
      <c r="G54" s="254"/>
      <c r="H54" s="254" t="s">
        <v>749</v>
      </c>
      <c r="I54" s="255" t="s">
        <v>750</v>
      </c>
    </row>
    <row r="55" spans="2:13" s="14" customFormat="1" ht="15" customHeight="1" x14ac:dyDescent="0.25">
      <c r="B55" s="254" t="str">
        <f>IF(TC_City!$L$29="not in use","\I:","DMD")</f>
        <v>\I:</v>
      </c>
      <c r="C55" s="146" t="s">
        <v>537</v>
      </c>
      <c r="D55" s="145" t="s">
        <v>800</v>
      </c>
      <c r="E55" s="254" t="s">
        <v>747</v>
      </c>
      <c r="F55" s="254" t="s">
        <v>748</v>
      </c>
      <c r="G55" s="254"/>
      <c r="H55" s="254" t="s">
        <v>749</v>
      </c>
      <c r="I55" s="255" t="s">
        <v>750</v>
      </c>
    </row>
    <row r="56" spans="2:13" s="14" customFormat="1" ht="15" customHeight="1" x14ac:dyDescent="0.25">
      <c r="B56" s="254" t="str">
        <f>IF(TC_Private!$L$29="not in use","\I:","DMD")</f>
        <v>DMD</v>
      </c>
      <c r="C56" s="146" t="s">
        <v>311</v>
      </c>
      <c r="D56" s="145" t="s">
        <v>801</v>
      </c>
      <c r="E56" s="254" t="s">
        <v>747</v>
      </c>
      <c r="F56" s="254" t="s">
        <v>748</v>
      </c>
      <c r="G56" s="254"/>
      <c r="H56" s="254" t="s">
        <v>749</v>
      </c>
      <c r="I56" s="255" t="s">
        <v>750</v>
      </c>
    </row>
    <row r="57" spans="2:13" s="14" customFormat="1" ht="15" customHeight="1" x14ac:dyDescent="0.25">
      <c r="B57" s="254" t="str">
        <f>IF(TC_Pool!$L$27="not in use","\I:","DMD")</f>
        <v>\I:</v>
      </c>
      <c r="C57" s="146" t="s">
        <v>322</v>
      </c>
      <c r="D57" s="145" t="s">
        <v>802</v>
      </c>
      <c r="E57" s="254" t="s">
        <v>747</v>
      </c>
      <c r="F57" s="254" t="s">
        <v>748</v>
      </c>
      <c r="G57" s="254"/>
      <c r="H57" s="254" t="s">
        <v>749</v>
      </c>
      <c r="I57" s="255" t="s">
        <v>750</v>
      </c>
    </row>
    <row r="58" spans="2:13" s="14" customFormat="1" ht="15" customHeight="1" x14ac:dyDescent="0.25">
      <c r="B58" s="254" t="str">
        <f>IF(TC_City!$L$29="not in use","\I:","DMD")</f>
        <v>\I:</v>
      </c>
      <c r="C58" s="146" t="s">
        <v>538</v>
      </c>
      <c r="D58" s="145" t="s">
        <v>803</v>
      </c>
      <c r="E58" s="254" t="s">
        <v>747</v>
      </c>
      <c r="F58" s="254" t="s">
        <v>748</v>
      </c>
      <c r="G58" s="254"/>
      <c r="H58" s="254" t="s">
        <v>749</v>
      </c>
      <c r="I58" s="255" t="s">
        <v>750</v>
      </c>
    </row>
    <row r="59" spans="2:13" s="14" customFormat="1" ht="15" customHeight="1" x14ac:dyDescent="0.25">
      <c r="B59" s="254" t="str">
        <f>IF(TF_Private!$L$43="not in use","\I:","DMD")</f>
        <v>DMD</v>
      </c>
      <c r="C59" s="146" t="s">
        <v>347</v>
      </c>
      <c r="D59" s="146" t="s">
        <v>804</v>
      </c>
      <c r="E59" s="254" t="s">
        <v>747</v>
      </c>
      <c r="F59" s="254" t="s">
        <v>748</v>
      </c>
      <c r="G59" s="254"/>
      <c r="H59" s="254" t="s">
        <v>749</v>
      </c>
      <c r="I59" s="255" t="s">
        <v>750</v>
      </c>
    </row>
    <row r="60" spans="2:13" s="14" customFormat="1" ht="15" customHeight="1" x14ac:dyDescent="0.25">
      <c r="B60" s="254" t="str">
        <f>IF(TF_City!$L$82="not in use","\I:","DMD")</f>
        <v>\I:</v>
      </c>
      <c r="C60" s="146" t="s">
        <v>127</v>
      </c>
      <c r="D60" s="146" t="s">
        <v>805</v>
      </c>
      <c r="E60" s="254" t="s">
        <v>747</v>
      </c>
      <c r="F60" s="254" t="s">
        <v>748</v>
      </c>
      <c r="G60" s="254"/>
      <c r="H60" s="254" t="s">
        <v>749</v>
      </c>
      <c r="I60" s="255" t="s">
        <v>750</v>
      </c>
    </row>
    <row r="61" spans="2:13" s="14" customFormat="1" ht="15" customHeight="1" x14ac:dyDescent="0.25">
      <c r="B61" s="254" t="str">
        <f>IF(TF_Private!$L$43="not in use","\I:","DMD")</f>
        <v>DMD</v>
      </c>
      <c r="C61" s="146" t="s">
        <v>348</v>
      </c>
      <c r="D61" s="146" t="s">
        <v>806</v>
      </c>
      <c r="E61" s="254" t="s">
        <v>747</v>
      </c>
      <c r="F61" s="254" t="s">
        <v>748</v>
      </c>
      <c r="G61" s="254"/>
      <c r="H61" s="254" t="s">
        <v>749</v>
      </c>
      <c r="I61" s="255" t="s">
        <v>750</v>
      </c>
    </row>
    <row r="62" spans="2:13" s="14" customFormat="1" ht="15" customHeight="1" x14ac:dyDescent="0.25">
      <c r="B62" s="254" t="str">
        <f>IF(TF_City!$L$82="not in use","\I:","DMD")</f>
        <v>\I:</v>
      </c>
      <c r="C62" s="146" t="s">
        <v>128</v>
      </c>
      <c r="D62" s="146" t="s">
        <v>807</v>
      </c>
      <c r="E62" s="254" t="s">
        <v>747</v>
      </c>
      <c r="F62" s="254" t="s">
        <v>748</v>
      </c>
      <c r="G62" s="254"/>
      <c r="H62" s="254" t="s">
        <v>749</v>
      </c>
      <c r="I62" s="255" t="s">
        <v>750</v>
      </c>
    </row>
    <row r="63" spans="2:13" s="14" customFormat="1" ht="15" customHeight="1" x14ac:dyDescent="0.25">
      <c r="B63" s="254" t="str">
        <f>IF(TF_Private!$L$43="not in use","\I:","DMD")</f>
        <v>DMD</v>
      </c>
      <c r="C63" s="146" t="s">
        <v>349</v>
      </c>
      <c r="D63" s="146" t="s">
        <v>808</v>
      </c>
      <c r="E63" s="254" t="s">
        <v>747</v>
      </c>
      <c r="F63" s="254" t="s">
        <v>748</v>
      </c>
      <c r="G63" s="254"/>
      <c r="H63" s="254" t="s">
        <v>749</v>
      </c>
      <c r="I63" s="255" t="s">
        <v>750</v>
      </c>
    </row>
    <row r="64" spans="2:13" s="14" customFormat="1" ht="15" customHeight="1" x14ac:dyDescent="0.25">
      <c r="B64" s="254" t="str">
        <f>IF(TF_City!$L$82="not in use","\I:","DMD")</f>
        <v>\I:</v>
      </c>
      <c r="C64" s="146" t="s">
        <v>129</v>
      </c>
      <c r="D64" s="146" t="s">
        <v>809</v>
      </c>
      <c r="E64" s="254" t="s">
        <v>747</v>
      </c>
      <c r="F64" s="254" t="s">
        <v>748</v>
      </c>
      <c r="G64" s="254"/>
      <c r="H64" s="254" t="s">
        <v>749</v>
      </c>
      <c r="I64" s="255" t="s">
        <v>750</v>
      </c>
    </row>
    <row r="65" spans="2:9" s="14" customFormat="1" ht="15" customHeight="1" x14ac:dyDescent="0.25">
      <c r="B65" s="254" t="str">
        <f>IF(TF_Private!$L$43="not in use","\I:","DMD")</f>
        <v>DMD</v>
      </c>
      <c r="C65" s="146" t="s">
        <v>350</v>
      </c>
      <c r="D65" s="146" t="s">
        <v>810</v>
      </c>
      <c r="E65" s="254" t="s">
        <v>747</v>
      </c>
      <c r="F65" s="254" t="s">
        <v>748</v>
      </c>
      <c r="G65" s="254"/>
      <c r="H65" s="254" t="s">
        <v>749</v>
      </c>
      <c r="I65" s="255" t="s">
        <v>750</v>
      </c>
    </row>
    <row r="66" spans="2:9" s="14" customFormat="1" ht="15" customHeight="1" x14ac:dyDescent="0.25">
      <c r="B66" s="254" t="str">
        <f>IF(TF_City!$L$82="not in use","\I:","DMD")</f>
        <v>\I:</v>
      </c>
      <c r="C66" s="146" t="s">
        <v>130</v>
      </c>
      <c r="D66" s="146" t="s">
        <v>811</v>
      </c>
      <c r="E66" s="254" t="s">
        <v>747</v>
      </c>
      <c r="F66" s="254" t="s">
        <v>748</v>
      </c>
      <c r="G66" s="254"/>
      <c r="H66" s="254" t="s">
        <v>749</v>
      </c>
      <c r="I66" s="255" t="s">
        <v>750</v>
      </c>
    </row>
    <row r="67" spans="2:9" s="14" customFormat="1" ht="15" customHeight="1" x14ac:dyDescent="0.25">
      <c r="B67" s="254" t="str">
        <f>IF(TF_Private!$L$43="not in use","\I:","DMD")</f>
        <v>DMD</v>
      </c>
      <c r="C67" s="146" t="s">
        <v>351</v>
      </c>
      <c r="D67" s="146" t="s">
        <v>812</v>
      </c>
      <c r="E67" s="254" t="s">
        <v>747</v>
      </c>
      <c r="F67" s="254" t="s">
        <v>748</v>
      </c>
      <c r="G67" s="254"/>
      <c r="H67" s="254" t="s">
        <v>749</v>
      </c>
      <c r="I67" s="255" t="s">
        <v>750</v>
      </c>
    </row>
    <row r="68" spans="2:9" s="14" customFormat="1" ht="15" customHeight="1" x14ac:dyDescent="0.25">
      <c r="B68" s="254" t="str">
        <f>IF(TF_City!$L$82="not in use","\I:","DMD")</f>
        <v>\I:</v>
      </c>
      <c r="C68" s="146" t="s">
        <v>131</v>
      </c>
      <c r="D68" s="146" t="s">
        <v>813</v>
      </c>
      <c r="E68" s="254" t="s">
        <v>747</v>
      </c>
      <c r="F68" s="254" t="s">
        <v>748</v>
      </c>
      <c r="G68" s="254"/>
      <c r="H68" s="254" t="s">
        <v>749</v>
      </c>
      <c r="I68" s="255" t="s">
        <v>750</v>
      </c>
    </row>
    <row r="69" spans="2:9" s="14" customFormat="1" ht="15" customHeight="1" x14ac:dyDescent="0.25">
      <c r="B69" s="254" t="str">
        <f>IF(TF_Private!$L$43="not in use","\I:","DMD")</f>
        <v>DMD</v>
      </c>
      <c r="C69" s="146" t="s">
        <v>352</v>
      </c>
      <c r="D69" s="146" t="s">
        <v>814</v>
      </c>
      <c r="E69" s="254" t="s">
        <v>747</v>
      </c>
      <c r="F69" s="254" t="s">
        <v>748</v>
      </c>
      <c r="G69" s="254"/>
      <c r="H69" s="254" t="s">
        <v>749</v>
      </c>
      <c r="I69" s="255" t="s">
        <v>750</v>
      </c>
    </row>
    <row r="70" spans="2:9" s="14" customFormat="1" ht="15" customHeight="1" x14ac:dyDescent="0.25">
      <c r="B70" s="254" t="str">
        <f>IF(TF_City!$L$82="not in use","\I:","DMD")</f>
        <v>\I:</v>
      </c>
      <c r="C70" s="146" t="s">
        <v>132</v>
      </c>
      <c r="D70" s="146" t="s">
        <v>815</v>
      </c>
      <c r="E70" s="254" t="s">
        <v>747</v>
      </c>
      <c r="F70" s="254" t="s">
        <v>748</v>
      </c>
      <c r="G70" s="254"/>
      <c r="H70" s="254" t="s">
        <v>749</v>
      </c>
      <c r="I70" s="255" t="s">
        <v>750</v>
      </c>
    </row>
    <row r="71" spans="2:9" s="14" customFormat="1" ht="15" customHeight="1" x14ac:dyDescent="0.25">
      <c r="B71" s="254" t="str">
        <f>IF(TF_Private!$L$43="not in use","\I:","DMD")</f>
        <v>DMD</v>
      </c>
      <c r="C71" s="146" t="s">
        <v>353</v>
      </c>
      <c r="D71" s="146" t="s">
        <v>816</v>
      </c>
      <c r="E71" s="254" t="s">
        <v>747</v>
      </c>
      <c r="F71" s="254" t="s">
        <v>748</v>
      </c>
      <c r="G71" s="254"/>
      <c r="H71" s="254" t="s">
        <v>749</v>
      </c>
      <c r="I71" s="255" t="s">
        <v>750</v>
      </c>
    </row>
    <row r="72" spans="2:9" s="14" customFormat="1" ht="15" customHeight="1" x14ac:dyDescent="0.25">
      <c r="B72" s="254" t="str">
        <f>IF(TF_City!$L$82="not in use","\I:","DMD")</f>
        <v>\I:</v>
      </c>
      <c r="C72" s="146" t="s">
        <v>133</v>
      </c>
      <c r="D72" s="146" t="s">
        <v>817</v>
      </c>
      <c r="E72" s="254" t="s">
        <v>747</v>
      </c>
      <c r="F72" s="254" t="s">
        <v>748</v>
      </c>
      <c r="G72" s="254"/>
      <c r="H72" s="254" t="s">
        <v>749</v>
      </c>
      <c r="I72" s="255" t="s">
        <v>750</v>
      </c>
    </row>
    <row r="73" spans="2:9" s="14" customFormat="1" ht="15" customHeight="1" x14ac:dyDescent="0.25">
      <c r="B73" s="254" t="str">
        <f>IF(TF_Private!$L$43="not in use","\I:","DMD")</f>
        <v>DMD</v>
      </c>
      <c r="C73" s="146" t="s">
        <v>354</v>
      </c>
      <c r="D73" s="146" t="s">
        <v>818</v>
      </c>
      <c r="E73" s="254" t="s">
        <v>747</v>
      </c>
      <c r="F73" s="254" t="s">
        <v>748</v>
      </c>
      <c r="G73" s="254"/>
      <c r="H73" s="254" t="s">
        <v>749</v>
      </c>
      <c r="I73" s="255" t="s">
        <v>750</v>
      </c>
    </row>
    <row r="74" spans="2:9" s="14" customFormat="1" ht="15" customHeight="1" x14ac:dyDescent="0.25">
      <c r="B74" s="254" t="str">
        <f>IF(TF_City!$L$82="not in use","\I:","DMD")</f>
        <v>\I:</v>
      </c>
      <c r="C74" s="146" t="s">
        <v>134</v>
      </c>
      <c r="D74" s="146" t="s">
        <v>819</v>
      </c>
      <c r="E74" s="254" t="s">
        <v>747</v>
      </c>
      <c r="F74" s="254" t="s">
        <v>748</v>
      </c>
      <c r="G74" s="254"/>
      <c r="H74" s="254" t="s">
        <v>749</v>
      </c>
      <c r="I74" s="255" t="s">
        <v>750</v>
      </c>
    </row>
    <row r="75" spans="2:9" s="14" customFormat="1" ht="15" customHeight="1" x14ac:dyDescent="0.25">
      <c r="B75" s="254" t="str">
        <f>IF(TF_Private!$L$43="not in use","\I:","DMD")</f>
        <v>DMD</v>
      </c>
      <c r="C75" s="146" t="s">
        <v>355</v>
      </c>
      <c r="D75" s="146" t="s">
        <v>820</v>
      </c>
      <c r="E75" s="254" t="s">
        <v>747</v>
      </c>
      <c r="F75" s="254" t="s">
        <v>748</v>
      </c>
      <c r="G75" s="254"/>
      <c r="H75" s="254" t="s">
        <v>749</v>
      </c>
      <c r="I75" s="255" t="s">
        <v>750</v>
      </c>
    </row>
    <row r="76" spans="2:9" s="14" customFormat="1" ht="15" customHeight="1" x14ac:dyDescent="0.25">
      <c r="B76" s="254" t="str">
        <f>IF(TF_City!$L$82="not in use","\I:","DMD")</f>
        <v>\I:</v>
      </c>
      <c r="C76" s="146" t="s">
        <v>135</v>
      </c>
      <c r="D76" s="146" t="s">
        <v>821</v>
      </c>
      <c r="E76" s="254" t="s">
        <v>747</v>
      </c>
      <c r="F76" s="254" t="s">
        <v>748</v>
      </c>
      <c r="G76" s="254"/>
      <c r="H76" s="254" t="s">
        <v>749</v>
      </c>
      <c r="I76" s="255" t="s">
        <v>750</v>
      </c>
    </row>
    <row r="77" spans="2:9" s="14" customFormat="1" ht="15" customHeight="1" x14ac:dyDescent="0.25">
      <c r="B77" s="254" t="str">
        <f>IF(TF_Private!$L$43="not in use","\I:","DMD")</f>
        <v>DMD</v>
      </c>
      <c r="C77" s="146" t="s">
        <v>356</v>
      </c>
      <c r="D77" s="146" t="s">
        <v>822</v>
      </c>
      <c r="E77" s="254" t="s">
        <v>747</v>
      </c>
      <c r="F77" s="254" t="s">
        <v>748</v>
      </c>
      <c r="G77" s="254"/>
      <c r="H77" s="254" t="s">
        <v>749</v>
      </c>
      <c r="I77" s="255" t="s">
        <v>750</v>
      </c>
    </row>
    <row r="78" spans="2:9" s="14" customFormat="1" ht="15" customHeight="1" x14ac:dyDescent="0.25">
      <c r="B78" s="254" t="str">
        <f>IF(TF_City!$L$82="not in use","\I:","DMD")</f>
        <v>\I:</v>
      </c>
      <c r="C78" s="146" t="s">
        <v>136</v>
      </c>
      <c r="D78" s="146" t="s">
        <v>823</v>
      </c>
      <c r="E78" s="254" t="s">
        <v>747</v>
      </c>
      <c r="F78" s="254" t="s">
        <v>748</v>
      </c>
      <c r="G78" s="254"/>
      <c r="H78" s="254" t="s">
        <v>749</v>
      </c>
      <c r="I78" s="255" t="s">
        <v>750</v>
      </c>
    </row>
    <row r="79" spans="2:9" s="14" customFormat="1" ht="15" customHeight="1" x14ac:dyDescent="0.25">
      <c r="B79" s="254" t="str">
        <f>IF(TF_Private!$L$43="not in use","\I:","DMD")</f>
        <v>DMD</v>
      </c>
      <c r="C79" s="146" t="s">
        <v>357</v>
      </c>
      <c r="D79" s="146" t="s">
        <v>824</v>
      </c>
      <c r="E79" s="254" t="s">
        <v>747</v>
      </c>
      <c r="F79" s="254" t="s">
        <v>748</v>
      </c>
      <c r="G79" s="254"/>
      <c r="H79" s="254" t="s">
        <v>749</v>
      </c>
      <c r="I79" s="255" t="s">
        <v>750</v>
      </c>
    </row>
    <row r="80" spans="2:9" s="14" customFormat="1" ht="15" customHeight="1" x14ac:dyDescent="0.25">
      <c r="B80" s="254" t="str">
        <f>IF(TF_City!$L$82="not in use","\I:","DMD")</f>
        <v>\I:</v>
      </c>
      <c r="C80" s="146" t="s">
        <v>137</v>
      </c>
      <c r="D80" s="146" t="s">
        <v>825</v>
      </c>
      <c r="E80" s="254" t="s">
        <v>747</v>
      </c>
      <c r="F80" s="254" t="s">
        <v>748</v>
      </c>
      <c r="G80" s="254"/>
      <c r="H80" s="254" t="s">
        <v>749</v>
      </c>
      <c r="I80" s="255" t="s">
        <v>750</v>
      </c>
    </row>
    <row r="81" spans="1:15" s="14" customFormat="1" ht="15" customHeight="1" x14ac:dyDescent="0.25">
      <c r="B81" s="254" t="str">
        <f>IF(TF_Private!$L$198="not in use","\I:","DMD")</f>
        <v>\I:</v>
      </c>
      <c r="C81" s="146" t="s">
        <v>358</v>
      </c>
      <c r="D81" s="146" t="s">
        <v>826</v>
      </c>
      <c r="E81" s="254" t="s">
        <v>747</v>
      </c>
      <c r="F81" s="254" t="s">
        <v>748</v>
      </c>
      <c r="G81" s="254"/>
      <c r="H81" s="254" t="s">
        <v>749</v>
      </c>
      <c r="I81" s="255" t="s">
        <v>750</v>
      </c>
    </row>
    <row r="82" spans="1:15" s="14" customFormat="1" ht="15" customHeight="1" x14ac:dyDescent="0.25">
      <c r="B82" s="254" t="str">
        <f>IF(TF_City!$L$231="not in use","\I:","DMD")</f>
        <v>\I:</v>
      </c>
      <c r="C82" s="146" t="s">
        <v>139</v>
      </c>
      <c r="D82" s="146" t="s">
        <v>827</v>
      </c>
      <c r="E82" s="254" t="s">
        <v>747</v>
      </c>
      <c r="F82" s="254" t="s">
        <v>748</v>
      </c>
      <c r="G82" s="254"/>
      <c r="H82" s="254" t="s">
        <v>749</v>
      </c>
      <c r="I82" s="255" t="s">
        <v>750</v>
      </c>
    </row>
    <row r="83" spans="1:15" s="14" customFormat="1" ht="15" customHeight="1" x14ac:dyDescent="0.25">
      <c r="B83" s="254" t="str">
        <f>IF(TF_Private!$L$198="not in use","\I:","DMD")</f>
        <v>\I:</v>
      </c>
      <c r="C83" s="146" t="s">
        <v>359</v>
      </c>
      <c r="D83" s="146" t="s">
        <v>828</v>
      </c>
      <c r="E83" s="254" t="s">
        <v>747</v>
      </c>
      <c r="F83" s="254" t="s">
        <v>748</v>
      </c>
      <c r="G83" s="254"/>
      <c r="H83" s="254" t="s">
        <v>749</v>
      </c>
      <c r="I83" s="255" t="s">
        <v>750</v>
      </c>
    </row>
    <row r="84" spans="1:15" s="14" customFormat="1" ht="15" customHeight="1" x14ac:dyDescent="0.25">
      <c r="B84" s="254" t="str">
        <f>IF(TF_City!$L$231="not in use","\I:","DMD")</f>
        <v>\I:</v>
      </c>
      <c r="C84" s="146" t="s">
        <v>140</v>
      </c>
      <c r="D84" s="146" t="s">
        <v>829</v>
      </c>
      <c r="E84" s="254" t="s">
        <v>747</v>
      </c>
      <c r="F84" s="254" t="s">
        <v>748</v>
      </c>
      <c r="G84" s="254"/>
      <c r="H84" s="254" t="s">
        <v>749</v>
      </c>
      <c r="I84" s="255" t="s">
        <v>750</v>
      </c>
    </row>
    <row r="85" spans="1:15" s="14" customFormat="1" ht="15" customHeight="1" x14ac:dyDescent="0.25">
      <c r="B85" s="254" t="str">
        <f>IF(TF_Private!$L$198="not in use","\I:","DMD")</f>
        <v>\I:</v>
      </c>
      <c r="C85" s="146" t="s">
        <v>360</v>
      </c>
      <c r="D85" s="146" t="s">
        <v>830</v>
      </c>
      <c r="E85" s="254" t="s">
        <v>747</v>
      </c>
      <c r="F85" s="254" t="s">
        <v>748</v>
      </c>
      <c r="G85" s="254"/>
      <c r="H85" s="254" t="s">
        <v>749</v>
      </c>
      <c r="I85" s="255" t="s">
        <v>750</v>
      </c>
    </row>
    <row r="86" spans="1:15" x14ac:dyDescent="0.25">
      <c r="A86" s="14"/>
      <c r="B86" s="254" t="str">
        <f>IF(TF_City!$L$231="not in use","\I:","DMD")</f>
        <v>\I:</v>
      </c>
      <c r="C86" s="146" t="s">
        <v>141</v>
      </c>
      <c r="D86" s="146" t="s">
        <v>831</v>
      </c>
      <c r="E86" s="254" t="s">
        <v>747</v>
      </c>
      <c r="F86" s="254" t="s">
        <v>748</v>
      </c>
      <c r="G86" s="254"/>
      <c r="H86" s="254" t="s">
        <v>749</v>
      </c>
      <c r="I86" s="255" t="s">
        <v>750</v>
      </c>
      <c r="J86" s="14"/>
      <c r="O86" s="14"/>
    </row>
    <row r="87" spans="1:15" s="14" customFormat="1" ht="15" customHeight="1" x14ac:dyDescent="0.25">
      <c r="B87" s="254" t="str">
        <f>IF(TF_Private!$L$198="not in use","\I:","DMD")</f>
        <v>\I:</v>
      </c>
      <c r="C87" s="146" t="s">
        <v>361</v>
      </c>
      <c r="D87" s="146" t="s">
        <v>832</v>
      </c>
      <c r="E87" s="254" t="s">
        <v>747</v>
      </c>
      <c r="F87" s="254" t="s">
        <v>748</v>
      </c>
      <c r="G87" s="254"/>
      <c r="H87" s="254" t="s">
        <v>749</v>
      </c>
      <c r="I87" s="255" t="s">
        <v>750</v>
      </c>
    </row>
    <row r="88" spans="1:15" s="14" customFormat="1" ht="15" customHeight="1" x14ac:dyDescent="0.25">
      <c r="B88" s="254" t="str">
        <f>IF(TF_City!$L$231="not in use","\I:","DMD")</f>
        <v>\I:</v>
      </c>
      <c r="C88" s="146" t="s">
        <v>142</v>
      </c>
      <c r="D88" s="146" t="s">
        <v>833</v>
      </c>
      <c r="E88" s="254" t="s">
        <v>747</v>
      </c>
      <c r="F88" s="254" t="s">
        <v>748</v>
      </c>
      <c r="G88" s="254"/>
      <c r="H88" s="254" t="s">
        <v>749</v>
      </c>
      <c r="I88" s="255" t="s">
        <v>750</v>
      </c>
    </row>
    <row r="89" spans="1:15" s="14" customFormat="1" ht="15" customHeight="1" x14ac:dyDescent="0.25">
      <c r="B89" s="254" t="str">
        <f>IF(TF_Private!$L$198="not in use","\I:","DMD")</f>
        <v>\I:</v>
      </c>
      <c r="C89" s="146" t="s">
        <v>362</v>
      </c>
      <c r="D89" s="146" t="s">
        <v>834</v>
      </c>
      <c r="E89" s="254" t="s">
        <v>747</v>
      </c>
      <c r="F89" s="254" t="s">
        <v>748</v>
      </c>
      <c r="G89" s="254"/>
      <c r="H89" s="254" t="s">
        <v>749</v>
      </c>
      <c r="I89" s="255" t="s">
        <v>750</v>
      </c>
    </row>
    <row r="90" spans="1:15" s="14" customFormat="1" ht="15" customHeight="1" x14ac:dyDescent="0.25">
      <c r="B90" s="254" t="str">
        <f>IF(TF_City!$L$231="not in use","\I:","DMD")</f>
        <v>\I:</v>
      </c>
      <c r="C90" s="146" t="s">
        <v>143</v>
      </c>
      <c r="D90" s="146" t="s">
        <v>835</v>
      </c>
      <c r="E90" s="254" t="s">
        <v>747</v>
      </c>
      <c r="F90" s="254" t="s">
        <v>748</v>
      </c>
      <c r="G90" s="254"/>
      <c r="H90" s="254" t="s">
        <v>749</v>
      </c>
      <c r="I90" s="255" t="s">
        <v>750</v>
      </c>
    </row>
    <row r="91" spans="1:15" s="14" customFormat="1" ht="15" customHeight="1" x14ac:dyDescent="0.25">
      <c r="B91" s="254" t="str">
        <f>IF(TF_Private!$L$198="not in use","\I:","DMD")</f>
        <v>\I:</v>
      </c>
      <c r="C91" s="146" t="s">
        <v>363</v>
      </c>
      <c r="D91" s="146" t="s">
        <v>836</v>
      </c>
      <c r="E91" s="254" t="s">
        <v>747</v>
      </c>
      <c r="F91" s="254" t="s">
        <v>748</v>
      </c>
      <c r="G91" s="254"/>
      <c r="H91" s="254" t="s">
        <v>749</v>
      </c>
      <c r="I91" s="255" t="s">
        <v>750</v>
      </c>
    </row>
    <row r="92" spans="1:15" s="14" customFormat="1" ht="15" customHeight="1" x14ac:dyDescent="0.25">
      <c r="B92" s="254" t="str">
        <f>IF(TF_City!$L$231="not in use","\I:","DMD")</f>
        <v>\I:</v>
      </c>
      <c r="C92" s="146" t="s">
        <v>144</v>
      </c>
      <c r="D92" s="146" t="s">
        <v>837</v>
      </c>
      <c r="E92" s="254" t="s">
        <v>747</v>
      </c>
      <c r="F92" s="254" t="s">
        <v>748</v>
      </c>
      <c r="G92" s="254"/>
      <c r="H92" s="254" t="s">
        <v>749</v>
      </c>
      <c r="I92" s="255" t="s">
        <v>750</v>
      </c>
    </row>
    <row r="93" spans="1:15" s="14" customFormat="1" ht="15" customHeight="1" x14ac:dyDescent="0.25">
      <c r="B93" s="254" t="str">
        <f>IF(TF_Private!$L$198="not in use","\I:","DMD")</f>
        <v>\I:</v>
      </c>
      <c r="C93" s="146" t="s">
        <v>364</v>
      </c>
      <c r="D93" s="146" t="s">
        <v>838</v>
      </c>
      <c r="E93" s="254" t="s">
        <v>747</v>
      </c>
      <c r="F93" s="254" t="s">
        <v>748</v>
      </c>
      <c r="G93" s="254"/>
      <c r="H93" s="254" t="s">
        <v>749</v>
      </c>
      <c r="I93" s="255" t="s">
        <v>750</v>
      </c>
    </row>
    <row r="94" spans="1:15" s="14" customFormat="1" ht="15" customHeight="1" x14ac:dyDescent="0.25">
      <c r="B94" s="254" t="str">
        <f>IF(TF_City!$L$231="not in use","\I:","DMD")</f>
        <v>\I:</v>
      </c>
      <c r="C94" s="146" t="s">
        <v>145</v>
      </c>
      <c r="D94" s="146" t="s">
        <v>839</v>
      </c>
      <c r="E94" s="254" t="s">
        <v>747</v>
      </c>
      <c r="F94" s="254" t="s">
        <v>748</v>
      </c>
      <c r="G94" s="254"/>
      <c r="H94" s="254" t="s">
        <v>749</v>
      </c>
      <c r="I94" s="255" t="s">
        <v>750</v>
      </c>
    </row>
    <row r="95" spans="1:15" s="14" customFormat="1" ht="15" customHeight="1" x14ac:dyDescent="0.25">
      <c r="B95" s="254" t="str">
        <f>IF(TF_Private!$L$198="not in use","\I:","DMD")</f>
        <v>\I:</v>
      </c>
      <c r="C95" s="146" t="s">
        <v>365</v>
      </c>
      <c r="D95" s="146" t="s">
        <v>840</v>
      </c>
      <c r="E95" s="254" t="s">
        <v>747</v>
      </c>
      <c r="F95" s="254" t="s">
        <v>748</v>
      </c>
      <c r="G95" s="254"/>
      <c r="H95" s="254" t="s">
        <v>749</v>
      </c>
      <c r="I95" s="255" t="s">
        <v>750</v>
      </c>
    </row>
    <row r="96" spans="1:15" x14ac:dyDescent="0.25">
      <c r="A96" s="14"/>
      <c r="B96" s="254" t="str">
        <f>IF(TF_City!$L$231="not in use","\I:","DMD")</f>
        <v>\I:</v>
      </c>
      <c r="C96" s="146" t="s">
        <v>146</v>
      </c>
      <c r="D96" s="146" t="s">
        <v>841</v>
      </c>
      <c r="E96" s="254" t="s">
        <v>747</v>
      </c>
      <c r="F96" s="254" t="s">
        <v>748</v>
      </c>
      <c r="G96" s="254"/>
      <c r="H96" s="254" t="s">
        <v>749</v>
      </c>
      <c r="I96" s="255" t="s">
        <v>750</v>
      </c>
      <c r="J96" s="14"/>
    </row>
    <row r="97" spans="1:10" x14ac:dyDescent="0.25">
      <c r="A97" s="14"/>
      <c r="B97" s="254" t="str">
        <f>IF(TF_Private!$L$198="not in use","\I:","DMD")</f>
        <v>\I:</v>
      </c>
      <c r="C97" s="146" t="s">
        <v>366</v>
      </c>
      <c r="D97" s="146" t="s">
        <v>842</v>
      </c>
      <c r="E97" s="254" t="s">
        <v>747</v>
      </c>
      <c r="F97" s="254" t="s">
        <v>748</v>
      </c>
      <c r="G97" s="254"/>
      <c r="H97" s="254" t="s">
        <v>749</v>
      </c>
      <c r="I97" s="255" t="s">
        <v>750</v>
      </c>
      <c r="J97" s="14"/>
    </row>
    <row r="98" spans="1:10" s="14" customFormat="1" ht="15" customHeight="1" x14ac:dyDescent="0.25">
      <c r="B98" s="254" t="str">
        <f>IF(TF_City!$L$231="not in use","\I:","DMD")</f>
        <v>\I:</v>
      </c>
      <c r="C98" s="146" t="s">
        <v>147</v>
      </c>
      <c r="D98" s="146" t="s">
        <v>843</v>
      </c>
      <c r="E98" s="254" t="s">
        <v>747</v>
      </c>
      <c r="F98" s="254" t="s">
        <v>748</v>
      </c>
      <c r="G98" s="254"/>
      <c r="H98" s="254" t="s">
        <v>749</v>
      </c>
      <c r="I98" s="255" t="s">
        <v>750</v>
      </c>
    </row>
    <row r="99" spans="1:10" s="14" customFormat="1" ht="15" customHeight="1" x14ac:dyDescent="0.25">
      <c r="B99" s="254" t="str">
        <f>IF(TF_Private!$L$198="not in use","\I:","DMD")</f>
        <v>\I:</v>
      </c>
      <c r="C99" s="146" t="s">
        <v>367</v>
      </c>
      <c r="D99" s="146" t="s">
        <v>844</v>
      </c>
      <c r="E99" s="254" t="s">
        <v>747</v>
      </c>
      <c r="F99" s="254" t="s">
        <v>748</v>
      </c>
      <c r="G99" s="254"/>
      <c r="H99" s="254" t="s">
        <v>749</v>
      </c>
      <c r="I99" s="255" t="s">
        <v>750</v>
      </c>
    </row>
    <row r="100" spans="1:10" s="14" customFormat="1" ht="15" customHeight="1" x14ac:dyDescent="0.25">
      <c r="B100" s="254" t="str">
        <f>IF(TF_City!$L$231="not in use","\I:","DMD")</f>
        <v>\I:</v>
      </c>
      <c r="C100" s="146" t="s">
        <v>148</v>
      </c>
      <c r="D100" s="146" t="s">
        <v>845</v>
      </c>
      <c r="E100" s="254" t="s">
        <v>747</v>
      </c>
      <c r="F100" s="254" t="s">
        <v>748</v>
      </c>
      <c r="G100" s="254"/>
      <c r="H100" s="254" t="s">
        <v>749</v>
      </c>
      <c r="I100" s="255" t="s">
        <v>750</v>
      </c>
    </row>
    <row r="101" spans="1:10" s="14" customFormat="1" ht="15" customHeight="1" x14ac:dyDescent="0.25">
      <c r="B101" s="254" t="str">
        <f>IF(TF_Private!$L$198="not in use","\I:","DMD")</f>
        <v>\I:</v>
      </c>
      <c r="C101" s="146" t="s">
        <v>368</v>
      </c>
      <c r="D101" s="146" t="s">
        <v>846</v>
      </c>
      <c r="E101" s="254" t="s">
        <v>747</v>
      </c>
      <c r="F101" s="254" t="s">
        <v>748</v>
      </c>
      <c r="G101" s="254"/>
      <c r="H101" s="254" t="s">
        <v>749</v>
      </c>
      <c r="I101" s="255" t="s">
        <v>750</v>
      </c>
    </row>
    <row r="102" spans="1:10" s="14" customFormat="1" x14ac:dyDescent="0.25">
      <c r="B102" s="256" t="str">
        <f>IF(TF_City!$L$231="not in use","\I:","DMD")</f>
        <v>\I:</v>
      </c>
      <c r="C102" s="827" t="s">
        <v>149</v>
      </c>
      <c r="D102" s="827" t="s">
        <v>847</v>
      </c>
      <c r="E102" s="256" t="s">
        <v>747</v>
      </c>
      <c r="F102" s="256" t="s">
        <v>748</v>
      </c>
      <c r="G102" s="256"/>
      <c r="H102" s="256" t="s">
        <v>749</v>
      </c>
      <c r="I102" s="257" t="s">
        <v>750</v>
      </c>
    </row>
    <row r="103" spans="1:10" s="14" customFormat="1" ht="15" customHeight="1" x14ac:dyDescent="0.25">
      <c r="B103" s="254" t="str">
        <f>IF(TF_Private!$L$347="not in use","\I:","DMD")</f>
        <v>DMD</v>
      </c>
      <c r="C103" s="146" t="s">
        <v>369</v>
      </c>
      <c r="D103" s="146" t="s">
        <v>848</v>
      </c>
      <c r="E103" s="254" t="s">
        <v>747</v>
      </c>
      <c r="F103" s="254" t="s">
        <v>748</v>
      </c>
      <c r="G103" s="254"/>
      <c r="H103" s="254" t="s">
        <v>749</v>
      </c>
      <c r="I103" s="255" t="s">
        <v>750</v>
      </c>
    </row>
    <row r="104" spans="1:10" s="14" customFormat="1" ht="15" customHeight="1" x14ac:dyDescent="0.25">
      <c r="B104" s="254" t="str">
        <f>IF(TF_City!$L$378="not in use","\I:","DMD")</f>
        <v>\I:</v>
      </c>
      <c r="C104" s="146" t="s">
        <v>151</v>
      </c>
      <c r="D104" s="146" t="s">
        <v>849</v>
      </c>
      <c r="E104" s="254" t="s">
        <v>747</v>
      </c>
      <c r="F104" s="254" t="s">
        <v>748</v>
      </c>
      <c r="G104" s="254"/>
      <c r="H104" s="254" t="s">
        <v>749</v>
      </c>
      <c r="I104" s="255" t="s">
        <v>750</v>
      </c>
    </row>
    <row r="105" spans="1:10" s="14" customFormat="1" ht="15" customHeight="1" x14ac:dyDescent="0.25">
      <c r="B105" s="254" t="str">
        <f>IF(TF_Private!$L$347="not in use","\I:","DMD")</f>
        <v>DMD</v>
      </c>
      <c r="C105" s="146" t="s">
        <v>370</v>
      </c>
      <c r="D105" s="146" t="s">
        <v>850</v>
      </c>
      <c r="E105" s="254" t="s">
        <v>747</v>
      </c>
      <c r="F105" s="254" t="s">
        <v>748</v>
      </c>
      <c r="G105" s="254"/>
      <c r="H105" s="254" t="s">
        <v>749</v>
      </c>
      <c r="I105" s="255" t="s">
        <v>750</v>
      </c>
    </row>
    <row r="106" spans="1:10" s="14" customFormat="1" ht="15" customHeight="1" x14ac:dyDescent="0.25">
      <c r="B106" s="254" t="str">
        <f>IF(TF_City!$L$378="not in use","\I:","DMD")</f>
        <v>\I:</v>
      </c>
      <c r="C106" s="146" t="s">
        <v>152</v>
      </c>
      <c r="D106" s="146" t="s">
        <v>851</v>
      </c>
      <c r="E106" s="254" t="s">
        <v>747</v>
      </c>
      <c r="F106" s="254" t="s">
        <v>748</v>
      </c>
      <c r="G106" s="254"/>
      <c r="H106" s="254" t="s">
        <v>749</v>
      </c>
      <c r="I106" s="255" t="s">
        <v>750</v>
      </c>
    </row>
    <row r="107" spans="1:10" s="14" customFormat="1" ht="15" customHeight="1" x14ac:dyDescent="0.25">
      <c r="B107" s="254" t="str">
        <f>IF(TF_Private!$L$347="not in use","\I:","DMD")</f>
        <v>DMD</v>
      </c>
      <c r="C107" s="146" t="s">
        <v>371</v>
      </c>
      <c r="D107" s="146" t="s">
        <v>852</v>
      </c>
      <c r="E107" s="254" t="s">
        <v>747</v>
      </c>
      <c r="F107" s="254" t="s">
        <v>748</v>
      </c>
      <c r="G107" s="254"/>
      <c r="H107" s="254" t="s">
        <v>749</v>
      </c>
      <c r="I107" s="255" t="s">
        <v>750</v>
      </c>
    </row>
    <row r="108" spans="1:10" x14ac:dyDescent="0.25">
      <c r="A108" s="14"/>
      <c r="B108" s="254" t="str">
        <f>IF(TF_City!$L$378="not in use","\I:","DMD")</f>
        <v>\I:</v>
      </c>
      <c r="C108" s="146" t="s">
        <v>153</v>
      </c>
      <c r="D108" s="146" t="s">
        <v>853</v>
      </c>
      <c r="E108" s="254" t="s">
        <v>747</v>
      </c>
      <c r="F108" s="254" t="s">
        <v>748</v>
      </c>
      <c r="G108" s="254"/>
      <c r="H108" s="254" t="s">
        <v>749</v>
      </c>
      <c r="I108" s="255" t="s">
        <v>750</v>
      </c>
      <c r="J108" s="14"/>
    </row>
    <row r="109" spans="1:10" s="14" customFormat="1" ht="15" customHeight="1" x14ac:dyDescent="0.25">
      <c r="B109" s="254" t="str">
        <f>IF(TF_Private!$L$347="not in use","\I:","DMD")</f>
        <v>DMD</v>
      </c>
      <c r="C109" s="146" t="s">
        <v>372</v>
      </c>
      <c r="D109" s="146" t="s">
        <v>854</v>
      </c>
      <c r="E109" s="254" t="s">
        <v>747</v>
      </c>
      <c r="F109" s="254" t="s">
        <v>748</v>
      </c>
      <c r="G109" s="254"/>
      <c r="H109" s="254" t="s">
        <v>749</v>
      </c>
      <c r="I109" s="255" t="s">
        <v>750</v>
      </c>
    </row>
    <row r="110" spans="1:10" s="14" customFormat="1" ht="15" customHeight="1" x14ac:dyDescent="0.25">
      <c r="B110" s="254" t="str">
        <f>IF(TF_City!$L$378="not in use","\I:","DMD")</f>
        <v>\I:</v>
      </c>
      <c r="C110" s="146" t="s">
        <v>154</v>
      </c>
      <c r="D110" s="146" t="s">
        <v>855</v>
      </c>
      <c r="E110" s="254" t="s">
        <v>747</v>
      </c>
      <c r="F110" s="254" t="s">
        <v>748</v>
      </c>
      <c r="G110" s="254"/>
      <c r="H110" s="254" t="s">
        <v>749</v>
      </c>
      <c r="I110" s="255" t="s">
        <v>750</v>
      </c>
    </row>
    <row r="111" spans="1:10" s="14" customFormat="1" ht="15" customHeight="1" x14ac:dyDescent="0.25">
      <c r="B111" s="254" t="str">
        <f>IF(TF_Private!$L$347="not in use","\I:","DMD")</f>
        <v>DMD</v>
      </c>
      <c r="C111" s="146" t="s">
        <v>373</v>
      </c>
      <c r="D111" s="146" t="s">
        <v>856</v>
      </c>
      <c r="E111" s="254" t="s">
        <v>747</v>
      </c>
      <c r="F111" s="254" t="s">
        <v>748</v>
      </c>
      <c r="G111" s="254"/>
      <c r="H111" s="254" t="s">
        <v>749</v>
      </c>
      <c r="I111" s="255" t="s">
        <v>750</v>
      </c>
    </row>
    <row r="112" spans="1:10" s="14" customFormat="1" ht="15" customHeight="1" x14ac:dyDescent="0.25">
      <c r="B112" s="254" t="str">
        <f>IF(TF_City!$L$378="not in use","\I:","DMD")</f>
        <v>\I:</v>
      </c>
      <c r="C112" s="146" t="s">
        <v>155</v>
      </c>
      <c r="D112" s="146" t="s">
        <v>857</v>
      </c>
      <c r="E112" s="254" t="s">
        <v>747</v>
      </c>
      <c r="F112" s="254" t="s">
        <v>748</v>
      </c>
      <c r="G112" s="254"/>
      <c r="H112" s="254" t="s">
        <v>749</v>
      </c>
      <c r="I112" s="255" t="s">
        <v>750</v>
      </c>
    </row>
    <row r="113" spans="1:10" s="14" customFormat="1" ht="15" customHeight="1" x14ac:dyDescent="0.25">
      <c r="B113" s="254" t="str">
        <f>IF(TF_Private!$L$347="not in use","\I:","DMD")</f>
        <v>DMD</v>
      </c>
      <c r="C113" s="146" t="s">
        <v>374</v>
      </c>
      <c r="D113" s="146" t="s">
        <v>858</v>
      </c>
      <c r="E113" s="254" t="s">
        <v>747</v>
      </c>
      <c r="F113" s="254" t="s">
        <v>748</v>
      </c>
      <c r="G113" s="254"/>
      <c r="H113" s="254" t="s">
        <v>749</v>
      </c>
      <c r="I113" s="255" t="s">
        <v>750</v>
      </c>
    </row>
    <row r="114" spans="1:10" s="14" customFormat="1" ht="15" customHeight="1" x14ac:dyDescent="0.25">
      <c r="B114" s="254" t="str">
        <f>IF(TF_City!$L$378="not in use","\I:","DMD")</f>
        <v>\I:</v>
      </c>
      <c r="C114" s="146" t="s">
        <v>156</v>
      </c>
      <c r="D114" s="146" t="s">
        <v>859</v>
      </c>
      <c r="E114" s="254" t="s">
        <v>747</v>
      </c>
      <c r="F114" s="254" t="s">
        <v>748</v>
      </c>
      <c r="G114" s="254"/>
      <c r="H114" s="254" t="s">
        <v>749</v>
      </c>
      <c r="I114" s="255" t="s">
        <v>750</v>
      </c>
    </row>
    <row r="115" spans="1:10" s="14" customFormat="1" ht="15" customHeight="1" x14ac:dyDescent="0.25">
      <c r="B115" s="254" t="str">
        <f>IF(TF_Private!$L$347="not in use","\I:","DMD")</f>
        <v>DMD</v>
      </c>
      <c r="C115" s="146" t="s">
        <v>375</v>
      </c>
      <c r="D115" s="146" t="s">
        <v>860</v>
      </c>
      <c r="E115" s="254" t="s">
        <v>747</v>
      </c>
      <c r="F115" s="254" t="s">
        <v>748</v>
      </c>
      <c r="G115" s="254"/>
      <c r="H115" s="254" t="s">
        <v>749</v>
      </c>
      <c r="I115" s="255" t="s">
        <v>750</v>
      </c>
    </row>
    <row r="116" spans="1:10" s="14" customFormat="1" ht="15" customHeight="1" x14ac:dyDescent="0.25">
      <c r="B116" s="254" t="str">
        <f>IF(TF_City!$L$378="not in use","\I:","DMD")</f>
        <v>\I:</v>
      </c>
      <c r="C116" s="146" t="s">
        <v>157</v>
      </c>
      <c r="D116" s="146" t="s">
        <v>861</v>
      </c>
      <c r="E116" s="254" t="s">
        <v>747</v>
      </c>
      <c r="F116" s="254" t="s">
        <v>748</v>
      </c>
      <c r="G116" s="254"/>
      <c r="H116" s="254" t="s">
        <v>749</v>
      </c>
      <c r="I116" s="255" t="s">
        <v>750</v>
      </c>
    </row>
    <row r="117" spans="1:10" s="14" customFormat="1" ht="15" customHeight="1" x14ac:dyDescent="0.25">
      <c r="B117" s="254" t="str">
        <f>IF(TF_Private!$L$347="not in use","\I:","DMD")</f>
        <v>DMD</v>
      </c>
      <c r="C117" s="146" t="s">
        <v>376</v>
      </c>
      <c r="D117" s="146" t="s">
        <v>862</v>
      </c>
      <c r="E117" s="254" t="s">
        <v>747</v>
      </c>
      <c r="F117" s="254" t="s">
        <v>748</v>
      </c>
      <c r="G117" s="254"/>
      <c r="H117" s="254" t="s">
        <v>749</v>
      </c>
      <c r="I117" s="255" t="s">
        <v>750</v>
      </c>
    </row>
    <row r="118" spans="1:10" x14ac:dyDescent="0.25">
      <c r="A118" s="14"/>
      <c r="B118" s="254" t="str">
        <f>IF(TF_City!$L$378="not in use","\I:","DMD")</f>
        <v>\I:</v>
      </c>
      <c r="C118" s="146" t="s">
        <v>158</v>
      </c>
      <c r="D118" s="146" t="s">
        <v>863</v>
      </c>
      <c r="E118" s="254" t="s">
        <v>747</v>
      </c>
      <c r="F118" s="254" t="s">
        <v>748</v>
      </c>
      <c r="G118" s="254"/>
      <c r="H118" s="254" t="s">
        <v>749</v>
      </c>
      <c r="I118" s="255" t="s">
        <v>750</v>
      </c>
      <c r="J118" s="14"/>
    </row>
    <row r="119" spans="1:10" x14ac:dyDescent="0.25">
      <c r="A119" s="14"/>
      <c r="B119" s="254" t="str">
        <f>IF(TF_Private!$L$347="not in use","\I:","DMD")</f>
        <v>DMD</v>
      </c>
      <c r="C119" s="146" t="s">
        <v>377</v>
      </c>
      <c r="D119" s="146" t="s">
        <v>864</v>
      </c>
      <c r="E119" s="254" t="s">
        <v>747</v>
      </c>
      <c r="F119" s="254" t="s">
        <v>748</v>
      </c>
      <c r="G119" s="254"/>
      <c r="H119" s="254" t="s">
        <v>749</v>
      </c>
      <c r="I119" s="255" t="s">
        <v>750</v>
      </c>
      <c r="J119" s="14"/>
    </row>
    <row r="120" spans="1:10" s="14" customFormat="1" ht="15" customHeight="1" x14ac:dyDescent="0.25">
      <c r="B120" s="254" t="str">
        <f>IF(TF_City!$L$378="not in use","\I:","DMD")</f>
        <v>\I:</v>
      </c>
      <c r="C120" s="146" t="s">
        <v>159</v>
      </c>
      <c r="D120" s="146" t="s">
        <v>865</v>
      </c>
      <c r="E120" s="254" t="s">
        <v>747</v>
      </c>
      <c r="F120" s="254" t="s">
        <v>748</v>
      </c>
      <c r="G120" s="254"/>
      <c r="H120" s="254" t="s">
        <v>749</v>
      </c>
      <c r="I120" s="255" t="s">
        <v>750</v>
      </c>
    </row>
    <row r="121" spans="1:10" s="14" customFormat="1" ht="15" customHeight="1" x14ac:dyDescent="0.25">
      <c r="B121" s="254" t="str">
        <f>IF(TF_Private!$L$347="not in use","\I:","DMD")</f>
        <v>DMD</v>
      </c>
      <c r="C121" s="146" t="s">
        <v>378</v>
      </c>
      <c r="D121" s="146" t="s">
        <v>866</v>
      </c>
      <c r="E121" s="254" t="s">
        <v>747</v>
      </c>
      <c r="F121" s="254" t="s">
        <v>748</v>
      </c>
      <c r="G121" s="254"/>
      <c r="H121" s="254" t="s">
        <v>749</v>
      </c>
      <c r="I121" s="255" t="s">
        <v>750</v>
      </c>
    </row>
    <row r="122" spans="1:10" s="14" customFormat="1" ht="15" customHeight="1" x14ac:dyDescent="0.25">
      <c r="B122" s="254" t="str">
        <f>IF(TF_City!$L$378="not in use","\I:","DMD")</f>
        <v>\I:</v>
      </c>
      <c r="C122" s="146" t="s">
        <v>160</v>
      </c>
      <c r="D122" s="146" t="s">
        <v>867</v>
      </c>
      <c r="E122" s="254" t="s">
        <v>747</v>
      </c>
      <c r="F122" s="254" t="s">
        <v>748</v>
      </c>
      <c r="G122" s="254"/>
      <c r="H122" s="254" t="s">
        <v>749</v>
      </c>
      <c r="I122" s="255" t="s">
        <v>750</v>
      </c>
    </row>
    <row r="123" spans="1:10" s="14" customFormat="1" ht="15" customHeight="1" x14ac:dyDescent="0.25">
      <c r="B123" s="254" t="str">
        <f>IF(TF_Private!$L$347="not in use","\I:","DMD")</f>
        <v>DMD</v>
      </c>
      <c r="C123" s="146" t="s">
        <v>379</v>
      </c>
      <c r="D123" s="146" t="s">
        <v>868</v>
      </c>
      <c r="E123" s="254" t="s">
        <v>747</v>
      </c>
      <c r="F123" s="254" t="s">
        <v>748</v>
      </c>
      <c r="G123" s="254"/>
      <c r="H123" s="254" t="s">
        <v>749</v>
      </c>
      <c r="I123" s="255" t="s">
        <v>750</v>
      </c>
    </row>
    <row r="124" spans="1:10" s="14" customFormat="1" x14ac:dyDescent="0.25">
      <c r="B124" s="254" t="str">
        <f>IF(TF_City!$L$378="not in use","\I:","DMD")</f>
        <v>\I:</v>
      </c>
      <c r="C124" s="146" t="s">
        <v>161</v>
      </c>
      <c r="D124" s="146" t="s">
        <v>869</v>
      </c>
      <c r="E124" s="254" t="s">
        <v>747</v>
      </c>
      <c r="F124" s="254" t="s">
        <v>748</v>
      </c>
      <c r="G124" s="254"/>
      <c r="H124" s="254" t="s">
        <v>749</v>
      </c>
      <c r="I124" s="255" t="s">
        <v>750</v>
      </c>
    </row>
    <row r="125" spans="1:10" s="14" customFormat="1" ht="15" customHeight="1" x14ac:dyDescent="0.25">
      <c r="B125" s="254" t="str">
        <f>IF(TF_Private!$L$499="not in use","\I:","DMD")</f>
        <v>\I:</v>
      </c>
      <c r="C125" s="146" t="s">
        <v>557</v>
      </c>
      <c r="D125" s="146" t="s">
        <v>870</v>
      </c>
      <c r="E125" s="254" t="s">
        <v>747</v>
      </c>
      <c r="F125" s="254" t="s">
        <v>748</v>
      </c>
      <c r="G125" s="254"/>
      <c r="H125" s="254" t="s">
        <v>749</v>
      </c>
      <c r="I125" s="255" t="s">
        <v>750</v>
      </c>
    </row>
    <row r="126" spans="1:10" s="14" customFormat="1" ht="15" customHeight="1" x14ac:dyDescent="0.25">
      <c r="B126" s="254" t="str">
        <f>IF(TF_City!$L$39="not in use","\I:","DMD")</f>
        <v>\I:</v>
      </c>
      <c r="C126" s="146" t="s">
        <v>559</v>
      </c>
      <c r="D126" s="146" t="s">
        <v>871</v>
      </c>
      <c r="E126" s="254" t="s">
        <v>747</v>
      </c>
      <c r="F126" s="254" t="s">
        <v>748</v>
      </c>
      <c r="G126" s="254"/>
      <c r="H126" s="254" t="s">
        <v>749</v>
      </c>
      <c r="I126" s="255" t="s">
        <v>750</v>
      </c>
    </row>
    <row r="127" spans="1:10" s="14" customFormat="1" ht="15" customHeight="1" x14ac:dyDescent="0.25">
      <c r="B127" s="254" t="str">
        <f>IF(TYW!$K$27="not in use","\I:","DMD")</f>
        <v>\I:</v>
      </c>
      <c r="C127" s="145" t="s">
        <v>553</v>
      </c>
      <c r="D127" s="145" t="s">
        <v>872</v>
      </c>
      <c r="E127" s="254" t="s">
        <v>747</v>
      </c>
      <c r="F127" s="254" t="s">
        <v>748</v>
      </c>
      <c r="G127" s="254"/>
      <c r="H127" s="254" t="s">
        <v>749</v>
      </c>
      <c r="I127" s="255" t="s">
        <v>750</v>
      </c>
    </row>
    <row r="128" spans="1:10" s="14" customFormat="1" ht="15" customHeight="1" x14ac:dyDescent="0.25">
      <c r="B128" s="254" t="str">
        <f>IF(TYW!$K$80="not in use","\I:","DMD")</f>
        <v>\I:</v>
      </c>
      <c r="C128" s="145" t="s">
        <v>555</v>
      </c>
      <c r="D128" s="145" t="s">
        <v>873</v>
      </c>
      <c r="E128" s="254" t="s">
        <v>747</v>
      </c>
      <c r="F128" s="254" t="s">
        <v>748</v>
      </c>
      <c r="G128" s="254"/>
      <c r="H128" s="254" t="s">
        <v>749</v>
      </c>
      <c r="I128" s="255" t="s">
        <v>750</v>
      </c>
    </row>
    <row r="129" spans="1:10" s="14" customFormat="1" ht="15" customHeight="1" x14ac:dyDescent="0.25">
      <c r="B129" s="254" t="str">
        <f>IF(TMO!$L$28="not in use","\I:","DMD")</f>
        <v>\I:</v>
      </c>
      <c r="C129" s="147" t="s">
        <v>323</v>
      </c>
      <c r="D129" s="147" t="s">
        <v>874</v>
      </c>
      <c r="E129" s="254" t="s">
        <v>747</v>
      </c>
      <c r="F129" s="254" t="s">
        <v>748</v>
      </c>
      <c r="G129" s="254"/>
      <c r="H129" s="254" t="s">
        <v>749</v>
      </c>
      <c r="I129" s="255" t="s">
        <v>750</v>
      </c>
    </row>
    <row r="130" spans="1:10" s="14" customFormat="1" ht="15" customHeight="1" x14ac:dyDescent="0.25">
      <c r="A130"/>
      <c r="B130" s="254" t="str">
        <f>IF(TMO!$L$59="not in use","\I:","DMD")</f>
        <v>\I:</v>
      </c>
      <c r="C130" s="147" t="s">
        <v>542</v>
      </c>
      <c r="D130" s="147" t="s">
        <v>875</v>
      </c>
      <c r="E130" s="254" t="s">
        <v>747</v>
      </c>
      <c r="F130" s="254" t="s">
        <v>748</v>
      </c>
      <c r="G130" s="254"/>
      <c r="H130" s="254" t="s">
        <v>749</v>
      </c>
      <c r="I130" s="255" t="s">
        <v>750</v>
      </c>
      <c r="J130"/>
    </row>
    <row r="131" spans="1:10" s="14" customFormat="1" ht="15" customHeight="1" x14ac:dyDescent="0.25">
      <c r="B131" s="254" t="str">
        <f>IF(TMO!$L$28="not in use","\I:","DMD")</f>
        <v>\I:</v>
      </c>
      <c r="C131" s="147" t="s">
        <v>324</v>
      </c>
      <c r="D131" s="147" t="s">
        <v>876</v>
      </c>
      <c r="E131" s="254" t="s">
        <v>747</v>
      </c>
      <c r="F131" s="254" t="s">
        <v>748</v>
      </c>
      <c r="G131" s="254"/>
      <c r="H131" s="254" t="s">
        <v>749</v>
      </c>
      <c r="I131" s="255" t="s">
        <v>750</v>
      </c>
    </row>
    <row r="132" spans="1:10" s="14" customFormat="1" ht="15" customHeight="1" x14ac:dyDescent="0.25">
      <c r="B132" s="254" t="str">
        <f>IF(TMO!$L$59="not in use","\I:","DMD")</f>
        <v>\I:</v>
      </c>
      <c r="C132" s="147" t="s">
        <v>543</v>
      </c>
      <c r="D132" s="147" t="s">
        <v>877</v>
      </c>
      <c r="E132" s="254" t="s">
        <v>747</v>
      </c>
      <c r="F132" s="254" t="s">
        <v>748</v>
      </c>
      <c r="G132" s="254"/>
      <c r="H132" s="254" t="s">
        <v>749</v>
      </c>
      <c r="I132" s="255" t="s">
        <v>750</v>
      </c>
    </row>
    <row r="133" spans="1:10" s="14" customFormat="1" ht="15" customHeight="1" x14ac:dyDescent="0.25">
      <c r="B133" s="254" t="str">
        <f>IF(TNA!K25="not in use","\I:","DMD")</f>
        <v>\I:</v>
      </c>
      <c r="C133" s="145" t="s">
        <v>572</v>
      </c>
      <c r="D133" s="145" t="s">
        <v>878</v>
      </c>
      <c r="E133" s="254" t="s">
        <v>747</v>
      </c>
      <c r="F133" s="254" t="s">
        <v>748</v>
      </c>
      <c r="G133" s="254"/>
      <c r="H133" s="254" t="s">
        <v>749</v>
      </c>
      <c r="I133" s="255" t="s">
        <v>750</v>
      </c>
    </row>
    <row r="134" spans="1:10" s="14" customFormat="1" ht="15" customHeight="1" x14ac:dyDescent="0.25">
      <c r="B134" s="254" t="str">
        <f>IF(TNA!K47="not in use","\I:","DMD")</f>
        <v>\I:</v>
      </c>
      <c r="C134" s="145" t="s">
        <v>575</v>
      </c>
      <c r="D134" s="145" t="s">
        <v>879</v>
      </c>
      <c r="E134" s="254" t="s">
        <v>747</v>
      </c>
      <c r="F134" s="254" t="s">
        <v>748</v>
      </c>
      <c r="G134" s="254"/>
      <c r="H134" s="254" t="s">
        <v>749</v>
      </c>
      <c r="I134" s="255" t="s">
        <v>750</v>
      </c>
    </row>
    <row r="135" spans="1:10" s="14" customFormat="1" ht="15" customHeight="1" x14ac:dyDescent="0.25">
      <c r="B135" s="254" t="str">
        <f>IF(TNA!K68="not in use","\I:","DMD")</f>
        <v>\I:</v>
      </c>
      <c r="C135" s="145" t="s">
        <v>186</v>
      </c>
      <c r="D135" s="145" t="s">
        <v>880</v>
      </c>
      <c r="E135" s="254" t="s">
        <v>747</v>
      </c>
      <c r="F135" s="254" t="s">
        <v>748</v>
      </c>
      <c r="G135" s="254"/>
      <c r="H135" s="254" t="s">
        <v>749</v>
      </c>
      <c r="I135" s="255" t="s">
        <v>750</v>
      </c>
    </row>
    <row r="136" spans="1:10" s="14" customFormat="1" ht="15" customHeight="1" x14ac:dyDescent="0.25">
      <c r="B136" s="254" t="str">
        <f>IF(TNO!K16="not in use","\I:","DMD")</f>
        <v>\I:</v>
      </c>
      <c r="C136" s="144" t="s">
        <v>689</v>
      </c>
      <c r="D136" s="144" t="s">
        <v>881</v>
      </c>
      <c r="E136" s="254" t="s">
        <v>85</v>
      </c>
      <c r="F136" s="254" t="s">
        <v>882</v>
      </c>
      <c r="G136" s="254"/>
      <c r="H136" s="254"/>
      <c r="I136" s="255" t="s">
        <v>750</v>
      </c>
    </row>
    <row r="137" spans="1:10" s="14" customFormat="1" ht="15" customHeight="1" x14ac:dyDescent="0.25">
      <c r="B137" s="254" t="str">
        <f>IF(TNO!K25="not in use","\I:","DMD")</f>
        <v>\I:</v>
      </c>
      <c r="C137" s="147" t="s">
        <v>690</v>
      </c>
      <c r="D137" s="147" t="s">
        <v>883</v>
      </c>
      <c r="E137" s="254" t="s">
        <v>85</v>
      </c>
      <c r="F137" s="254" t="s">
        <v>882</v>
      </c>
      <c r="G137" s="254"/>
      <c r="H137" s="254"/>
      <c r="I137" s="255" t="s">
        <v>750</v>
      </c>
    </row>
    <row r="138" spans="1:10" s="14" customFormat="1" ht="15" customHeight="1" x14ac:dyDescent="0.25">
      <c r="B138" s="254" t="str">
        <f>IF(TOV!K18="not in use","\I:","DMD")</f>
        <v>\I:</v>
      </c>
      <c r="C138" s="147" t="s">
        <v>389</v>
      </c>
      <c r="D138" s="147" t="s">
        <v>884</v>
      </c>
      <c r="E138" s="254" t="s">
        <v>85</v>
      </c>
      <c r="F138" s="254" t="s">
        <v>882</v>
      </c>
      <c r="G138" s="254"/>
      <c r="H138" s="254"/>
      <c r="I138" s="255" t="s">
        <v>750</v>
      </c>
    </row>
    <row r="139" spans="1:10" s="14" customFormat="1" ht="15" customHeight="1" x14ac:dyDescent="0.25">
      <c r="B139" s="254" t="str">
        <f>IF(TOV!K29="not in use","\I:","DMD")</f>
        <v>\I:</v>
      </c>
      <c r="C139" s="147" t="s">
        <v>885</v>
      </c>
      <c r="D139" s="147" t="s">
        <v>886</v>
      </c>
      <c r="E139" s="254" t="s">
        <v>85</v>
      </c>
      <c r="F139" s="254" t="s">
        <v>882</v>
      </c>
      <c r="G139" s="254"/>
      <c r="H139" s="254"/>
      <c r="I139" s="255" t="s">
        <v>750</v>
      </c>
    </row>
    <row r="140" spans="1:10" s="14" customFormat="1" ht="15" customHeight="1" x14ac:dyDescent="0.25">
      <c r="A140"/>
      <c r="B140" s="254" t="str">
        <f>IF(TT!$K$80="not in use","\I:","DMD")</f>
        <v>\I:</v>
      </c>
      <c r="C140" s="147" t="s">
        <v>216</v>
      </c>
      <c r="D140" s="147" t="s">
        <v>887</v>
      </c>
      <c r="E140" s="254" t="s">
        <v>747</v>
      </c>
      <c r="F140" s="254" t="s">
        <v>748</v>
      </c>
      <c r="G140" s="254"/>
      <c r="H140" s="254" t="s">
        <v>749</v>
      </c>
      <c r="I140" s="255" t="s">
        <v>750</v>
      </c>
      <c r="J140"/>
    </row>
    <row r="141" spans="1:10" s="14" customFormat="1" ht="15" customHeight="1" x14ac:dyDescent="0.25">
      <c r="A141"/>
      <c r="B141" s="254" t="str">
        <f>IF(TT!$K$80="not in use","\I:","DMD")</f>
        <v>\I:</v>
      </c>
      <c r="C141" s="147" t="s">
        <v>217</v>
      </c>
      <c r="D141" s="147" t="s">
        <v>888</v>
      </c>
      <c r="E141" s="254" t="s">
        <v>747</v>
      </c>
      <c r="F141" s="254" t="s">
        <v>748</v>
      </c>
      <c r="G141" s="254"/>
      <c r="H141" s="254" t="s">
        <v>749</v>
      </c>
      <c r="I141" s="255" t="s">
        <v>750</v>
      </c>
      <c r="J141"/>
    </row>
    <row r="142" spans="1:10" x14ac:dyDescent="0.25">
      <c r="A142" s="14"/>
      <c r="B142" s="254" t="str">
        <f>IF(TT!$K$112="not in use","\I:","DMD")</f>
        <v>\I:</v>
      </c>
      <c r="C142" s="147" t="s">
        <v>218</v>
      </c>
      <c r="D142" s="147" t="s">
        <v>889</v>
      </c>
      <c r="E142" s="254" t="s">
        <v>747</v>
      </c>
      <c r="F142" s="254" t="s">
        <v>748</v>
      </c>
      <c r="G142" s="254"/>
      <c r="H142" s="254" t="s">
        <v>749</v>
      </c>
      <c r="I142" s="255" t="s">
        <v>750</v>
      </c>
      <c r="J142" s="14"/>
    </row>
    <row r="143" spans="1:10" x14ac:dyDescent="0.25">
      <c r="A143" s="14"/>
      <c r="B143" s="254" t="str">
        <f>IF(TT!$K$112="not in use","\I:","DMD")</f>
        <v>\I:</v>
      </c>
      <c r="C143" s="147" t="s">
        <v>219</v>
      </c>
      <c r="D143" s="147" t="s">
        <v>890</v>
      </c>
      <c r="E143" s="254" t="s">
        <v>747</v>
      </c>
      <c r="F143" s="254" t="s">
        <v>748</v>
      </c>
      <c r="G143" s="254"/>
      <c r="H143" s="254" t="s">
        <v>749</v>
      </c>
      <c r="I143" s="255" t="s">
        <v>750</v>
      </c>
      <c r="J143" s="14"/>
    </row>
    <row r="144" spans="1:10" x14ac:dyDescent="0.25">
      <c r="A144" s="14"/>
      <c r="B144" s="254" t="str">
        <f>IF(TT!$K$36="not in use","\I:","DMD")</f>
        <v>\I:</v>
      </c>
      <c r="C144" s="147" t="s">
        <v>221</v>
      </c>
      <c r="D144" s="147" t="s">
        <v>891</v>
      </c>
      <c r="E144" s="254" t="s">
        <v>747</v>
      </c>
      <c r="F144" s="254" t="s">
        <v>748</v>
      </c>
      <c r="G144" s="254"/>
      <c r="H144" s="254" t="s">
        <v>749</v>
      </c>
      <c r="I144" s="255" t="s">
        <v>750</v>
      </c>
      <c r="J144" s="14"/>
    </row>
    <row r="145" spans="1:10" x14ac:dyDescent="0.25">
      <c r="A145" s="14"/>
      <c r="B145" s="254" t="str">
        <f>IF(TT!$K$36="not in use","\I:","DMD")</f>
        <v>\I:</v>
      </c>
      <c r="C145" s="147" t="s">
        <v>223</v>
      </c>
      <c r="D145" s="147" t="s">
        <v>892</v>
      </c>
      <c r="E145" s="254" t="s">
        <v>747</v>
      </c>
      <c r="F145" s="254" t="s">
        <v>748</v>
      </c>
      <c r="G145" s="254"/>
      <c r="H145" s="254" t="s">
        <v>749</v>
      </c>
      <c r="I145" s="255" t="s">
        <v>750</v>
      </c>
      <c r="J145" s="14"/>
    </row>
    <row r="146" spans="1:10" x14ac:dyDescent="0.25">
      <c r="A146" s="14"/>
      <c r="B146" s="254" t="str">
        <f>IF(TT!$K$36="not in use","\I:","DMD")</f>
        <v>\I:</v>
      </c>
      <c r="C146" s="147" t="s">
        <v>224</v>
      </c>
      <c r="D146" s="147" t="s">
        <v>893</v>
      </c>
      <c r="E146" s="254" t="s">
        <v>747</v>
      </c>
      <c r="F146" s="254" t="s">
        <v>748</v>
      </c>
      <c r="G146" s="254"/>
      <c r="H146" s="254" t="s">
        <v>749</v>
      </c>
      <c r="I146" s="255" t="s">
        <v>750</v>
      </c>
      <c r="J146" s="14"/>
    </row>
    <row r="147" spans="1:10" x14ac:dyDescent="0.25">
      <c r="B147" s="254" t="str">
        <f>IF(TYW!$K$27="not in use","\I:","DMD")</f>
        <v>\I:</v>
      </c>
      <c r="C147" s="145" t="s">
        <v>382</v>
      </c>
      <c r="D147" s="145" t="s">
        <v>894</v>
      </c>
      <c r="E147" s="254" t="s">
        <v>747</v>
      </c>
      <c r="F147" s="254" t="s">
        <v>748</v>
      </c>
      <c r="G147" s="254"/>
      <c r="H147" s="254" t="s">
        <v>749</v>
      </c>
      <c r="I147" s="255" t="s">
        <v>750</v>
      </c>
    </row>
    <row r="148" spans="1:10" x14ac:dyDescent="0.25">
      <c r="B148" s="254" t="str">
        <f>IF(TYW!$K$80="not in use","\I:","DMD")</f>
        <v>\I:</v>
      </c>
      <c r="C148" s="145" t="s">
        <v>171</v>
      </c>
      <c r="D148" s="145" t="s">
        <v>895</v>
      </c>
      <c r="E148" s="254" t="s">
        <v>747</v>
      </c>
      <c r="F148" s="254" t="s">
        <v>748</v>
      </c>
      <c r="G148" s="254"/>
      <c r="H148" s="254" t="s">
        <v>749</v>
      </c>
      <c r="I148" s="255" t="s">
        <v>750</v>
      </c>
    </row>
    <row r="149" spans="1:10" x14ac:dyDescent="0.25">
      <c r="A149" s="14"/>
      <c r="B149" s="254" t="str">
        <f>IF(TF_Private!$L$499="not in use","\I:","DMD")</f>
        <v>\I:</v>
      </c>
      <c r="C149" s="145" t="s">
        <v>565</v>
      </c>
      <c r="D149" s="145" t="s">
        <v>896</v>
      </c>
      <c r="E149" s="254" t="s">
        <v>747</v>
      </c>
      <c r="F149" s="254" t="s">
        <v>748</v>
      </c>
      <c r="G149" s="254"/>
      <c r="H149" s="254" t="s">
        <v>749</v>
      </c>
      <c r="I149" s="255" t="s">
        <v>750</v>
      </c>
      <c r="J149" s="14"/>
    </row>
    <row r="150" spans="1:10" x14ac:dyDescent="0.25">
      <c r="A150" s="14"/>
      <c r="B150" s="254" t="str">
        <f>IF(TF_City!$L$39="not in use","\I:","DMD")</f>
        <v>\I:</v>
      </c>
      <c r="C150" s="145" t="s">
        <v>166</v>
      </c>
      <c r="D150" s="145" t="s">
        <v>897</v>
      </c>
      <c r="E150" s="254" t="s">
        <v>747</v>
      </c>
      <c r="F150" s="254" t="s">
        <v>748</v>
      </c>
      <c r="G150" s="254"/>
      <c r="H150" s="254" t="s">
        <v>749</v>
      </c>
      <c r="I150" s="255" t="s">
        <v>750</v>
      </c>
      <c r="J150" s="14"/>
    </row>
    <row r="151" spans="1:10" x14ac:dyDescent="0.25">
      <c r="A151" s="14"/>
      <c r="B151" s="254" t="str">
        <f>IF(TYW!$K$27="not in use","\I:","DMD")</f>
        <v>\I:</v>
      </c>
      <c r="C151" s="145" t="s">
        <v>380</v>
      </c>
      <c r="D151" s="145" t="s">
        <v>898</v>
      </c>
      <c r="E151" s="254" t="s">
        <v>747</v>
      </c>
      <c r="F151" s="254" t="s">
        <v>748</v>
      </c>
      <c r="G151" s="254"/>
      <c r="H151" s="254" t="s">
        <v>749</v>
      </c>
      <c r="I151" s="255" t="s">
        <v>750</v>
      </c>
      <c r="J151" s="14"/>
    </row>
    <row r="152" spans="1:10" x14ac:dyDescent="0.25">
      <c r="A152" s="14"/>
      <c r="B152" s="254" t="str">
        <f>IF(TYW!$K$80="not in use","\I:","DMD")</f>
        <v>\I:</v>
      </c>
      <c r="C152" s="145" t="s">
        <v>562</v>
      </c>
      <c r="D152" s="145" t="s">
        <v>899</v>
      </c>
      <c r="E152" s="254" t="s">
        <v>747</v>
      </c>
      <c r="F152" s="254" t="s">
        <v>748</v>
      </c>
      <c r="G152" s="254"/>
      <c r="H152" s="254" t="s">
        <v>749</v>
      </c>
      <c r="I152" s="255" t="s">
        <v>750</v>
      </c>
      <c r="J152" s="14"/>
    </row>
    <row r="153" spans="1:10" x14ac:dyDescent="0.25">
      <c r="A153" s="14"/>
      <c r="B153" s="254" t="str">
        <f>IF(TF_Private!$L$499="not in use","\I:","DMD")</f>
        <v>\I:</v>
      </c>
      <c r="C153" s="145" t="s">
        <v>566</v>
      </c>
      <c r="D153" s="145" t="s">
        <v>900</v>
      </c>
      <c r="E153" s="254" t="s">
        <v>747</v>
      </c>
      <c r="F153" s="254" t="s">
        <v>748</v>
      </c>
      <c r="G153" s="254"/>
      <c r="H153" s="254" t="s">
        <v>749</v>
      </c>
      <c r="I153" s="255" t="s">
        <v>750</v>
      </c>
      <c r="J153" s="14"/>
    </row>
    <row r="154" spans="1:10" x14ac:dyDescent="0.25">
      <c r="A154" s="14"/>
      <c r="B154" s="254" t="str">
        <f>IF(TF_City!$L$39="not in use","\I:","DMD")</f>
        <v>\I:</v>
      </c>
      <c r="C154" s="145" t="s">
        <v>167</v>
      </c>
      <c r="D154" s="145" t="s">
        <v>901</v>
      </c>
      <c r="E154" s="254" t="s">
        <v>747</v>
      </c>
      <c r="F154" s="254" t="s">
        <v>748</v>
      </c>
      <c r="G154" s="254"/>
      <c r="H154" s="254" t="s">
        <v>749</v>
      </c>
      <c r="I154" s="255" t="s">
        <v>750</v>
      </c>
      <c r="J154" s="14"/>
    </row>
    <row r="155" spans="1:10" x14ac:dyDescent="0.25">
      <c r="A155" s="14"/>
      <c r="B155" s="254" t="str">
        <f>IF(TYW!$K$27="not in use","\I:","DMD")</f>
        <v>\I:</v>
      </c>
      <c r="C155" s="145" t="s">
        <v>381</v>
      </c>
      <c r="D155" s="145" t="s">
        <v>902</v>
      </c>
      <c r="E155" s="254" t="s">
        <v>747</v>
      </c>
      <c r="F155" s="254" t="s">
        <v>748</v>
      </c>
      <c r="G155" s="254"/>
      <c r="H155" s="254" t="s">
        <v>749</v>
      </c>
      <c r="I155" s="255" t="s">
        <v>750</v>
      </c>
      <c r="J155" s="14"/>
    </row>
    <row r="156" spans="1:10" x14ac:dyDescent="0.25">
      <c r="A156" s="14"/>
      <c r="B156" s="256" t="str">
        <f>IF(TYW!$K$80="not in use","\I:","DMD")</f>
        <v>\I:</v>
      </c>
      <c r="C156" s="754" t="s">
        <v>563</v>
      </c>
      <c r="D156" s="754" t="s">
        <v>903</v>
      </c>
      <c r="E156" s="256" t="s">
        <v>747</v>
      </c>
      <c r="F156" s="256" t="s">
        <v>748</v>
      </c>
      <c r="G156" s="256"/>
      <c r="H156" s="256" t="s">
        <v>749</v>
      </c>
      <c r="I156" s="257" t="s">
        <v>750</v>
      </c>
      <c r="J156" s="14"/>
    </row>
    <row r="157" spans="1:10" x14ac:dyDescent="0.25">
      <c r="A157" s="14"/>
      <c r="B157" s="254" t="s">
        <v>904</v>
      </c>
      <c r="C157" s="145" t="s">
        <v>905</v>
      </c>
      <c r="D157" s="145" t="s">
        <v>906</v>
      </c>
      <c r="E157" s="254" t="s">
        <v>85</v>
      </c>
      <c r="F157" s="254" t="s">
        <v>882</v>
      </c>
      <c r="G157" s="254"/>
      <c r="H157" s="254"/>
      <c r="I157" s="254" t="s">
        <v>750</v>
      </c>
      <c r="J157" s="14"/>
    </row>
    <row r="158" spans="1:10" x14ac:dyDescent="0.25">
      <c r="A158" s="14"/>
      <c r="B158" s="254" t="s">
        <v>904</v>
      </c>
      <c r="C158" s="145" t="s">
        <v>907</v>
      </c>
      <c r="D158" s="145" t="str">
        <f>REPLACE(D157,1,19,"Fuel Tech New")</f>
        <v>Fuel Tech New - Biodiesel (TRA)</v>
      </c>
      <c r="E158" s="254" t="s">
        <v>85</v>
      </c>
      <c r="F158" s="254" t="s">
        <v>882</v>
      </c>
      <c r="G158" s="254"/>
      <c r="H158" s="254"/>
      <c r="I158" s="254" t="s">
        <v>750</v>
      </c>
      <c r="J158" s="14"/>
    </row>
    <row r="159" spans="1:10" x14ac:dyDescent="0.25">
      <c r="A159" s="14"/>
      <c r="B159" s="254" t="s">
        <v>904</v>
      </c>
      <c r="C159" s="145" t="s">
        <v>908</v>
      </c>
      <c r="D159" s="145" t="s">
        <v>909</v>
      </c>
      <c r="E159" s="254" t="s">
        <v>85</v>
      </c>
      <c r="F159" s="254" t="s">
        <v>882</v>
      </c>
      <c r="G159" s="254"/>
      <c r="H159" s="254"/>
      <c r="I159" s="254" t="s">
        <v>750</v>
      </c>
      <c r="J159" s="14"/>
    </row>
    <row r="160" spans="1:10" x14ac:dyDescent="0.25">
      <c r="A160" s="14"/>
      <c r="B160" s="254" t="s">
        <v>904</v>
      </c>
      <c r="C160" s="145" t="s">
        <v>910</v>
      </c>
      <c r="D160" s="145" t="str">
        <f>REPLACE(D159,1,19,"Fuel Tech New")</f>
        <v>Fuel Tech New - Biodiesel for low-blending (TRA)</v>
      </c>
      <c r="E160" s="254" t="s">
        <v>85</v>
      </c>
      <c r="F160" s="254" t="s">
        <v>882</v>
      </c>
      <c r="G160" s="254"/>
      <c r="H160" s="254"/>
      <c r="I160" s="254" t="s">
        <v>750</v>
      </c>
      <c r="J160" s="14"/>
    </row>
    <row r="161" spans="1:10" x14ac:dyDescent="0.25">
      <c r="A161" s="14"/>
      <c r="B161" s="254" t="s">
        <v>904</v>
      </c>
      <c r="C161" s="145" t="s">
        <v>911</v>
      </c>
      <c r="D161" s="145" t="s">
        <v>912</v>
      </c>
      <c r="E161" s="254" t="s">
        <v>85</v>
      </c>
      <c r="F161" s="254" t="s">
        <v>882</v>
      </c>
      <c r="G161" s="254"/>
      <c r="H161" s="254"/>
      <c r="I161" s="254" t="s">
        <v>750</v>
      </c>
      <c r="J161" s="14"/>
    </row>
    <row r="162" spans="1:10" x14ac:dyDescent="0.25">
      <c r="A162" s="14"/>
      <c r="B162" s="254" t="s">
        <v>904</v>
      </c>
      <c r="C162" s="145" t="s">
        <v>913</v>
      </c>
      <c r="D162" s="145" t="s">
        <v>912</v>
      </c>
      <c r="E162" s="254" t="s">
        <v>85</v>
      </c>
      <c r="F162" s="254" t="s">
        <v>882</v>
      </c>
      <c r="G162" s="254"/>
      <c r="H162" s="254"/>
      <c r="I162" s="254" t="s">
        <v>750</v>
      </c>
      <c r="J162" s="14"/>
    </row>
    <row r="163" spans="1:10" x14ac:dyDescent="0.25">
      <c r="A163" s="14"/>
      <c r="B163" s="254" t="s">
        <v>904</v>
      </c>
      <c r="C163" s="145" t="s">
        <v>914</v>
      </c>
      <c r="D163" s="145" t="s">
        <v>915</v>
      </c>
      <c r="E163" s="254" t="s">
        <v>85</v>
      </c>
      <c r="F163" s="254" t="s">
        <v>882</v>
      </c>
      <c r="G163" s="254"/>
      <c r="H163" s="254"/>
      <c r="I163" s="254" t="s">
        <v>750</v>
      </c>
      <c r="J163" s="14"/>
    </row>
    <row r="164" spans="1:10" x14ac:dyDescent="0.25">
      <c r="A164" s="14"/>
      <c r="B164" s="254" t="s">
        <v>904</v>
      </c>
      <c r="C164" s="145" t="s">
        <v>916</v>
      </c>
      <c r="D164" s="145" t="s">
        <v>917</v>
      </c>
      <c r="E164" s="254" t="s">
        <v>85</v>
      </c>
      <c r="F164" s="254" t="s">
        <v>882</v>
      </c>
      <c r="G164" s="254"/>
      <c r="H164" s="254"/>
      <c r="I164" s="254" t="s">
        <v>750</v>
      </c>
      <c r="J164" s="14"/>
    </row>
    <row r="165" spans="1:10" x14ac:dyDescent="0.25">
      <c r="A165" s="14"/>
      <c r="B165" s="254" t="s">
        <v>904</v>
      </c>
      <c r="C165" s="145" t="s">
        <v>918</v>
      </c>
      <c r="D165" s="145" t="str">
        <f>REPLACE(D164,1,19,"Fuel Tech New")</f>
        <v>Fuel Tech New - Biogasoline for low-blending (TRA)</v>
      </c>
      <c r="E165" s="254" t="s">
        <v>85</v>
      </c>
      <c r="F165" s="254" t="s">
        <v>882</v>
      </c>
      <c r="G165" s="254"/>
      <c r="H165" s="254"/>
      <c r="I165" s="254" t="s">
        <v>750</v>
      </c>
      <c r="J165" s="14"/>
    </row>
    <row r="166" spans="1:10" x14ac:dyDescent="0.25">
      <c r="A166" s="14"/>
      <c r="B166" s="254" t="s">
        <v>904</v>
      </c>
      <c r="C166" s="145" t="s">
        <v>919</v>
      </c>
      <c r="D166" s="145" t="str">
        <f t="shared" ref="D166" si="0">REPLACE(D165,1,19,"Fuel Tech New")</f>
        <v>Fuel Tech Newgasoline for low-blending (TRA)</v>
      </c>
      <c r="E166" s="254" t="s">
        <v>85</v>
      </c>
      <c r="F166" s="254" t="s">
        <v>882</v>
      </c>
      <c r="G166" s="254"/>
      <c r="H166" s="254"/>
      <c r="I166" s="254" t="s">
        <v>750</v>
      </c>
      <c r="J166" s="14"/>
    </row>
    <row r="167" spans="1:10" x14ac:dyDescent="0.25">
      <c r="A167" s="14"/>
      <c r="B167" s="254" t="s">
        <v>904</v>
      </c>
      <c r="C167" s="145" t="s">
        <v>920</v>
      </c>
      <c r="D167" s="145" t="s">
        <v>921</v>
      </c>
      <c r="E167" s="254" t="s">
        <v>85</v>
      </c>
      <c r="F167" s="254" t="s">
        <v>882</v>
      </c>
      <c r="G167" s="254"/>
      <c r="H167" s="254"/>
      <c r="I167" s="254" t="s">
        <v>750</v>
      </c>
      <c r="J167" s="14"/>
    </row>
    <row r="168" spans="1:10" x14ac:dyDescent="0.25">
      <c r="A168" s="14"/>
      <c r="B168" s="254" t="s">
        <v>904</v>
      </c>
      <c r="C168" s="145" t="s">
        <v>922</v>
      </c>
      <c r="D168" s="145" t="str">
        <f>REPLACE(D167,1,19,"Fuel Tech New")</f>
        <v>Fuel Tech New - Bio Jet Fuel (TRA)</v>
      </c>
      <c r="E168" s="254" t="s">
        <v>85</v>
      </c>
      <c r="F168" s="254" t="s">
        <v>882</v>
      </c>
      <c r="G168" s="254"/>
      <c r="H168" s="254"/>
      <c r="I168" s="254" t="s">
        <v>750</v>
      </c>
      <c r="J168" s="14"/>
    </row>
    <row r="169" spans="1:10" x14ac:dyDescent="0.25">
      <c r="A169" s="14"/>
      <c r="B169" s="254" t="s">
        <v>904</v>
      </c>
      <c r="C169" s="145" t="s">
        <v>923</v>
      </c>
      <c r="D169" s="145" t="s">
        <v>924</v>
      </c>
      <c r="E169" s="254" t="s">
        <v>85</v>
      </c>
      <c r="F169" s="254" t="s">
        <v>882</v>
      </c>
      <c r="G169" s="254"/>
      <c r="H169" s="254"/>
      <c r="I169" s="254" t="s">
        <v>750</v>
      </c>
      <c r="J169" s="14"/>
    </row>
    <row r="170" spans="1:10" x14ac:dyDescent="0.25">
      <c r="A170" s="14"/>
      <c r="B170" s="254" t="s">
        <v>904</v>
      </c>
      <c r="C170" s="145" t="s">
        <v>925</v>
      </c>
      <c r="D170" s="145" t="str">
        <f>REPLACE(D169,1,19,"Fuel Tech New")</f>
        <v>Fuel Tech New - Dimethyl Ether (TRA)</v>
      </c>
      <c r="E170" s="254" t="s">
        <v>85</v>
      </c>
      <c r="F170" s="254" t="s">
        <v>882</v>
      </c>
      <c r="G170" s="254"/>
      <c r="H170" s="254"/>
      <c r="I170" s="254" t="s">
        <v>750</v>
      </c>
      <c r="J170" s="14"/>
    </row>
    <row r="171" spans="1:10" x14ac:dyDescent="0.25">
      <c r="A171" s="14"/>
      <c r="B171" s="254" t="s">
        <v>904</v>
      </c>
      <c r="C171" s="145" t="s">
        <v>926</v>
      </c>
      <c r="D171" s="145" t="s">
        <v>927</v>
      </c>
      <c r="E171" s="254" t="s">
        <v>85</v>
      </c>
      <c r="F171" s="254" t="s">
        <v>882</v>
      </c>
      <c r="G171" s="254"/>
      <c r="H171" s="254"/>
      <c r="I171" s="254" t="s">
        <v>750</v>
      </c>
      <c r="J171" s="14"/>
    </row>
    <row r="172" spans="1:10" x14ac:dyDescent="0.25">
      <c r="A172" s="14"/>
      <c r="B172" s="254" t="s">
        <v>904</v>
      </c>
      <c r="C172" s="145" t="s">
        <v>928</v>
      </c>
      <c r="D172" s="145" t="str">
        <f>REPLACE(D171,1,19,"Fuel Tech New")</f>
        <v>Fuel Tech New - Diesel for rail transportation (TRA)</v>
      </c>
      <c r="E172" s="254" t="s">
        <v>85</v>
      </c>
      <c r="F172" s="254" t="s">
        <v>882</v>
      </c>
      <c r="G172" s="254"/>
      <c r="H172" s="254"/>
      <c r="I172" s="254" t="s">
        <v>750</v>
      </c>
      <c r="J172" s="14"/>
    </row>
    <row r="173" spans="1:10" x14ac:dyDescent="0.25">
      <c r="A173" s="14"/>
      <c r="B173" s="254" t="s">
        <v>904</v>
      </c>
      <c r="C173" s="145" t="s">
        <v>929</v>
      </c>
      <c r="D173" s="145" t="s">
        <v>930</v>
      </c>
      <c r="E173" s="254" t="s">
        <v>85</v>
      </c>
      <c r="F173" s="254" t="s">
        <v>882</v>
      </c>
      <c r="G173" s="254"/>
      <c r="H173" s="254"/>
      <c r="I173" s="254" t="s">
        <v>750</v>
      </c>
      <c r="J173" s="14"/>
    </row>
    <row r="174" spans="1:10" x14ac:dyDescent="0.25">
      <c r="A174" s="14"/>
      <c r="B174" s="254" t="s">
        <v>904</v>
      </c>
      <c r="C174" s="145" t="s">
        <v>931</v>
      </c>
      <c r="D174" s="145" t="str">
        <f>REPLACE(D173,1,19,"Fuel Tech New")</f>
        <v>Fuel Tech New - Diesel (TRA)</v>
      </c>
      <c r="E174" s="254" t="s">
        <v>85</v>
      </c>
      <c r="F174" s="254" t="s">
        <v>882</v>
      </c>
      <c r="G174" s="254"/>
      <c r="H174" s="254"/>
      <c r="I174" s="254" t="s">
        <v>750</v>
      </c>
      <c r="J174" s="14"/>
    </row>
    <row r="175" spans="1:10" x14ac:dyDescent="0.25">
      <c r="A175" s="14"/>
      <c r="B175" s="254" t="s">
        <v>904</v>
      </c>
      <c r="C175" s="145" t="s">
        <v>932</v>
      </c>
      <c r="D175" s="145" t="s">
        <v>933</v>
      </c>
      <c r="E175" s="254" t="s">
        <v>85</v>
      </c>
      <c r="F175" s="254" t="s">
        <v>882</v>
      </c>
      <c r="G175" s="254"/>
      <c r="H175" s="254"/>
      <c r="I175" s="254" t="s">
        <v>750</v>
      </c>
      <c r="J175" s="14"/>
    </row>
    <row r="176" spans="1:10" x14ac:dyDescent="0.25">
      <c r="A176" s="14"/>
      <c r="B176" s="254" t="s">
        <v>904</v>
      </c>
      <c r="C176" s="145" t="s">
        <v>934</v>
      </c>
      <c r="D176" s="145" t="str">
        <f>REPLACE(D175,1,19,"Fuel Tech New")</f>
        <v>Fuel Tech New - Electricity (TRA)</v>
      </c>
      <c r="E176" s="254" t="s">
        <v>85</v>
      </c>
      <c r="F176" s="254" t="s">
        <v>882</v>
      </c>
      <c r="G176" s="254"/>
      <c r="H176" s="254"/>
      <c r="I176" s="254" t="s">
        <v>750</v>
      </c>
      <c r="J176" s="14"/>
    </row>
    <row r="177" spans="1:10" x14ac:dyDescent="0.25">
      <c r="A177" s="14"/>
      <c r="B177" s="254" t="s">
        <v>904</v>
      </c>
      <c r="C177" s="145" t="s">
        <v>935</v>
      </c>
      <c r="D177" s="145" t="s">
        <v>936</v>
      </c>
      <c r="E177" s="254" t="s">
        <v>85</v>
      </c>
      <c r="F177" s="254" t="s">
        <v>882</v>
      </c>
      <c r="G177" s="254"/>
      <c r="H177" s="254"/>
      <c r="I177" s="254" t="s">
        <v>750</v>
      </c>
      <c r="J177" s="14"/>
    </row>
    <row r="178" spans="1:10" x14ac:dyDescent="0.25">
      <c r="A178" s="14"/>
      <c r="B178" s="254" t="s">
        <v>904</v>
      </c>
      <c r="C178" s="145" t="s">
        <v>937</v>
      </c>
      <c r="D178" s="145" t="str">
        <f>REPLACE(D177,1,19,"Fuel Tech New")</f>
        <v>Fuel Tech New - Electricity for rail transportation (TRA)</v>
      </c>
      <c r="E178" s="254" t="s">
        <v>85</v>
      </c>
      <c r="F178" s="254" t="s">
        <v>882</v>
      </c>
      <c r="G178" s="254"/>
      <c r="H178" s="254"/>
      <c r="I178" s="254" t="s">
        <v>750</v>
      </c>
      <c r="J178" s="14"/>
    </row>
    <row r="179" spans="1:10" x14ac:dyDescent="0.25">
      <c r="A179" s="14"/>
      <c r="B179" s="254" t="s">
        <v>904</v>
      </c>
      <c r="C179" s="145" t="s">
        <v>938</v>
      </c>
      <c r="D179" s="145" t="s">
        <v>939</v>
      </c>
      <c r="E179" s="254" t="s">
        <v>85</v>
      </c>
      <c r="F179" s="254" t="s">
        <v>882</v>
      </c>
      <c r="G179" s="254"/>
      <c r="H179" s="254"/>
      <c r="I179" s="254" t="s">
        <v>750</v>
      </c>
      <c r="J179" s="14"/>
    </row>
    <row r="180" spans="1:10" x14ac:dyDescent="0.25">
      <c r="A180" s="14"/>
      <c r="B180" s="254" t="s">
        <v>904</v>
      </c>
      <c r="C180" s="145" t="s">
        <v>940</v>
      </c>
      <c r="D180" s="145" t="str">
        <f>REPLACE(D179,1,19,"Fuel Tech New")</f>
        <v>Fuel Tech New - Ethanol (TRA)</v>
      </c>
      <c r="E180" s="254" t="s">
        <v>85</v>
      </c>
      <c r="F180" s="254" t="s">
        <v>882</v>
      </c>
      <c r="G180" s="254"/>
      <c r="H180" s="254"/>
      <c r="I180" s="254" t="s">
        <v>750</v>
      </c>
      <c r="J180" s="14"/>
    </row>
    <row r="181" spans="1:10" x14ac:dyDescent="0.25">
      <c r="A181" s="14"/>
      <c r="B181" s="254" t="s">
        <v>904</v>
      </c>
      <c r="C181" s="145" t="s">
        <v>941</v>
      </c>
      <c r="D181" s="145" t="s">
        <v>942</v>
      </c>
      <c r="E181" s="254" t="s">
        <v>85</v>
      </c>
      <c r="F181" s="254" t="s">
        <v>882</v>
      </c>
      <c r="G181" s="254"/>
      <c r="H181" s="254"/>
      <c r="I181" s="254" t="s">
        <v>750</v>
      </c>
      <c r="J181" s="14"/>
    </row>
    <row r="182" spans="1:10" x14ac:dyDescent="0.25">
      <c r="A182" s="14"/>
      <c r="B182" s="254" t="s">
        <v>904</v>
      </c>
      <c r="C182" s="145" t="s">
        <v>943</v>
      </c>
      <c r="D182" s="145" t="str">
        <f t="shared" ref="D182" si="1">REPLACE(D181,1,19,"Fuel Tech New")</f>
        <v>Fuel Tech New - Ethanol for low-blending (TRA)</v>
      </c>
      <c r="E182" s="254" t="s">
        <v>85</v>
      </c>
      <c r="F182" s="254" t="s">
        <v>882</v>
      </c>
      <c r="G182" s="254"/>
      <c r="H182" s="254"/>
      <c r="I182" s="254" t="s">
        <v>750</v>
      </c>
      <c r="J182" s="14"/>
    </row>
    <row r="183" spans="1:10" x14ac:dyDescent="0.25">
      <c r="A183" s="14"/>
      <c r="B183" s="254" t="s">
        <v>904</v>
      </c>
      <c r="C183" s="145" t="s">
        <v>944</v>
      </c>
      <c r="D183" s="145" t="s">
        <v>945</v>
      </c>
      <c r="E183" s="254" t="s">
        <v>85</v>
      </c>
      <c r="F183" s="254" t="s">
        <v>882</v>
      </c>
      <c r="G183" s="254"/>
      <c r="H183" s="254"/>
      <c r="I183" s="254" t="s">
        <v>750</v>
      </c>
      <c r="J183" s="14"/>
    </row>
    <row r="184" spans="1:10" x14ac:dyDescent="0.25">
      <c r="A184" s="14"/>
      <c r="B184" s="254" t="s">
        <v>904</v>
      </c>
      <c r="C184" s="145" t="s">
        <v>946</v>
      </c>
      <c r="D184" s="145" t="str">
        <f>REPLACE(D183,1,19,"Fuel Tech New")</f>
        <v>Fuel Tech New - Gasoline (TRA)</v>
      </c>
      <c r="E184" s="254" t="s">
        <v>85</v>
      </c>
      <c r="F184" s="254" t="s">
        <v>882</v>
      </c>
      <c r="G184" s="254"/>
      <c r="H184" s="254"/>
      <c r="I184" s="254" t="s">
        <v>750</v>
      </c>
      <c r="J184" s="14"/>
    </row>
    <row r="185" spans="1:10" x14ac:dyDescent="0.25">
      <c r="A185" s="14"/>
      <c r="B185" s="254" t="s">
        <v>904</v>
      </c>
      <c r="C185" s="145" t="s">
        <v>947</v>
      </c>
      <c r="D185" s="145" t="s">
        <v>948</v>
      </c>
      <c r="E185" s="254" t="s">
        <v>85</v>
      </c>
      <c r="F185" s="254" t="s">
        <v>882</v>
      </c>
      <c r="G185" s="254"/>
      <c r="H185" s="254"/>
      <c r="I185" s="254" t="s">
        <v>750</v>
      </c>
      <c r="J185" s="14"/>
    </row>
    <row r="186" spans="1:10" x14ac:dyDescent="0.25">
      <c r="B186" s="254" t="s">
        <v>904</v>
      </c>
      <c r="C186" s="145" t="s">
        <v>949</v>
      </c>
      <c r="D186" s="145" t="str">
        <f>REPLACE(D185,1,9,"Fuel Tech New")</f>
        <v>Fuel Tech New - H2 (gaseous) (TRA)</v>
      </c>
      <c r="E186" s="254" t="s">
        <v>85</v>
      </c>
      <c r="F186" s="254" t="s">
        <v>882</v>
      </c>
      <c r="G186" s="254"/>
      <c r="H186" s="254"/>
      <c r="I186" s="254" t="s">
        <v>750</v>
      </c>
    </row>
    <row r="187" spans="1:10" x14ac:dyDescent="0.25">
      <c r="B187" s="254" t="s">
        <v>904</v>
      </c>
      <c r="C187" s="145" t="s">
        <v>950</v>
      </c>
      <c r="D187" s="145" t="s">
        <v>951</v>
      </c>
      <c r="E187" s="254" t="s">
        <v>85</v>
      </c>
      <c r="F187" s="254" t="s">
        <v>882</v>
      </c>
      <c r="G187" s="254"/>
      <c r="H187" s="254"/>
      <c r="I187" s="254" t="s">
        <v>750</v>
      </c>
    </row>
    <row r="188" spans="1:10" x14ac:dyDescent="0.25">
      <c r="B188" s="254" t="s">
        <v>904</v>
      </c>
      <c r="C188" s="145" t="s">
        <v>952</v>
      </c>
      <c r="D188" s="145" t="str">
        <f>REPLACE(D187,1,19,"Fuel Tech New")</f>
        <v>Fuel Tech New - Heavy Fuel Oil (TRA)</v>
      </c>
      <c r="E188" s="254" t="s">
        <v>85</v>
      </c>
      <c r="F188" s="254" t="s">
        <v>882</v>
      </c>
      <c r="G188" s="254"/>
      <c r="H188" s="254"/>
      <c r="I188" s="254" t="s">
        <v>750</v>
      </c>
    </row>
    <row r="189" spans="1:10" x14ac:dyDescent="0.25">
      <c r="B189" s="254" t="s">
        <v>904</v>
      </c>
      <c r="C189" s="145" t="s">
        <v>953</v>
      </c>
      <c r="D189" s="145" t="s">
        <v>954</v>
      </c>
      <c r="E189" s="254" t="s">
        <v>85</v>
      </c>
      <c r="F189" s="254" t="s">
        <v>882</v>
      </c>
      <c r="G189" s="254"/>
      <c r="H189" s="254"/>
      <c r="I189" s="254" t="s">
        <v>750</v>
      </c>
    </row>
    <row r="190" spans="1:10" x14ac:dyDescent="0.25">
      <c r="B190" s="254" t="s">
        <v>904</v>
      </c>
      <c r="C190" s="145" t="s">
        <v>955</v>
      </c>
      <c r="D190" s="145" t="str">
        <f>REPLACE(D189,1,19,"Fuel Tech New")</f>
        <v>Fuel Tech New - Human Power (TRA)</v>
      </c>
      <c r="E190" s="254" t="s">
        <v>85</v>
      </c>
      <c r="F190" s="254" t="s">
        <v>882</v>
      </c>
      <c r="G190" s="254"/>
      <c r="H190" s="254"/>
      <c r="I190" s="254" t="s">
        <v>750</v>
      </c>
    </row>
    <row r="191" spans="1:10" x14ac:dyDescent="0.25">
      <c r="B191" s="254" t="s">
        <v>904</v>
      </c>
      <c r="C191" s="145" t="s">
        <v>956</v>
      </c>
      <c r="D191" s="145" t="s">
        <v>957</v>
      </c>
      <c r="E191" s="254" t="s">
        <v>85</v>
      </c>
      <c r="F191" s="254" t="s">
        <v>882</v>
      </c>
      <c r="G191" s="254"/>
      <c r="H191" s="254"/>
      <c r="I191" s="254" t="s">
        <v>750</v>
      </c>
    </row>
    <row r="192" spans="1:10" x14ac:dyDescent="0.25">
      <c r="B192" s="254" t="s">
        <v>904</v>
      </c>
      <c r="C192" s="145" t="s">
        <v>958</v>
      </c>
      <c r="D192" s="145" t="str">
        <f>REPLACE(D191,1,19,"Fuel Tech New")</f>
        <v>Fuel Tech New - Kerosene - Jet Fuels (TRA)</v>
      </c>
      <c r="E192" s="254" t="s">
        <v>85</v>
      </c>
      <c r="F192" s="254" t="s">
        <v>882</v>
      </c>
      <c r="G192" s="254"/>
      <c r="H192" s="254"/>
      <c r="I192" s="254" t="s">
        <v>750</v>
      </c>
    </row>
    <row r="193" spans="1:10" x14ac:dyDescent="0.25">
      <c r="B193" s="254" t="s">
        <v>904</v>
      </c>
      <c r="C193" s="145" t="s">
        <v>959</v>
      </c>
      <c r="D193" s="145" t="s">
        <v>960</v>
      </c>
      <c r="E193" s="254" t="s">
        <v>85</v>
      </c>
      <c r="F193" s="254" t="s">
        <v>882</v>
      </c>
      <c r="G193" s="254"/>
      <c r="H193" s="254"/>
      <c r="I193" s="254" t="s">
        <v>750</v>
      </c>
    </row>
    <row r="194" spans="1:10" x14ac:dyDescent="0.25">
      <c r="B194" s="254" t="s">
        <v>904</v>
      </c>
      <c r="C194" s="145" t="s">
        <v>961</v>
      </c>
      <c r="D194" s="145" t="str">
        <f>REPLACE(D193,1,19,"Fuel Tech New")</f>
        <v>Fuel Tech New - Light Fuel Oil (TRA)</v>
      </c>
      <c r="E194" s="254" t="s">
        <v>85</v>
      </c>
      <c r="F194" s="254" t="s">
        <v>882</v>
      </c>
      <c r="G194" s="254"/>
      <c r="H194" s="254"/>
      <c r="I194" s="254" t="s">
        <v>750</v>
      </c>
    </row>
    <row r="195" spans="1:10" x14ac:dyDescent="0.25">
      <c r="B195" s="254" t="s">
        <v>904</v>
      </c>
      <c r="C195" s="145" t="s">
        <v>962</v>
      </c>
      <c r="D195" s="145" t="s">
        <v>963</v>
      </c>
      <c r="E195" s="254" t="s">
        <v>85</v>
      </c>
      <c r="F195" s="254" t="s">
        <v>882</v>
      </c>
      <c r="G195" s="254"/>
      <c r="H195" s="254"/>
      <c r="I195" s="254" t="s">
        <v>750</v>
      </c>
    </row>
    <row r="196" spans="1:10" x14ac:dyDescent="0.25">
      <c r="B196" s="254" t="s">
        <v>904</v>
      </c>
      <c r="C196" s="145" t="s">
        <v>964</v>
      </c>
      <c r="D196" s="145" t="str">
        <f>REPLACE(D195,1,19,"Fuel Tech New")</f>
        <v>Fuel Tech New - Liquified Petroleum Gas (TRA)</v>
      </c>
      <c r="E196" s="254" t="s">
        <v>85</v>
      </c>
      <c r="F196" s="254" t="s">
        <v>882</v>
      </c>
      <c r="G196" s="254"/>
      <c r="H196" s="254"/>
      <c r="I196" s="254" t="s">
        <v>750</v>
      </c>
    </row>
    <row r="197" spans="1:10" x14ac:dyDescent="0.25">
      <c r="B197" s="254" t="s">
        <v>904</v>
      </c>
      <c r="C197" s="145" t="s">
        <v>965</v>
      </c>
      <c r="D197" s="145" t="s">
        <v>966</v>
      </c>
      <c r="E197" s="254" t="s">
        <v>85</v>
      </c>
      <c r="F197" s="254" t="s">
        <v>882</v>
      </c>
      <c r="G197" s="254"/>
      <c r="H197" s="254"/>
      <c r="I197" s="254" t="s">
        <v>750</v>
      </c>
    </row>
    <row r="198" spans="1:10" x14ac:dyDescent="0.25">
      <c r="B198" s="254" t="s">
        <v>904</v>
      </c>
      <c r="C198" s="145" t="s">
        <v>967</v>
      </c>
      <c r="D198" s="145" t="str">
        <f>REPLACE(D197,1,19,"Fuel Tech New")</f>
        <v>Fuel Tech New - Biomethanol (TRA)</v>
      </c>
      <c r="E198" s="254" t="s">
        <v>85</v>
      </c>
      <c r="F198" s="254" t="s">
        <v>882</v>
      </c>
      <c r="G198" s="254"/>
      <c r="H198" s="254"/>
      <c r="I198" s="254" t="s">
        <v>750</v>
      </c>
    </row>
    <row r="199" spans="1:10" x14ac:dyDescent="0.25">
      <c r="B199" s="254" t="s">
        <v>904</v>
      </c>
      <c r="C199" s="145" t="s">
        <v>968</v>
      </c>
      <c r="D199" s="145" t="s">
        <v>969</v>
      </c>
      <c r="E199" s="254" t="s">
        <v>85</v>
      </c>
      <c r="F199" s="254" t="s">
        <v>882</v>
      </c>
      <c r="G199" s="254"/>
      <c r="H199" s="254"/>
      <c r="I199" s="254" t="s">
        <v>750</v>
      </c>
    </row>
    <row r="200" spans="1:10" x14ac:dyDescent="0.25">
      <c r="B200" s="254" t="s">
        <v>904</v>
      </c>
      <c r="C200" s="145" t="s">
        <v>970</v>
      </c>
      <c r="D200" s="145" t="str">
        <f>REPLACE(D199,1,19,"Fuel Tech New")</f>
        <v>Fuel Tech New - Biomethanol for low-blending (TRA)</v>
      </c>
      <c r="E200" s="254" t="s">
        <v>85</v>
      </c>
      <c r="F200" s="254" t="s">
        <v>882</v>
      </c>
      <c r="G200" s="254"/>
      <c r="H200" s="254"/>
      <c r="I200" s="254" t="s">
        <v>750</v>
      </c>
    </row>
    <row r="201" spans="1:10" x14ac:dyDescent="0.25">
      <c r="B201" s="254" t="s">
        <v>904</v>
      </c>
      <c r="C201" s="145" t="s">
        <v>971</v>
      </c>
      <c r="D201" s="145" t="s">
        <v>972</v>
      </c>
      <c r="E201" s="254" t="s">
        <v>85</v>
      </c>
      <c r="F201" s="254" t="s">
        <v>882</v>
      </c>
      <c r="G201" s="254"/>
      <c r="H201" s="254"/>
      <c r="I201" s="254" t="s">
        <v>750</v>
      </c>
    </row>
    <row r="202" spans="1:10" x14ac:dyDescent="0.25">
      <c r="B202" s="254" t="s">
        <v>904</v>
      </c>
      <c r="C202" s="145" t="s">
        <v>973</v>
      </c>
      <c r="D202" s="145" t="str">
        <f>REPLACE(D201,1,19,"Fuel Tech New")</f>
        <v>Fuel Tech New - Natural Gas (TRA)</v>
      </c>
      <c r="E202" s="254" t="s">
        <v>85</v>
      </c>
      <c r="F202" s="254" t="s">
        <v>882</v>
      </c>
      <c r="G202" s="254"/>
      <c r="H202" s="254"/>
      <c r="I202" s="254" t="s">
        <v>750</v>
      </c>
    </row>
    <row r="204" spans="1:10" x14ac:dyDescent="0.25">
      <c r="A204" s="14"/>
      <c r="B204" s="254" t="s">
        <v>904</v>
      </c>
      <c r="C204" s="145" t="s">
        <v>974</v>
      </c>
      <c r="D204" s="145" t="s">
        <v>975</v>
      </c>
      <c r="E204" s="254" t="s">
        <v>85</v>
      </c>
      <c r="F204" s="254" t="s">
        <v>882</v>
      </c>
      <c r="G204" s="254"/>
      <c r="H204" s="254"/>
      <c r="I204" s="254" t="s">
        <v>750</v>
      </c>
      <c r="J204" s="14"/>
    </row>
    <row r="205" spans="1:10" x14ac:dyDescent="0.25">
      <c r="A205" s="14"/>
      <c r="B205" s="254" t="s">
        <v>904</v>
      </c>
      <c r="C205" s="145" t="s">
        <v>976</v>
      </c>
      <c r="D205" s="145" t="str">
        <f>REPLACE(D204,1,19,"Fuel Tech New")</f>
        <v>Fuel Tech New - Bio-gasoline (TRA)</v>
      </c>
      <c r="E205" s="254" t="s">
        <v>85</v>
      </c>
      <c r="F205" s="254" t="s">
        <v>882</v>
      </c>
      <c r="G205" s="254"/>
      <c r="H205" s="254"/>
      <c r="I205" s="254" t="s">
        <v>750</v>
      </c>
      <c r="J205" s="14"/>
    </row>
  </sheetData>
  <sortState xmlns:xlrd2="http://schemas.microsoft.com/office/spreadsheetml/2017/richdata2" ref="L6:M90">
    <sortCondition ref="L6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>
    <tabColor theme="8"/>
  </sheetPr>
  <dimension ref="B3:T94"/>
  <sheetViews>
    <sheetView topLeftCell="E27" zoomScale="80" zoomScaleNormal="80" workbookViewId="0">
      <selection activeCell="E27" sqref="E27"/>
    </sheetView>
  </sheetViews>
  <sheetFormatPr defaultColWidth="9.28515625" defaultRowHeight="15" x14ac:dyDescent="0.25"/>
  <cols>
    <col min="1" max="1" width="7.42578125" style="14" customWidth="1"/>
    <col min="2" max="2" width="25.7109375" style="14" bestFit="1" customWidth="1"/>
    <col min="3" max="3" width="21.28515625" style="14" customWidth="1"/>
    <col min="4" max="4" width="57" style="14" bestFit="1" customWidth="1"/>
    <col min="5" max="5" width="19.5703125" style="14" bestFit="1" customWidth="1"/>
    <col min="6" max="6" width="13.7109375" style="14" customWidth="1"/>
    <col min="7" max="7" width="13.28515625" style="14" customWidth="1"/>
    <col min="8" max="8" width="8.7109375" style="14" customWidth="1"/>
    <col min="9" max="9" width="9.28515625" style="14" customWidth="1"/>
    <col min="10" max="10" width="9.42578125" style="14" customWidth="1"/>
    <col min="11" max="11" width="31.28515625" style="14" bestFit="1" customWidth="1"/>
    <col min="12" max="12" width="11.28515625" style="14" customWidth="1"/>
    <col min="13" max="13" width="11.42578125" style="14" bestFit="1" customWidth="1"/>
    <col min="14" max="14" width="28.5703125" style="14" customWidth="1"/>
    <col min="15" max="15" width="20.28515625" style="14" bestFit="1" customWidth="1"/>
    <col min="16" max="16384" width="9.28515625" style="14"/>
  </cols>
  <sheetData>
    <row r="3" spans="2:12" x14ac:dyDescent="0.25">
      <c r="B3" s="27" t="s">
        <v>977</v>
      </c>
      <c r="C3" s="25"/>
      <c r="D3" s="25"/>
      <c r="E3" s="25"/>
      <c r="F3" s="25"/>
      <c r="G3" s="25"/>
      <c r="H3" s="25"/>
      <c r="I3" s="25"/>
    </row>
    <row r="4" spans="2:12" x14ac:dyDescent="0.25">
      <c r="B4" s="24" t="s">
        <v>978</v>
      </c>
      <c r="C4" s="25"/>
      <c r="D4" s="25"/>
      <c r="E4" s="25"/>
      <c r="F4" s="25"/>
      <c r="G4" s="25"/>
      <c r="H4" s="25"/>
      <c r="I4" s="25"/>
    </row>
    <row r="5" spans="2:12" ht="23.25" customHeight="1" thickBot="1" x14ac:dyDescent="0.3">
      <c r="B5" s="262" t="s">
        <v>979</v>
      </c>
      <c r="C5" s="262" t="s">
        <v>980</v>
      </c>
      <c r="D5" s="262" t="s">
        <v>981</v>
      </c>
      <c r="E5" s="262" t="s">
        <v>580</v>
      </c>
      <c r="F5" s="262" t="s">
        <v>982</v>
      </c>
      <c r="G5" s="262" t="s">
        <v>983</v>
      </c>
      <c r="H5" s="262" t="s">
        <v>984</v>
      </c>
      <c r="I5" s="262" t="s">
        <v>985</v>
      </c>
      <c r="K5" s="262" t="s">
        <v>986</v>
      </c>
      <c r="L5" s="28"/>
    </row>
    <row r="6" spans="2:12" s="13" customFormat="1" x14ac:dyDescent="0.25">
      <c r="B6" s="243" t="s">
        <v>987</v>
      </c>
      <c r="C6" s="153" t="s">
        <v>988</v>
      </c>
      <c r="D6" s="154" t="s">
        <v>989</v>
      </c>
      <c r="E6" s="154" t="s">
        <v>85</v>
      </c>
      <c r="F6" s="244"/>
      <c r="G6" s="244"/>
      <c r="H6" s="244"/>
      <c r="I6" s="244"/>
      <c r="K6" s="245"/>
    </row>
    <row r="7" spans="2:12" s="13" customFormat="1" x14ac:dyDescent="0.25">
      <c r="B7" s="243"/>
      <c r="C7" s="153" t="s">
        <v>990</v>
      </c>
      <c r="D7" s="154" t="s">
        <v>991</v>
      </c>
      <c r="E7" s="154" t="s">
        <v>85</v>
      </c>
      <c r="F7" s="244"/>
      <c r="G7" s="244"/>
      <c r="H7" s="244"/>
      <c r="I7" s="244"/>
      <c r="K7" s="245"/>
    </row>
    <row r="8" spans="2:12" s="13" customFormat="1" x14ac:dyDescent="0.25">
      <c r="B8" s="243"/>
      <c r="C8" s="153" t="s">
        <v>992</v>
      </c>
      <c r="D8" s="154" t="s">
        <v>993</v>
      </c>
      <c r="E8" s="154" t="s">
        <v>85</v>
      </c>
      <c r="F8" s="244"/>
      <c r="G8" s="244"/>
      <c r="H8" s="244"/>
      <c r="I8" s="244"/>
      <c r="K8" s="245"/>
    </row>
    <row r="9" spans="2:12" s="13" customFormat="1" x14ac:dyDescent="0.25">
      <c r="B9" s="244"/>
      <c r="C9" s="153" t="s">
        <v>994</v>
      </c>
      <c r="D9" s="154" t="s">
        <v>995</v>
      </c>
      <c r="E9" s="154" t="s">
        <v>85</v>
      </c>
      <c r="F9" s="244"/>
      <c r="G9" s="244"/>
      <c r="H9" s="244"/>
      <c r="I9" s="244"/>
      <c r="K9" s="245"/>
    </row>
    <row r="10" spans="2:12" s="13" customFormat="1" x14ac:dyDescent="0.25">
      <c r="B10" s="243"/>
      <c r="C10" s="153" t="s">
        <v>996</v>
      </c>
      <c r="D10" s="154" t="s">
        <v>997</v>
      </c>
      <c r="E10" s="154" t="s">
        <v>85</v>
      </c>
      <c r="F10" s="244"/>
      <c r="G10" s="244"/>
      <c r="H10" s="244"/>
      <c r="I10" s="244"/>
      <c r="K10" s="245"/>
    </row>
    <row r="11" spans="2:12" s="13" customFormat="1" x14ac:dyDescent="0.25">
      <c r="B11" s="244"/>
      <c r="C11" s="153" t="s">
        <v>998</v>
      </c>
      <c r="D11" s="154" t="s">
        <v>999</v>
      </c>
      <c r="E11" s="154" t="s">
        <v>85</v>
      </c>
      <c r="F11" s="244"/>
      <c r="G11" s="244"/>
      <c r="H11" s="244"/>
      <c r="I11" s="244"/>
      <c r="K11" s="245"/>
    </row>
    <row r="12" spans="2:12" s="13" customFormat="1" x14ac:dyDescent="0.25">
      <c r="B12" s="244"/>
      <c r="C12" s="153" t="s">
        <v>1000</v>
      </c>
      <c r="D12" s="154" t="s">
        <v>1001</v>
      </c>
      <c r="E12" s="154" t="s">
        <v>85</v>
      </c>
      <c r="F12" s="244"/>
      <c r="G12" s="244"/>
      <c r="H12" s="244"/>
      <c r="I12" s="244"/>
      <c r="K12" s="245"/>
    </row>
    <row r="13" spans="2:12" s="13" customFormat="1" x14ac:dyDescent="0.25">
      <c r="B13" s="244"/>
      <c r="C13" s="153" t="s">
        <v>1002</v>
      </c>
      <c r="D13" s="154" t="s">
        <v>1003</v>
      </c>
      <c r="E13" s="154" t="s">
        <v>85</v>
      </c>
      <c r="F13" s="244"/>
      <c r="G13" s="244"/>
      <c r="H13" s="244"/>
      <c r="I13" s="244"/>
      <c r="K13" s="245"/>
    </row>
    <row r="14" spans="2:12" s="13" customFormat="1" x14ac:dyDescent="0.25">
      <c r="B14" s="243"/>
      <c r="C14" s="153" t="s">
        <v>185</v>
      </c>
      <c r="D14" s="154" t="s">
        <v>1004</v>
      </c>
      <c r="E14" s="154" t="s">
        <v>85</v>
      </c>
      <c r="F14" s="244"/>
      <c r="G14" s="244"/>
      <c r="H14" s="244"/>
      <c r="I14" s="244"/>
      <c r="K14" s="245"/>
    </row>
    <row r="15" spans="2:12" s="13" customFormat="1" x14ac:dyDescent="0.25">
      <c r="B15" s="243"/>
      <c r="C15" s="153" t="s">
        <v>683</v>
      </c>
      <c r="D15" s="154" t="s">
        <v>1005</v>
      </c>
      <c r="E15" s="154" t="s">
        <v>85</v>
      </c>
      <c r="F15" s="244"/>
      <c r="G15" s="244" t="s">
        <v>1006</v>
      </c>
      <c r="H15" s="244"/>
      <c r="I15" s="244" t="s">
        <v>1007</v>
      </c>
      <c r="K15" s="245"/>
    </row>
    <row r="16" spans="2:12" s="13" customFormat="1" x14ac:dyDescent="0.25">
      <c r="B16" s="243"/>
      <c r="C16" s="153" t="s">
        <v>1008</v>
      </c>
      <c r="D16" s="154" t="s">
        <v>1009</v>
      </c>
      <c r="E16" s="154" t="s">
        <v>85</v>
      </c>
      <c r="F16" s="244"/>
      <c r="G16" s="244" t="s">
        <v>1006</v>
      </c>
      <c r="H16" s="244"/>
      <c r="I16" s="244" t="s">
        <v>1007</v>
      </c>
      <c r="K16" s="245"/>
    </row>
    <row r="17" spans="2:20" s="13" customFormat="1" x14ac:dyDescent="0.25">
      <c r="B17" s="243"/>
      <c r="C17" s="153" t="s">
        <v>1010</v>
      </c>
      <c r="D17" s="154" t="s">
        <v>1011</v>
      </c>
      <c r="E17" s="154" t="s">
        <v>85</v>
      </c>
      <c r="F17" s="244"/>
      <c r="G17" s="244"/>
      <c r="H17" s="244"/>
      <c r="I17" s="244"/>
      <c r="K17" s="245"/>
    </row>
    <row r="18" spans="2:20" s="13" customFormat="1" x14ac:dyDescent="0.25">
      <c r="B18" s="246"/>
      <c r="C18" s="153" t="s">
        <v>1012</v>
      </c>
      <c r="D18" s="154" t="s">
        <v>1013</v>
      </c>
      <c r="E18" s="154" t="s">
        <v>85</v>
      </c>
      <c r="F18" s="244"/>
      <c r="G18" s="244"/>
      <c r="H18" s="244"/>
      <c r="I18" s="244"/>
      <c r="K18" s="245"/>
    </row>
    <row r="19" spans="2:20" s="13" customFormat="1" x14ac:dyDescent="0.25">
      <c r="B19" s="246"/>
      <c r="C19" s="153" t="s">
        <v>1014</v>
      </c>
      <c r="D19" s="154" t="s">
        <v>1015</v>
      </c>
      <c r="E19" s="154" t="s">
        <v>85</v>
      </c>
      <c r="F19" s="244"/>
      <c r="G19" s="244"/>
      <c r="H19" s="244"/>
      <c r="I19" s="244"/>
      <c r="K19" s="245"/>
    </row>
    <row r="20" spans="2:20" s="13" customFormat="1" ht="15.75" thickBot="1" x14ac:dyDescent="0.3">
      <c r="B20" s="243"/>
      <c r="C20" s="154" t="s">
        <v>1016</v>
      </c>
      <c r="D20" s="155" t="s">
        <v>1017</v>
      </c>
      <c r="E20" s="154" t="s">
        <v>85</v>
      </c>
      <c r="F20" s="244"/>
      <c r="G20" s="244"/>
      <c r="H20" s="244"/>
      <c r="I20" s="244"/>
      <c r="K20" s="245"/>
      <c r="O20" s="13" t="s">
        <v>1018</v>
      </c>
      <c r="P20" s="13" t="s">
        <v>1019</v>
      </c>
      <c r="Q20" s="13" t="s">
        <v>1020</v>
      </c>
      <c r="S20" s="13" t="s">
        <v>1021</v>
      </c>
      <c r="T20" s="247" t="s">
        <v>1022</v>
      </c>
    </row>
    <row r="21" spans="2:20" s="13" customFormat="1" x14ac:dyDescent="0.25">
      <c r="B21" s="243"/>
      <c r="C21" s="153" t="s">
        <v>1023</v>
      </c>
      <c r="D21" s="154" t="s">
        <v>1024</v>
      </c>
      <c r="E21" s="154" t="s">
        <v>85</v>
      </c>
      <c r="F21" s="244"/>
      <c r="G21" s="244"/>
      <c r="H21" s="244"/>
      <c r="I21" s="244"/>
      <c r="K21" s="245"/>
      <c r="N21" s="13" t="s">
        <v>1025</v>
      </c>
      <c r="O21" s="13">
        <v>100</v>
      </c>
      <c r="P21" s="29">
        <f>100*10^6/10^12</f>
        <v>1E-4</v>
      </c>
      <c r="Q21" s="30">
        <f>P21*3.6</f>
        <v>3.6000000000000002E-4</v>
      </c>
    </row>
    <row r="22" spans="2:20" s="13" customFormat="1" x14ac:dyDescent="0.25">
      <c r="B22" s="243"/>
      <c r="C22" s="154" t="s">
        <v>681</v>
      </c>
      <c r="D22" s="155" t="s">
        <v>1026</v>
      </c>
      <c r="E22" s="154" t="s">
        <v>85</v>
      </c>
      <c r="F22" s="244"/>
      <c r="G22" s="244"/>
      <c r="H22" s="244"/>
      <c r="I22" s="244"/>
      <c r="K22" s="245" t="s">
        <v>1027</v>
      </c>
      <c r="N22" s="13" t="s">
        <v>1028</v>
      </c>
      <c r="O22" s="13">
        <v>200</v>
      </c>
      <c r="P22" s="29">
        <f>100*10^6/10^12</f>
        <v>1E-4</v>
      </c>
      <c r="Q22" s="13">
        <f>P22*3.6</f>
        <v>3.6000000000000002E-4</v>
      </c>
      <c r="S22" s="13">
        <v>20</v>
      </c>
      <c r="T22" s="13">
        <f>S22*Q22</f>
        <v>7.2000000000000007E-3</v>
      </c>
    </row>
    <row r="23" spans="2:20" s="13" customFormat="1" x14ac:dyDescent="0.25">
      <c r="B23" s="243"/>
      <c r="C23" s="153" t="s">
        <v>1029</v>
      </c>
      <c r="D23" s="154" t="s">
        <v>1030</v>
      </c>
      <c r="E23" s="154" t="s">
        <v>85</v>
      </c>
      <c r="F23" s="244"/>
      <c r="G23" s="244"/>
      <c r="H23" s="244"/>
      <c r="I23" s="244"/>
      <c r="K23" s="245"/>
    </row>
    <row r="24" spans="2:20" s="13" customFormat="1" x14ac:dyDescent="0.25">
      <c r="B24" s="243"/>
      <c r="C24" s="153" t="s">
        <v>1031</v>
      </c>
      <c r="D24" s="154" t="s">
        <v>1032</v>
      </c>
      <c r="E24" s="154" t="s">
        <v>85</v>
      </c>
      <c r="F24" s="244"/>
      <c r="G24" s="244"/>
      <c r="H24" s="244"/>
      <c r="I24" s="244"/>
      <c r="K24" s="245"/>
    </row>
    <row r="25" spans="2:20" s="13" customFormat="1" x14ac:dyDescent="0.25">
      <c r="B25" s="243"/>
      <c r="C25" s="153" t="s">
        <v>1033</v>
      </c>
      <c r="D25" s="154" t="s">
        <v>1034</v>
      </c>
      <c r="E25" s="154" t="s">
        <v>85</v>
      </c>
      <c r="F25" s="244"/>
      <c r="G25" s="244"/>
      <c r="H25" s="244"/>
      <c r="I25" s="244"/>
      <c r="K25" s="245"/>
    </row>
    <row r="26" spans="2:20" s="13" customFormat="1" x14ac:dyDescent="0.25">
      <c r="B26" s="243"/>
      <c r="C26" s="153" t="s">
        <v>1035</v>
      </c>
      <c r="D26" s="154" t="s">
        <v>1036</v>
      </c>
      <c r="E26" s="154" t="s">
        <v>85</v>
      </c>
      <c r="F26" s="244"/>
      <c r="G26" s="244"/>
      <c r="H26" s="244"/>
      <c r="I26" s="244"/>
      <c r="K26" s="245"/>
    </row>
    <row r="27" spans="2:20" s="13" customFormat="1" x14ac:dyDescent="0.25">
      <c r="B27" s="243"/>
      <c r="C27" s="153" t="s">
        <v>1037</v>
      </c>
      <c r="D27" s="154" t="s">
        <v>1038</v>
      </c>
      <c r="E27" s="154" t="s">
        <v>85</v>
      </c>
      <c r="F27" s="244"/>
      <c r="G27" s="244"/>
      <c r="H27" s="244"/>
      <c r="I27" s="244"/>
      <c r="K27" s="245"/>
    </row>
    <row r="28" spans="2:20" s="13" customFormat="1" x14ac:dyDescent="0.25">
      <c r="B28" s="248"/>
      <c r="C28" s="697" t="s">
        <v>1039</v>
      </c>
      <c r="D28" s="156" t="s">
        <v>1040</v>
      </c>
      <c r="E28" s="156" t="s">
        <v>85</v>
      </c>
      <c r="F28" s="249"/>
      <c r="G28" s="249"/>
      <c r="H28" s="249"/>
      <c r="I28" s="249"/>
      <c r="K28" s="250"/>
    </row>
    <row r="29" spans="2:20" s="13" customFormat="1" x14ac:dyDescent="0.25">
      <c r="B29" s="243" t="s">
        <v>1041</v>
      </c>
      <c r="C29" s="157" t="s">
        <v>523</v>
      </c>
      <c r="D29" s="157" t="s">
        <v>582</v>
      </c>
      <c r="E29" s="154" t="s">
        <v>583</v>
      </c>
      <c r="F29" s="244"/>
      <c r="G29" s="244"/>
      <c r="H29" s="244"/>
      <c r="I29" s="244"/>
      <c r="K29" s="245"/>
    </row>
    <row r="30" spans="2:20" s="13" customFormat="1" x14ac:dyDescent="0.25">
      <c r="B30" s="243"/>
      <c r="C30" s="157" t="s">
        <v>584</v>
      </c>
      <c r="D30" s="157" t="s">
        <v>585</v>
      </c>
      <c r="E30" s="154" t="s">
        <v>583</v>
      </c>
      <c r="F30" s="244"/>
      <c r="G30" s="244"/>
      <c r="H30" s="244"/>
      <c r="I30" s="244"/>
      <c r="K30" s="245"/>
    </row>
    <row r="31" spans="2:20" s="13" customFormat="1" x14ac:dyDescent="0.25">
      <c r="B31" s="243"/>
      <c r="C31" s="157" t="s">
        <v>82</v>
      </c>
      <c r="D31" s="157" t="s">
        <v>586</v>
      </c>
      <c r="E31" s="154" t="s">
        <v>583</v>
      </c>
      <c r="F31" s="244"/>
      <c r="G31" s="244"/>
      <c r="H31" s="244"/>
      <c r="I31" s="244"/>
      <c r="K31" s="245"/>
    </row>
    <row r="32" spans="2:20" s="13" customFormat="1" x14ac:dyDescent="0.25">
      <c r="B32" s="243"/>
      <c r="C32" s="157" t="s">
        <v>587</v>
      </c>
      <c r="D32" s="157" t="s">
        <v>588</v>
      </c>
      <c r="E32" s="154" t="s">
        <v>583</v>
      </c>
      <c r="F32" s="244"/>
      <c r="G32" s="244"/>
      <c r="H32" s="244"/>
      <c r="I32" s="244"/>
      <c r="K32" s="245"/>
    </row>
    <row r="33" spans="2:11" s="13" customFormat="1" x14ac:dyDescent="0.25">
      <c r="B33" s="243"/>
      <c r="C33" s="157" t="s">
        <v>414</v>
      </c>
      <c r="D33" s="157" t="s">
        <v>589</v>
      </c>
      <c r="E33" s="154" t="s">
        <v>583</v>
      </c>
      <c r="F33" s="244"/>
      <c r="G33" s="244"/>
      <c r="H33" s="244"/>
      <c r="I33" s="244"/>
      <c r="K33" s="245"/>
    </row>
    <row r="34" spans="2:11" s="13" customFormat="1" x14ac:dyDescent="0.25">
      <c r="B34" s="243"/>
      <c r="C34" s="157" t="s">
        <v>590</v>
      </c>
      <c r="D34" s="157" t="s">
        <v>591</v>
      </c>
      <c r="E34" s="154" t="s">
        <v>583</v>
      </c>
      <c r="F34" s="244"/>
      <c r="G34" s="244"/>
      <c r="H34" s="244"/>
      <c r="I34" s="244"/>
      <c r="K34" s="245"/>
    </row>
    <row r="35" spans="2:11" s="13" customFormat="1" x14ac:dyDescent="0.25">
      <c r="B35" s="243"/>
      <c r="C35" s="157" t="s">
        <v>415</v>
      </c>
      <c r="D35" s="157" t="s">
        <v>592</v>
      </c>
      <c r="E35" s="154" t="s">
        <v>583</v>
      </c>
      <c r="F35" s="244"/>
      <c r="G35" s="244"/>
      <c r="H35" s="244"/>
      <c r="I35" s="244"/>
      <c r="K35" s="245"/>
    </row>
    <row r="36" spans="2:11" s="13" customFormat="1" x14ac:dyDescent="0.25">
      <c r="B36" s="243"/>
      <c r="C36" s="157" t="s">
        <v>593</v>
      </c>
      <c r="D36" s="157" t="s">
        <v>594</v>
      </c>
      <c r="E36" s="154" t="s">
        <v>583</v>
      </c>
      <c r="F36" s="244"/>
      <c r="G36" s="244"/>
      <c r="H36" s="244"/>
      <c r="I36" s="244"/>
      <c r="K36" s="245"/>
    </row>
    <row r="37" spans="2:11" s="13" customFormat="1" x14ac:dyDescent="0.25">
      <c r="B37" s="243"/>
      <c r="C37" s="157" t="s">
        <v>402</v>
      </c>
      <c r="D37" s="157" t="s">
        <v>595</v>
      </c>
      <c r="E37" s="154" t="s">
        <v>583</v>
      </c>
      <c r="F37" s="244"/>
      <c r="G37" s="244"/>
      <c r="H37" s="244"/>
      <c r="I37" s="244"/>
      <c r="K37" s="245"/>
    </row>
    <row r="38" spans="2:11" s="13" customFormat="1" x14ac:dyDescent="0.25">
      <c r="B38" s="243"/>
      <c r="C38" s="157" t="s">
        <v>406</v>
      </c>
      <c r="D38" s="157" t="str">
        <f>CONCATENATE(D37,"City.")</f>
        <v>Road.Car.Long.City.</v>
      </c>
      <c r="E38" s="154" t="s">
        <v>583</v>
      </c>
      <c r="F38" s="244"/>
      <c r="G38" s="244"/>
      <c r="H38" s="244"/>
      <c r="I38" s="244"/>
      <c r="K38" s="245"/>
    </row>
    <row r="39" spans="2:11" s="13" customFormat="1" x14ac:dyDescent="0.25">
      <c r="B39" s="243"/>
      <c r="C39" s="157" t="s">
        <v>410</v>
      </c>
      <c r="D39" s="157" t="s">
        <v>597</v>
      </c>
      <c r="E39" s="154" t="s">
        <v>583</v>
      </c>
      <c r="F39" s="244"/>
      <c r="G39" s="244"/>
      <c r="H39" s="244"/>
      <c r="I39" s="244"/>
      <c r="K39" s="245"/>
    </row>
    <row r="40" spans="2:11" s="13" customFormat="1" x14ac:dyDescent="0.25">
      <c r="B40" s="243"/>
      <c r="C40" s="157" t="s">
        <v>404</v>
      </c>
      <c r="D40" s="157" t="s">
        <v>598</v>
      </c>
      <c r="E40" s="154" t="s">
        <v>583</v>
      </c>
      <c r="F40" s="244"/>
      <c r="G40" s="244"/>
      <c r="H40" s="244"/>
      <c r="I40" s="244"/>
      <c r="K40" s="245"/>
    </row>
    <row r="41" spans="2:11" s="13" customFormat="1" x14ac:dyDescent="0.25">
      <c r="B41" s="243"/>
      <c r="C41" s="157" t="s">
        <v>408</v>
      </c>
      <c r="D41" s="157" t="str">
        <f>CONCATENATE(D40,"City.")</f>
        <v>Road.Car.Short.City.</v>
      </c>
      <c r="E41" s="154" t="s">
        <v>583</v>
      </c>
      <c r="F41" s="244"/>
      <c r="G41" s="244"/>
      <c r="H41" s="244"/>
      <c r="I41" s="244"/>
      <c r="K41" s="245"/>
    </row>
    <row r="42" spans="2:11" s="13" customFormat="1" x14ac:dyDescent="0.25">
      <c r="B42" s="243"/>
      <c r="C42" s="157" t="s">
        <v>412</v>
      </c>
      <c r="D42" s="157" t="s">
        <v>600</v>
      </c>
      <c r="E42" s="154" t="s">
        <v>583</v>
      </c>
      <c r="F42" s="244"/>
      <c r="G42" s="244"/>
      <c r="H42" s="244"/>
      <c r="I42" s="244"/>
      <c r="K42" s="245"/>
    </row>
    <row r="43" spans="2:11" s="13" customFormat="1" x14ac:dyDescent="0.25">
      <c r="B43" s="243"/>
      <c r="C43" s="157" t="s">
        <v>431</v>
      </c>
      <c r="D43" s="157" t="s">
        <v>636</v>
      </c>
      <c r="E43" s="154" t="s">
        <v>633</v>
      </c>
      <c r="F43" s="244"/>
      <c r="G43" s="244"/>
      <c r="H43" s="244"/>
      <c r="I43" s="244"/>
      <c r="K43" s="245"/>
    </row>
    <row r="44" spans="2:11" s="13" customFormat="1" x14ac:dyDescent="0.25">
      <c r="B44" s="243"/>
      <c r="C44" s="157" t="s">
        <v>637</v>
      </c>
      <c r="D44" s="157" t="s">
        <v>638</v>
      </c>
      <c r="E44" s="154" t="s">
        <v>633</v>
      </c>
      <c r="F44" s="244"/>
      <c r="G44" s="244"/>
      <c r="H44" s="244"/>
      <c r="I44" s="244"/>
      <c r="K44" s="245"/>
    </row>
    <row r="45" spans="2:11" s="13" customFormat="1" x14ac:dyDescent="0.25">
      <c r="B45" s="243"/>
      <c r="C45" s="157" t="s">
        <v>429</v>
      </c>
      <c r="D45" s="157" t="s">
        <v>639</v>
      </c>
      <c r="E45" s="154" t="s">
        <v>633</v>
      </c>
      <c r="F45" s="244"/>
      <c r="G45" s="244"/>
      <c r="H45" s="244"/>
      <c r="I45" s="244"/>
      <c r="K45" s="245"/>
    </row>
    <row r="46" spans="2:11" s="13" customFormat="1" x14ac:dyDescent="0.25">
      <c r="B46" s="243"/>
      <c r="C46" s="157" t="s">
        <v>640</v>
      </c>
      <c r="D46" s="157" t="s">
        <v>641</v>
      </c>
      <c r="E46" s="154" t="s">
        <v>633</v>
      </c>
      <c r="F46" s="244"/>
      <c r="G46" s="244"/>
      <c r="H46" s="244"/>
      <c r="I46" s="244"/>
      <c r="K46" s="245"/>
    </row>
    <row r="47" spans="2:11" s="13" customFormat="1" x14ac:dyDescent="0.25">
      <c r="B47" s="243"/>
      <c r="C47" s="157" t="s">
        <v>435</v>
      </c>
      <c r="D47" s="157" t="s">
        <v>642</v>
      </c>
      <c r="E47" s="154" t="s">
        <v>633</v>
      </c>
      <c r="F47" s="244"/>
      <c r="G47" s="244"/>
      <c r="H47" s="244"/>
      <c r="I47" s="244"/>
      <c r="K47" s="245"/>
    </row>
    <row r="48" spans="2:11" s="13" customFormat="1" x14ac:dyDescent="0.25">
      <c r="B48" s="243"/>
      <c r="C48" s="157" t="s">
        <v>643</v>
      </c>
      <c r="D48" s="157" t="s">
        <v>644</v>
      </c>
      <c r="E48" s="154" t="s">
        <v>633</v>
      </c>
      <c r="F48" s="244"/>
      <c r="G48" s="244"/>
      <c r="H48" s="244"/>
      <c r="I48" s="244"/>
      <c r="K48" s="245"/>
    </row>
    <row r="49" spans="2:11" s="13" customFormat="1" x14ac:dyDescent="0.25">
      <c r="B49" s="243"/>
      <c r="C49" s="157" t="s">
        <v>433</v>
      </c>
      <c r="D49" s="157" t="s">
        <v>645</v>
      </c>
      <c r="E49" s="154" t="s">
        <v>633</v>
      </c>
      <c r="F49" s="244"/>
      <c r="G49" s="244"/>
      <c r="H49" s="244"/>
      <c r="I49" s="244"/>
      <c r="K49" s="245"/>
    </row>
    <row r="50" spans="2:11" s="13" customFormat="1" x14ac:dyDescent="0.25">
      <c r="B50" s="243"/>
      <c r="C50" s="157" t="s">
        <v>646</v>
      </c>
      <c r="D50" s="157" t="s">
        <v>647</v>
      </c>
      <c r="E50" s="154" t="s">
        <v>633</v>
      </c>
      <c r="F50" s="244"/>
      <c r="G50" s="244"/>
      <c r="H50" s="244"/>
      <c r="I50" s="244"/>
      <c r="K50" s="245"/>
    </row>
    <row r="51" spans="2:11" s="13" customFormat="1" x14ac:dyDescent="0.25">
      <c r="B51" s="243"/>
      <c r="C51" s="157" t="s">
        <v>439</v>
      </c>
      <c r="D51" s="157" t="s">
        <v>648</v>
      </c>
      <c r="E51" s="154" t="s">
        <v>633</v>
      </c>
      <c r="F51" s="244"/>
      <c r="G51" s="244"/>
      <c r="H51" s="244"/>
      <c r="I51" s="244"/>
      <c r="K51" s="245"/>
    </row>
    <row r="52" spans="2:11" s="13" customFormat="1" x14ac:dyDescent="0.25">
      <c r="B52" s="243"/>
      <c r="C52" s="157" t="s">
        <v>649</v>
      </c>
      <c r="D52" s="157" t="s">
        <v>650</v>
      </c>
      <c r="E52" s="154" t="s">
        <v>633</v>
      </c>
      <c r="F52" s="244"/>
      <c r="G52" s="244"/>
      <c r="H52" s="244"/>
      <c r="I52" s="244"/>
      <c r="K52" s="245"/>
    </row>
    <row r="53" spans="2:11" s="13" customFormat="1" x14ac:dyDescent="0.25">
      <c r="B53" s="243"/>
      <c r="C53" s="157" t="s">
        <v>437</v>
      </c>
      <c r="D53" s="157" t="s">
        <v>651</v>
      </c>
      <c r="E53" s="154" t="s">
        <v>633</v>
      </c>
      <c r="F53" s="244"/>
      <c r="G53" s="244"/>
      <c r="H53" s="244"/>
      <c r="I53" s="244"/>
      <c r="K53" s="245"/>
    </row>
    <row r="54" spans="2:11" s="13" customFormat="1" x14ac:dyDescent="0.25">
      <c r="B54" s="243"/>
      <c r="C54" s="157" t="s">
        <v>652</v>
      </c>
      <c r="D54" s="157" t="s">
        <v>653</v>
      </c>
      <c r="E54" s="154" t="s">
        <v>633</v>
      </c>
      <c r="F54" s="244"/>
      <c r="G54" s="244"/>
      <c r="H54" s="244"/>
      <c r="I54" s="244"/>
      <c r="K54" s="245"/>
    </row>
    <row r="55" spans="2:11" s="13" customFormat="1" x14ac:dyDescent="0.25">
      <c r="B55" s="243"/>
      <c r="C55" s="157" t="s">
        <v>427</v>
      </c>
      <c r="D55" s="157" t="s">
        <v>1042</v>
      </c>
      <c r="E55" s="154" t="s">
        <v>633</v>
      </c>
      <c r="F55" s="244"/>
      <c r="G55" s="244"/>
      <c r="H55" s="244"/>
      <c r="I55" s="244"/>
      <c r="K55" s="245"/>
    </row>
    <row r="56" spans="2:11" s="13" customFormat="1" x14ac:dyDescent="0.25">
      <c r="B56" s="243"/>
      <c r="C56" s="157" t="s">
        <v>634</v>
      </c>
      <c r="D56" s="157" t="s">
        <v>1043</v>
      </c>
      <c r="E56" s="154" t="s">
        <v>633</v>
      </c>
      <c r="F56" s="244"/>
      <c r="G56" s="244"/>
      <c r="H56" s="244"/>
      <c r="I56" s="244"/>
      <c r="K56" s="245"/>
    </row>
    <row r="57" spans="2:11" s="13" customFormat="1" x14ac:dyDescent="0.25">
      <c r="B57" s="243"/>
      <c r="C57" s="157" t="s">
        <v>400</v>
      </c>
      <c r="D57" s="157" t="s">
        <v>601</v>
      </c>
      <c r="E57" s="154" t="s">
        <v>583</v>
      </c>
      <c r="F57" s="244"/>
      <c r="G57" s="244"/>
      <c r="H57" s="244"/>
      <c r="I57" s="244"/>
      <c r="K57" s="245"/>
    </row>
    <row r="58" spans="2:11" s="13" customFormat="1" x14ac:dyDescent="0.25">
      <c r="B58" s="243"/>
      <c r="C58" s="157" t="s">
        <v>479</v>
      </c>
      <c r="D58" s="157" t="s">
        <v>602</v>
      </c>
      <c r="E58" s="154" t="s">
        <v>583</v>
      </c>
      <c r="F58" s="244"/>
      <c r="G58" s="244"/>
      <c r="H58" s="244"/>
      <c r="I58" s="244"/>
      <c r="K58" s="245"/>
    </row>
    <row r="59" spans="2:11" s="13" customFormat="1" x14ac:dyDescent="0.25">
      <c r="B59" s="243"/>
      <c r="C59" s="157" t="s">
        <v>76</v>
      </c>
      <c r="D59" s="157" t="s">
        <v>603</v>
      </c>
      <c r="E59" s="154" t="s">
        <v>583</v>
      </c>
      <c r="F59" s="244"/>
      <c r="G59" s="244"/>
      <c r="H59" s="244"/>
      <c r="I59" s="244"/>
      <c r="K59" s="245"/>
    </row>
    <row r="60" spans="2:11" s="13" customFormat="1" x14ac:dyDescent="0.25">
      <c r="B60" s="243"/>
      <c r="C60" s="157" t="s">
        <v>494</v>
      </c>
      <c r="D60" s="157" t="s">
        <v>604</v>
      </c>
      <c r="E60" s="154" t="s">
        <v>583</v>
      </c>
      <c r="F60" s="244"/>
      <c r="G60" s="244"/>
      <c r="H60" s="244"/>
      <c r="I60" s="244"/>
      <c r="K60" s="245"/>
    </row>
    <row r="61" spans="2:11" s="13" customFormat="1" x14ac:dyDescent="0.25">
      <c r="B61" s="243"/>
      <c r="C61" s="157" t="s">
        <v>81</v>
      </c>
      <c r="D61" s="157" t="s">
        <v>605</v>
      </c>
      <c r="E61" s="154" t="s">
        <v>583</v>
      </c>
      <c r="F61" s="244"/>
      <c r="G61" s="244"/>
      <c r="H61" s="244"/>
      <c r="I61" s="244"/>
      <c r="K61" s="245"/>
    </row>
    <row r="62" spans="2:11" s="13" customFormat="1" x14ac:dyDescent="0.25">
      <c r="B62" s="243"/>
      <c r="C62" s="157" t="s">
        <v>606</v>
      </c>
      <c r="D62" s="157" t="s">
        <v>607</v>
      </c>
      <c r="E62" s="154" t="s">
        <v>583</v>
      </c>
      <c r="F62" s="244"/>
      <c r="G62" s="244"/>
      <c r="H62" s="244"/>
      <c r="I62" s="244"/>
      <c r="K62" s="245"/>
    </row>
    <row r="63" spans="2:11" s="13" customFormat="1" x14ac:dyDescent="0.25">
      <c r="B63" s="243"/>
      <c r="C63" s="157" t="s">
        <v>443</v>
      </c>
      <c r="D63" s="157" t="s">
        <v>654</v>
      </c>
      <c r="E63" s="154" t="s">
        <v>633</v>
      </c>
      <c r="F63" s="244"/>
      <c r="G63" s="244"/>
      <c r="H63" s="244"/>
      <c r="I63" s="244"/>
      <c r="K63" s="245"/>
    </row>
    <row r="64" spans="2:11" s="13" customFormat="1" x14ac:dyDescent="0.25">
      <c r="B64" s="243"/>
      <c r="C64" s="157" t="s">
        <v>655</v>
      </c>
      <c r="D64" s="157" t="s">
        <v>656</v>
      </c>
      <c r="E64" s="154" t="s">
        <v>633</v>
      </c>
      <c r="F64" s="244"/>
      <c r="G64" s="244"/>
      <c r="H64" s="244"/>
      <c r="I64" s="244"/>
      <c r="K64" s="245"/>
    </row>
    <row r="65" spans="2:11" s="13" customFormat="1" x14ac:dyDescent="0.25">
      <c r="B65" s="243"/>
      <c r="C65" s="157" t="s">
        <v>521</v>
      </c>
      <c r="D65" s="157" t="s">
        <v>608</v>
      </c>
      <c r="E65" s="154" t="s">
        <v>583</v>
      </c>
      <c r="F65" s="244"/>
      <c r="G65" s="244"/>
      <c r="H65" s="244"/>
      <c r="I65" s="244"/>
      <c r="K65" s="245"/>
    </row>
    <row r="66" spans="2:11" s="13" customFormat="1" x14ac:dyDescent="0.25">
      <c r="B66" s="243"/>
      <c r="C66" s="157" t="s">
        <v>609</v>
      </c>
      <c r="D66" s="157" t="s">
        <v>610</v>
      </c>
      <c r="E66" s="154" t="s">
        <v>583</v>
      </c>
      <c r="F66" s="244"/>
      <c r="G66" s="244"/>
      <c r="H66" s="244"/>
      <c r="I66" s="244"/>
      <c r="K66" s="245"/>
    </row>
    <row r="67" spans="2:11" s="13" customFormat="1" x14ac:dyDescent="0.25">
      <c r="B67" s="243"/>
      <c r="C67" s="157" t="s">
        <v>420</v>
      </c>
      <c r="D67" s="157" t="s">
        <v>1044</v>
      </c>
      <c r="E67" s="154" t="s">
        <v>85</v>
      </c>
      <c r="F67" s="244"/>
      <c r="G67" s="244"/>
      <c r="H67" s="244"/>
      <c r="I67" s="244"/>
      <c r="K67" s="245"/>
    </row>
    <row r="68" spans="2:11" s="13" customFormat="1" x14ac:dyDescent="0.25">
      <c r="B68" s="243"/>
      <c r="C68" s="157" t="s">
        <v>483</v>
      </c>
      <c r="D68" s="157" t="s">
        <v>612</v>
      </c>
      <c r="E68" s="154" t="s">
        <v>85</v>
      </c>
      <c r="F68" s="244"/>
      <c r="G68" s="244"/>
      <c r="H68" s="244"/>
      <c r="I68" s="244"/>
      <c r="K68" s="245"/>
    </row>
    <row r="69" spans="2:11" s="13" customFormat="1" x14ac:dyDescent="0.25">
      <c r="B69" s="246"/>
      <c r="C69" s="157" t="s">
        <v>657</v>
      </c>
      <c r="D69" s="157" t="s">
        <v>658</v>
      </c>
      <c r="E69" s="154" t="s">
        <v>85</v>
      </c>
      <c r="F69" s="244"/>
      <c r="G69" s="244"/>
      <c r="H69" s="244"/>
      <c r="I69" s="244"/>
      <c r="K69" s="245"/>
    </row>
    <row r="70" spans="2:11" s="13" customFormat="1" x14ac:dyDescent="0.25">
      <c r="B70" s="246"/>
      <c r="C70" s="157" t="s">
        <v>659</v>
      </c>
      <c r="D70" s="157" t="s">
        <v>660</v>
      </c>
      <c r="E70" s="154" t="s">
        <v>85</v>
      </c>
      <c r="F70" s="244"/>
      <c r="G70" s="244"/>
      <c r="H70" s="244"/>
      <c r="I70" s="244"/>
      <c r="K70" s="245"/>
    </row>
    <row r="71" spans="2:11" x14ac:dyDescent="0.25">
      <c r="B71" s="243"/>
      <c r="C71" s="157" t="s">
        <v>441</v>
      </c>
      <c r="D71" s="157" t="s">
        <v>661</v>
      </c>
      <c r="E71" s="154" t="s">
        <v>633</v>
      </c>
      <c r="F71" s="244"/>
      <c r="G71" s="244"/>
      <c r="H71" s="244"/>
      <c r="I71" s="244"/>
      <c r="J71" s="13"/>
      <c r="K71" s="245"/>
    </row>
    <row r="72" spans="2:11" x14ac:dyDescent="0.25">
      <c r="B72" s="246"/>
      <c r="C72" s="157" t="s">
        <v>662</v>
      </c>
      <c r="D72" s="157" t="str">
        <f>CONCATENATE(D71,"City.")</f>
        <v>Rail.Freight.City.</v>
      </c>
      <c r="E72" s="154" t="s">
        <v>633</v>
      </c>
      <c r="F72" s="244"/>
      <c r="G72" s="244"/>
      <c r="H72" s="244"/>
      <c r="I72" s="244"/>
      <c r="J72" s="13"/>
      <c r="K72" s="245"/>
    </row>
    <row r="73" spans="2:11" s="13" customFormat="1" x14ac:dyDescent="0.25">
      <c r="B73" s="246"/>
      <c r="C73" s="157" t="s">
        <v>419</v>
      </c>
      <c r="D73" s="157" t="s">
        <v>613</v>
      </c>
      <c r="E73" s="154" t="s">
        <v>583</v>
      </c>
      <c r="F73" s="244"/>
      <c r="G73" s="244"/>
      <c r="H73" s="244"/>
      <c r="I73" s="244"/>
      <c r="K73" s="245"/>
    </row>
    <row r="74" spans="2:11" s="13" customFormat="1" x14ac:dyDescent="0.25">
      <c r="B74" s="246"/>
      <c r="C74" s="157" t="s">
        <v>614</v>
      </c>
      <c r="D74" s="157" t="s">
        <v>615</v>
      </c>
      <c r="E74" s="154" t="s">
        <v>583</v>
      </c>
      <c r="F74" s="244"/>
      <c r="G74" s="244"/>
      <c r="H74" s="244"/>
      <c r="I74" s="244"/>
      <c r="K74" s="245"/>
    </row>
    <row r="75" spans="2:11" s="13" customFormat="1" x14ac:dyDescent="0.25">
      <c r="B75" s="246"/>
      <c r="C75" s="157" t="s">
        <v>511</v>
      </c>
      <c r="D75" s="157" t="s">
        <v>616</v>
      </c>
      <c r="E75" s="154" t="s">
        <v>583</v>
      </c>
      <c r="F75" s="244"/>
      <c r="G75" s="244"/>
      <c r="H75" s="244"/>
      <c r="I75" s="244"/>
      <c r="K75" s="245"/>
    </row>
    <row r="76" spans="2:11" s="13" customFormat="1" x14ac:dyDescent="0.25">
      <c r="B76" s="246"/>
      <c r="C76" s="157" t="s">
        <v>617</v>
      </c>
      <c r="D76" s="157" t="str">
        <f>CONCATENATE(D75,"City.")</f>
        <v>Rail.Passenger.LightRail.City.</v>
      </c>
      <c r="E76" s="154" t="s">
        <v>583</v>
      </c>
      <c r="F76" s="244"/>
      <c r="G76" s="244"/>
      <c r="H76" s="244"/>
      <c r="I76" s="244"/>
      <c r="K76" s="245"/>
    </row>
    <row r="77" spans="2:11" s="13" customFormat="1" x14ac:dyDescent="0.25">
      <c r="B77" s="251"/>
      <c r="C77" s="157" t="s">
        <v>513</v>
      </c>
      <c r="D77" s="157" t="s">
        <v>619</v>
      </c>
      <c r="E77" s="154" t="s">
        <v>583</v>
      </c>
      <c r="F77" s="244"/>
      <c r="G77" s="244"/>
      <c r="H77" s="244"/>
      <c r="I77" s="244"/>
      <c r="K77" s="245"/>
    </row>
    <row r="78" spans="2:11" s="13" customFormat="1" x14ac:dyDescent="0.25">
      <c r="B78" s="246"/>
      <c r="C78" s="157" t="s">
        <v>620</v>
      </c>
      <c r="D78" s="157" t="str">
        <f>CONCATENATE(D77,"City.")</f>
        <v>Rail.Passenger.Metro.City.</v>
      </c>
      <c r="E78" s="154" t="s">
        <v>583</v>
      </c>
      <c r="F78" s="244"/>
      <c r="G78" s="244"/>
      <c r="H78" s="244"/>
      <c r="I78" s="244"/>
      <c r="K78" s="245"/>
    </row>
    <row r="79" spans="2:11" x14ac:dyDescent="0.25">
      <c r="B79" s="243"/>
      <c r="C79" s="157" t="s">
        <v>417</v>
      </c>
      <c r="D79" s="157" t="s">
        <v>622</v>
      </c>
      <c r="E79" s="154" t="s">
        <v>583</v>
      </c>
      <c r="F79" s="244"/>
      <c r="G79" s="244"/>
      <c r="H79" s="244"/>
      <c r="I79" s="244"/>
      <c r="J79" s="13"/>
      <c r="K79" s="245"/>
    </row>
    <row r="80" spans="2:11" x14ac:dyDescent="0.25">
      <c r="B80" s="243"/>
      <c r="C80" s="157" t="s">
        <v>623</v>
      </c>
      <c r="D80" s="157" t="str">
        <f>CONCATENATE(D79,"City.")</f>
        <v>Rail.Passenger.City.</v>
      </c>
      <c r="E80" s="154" t="s">
        <v>583</v>
      </c>
      <c r="F80" s="244"/>
      <c r="G80" s="244"/>
      <c r="H80" s="244"/>
      <c r="I80" s="244"/>
      <c r="J80" s="13"/>
      <c r="K80" s="245"/>
    </row>
    <row r="81" spans="2:14" x14ac:dyDescent="0.25">
      <c r="B81" s="246"/>
      <c r="C81" s="157" t="s">
        <v>394</v>
      </c>
      <c r="D81" s="157" t="s">
        <v>625</v>
      </c>
      <c r="E81" s="154" t="s">
        <v>583</v>
      </c>
      <c r="F81" s="244"/>
      <c r="G81" s="244"/>
      <c r="H81" s="244"/>
      <c r="I81" s="244"/>
      <c r="J81" s="13"/>
      <c r="K81" s="245"/>
    </row>
    <row r="82" spans="2:14" x14ac:dyDescent="0.25">
      <c r="B82" s="246"/>
      <c r="C82" s="157" t="s">
        <v>470</v>
      </c>
      <c r="D82" s="157" t="s">
        <v>626</v>
      </c>
      <c r="E82" s="154" t="s">
        <v>583</v>
      </c>
      <c r="F82" s="244"/>
      <c r="G82" s="244"/>
      <c r="H82" s="244"/>
      <c r="I82" s="244"/>
      <c r="J82" s="13"/>
      <c r="K82" s="245"/>
    </row>
    <row r="83" spans="2:14" s="13" customFormat="1" x14ac:dyDescent="0.25">
      <c r="B83" s="243"/>
      <c r="C83" s="157" t="s">
        <v>425</v>
      </c>
      <c r="D83" s="157" t="s">
        <v>664</v>
      </c>
      <c r="E83" s="154" t="s">
        <v>633</v>
      </c>
      <c r="F83" s="244"/>
      <c r="G83" s="244"/>
      <c r="H83" s="244"/>
      <c r="I83" s="244"/>
      <c r="K83" s="245"/>
      <c r="M83" s="31"/>
      <c r="N83"/>
    </row>
    <row r="84" spans="2:14" s="13" customFormat="1" x14ac:dyDescent="0.25">
      <c r="B84" s="243"/>
      <c r="C84" s="157" t="s">
        <v>510</v>
      </c>
      <c r="D84" s="157" t="s">
        <v>665</v>
      </c>
      <c r="E84" s="154" t="s">
        <v>633</v>
      </c>
      <c r="F84" s="244"/>
      <c r="G84" s="244"/>
      <c r="H84" s="244"/>
      <c r="I84" s="244"/>
      <c r="K84" s="245"/>
      <c r="M84" s="31"/>
      <c r="N84"/>
    </row>
    <row r="85" spans="2:14" s="13" customFormat="1" x14ac:dyDescent="0.25">
      <c r="B85" s="243"/>
      <c r="C85" s="157" t="s">
        <v>398</v>
      </c>
      <c r="D85" s="157" t="s">
        <v>627</v>
      </c>
      <c r="E85" s="154" t="s">
        <v>583</v>
      </c>
      <c r="F85" s="244"/>
      <c r="G85" s="244"/>
      <c r="H85" s="244"/>
      <c r="I85" s="244"/>
      <c r="K85" s="245"/>
      <c r="N85"/>
    </row>
    <row r="86" spans="2:14" s="13" customFormat="1" x14ac:dyDescent="0.25">
      <c r="B86" s="243"/>
      <c r="C86" s="157" t="s">
        <v>473</v>
      </c>
      <c r="D86" s="157" t="s">
        <v>628</v>
      </c>
      <c r="E86" s="154" t="s">
        <v>583</v>
      </c>
      <c r="F86" s="244"/>
      <c r="G86" s="244"/>
      <c r="H86" s="244"/>
      <c r="I86" s="244"/>
      <c r="K86" s="245"/>
      <c r="N86"/>
    </row>
    <row r="87" spans="2:14" s="13" customFormat="1" x14ac:dyDescent="0.25">
      <c r="B87" s="243"/>
      <c r="C87" s="157" t="s">
        <v>423</v>
      </c>
      <c r="D87" s="157" t="s">
        <v>666</v>
      </c>
      <c r="E87" s="154" t="s">
        <v>633</v>
      </c>
      <c r="F87" s="244"/>
      <c r="G87" s="244"/>
      <c r="H87" s="244"/>
      <c r="I87" s="244"/>
      <c r="K87" s="245"/>
      <c r="N87"/>
    </row>
    <row r="88" spans="2:14" s="13" customFormat="1" x14ac:dyDescent="0.25">
      <c r="B88" s="243"/>
      <c r="C88" s="157" t="s">
        <v>509</v>
      </c>
      <c r="D88" s="157" t="s">
        <v>667</v>
      </c>
      <c r="E88" s="154" t="s">
        <v>633</v>
      </c>
      <c r="F88" s="244"/>
      <c r="G88" s="244"/>
      <c r="H88" s="244"/>
      <c r="I88" s="244"/>
      <c r="K88" s="245"/>
      <c r="N88"/>
    </row>
    <row r="89" spans="2:14" s="13" customFormat="1" x14ac:dyDescent="0.25">
      <c r="B89" s="243"/>
      <c r="C89" s="157" t="s">
        <v>396</v>
      </c>
      <c r="D89" s="157" t="s">
        <v>629</v>
      </c>
      <c r="E89" s="154" t="s">
        <v>583</v>
      </c>
      <c r="F89" s="244"/>
      <c r="G89" s="244"/>
      <c r="H89" s="244"/>
      <c r="I89" s="244"/>
      <c r="K89" s="245"/>
    </row>
    <row r="90" spans="2:14" s="13" customFormat="1" x14ac:dyDescent="0.25">
      <c r="B90" s="248"/>
      <c r="C90" s="158" t="s">
        <v>476</v>
      </c>
      <c r="D90" s="158" t="s">
        <v>630</v>
      </c>
      <c r="E90" s="156" t="s">
        <v>583</v>
      </c>
      <c r="F90" s="249"/>
      <c r="G90" s="249"/>
      <c r="H90" s="249"/>
      <c r="I90" s="249"/>
      <c r="K90" s="250"/>
    </row>
    <row r="91" spans="2:14" s="13" customFormat="1" x14ac:dyDescent="0.25"/>
    <row r="92" spans="2:14" s="13" customFormat="1" x14ac:dyDescent="0.25">
      <c r="B92" s="243"/>
      <c r="C92" s="153" t="s">
        <v>1045</v>
      </c>
      <c r="D92" s="154" t="s">
        <v>1046</v>
      </c>
      <c r="E92" s="154" t="s">
        <v>85</v>
      </c>
      <c r="F92" s="244"/>
      <c r="G92" s="244"/>
      <c r="H92" s="244"/>
      <c r="I92" s="244"/>
      <c r="K92" s="245"/>
    </row>
    <row r="93" spans="2:14" s="13" customFormat="1" x14ac:dyDescent="0.25">
      <c r="N93"/>
    </row>
    <row r="94" spans="2:14" s="13" customFormat="1" x14ac:dyDescent="0.25">
      <c r="B94" s="14"/>
      <c r="C94" s="14"/>
      <c r="D94" s="14"/>
      <c r="E94" s="14"/>
      <c r="F94" s="14"/>
      <c r="G94" s="14"/>
      <c r="H94" s="14"/>
      <c r="I94" s="14"/>
      <c r="J94" s="14"/>
      <c r="K94" s="14"/>
      <c r="N94"/>
    </row>
  </sheetData>
  <sortState xmlns:xlrd2="http://schemas.microsoft.com/office/spreadsheetml/2017/richdata2" ref="C29:E90">
    <sortCondition ref="C29:C90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theme="8"/>
  </sheetPr>
  <dimension ref="A1:BO426"/>
  <sheetViews>
    <sheetView topLeftCell="E1" zoomScale="70" zoomScaleNormal="70" workbookViewId="0">
      <selection activeCell="L30" sqref="L30"/>
    </sheetView>
  </sheetViews>
  <sheetFormatPr defaultRowHeight="15" x14ac:dyDescent="0.25"/>
  <cols>
    <col min="1" max="1" width="2.7109375" customWidth="1"/>
    <col min="2" max="2" width="29.42578125" customWidth="1"/>
    <col min="3" max="3" width="33.7109375" bestFit="1" customWidth="1"/>
    <col min="4" max="4" width="50.7109375" customWidth="1"/>
    <col min="5" max="5" width="45.28515625" bestFit="1" customWidth="1"/>
    <col min="6" max="6" width="11.28515625" customWidth="1"/>
    <col min="8" max="8" width="8.28515625" style="96" bestFit="1" customWidth="1"/>
    <col min="9" max="9" width="16.7109375" customWidth="1"/>
    <col min="10" max="10" width="10.7109375" customWidth="1"/>
    <col min="11" max="11" width="12.28515625" customWidth="1"/>
    <col min="12" max="26" width="8.7109375" customWidth="1"/>
    <col min="27" max="27" width="8.5703125" bestFit="1" customWidth="1"/>
    <col min="29" max="29" width="11" bestFit="1" customWidth="1"/>
    <col min="30" max="30" width="14.28515625" customWidth="1"/>
    <col min="31" max="31" width="16.7109375" bestFit="1" customWidth="1"/>
    <col min="32" max="32" width="10.140625" bestFit="1" customWidth="1"/>
    <col min="49" max="49" width="30" customWidth="1"/>
    <col min="50" max="50" width="11.7109375" bestFit="1" customWidth="1"/>
    <col min="51" max="51" width="10.85546875" bestFit="1" customWidth="1"/>
    <col min="63" max="63" width="10" bestFit="1" customWidth="1"/>
    <col min="67" max="67" width="10.85546875" style="23" customWidth="1"/>
    <col min="264" max="264" width="2.7109375" customWidth="1"/>
    <col min="265" max="265" width="29.42578125" customWidth="1"/>
    <col min="266" max="266" width="33.7109375" bestFit="1" customWidth="1"/>
    <col min="267" max="267" width="34.7109375" bestFit="1" customWidth="1"/>
    <col min="268" max="268" width="11" bestFit="1" customWidth="1"/>
    <col min="274" max="274" width="10.7109375" customWidth="1"/>
    <col min="275" max="275" width="11.28515625" bestFit="1" customWidth="1"/>
    <col min="277" max="277" width="7.28515625" customWidth="1"/>
    <col min="278" max="278" width="7.7109375" customWidth="1"/>
    <col min="520" max="520" width="2.7109375" customWidth="1"/>
    <col min="521" max="521" width="29.42578125" customWidth="1"/>
    <col min="522" max="522" width="33.7109375" bestFit="1" customWidth="1"/>
    <col min="523" max="523" width="34.7109375" bestFit="1" customWidth="1"/>
    <col min="524" max="524" width="11" bestFit="1" customWidth="1"/>
    <col min="530" max="530" width="10.7109375" customWidth="1"/>
    <col min="531" max="531" width="11.28515625" bestFit="1" customWidth="1"/>
    <col min="533" max="533" width="7.28515625" customWidth="1"/>
    <col min="534" max="534" width="7.7109375" customWidth="1"/>
    <col min="776" max="776" width="2.7109375" customWidth="1"/>
    <col min="777" max="777" width="29.42578125" customWidth="1"/>
    <col min="778" max="778" width="33.7109375" bestFit="1" customWidth="1"/>
    <col min="779" max="779" width="34.7109375" bestFit="1" customWidth="1"/>
    <col min="780" max="780" width="11" bestFit="1" customWidth="1"/>
    <col min="786" max="786" width="10.7109375" customWidth="1"/>
    <col min="787" max="787" width="11.28515625" bestFit="1" customWidth="1"/>
    <col min="789" max="789" width="7.28515625" customWidth="1"/>
    <col min="790" max="790" width="7.7109375" customWidth="1"/>
    <col min="1032" max="1032" width="2.7109375" customWidth="1"/>
    <col min="1033" max="1033" width="29.42578125" customWidth="1"/>
    <col min="1034" max="1034" width="33.7109375" bestFit="1" customWidth="1"/>
    <col min="1035" max="1035" width="34.7109375" bestFit="1" customWidth="1"/>
    <col min="1036" max="1036" width="11" bestFit="1" customWidth="1"/>
    <col min="1042" max="1042" width="10.7109375" customWidth="1"/>
    <col min="1043" max="1043" width="11.28515625" bestFit="1" customWidth="1"/>
    <col min="1045" max="1045" width="7.28515625" customWidth="1"/>
    <col min="1046" max="1046" width="7.7109375" customWidth="1"/>
    <col min="1288" max="1288" width="2.7109375" customWidth="1"/>
    <col min="1289" max="1289" width="29.42578125" customWidth="1"/>
    <col min="1290" max="1290" width="33.7109375" bestFit="1" customWidth="1"/>
    <col min="1291" max="1291" width="34.7109375" bestFit="1" customWidth="1"/>
    <col min="1292" max="1292" width="11" bestFit="1" customWidth="1"/>
    <col min="1298" max="1298" width="10.7109375" customWidth="1"/>
    <col min="1299" max="1299" width="11.28515625" bestFit="1" customWidth="1"/>
    <col min="1301" max="1301" width="7.28515625" customWidth="1"/>
    <col min="1302" max="1302" width="7.7109375" customWidth="1"/>
    <col min="1544" max="1544" width="2.7109375" customWidth="1"/>
    <col min="1545" max="1545" width="29.42578125" customWidth="1"/>
    <col min="1546" max="1546" width="33.7109375" bestFit="1" customWidth="1"/>
    <col min="1547" max="1547" width="34.7109375" bestFit="1" customWidth="1"/>
    <col min="1548" max="1548" width="11" bestFit="1" customWidth="1"/>
    <col min="1554" max="1554" width="10.7109375" customWidth="1"/>
    <col min="1555" max="1555" width="11.28515625" bestFit="1" customWidth="1"/>
    <col min="1557" max="1557" width="7.28515625" customWidth="1"/>
    <col min="1558" max="1558" width="7.7109375" customWidth="1"/>
    <col min="1800" max="1800" width="2.7109375" customWidth="1"/>
    <col min="1801" max="1801" width="29.42578125" customWidth="1"/>
    <col min="1802" max="1802" width="33.7109375" bestFit="1" customWidth="1"/>
    <col min="1803" max="1803" width="34.7109375" bestFit="1" customWidth="1"/>
    <col min="1804" max="1804" width="11" bestFit="1" customWidth="1"/>
    <col min="1810" max="1810" width="10.7109375" customWidth="1"/>
    <col min="1811" max="1811" width="11.28515625" bestFit="1" customWidth="1"/>
    <col min="1813" max="1813" width="7.28515625" customWidth="1"/>
    <col min="1814" max="1814" width="7.7109375" customWidth="1"/>
    <col min="2056" max="2056" width="2.7109375" customWidth="1"/>
    <col min="2057" max="2057" width="29.42578125" customWidth="1"/>
    <col min="2058" max="2058" width="33.7109375" bestFit="1" customWidth="1"/>
    <col min="2059" max="2059" width="34.7109375" bestFit="1" customWidth="1"/>
    <col min="2060" max="2060" width="11" bestFit="1" customWidth="1"/>
    <col min="2066" max="2066" width="10.7109375" customWidth="1"/>
    <col min="2067" max="2067" width="11.28515625" bestFit="1" customWidth="1"/>
    <col min="2069" max="2069" width="7.28515625" customWidth="1"/>
    <col min="2070" max="2070" width="7.7109375" customWidth="1"/>
    <col min="2312" max="2312" width="2.7109375" customWidth="1"/>
    <col min="2313" max="2313" width="29.42578125" customWidth="1"/>
    <col min="2314" max="2314" width="33.7109375" bestFit="1" customWidth="1"/>
    <col min="2315" max="2315" width="34.7109375" bestFit="1" customWidth="1"/>
    <col min="2316" max="2316" width="11" bestFit="1" customWidth="1"/>
    <col min="2322" max="2322" width="10.7109375" customWidth="1"/>
    <col min="2323" max="2323" width="11.28515625" bestFit="1" customWidth="1"/>
    <col min="2325" max="2325" width="7.28515625" customWidth="1"/>
    <col min="2326" max="2326" width="7.7109375" customWidth="1"/>
    <col min="2568" max="2568" width="2.7109375" customWidth="1"/>
    <col min="2569" max="2569" width="29.42578125" customWidth="1"/>
    <col min="2570" max="2570" width="33.7109375" bestFit="1" customWidth="1"/>
    <col min="2571" max="2571" width="34.7109375" bestFit="1" customWidth="1"/>
    <col min="2572" max="2572" width="11" bestFit="1" customWidth="1"/>
    <col min="2578" max="2578" width="10.7109375" customWidth="1"/>
    <col min="2579" max="2579" width="11.28515625" bestFit="1" customWidth="1"/>
    <col min="2581" max="2581" width="7.28515625" customWidth="1"/>
    <col min="2582" max="2582" width="7.7109375" customWidth="1"/>
    <col min="2824" max="2824" width="2.7109375" customWidth="1"/>
    <col min="2825" max="2825" width="29.42578125" customWidth="1"/>
    <col min="2826" max="2826" width="33.7109375" bestFit="1" customWidth="1"/>
    <col min="2827" max="2827" width="34.7109375" bestFit="1" customWidth="1"/>
    <col min="2828" max="2828" width="11" bestFit="1" customWidth="1"/>
    <col min="2834" max="2834" width="10.7109375" customWidth="1"/>
    <col min="2835" max="2835" width="11.28515625" bestFit="1" customWidth="1"/>
    <col min="2837" max="2837" width="7.28515625" customWidth="1"/>
    <col min="2838" max="2838" width="7.7109375" customWidth="1"/>
    <col min="3080" max="3080" width="2.7109375" customWidth="1"/>
    <col min="3081" max="3081" width="29.42578125" customWidth="1"/>
    <col min="3082" max="3082" width="33.7109375" bestFit="1" customWidth="1"/>
    <col min="3083" max="3083" width="34.7109375" bestFit="1" customWidth="1"/>
    <col min="3084" max="3084" width="11" bestFit="1" customWidth="1"/>
    <col min="3090" max="3090" width="10.7109375" customWidth="1"/>
    <col min="3091" max="3091" width="11.28515625" bestFit="1" customWidth="1"/>
    <col min="3093" max="3093" width="7.28515625" customWidth="1"/>
    <col min="3094" max="3094" width="7.7109375" customWidth="1"/>
    <col min="3336" max="3336" width="2.7109375" customWidth="1"/>
    <col min="3337" max="3337" width="29.42578125" customWidth="1"/>
    <col min="3338" max="3338" width="33.7109375" bestFit="1" customWidth="1"/>
    <col min="3339" max="3339" width="34.7109375" bestFit="1" customWidth="1"/>
    <col min="3340" max="3340" width="11" bestFit="1" customWidth="1"/>
    <col min="3346" max="3346" width="10.7109375" customWidth="1"/>
    <col min="3347" max="3347" width="11.28515625" bestFit="1" customWidth="1"/>
    <col min="3349" max="3349" width="7.28515625" customWidth="1"/>
    <col min="3350" max="3350" width="7.7109375" customWidth="1"/>
    <col min="3592" max="3592" width="2.7109375" customWidth="1"/>
    <col min="3593" max="3593" width="29.42578125" customWidth="1"/>
    <col min="3594" max="3594" width="33.7109375" bestFit="1" customWidth="1"/>
    <col min="3595" max="3595" width="34.7109375" bestFit="1" customWidth="1"/>
    <col min="3596" max="3596" width="11" bestFit="1" customWidth="1"/>
    <col min="3602" max="3602" width="10.7109375" customWidth="1"/>
    <col min="3603" max="3603" width="11.28515625" bestFit="1" customWidth="1"/>
    <col min="3605" max="3605" width="7.28515625" customWidth="1"/>
    <col min="3606" max="3606" width="7.7109375" customWidth="1"/>
    <col min="3848" max="3848" width="2.7109375" customWidth="1"/>
    <col min="3849" max="3849" width="29.42578125" customWidth="1"/>
    <col min="3850" max="3850" width="33.7109375" bestFit="1" customWidth="1"/>
    <col min="3851" max="3851" width="34.7109375" bestFit="1" customWidth="1"/>
    <col min="3852" max="3852" width="11" bestFit="1" customWidth="1"/>
    <col min="3858" max="3858" width="10.7109375" customWidth="1"/>
    <col min="3859" max="3859" width="11.28515625" bestFit="1" customWidth="1"/>
    <col min="3861" max="3861" width="7.28515625" customWidth="1"/>
    <col min="3862" max="3862" width="7.7109375" customWidth="1"/>
    <col min="4104" max="4104" width="2.7109375" customWidth="1"/>
    <col min="4105" max="4105" width="29.42578125" customWidth="1"/>
    <col min="4106" max="4106" width="33.7109375" bestFit="1" customWidth="1"/>
    <col min="4107" max="4107" width="34.7109375" bestFit="1" customWidth="1"/>
    <col min="4108" max="4108" width="11" bestFit="1" customWidth="1"/>
    <col min="4114" max="4114" width="10.7109375" customWidth="1"/>
    <col min="4115" max="4115" width="11.28515625" bestFit="1" customWidth="1"/>
    <col min="4117" max="4117" width="7.28515625" customWidth="1"/>
    <col min="4118" max="4118" width="7.7109375" customWidth="1"/>
    <col min="4360" max="4360" width="2.7109375" customWidth="1"/>
    <col min="4361" max="4361" width="29.42578125" customWidth="1"/>
    <col min="4362" max="4362" width="33.7109375" bestFit="1" customWidth="1"/>
    <col min="4363" max="4363" width="34.7109375" bestFit="1" customWidth="1"/>
    <col min="4364" max="4364" width="11" bestFit="1" customWidth="1"/>
    <col min="4370" max="4370" width="10.7109375" customWidth="1"/>
    <col min="4371" max="4371" width="11.28515625" bestFit="1" customWidth="1"/>
    <col min="4373" max="4373" width="7.28515625" customWidth="1"/>
    <col min="4374" max="4374" width="7.7109375" customWidth="1"/>
    <col min="4616" max="4616" width="2.7109375" customWidth="1"/>
    <col min="4617" max="4617" width="29.42578125" customWidth="1"/>
    <col min="4618" max="4618" width="33.7109375" bestFit="1" customWidth="1"/>
    <col min="4619" max="4619" width="34.7109375" bestFit="1" customWidth="1"/>
    <col min="4620" max="4620" width="11" bestFit="1" customWidth="1"/>
    <col min="4626" max="4626" width="10.7109375" customWidth="1"/>
    <col min="4627" max="4627" width="11.28515625" bestFit="1" customWidth="1"/>
    <col min="4629" max="4629" width="7.28515625" customWidth="1"/>
    <col min="4630" max="4630" width="7.7109375" customWidth="1"/>
    <col min="4872" max="4872" width="2.7109375" customWidth="1"/>
    <col min="4873" max="4873" width="29.42578125" customWidth="1"/>
    <col min="4874" max="4874" width="33.7109375" bestFit="1" customWidth="1"/>
    <col min="4875" max="4875" width="34.7109375" bestFit="1" customWidth="1"/>
    <col min="4876" max="4876" width="11" bestFit="1" customWidth="1"/>
    <col min="4882" max="4882" width="10.7109375" customWidth="1"/>
    <col min="4883" max="4883" width="11.28515625" bestFit="1" customWidth="1"/>
    <col min="4885" max="4885" width="7.28515625" customWidth="1"/>
    <col min="4886" max="4886" width="7.7109375" customWidth="1"/>
    <col min="5128" max="5128" width="2.7109375" customWidth="1"/>
    <col min="5129" max="5129" width="29.42578125" customWidth="1"/>
    <col min="5130" max="5130" width="33.7109375" bestFit="1" customWidth="1"/>
    <col min="5131" max="5131" width="34.7109375" bestFit="1" customWidth="1"/>
    <col min="5132" max="5132" width="11" bestFit="1" customWidth="1"/>
    <col min="5138" max="5138" width="10.7109375" customWidth="1"/>
    <col min="5139" max="5139" width="11.28515625" bestFit="1" customWidth="1"/>
    <col min="5141" max="5141" width="7.28515625" customWidth="1"/>
    <col min="5142" max="5142" width="7.7109375" customWidth="1"/>
    <col min="5384" max="5384" width="2.7109375" customWidth="1"/>
    <col min="5385" max="5385" width="29.42578125" customWidth="1"/>
    <col min="5386" max="5386" width="33.7109375" bestFit="1" customWidth="1"/>
    <col min="5387" max="5387" width="34.7109375" bestFit="1" customWidth="1"/>
    <col min="5388" max="5388" width="11" bestFit="1" customWidth="1"/>
    <col min="5394" max="5394" width="10.7109375" customWidth="1"/>
    <col min="5395" max="5395" width="11.28515625" bestFit="1" customWidth="1"/>
    <col min="5397" max="5397" width="7.28515625" customWidth="1"/>
    <col min="5398" max="5398" width="7.7109375" customWidth="1"/>
    <col min="5640" max="5640" width="2.7109375" customWidth="1"/>
    <col min="5641" max="5641" width="29.42578125" customWidth="1"/>
    <col min="5642" max="5642" width="33.7109375" bestFit="1" customWidth="1"/>
    <col min="5643" max="5643" width="34.7109375" bestFit="1" customWidth="1"/>
    <col min="5644" max="5644" width="11" bestFit="1" customWidth="1"/>
    <col min="5650" max="5650" width="10.7109375" customWidth="1"/>
    <col min="5651" max="5651" width="11.28515625" bestFit="1" customWidth="1"/>
    <col min="5653" max="5653" width="7.28515625" customWidth="1"/>
    <col min="5654" max="5654" width="7.7109375" customWidth="1"/>
    <col min="5896" max="5896" width="2.7109375" customWidth="1"/>
    <col min="5897" max="5897" width="29.42578125" customWidth="1"/>
    <col min="5898" max="5898" width="33.7109375" bestFit="1" customWidth="1"/>
    <col min="5899" max="5899" width="34.7109375" bestFit="1" customWidth="1"/>
    <col min="5900" max="5900" width="11" bestFit="1" customWidth="1"/>
    <col min="5906" max="5906" width="10.7109375" customWidth="1"/>
    <col min="5907" max="5907" width="11.28515625" bestFit="1" customWidth="1"/>
    <col min="5909" max="5909" width="7.28515625" customWidth="1"/>
    <col min="5910" max="5910" width="7.7109375" customWidth="1"/>
    <col min="6152" max="6152" width="2.7109375" customWidth="1"/>
    <col min="6153" max="6153" width="29.42578125" customWidth="1"/>
    <col min="6154" max="6154" width="33.7109375" bestFit="1" customWidth="1"/>
    <col min="6155" max="6155" width="34.7109375" bestFit="1" customWidth="1"/>
    <col min="6156" max="6156" width="11" bestFit="1" customWidth="1"/>
    <col min="6162" max="6162" width="10.7109375" customWidth="1"/>
    <col min="6163" max="6163" width="11.28515625" bestFit="1" customWidth="1"/>
    <col min="6165" max="6165" width="7.28515625" customWidth="1"/>
    <col min="6166" max="6166" width="7.7109375" customWidth="1"/>
    <col min="6408" max="6408" width="2.7109375" customWidth="1"/>
    <col min="6409" max="6409" width="29.42578125" customWidth="1"/>
    <col min="6410" max="6410" width="33.7109375" bestFit="1" customWidth="1"/>
    <col min="6411" max="6411" width="34.7109375" bestFit="1" customWidth="1"/>
    <col min="6412" max="6412" width="11" bestFit="1" customWidth="1"/>
    <col min="6418" max="6418" width="10.7109375" customWidth="1"/>
    <col min="6419" max="6419" width="11.28515625" bestFit="1" customWidth="1"/>
    <col min="6421" max="6421" width="7.28515625" customWidth="1"/>
    <col min="6422" max="6422" width="7.7109375" customWidth="1"/>
    <col min="6664" max="6664" width="2.7109375" customWidth="1"/>
    <col min="6665" max="6665" width="29.42578125" customWidth="1"/>
    <col min="6666" max="6666" width="33.7109375" bestFit="1" customWidth="1"/>
    <col min="6667" max="6667" width="34.7109375" bestFit="1" customWidth="1"/>
    <col min="6668" max="6668" width="11" bestFit="1" customWidth="1"/>
    <col min="6674" max="6674" width="10.7109375" customWidth="1"/>
    <col min="6675" max="6675" width="11.28515625" bestFit="1" customWidth="1"/>
    <col min="6677" max="6677" width="7.28515625" customWidth="1"/>
    <col min="6678" max="6678" width="7.7109375" customWidth="1"/>
    <col min="6920" max="6920" width="2.7109375" customWidth="1"/>
    <col min="6921" max="6921" width="29.42578125" customWidth="1"/>
    <col min="6922" max="6922" width="33.7109375" bestFit="1" customWidth="1"/>
    <col min="6923" max="6923" width="34.7109375" bestFit="1" customWidth="1"/>
    <col min="6924" max="6924" width="11" bestFit="1" customWidth="1"/>
    <col min="6930" max="6930" width="10.7109375" customWidth="1"/>
    <col min="6931" max="6931" width="11.28515625" bestFit="1" customWidth="1"/>
    <col min="6933" max="6933" width="7.28515625" customWidth="1"/>
    <col min="6934" max="6934" width="7.7109375" customWidth="1"/>
    <col min="7176" max="7176" width="2.7109375" customWidth="1"/>
    <col min="7177" max="7177" width="29.42578125" customWidth="1"/>
    <col min="7178" max="7178" width="33.7109375" bestFit="1" customWidth="1"/>
    <col min="7179" max="7179" width="34.7109375" bestFit="1" customWidth="1"/>
    <col min="7180" max="7180" width="11" bestFit="1" customWidth="1"/>
    <col min="7186" max="7186" width="10.7109375" customWidth="1"/>
    <col min="7187" max="7187" width="11.28515625" bestFit="1" customWidth="1"/>
    <col min="7189" max="7189" width="7.28515625" customWidth="1"/>
    <col min="7190" max="7190" width="7.7109375" customWidth="1"/>
    <col min="7432" max="7432" width="2.7109375" customWidth="1"/>
    <col min="7433" max="7433" width="29.42578125" customWidth="1"/>
    <col min="7434" max="7434" width="33.7109375" bestFit="1" customWidth="1"/>
    <col min="7435" max="7435" width="34.7109375" bestFit="1" customWidth="1"/>
    <col min="7436" max="7436" width="11" bestFit="1" customWidth="1"/>
    <col min="7442" max="7442" width="10.7109375" customWidth="1"/>
    <col min="7443" max="7443" width="11.28515625" bestFit="1" customWidth="1"/>
    <col min="7445" max="7445" width="7.28515625" customWidth="1"/>
    <col min="7446" max="7446" width="7.7109375" customWidth="1"/>
    <col min="7688" max="7688" width="2.7109375" customWidth="1"/>
    <col min="7689" max="7689" width="29.42578125" customWidth="1"/>
    <col min="7690" max="7690" width="33.7109375" bestFit="1" customWidth="1"/>
    <col min="7691" max="7691" width="34.7109375" bestFit="1" customWidth="1"/>
    <col min="7692" max="7692" width="11" bestFit="1" customWidth="1"/>
    <col min="7698" max="7698" width="10.7109375" customWidth="1"/>
    <col min="7699" max="7699" width="11.28515625" bestFit="1" customWidth="1"/>
    <col min="7701" max="7701" width="7.28515625" customWidth="1"/>
    <col min="7702" max="7702" width="7.7109375" customWidth="1"/>
    <col min="7944" max="7944" width="2.7109375" customWidth="1"/>
    <col min="7945" max="7945" width="29.42578125" customWidth="1"/>
    <col min="7946" max="7946" width="33.7109375" bestFit="1" customWidth="1"/>
    <col min="7947" max="7947" width="34.7109375" bestFit="1" customWidth="1"/>
    <col min="7948" max="7948" width="11" bestFit="1" customWidth="1"/>
    <col min="7954" max="7954" width="10.7109375" customWidth="1"/>
    <col min="7955" max="7955" width="11.28515625" bestFit="1" customWidth="1"/>
    <col min="7957" max="7957" width="7.28515625" customWidth="1"/>
    <col min="7958" max="7958" width="7.7109375" customWidth="1"/>
    <col min="8200" max="8200" width="2.7109375" customWidth="1"/>
    <col min="8201" max="8201" width="29.42578125" customWidth="1"/>
    <col min="8202" max="8202" width="33.7109375" bestFit="1" customWidth="1"/>
    <col min="8203" max="8203" width="34.7109375" bestFit="1" customWidth="1"/>
    <col min="8204" max="8204" width="11" bestFit="1" customWidth="1"/>
    <col min="8210" max="8210" width="10.7109375" customWidth="1"/>
    <col min="8211" max="8211" width="11.28515625" bestFit="1" customWidth="1"/>
    <col min="8213" max="8213" width="7.28515625" customWidth="1"/>
    <col min="8214" max="8214" width="7.7109375" customWidth="1"/>
    <col min="8456" max="8456" width="2.7109375" customWidth="1"/>
    <col min="8457" max="8457" width="29.42578125" customWidth="1"/>
    <col min="8458" max="8458" width="33.7109375" bestFit="1" customWidth="1"/>
    <col min="8459" max="8459" width="34.7109375" bestFit="1" customWidth="1"/>
    <col min="8460" max="8460" width="11" bestFit="1" customWidth="1"/>
    <col min="8466" max="8466" width="10.7109375" customWidth="1"/>
    <col min="8467" max="8467" width="11.28515625" bestFit="1" customWidth="1"/>
    <col min="8469" max="8469" width="7.28515625" customWidth="1"/>
    <col min="8470" max="8470" width="7.7109375" customWidth="1"/>
    <col min="8712" max="8712" width="2.7109375" customWidth="1"/>
    <col min="8713" max="8713" width="29.42578125" customWidth="1"/>
    <col min="8714" max="8714" width="33.7109375" bestFit="1" customWidth="1"/>
    <col min="8715" max="8715" width="34.7109375" bestFit="1" customWidth="1"/>
    <col min="8716" max="8716" width="11" bestFit="1" customWidth="1"/>
    <col min="8722" max="8722" width="10.7109375" customWidth="1"/>
    <col min="8723" max="8723" width="11.28515625" bestFit="1" customWidth="1"/>
    <col min="8725" max="8725" width="7.28515625" customWidth="1"/>
    <col min="8726" max="8726" width="7.7109375" customWidth="1"/>
    <col min="8968" max="8968" width="2.7109375" customWidth="1"/>
    <col min="8969" max="8969" width="29.42578125" customWidth="1"/>
    <col min="8970" max="8970" width="33.7109375" bestFit="1" customWidth="1"/>
    <col min="8971" max="8971" width="34.7109375" bestFit="1" customWidth="1"/>
    <col min="8972" max="8972" width="11" bestFit="1" customWidth="1"/>
    <col min="8978" max="8978" width="10.7109375" customWidth="1"/>
    <col min="8979" max="8979" width="11.28515625" bestFit="1" customWidth="1"/>
    <col min="8981" max="8981" width="7.28515625" customWidth="1"/>
    <col min="8982" max="8982" width="7.7109375" customWidth="1"/>
    <col min="9224" max="9224" width="2.7109375" customWidth="1"/>
    <col min="9225" max="9225" width="29.42578125" customWidth="1"/>
    <col min="9226" max="9226" width="33.7109375" bestFit="1" customWidth="1"/>
    <col min="9227" max="9227" width="34.7109375" bestFit="1" customWidth="1"/>
    <col min="9228" max="9228" width="11" bestFit="1" customWidth="1"/>
    <col min="9234" max="9234" width="10.7109375" customWidth="1"/>
    <col min="9235" max="9235" width="11.28515625" bestFit="1" customWidth="1"/>
    <col min="9237" max="9237" width="7.28515625" customWidth="1"/>
    <col min="9238" max="9238" width="7.7109375" customWidth="1"/>
    <col min="9480" max="9480" width="2.7109375" customWidth="1"/>
    <col min="9481" max="9481" width="29.42578125" customWidth="1"/>
    <col min="9482" max="9482" width="33.7109375" bestFit="1" customWidth="1"/>
    <col min="9483" max="9483" width="34.7109375" bestFit="1" customWidth="1"/>
    <col min="9484" max="9484" width="11" bestFit="1" customWidth="1"/>
    <col min="9490" max="9490" width="10.7109375" customWidth="1"/>
    <col min="9491" max="9491" width="11.28515625" bestFit="1" customWidth="1"/>
    <col min="9493" max="9493" width="7.28515625" customWidth="1"/>
    <col min="9494" max="9494" width="7.7109375" customWidth="1"/>
    <col min="9736" max="9736" width="2.7109375" customWidth="1"/>
    <col min="9737" max="9737" width="29.42578125" customWidth="1"/>
    <col min="9738" max="9738" width="33.7109375" bestFit="1" customWidth="1"/>
    <col min="9739" max="9739" width="34.7109375" bestFit="1" customWidth="1"/>
    <col min="9740" max="9740" width="11" bestFit="1" customWidth="1"/>
    <col min="9746" max="9746" width="10.7109375" customWidth="1"/>
    <col min="9747" max="9747" width="11.28515625" bestFit="1" customWidth="1"/>
    <col min="9749" max="9749" width="7.28515625" customWidth="1"/>
    <col min="9750" max="9750" width="7.7109375" customWidth="1"/>
    <col min="9992" max="9992" width="2.7109375" customWidth="1"/>
    <col min="9993" max="9993" width="29.42578125" customWidth="1"/>
    <col min="9994" max="9994" width="33.7109375" bestFit="1" customWidth="1"/>
    <col min="9995" max="9995" width="34.7109375" bestFit="1" customWidth="1"/>
    <col min="9996" max="9996" width="11" bestFit="1" customWidth="1"/>
    <col min="10002" max="10002" width="10.7109375" customWidth="1"/>
    <col min="10003" max="10003" width="11.28515625" bestFit="1" customWidth="1"/>
    <col min="10005" max="10005" width="7.28515625" customWidth="1"/>
    <col min="10006" max="10006" width="7.7109375" customWidth="1"/>
    <col min="10248" max="10248" width="2.7109375" customWidth="1"/>
    <col min="10249" max="10249" width="29.42578125" customWidth="1"/>
    <col min="10250" max="10250" width="33.7109375" bestFit="1" customWidth="1"/>
    <col min="10251" max="10251" width="34.7109375" bestFit="1" customWidth="1"/>
    <col min="10252" max="10252" width="11" bestFit="1" customWidth="1"/>
    <col min="10258" max="10258" width="10.7109375" customWidth="1"/>
    <col min="10259" max="10259" width="11.28515625" bestFit="1" customWidth="1"/>
    <col min="10261" max="10261" width="7.28515625" customWidth="1"/>
    <col min="10262" max="10262" width="7.7109375" customWidth="1"/>
    <col min="10504" max="10504" width="2.7109375" customWidth="1"/>
    <col min="10505" max="10505" width="29.42578125" customWidth="1"/>
    <col min="10506" max="10506" width="33.7109375" bestFit="1" customWidth="1"/>
    <col min="10507" max="10507" width="34.7109375" bestFit="1" customWidth="1"/>
    <col min="10508" max="10508" width="11" bestFit="1" customWidth="1"/>
    <col min="10514" max="10514" width="10.7109375" customWidth="1"/>
    <col min="10515" max="10515" width="11.28515625" bestFit="1" customWidth="1"/>
    <col min="10517" max="10517" width="7.28515625" customWidth="1"/>
    <col min="10518" max="10518" width="7.7109375" customWidth="1"/>
    <col min="10760" max="10760" width="2.7109375" customWidth="1"/>
    <col min="10761" max="10761" width="29.42578125" customWidth="1"/>
    <col min="10762" max="10762" width="33.7109375" bestFit="1" customWidth="1"/>
    <col min="10763" max="10763" width="34.7109375" bestFit="1" customWidth="1"/>
    <col min="10764" max="10764" width="11" bestFit="1" customWidth="1"/>
    <col min="10770" max="10770" width="10.7109375" customWidth="1"/>
    <col min="10771" max="10771" width="11.28515625" bestFit="1" customWidth="1"/>
    <col min="10773" max="10773" width="7.28515625" customWidth="1"/>
    <col min="10774" max="10774" width="7.7109375" customWidth="1"/>
    <col min="11016" max="11016" width="2.7109375" customWidth="1"/>
    <col min="11017" max="11017" width="29.42578125" customWidth="1"/>
    <col min="11018" max="11018" width="33.7109375" bestFit="1" customWidth="1"/>
    <col min="11019" max="11019" width="34.7109375" bestFit="1" customWidth="1"/>
    <col min="11020" max="11020" width="11" bestFit="1" customWidth="1"/>
    <col min="11026" max="11026" width="10.7109375" customWidth="1"/>
    <col min="11027" max="11027" width="11.28515625" bestFit="1" customWidth="1"/>
    <col min="11029" max="11029" width="7.28515625" customWidth="1"/>
    <col min="11030" max="11030" width="7.7109375" customWidth="1"/>
    <col min="11272" max="11272" width="2.7109375" customWidth="1"/>
    <col min="11273" max="11273" width="29.42578125" customWidth="1"/>
    <col min="11274" max="11274" width="33.7109375" bestFit="1" customWidth="1"/>
    <col min="11275" max="11275" width="34.7109375" bestFit="1" customWidth="1"/>
    <col min="11276" max="11276" width="11" bestFit="1" customWidth="1"/>
    <col min="11282" max="11282" width="10.7109375" customWidth="1"/>
    <col min="11283" max="11283" width="11.28515625" bestFit="1" customWidth="1"/>
    <col min="11285" max="11285" width="7.28515625" customWidth="1"/>
    <col min="11286" max="11286" width="7.7109375" customWidth="1"/>
    <col min="11528" max="11528" width="2.7109375" customWidth="1"/>
    <col min="11529" max="11529" width="29.42578125" customWidth="1"/>
    <col min="11530" max="11530" width="33.7109375" bestFit="1" customWidth="1"/>
    <col min="11531" max="11531" width="34.7109375" bestFit="1" customWidth="1"/>
    <col min="11532" max="11532" width="11" bestFit="1" customWidth="1"/>
    <col min="11538" max="11538" width="10.7109375" customWidth="1"/>
    <col min="11539" max="11539" width="11.28515625" bestFit="1" customWidth="1"/>
    <col min="11541" max="11541" width="7.28515625" customWidth="1"/>
    <col min="11542" max="11542" width="7.7109375" customWidth="1"/>
    <col min="11784" max="11784" width="2.7109375" customWidth="1"/>
    <col min="11785" max="11785" width="29.42578125" customWidth="1"/>
    <col min="11786" max="11786" width="33.7109375" bestFit="1" customWidth="1"/>
    <col min="11787" max="11787" width="34.7109375" bestFit="1" customWidth="1"/>
    <col min="11788" max="11788" width="11" bestFit="1" customWidth="1"/>
    <col min="11794" max="11794" width="10.7109375" customWidth="1"/>
    <col min="11795" max="11795" width="11.28515625" bestFit="1" customWidth="1"/>
    <col min="11797" max="11797" width="7.28515625" customWidth="1"/>
    <col min="11798" max="11798" width="7.7109375" customWidth="1"/>
    <col min="12040" max="12040" width="2.7109375" customWidth="1"/>
    <col min="12041" max="12041" width="29.42578125" customWidth="1"/>
    <col min="12042" max="12042" width="33.7109375" bestFit="1" customWidth="1"/>
    <col min="12043" max="12043" width="34.7109375" bestFit="1" customWidth="1"/>
    <col min="12044" max="12044" width="11" bestFit="1" customWidth="1"/>
    <col min="12050" max="12050" width="10.7109375" customWidth="1"/>
    <col min="12051" max="12051" width="11.28515625" bestFit="1" customWidth="1"/>
    <col min="12053" max="12053" width="7.28515625" customWidth="1"/>
    <col min="12054" max="12054" width="7.7109375" customWidth="1"/>
    <col min="12296" max="12296" width="2.7109375" customWidth="1"/>
    <col min="12297" max="12297" width="29.42578125" customWidth="1"/>
    <col min="12298" max="12298" width="33.7109375" bestFit="1" customWidth="1"/>
    <col min="12299" max="12299" width="34.7109375" bestFit="1" customWidth="1"/>
    <col min="12300" max="12300" width="11" bestFit="1" customWidth="1"/>
    <col min="12306" max="12306" width="10.7109375" customWidth="1"/>
    <col min="12307" max="12307" width="11.28515625" bestFit="1" customWidth="1"/>
    <col min="12309" max="12309" width="7.28515625" customWidth="1"/>
    <col min="12310" max="12310" width="7.7109375" customWidth="1"/>
    <col min="12552" max="12552" width="2.7109375" customWidth="1"/>
    <col min="12553" max="12553" width="29.42578125" customWidth="1"/>
    <col min="12554" max="12554" width="33.7109375" bestFit="1" customWidth="1"/>
    <col min="12555" max="12555" width="34.7109375" bestFit="1" customWidth="1"/>
    <col min="12556" max="12556" width="11" bestFit="1" customWidth="1"/>
    <col min="12562" max="12562" width="10.7109375" customWidth="1"/>
    <col min="12563" max="12563" width="11.28515625" bestFit="1" customWidth="1"/>
    <col min="12565" max="12565" width="7.28515625" customWidth="1"/>
    <col min="12566" max="12566" width="7.7109375" customWidth="1"/>
    <col min="12808" max="12808" width="2.7109375" customWidth="1"/>
    <col min="12809" max="12809" width="29.42578125" customWidth="1"/>
    <col min="12810" max="12810" width="33.7109375" bestFit="1" customWidth="1"/>
    <col min="12811" max="12811" width="34.7109375" bestFit="1" customWidth="1"/>
    <col min="12812" max="12812" width="11" bestFit="1" customWidth="1"/>
    <col min="12818" max="12818" width="10.7109375" customWidth="1"/>
    <col min="12819" max="12819" width="11.28515625" bestFit="1" customWidth="1"/>
    <col min="12821" max="12821" width="7.28515625" customWidth="1"/>
    <col min="12822" max="12822" width="7.7109375" customWidth="1"/>
    <col min="13064" max="13064" width="2.7109375" customWidth="1"/>
    <col min="13065" max="13065" width="29.42578125" customWidth="1"/>
    <col min="13066" max="13066" width="33.7109375" bestFit="1" customWidth="1"/>
    <col min="13067" max="13067" width="34.7109375" bestFit="1" customWidth="1"/>
    <col min="13068" max="13068" width="11" bestFit="1" customWidth="1"/>
    <col min="13074" max="13074" width="10.7109375" customWidth="1"/>
    <col min="13075" max="13075" width="11.28515625" bestFit="1" customWidth="1"/>
    <col min="13077" max="13077" width="7.28515625" customWidth="1"/>
    <col min="13078" max="13078" width="7.7109375" customWidth="1"/>
    <col min="13320" max="13320" width="2.7109375" customWidth="1"/>
    <col min="13321" max="13321" width="29.42578125" customWidth="1"/>
    <col min="13322" max="13322" width="33.7109375" bestFit="1" customWidth="1"/>
    <col min="13323" max="13323" width="34.7109375" bestFit="1" customWidth="1"/>
    <col min="13324" max="13324" width="11" bestFit="1" customWidth="1"/>
    <col min="13330" max="13330" width="10.7109375" customWidth="1"/>
    <col min="13331" max="13331" width="11.28515625" bestFit="1" customWidth="1"/>
    <col min="13333" max="13333" width="7.28515625" customWidth="1"/>
    <col min="13334" max="13334" width="7.7109375" customWidth="1"/>
    <col min="13576" max="13576" width="2.7109375" customWidth="1"/>
    <col min="13577" max="13577" width="29.42578125" customWidth="1"/>
    <col min="13578" max="13578" width="33.7109375" bestFit="1" customWidth="1"/>
    <col min="13579" max="13579" width="34.7109375" bestFit="1" customWidth="1"/>
    <col min="13580" max="13580" width="11" bestFit="1" customWidth="1"/>
    <col min="13586" max="13586" width="10.7109375" customWidth="1"/>
    <col min="13587" max="13587" width="11.28515625" bestFit="1" customWidth="1"/>
    <col min="13589" max="13589" width="7.28515625" customWidth="1"/>
    <col min="13590" max="13590" width="7.7109375" customWidth="1"/>
    <col min="13832" max="13832" width="2.7109375" customWidth="1"/>
    <col min="13833" max="13833" width="29.42578125" customWidth="1"/>
    <col min="13834" max="13834" width="33.7109375" bestFit="1" customWidth="1"/>
    <col min="13835" max="13835" width="34.7109375" bestFit="1" customWidth="1"/>
    <col min="13836" max="13836" width="11" bestFit="1" customWidth="1"/>
    <col min="13842" max="13842" width="10.7109375" customWidth="1"/>
    <col min="13843" max="13843" width="11.28515625" bestFit="1" customWidth="1"/>
    <col min="13845" max="13845" width="7.28515625" customWidth="1"/>
    <col min="13846" max="13846" width="7.7109375" customWidth="1"/>
    <col min="14088" max="14088" width="2.7109375" customWidth="1"/>
    <col min="14089" max="14089" width="29.42578125" customWidth="1"/>
    <col min="14090" max="14090" width="33.7109375" bestFit="1" customWidth="1"/>
    <col min="14091" max="14091" width="34.7109375" bestFit="1" customWidth="1"/>
    <col min="14092" max="14092" width="11" bestFit="1" customWidth="1"/>
    <col min="14098" max="14098" width="10.7109375" customWidth="1"/>
    <col min="14099" max="14099" width="11.28515625" bestFit="1" customWidth="1"/>
    <col min="14101" max="14101" width="7.28515625" customWidth="1"/>
    <col min="14102" max="14102" width="7.7109375" customWidth="1"/>
    <col min="14344" max="14344" width="2.7109375" customWidth="1"/>
    <col min="14345" max="14345" width="29.42578125" customWidth="1"/>
    <col min="14346" max="14346" width="33.7109375" bestFit="1" customWidth="1"/>
    <col min="14347" max="14347" width="34.7109375" bestFit="1" customWidth="1"/>
    <col min="14348" max="14348" width="11" bestFit="1" customWidth="1"/>
    <col min="14354" max="14354" width="10.7109375" customWidth="1"/>
    <col min="14355" max="14355" width="11.28515625" bestFit="1" customWidth="1"/>
    <col min="14357" max="14357" width="7.28515625" customWidth="1"/>
    <col min="14358" max="14358" width="7.7109375" customWidth="1"/>
    <col min="14600" max="14600" width="2.7109375" customWidth="1"/>
    <col min="14601" max="14601" width="29.42578125" customWidth="1"/>
    <col min="14602" max="14602" width="33.7109375" bestFit="1" customWidth="1"/>
    <col min="14603" max="14603" width="34.7109375" bestFit="1" customWidth="1"/>
    <col min="14604" max="14604" width="11" bestFit="1" customWidth="1"/>
    <col min="14610" max="14610" width="10.7109375" customWidth="1"/>
    <col min="14611" max="14611" width="11.28515625" bestFit="1" customWidth="1"/>
    <col min="14613" max="14613" width="7.28515625" customWidth="1"/>
    <col min="14614" max="14614" width="7.7109375" customWidth="1"/>
    <col min="14856" max="14856" width="2.7109375" customWidth="1"/>
    <col min="14857" max="14857" width="29.42578125" customWidth="1"/>
    <col min="14858" max="14858" width="33.7109375" bestFit="1" customWidth="1"/>
    <col min="14859" max="14859" width="34.7109375" bestFit="1" customWidth="1"/>
    <col min="14860" max="14860" width="11" bestFit="1" customWidth="1"/>
    <col min="14866" max="14866" width="10.7109375" customWidth="1"/>
    <col min="14867" max="14867" width="11.28515625" bestFit="1" customWidth="1"/>
    <col min="14869" max="14869" width="7.28515625" customWidth="1"/>
    <col min="14870" max="14870" width="7.7109375" customWidth="1"/>
    <col min="15112" max="15112" width="2.7109375" customWidth="1"/>
    <col min="15113" max="15113" width="29.42578125" customWidth="1"/>
    <col min="15114" max="15114" width="33.7109375" bestFit="1" customWidth="1"/>
    <col min="15115" max="15115" width="34.7109375" bestFit="1" customWidth="1"/>
    <col min="15116" max="15116" width="11" bestFit="1" customWidth="1"/>
    <col min="15122" max="15122" width="10.7109375" customWidth="1"/>
    <col min="15123" max="15123" width="11.28515625" bestFit="1" customWidth="1"/>
    <col min="15125" max="15125" width="7.28515625" customWidth="1"/>
    <col min="15126" max="15126" width="7.7109375" customWidth="1"/>
    <col min="15368" max="15368" width="2.7109375" customWidth="1"/>
    <col min="15369" max="15369" width="29.42578125" customWidth="1"/>
    <col min="15370" max="15370" width="33.7109375" bestFit="1" customWidth="1"/>
    <col min="15371" max="15371" width="34.7109375" bestFit="1" customWidth="1"/>
    <col min="15372" max="15372" width="11" bestFit="1" customWidth="1"/>
    <col min="15378" max="15378" width="10.7109375" customWidth="1"/>
    <col min="15379" max="15379" width="11.28515625" bestFit="1" customWidth="1"/>
    <col min="15381" max="15381" width="7.28515625" customWidth="1"/>
    <col min="15382" max="15382" width="7.7109375" customWidth="1"/>
    <col min="15624" max="15624" width="2.7109375" customWidth="1"/>
    <col min="15625" max="15625" width="29.42578125" customWidth="1"/>
    <col min="15626" max="15626" width="33.7109375" bestFit="1" customWidth="1"/>
    <col min="15627" max="15627" width="34.7109375" bestFit="1" customWidth="1"/>
    <col min="15628" max="15628" width="11" bestFit="1" customWidth="1"/>
    <col min="15634" max="15634" width="10.7109375" customWidth="1"/>
    <col min="15635" max="15635" width="11.28515625" bestFit="1" customWidth="1"/>
    <col min="15637" max="15637" width="7.28515625" customWidth="1"/>
    <col min="15638" max="15638" width="7.7109375" customWidth="1"/>
    <col min="15880" max="15880" width="2.7109375" customWidth="1"/>
    <col min="15881" max="15881" width="29.42578125" customWidth="1"/>
    <col min="15882" max="15882" width="33.7109375" bestFit="1" customWidth="1"/>
    <col min="15883" max="15883" width="34.7109375" bestFit="1" customWidth="1"/>
    <col min="15884" max="15884" width="11" bestFit="1" customWidth="1"/>
    <col min="15890" max="15890" width="10.7109375" customWidth="1"/>
    <col min="15891" max="15891" width="11.28515625" bestFit="1" customWidth="1"/>
    <col min="15893" max="15893" width="7.28515625" customWidth="1"/>
    <col min="15894" max="15894" width="7.7109375" customWidth="1"/>
    <col min="16136" max="16136" width="2.7109375" customWidth="1"/>
    <col min="16137" max="16137" width="29.42578125" customWidth="1"/>
    <col min="16138" max="16138" width="33.7109375" bestFit="1" customWidth="1"/>
    <col min="16139" max="16139" width="34.7109375" bestFit="1" customWidth="1"/>
    <col min="16140" max="16140" width="11" bestFit="1" customWidth="1"/>
    <col min="16146" max="16146" width="10.7109375" customWidth="1"/>
    <col min="16147" max="16147" width="11.28515625" bestFit="1" customWidth="1"/>
    <col min="16149" max="16149" width="7.28515625" customWidth="1"/>
    <col min="16150" max="16150" width="7.7109375" customWidth="1"/>
  </cols>
  <sheetData>
    <row r="1" spans="1:67" ht="18" customHeight="1" x14ac:dyDescent="0.25">
      <c r="A1" s="19"/>
      <c r="B1" s="149" t="s">
        <v>1047</v>
      </c>
      <c r="C1" s="19"/>
      <c r="D1" s="19"/>
      <c r="K1" s="149" t="s">
        <v>1048</v>
      </c>
      <c r="AB1" s="19"/>
    </row>
    <row r="2" spans="1:67" x14ac:dyDescent="0.25">
      <c r="A2" s="19"/>
      <c r="B2" s="95"/>
      <c r="C2" s="19"/>
      <c r="D2" s="19"/>
      <c r="K2" s="160" t="str">
        <f>INFO!B10</f>
        <v>Zones</v>
      </c>
      <c r="L2" s="160" t="str">
        <f>INFO!C10</f>
        <v>Z01</v>
      </c>
      <c r="M2" s="160" t="str">
        <f>INFO!D10</f>
        <v>Z02</v>
      </c>
      <c r="N2" s="160" t="str">
        <f>INFO!E10</f>
        <v>Z03</v>
      </c>
      <c r="O2" s="160" t="str">
        <f>INFO!F10</f>
        <v>Z04</v>
      </c>
      <c r="P2" s="160" t="str">
        <f>INFO!G10</f>
        <v>Z05</v>
      </c>
      <c r="Q2" s="160" t="str">
        <f>INFO!H10</f>
        <v>Z06</v>
      </c>
      <c r="R2" s="160" t="str">
        <f>INFO!I10</f>
        <v>Z07</v>
      </c>
      <c r="S2" s="160" t="str">
        <f>INFO!J10</f>
        <v>Z08</v>
      </c>
      <c r="T2" s="160" t="str">
        <f>INFO!K10</f>
        <v>Z09</v>
      </c>
      <c r="U2" s="160" t="str">
        <f>INFO!L10</f>
        <v>Z10</v>
      </c>
      <c r="V2" s="160" t="str">
        <f>INFO!M10</f>
        <v>Z11</v>
      </c>
      <c r="W2" s="160" t="str">
        <f>INFO!N10</f>
        <v>Z12</v>
      </c>
      <c r="X2" s="160" t="str">
        <f>INFO!O10</f>
        <v>Z13</v>
      </c>
      <c r="Y2" s="160" t="str">
        <f>INFO!P10</f>
        <v>Z14</v>
      </c>
      <c r="Z2" s="160" t="str">
        <f>INFO!Q10</f>
        <v>Z15</v>
      </c>
      <c r="AB2" s="19"/>
    </row>
    <row r="3" spans="1:67" x14ac:dyDescent="0.25">
      <c r="K3" s="222">
        <f>INFO!C5</f>
        <v>2019</v>
      </c>
      <c r="L3" s="222">
        <v>1</v>
      </c>
      <c r="M3" s="222">
        <f>L3</f>
        <v>1</v>
      </c>
      <c r="N3" s="222">
        <f t="shared" ref="N3:S5" si="0">M3</f>
        <v>1</v>
      </c>
      <c r="O3" s="222">
        <f t="shared" si="0"/>
        <v>1</v>
      </c>
      <c r="P3" s="222">
        <f t="shared" si="0"/>
        <v>1</v>
      </c>
      <c r="Q3" s="222">
        <f t="shared" si="0"/>
        <v>1</v>
      </c>
      <c r="R3" s="222">
        <f t="shared" si="0"/>
        <v>1</v>
      </c>
      <c r="S3" s="222">
        <f t="shared" si="0"/>
        <v>1</v>
      </c>
      <c r="T3" s="222">
        <f t="shared" ref="T3:Z5" si="1">S3</f>
        <v>1</v>
      </c>
      <c r="U3" s="222">
        <f t="shared" si="1"/>
        <v>1</v>
      </c>
      <c r="V3" s="222">
        <f t="shared" si="1"/>
        <v>1</v>
      </c>
      <c r="W3" s="222">
        <f t="shared" si="1"/>
        <v>1</v>
      </c>
      <c r="X3" s="222">
        <f t="shared" si="1"/>
        <v>1</v>
      </c>
      <c r="Y3" s="222">
        <f t="shared" si="1"/>
        <v>1</v>
      </c>
      <c r="Z3" s="222">
        <f t="shared" si="1"/>
        <v>1</v>
      </c>
      <c r="AB3" s="19"/>
    </row>
    <row r="4" spans="1:67" x14ac:dyDescent="0.25">
      <c r="K4" s="222">
        <f>K3+1</f>
        <v>2020</v>
      </c>
      <c r="L4" s="222">
        <v>2</v>
      </c>
      <c r="M4" s="222">
        <f>L4</f>
        <v>2</v>
      </c>
      <c r="N4" s="222">
        <f t="shared" si="0"/>
        <v>2</v>
      </c>
      <c r="O4" s="222">
        <f t="shared" si="0"/>
        <v>2</v>
      </c>
      <c r="P4" s="222">
        <f t="shared" si="0"/>
        <v>2</v>
      </c>
      <c r="Q4" s="222">
        <f t="shared" si="0"/>
        <v>2</v>
      </c>
      <c r="R4" s="222">
        <f t="shared" si="0"/>
        <v>2</v>
      </c>
      <c r="S4" s="222">
        <f t="shared" si="0"/>
        <v>2</v>
      </c>
      <c r="T4" s="222">
        <f t="shared" si="1"/>
        <v>2</v>
      </c>
      <c r="U4" s="222">
        <f t="shared" si="1"/>
        <v>2</v>
      </c>
      <c r="V4" s="222">
        <f t="shared" si="1"/>
        <v>2</v>
      </c>
      <c r="W4" s="222">
        <f t="shared" si="1"/>
        <v>2</v>
      </c>
      <c r="X4" s="222">
        <f t="shared" si="1"/>
        <v>2</v>
      </c>
      <c r="Y4" s="222">
        <f t="shared" si="1"/>
        <v>2</v>
      </c>
      <c r="Z4" s="222">
        <f t="shared" si="1"/>
        <v>2</v>
      </c>
      <c r="AB4" s="19"/>
    </row>
    <row r="5" spans="1:67" x14ac:dyDescent="0.25">
      <c r="K5" s="222">
        <v>2050</v>
      </c>
      <c r="L5" s="222">
        <v>10</v>
      </c>
      <c r="M5" s="222">
        <f>L5</f>
        <v>10</v>
      </c>
      <c r="N5" s="222">
        <f t="shared" si="0"/>
        <v>10</v>
      </c>
      <c r="O5" s="222">
        <f t="shared" si="0"/>
        <v>10</v>
      </c>
      <c r="P5" s="222">
        <f t="shared" si="0"/>
        <v>10</v>
      </c>
      <c r="Q5" s="222">
        <f t="shared" si="0"/>
        <v>10</v>
      </c>
      <c r="R5" s="222">
        <f t="shared" si="0"/>
        <v>10</v>
      </c>
      <c r="S5" s="222">
        <f t="shared" si="0"/>
        <v>10</v>
      </c>
      <c r="T5" s="222">
        <f t="shared" si="1"/>
        <v>10</v>
      </c>
      <c r="U5" s="222">
        <f t="shared" si="1"/>
        <v>10</v>
      </c>
      <c r="V5" s="222">
        <f t="shared" si="1"/>
        <v>10</v>
      </c>
      <c r="W5" s="222">
        <f t="shared" si="1"/>
        <v>10</v>
      </c>
      <c r="X5" s="222">
        <f t="shared" si="1"/>
        <v>10</v>
      </c>
      <c r="Y5" s="222">
        <f t="shared" si="1"/>
        <v>10</v>
      </c>
      <c r="Z5" s="222">
        <f t="shared" si="1"/>
        <v>10</v>
      </c>
      <c r="AB5" s="19"/>
    </row>
    <row r="6" spans="1:67" x14ac:dyDescent="0.25">
      <c r="B6" s="42" t="s">
        <v>1049</v>
      </c>
      <c r="C6" s="42"/>
      <c r="K6" s="826" t="s">
        <v>1050</v>
      </c>
      <c r="L6" s="800">
        <v>1.25</v>
      </c>
      <c r="AA6" s="19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</row>
    <row r="7" spans="1:67" x14ac:dyDescent="0.25">
      <c r="AA7" s="19"/>
      <c r="AG7" s="861"/>
      <c r="AH7" s="861"/>
      <c r="AI7" s="861"/>
      <c r="AJ7" s="861"/>
      <c r="AK7" s="861"/>
      <c r="AL7" s="861"/>
      <c r="AM7" s="861"/>
      <c r="AN7" s="861"/>
      <c r="AO7" s="861"/>
      <c r="AP7" s="861"/>
      <c r="AQ7" s="861"/>
      <c r="AR7" s="861"/>
      <c r="AS7" s="861"/>
      <c r="AT7" s="861"/>
      <c r="AU7" s="861"/>
    </row>
    <row r="8" spans="1:67" s="19" customFormat="1" x14ac:dyDescent="0.25">
      <c r="A8"/>
      <c r="B8"/>
      <c r="C8" s="12"/>
      <c r="D8" s="12"/>
      <c r="E8"/>
      <c r="F8"/>
      <c r="G8" s="41"/>
      <c r="H8" s="51"/>
      <c r="I8" s="41"/>
      <c r="J8" s="40" t="s">
        <v>1051</v>
      </c>
      <c r="K8"/>
      <c r="L8"/>
      <c r="M8"/>
      <c r="N8"/>
      <c r="O8" s="41"/>
      <c r="P8"/>
      <c r="Q8"/>
      <c r="R8"/>
      <c r="S8"/>
      <c r="T8"/>
      <c r="U8"/>
      <c r="V8"/>
      <c r="W8"/>
      <c r="X8"/>
      <c r="Y8"/>
      <c r="Z8" s="41"/>
      <c r="AB8"/>
      <c r="AC8"/>
      <c r="AD8"/>
      <c r="AE8" s="471" t="s">
        <v>1052</v>
      </c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BO8" s="23"/>
    </row>
    <row r="9" spans="1:67" s="19" customFormat="1" x14ac:dyDescent="0.25">
      <c r="A9"/>
      <c r="B9" s="52" t="s">
        <v>1053</v>
      </c>
      <c r="C9" s="42" t="s">
        <v>104</v>
      </c>
      <c r="D9" s="42" t="s">
        <v>1054</v>
      </c>
      <c r="E9" s="42" t="s">
        <v>673</v>
      </c>
      <c r="F9" s="42" t="s">
        <v>674</v>
      </c>
      <c r="G9" s="42" t="s">
        <v>1055</v>
      </c>
      <c r="H9" s="98" t="s">
        <v>1056</v>
      </c>
      <c r="I9" s="42" t="s">
        <v>982</v>
      </c>
      <c r="J9" s="42" t="s">
        <v>1057</v>
      </c>
      <c r="K9" s="42" t="s">
        <v>1058</v>
      </c>
      <c r="L9" s="42" t="str">
        <f t="shared" ref="L9:Z9" si="2">L$2</f>
        <v>Z01</v>
      </c>
      <c r="M9" s="42" t="str">
        <f t="shared" si="2"/>
        <v>Z02</v>
      </c>
      <c r="N9" s="42" t="str">
        <f t="shared" si="2"/>
        <v>Z03</v>
      </c>
      <c r="O9" s="42" t="str">
        <f t="shared" si="2"/>
        <v>Z04</v>
      </c>
      <c r="P9" s="42" t="str">
        <f t="shared" si="2"/>
        <v>Z05</v>
      </c>
      <c r="Q9" s="42" t="str">
        <f t="shared" si="2"/>
        <v>Z06</v>
      </c>
      <c r="R9" s="42" t="str">
        <f t="shared" si="2"/>
        <v>Z07</v>
      </c>
      <c r="S9" s="42" t="str">
        <f t="shared" si="2"/>
        <v>Z08</v>
      </c>
      <c r="T9" s="42" t="str">
        <f t="shared" si="2"/>
        <v>Z09</v>
      </c>
      <c r="U9" s="42" t="str">
        <f t="shared" si="2"/>
        <v>Z10</v>
      </c>
      <c r="V9" s="42" t="str">
        <f t="shared" si="2"/>
        <v>Z11</v>
      </c>
      <c r="W9" s="42" t="str">
        <f t="shared" si="2"/>
        <v>Z12</v>
      </c>
      <c r="X9" s="42" t="str">
        <f t="shared" si="2"/>
        <v>Z13</v>
      </c>
      <c r="Y9" s="42" t="str">
        <f t="shared" si="2"/>
        <v>Z14</v>
      </c>
      <c r="Z9" s="42" t="str">
        <f t="shared" si="2"/>
        <v>Z15</v>
      </c>
      <c r="AA9" s="99"/>
      <c r="AB9" s="42" t="s">
        <v>1059</v>
      </c>
      <c r="AC9" s="42" t="s">
        <v>1060</v>
      </c>
      <c r="AE9" s="750" t="s">
        <v>85</v>
      </c>
      <c r="AF9" s="701" t="s">
        <v>421</v>
      </c>
      <c r="AG9" s="701" t="str">
        <f>L$2</f>
        <v>Z01</v>
      </c>
      <c r="AH9" s="701" t="str">
        <f t="shared" ref="AH9:AU9" si="3">M$2</f>
        <v>Z02</v>
      </c>
      <c r="AI9" s="701" t="str">
        <f t="shared" si="3"/>
        <v>Z03</v>
      </c>
      <c r="AJ9" s="701" t="str">
        <f t="shared" si="3"/>
        <v>Z04</v>
      </c>
      <c r="AK9" s="701" t="str">
        <f t="shared" si="3"/>
        <v>Z05</v>
      </c>
      <c r="AL9" s="701" t="str">
        <f t="shared" si="3"/>
        <v>Z06</v>
      </c>
      <c r="AM9" s="701" t="str">
        <f t="shared" si="3"/>
        <v>Z07</v>
      </c>
      <c r="AN9" s="701" t="str">
        <f t="shared" si="3"/>
        <v>Z08</v>
      </c>
      <c r="AO9" s="701" t="str">
        <f t="shared" si="3"/>
        <v>Z09</v>
      </c>
      <c r="AP9" s="701" t="str">
        <f t="shared" si="3"/>
        <v>Z10</v>
      </c>
      <c r="AQ9" s="701" t="str">
        <f t="shared" si="3"/>
        <v>Z11</v>
      </c>
      <c r="AR9" s="701" t="str">
        <f t="shared" si="3"/>
        <v>Z12</v>
      </c>
      <c r="AS9" s="701" t="str">
        <f t="shared" si="3"/>
        <v>Z13</v>
      </c>
      <c r="AT9" s="701" t="str">
        <f t="shared" si="3"/>
        <v>Z14</v>
      </c>
      <c r="AU9" s="701" t="str">
        <f t="shared" si="3"/>
        <v>Z15</v>
      </c>
      <c r="AW9" s="750" t="s">
        <v>1061</v>
      </c>
      <c r="AX9" s="701" t="s">
        <v>421</v>
      </c>
      <c r="AY9" s="701" t="str">
        <f>AG9</f>
        <v>Z01</v>
      </c>
      <c r="AZ9" s="701" t="str">
        <f t="shared" ref="AZ9:BM9" si="4">AH9</f>
        <v>Z02</v>
      </c>
      <c r="BA9" s="701" t="str">
        <f t="shared" si="4"/>
        <v>Z03</v>
      </c>
      <c r="BB9" s="701" t="str">
        <f t="shared" si="4"/>
        <v>Z04</v>
      </c>
      <c r="BC9" s="701" t="str">
        <f t="shared" si="4"/>
        <v>Z05</v>
      </c>
      <c r="BD9" s="701" t="str">
        <f t="shared" si="4"/>
        <v>Z06</v>
      </c>
      <c r="BE9" s="701" t="str">
        <f t="shared" si="4"/>
        <v>Z07</v>
      </c>
      <c r="BF9" s="701" t="str">
        <f t="shared" si="4"/>
        <v>Z08</v>
      </c>
      <c r="BG9" s="701" t="str">
        <f t="shared" si="4"/>
        <v>Z09</v>
      </c>
      <c r="BH9" s="701" t="str">
        <f t="shared" si="4"/>
        <v>Z10</v>
      </c>
      <c r="BI9" s="701" t="str">
        <f t="shared" si="4"/>
        <v>Z11</v>
      </c>
      <c r="BJ9" s="701" t="str">
        <f t="shared" si="4"/>
        <v>Z12</v>
      </c>
      <c r="BK9" s="701" t="str">
        <f t="shared" si="4"/>
        <v>Z13</v>
      </c>
      <c r="BL9" s="701" t="str">
        <f t="shared" si="4"/>
        <v>Z14</v>
      </c>
      <c r="BM9" s="701" t="str">
        <f t="shared" si="4"/>
        <v>Z15</v>
      </c>
      <c r="BO9" s="23"/>
    </row>
    <row r="10" spans="1:67" s="19" customFormat="1" x14ac:dyDescent="0.25">
      <c r="A10"/>
      <c r="B10" s="171"/>
      <c r="C10" s="171"/>
      <c r="D10" s="171" t="s">
        <v>1062</v>
      </c>
      <c r="E10" s="171"/>
      <c r="F10" s="171"/>
      <c r="G10" s="171"/>
      <c r="H10" s="223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/>
      <c r="AC10"/>
      <c r="AD10"/>
      <c r="AE10" s="751" t="s">
        <v>103</v>
      </c>
      <c r="AF10" s="717">
        <f t="shared" ref="AF10:AF31" si="5">SUM(AG10:AU10)</f>
        <v>34180.438007814679</v>
      </c>
      <c r="AG10" s="718">
        <f t="shared" ref="AG10:AU10" si="6">SUM(AG11:AG34)</f>
        <v>34180.438007814679</v>
      </c>
      <c r="AH10" s="709">
        <f t="shared" si="6"/>
        <v>0</v>
      </c>
      <c r="AI10" s="709">
        <f t="shared" si="6"/>
        <v>0</v>
      </c>
      <c r="AJ10" s="709">
        <f t="shared" si="6"/>
        <v>0</v>
      </c>
      <c r="AK10" s="709">
        <f t="shared" si="6"/>
        <v>0</v>
      </c>
      <c r="AL10" s="709">
        <f t="shared" si="6"/>
        <v>0</v>
      </c>
      <c r="AM10" s="709">
        <f t="shared" si="6"/>
        <v>0</v>
      </c>
      <c r="AN10" s="709">
        <f t="shared" si="6"/>
        <v>0</v>
      </c>
      <c r="AO10" s="709">
        <f t="shared" si="6"/>
        <v>0</v>
      </c>
      <c r="AP10" s="709">
        <f t="shared" si="6"/>
        <v>0</v>
      </c>
      <c r="AQ10" s="709">
        <f t="shared" si="6"/>
        <v>0</v>
      </c>
      <c r="AR10" s="709">
        <f t="shared" si="6"/>
        <v>0</v>
      </c>
      <c r="AS10" s="709">
        <f t="shared" si="6"/>
        <v>0</v>
      </c>
      <c r="AT10" s="709">
        <f t="shared" si="6"/>
        <v>0</v>
      </c>
      <c r="AU10" s="709">
        <f t="shared" si="6"/>
        <v>0</v>
      </c>
      <c r="AW10" s="751" t="s">
        <v>103</v>
      </c>
      <c r="AX10" s="717">
        <f>SUM(AY10:BM10)</f>
        <v>9494566.1132818554</v>
      </c>
      <c r="AY10" s="718">
        <f t="shared" ref="AY10:BM10" si="7">SUM(AY11:AY34)</f>
        <v>9494566.1132818554</v>
      </c>
      <c r="AZ10" s="718">
        <f t="shared" si="7"/>
        <v>0</v>
      </c>
      <c r="BA10" s="718">
        <f t="shared" si="7"/>
        <v>0</v>
      </c>
      <c r="BB10" s="718">
        <f t="shared" si="7"/>
        <v>0</v>
      </c>
      <c r="BC10" s="718">
        <f t="shared" si="7"/>
        <v>0</v>
      </c>
      <c r="BD10" s="718">
        <f t="shared" si="7"/>
        <v>0</v>
      </c>
      <c r="BE10" s="718">
        <f t="shared" si="7"/>
        <v>0</v>
      </c>
      <c r="BF10" s="718">
        <f t="shared" si="7"/>
        <v>0</v>
      </c>
      <c r="BG10" s="718">
        <f t="shared" si="7"/>
        <v>0</v>
      </c>
      <c r="BH10" s="718">
        <f t="shared" si="7"/>
        <v>0</v>
      </c>
      <c r="BI10" s="718">
        <f t="shared" si="7"/>
        <v>0</v>
      </c>
      <c r="BJ10" s="718">
        <f t="shared" si="7"/>
        <v>0</v>
      </c>
      <c r="BK10" s="718">
        <f t="shared" si="7"/>
        <v>0</v>
      </c>
      <c r="BL10" s="718">
        <f t="shared" si="7"/>
        <v>0</v>
      </c>
      <c r="BM10" s="718">
        <f t="shared" si="7"/>
        <v>0</v>
      </c>
      <c r="BO10" s="23"/>
    </row>
    <row r="11" spans="1:67" x14ac:dyDescent="0.25">
      <c r="A11" s="100"/>
      <c r="B11" s="219" t="str">
        <f>C11</f>
        <v>TRABDL00</v>
      </c>
      <c r="C11" s="224" t="str">
        <f>CONCATENATE(F11,"00")</f>
        <v>TRABDL00</v>
      </c>
      <c r="D11" s="225" t="str">
        <f>CONCATENATE("Fuel Tech - ",LOOKUP(F11,TRA_Comm!$C$6:$C$28,TRA_Comm!$D$6:$D$28))</f>
        <v>Fuel Tech - Biodiesel (TRA)</v>
      </c>
      <c r="E11" s="224" t="s">
        <v>1063</v>
      </c>
      <c r="F11" s="224" t="s">
        <v>988</v>
      </c>
      <c r="G11" s="226"/>
      <c r="H11" s="227"/>
      <c r="I11" s="228"/>
      <c r="J11" s="229" t="s">
        <v>1064</v>
      </c>
      <c r="K11" s="229"/>
      <c r="L11" s="635">
        <v>1</v>
      </c>
      <c r="M11" s="635">
        <v>1</v>
      </c>
      <c r="N11" s="635">
        <v>1</v>
      </c>
      <c r="O11" s="635">
        <v>1</v>
      </c>
      <c r="P11" s="635">
        <v>1</v>
      </c>
      <c r="Q11" s="635">
        <v>1</v>
      </c>
      <c r="R11" s="635">
        <v>1</v>
      </c>
      <c r="S11" s="635">
        <v>1</v>
      </c>
      <c r="T11" s="635">
        <v>1</v>
      </c>
      <c r="U11" s="635">
        <v>1</v>
      </c>
      <c r="V11" s="635">
        <v>1</v>
      </c>
      <c r="W11" s="635">
        <v>1</v>
      </c>
      <c r="X11" s="635">
        <v>1</v>
      </c>
      <c r="Y11" s="635">
        <v>1</v>
      </c>
      <c r="Z11" s="635">
        <v>1</v>
      </c>
      <c r="AB11" s="19"/>
      <c r="AE11" s="418" t="s">
        <v>988</v>
      </c>
      <c r="AF11" s="830">
        <f t="shared" si="5"/>
        <v>3193.2452104442418</v>
      </c>
      <c r="AG11" s="728">
        <f>SUMIF(TC_Private!$AV$6:$AV$24,TRA_Fuel!$AE11,TC_Private!AX$6:AX$24)+SUMIF(TB!$AV$6:$AV$24,TRA_Fuel!$AE11,TB!AX$6:AX$24)+SUMIF(TF_Private!$AV$11:$AV$29,TRA_Fuel!$AE11,TF_Private!AX$11:AX$29)</f>
        <v>3193.2452104442418</v>
      </c>
      <c r="AH11" s="723">
        <f>SUMIF(TC_Private!$AV$6:$AV$24,TRA_Fuel!$AE11,TC_Private!AY$6:AY$24)+SUMIF(TB!$AV$6:$AV$24,TRA_Fuel!$AE11,TB!AY$6:AY$24)+SUMIF(TF_Private!$AV$11:$AV$29,TRA_Fuel!$AE11,TF_Private!AY$11:AY$29)</f>
        <v>0</v>
      </c>
      <c r="AI11" s="723">
        <f>SUMIF(TC_Private!$AV$6:$AV$24,TRA_Fuel!$AE11,TC_Private!AZ$6:AZ$24)+SUMIF(TB!$AV$6:$AV$24,TRA_Fuel!$AE11,TB!AZ$6:AZ$24)+SUMIF(TF_Private!$AV$11:$AV$29,TRA_Fuel!$AE11,TF_Private!AZ$11:AZ$29)</f>
        <v>0</v>
      </c>
      <c r="AJ11" s="723">
        <f>SUMIF(TC_Private!$AV$6:$AV$24,TRA_Fuel!$AE11,TC_Private!BA$6:BA$24)+SUMIF(TB!$AV$6:$AV$24,TRA_Fuel!$AE11,TB!BA$6:BA$24)+SUMIF(TF_Private!$AV$11:$AV$29,TRA_Fuel!$AE11,TF_Private!BA$11:BA$29)</f>
        <v>0</v>
      </c>
      <c r="AK11" s="723">
        <f>SUMIF(TC_Private!$AV$6:$AV$24,TRA_Fuel!$AE11,TC_Private!BB$6:BB$24)+SUMIF(TB!$AV$6:$AV$24,TRA_Fuel!$AE11,TB!BB$6:BB$24)+SUMIF(TF_Private!$AV$11:$AV$29,TRA_Fuel!$AE11,TF_Private!BB$11:BB$29)</f>
        <v>0</v>
      </c>
      <c r="AL11" s="723">
        <f>SUMIF(TC_Private!$AV$6:$AV$24,TRA_Fuel!$AE11,TC_Private!BC$6:BC$24)+SUMIF(TB!$AV$6:$AV$24,TRA_Fuel!$AE11,TB!BC$6:BC$24)+SUMIF(TF_Private!$AV$11:$AV$29,TRA_Fuel!$AE11,TF_Private!BC$11:BC$29)</f>
        <v>0</v>
      </c>
      <c r="AM11" s="723">
        <f>SUMIF(TC_Private!$AV$6:$AV$24,TRA_Fuel!$AE11,TC_Private!BD$6:BD$24)+SUMIF(TB!$AV$6:$AV$24,TRA_Fuel!$AE11,TB!BD$6:BD$24)+SUMIF(TF_Private!$AV$11:$AV$29,TRA_Fuel!$AE11,TF_Private!BD$11:BD$29)</f>
        <v>0</v>
      </c>
      <c r="AN11" s="723">
        <f>SUMIF(TC_Private!$AV$6:$AV$24,TRA_Fuel!$AE11,TC_Private!BE$6:BE$24)+SUMIF(TB!$AV$6:$AV$24,TRA_Fuel!$AE11,TB!BE$6:BE$24)+SUMIF(TF_Private!$AV$11:$AV$29,TRA_Fuel!$AE11,TF_Private!BE$11:BE$29)</f>
        <v>0</v>
      </c>
      <c r="AO11" s="723">
        <f>SUMIF(TC_Private!$AV$6:$AV$24,TRA_Fuel!$AE11,TC_Private!BF$6:BF$24)+SUMIF(TB!$AV$6:$AV$24,TRA_Fuel!$AE11,TB!BF$6:BF$24)+SUMIF(TF_Private!$AV$11:$AV$29,TRA_Fuel!$AE11,TF_Private!BF$11:BF$29)</f>
        <v>0</v>
      </c>
      <c r="AP11" s="723">
        <f>SUMIF(TC_Private!$AV$6:$AV$24,TRA_Fuel!$AE11,TC_Private!BG$6:BG$24)+SUMIF(TB!$AV$6:$AV$24,TRA_Fuel!$AE11,TB!BG$6:BG$24)+SUMIF(TF_Private!$AV$11:$AV$29,TRA_Fuel!$AE11,TF_Private!BG$11:BG$29)</f>
        <v>0</v>
      </c>
      <c r="AQ11" s="723">
        <f>SUMIF(TC_Private!$AV$6:$AV$24,TRA_Fuel!$AE11,TC_Private!BH$6:BH$24)+SUMIF(TB!$AV$6:$AV$24,TRA_Fuel!$AE11,TB!BH$6:BH$24)+SUMIF(TF_Private!$AV$11:$AV$29,TRA_Fuel!$AE11,TF_Private!BH$11:BH$29)</f>
        <v>0</v>
      </c>
      <c r="AR11" s="723">
        <f>SUMIF(TC_Private!$AV$6:$AV$24,TRA_Fuel!$AE11,TC_Private!BI$6:BI$24)+SUMIF(TB!$AV$6:$AV$24,TRA_Fuel!$AE11,TB!BI$6:BI$24)+SUMIF(TF_Private!$AV$11:$AV$29,TRA_Fuel!$AE11,TF_Private!BI$11:BI$29)</f>
        <v>0</v>
      </c>
      <c r="AS11" s="723">
        <f>SUMIF(TC_Private!$AV$6:$AV$24,TRA_Fuel!$AE11,TC_Private!BJ$6:BJ$24)+SUMIF(TB!$AV$6:$AV$24,TRA_Fuel!$AE11,TB!BJ$6:BJ$24)+SUMIF(TF_Private!$AV$11:$AV$29,TRA_Fuel!$AE11,TF_Private!BJ$11:BJ$29)</f>
        <v>0</v>
      </c>
      <c r="AT11" s="723">
        <f>SUMIF(TC_Private!$AV$6:$AV$24,TRA_Fuel!$AE11,TC_Private!BK$6:BK$24)+SUMIF(TB!$AV$6:$AV$24,TRA_Fuel!$AE11,TB!BK$6:BK$24)+SUMIF(TF_Private!$AV$11:$AV$29,TRA_Fuel!$AE11,TF_Private!BK$11:BK$29)</f>
        <v>0</v>
      </c>
      <c r="AU11" s="723">
        <f>SUMIF(TC_Private!$AV$6:$AV$24,TRA_Fuel!$AE11,TC_Private!BL$6:BL$24)+SUMIF(TB!$AV$6:$AV$24,TRA_Fuel!$AE11,TB!BL$6:BL$24)+SUMIF(TF_Private!$AV$11:$AV$29,TRA_Fuel!$AE11,TF_Private!BL$11:BL$29)</f>
        <v>0</v>
      </c>
      <c r="AW11" s="418" t="str">
        <f>AE11</f>
        <v>TRABDL</v>
      </c>
      <c r="AX11" s="830">
        <f t="shared" ref="AX11:AX22" si="8">SUM(AY11:BM11)</f>
        <v>887012.55845673382</v>
      </c>
      <c r="AY11" s="728">
        <f>AG11/3.6*1000</f>
        <v>887012.55845673382</v>
      </c>
      <c r="AZ11" s="728">
        <f t="shared" ref="AZ11" si="9">AH11/3.6*1000</f>
        <v>0</v>
      </c>
      <c r="BA11" s="728">
        <f t="shared" ref="BA11" si="10">AI11/3.6*1000</f>
        <v>0</v>
      </c>
      <c r="BB11" s="728">
        <f t="shared" ref="BB11" si="11">AJ11/3.6*1000</f>
        <v>0</v>
      </c>
      <c r="BC11" s="728">
        <f t="shared" ref="BC11" si="12">AK11/3.6*1000</f>
        <v>0</v>
      </c>
      <c r="BD11" s="728">
        <f t="shared" ref="BD11" si="13">AL11/3.6*1000</f>
        <v>0</v>
      </c>
      <c r="BE11" s="728">
        <f t="shared" ref="BE11" si="14">AM11/3.6*1000</f>
        <v>0</v>
      </c>
      <c r="BF11" s="728">
        <f t="shared" ref="BF11" si="15">AN11/3.6*1000</f>
        <v>0</v>
      </c>
      <c r="BG11" s="728">
        <f t="shared" ref="BG11" si="16">AO11/3.6*1000</f>
        <v>0</v>
      </c>
      <c r="BH11" s="728">
        <f t="shared" ref="BH11" si="17">AP11/3.6*1000</f>
        <v>0</v>
      </c>
      <c r="BI11" s="728">
        <f t="shared" ref="BI11" si="18">AQ11/3.6*1000</f>
        <v>0</v>
      </c>
      <c r="BJ11" s="728">
        <f t="shared" ref="BJ11" si="19">AR11/3.6*1000</f>
        <v>0</v>
      </c>
      <c r="BK11" s="728">
        <f t="shared" ref="BK11" si="20">AS11/3.6*1000</f>
        <v>0</v>
      </c>
      <c r="BL11" s="728">
        <f t="shared" ref="BL11" si="21">AT11/3.6*1000</f>
        <v>0</v>
      </c>
      <c r="BM11" s="728">
        <f t="shared" ref="BM11" si="22">AU11/3.6*1000</f>
        <v>0</v>
      </c>
    </row>
    <row r="12" spans="1:67" x14ac:dyDescent="0.25">
      <c r="B12" s="219" t="str">
        <f>B11</f>
        <v>TRABDL00</v>
      </c>
      <c r="C12" s="224"/>
      <c r="D12" s="230"/>
      <c r="E12" s="224"/>
      <c r="F12" s="224"/>
      <c r="G12" s="224"/>
      <c r="H12" s="231">
        <f>$K$3</f>
        <v>2019</v>
      </c>
      <c r="I12" s="224"/>
      <c r="J12" s="232" t="s">
        <v>1065</v>
      </c>
      <c r="K12" s="232" t="s">
        <v>85</v>
      </c>
      <c r="L12" s="636">
        <f t="shared" ref="L12:Z12" si="23">LOOKUP($F11, $AE$11:$AE$34, AG$11:AG$34*$L$6)</f>
        <v>3991.5565130553023</v>
      </c>
      <c r="M12" s="636">
        <f t="shared" si="23"/>
        <v>0</v>
      </c>
      <c r="N12" s="636">
        <f t="shared" si="23"/>
        <v>0</v>
      </c>
      <c r="O12" s="636">
        <f t="shared" si="23"/>
        <v>0</v>
      </c>
      <c r="P12" s="636">
        <f t="shared" si="23"/>
        <v>0</v>
      </c>
      <c r="Q12" s="636">
        <f t="shared" si="23"/>
        <v>0</v>
      </c>
      <c r="R12" s="636">
        <f t="shared" si="23"/>
        <v>0</v>
      </c>
      <c r="S12" s="636">
        <f t="shared" si="23"/>
        <v>0</v>
      </c>
      <c r="T12" s="636">
        <f t="shared" si="23"/>
        <v>0</v>
      </c>
      <c r="U12" s="636">
        <f t="shared" si="23"/>
        <v>0</v>
      </c>
      <c r="V12" s="636">
        <f t="shared" si="23"/>
        <v>0</v>
      </c>
      <c r="W12" s="636">
        <f t="shared" si="23"/>
        <v>0</v>
      </c>
      <c r="X12" s="636">
        <f t="shared" si="23"/>
        <v>0</v>
      </c>
      <c r="Y12" s="636">
        <f t="shared" si="23"/>
        <v>0</v>
      </c>
      <c r="Z12" s="636">
        <f t="shared" si="23"/>
        <v>0</v>
      </c>
      <c r="AB12" s="19"/>
      <c r="AE12" s="418" t="s">
        <v>990</v>
      </c>
      <c r="AF12" s="830">
        <f t="shared" si="5"/>
        <v>1557.3805738381575</v>
      </c>
      <c r="AG12" s="728">
        <f>SUMIF(TC_Private!$AV$6:$AV$24,TRA_Fuel!$AE12,TC_Private!AX$6:AX$24)+SUMIF(TB!$AV$6:$AV$24,TRA_Fuel!$AE12,TB!AX$6:AX$24)+SUMIF(TF_Private!$AV$11:$AV$29,TRA_Fuel!$AE12,TF_Private!AX$11:AX$29)</f>
        <v>1557.3805738381575</v>
      </c>
      <c r="AH12" s="723">
        <f>SUMIF(TC_Private!$AV$6:$AV$24,TRA_Fuel!$AE12,TC_Private!AY$6:AY$24)+SUMIF(TB!$AV$6:$AV$24,TRA_Fuel!$AE12,TB!AY$6:AY$24)+SUMIF(TF_Private!$AV$11:$AV$29,TRA_Fuel!$AE12,TF_Private!AY$11:AY$29)</f>
        <v>0</v>
      </c>
      <c r="AI12" s="723">
        <f>SUMIF(TC_Private!$AV$6:$AV$24,TRA_Fuel!$AE12,TC_Private!AZ$6:AZ$24)+SUMIF(TB!$AV$6:$AV$24,TRA_Fuel!$AE12,TB!AZ$6:AZ$24)+SUMIF(TF_Private!$AV$11:$AV$29,TRA_Fuel!$AE12,TF_Private!AZ$11:AZ$29)</f>
        <v>0</v>
      </c>
      <c r="AJ12" s="723">
        <f>SUMIF(TC_Private!$AV$6:$AV$24,TRA_Fuel!$AE12,TC_Private!BA$6:BA$24)+SUMIF(TB!$AV$6:$AV$24,TRA_Fuel!$AE12,TB!BA$6:BA$24)+SUMIF(TF_Private!$AV$11:$AV$29,TRA_Fuel!$AE12,TF_Private!BA$11:BA$29)</f>
        <v>0</v>
      </c>
      <c r="AK12" s="723">
        <f>SUMIF(TC_Private!$AV$6:$AV$24,TRA_Fuel!$AE12,TC_Private!BB$6:BB$24)+SUMIF(TB!$AV$6:$AV$24,TRA_Fuel!$AE12,TB!BB$6:BB$24)+SUMIF(TF_Private!$AV$11:$AV$29,TRA_Fuel!$AE12,TF_Private!BB$11:BB$29)</f>
        <v>0</v>
      </c>
      <c r="AL12" s="723">
        <f>SUMIF(TC_Private!$AV$6:$AV$24,TRA_Fuel!$AE12,TC_Private!BC$6:BC$24)+SUMIF(TB!$AV$6:$AV$24,TRA_Fuel!$AE12,TB!BC$6:BC$24)+SUMIF(TF_Private!$AV$11:$AV$29,TRA_Fuel!$AE12,TF_Private!BC$11:BC$29)</f>
        <v>0</v>
      </c>
      <c r="AM12" s="723">
        <f>SUMIF(TC_Private!$AV$6:$AV$24,TRA_Fuel!$AE12,TC_Private!BD$6:BD$24)+SUMIF(TB!$AV$6:$AV$24,TRA_Fuel!$AE12,TB!BD$6:BD$24)+SUMIF(TF_Private!$AV$11:$AV$29,TRA_Fuel!$AE12,TF_Private!BD$11:BD$29)</f>
        <v>0</v>
      </c>
      <c r="AN12" s="723">
        <f>SUMIF(TC_Private!$AV$6:$AV$24,TRA_Fuel!$AE12,TC_Private!BE$6:BE$24)+SUMIF(TB!$AV$6:$AV$24,TRA_Fuel!$AE12,TB!BE$6:BE$24)+SUMIF(TF_Private!$AV$11:$AV$29,TRA_Fuel!$AE12,TF_Private!BE$11:BE$29)</f>
        <v>0</v>
      </c>
      <c r="AO12" s="723">
        <f>SUMIF(TC_Private!$AV$6:$AV$24,TRA_Fuel!$AE12,TC_Private!BF$6:BF$24)+SUMIF(TB!$AV$6:$AV$24,TRA_Fuel!$AE12,TB!BF$6:BF$24)+SUMIF(TF_Private!$AV$11:$AV$29,TRA_Fuel!$AE12,TF_Private!BF$11:BF$29)</f>
        <v>0</v>
      </c>
      <c r="AP12" s="723">
        <f>SUMIF(TC_Private!$AV$6:$AV$24,TRA_Fuel!$AE12,TC_Private!BG$6:BG$24)+SUMIF(TB!$AV$6:$AV$24,TRA_Fuel!$AE12,TB!BG$6:BG$24)+SUMIF(TF_Private!$AV$11:$AV$29,TRA_Fuel!$AE12,TF_Private!BG$11:BG$29)</f>
        <v>0</v>
      </c>
      <c r="AQ12" s="723">
        <f>SUMIF(TC_Private!$AV$6:$AV$24,TRA_Fuel!$AE12,TC_Private!BH$6:BH$24)+SUMIF(TB!$AV$6:$AV$24,TRA_Fuel!$AE12,TB!BH$6:BH$24)+SUMIF(TF_Private!$AV$11:$AV$29,TRA_Fuel!$AE12,TF_Private!BH$11:BH$29)</f>
        <v>0</v>
      </c>
      <c r="AR12" s="723">
        <f>SUMIF(TC_Private!$AV$6:$AV$24,TRA_Fuel!$AE12,TC_Private!BI$6:BI$24)+SUMIF(TB!$AV$6:$AV$24,TRA_Fuel!$AE12,TB!BI$6:BI$24)+SUMIF(TF_Private!$AV$11:$AV$29,TRA_Fuel!$AE12,TF_Private!BI$11:BI$29)</f>
        <v>0</v>
      </c>
      <c r="AS12" s="723">
        <f>SUMIF(TC_Private!$AV$6:$AV$24,TRA_Fuel!$AE12,TC_Private!BJ$6:BJ$24)+SUMIF(TB!$AV$6:$AV$24,TRA_Fuel!$AE12,TB!BJ$6:BJ$24)+SUMIF(TF_Private!$AV$11:$AV$29,TRA_Fuel!$AE12,TF_Private!BJ$11:BJ$29)</f>
        <v>0</v>
      </c>
      <c r="AT12" s="723">
        <f>SUMIF(TC_Private!$AV$6:$AV$24,TRA_Fuel!$AE12,TC_Private!BK$6:BK$24)+SUMIF(TB!$AV$6:$AV$24,TRA_Fuel!$AE12,TB!BK$6:BK$24)+SUMIF(TF_Private!$AV$11:$AV$29,TRA_Fuel!$AE12,TF_Private!BK$11:BK$29)</f>
        <v>0</v>
      </c>
      <c r="AU12" s="723">
        <f>SUMIF(TC_Private!$AV$6:$AV$24,TRA_Fuel!$AE12,TC_Private!BL$6:BL$24)+SUMIF(TB!$AV$6:$AV$24,TRA_Fuel!$AE12,TB!BL$6:BL$24)+SUMIF(TF_Private!$AV$11:$AV$29,TRA_Fuel!$AE12,TF_Private!BL$11:BL$29)</f>
        <v>0</v>
      </c>
      <c r="AW12" s="418" t="str">
        <f>AE12</f>
        <v>TRABDLM</v>
      </c>
      <c r="AX12" s="830">
        <f t="shared" si="8"/>
        <v>432605.71495504369</v>
      </c>
      <c r="AY12" s="728">
        <f>AG12/3.6*1000</f>
        <v>432605.71495504369</v>
      </c>
      <c r="AZ12" s="728">
        <f t="shared" ref="AZ12" si="24">AH12/3.6*1000</f>
        <v>0</v>
      </c>
      <c r="BA12" s="728">
        <f t="shared" ref="BA12" si="25">AI12/3.6*1000</f>
        <v>0</v>
      </c>
      <c r="BB12" s="728">
        <f t="shared" ref="BB12" si="26">AJ12/3.6*1000</f>
        <v>0</v>
      </c>
      <c r="BC12" s="728">
        <f t="shared" ref="BC12" si="27">AK12/3.6*1000</f>
        <v>0</v>
      </c>
      <c r="BD12" s="728">
        <f t="shared" ref="BD12" si="28">AL12/3.6*1000</f>
        <v>0</v>
      </c>
      <c r="BE12" s="728">
        <f t="shared" ref="BE12" si="29">AM12/3.6*1000</f>
        <v>0</v>
      </c>
      <c r="BF12" s="728">
        <f t="shared" ref="BF12" si="30">AN12/3.6*1000</f>
        <v>0</v>
      </c>
      <c r="BG12" s="728">
        <f t="shared" ref="BG12" si="31">AO12/3.6*1000</f>
        <v>0</v>
      </c>
      <c r="BH12" s="728">
        <f t="shared" ref="BH12" si="32">AP12/3.6*1000</f>
        <v>0</v>
      </c>
      <c r="BI12" s="728">
        <f t="shared" ref="BI12" si="33">AQ12/3.6*1000</f>
        <v>0</v>
      </c>
      <c r="BJ12" s="728">
        <f t="shared" ref="BJ12" si="34">AR12/3.6*1000</f>
        <v>0</v>
      </c>
      <c r="BK12" s="728">
        <f t="shared" ref="BK12" si="35">AS12/3.6*1000</f>
        <v>0</v>
      </c>
      <c r="BL12" s="728">
        <f t="shared" ref="BL12" si="36">AT12/3.6*1000</f>
        <v>0</v>
      </c>
      <c r="BM12" s="728">
        <f t="shared" ref="BM12" si="37">AU12/3.6*1000</f>
        <v>0</v>
      </c>
    </row>
    <row r="13" spans="1:67" x14ac:dyDescent="0.25">
      <c r="B13" s="219" t="str">
        <f t="shared" ref="B13:B16" si="38">B12</f>
        <v>TRABDL00</v>
      </c>
      <c r="C13" s="224"/>
      <c r="D13" s="230"/>
      <c r="E13" s="224"/>
      <c r="F13" s="224"/>
      <c r="G13" s="224"/>
      <c r="H13" s="231">
        <v>2020</v>
      </c>
      <c r="I13" s="224"/>
      <c r="J13" s="232" t="s">
        <v>1065</v>
      </c>
      <c r="K13" s="232" t="s">
        <v>85</v>
      </c>
      <c r="L13" s="636">
        <f t="shared" ref="L13:Z16" si="39">L$12*LOOKUP($H13, $AF$47:$AF$50, AG$47:AG$50)</f>
        <v>3193.2452104442418</v>
      </c>
      <c r="M13" s="636">
        <f t="shared" si="39"/>
        <v>0</v>
      </c>
      <c r="N13" s="636">
        <f t="shared" si="39"/>
        <v>0</v>
      </c>
      <c r="O13" s="636">
        <f t="shared" si="39"/>
        <v>0</v>
      </c>
      <c r="P13" s="636">
        <f t="shared" si="39"/>
        <v>0</v>
      </c>
      <c r="Q13" s="636">
        <f t="shared" si="39"/>
        <v>0</v>
      </c>
      <c r="R13" s="636">
        <f t="shared" si="39"/>
        <v>0</v>
      </c>
      <c r="S13" s="636">
        <f t="shared" si="39"/>
        <v>0</v>
      </c>
      <c r="T13" s="636">
        <f t="shared" si="39"/>
        <v>0</v>
      </c>
      <c r="U13" s="636">
        <f t="shared" si="39"/>
        <v>0</v>
      </c>
      <c r="V13" s="636">
        <f t="shared" si="39"/>
        <v>0</v>
      </c>
      <c r="W13" s="636">
        <f t="shared" si="39"/>
        <v>0</v>
      </c>
      <c r="X13" s="636">
        <f t="shared" si="39"/>
        <v>0</v>
      </c>
      <c r="Y13" s="636">
        <f t="shared" si="39"/>
        <v>0</v>
      </c>
      <c r="Z13" s="636">
        <f t="shared" si="39"/>
        <v>0</v>
      </c>
      <c r="AB13" s="19"/>
      <c r="AE13" s="418" t="s">
        <v>994</v>
      </c>
      <c r="AF13" s="830">
        <f t="shared" si="5"/>
        <v>804.43967178950084</v>
      </c>
      <c r="AG13" s="728">
        <f>SUMIF(TC_Private!$AV$6:$AV$24,TRA_Fuel!$AE13,TC_Private!AX$6:AX$24)+SUMIF(TB!$AV$6:$AV$24,TRA_Fuel!$AE13,TB!AX$6:AX$24)+SUMIF(TF_Private!$AV$11:$AV$29,TRA_Fuel!$AE13,TF_Private!AX$11:AX$29)</f>
        <v>804.43967178950084</v>
      </c>
      <c r="AH13" s="723">
        <f>SUMIF(TC_Private!$AV$6:$AV$24,TRA_Fuel!$AE14,TC_Private!AY$6:AY$24)+SUMIF(TB!$AV$6:$AV$24,TRA_Fuel!$AE14,TB!AY$6:AY$24)+SUMIF(TF_Private!$AV$11:$AV$29,TRA_Fuel!$AE14,TF_Private!AY$11:AY$29)</f>
        <v>0</v>
      </c>
      <c r="AI13" s="723">
        <f>SUMIF(TC_Private!$AV$6:$AV$24,TRA_Fuel!$AE14,TC_Private!AZ$6:AZ$24)+SUMIF(TB!$AV$6:$AV$24,TRA_Fuel!$AE14,TB!AZ$6:AZ$24)+SUMIF(TF_Private!$AV$11:$AV$29,TRA_Fuel!$AE14,TF_Private!AZ$11:AZ$29)</f>
        <v>0</v>
      </c>
      <c r="AJ13" s="723">
        <f>SUMIF(TC_Private!$AV$6:$AV$24,TRA_Fuel!$AE14,TC_Private!BA$6:BA$24)+SUMIF(TB!$AV$6:$AV$24,TRA_Fuel!$AE14,TB!BA$6:BA$24)+SUMIF(TF_Private!$AV$11:$AV$29,TRA_Fuel!$AE14,TF_Private!BA$11:BA$29)</f>
        <v>0</v>
      </c>
      <c r="AK13" s="723">
        <f>SUMIF(TC_Private!$AV$6:$AV$24,TRA_Fuel!$AE14,TC_Private!BB$6:BB$24)+SUMIF(TB!$AV$6:$AV$24,TRA_Fuel!$AE14,TB!BB$6:BB$24)+SUMIF(TF_Private!$AV$11:$AV$29,TRA_Fuel!$AE14,TF_Private!BB$11:BB$29)</f>
        <v>0</v>
      </c>
      <c r="AL13" s="723">
        <f>SUMIF(TC_Private!$AV$6:$AV$24,TRA_Fuel!$AE14,TC_Private!BC$6:BC$24)+SUMIF(TB!$AV$6:$AV$24,TRA_Fuel!$AE14,TB!BC$6:BC$24)+SUMIF(TF_Private!$AV$11:$AV$29,TRA_Fuel!$AE14,TF_Private!BC$11:BC$29)</f>
        <v>0</v>
      </c>
      <c r="AM13" s="723">
        <f>SUMIF(TC_Private!$AV$6:$AV$24,TRA_Fuel!$AE14,TC_Private!BD$6:BD$24)+SUMIF(TB!$AV$6:$AV$24,TRA_Fuel!$AE14,TB!BD$6:BD$24)+SUMIF(TF_Private!$AV$11:$AV$29,TRA_Fuel!$AE14,TF_Private!BD$11:BD$29)</f>
        <v>0</v>
      </c>
      <c r="AN13" s="723">
        <f>SUMIF(TC_Private!$AV$6:$AV$24,TRA_Fuel!$AE14,TC_Private!BE$6:BE$24)+SUMIF(TB!$AV$6:$AV$24,TRA_Fuel!$AE14,TB!BE$6:BE$24)+SUMIF(TF_Private!$AV$11:$AV$29,TRA_Fuel!$AE14,TF_Private!BE$11:BE$29)</f>
        <v>0</v>
      </c>
      <c r="AO13" s="723">
        <f>SUMIF(TC_Private!$AV$6:$AV$24,TRA_Fuel!$AE14,TC_Private!BF$6:BF$24)+SUMIF(TB!$AV$6:$AV$24,TRA_Fuel!$AE14,TB!BF$6:BF$24)+SUMIF(TF_Private!$AV$11:$AV$29,TRA_Fuel!$AE14,TF_Private!BF$11:BF$29)</f>
        <v>0</v>
      </c>
      <c r="AP13" s="723">
        <f>SUMIF(TC_Private!$AV$6:$AV$24,TRA_Fuel!$AE14,TC_Private!BG$6:BG$24)+SUMIF(TB!$AV$6:$AV$24,TRA_Fuel!$AE14,TB!BG$6:BG$24)+SUMIF(TF_Private!$AV$11:$AV$29,TRA_Fuel!$AE14,TF_Private!BG$11:BG$29)</f>
        <v>0</v>
      </c>
      <c r="AQ13" s="723">
        <f>SUMIF(TC_Private!$AV$6:$AV$24,TRA_Fuel!$AE14,TC_Private!BH$6:BH$24)+SUMIF(TB!$AV$6:$AV$24,TRA_Fuel!$AE14,TB!BH$6:BH$24)+SUMIF(TF_Private!$AV$11:$AV$29,TRA_Fuel!$AE14,TF_Private!BH$11:BH$29)</f>
        <v>0</v>
      </c>
      <c r="AR13" s="723">
        <f>SUMIF(TC_Private!$AV$6:$AV$24,TRA_Fuel!$AE14,TC_Private!BI$6:BI$24)+SUMIF(TB!$AV$6:$AV$24,TRA_Fuel!$AE14,TB!BI$6:BI$24)+SUMIF(TF_Private!$AV$11:$AV$29,TRA_Fuel!$AE14,TF_Private!BI$11:BI$29)</f>
        <v>0</v>
      </c>
      <c r="AS13" s="723">
        <f>SUMIF(TC_Private!$AV$6:$AV$24,TRA_Fuel!$AE14,TC_Private!BJ$6:BJ$24)+SUMIF(TB!$AV$6:$AV$24,TRA_Fuel!$AE14,TB!BJ$6:BJ$24)+SUMIF(TF_Private!$AV$11:$AV$29,TRA_Fuel!$AE14,TF_Private!BJ$11:BJ$29)</f>
        <v>0</v>
      </c>
      <c r="AT13" s="723">
        <f>SUMIF(TC_Private!$AV$6:$AV$24,TRA_Fuel!$AE14,TC_Private!BK$6:BK$24)+SUMIF(TB!$AV$6:$AV$24,TRA_Fuel!$AE14,TB!BK$6:BK$24)+SUMIF(TF_Private!$AV$11:$AV$29,TRA_Fuel!$AE14,TF_Private!BK$11:BK$29)</f>
        <v>0</v>
      </c>
      <c r="AU13" s="723">
        <f>SUMIF(TC_Private!$AV$6:$AV$24,TRA_Fuel!$AE14,TC_Private!BL$6:BL$24)+SUMIF(TB!$AV$6:$AV$24,TRA_Fuel!$AE14,TB!BL$6:BL$24)+SUMIF(TF_Private!$AV$11:$AV$29,TRA_Fuel!$AE14,TF_Private!BL$11:BL$29)</f>
        <v>0</v>
      </c>
      <c r="AW13" s="418" t="str">
        <f t="shared" ref="AW13:AW22" si="40">AE13</f>
        <v>TRABGS</v>
      </c>
      <c r="AX13" s="830">
        <f t="shared" si="8"/>
        <v>223455.46438597245</v>
      </c>
      <c r="AY13" s="728">
        <f t="shared" ref="AY13:AY22" si="41">AG13/3.6*1000</f>
        <v>223455.46438597245</v>
      </c>
      <c r="AZ13" s="728">
        <f t="shared" ref="AZ13:AZ22" si="42">AH13/3.6*1000</f>
        <v>0</v>
      </c>
      <c r="BA13" s="728">
        <f t="shared" ref="BA13:BA22" si="43">AI13/3.6*1000</f>
        <v>0</v>
      </c>
      <c r="BB13" s="728">
        <f t="shared" ref="BB13:BB22" si="44">AJ13/3.6*1000</f>
        <v>0</v>
      </c>
      <c r="BC13" s="728">
        <f t="shared" ref="BC13:BC22" si="45">AK13/3.6*1000</f>
        <v>0</v>
      </c>
      <c r="BD13" s="728">
        <f t="shared" ref="BD13:BD22" si="46">AL13/3.6*1000</f>
        <v>0</v>
      </c>
      <c r="BE13" s="728">
        <f t="shared" ref="BE13:BE22" si="47">AM13/3.6*1000</f>
        <v>0</v>
      </c>
      <c r="BF13" s="728">
        <f t="shared" ref="BF13:BF22" si="48">AN13/3.6*1000</f>
        <v>0</v>
      </c>
      <c r="BG13" s="728">
        <f t="shared" ref="BG13:BG22" si="49">AO13/3.6*1000</f>
        <v>0</v>
      </c>
      <c r="BH13" s="728">
        <f t="shared" ref="BH13:BH22" si="50">AP13/3.6*1000</f>
        <v>0</v>
      </c>
      <c r="BI13" s="728">
        <f t="shared" ref="BI13:BI22" si="51">AQ13/3.6*1000</f>
        <v>0</v>
      </c>
      <c r="BJ13" s="728">
        <f t="shared" ref="BJ13:BJ22" si="52">AR13/3.6*1000</f>
        <v>0</v>
      </c>
      <c r="BK13" s="728">
        <f t="shared" ref="BK13:BK22" si="53">AS13/3.6*1000</f>
        <v>0</v>
      </c>
      <c r="BL13" s="728">
        <f t="shared" ref="BL13:BL22" si="54">AT13/3.6*1000</f>
        <v>0</v>
      </c>
      <c r="BM13" s="728">
        <f t="shared" ref="BM13:BM22" si="55">AU13/3.6*1000</f>
        <v>0</v>
      </c>
    </row>
    <row r="14" spans="1:67" x14ac:dyDescent="0.25">
      <c r="B14" s="219" t="str">
        <f t="shared" si="38"/>
        <v>TRABDL00</v>
      </c>
      <c r="C14" s="224"/>
      <c r="D14" s="230"/>
      <c r="E14" s="224"/>
      <c r="F14" s="224"/>
      <c r="G14" s="224"/>
      <c r="H14" s="231">
        <v>2030</v>
      </c>
      <c r="I14" s="224"/>
      <c r="J14" s="232" t="s">
        <v>1065</v>
      </c>
      <c r="K14" s="232" t="s">
        <v>85</v>
      </c>
      <c r="L14" s="636">
        <f t="shared" si="39"/>
        <v>1596.6226052221209</v>
      </c>
      <c r="M14" s="636">
        <f t="shared" si="39"/>
        <v>0</v>
      </c>
      <c r="N14" s="636">
        <f t="shared" si="39"/>
        <v>0</v>
      </c>
      <c r="O14" s="636">
        <f t="shared" si="39"/>
        <v>0</v>
      </c>
      <c r="P14" s="636">
        <f t="shared" si="39"/>
        <v>0</v>
      </c>
      <c r="Q14" s="636">
        <f t="shared" si="39"/>
        <v>0</v>
      </c>
      <c r="R14" s="636">
        <f t="shared" si="39"/>
        <v>0</v>
      </c>
      <c r="S14" s="636">
        <f t="shared" si="39"/>
        <v>0</v>
      </c>
      <c r="T14" s="636">
        <f t="shared" si="39"/>
        <v>0</v>
      </c>
      <c r="U14" s="636">
        <f t="shared" si="39"/>
        <v>0</v>
      </c>
      <c r="V14" s="636">
        <f t="shared" si="39"/>
        <v>0</v>
      </c>
      <c r="W14" s="636">
        <f t="shared" si="39"/>
        <v>0</v>
      </c>
      <c r="X14" s="636">
        <f t="shared" si="39"/>
        <v>0</v>
      </c>
      <c r="Y14" s="636">
        <f t="shared" si="39"/>
        <v>0</v>
      </c>
      <c r="Z14" s="636">
        <f t="shared" si="39"/>
        <v>0</v>
      </c>
      <c r="AB14" s="19"/>
      <c r="AE14" s="418" t="s">
        <v>996</v>
      </c>
      <c r="AF14" s="830">
        <f t="shared" si="5"/>
        <v>0</v>
      </c>
      <c r="AG14" s="728">
        <f>SUMIF(TC_Private!$AV$6:$AV$24,TRA_Fuel!$AE14,TC_Private!AX$6:AX$24)+SUMIF(TB!$AV$6:$AV$24,TRA_Fuel!$AE14,TB!AX$6:AX$24)+SUMIF(TF_Private!$AV$11:$AV$29,TRA_Fuel!$AE14,TF_Private!AX$11:AX$29)</f>
        <v>0</v>
      </c>
      <c r="AH14" s="723">
        <f>SUMIF(TC_Private!$AV$6:$AV$24,TRA_Fuel!$AE13,TC_Private!AY$6:AY$24)+SUMIF(TB!$AV$6:$AV$24,TRA_Fuel!$AE13,TB!AY$6:AY$24)+SUMIF(TF_Private!$AV$11:$AV$29,TRA_Fuel!$AE13,TF_Private!AY$11:AY$29)</f>
        <v>0</v>
      </c>
      <c r="AI14" s="723">
        <f>SUMIF(TC_Private!$AV$6:$AV$24,TRA_Fuel!$AE13,TC_Private!AZ$6:AZ$24)+SUMIF(TB!$AV$6:$AV$24,TRA_Fuel!$AE13,TB!AZ$6:AZ$24)+SUMIF(TF_Private!$AV$11:$AV$29,TRA_Fuel!$AE13,TF_Private!AZ$11:AZ$29)</f>
        <v>0</v>
      </c>
      <c r="AJ14" s="723">
        <f>SUMIF(TC_Private!$AV$6:$AV$24,TRA_Fuel!$AE13,TC_Private!BA$6:BA$24)+SUMIF(TB!$AV$6:$AV$24,TRA_Fuel!$AE13,TB!BA$6:BA$24)+SUMIF(TF_Private!$AV$11:$AV$29,TRA_Fuel!$AE13,TF_Private!BA$11:BA$29)</f>
        <v>0</v>
      </c>
      <c r="AK14" s="723">
        <f>SUMIF(TC_Private!$AV$6:$AV$24,TRA_Fuel!$AE13,TC_Private!BB$6:BB$24)+SUMIF(TB!$AV$6:$AV$24,TRA_Fuel!$AE13,TB!BB$6:BB$24)+SUMIF(TF_Private!$AV$11:$AV$29,TRA_Fuel!$AE13,TF_Private!BB$11:BB$29)</f>
        <v>0</v>
      </c>
      <c r="AL14" s="723">
        <f>SUMIF(TC_Private!$AV$6:$AV$24,TRA_Fuel!$AE13,TC_Private!BC$6:BC$24)+SUMIF(TB!$AV$6:$AV$24,TRA_Fuel!$AE13,TB!BC$6:BC$24)+SUMIF(TF_Private!$AV$11:$AV$29,TRA_Fuel!$AE13,TF_Private!BC$11:BC$29)</f>
        <v>0</v>
      </c>
      <c r="AM14" s="723">
        <f>SUMIF(TC_Private!$AV$6:$AV$24,TRA_Fuel!$AE13,TC_Private!BD$6:BD$24)+SUMIF(TB!$AV$6:$AV$24,TRA_Fuel!$AE13,TB!BD$6:BD$24)+SUMIF(TF_Private!$AV$11:$AV$29,TRA_Fuel!$AE13,TF_Private!BD$11:BD$29)</f>
        <v>0</v>
      </c>
      <c r="AN14" s="723">
        <f>SUMIF(TC_Private!$AV$6:$AV$24,TRA_Fuel!$AE13,TC_Private!BE$6:BE$24)+SUMIF(TB!$AV$6:$AV$24,TRA_Fuel!$AE13,TB!BE$6:BE$24)+SUMIF(TF_Private!$AV$11:$AV$29,TRA_Fuel!$AE13,TF_Private!BE$11:BE$29)</f>
        <v>0</v>
      </c>
      <c r="AO14" s="723">
        <f>SUMIF(TC_Private!$AV$6:$AV$24,TRA_Fuel!$AE13,TC_Private!BF$6:BF$24)+SUMIF(TB!$AV$6:$AV$24,TRA_Fuel!$AE13,TB!BF$6:BF$24)+SUMIF(TF_Private!$AV$11:$AV$29,TRA_Fuel!$AE13,TF_Private!BF$11:BF$29)</f>
        <v>0</v>
      </c>
      <c r="AP14" s="723">
        <f>SUMIF(TC_Private!$AV$6:$AV$24,TRA_Fuel!$AE13,TC_Private!BG$6:BG$24)+SUMIF(TB!$AV$6:$AV$24,TRA_Fuel!$AE13,TB!BG$6:BG$24)+SUMIF(TF_Private!$AV$11:$AV$29,TRA_Fuel!$AE13,TF_Private!BG$11:BG$29)</f>
        <v>0</v>
      </c>
      <c r="AQ14" s="723">
        <f>SUMIF(TC_Private!$AV$6:$AV$24,TRA_Fuel!$AE13,TC_Private!BH$6:BH$24)+SUMIF(TB!$AV$6:$AV$24,TRA_Fuel!$AE13,TB!BH$6:BH$24)+SUMIF(TF_Private!$AV$11:$AV$29,TRA_Fuel!$AE13,TF_Private!BH$11:BH$29)</f>
        <v>0</v>
      </c>
      <c r="AR14" s="723">
        <f>SUMIF(TC_Private!$AV$6:$AV$24,TRA_Fuel!$AE13,TC_Private!BI$6:BI$24)+SUMIF(TB!$AV$6:$AV$24,TRA_Fuel!$AE13,TB!BI$6:BI$24)+SUMIF(TF_Private!$AV$11:$AV$29,TRA_Fuel!$AE13,TF_Private!BI$11:BI$29)</f>
        <v>0</v>
      </c>
      <c r="AS14" s="723">
        <f>SUMIF(TC_Private!$AV$6:$AV$24,TRA_Fuel!$AE13,TC_Private!BJ$6:BJ$24)+SUMIF(TB!$AV$6:$AV$24,TRA_Fuel!$AE13,TB!BJ$6:BJ$24)+SUMIF(TF_Private!$AV$11:$AV$29,TRA_Fuel!$AE13,TF_Private!BJ$11:BJ$29)</f>
        <v>0</v>
      </c>
      <c r="AT14" s="723">
        <f>SUMIF(TC_Private!$AV$6:$AV$24,TRA_Fuel!$AE13,TC_Private!BK$6:BK$24)+SUMIF(TB!$AV$6:$AV$24,TRA_Fuel!$AE13,TB!BK$6:BK$24)+SUMIF(TF_Private!$AV$11:$AV$29,TRA_Fuel!$AE13,TF_Private!BK$11:BK$29)</f>
        <v>0</v>
      </c>
      <c r="AU14" s="723">
        <f>SUMIF(TC_Private!$AV$6:$AV$24,TRA_Fuel!$AE13,TC_Private!BL$6:BL$24)+SUMIF(TB!$AV$6:$AV$24,TRA_Fuel!$AE13,TB!BL$6:BL$24)+SUMIF(TF_Private!$AV$11:$AV$29,TRA_Fuel!$AE13,TF_Private!BL$11:BL$29)</f>
        <v>0</v>
      </c>
      <c r="AW14" s="418" t="str">
        <f t="shared" si="40"/>
        <v>TRABGSLM</v>
      </c>
      <c r="AX14" s="830">
        <f t="shared" si="8"/>
        <v>0</v>
      </c>
      <c r="AY14" s="728">
        <f t="shared" si="41"/>
        <v>0</v>
      </c>
      <c r="AZ14" s="728">
        <f t="shared" si="42"/>
        <v>0</v>
      </c>
      <c r="BA14" s="728">
        <f t="shared" si="43"/>
        <v>0</v>
      </c>
      <c r="BB14" s="728">
        <f t="shared" si="44"/>
        <v>0</v>
      </c>
      <c r="BC14" s="728">
        <f t="shared" si="45"/>
        <v>0</v>
      </c>
      <c r="BD14" s="728">
        <f t="shared" si="46"/>
        <v>0</v>
      </c>
      <c r="BE14" s="728">
        <f t="shared" si="47"/>
        <v>0</v>
      </c>
      <c r="BF14" s="728">
        <f t="shared" si="48"/>
        <v>0</v>
      </c>
      <c r="BG14" s="728">
        <f t="shared" si="49"/>
        <v>0</v>
      </c>
      <c r="BH14" s="728">
        <f t="shared" si="50"/>
        <v>0</v>
      </c>
      <c r="BI14" s="728">
        <f t="shared" si="51"/>
        <v>0</v>
      </c>
      <c r="BJ14" s="728">
        <f t="shared" si="52"/>
        <v>0</v>
      </c>
      <c r="BK14" s="728">
        <f t="shared" si="53"/>
        <v>0</v>
      </c>
      <c r="BL14" s="728">
        <f t="shared" si="54"/>
        <v>0</v>
      </c>
      <c r="BM14" s="728">
        <f t="shared" si="55"/>
        <v>0</v>
      </c>
    </row>
    <row r="15" spans="1:67" x14ac:dyDescent="0.25">
      <c r="B15" s="219" t="str">
        <f t="shared" si="38"/>
        <v>TRABDL00</v>
      </c>
      <c r="C15" s="224"/>
      <c r="D15" s="230"/>
      <c r="E15" s="224"/>
      <c r="F15" s="224"/>
      <c r="G15" s="224"/>
      <c r="H15" s="231">
        <v>2040</v>
      </c>
      <c r="I15" s="224"/>
      <c r="J15" s="232" t="s">
        <v>1065</v>
      </c>
      <c r="K15" s="232" t="s">
        <v>85</v>
      </c>
      <c r="L15" s="636">
        <f t="shared" si="39"/>
        <v>0</v>
      </c>
      <c r="M15" s="636">
        <f t="shared" si="39"/>
        <v>0</v>
      </c>
      <c r="N15" s="636">
        <f t="shared" si="39"/>
        <v>0</v>
      </c>
      <c r="O15" s="636">
        <f t="shared" si="39"/>
        <v>0</v>
      </c>
      <c r="P15" s="636">
        <f t="shared" si="39"/>
        <v>0</v>
      </c>
      <c r="Q15" s="636">
        <f t="shared" si="39"/>
        <v>0</v>
      </c>
      <c r="R15" s="636">
        <f t="shared" si="39"/>
        <v>0</v>
      </c>
      <c r="S15" s="636">
        <f t="shared" si="39"/>
        <v>0</v>
      </c>
      <c r="T15" s="636">
        <f t="shared" si="39"/>
        <v>0</v>
      </c>
      <c r="U15" s="636">
        <f t="shared" si="39"/>
        <v>0</v>
      </c>
      <c r="V15" s="636">
        <f t="shared" si="39"/>
        <v>0</v>
      </c>
      <c r="W15" s="636">
        <f t="shared" si="39"/>
        <v>0</v>
      </c>
      <c r="X15" s="636">
        <f t="shared" si="39"/>
        <v>0</v>
      </c>
      <c r="Y15" s="636">
        <f t="shared" si="39"/>
        <v>0</v>
      </c>
      <c r="Z15" s="636">
        <f t="shared" si="39"/>
        <v>0</v>
      </c>
      <c r="AB15" s="19"/>
      <c r="AE15" s="418" t="s">
        <v>998</v>
      </c>
      <c r="AF15" s="830">
        <f t="shared" si="5"/>
        <v>0</v>
      </c>
      <c r="AG15" s="728">
        <f>SUMIF(TC_Private!$AV$6:$AV$24,TRA_Fuel!$AE15,TC_Private!AX$6:AX$24)+SUMIF(TB!$AV$6:$AV$24,TRA_Fuel!$AE15,TB!AX$6:AX$24)+SUMIF(TF_Private!$AV$11:$AV$29,TRA_Fuel!$AE15,TF_Private!AX$11:AX$29)</f>
        <v>0</v>
      </c>
      <c r="AH15" s="723">
        <f>SUMIF(TC_Private!$AV$6:$AV$24,TRA_Fuel!$AE15,TC_Private!AY$6:AY$24)+SUMIF(TB!$AV$6:$AV$24,TRA_Fuel!$AE15,TB!AY$6:AY$24)+SUMIF(TF_Private!$AV$11:$AV$29,TRA_Fuel!$AE15,TF_Private!AY$11:AY$29)</f>
        <v>0</v>
      </c>
      <c r="AI15" s="723">
        <f>SUMIF(TC_Private!$AV$6:$AV$24,TRA_Fuel!$AE15,TC_Private!AZ$6:AZ$24)+SUMIF(TB!$AV$6:$AV$24,TRA_Fuel!$AE15,TB!AZ$6:AZ$24)+SUMIF(TF_Private!$AV$11:$AV$29,TRA_Fuel!$AE15,TF_Private!AZ$11:AZ$29)</f>
        <v>0</v>
      </c>
      <c r="AJ15" s="723">
        <f>SUMIF(TC_Private!$AV$6:$AV$24,TRA_Fuel!$AE15,TC_Private!BA$6:BA$24)+SUMIF(TB!$AV$6:$AV$24,TRA_Fuel!$AE15,TB!BA$6:BA$24)+SUMIF(TF_Private!$AV$11:$AV$29,TRA_Fuel!$AE15,TF_Private!BA$11:BA$29)</f>
        <v>0</v>
      </c>
      <c r="AK15" s="723">
        <f>SUMIF(TC_Private!$AV$6:$AV$24,TRA_Fuel!$AE15,TC_Private!BB$6:BB$24)+SUMIF(TB!$AV$6:$AV$24,TRA_Fuel!$AE15,TB!BB$6:BB$24)+SUMIF(TF_Private!$AV$11:$AV$29,TRA_Fuel!$AE15,TF_Private!BB$11:BB$29)</f>
        <v>0</v>
      </c>
      <c r="AL15" s="723">
        <f>SUMIF(TC_Private!$AV$6:$AV$24,TRA_Fuel!$AE15,TC_Private!BC$6:BC$24)+SUMIF(TB!$AV$6:$AV$24,TRA_Fuel!$AE15,TB!BC$6:BC$24)+SUMIF(TF_Private!$AV$11:$AV$29,TRA_Fuel!$AE15,TF_Private!BC$11:BC$29)</f>
        <v>0</v>
      </c>
      <c r="AM15" s="723">
        <f>SUMIF(TC_Private!$AV$6:$AV$24,TRA_Fuel!$AE15,TC_Private!BD$6:BD$24)+SUMIF(TB!$AV$6:$AV$24,TRA_Fuel!$AE15,TB!BD$6:BD$24)+SUMIF(TF_Private!$AV$11:$AV$29,TRA_Fuel!$AE15,TF_Private!BD$11:BD$29)</f>
        <v>0</v>
      </c>
      <c r="AN15" s="723">
        <f>SUMIF(TC_Private!$AV$6:$AV$24,TRA_Fuel!$AE15,TC_Private!BE$6:BE$24)+SUMIF(TB!$AV$6:$AV$24,TRA_Fuel!$AE15,TB!BE$6:BE$24)+SUMIF(TF_Private!$AV$11:$AV$29,TRA_Fuel!$AE15,TF_Private!BE$11:BE$29)</f>
        <v>0</v>
      </c>
      <c r="AO15" s="723">
        <f>SUMIF(TC_Private!$AV$6:$AV$24,TRA_Fuel!$AE15,TC_Private!BF$6:BF$24)+SUMIF(TB!$AV$6:$AV$24,TRA_Fuel!$AE15,TB!BF$6:BF$24)+SUMIF(TF_Private!$AV$11:$AV$29,TRA_Fuel!$AE15,TF_Private!BF$11:BF$29)</f>
        <v>0</v>
      </c>
      <c r="AP15" s="723">
        <f>SUMIF(TC_Private!$AV$6:$AV$24,TRA_Fuel!$AE15,TC_Private!BG$6:BG$24)+SUMIF(TB!$AV$6:$AV$24,TRA_Fuel!$AE15,TB!BG$6:BG$24)+SUMIF(TF_Private!$AV$11:$AV$29,TRA_Fuel!$AE15,TF_Private!BG$11:BG$29)</f>
        <v>0</v>
      </c>
      <c r="AQ15" s="723">
        <f>SUMIF(TC_Private!$AV$6:$AV$24,TRA_Fuel!$AE15,TC_Private!BH$6:BH$24)+SUMIF(TB!$AV$6:$AV$24,TRA_Fuel!$AE15,TB!BH$6:BH$24)+SUMIF(TF_Private!$AV$11:$AV$29,TRA_Fuel!$AE15,TF_Private!BH$11:BH$29)</f>
        <v>0</v>
      </c>
      <c r="AR15" s="723">
        <f>SUMIF(TC_Private!$AV$6:$AV$24,TRA_Fuel!$AE15,TC_Private!BI$6:BI$24)+SUMIF(TB!$AV$6:$AV$24,TRA_Fuel!$AE15,TB!BI$6:BI$24)+SUMIF(TF_Private!$AV$11:$AV$29,TRA_Fuel!$AE15,TF_Private!BI$11:BI$29)</f>
        <v>0</v>
      </c>
      <c r="AS15" s="723">
        <f>SUMIF(TC_Private!$AV$6:$AV$24,TRA_Fuel!$AE15,TC_Private!BJ$6:BJ$24)+SUMIF(TB!$AV$6:$AV$24,TRA_Fuel!$AE15,TB!BJ$6:BJ$24)+SUMIF(TF_Private!$AV$11:$AV$29,TRA_Fuel!$AE15,TF_Private!BJ$11:BJ$29)</f>
        <v>0</v>
      </c>
      <c r="AT15" s="723">
        <f>SUMIF(TC_Private!$AV$6:$AV$24,TRA_Fuel!$AE15,TC_Private!BK$6:BK$24)+SUMIF(TB!$AV$6:$AV$24,TRA_Fuel!$AE15,TB!BK$6:BK$24)+SUMIF(TF_Private!$AV$11:$AV$29,TRA_Fuel!$AE15,TF_Private!BK$11:BK$29)</f>
        <v>0</v>
      </c>
      <c r="AU15" s="723">
        <f>SUMIF(TC_Private!$AV$6:$AV$24,TRA_Fuel!$AE15,TC_Private!BL$6:BL$24)+SUMIF(TB!$AV$6:$AV$24,TRA_Fuel!$AE15,TB!BL$6:BL$24)+SUMIF(TF_Private!$AV$11:$AV$29,TRA_Fuel!$AE15,TF_Private!BL$11:BL$29)</f>
        <v>0</v>
      </c>
      <c r="AW15" s="418" t="str">
        <f t="shared" si="40"/>
        <v>TRABJF</v>
      </c>
      <c r="AX15" s="830">
        <f t="shared" si="8"/>
        <v>0</v>
      </c>
      <c r="AY15" s="728">
        <f t="shared" si="41"/>
        <v>0</v>
      </c>
      <c r="AZ15" s="728">
        <f t="shared" si="42"/>
        <v>0</v>
      </c>
      <c r="BA15" s="728">
        <f t="shared" si="43"/>
        <v>0</v>
      </c>
      <c r="BB15" s="728">
        <f t="shared" si="44"/>
        <v>0</v>
      </c>
      <c r="BC15" s="728">
        <f t="shared" si="45"/>
        <v>0</v>
      </c>
      <c r="BD15" s="728">
        <f t="shared" si="46"/>
        <v>0</v>
      </c>
      <c r="BE15" s="728">
        <f t="shared" si="47"/>
        <v>0</v>
      </c>
      <c r="BF15" s="728">
        <f t="shared" si="48"/>
        <v>0</v>
      </c>
      <c r="BG15" s="728">
        <f t="shared" si="49"/>
        <v>0</v>
      </c>
      <c r="BH15" s="728">
        <f t="shared" si="50"/>
        <v>0</v>
      </c>
      <c r="BI15" s="728">
        <f t="shared" si="51"/>
        <v>0</v>
      </c>
      <c r="BJ15" s="728">
        <f t="shared" si="52"/>
        <v>0</v>
      </c>
      <c r="BK15" s="728">
        <f t="shared" si="53"/>
        <v>0</v>
      </c>
      <c r="BL15" s="728">
        <f t="shared" si="54"/>
        <v>0</v>
      </c>
      <c r="BM15" s="728">
        <f t="shared" si="55"/>
        <v>0</v>
      </c>
    </row>
    <row r="16" spans="1:67" x14ac:dyDescent="0.25">
      <c r="B16" s="233" t="str">
        <f t="shared" si="38"/>
        <v>TRABDL00</v>
      </c>
      <c r="C16" s="234"/>
      <c r="D16" s="235"/>
      <c r="E16" s="234"/>
      <c r="F16" s="234"/>
      <c r="G16" s="234"/>
      <c r="H16" s="236">
        <f>$K$5</f>
        <v>2050</v>
      </c>
      <c r="I16" s="224"/>
      <c r="J16" s="237" t="s">
        <v>1065</v>
      </c>
      <c r="K16" s="237" t="s">
        <v>85</v>
      </c>
      <c r="L16" s="637">
        <f t="shared" si="39"/>
        <v>0</v>
      </c>
      <c r="M16" s="637">
        <f t="shared" si="39"/>
        <v>0</v>
      </c>
      <c r="N16" s="637">
        <f t="shared" si="39"/>
        <v>0</v>
      </c>
      <c r="O16" s="637">
        <f t="shared" si="39"/>
        <v>0</v>
      </c>
      <c r="P16" s="637">
        <f t="shared" si="39"/>
        <v>0</v>
      </c>
      <c r="Q16" s="637">
        <f t="shared" si="39"/>
        <v>0</v>
      </c>
      <c r="R16" s="637">
        <f t="shared" si="39"/>
        <v>0</v>
      </c>
      <c r="S16" s="637">
        <f t="shared" si="39"/>
        <v>0</v>
      </c>
      <c r="T16" s="637">
        <f t="shared" si="39"/>
        <v>0</v>
      </c>
      <c r="U16" s="637">
        <f t="shared" si="39"/>
        <v>0</v>
      </c>
      <c r="V16" s="637">
        <f t="shared" si="39"/>
        <v>0</v>
      </c>
      <c r="W16" s="637">
        <f t="shared" si="39"/>
        <v>0</v>
      </c>
      <c r="X16" s="637">
        <f t="shared" si="39"/>
        <v>0</v>
      </c>
      <c r="Y16" s="637">
        <f t="shared" si="39"/>
        <v>0</v>
      </c>
      <c r="Z16" s="637">
        <f t="shared" si="39"/>
        <v>0</v>
      </c>
      <c r="AB16" s="19"/>
      <c r="AE16" s="724" t="s">
        <v>1000</v>
      </c>
      <c r="AF16" s="830">
        <f t="shared" si="5"/>
        <v>0</v>
      </c>
      <c r="AG16" s="728">
        <f>SUMIF(TC_Private!$AV$6:$AV$24,TRA_Fuel!$AE16,TC_Private!AX$6:AX$24)+SUMIF(TB!$AV$6:$AV$24,TRA_Fuel!$AE16,TB!AX$6:AX$24)+SUMIF(TF_Private!$AV$11:$AV$29,TRA_Fuel!$AE16,TF_Private!AX$11:AX$29)</f>
        <v>0</v>
      </c>
      <c r="AH16" s="723">
        <f>SUMIF(TC_Private!$AV$6:$AV$24,TRA_Fuel!$AE16,TC_Private!AY$6:AY$24)+SUMIF(TB!$AV$6:$AV$24,TRA_Fuel!$AE16,TB!AY$6:AY$24)+SUMIF(TF_Private!$AV$11:$AV$29,TRA_Fuel!$AE16,TF_Private!AY$11:AY$29)</f>
        <v>0</v>
      </c>
      <c r="AI16" s="723">
        <f>SUMIF(TC_Private!$AV$6:$AV$24,TRA_Fuel!$AE16,TC_Private!AZ$6:AZ$24)+SUMIF(TB!$AV$6:$AV$24,TRA_Fuel!$AE16,TB!AZ$6:AZ$24)+SUMIF(TF_Private!$AV$11:$AV$29,TRA_Fuel!$AE16,TF_Private!AZ$11:AZ$29)</f>
        <v>0</v>
      </c>
      <c r="AJ16" s="723">
        <f>SUMIF(TC_Private!$AV$6:$AV$24,TRA_Fuel!$AE16,TC_Private!BA$6:BA$24)+SUMIF(TB!$AV$6:$AV$24,TRA_Fuel!$AE16,TB!BA$6:BA$24)+SUMIF(TF_Private!$AV$11:$AV$29,TRA_Fuel!$AE16,TF_Private!BA$11:BA$29)</f>
        <v>0</v>
      </c>
      <c r="AK16" s="723">
        <f>SUMIF(TC_Private!$AV$6:$AV$24,TRA_Fuel!$AE16,TC_Private!BB$6:BB$24)+SUMIF(TB!$AV$6:$AV$24,TRA_Fuel!$AE16,TB!BB$6:BB$24)+SUMIF(TF_Private!$AV$11:$AV$29,TRA_Fuel!$AE16,TF_Private!BB$11:BB$29)</f>
        <v>0</v>
      </c>
      <c r="AL16" s="723">
        <f>SUMIF(TC_Private!$AV$6:$AV$24,TRA_Fuel!$AE16,TC_Private!BC$6:BC$24)+SUMIF(TB!$AV$6:$AV$24,TRA_Fuel!$AE16,TB!BC$6:BC$24)+SUMIF(TF_Private!$AV$11:$AV$29,TRA_Fuel!$AE16,TF_Private!BC$11:BC$29)</f>
        <v>0</v>
      </c>
      <c r="AM16" s="723">
        <f>SUMIF(TC_Private!$AV$6:$AV$24,TRA_Fuel!$AE16,TC_Private!BD$6:BD$24)+SUMIF(TB!$AV$6:$AV$24,TRA_Fuel!$AE16,TB!BD$6:BD$24)+SUMIF(TF_Private!$AV$11:$AV$29,TRA_Fuel!$AE16,TF_Private!BD$11:BD$29)</f>
        <v>0</v>
      </c>
      <c r="AN16" s="723">
        <f>SUMIF(TC_Private!$AV$6:$AV$24,TRA_Fuel!$AE16,TC_Private!BE$6:BE$24)+SUMIF(TB!$AV$6:$AV$24,TRA_Fuel!$AE16,TB!BE$6:BE$24)+SUMIF(TF_Private!$AV$11:$AV$29,TRA_Fuel!$AE16,TF_Private!BE$11:BE$29)</f>
        <v>0</v>
      </c>
      <c r="AO16" s="723">
        <f>SUMIF(TC_Private!$AV$6:$AV$24,TRA_Fuel!$AE16,TC_Private!BF$6:BF$24)+SUMIF(TB!$AV$6:$AV$24,TRA_Fuel!$AE16,TB!BF$6:BF$24)+SUMIF(TF_Private!$AV$11:$AV$29,TRA_Fuel!$AE16,TF_Private!BF$11:BF$29)</f>
        <v>0</v>
      </c>
      <c r="AP16" s="723">
        <f>SUMIF(TC_Private!$AV$6:$AV$24,TRA_Fuel!$AE16,TC_Private!BG$6:BG$24)+SUMIF(TB!$AV$6:$AV$24,TRA_Fuel!$AE16,TB!BG$6:BG$24)+SUMIF(TF_Private!$AV$11:$AV$29,TRA_Fuel!$AE16,TF_Private!BG$11:BG$29)</f>
        <v>0</v>
      </c>
      <c r="AQ16" s="723">
        <f>SUMIF(TC_Private!$AV$6:$AV$24,TRA_Fuel!$AE16,TC_Private!BH$6:BH$24)+SUMIF(TB!$AV$6:$AV$24,TRA_Fuel!$AE16,TB!BH$6:BH$24)+SUMIF(TF_Private!$AV$11:$AV$29,TRA_Fuel!$AE16,TF_Private!BH$11:BH$29)</f>
        <v>0</v>
      </c>
      <c r="AR16" s="723">
        <f>SUMIF(TC_Private!$AV$6:$AV$24,TRA_Fuel!$AE16,TC_Private!BI$6:BI$24)+SUMIF(TB!$AV$6:$AV$24,TRA_Fuel!$AE16,TB!BI$6:BI$24)+SUMIF(TF_Private!$AV$11:$AV$29,TRA_Fuel!$AE16,TF_Private!BI$11:BI$29)</f>
        <v>0</v>
      </c>
      <c r="AS16" s="723">
        <f>SUMIF(TC_Private!$AV$6:$AV$24,TRA_Fuel!$AE16,TC_Private!BJ$6:BJ$24)+SUMIF(TB!$AV$6:$AV$24,TRA_Fuel!$AE16,TB!BJ$6:BJ$24)+SUMIF(TF_Private!$AV$11:$AV$29,TRA_Fuel!$AE16,TF_Private!BJ$11:BJ$29)</f>
        <v>0</v>
      </c>
      <c r="AT16" s="723">
        <f>SUMIF(TC_Private!$AV$6:$AV$24,TRA_Fuel!$AE16,TC_Private!BK$6:BK$24)+SUMIF(TB!$AV$6:$AV$24,TRA_Fuel!$AE16,TB!BK$6:BK$24)+SUMIF(TF_Private!$AV$11:$AV$29,TRA_Fuel!$AE16,TF_Private!BK$11:BK$29)</f>
        <v>0</v>
      </c>
      <c r="AU16" s="723">
        <f>SUMIF(TC_Private!$AV$6:$AV$24,TRA_Fuel!$AE16,TC_Private!BL$6:BL$24)+SUMIF(TB!$AV$6:$AV$24,TRA_Fuel!$AE16,TB!BL$6:BL$24)+SUMIF(TF_Private!$AV$11:$AV$29,TRA_Fuel!$AE16,TF_Private!BL$11:BL$29)</f>
        <v>0</v>
      </c>
      <c r="AW16" s="418" t="str">
        <f t="shared" si="40"/>
        <v>TRADME</v>
      </c>
      <c r="AX16" s="830">
        <f t="shared" si="8"/>
        <v>0</v>
      </c>
      <c r="AY16" s="728">
        <f t="shared" si="41"/>
        <v>0</v>
      </c>
      <c r="AZ16" s="728">
        <f t="shared" si="42"/>
        <v>0</v>
      </c>
      <c r="BA16" s="728">
        <f t="shared" si="43"/>
        <v>0</v>
      </c>
      <c r="BB16" s="728">
        <f t="shared" si="44"/>
        <v>0</v>
      </c>
      <c r="BC16" s="728">
        <f t="shared" si="45"/>
        <v>0</v>
      </c>
      <c r="BD16" s="728">
        <f t="shared" si="46"/>
        <v>0</v>
      </c>
      <c r="BE16" s="728">
        <f t="shared" si="47"/>
        <v>0</v>
      </c>
      <c r="BF16" s="728">
        <f t="shared" si="48"/>
        <v>0</v>
      </c>
      <c r="BG16" s="728">
        <f t="shared" si="49"/>
        <v>0</v>
      </c>
      <c r="BH16" s="728">
        <f t="shared" si="50"/>
        <v>0</v>
      </c>
      <c r="BI16" s="728">
        <f t="shared" si="51"/>
        <v>0</v>
      </c>
      <c r="BJ16" s="728">
        <f t="shared" si="52"/>
        <v>0</v>
      </c>
      <c r="BK16" s="728">
        <f t="shared" si="53"/>
        <v>0</v>
      </c>
      <c r="BL16" s="728">
        <f t="shared" si="54"/>
        <v>0</v>
      </c>
      <c r="BM16" s="728">
        <f t="shared" si="55"/>
        <v>0</v>
      </c>
    </row>
    <row r="17" spans="1:65" x14ac:dyDescent="0.25">
      <c r="B17" s="219" t="str">
        <f>C17</f>
        <v>TRABDLM00</v>
      </c>
      <c r="C17" s="224" t="str">
        <f>CONCATENATE(F17,"00")</f>
        <v>TRABDLM00</v>
      </c>
      <c r="D17" s="225" t="str">
        <f>CONCATENATE("Fuel Tech - ",LOOKUP(F17,TRA_Comm!$C$6:$C$28,TRA_Comm!$D$6:$D$28))</f>
        <v>Fuel Tech - Biodiesel for low-blending (TRA)</v>
      </c>
      <c r="E17" s="219" t="s">
        <v>1066</v>
      </c>
      <c r="F17" s="224" t="s">
        <v>990</v>
      </c>
      <c r="G17" s="226"/>
      <c r="H17" s="227"/>
      <c r="I17" s="228"/>
      <c r="J17" s="229" t="s">
        <v>1064</v>
      </c>
      <c r="K17" s="229"/>
      <c r="L17" s="635">
        <v>1</v>
      </c>
      <c r="M17" s="635">
        <v>1</v>
      </c>
      <c r="N17" s="635">
        <v>1</v>
      </c>
      <c r="O17" s="635">
        <v>1</v>
      </c>
      <c r="P17" s="635">
        <v>1</v>
      </c>
      <c r="Q17" s="635">
        <v>1</v>
      </c>
      <c r="R17" s="635">
        <v>1</v>
      </c>
      <c r="S17" s="635">
        <v>1</v>
      </c>
      <c r="T17" s="635">
        <v>1</v>
      </c>
      <c r="U17" s="635">
        <v>1</v>
      </c>
      <c r="V17" s="635">
        <v>1</v>
      </c>
      <c r="W17" s="635">
        <v>1</v>
      </c>
      <c r="X17" s="635">
        <v>1</v>
      </c>
      <c r="Y17" s="635">
        <v>1</v>
      </c>
      <c r="Z17" s="635">
        <v>1</v>
      </c>
      <c r="AB17" s="19"/>
      <c r="AE17" s="724" t="s">
        <v>1002</v>
      </c>
      <c r="AF17" s="830">
        <f t="shared" si="5"/>
        <v>0</v>
      </c>
      <c r="AG17" s="728">
        <f>SUMIF(TC_Private!$AV$6:$AV$24,TRA_Fuel!$AE17,TC_Private!AX$6:AX$24)+SUMIF(TB!$AV$6:$AV$24,TRA_Fuel!$AE17,TB!AX$6:AX$24)+SUMIF(TF_Private!$AV$11:$AV$29,TRA_Fuel!$AE17,TF_Private!AX$11:AX$29)</f>
        <v>0</v>
      </c>
      <c r="AH17" s="723">
        <f>SUMIF(TC_Private!$AV$6:$AV$24,TRA_Fuel!$AE17,TC_Private!AY$6:AY$24)+SUMIF(TB!$AV$6:$AV$24,TRA_Fuel!$AE17,TB!AY$6:AY$24)+SUMIF(TF_Private!$AV$11:$AV$29,TRA_Fuel!$AE17,TF_Private!AY$11:AY$29)</f>
        <v>0</v>
      </c>
      <c r="AI17" s="723">
        <f>SUMIF(TC_Private!$AV$6:$AV$24,TRA_Fuel!$AE17,TC_Private!AZ$6:AZ$24)+SUMIF(TB!$AV$6:$AV$24,TRA_Fuel!$AE17,TB!AZ$6:AZ$24)+SUMIF(TF_Private!$AV$11:$AV$29,TRA_Fuel!$AE17,TF_Private!AZ$11:AZ$29)</f>
        <v>0</v>
      </c>
      <c r="AJ17" s="723">
        <f>SUMIF(TC_Private!$AV$6:$AV$24,TRA_Fuel!$AE17,TC_Private!BA$6:BA$24)+SUMIF(TB!$AV$6:$AV$24,TRA_Fuel!$AE17,TB!BA$6:BA$24)+SUMIF(TF_Private!$AV$11:$AV$29,TRA_Fuel!$AE17,TF_Private!BA$11:BA$29)</f>
        <v>0</v>
      </c>
      <c r="AK17" s="723">
        <f>SUMIF(TC_Private!$AV$6:$AV$24,TRA_Fuel!$AE17,TC_Private!BB$6:BB$24)+SUMIF(TB!$AV$6:$AV$24,TRA_Fuel!$AE17,TB!BB$6:BB$24)+SUMIF(TF_Private!$AV$11:$AV$29,TRA_Fuel!$AE17,TF_Private!BB$11:BB$29)</f>
        <v>0</v>
      </c>
      <c r="AL17" s="723">
        <f>SUMIF(TC_Private!$AV$6:$AV$24,TRA_Fuel!$AE17,TC_Private!BC$6:BC$24)+SUMIF(TB!$AV$6:$AV$24,TRA_Fuel!$AE17,TB!BC$6:BC$24)+SUMIF(TF_Private!$AV$11:$AV$29,TRA_Fuel!$AE17,TF_Private!BC$11:BC$29)</f>
        <v>0</v>
      </c>
      <c r="AM17" s="723">
        <f>SUMIF(TC_Private!$AV$6:$AV$24,TRA_Fuel!$AE17,TC_Private!BD$6:BD$24)+SUMIF(TB!$AV$6:$AV$24,TRA_Fuel!$AE17,TB!BD$6:BD$24)+SUMIF(TF_Private!$AV$11:$AV$29,TRA_Fuel!$AE17,TF_Private!BD$11:BD$29)</f>
        <v>0</v>
      </c>
      <c r="AN17" s="723">
        <f>SUMIF(TC_Private!$AV$6:$AV$24,TRA_Fuel!$AE17,TC_Private!BE$6:BE$24)+SUMIF(TB!$AV$6:$AV$24,TRA_Fuel!$AE17,TB!BE$6:BE$24)+SUMIF(TF_Private!$AV$11:$AV$29,TRA_Fuel!$AE17,TF_Private!BE$11:BE$29)</f>
        <v>0</v>
      </c>
      <c r="AO17" s="723">
        <f>SUMIF(TC_Private!$AV$6:$AV$24,TRA_Fuel!$AE17,TC_Private!BF$6:BF$24)+SUMIF(TB!$AV$6:$AV$24,TRA_Fuel!$AE17,TB!BF$6:BF$24)+SUMIF(TF_Private!$AV$11:$AV$29,TRA_Fuel!$AE17,TF_Private!BF$11:BF$29)</f>
        <v>0</v>
      </c>
      <c r="AP17" s="723">
        <f>SUMIF(TC_Private!$AV$6:$AV$24,TRA_Fuel!$AE17,TC_Private!BG$6:BG$24)+SUMIF(TB!$AV$6:$AV$24,TRA_Fuel!$AE17,TB!BG$6:BG$24)+SUMIF(TF_Private!$AV$11:$AV$29,TRA_Fuel!$AE17,TF_Private!BG$11:BG$29)</f>
        <v>0</v>
      </c>
      <c r="AQ17" s="723">
        <f>SUMIF(TC_Private!$AV$6:$AV$24,TRA_Fuel!$AE17,TC_Private!BH$6:BH$24)+SUMIF(TB!$AV$6:$AV$24,TRA_Fuel!$AE17,TB!BH$6:BH$24)+SUMIF(TF_Private!$AV$11:$AV$29,TRA_Fuel!$AE17,TF_Private!BH$11:BH$29)</f>
        <v>0</v>
      </c>
      <c r="AR17" s="723">
        <f>SUMIF(TC_Private!$AV$6:$AV$24,TRA_Fuel!$AE17,TC_Private!BI$6:BI$24)+SUMIF(TB!$AV$6:$AV$24,TRA_Fuel!$AE17,TB!BI$6:BI$24)+SUMIF(TF_Private!$AV$11:$AV$29,TRA_Fuel!$AE17,TF_Private!BI$11:BI$29)</f>
        <v>0</v>
      </c>
      <c r="AS17" s="723">
        <f>SUMIF(TC_Private!$AV$6:$AV$24,TRA_Fuel!$AE17,TC_Private!BJ$6:BJ$24)+SUMIF(TB!$AV$6:$AV$24,TRA_Fuel!$AE17,TB!BJ$6:BJ$24)+SUMIF(TF_Private!$AV$11:$AV$29,TRA_Fuel!$AE17,TF_Private!BJ$11:BJ$29)</f>
        <v>0</v>
      </c>
      <c r="AT17" s="723">
        <f>SUMIF(TC_Private!$AV$6:$AV$24,TRA_Fuel!$AE17,TC_Private!BK$6:BK$24)+SUMIF(TB!$AV$6:$AV$24,TRA_Fuel!$AE17,TB!BK$6:BK$24)+SUMIF(TF_Private!$AV$11:$AV$29,TRA_Fuel!$AE17,TF_Private!BK$11:BK$29)</f>
        <v>0</v>
      </c>
      <c r="AU17" s="723">
        <f>SUMIF(TC_Private!$AV$6:$AV$24,TRA_Fuel!$AE17,TC_Private!BL$6:BL$24)+SUMIF(TB!$AV$6:$AV$24,TRA_Fuel!$AE17,TB!BL$6:BL$24)+SUMIF(TF_Private!$AV$11:$AV$29,TRA_Fuel!$AE17,TF_Private!BL$11:BL$29)</f>
        <v>0</v>
      </c>
      <c r="AW17" s="418" t="str">
        <f t="shared" si="40"/>
        <v>TRADSR</v>
      </c>
      <c r="AX17" s="830">
        <f t="shared" si="8"/>
        <v>0</v>
      </c>
      <c r="AY17" s="728">
        <f t="shared" si="41"/>
        <v>0</v>
      </c>
      <c r="AZ17" s="728">
        <f t="shared" si="42"/>
        <v>0</v>
      </c>
      <c r="BA17" s="728">
        <f t="shared" si="43"/>
        <v>0</v>
      </c>
      <c r="BB17" s="728">
        <f t="shared" si="44"/>
        <v>0</v>
      </c>
      <c r="BC17" s="728">
        <f t="shared" si="45"/>
        <v>0</v>
      </c>
      <c r="BD17" s="728">
        <f t="shared" si="46"/>
        <v>0</v>
      </c>
      <c r="BE17" s="728">
        <f t="shared" si="47"/>
        <v>0</v>
      </c>
      <c r="BF17" s="728">
        <f t="shared" si="48"/>
        <v>0</v>
      </c>
      <c r="BG17" s="728">
        <f t="shared" si="49"/>
        <v>0</v>
      </c>
      <c r="BH17" s="728">
        <f t="shared" si="50"/>
        <v>0</v>
      </c>
      <c r="BI17" s="728">
        <f t="shared" si="51"/>
        <v>0</v>
      </c>
      <c r="BJ17" s="728">
        <f t="shared" si="52"/>
        <v>0</v>
      </c>
      <c r="BK17" s="728">
        <f t="shared" si="53"/>
        <v>0</v>
      </c>
      <c r="BL17" s="728">
        <f t="shared" si="54"/>
        <v>0</v>
      </c>
      <c r="BM17" s="728">
        <f t="shared" si="55"/>
        <v>0</v>
      </c>
    </row>
    <row r="18" spans="1:65" x14ac:dyDescent="0.25">
      <c r="B18" s="219" t="str">
        <f>B17</f>
        <v>TRABDLM00</v>
      </c>
      <c r="C18" s="224"/>
      <c r="D18" s="230"/>
      <c r="E18" s="224"/>
      <c r="F18" s="224"/>
      <c r="G18" s="224"/>
      <c r="H18" s="231">
        <f>$K$3</f>
        <v>2019</v>
      </c>
      <c r="I18" s="224"/>
      <c r="J18" s="232" t="s">
        <v>1065</v>
      </c>
      <c r="K18" s="232" t="s">
        <v>85</v>
      </c>
      <c r="L18" s="636">
        <f t="shared" ref="L18:Z18" si="56">LOOKUP($F17, $AE$11:$AE$34, AG$11:AG$34*$L$6)</f>
        <v>1946.725717297697</v>
      </c>
      <c r="M18" s="636">
        <f t="shared" si="56"/>
        <v>0</v>
      </c>
      <c r="N18" s="636">
        <f t="shared" si="56"/>
        <v>0</v>
      </c>
      <c r="O18" s="636">
        <f t="shared" si="56"/>
        <v>0</v>
      </c>
      <c r="P18" s="636">
        <f t="shared" si="56"/>
        <v>0</v>
      </c>
      <c r="Q18" s="636">
        <f t="shared" si="56"/>
        <v>0</v>
      </c>
      <c r="R18" s="636">
        <f t="shared" si="56"/>
        <v>0</v>
      </c>
      <c r="S18" s="636">
        <f t="shared" si="56"/>
        <v>0</v>
      </c>
      <c r="T18" s="636">
        <f t="shared" si="56"/>
        <v>0</v>
      </c>
      <c r="U18" s="636">
        <f t="shared" si="56"/>
        <v>0</v>
      </c>
      <c r="V18" s="636">
        <f t="shared" si="56"/>
        <v>0</v>
      </c>
      <c r="W18" s="636">
        <f t="shared" si="56"/>
        <v>0</v>
      </c>
      <c r="X18" s="636">
        <f t="shared" si="56"/>
        <v>0</v>
      </c>
      <c r="Y18" s="636">
        <f t="shared" si="56"/>
        <v>0</v>
      </c>
      <c r="Z18" s="636">
        <f t="shared" si="56"/>
        <v>0</v>
      </c>
      <c r="AB18" s="19"/>
      <c r="AE18" s="419" t="s">
        <v>185</v>
      </c>
      <c r="AF18" s="830">
        <f t="shared" si="5"/>
        <v>17603.816929874869</v>
      </c>
      <c r="AG18" s="728">
        <f>SUMIF(TC_Private!$AV$6:$AV$24,TRA_Fuel!$AE18,TC_Private!AX$6:AX$24)+SUMIF(TB!$AV$6:$AV$24,TRA_Fuel!$AE18,TB!AX$6:AX$24)+SUMIF(TF_Private!$AV$11:$AV$29,TRA_Fuel!$AE18,TF_Private!AX$11:AX$29)</f>
        <v>17603.816929874869</v>
      </c>
      <c r="AH18" s="723">
        <f>SUMIF(TC_Private!$AV$6:$AV$24,TRA_Fuel!$AE18,TC_Private!AY$6:AY$24)+SUMIF(TB!$AV$6:$AV$24,TRA_Fuel!$AE18,TB!AY$6:AY$24)+SUMIF(TF_Private!$AV$11:$AV$29,TRA_Fuel!$AE18,TF_Private!AY$11:AY$29)</f>
        <v>0</v>
      </c>
      <c r="AI18" s="723">
        <f>SUMIF(TC_Private!$AV$6:$AV$24,TRA_Fuel!$AE18,TC_Private!AZ$6:AZ$24)+SUMIF(TB!$AV$6:$AV$24,TRA_Fuel!$AE18,TB!AZ$6:AZ$24)+SUMIF(TF_Private!$AV$11:$AV$29,TRA_Fuel!$AE18,TF_Private!AZ$11:AZ$29)</f>
        <v>0</v>
      </c>
      <c r="AJ18" s="723">
        <f>SUMIF(TC_Private!$AV$6:$AV$24,TRA_Fuel!$AE18,TC_Private!BA$6:BA$24)+SUMIF(TB!$AV$6:$AV$24,TRA_Fuel!$AE18,TB!BA$6:BA$24)+SUMIF(TF_Private!$AV$11:$AV$29,TRA_Fuel!$AE18,TF_Private!BA$11:BA$29)</f>
        <v>0</v>
      </c>
      <c r="AK18" s="723">
        <f>SUMIF(TC_Private!$AV$6:$AV$24,TRA_Fuel!$AE18,TC_Private!BB$6:BB$24)+SUMIF(TB!$AV$6:$AV$24,TRA_Fuel!$AE18,TB!BB$6:BB$24)+SUMIF(TF_Private!$AV$11:$AV$29,TRA_Fuel!$AE18,TF_Private!BB$11:BB$29)</f>
        <v>0</v>
      </c>
      <c r="AL18" s="723">
        <f>SUMIF(TC_Private!$AV$6:$AV$24,TRA_Fuel!$AE18,TC_Private!BC$6:BC$24)+SUMIF(TB!$AV$6:$AV$24,TRA_Fuel!$AE18,TB!BC$6:BC$24)+SUMIF(TF_Private!$AV$11:$AV$29,TRA_Fuel!$AE18,TF_Private!BC$11:BC$29)</f>
        <v>0</v>
      </c>
      <c r="AM18" s="723">
        <f>SUMIF(TC_Private!$AV$6:$AV$24,TRA_Fuel!$AE18,TC_Private!BD$6:BD$24)+SUMIF(TB!$AV$6:$AV$24,TRA_Fuel!$AE18,TB!BD$6:BD$24)+SUMIF(TF_Private!$AV$11:$AV$29,TRA_Fuel!$AE18,TF_Private!BD$11:BD$29)</f>
        <v>0</v>
      </c>
      <c r="AN18" s="723">
        <f>SUMIF(TC_Private!$AV$6:$AV$24,TRA_Fuel!$AE18,TC_Private!BE$6:BE$24)+SUMIF(TB!$AV$6:$AV$24,TRA_Fuel!$AE18,TB!BE$6:BE$24)+SUMIF(TF_Private!$AV$11:$AV$29,TRA_Fuel!$AE18,TF_Private!BE$11:BE$29)</f>
        <v>0</v>
      </c>
      <c r="AO18" s="723">
        <f>SUMIF(TC_Private!$AV$6:$AV$24,TRA_Fuel!$AE18,TC_Private!BF$6:BF$24)+SUMIF(TB!$AV$6:$AV$24,TRA_Fuel!$AE18,TB!BF$6:BF$24)+SUMIF(TF_Private!$AV$11:$AV$29,TRA_Fuel!$AE18,TF_Private!BF$11:BF$29)</f>
        <v>0</v>
      </c>
      <c r="AP18" s="723">
        <f>SUMIF(TC_Private!$AV$6:$AV$24,TRA_Fuel!$AE18,TC_Private!BG$6:BG$24)+SUMIF(TB!$AV$6:$AV$24,TRA_Fuel!$AE18,TB!BG$6:BG$24)+SUMIF(TF_Private!$AV$11:$AV$29,TRA_Fuel!$AE18,TF_Private!BG$11:BG$29)</f>
        <v>0</v>
      </c>
      <c r="AQ18" s="723">
        <f>SUMIF(TC_Private!$AV$6:$AV$24,TRA_Fuel!$AE18,TC_Private!BH$6:BH$24)+SUMIF(TB!$AV$6:$AV$24,TRA_Fuel!$AE18,TB!BH$6:BH$24)+SUMIF(TF_Private!$AV$11:$AV$29,TRA_Fuel!$AE18,TF_Private!BH$11:BH$29)</f>
        <v>0</v>
      </c>
      <c r="AR18" s="723">
        <f>SUMIF(TC_Private!$AV$6:$AV$24,TRA_Fuel!$AE18,TC_Private!BI$6:BI$24)+SUMIF(TB!$AV$6:$AV$24,TRA_Fuel!$AE18,TB!BI$6:BI$24)+SUMIF(TF_Private!$AV$11:$AV$29,TRA_Fuel!$AE18,TF_Private!BI$11:BI$29)</f>
        <v>0</v>
      </c>
      <c r="AS18" s="723">
        <f>SUMIF(TC_Private!$AV$6:$AV$24,TRA_Fuel!$AE18,TC_Private!BJ$6:BJ$24)+SUMIF(TB!$AV$6:$AV$24,TRA_Fuel!$AE18,TB!BJ$6:BJ$24)+SUMIF(TF_Private!$AV$11:$AV$29,TRA_Fuel!$AE18,TF_Private!BJ$11:BJ$29)</f>
        <v>0</v>
      </c>
      <c r="AT18" s="723">
        <f>SUMIF(TC_Private!$AV$6:$AV$24,TRA_Fuel!$AE18,TC_Private!BK$6:BK$24)+SUMIF(TB!$AV$6:$AV$24,TRA_Fuel!$AE18,TB!BK$6:BK$24)+SUMIF(TF_Private!$AV$11:$AV$29,TRA_Fuel!$AE18,TF_Private!BK$11:BK$29)</f>
        <v>0</v>
      </c>
      <c r="AU18" s="723">
        <f>SUMIF(TC_Private!$AV$6:$AV$24,TRA_Fuel!$AE18,TC_Private!BL$6:BL$24)+SUMIF(TB!$AV$6:$AV$24,TRA_Fuel!$AE18,TB!BL$6:BL$24)+SUMIF(TF_Private!$AV$11:$AV$29,TRA_Fuel!$AE18,TF_Private!BL$11:BL$29)</f>
        <v>0</v>
      </c>
      <c r="AW18" s="418" t="str">
        <f t="shared" si="40"/>
        <v>TRADST</v>
      </c>
      <c r="AX18" s="830">
        <f t="shared" si="8"/>
        <v>4889949.1471874639</v>
      </c>
      <c r="AY18" s="728">
        <f t="shared" si="41"/>
        <v>4889949.1471874639</v>
      </c>
      <c r="AZ18" s="728">
        <f t="shared" si="42"/>
        <v>0</v>
      </c>
      <c r="BA18" s="728">
        <f t="shared" si="43"/>
        <v>0</v>
      </c>
      <c r="BB18" s="728">
        <f t="shared" si="44"/>
        <v>0</v>
      </c>
      <c r="BC18" s="728">
        <f t="shared" si="45"/>
        <v>0</v>
      </c>
      <c r="BD18" s="728">
        <f t="shared" si="46"/>
        <v>0</v>
      </c>
      <c r="BE18" s="728">
        <f t="shared" si="47"/>
        <v>0</v>
      </c>
      <c r="BF18" s="728">
        <f t="shared" si="48"/>
        <v>0</v>
      </c>
      <c r="BG18" s="728">
        <f t="shared" si="49"/>
        <v>0</v>
      </c>
      <c r="BH18" s="728">
        <f t="shared" si="50"/>
        <v>0</v>
      </c>
      <c r="BI18" s="728">
        <f t="shared" si="51"/>
        <v>0</v>
      </c>
      <c r="BJ18" s="728">
        <f t="shared" si="52"/>
        <v>0</v>
      </c>
      <c r="BK18" s="728">
        <f t="shared" si="53"/>
        <v>0</v>
      </c>
      <c r="BL18" s="728">
        <f t="shared" si="54"/>
        <v>0</v>
      </c>
      <c r="BM18" s="728">
        <f t="shared" si="55"/>
        <v>0</v>
      </c>
    </row>
    <row r="19" spans="1:65" x14ac:dyDescent="0.25">
      <c r="B19" s="219" t="str">
        <f t="shared" ref="B19:B22" si="57">B18</f>
        <v>TRABDLM00</v>
      </c>
      <c r="C19" s="224"/>
      <c r="D19" s="230"/>
      <c r="E19" s="224"/>
      <c r="F19" s="224"/>
      <c r="G19" s="224"/>
      <c r="H19" s="231">
        <v>2020</v>
      </c>
      <c r="I19" s="224"/>
      <c r="J19" s="232" t="s">
        <v>1065</v>
      </c>
      <c r="K19" s="232" t="s">
        <v>85</v>
      </c>
      <c r="L19" s="636">
        <f>L$18*LOOKUP($H19, $AF$47:$AF$50, AG$47:AG$50)</f>
        <v>1557.3805738381577</v>
      </c>
      <c r="M19" s="636">
        <f t="shared" ref="M19:Z19" si="58">M$18*LOOKUP($H19, $AF$47:$AF$50, AH$47:AH$50)</f>
        <v>0</v>
      </c>
      <c r="N19" s="636">
        <f t="shared" si="58"/>
        <v>0</v>
      </c>
      <c r="O19" s="636">
        <f t="shared" si="58"/>
        <v>0</v>
      </c>
      <c r="P19" s="636">
        <f t="shared" si="58"/>
        <v>0</v>
      </c>
      <c r="Q19" s="636">
        <f t="shared" si="58"/>
        <v>0</v>
      </c>
      <c r="R19" s="636">
        <f t="shared" si="58"/>
        <v>0</v>
      </c>
      <c r="S19" s="636">
        <f t="shared" si="58"/>
        <v>0</v>
      </c>
      <c r="T19" s="636">
        <f t="shared" si="58"/>
        <v>0</v>
      </c>
      <c r="U19" s="636">
        <f t="shared" si="58"/>
        <v>0</v>
      </c>
      <c r="V19" s="636">
        <f t="shared" si="58"/>
        <v>0</v>
      </c>
      <c r="W19" s="636">
        <f t="shared" si="58"/>
        <v>0</v>
      </c>
      <c r="X19" s="636">
        <f t="shared" si="58"/>
        <v>0</v>
      </c>
      <c r="Y19" s="636">
        <f t="shared" si="58"/>
        <v>0</v>
      </c>
      <c r="Z19" s="636">
        <f t="shared" si="58"/>
        <v>0</v>
      </c>
      <c r="AB19" s="19"/>
      <c r="AE19" s="419" t="s">
        <v>683</v>
      </c>
      <c r="AF19" s="830">
        <f t="shared" si="5"/>
        <v>105.89526005638011</v>
      </c>
      <c r="AG19" s="728">
        <f>SUMIF(TC_Private!$AV$6:$AV$24,TRA_Fuel!$AE19,TC_Private!AX$6:AX$24)+SUMIF(TB!$AV$6:$AV$24,TRA_Fuel!$AE19,TB!AX$6:AX$24)+SUMIF(TF_Private!$AV$11:$AV$29,TRA_Fuel!$AE19,TF_Private!AX$11:AX$29)</f>
        <v>105.89526005638011</v>
      </c>
      <c r="AH19" s="723">
        <f>SUMIF(TC_Private!$AV$6:$AV$24,TRA_Fuel!$AE19,TC_Private!AY$6:AY$24)+SUMIF(TB!$AV$6:$AV$24,TRA_Fuel!$AE19,TB!AY$6:AY$24)+SUMIF(TF_Private!$AV$11:$AV$29,TRA_Fuel!$AE19,TF_Private!AY$11:AY$29)</f>
        <v>0</v>
      </c>
      <c r="AI19" s="723">
        <f>SUMIF(TC_Private!$AV$6:$AV$24,TRA_Fuel!$AE19,TC_Private!AZ$6:AZ$24)+SUMIF(TB!$AV$6:$AV$24,TRA_Fuel!$AE19,TB!AZ$6:AZ$24)+SUMIF(TF_Private!$AV$11:$AV$29,TRA_Fuel!$AE19,TF_Private!AZ$11:AZ$29)</f>
        <v>0</v>
      </c>
      <c r="AJ19" s="723">
        <f>SUMIF(TC_Private!$AV$6:$AV$24,TRA_Fuel!$AE19,TC_Private!BA$6:BA$24)+SUMIF(TB!$AV$6:$AV$24,TRA_Fuel!$AE19,TB!BA$6:BA$24)+SUMIF(TF_Private!$AV$11:$AV$29,TRA_Fuel!$AE19,TF_Private!BA$11:BA$29)</f>
        <v>0</v>
      </c>
      <c r="AK19" s="723">
        <f>SUMIF(TC_Private!$AV$6:$AV$24,TRA_Fuel!$AE19,TC_Private!BB$6:BB$24)+SUMIF(TB!$AV$6:$AV$24,TRA_Fuel!$AE19,TB!BB$6:BB$24)+SUMIF(TF_Private!$AV$11:$AV$29,TRA_Fuel!$AE19,TF_Private!BB$11:BB$29)</f>
        <v>0</v>
      </c>
      <c r="AL19" s="723">
        <f>SUMIF(TC_Private!$AV$6:$AV$24,TRA_Fuel!$AE19,TC_Private!BC$6:BC$24)+SUMIF(TB!$AV$6:$AV$24,TRA_Fuel!$AE19,TB!BC$6:BC$24)+SUMIF(TF_Private!$AV$11:$AV$29,TRA_Fuel!$AE19,TF_Private!BC$11:BC$29)</f>
        <v>0</v>
      </c>
      <c r="AM19" s="723">
        <f>SUMIF(TC_Private!$AV$6:$AV$24,TRA_Fuel!$AE19,TC_Private!BD$6:BD$24)+SUMIF(TB!$AV$6:$AV$24,TRA_Fuel!$AE19,TB!BD$6:BD$24)+SUMIF(TF_Private!$AV$11:$AV$29,TRA_Fuel!$AE19,TF_Private!BD$11:BD$29)</f>
        <v>0</v>
      </c>
      <c r="AN19" s="723">
        <f>SUMIF(TC_Private!$AV$6:$AV$24,TRA_Fuel!$AE19,TC_Private!BE$6:BE$24)+SUMIF(TB!$AV$6:$AV$24,TRA_Fuel!$AE19,TB!BE$6:BE$24)+SUMIF(TF_Private!$AV$11:$AV$29,TRA_Fuel!$AE19,TF_Private!BE$11:BE$29)</f>
        <v>0</v>
      </c>
      <c r="AO19" s="723">
        <f>SUMIF(TC_Private!$AV$6:$AV$24,TRA_Fuel!$AE19,TC_Private!BF$6:BF$24)+SUMIF(TB!$AV$6:$AV$24,TRA_Fuel!$AE19,TB!BF$6:BF$24)+SUMIF(TF_Private!$AV$11:$AV$29,TRA_Fuel!$AE19,TF_Private!BF$11:BF$29)</f>
        <v>0</v>
      </c>
      <c r="AP19" s="723">
        <f>SUMIF(TC_Private!$AV$6:$AV$24,TRA_Fuel!$AE19,TC_Private!BG$6:BG$24)+SUMIF(TB!$AV$6:$AV$24,TRA_Fuel!$AE19,TB!BG$6:BG$24)+SUMIF(TF_Private!$AV$11:$AV$29,TRA_Fuel!$AE19,TF_Private!BG$11:BG$29)</f>
        <v>0</v>
      </c>
      <c r="AQ19" s="723">
        <f>SUMIF(TC_Private!$AV$6:$AV$24,TRA_Fuel!$AE19,TC_Private!BH$6:BH$24)+SUMIF(TB!$AV$6:$AV$24,TRA_Fuel!$AE19,TB!BH$6:BH$24)+SUMIF(TF_Private!$AV$11:$AV$29,TRA_Fuel!$AE19,TF_Private!BH$11:BH$29)</f>
        <v>0</v>
      </c>
      <c r="AR19" s="723">
        <f>SUMIF(TC_Private!$AV$6:$AV$24,TRA_Fuel!$AE19,TC_Private!BI$6:BI$24)+SUMIF(TB!$AV$6:$AV$24,TRA_Fuel!$AE19,TB!BI$6:BI$24)+SUMIF(TF_Private!$AV$11:$AV$29,TRA_Fuel!$AE19,TF_Private!BI$11:BI$29)</f>
        <v>0</v>
      </c>
      <c r="AS19" s="723">
        <f>SUMIF(TC_Private!$AV$6:$AV$24,TRA_Fuel!$AE19,TC_Private!BJ$6:BJ$24)+SUMIF(TB!$AV$6:$AV$24,TRA_Fuel!$AE19,TB!BJ$6:BJ$24)+SUMIF(TF_Private!$AV$11:$AV$29,TRA_Fuel!$AE19,TF_Private!BJ$11:BJ$29)</f>
        <v>0</v>
      </c>
      <c r="AT19" s="723">
        <f>SUMIF(TC_Private!$AV$6:$AV$24,TRA_Fuel!$AE19,TC_Private!BK$6:BK$24)+SUMIF(TB!$AV$6:$AV$24,TRA_Fuel!$AE19,TB!BK$6:BK$24)+SUMIF(TF_Private!$AV$11:$AV$29,TRA_Fuel!$AE19,TF_Private!BK$11:BK$29)</f>
        <v>0</v>
      </c>
      <c r="AU19" s="723">
        <f>SUMIF(TC_Private!$AV$6:$AV$24,TRA_Fuel!$AE19,TC_Private!BL$6:BL$24)+SUMIF(TB!$AV$6:$AV$24,TRA_Fuel!$AE19,TB!BL$6:BL$24)+SUMIF(TF_Private!$AV$11:$AV$29,TRA_Fuel!$AE19,TF_Private!BL$11:BL$29)</f>
        <v>0</v>
      </c>
      <c r="AW19" s="418" t="str">
        <f t="shared" si="40"/>
        <v>TRAELC</v>
      </c>
      <c r="AX19" s="830">
        <f t="shared" si="8"/>
        <v>29415.350015661141</v>
      </c>
      <c r="AY19" s="728">
        <f t="shared" si="41"/>
        <v>29415.350015661141</v>
      </c>
      <c r="AZ19" s="728">
        <f t="shared" si="42"/>
        <v>0</v>
      </c>
      <c r="BA19" s="728">
        <f t="shared" si="43"/>
        <v>0</v>
      </c>
      <c r="BB19" s="728">
        <f t="shared" si="44"/>
        <v>0</v>
      </c>
      <c r="BC19" s="728">
        <f t="shared" si="45"/>
        <v>0</v>
      </c>
      <c r="BD19" s="728">
        <f t="shared" si="46"/>
        <v>0</v>
      </c>
      <c r="BE19" s="728">
        <f t="shared" si="47"/>
        <v>0</v>
      </c>
      <c r="BF19" s="728">
        <f t="shared" si="48"/>
        <v>0</v>
      </c>
      <c r="BG19" s="728">
        <f t="shared" si="49"/>
        <v>0</v>
      </c>
      <c r="BH19" s="728">
        <f t="shared" si="50"/>
        <v>0</v>
      </c>
      <c r="BI19" s="728">
        <f t="shared" si="51"/>
        <v>0</v>
      </c>
      <c r="BJ19" s="728">
        <f t="shared" si="52"/>
        <v>0</v>
      </c>
      <c r="BK19" s="728">
        <f t="shared" si="53"/>
        <v>0</v>
      </c>
      <c r="BL19" s="728">
        <f t="shared" si="54"/>
        <v>0</v>
      </c>
      <c r="BM19" s="728">
        <f t="shared" si="55"/>
        <v>0</v>
      </c>
    </row>
    <row r="20" spans="1:65" x14ac:dyDescent="0.25">
      <c r="B20" s="219" t="str">
        <f t="shared" si="57"/>
        <v>TRABDLM00</v>
      </c>
      <c r="C20" s="224"/>
      <c r="D20" s="230"/>
      <c r="E20" s="224"/>
      <c r="F20" s="224"/>
      <c r="G20" s="224"/>
      <c r="H20" s="231">
        <v>2030</v>
      </c>
      <c r="I20" s="224"/>
      <c r="J20" s="232" t="s">
        <v>1065</v>
      </c>
      <c r="K20" s="232" t="s">
        <v>85</v>
      </c>
      <c r="L20" s="636">
        <f>L$18*LOOKUP($H20, $AF$47:$AF$50, AG$47:AG$50)</f>
        <v>778.69028691907886</v>
      </c>
      <c r="M20" s="636">
        <f t="shared" ref="M20:Z22" si="59">M$18*LOOKUP($H20, $AF$47:$AF$50, AH$47:AH$50)</f>
        <v>0</v>
      </c>
      <c r="N20" s="636">
        <f t="shared" si="59"/>
        <v>0</v>
      </c>
      <c r="O20" s="636">
        <f t="shared" si="59"/>
        <v>0</v>
      </c>
      <c r="P20" s="636">
        <f t="shared" si="59"/>
        <v>0</v>
      </c>
      <c r="Q20" s="636">
        <f t="shared" si="59"/>
        <v>0</v>
      </c>
      <c r="R20" s="636">
        <f t="shared" si="59"/>
        <v>0</v>
      </c>
      <c r="S20" s="636">
        <f t="shared" si="59"/>
        <v>0</v>
      </c>
      <c r="T20" s="636">
        <f t="shared" si="59"/>
        <v>0</v>
      </c>
      <c r="U20" s="636">
        <f t="shared" si="59"/>
        <v>0</v>
      </c>
      <c r="V20" s="636">
        <f t="shared" si="59"/>
        <v>0</v>
      </c>
      <c r="W20" s="636">
        <f t="shared" si="59"/>
        <v>0</v>
      </c>
      <c r="X20" s="636">
        <f t="shared" si="59"/>
        <v>0</v>
      </c>
      <c r="Y20" s="636">
        <f t="shared" si="59"/>
        <v>0</v>
      </c>
      <c r="Z20" s="636">
        <f t="shared" si="59"/>
        <v>0</v>
      </c>
      <c r="AB20" s="19"/>
      <c r="AE20" s="419" t="s">
        <v>1008</v>
      </c>
      <c r="AF20" s="830">
        <f t="shared" si="5"/>
        <v>0</v>
      </c>
      <c r="AG20" s="728">
        <f>SUMIF(TC_Private!$AV$6:$AV$24,TRA_Fuel!$AE20,TC_Private!AX$6:AX$24)+SUMIF(TB!$AV$6:$AV$24,TRA_Fuel!$AE20,TB!AX$6:AX$24)+SUMIF(TF_Private!$AV$11:$AV$29,TRA_Fuel!$AE20,TF_Private!AX$11:AX$29)</f>
        <v>0</v>
      </c>
      <c r="AH20" s="723">
        <f>SUMIF(TC_Private!$AV$6:$AV$24,TRA_Fuel!$AE20,TC_Private!AY$6:AY$24)+SUMIF(TB!$AV$6:$AV$24,TRA_Fuel!$AE20,TB!AY$6:AY$24)+SUMIF(TF_Private!$AV$11:$AV$29,TRA_Fuel!$AE20,TF_Private!AY$11:AY$29)</f>
        <v>0</v>
      </c>
      <c r="AI20" s="723">
        <f>SUMIF(TC_Private!$AV$6:$AV$24,TRA_Fuel!$AE20,TC_Private!AZ$6:AZ$24)+SUMIF(TB!$AV$6:$AV$24,TRA_Fuel!$AE20,TB!AZ$6:AZ$24)+SUMIF(TF_Private!$AV$11:$AV$29,TRA_Fuel!$AE20,TF_Private!AZ$11:AZ$29)</f>
        <v>0</v>
      </c>
      <c r="AJ20" s="723">
        <f>SUMIF(TC_Private!$AV$6:$AV$24,TRA_Fuel!$AE20,TC_Private!BA$6:BA$24)+SUMIF(TB!$AV$6:$AV$24,TRA_Fuel!$AE20,TB!BA$6:BA$24)+SUMIF(TF_Private!$AV$11:$AV$29,TRA_Fuel!$AE20,TF_Private!BA$11:BA$29)</f>
        <v>0</v>
      </c>
      <c r="AK20" s="723">
        <f>SUMIF(TC_Private!$AV$6:$AV$24,TRA_Fuel!$AE20,TC_Private!BB$6:BB$24)+SUMIF(TB!$AV$6:$AV$24,TRA_Fuel!$AE20,TB!BB$6:BB$24)+SUMIF(TF_Private!$AV$11:$AV$29,TRA_Fuel!$AE20,TF_Private!BB$11:BB$29)</f>
        <v>0</v>
      </c>
      <c r="AL20" s="723">
        <f>SUMIF(TC_Private!$AV$6:$AV$24,TRA_Fuel!$AE20,TC_Private!BC$6:BC$24)+SUMIF(TB!$AV$6:$AV$24,TRA_Fuel!$AE20,TB!BC$6:BC$24)+SUMIF(TF_Private!$AV$11:$AV$29,TRA_Fuel!$AE20,TF_Private!BC$11:BC$29)</f>
        <v>0</v>
      </c>
      <c r="AM20" s="723">
        <f>SUMIF(TC_Private!$AV$6:$AV$24,TRA_Fuel!$AE20,TC_Private!BD$6:BD$24)+SUMIF(TB!$AV$6:$AV$24,TRA_Fuel!$AE20,TB!BD$6:BD$24)+SUMIF(TF_Private!$AV$11:$AV$29,TRA_Fuel!$AE20,TF_Private!BD$11:BD$29)</f>
        <v>0</v>
      </c>
      <c r="AN20" s="723">
        <f>SUMIF(TC_Private!$AV$6:$AV$24,TRA_Fuel!$AE20,TC_Private!BE$6:BE$24)+SUMIF(TB!$AV$6:$AV$24,TRA_Fuel!$AE20,TB!BE$6:BE$24)+SUMIF(TF_Private!$AV$11:$AV$29,TRA_Fuel!$AE20,TF_Private!BE$11:BE$29)</f>
        <v>0</v>
      </c>
      <c r="AO20" s="723">
        <f>SUMIF(TC_Private!$AV$6:$AV$24,TRA_Fuel!$AE20,TC_Private!BF$6:BF$24)+SUMIF(TB!$AV$6:$AV$24,TRA_Fuel!$AE20,TB!BF$6:BF$24)+SUMIF(TF_Private!$AV$11:$AV$29,TRA_Fuel!$AE20,TF_Private!BF$11:BF$29)</f>
        <v>0</v>
      </c>
      <c r="AP20" s="723">
        <f>SUMIF(TC_Private!$AV$6:$AV$24,TRA_Fuel!$AE20,TC_Private!BG$6:BG$24)+SUMIF(TB!$AV$6:$AV$24,TRA_Fuel!$AE20,TB!BG$6:BG$24)+SUMIF(TF_Private!$AV$11:$AV$29,TRA_Fuel!$AE20,TF_Private!BG$11:BG$29)</f>
        <v>0</v>
      </c>
      <c r="AQ20" s="723">
        <f>SUMIF(TC_Private!$AV$6:$AV$24,TRA_Fuel!$AE20,TC_Private!BH$6:BH$24)+SUMIF(TB!$AV$6:$AV$24,TRA_Fuel!$AE20,TB!BH$6:BH$24)+SUMIF(TF_Private!$AV$11:$AV$29,TRA_Fuel!$AE20,TF_Private!BH$11:BH$29)</f>
        <v>0</v>
      </c>
      <c r="AR20" s="723">
        <f>SUMIF(TC_Private!$AV$6:$AV$24,TRA_Fuel!$AE20,TC_Private!BI$6:BI$24)+SUMIF(TB!$AV$6:$AV$24,TRA_Fuel!$AE20,TB!BI$6:BI$24)+SUMIF(TF_Private!$AV$11:$AV$29,TRA_Fuel!$AE20,TF_Private!BI$11:BI$29)</f>
        <v>0</v>
      </c>
      <c r="AS20" s="723">
        <f>SUMIF(TC_Private!$AV$6:$AV$24,TRA_Fuel!$AE20,TC_Private!BJ$6:BJ$24)+SUMIF(TB!$AV$6:$AV$24,TRA_Fuel!$AE20,TB!BJ$6:BJ$24)+SUMIF(TF_Private!$AV$11:$AV$29,TRA_Fuel!$AE20,TF_Private!BJ$11:BJ$29)</f>
        <v>0</v>
      </c>
      <c r="AT20" s="723">
        <f>SUMIF(TC_Private!$AV$6:$AV$24,TRA_Fuel!$AE20,TC_Private!BK$6:BK$24)+SUMIF(TB!$AV$6:$AV$24,TRA_Fuel!$AE20,TB!BK$6:BK$24)+SUMIF(TF_Private!$AV$11:$AV$29,TRA_Fuel!$AE20,TF_Private!BK$11:BK$29)</f>
        <v>0</v>
      </c>
      <c r="AU20" s="723">
        <f>SUMIF(TC_Private!$AV$6:$AV$24,TRA_Fuel!$AE20,TC_Private!BL$6:BL$24)+SUMIF(TB!$AV$6:$AV$24,TRA_Fuel!$AE20,TB!BL$6:BL$24)+SUMIF(TF_Private!$AV$11:$AV$29,TRA_Fuel!$AE20,TF_Private!BL$11:BL$29)</f>
        <v>0</v>
      </c>
      <c r="AW20" s="418" t="str">
        <f t="shared" si="40"/>
        <v>TRAELR</v>
      </c>
      <c r="AX20" s="830">
        <f t="shared" ref="AX20" si="60">SUM(AY20:BM20)</f>
        <v>0</v>
      </c>
      <c r="AY20" s="728">
        <f t="shared" si="41"/>
        <v>0</v>
      </c>
      <c r="AZ20" s="728">
        <f t="shared" si="42"/>
        <v>0</v>
      </c>
      <c r="BA20" s="728">
        <f t="shared" si="43"/>
        <v>0</v>
      </c>
      <c r="BB20" s="728">
        <f t="shared" si="44"/>
        <v>0</v>
      </c>
      <c r="BC20" s="728">
        <f t="shared" si="45"/>
        <v>0</v>
      </c>
      <c r="BD20" s="728">
        <f t="shared" si="46"/>
        <v>0</v>
      </c>
      <c r="BE20" s="728">
        <f t="shared" si="47"/>
        <v>0</v>
      </c>
      <c r="BF20" s="728">
        <f t="shared" si="48"/>
        <v>0</v>
      </c>
      <c r="BG20" s="728">
        <f t="shared" si="49"/>
        <v>0</v>
      </c>
      <c r="BH20" s="728">
        <f t="shared" si="50"/>
        <v>0</v>
      </c>
      <c r="BI20" s="728">
        <f t="shared" si="51"/>
        <v>0</v>
      </c>
      <c r="BJ20" s="728">
        <f t="shared" si="52"/>
        <v>0</v>
      </c>
      <c r="BK20" s="728">
        <f t="shared" si="53"/>
        <v>0</v>
      </c>
      <c r="BL20" s="728">
        <f t="shared" si="54"/>
        <v>0</v>
      </c>
      <c r="BM20" s="728">
        <f t="shared" si="55"/>
        <v>0</v>
      </c>
    </row>
    <row r="21" spans="1:65" x14ac:dyDescent="0.25">
      <c r="B21" s="219" t="str">
        <f t="shared" si="57"/>
        <v>TRABDLM00</v>
      </c>
      <c r="C21" s="224"/>
      <c r="D21" s="230"/>
      <c r="E21" s="224"/>
      <c r="F21" s="224"/>
      <c r="G21" s="224"/>
      <c r="H21" s="231">
        <v>2040</v>
      </c>
      <c r="I21" s="224"/>
      <c r="J21" s="232" t="s">
        <v>1065</v>
      </c>
      <c r="K21" s="232" t="s">
        <v>85</v>
      </c>
      <c r="L21" s="636">
        <f>L$18*LOOKUP($H21, $AF$47:$AF$50, AG$47:AG$50)</f>
        <v>0</v>
      </c>
      <c r="M21" s="636">
        <f t="shared" si="59"/>
        <v>0</v>
      </c>
      <c r="N21" s="636">
        <f t="shared" si="59"/>
        <v>0</v>
      </c>
      <c r="O21" s="636">
        <f t="shared" si="59"/>
        <v>0</v>
      </c>
      <c r="P21" s="636">
        <f t="shared" si="59"/>
        <v>0</v>
      </c>
      <c r="Q21" s="636">
        <f t="shared" si="59"/>
        <v>0</v>
      </c>
      <c r="R21" s="636">
        <f t="shared" si="59"/>
        <v>0</v>
      </c>
      <c r="S21" s="636">
        <f t="shared" si="59"/>
        <v>0</v>
      </c>
      <c r="T21" s="636">
        <f t="shared" si="59"/>
        <v>0</v>
      </c>
      <c r="U21" s="636">
        <f t="shared" si="59"/>
        <v>0</v>
      </c>
      <c r="V21" s="636">
        <f t="shared" si="59"/>
        <v>0</v>
      </c>
      <c r="W21" s="636">
        <f t="shared" si="59"/>
        <v>0</v>
      </c>
      <c r="X21" s="636">
        <f t="shared" si="59"/>
        <v>0</v>
      </c>
      <c r="Y21" s="636">
        <f t="shared" si="59"/>
        <v>0</v>
      </c>
      <c r="Z21" s="636">
        <f t="shared" si="59"/>
        <v>0</v>
      </c>
      <c r="AB21" s="19"/>
      <c r="AE21" s="419" t="s">
        <v>1010</v>
      </c>
      <c r="AF21" s="830">
        <f t="shared" si="5"/>
        <v>823.02097796254168</v>
      </c>
      <c r="AG21" s="728">
        <f>SUMIF(TC_Private!$AV$6:$AV$24,TRA_Fuel!$AE21,TC_Private!AX$6:AX$24)+SUMIF(TB!$AV$6:$AV$24,TRA_Fuel!$AE21,TB!AX$6:AX$24)+SUMIF(TF_Private!$AV$11:$AV$29,TRA_Fuel!$AE21,TF_Private!AX$11:AX$29)</f>
        <v>823.02097796254168</v>
      </c>
      <c r="AH21" s="723">
        <f>SUMIF(TC_Private!$AV$6:$AV$24,TRA_Fuel!$AE21,TC_Private!AY$6:AY$24)+SUMIF(TB!$AV$6:$AV$24,TRA_Fuel!$AE21,TB!AY$6:AY$24)+SUMIF(TF_Private!$AV$11:$AV$29,TRA_Fuel!$AE21,TF_Private!AY$11:AY$29)</f>
        <v>0</v>
      </c>
      <c r="AI21" s="723">
        <f>SUMIF(TC_Private!$AV$6:$AV$24,TRA_Fuel!$AE21,TC_Private!AZ$6:AZ$24)+SUMIF(TB!$AV$6:$AV$24,TRA_Fuel!$AE21,TB!AZ$6:AZ$24)+SUMIF(TF_Private!$AV$11:$AV$29,TRA_Fuel!$AE21,TF_Private!AZ$11:AZ$29)</f>
        <v>0</v>
      </c>
      <c r="AJ21" s="723">
        <f>SUMIF(TC_Private!$AV$6:$AV$24,TRA_Fuel!$AE21,TC_Private!BA$6:BA$24)+SUMIF(TB!$AV$6:$AV$24,TRA_Fuel!$AE21,TB!BA$6:BA$24)+SUMIF(TF_Private!$AV$11:$AV$29,TRA_Fuel!$AE21,TF_Private!BA$11:BA$29)</f>
        <v>0</v>
      </c>
      <c r="AK21" s="723">
        <f>SUMIF(TC_Private!$AV$6:$AV$24,TRA_Fuel!$AE21,TC_Private!BB$6:BB$24)+SUMIF(TB!$AV$6:$AV$24,TRA_Fuel!$AE21,TB!BB$6:BB$24)+SUMIF(TF_Private!$AV$11:$AV$29,TRA_Fuel!$AE21,TF_Private!BB$11:BB$29)</f>
        <v>0</v>
      </c>
      <c r="AL21" s="723">
        <f>SUMIF(TC_Private!$AV$6:$AV$24,TRA_Fuel!$AE21,TC_Private!BC$6:BC$24)+SUMIF(TB!$AV$6:$AV$24,TRA_Fuel!$AE21,TB!BC$6:BC$24)+SUMIF(TF_Private!$AV$11:$AV$29,TRA_Fuel!$AE21,TF_Private!BC$11:BC$29)</f>
        <v>0</v>
      </c>
      <c r="AM21" s="723">
        <f>SUMIF(TC_Private!$AV$6:$AV$24,TRA_Fuel!$AE21,TC_Private!BD$6:BD$24)+SUMIF(TB!$AV$6:$AV$24,TRA_Fuel!$AE21,TB!BD$6:BD$24)+SUMIF(TF_Private!$AV$11:$AV$29,TRA_Fuel!$AE21,TF_Private!BD$11:BD$29)</f>
        <v>0</v>
      </c>
      <c r="AN21" s="723">
        <f>SUMIF(TC_Private!$AV$6:$AV$24,TRA_Fuel!$AE21,TC_Private!BE$6:BE$24)+SUMIF(TB!$AV$6:$AV$24,TRA_Fuel!$AE21,TB!BE$6:BE$24)+SUMIF(TF_Private!$AV$11:$AV$29,TRA_Fuel!$AE21,TF_Private!BE$11:BE$29)</f>
        <v>0</v>
      </c>
      <c r="AO21" s="723">
        <f>SUMIF(TC_Private!$AV$6:$AV$24,TRA_Fuel!$AE21,TC_Private!BF$6:BF$24)+SUMIF(TB!$AV$6:$AV$24,TRA_Fuel!$AE21,TB!BF$6:BF$24)+SUMIF(TF_Private!$AV$11:$AV$29,TRA_Fuel!$AE21,TF_Private!BF$11:BF$29)</f>
        <v>0</v>
      </c>
      <c r="AP21" s="723">
        <f>SUMIF(TC_Private!$AV$6:$AV$24,TRA_Fuel!$AE21,TC_Private!BG$6:BG$24)+SUMIF(TB!$AV$6:$AV$24,TRA_Fuel!$AE21,TB!BG$6:BG$24)+SUMIF(TF_Private!$AV$11:$AV$29,TRA_Fuel!$AE21,TF_Private!BG$11:BG$29)</f>
        <v>0</v>
      </c>
      <c r="AQ21" s="723">
        <f>SUMIF(TC_Private!$AV$6:$AV$24,TRA_Fuel!$AE21,TC_Private!BH$6:BH$24)+SUMIF(TB!$AV$6:$AV$24,TRA_Fuel!$AE21,TB!BH$6:BH$24)+SUMIF(TF_Private!$AV$11:$AV$29,TRA_Fuel!$AE21,TF_Private!BH$11:BH$29)</f>
        <v>0</v>
      </c>
      <c r="AR21" s="723">
        <f>SUMIF(TC_Private!$AV$6:$AV$24,TRA_Fuel!$AE21,TC_Private!BI$6:BI$24)+SUMIF(TB!$AV$6:$AV$24,TRA_Fuel!$AE21,TB!BI$6:BI$24)+SUMIF(TF_Private!$AV$11:$AV$29,TRA_Fuel!$AE21,TF_Private!BI$11:BI$29)</f>
        <v>0</v>
      </c>
      <c r="AS21" s="723">
        <f>SUMIF(TC_Private!$AV$6:$AV$24,TRA_Fuel!$AE21,TC_Private!BJ$6:BJ$24)+SUMIF(TB!$AV$6:$AV$24,TRA_Fuel!$AE21,TB!BJ$6:BJ$24)+SUMIF(TF_Private!$AV$11:$AV$29,TRA_Fuel!$AE21,TF_Private!BJ$11:BJ$29)</f>
        <v>0</v>
      </c>
      <c r="AT21" s="723">
        <f>SUMIF(TC_Private!$AV$6:$AV$24,TRA_Fuel!$AE21,TC_Private!BK$6:BK$24)+SUMIF(TB!$AV$6:$AV$24,TRA_Fuel!$AE21,TB!BK$6:BK$24)+SUMIF(TF_Private!$AV$11:$AV$29,TRA_Fuel!$AE21,TF_Private!BK$11:BK$29)</f>
        <v>0</v>
      </c>
      <c r="AU21" s="723">
        <f>SUMIF(TC_Private!$AV$6:$AV$24,TRA_Fuel!$AE21,TC_Private!BL$6:BL$24)+SUMIF(TB!$AV$6:$AV$24,TRA_Fuel!$AE21,TB!BL$6:BL$24)+SUMIF(TF_Private!$AV$11:$AV$29,TRA_Fuel!$AE21,TF_Private!BL$11:BL$29)</f>
        <v>0</v>
      </c>
      <c r="AW21" s="418" t="str">
        <f t="shared" si="40"/>
        <v>TRAETH</v>
      </c>
      <c r="AX21" s="830">
        <f t="shared" si="8"/>
        <v>228616.93832292824</v>
      </c>
      <c r="AY21" s="728">
        <f t="shared" si="41"/>
        <v>228616.93832292824</v>
      </c>
      <c r="AZ21" s="728">
        <f t="shared" si="42"/>
        <v>0</v>
      </c>
      <c r="BA21" s="728">
        <f t="shared" si="43"/>
        <v>0</v>
      </c>
      <c r="BB21" s="728">
        <f t="shared" si="44"/>
        <v>0</v>
      </c>
      <c r="BC21" s="728">
        <f t="shared" si="45"/>
        <v>0</v>
      </c>
      <c r="BD21" s="728">
        <f t="shared" si="46"/>
        <v>0</v>
      </c>
      <c r="BE21" s="728">
        <f t="shared" si="47"/>
        <v>0</v>
      </c>
      <c r="BF21" s="728">
        <f t="shared" si="48"/>
        <v>0</v>
      </c>
      <c r="BG21" s="728">
        <f t="shared" si="49"/>
        <v>0</v>
      </c>
      <c r="BH21" s="728">
        <f t="shared" si="50"/>
        <v>0</v>
      </c>
      <c r="BI21" s="728">
        <f t="shared" si="51"/>
        <v>0</v>
      </c>
      <c r="BJ21" s="728">
        <f t="shared" si="52"/>
        <v>0</v>
      </c>
      <c r="BK21" s="728">
        <f t="shared" si="53"/>
        <v>0</v>
      </c>
      <c r="BL21" s="728">
        <f t="shared" si="54"/>
        <v>0</v>
      </c>
      <c r="BM21" s="728">
        <f t="shared" si="55"/>
        <v>0</v>
      </c>
    </row>
    <row r="22" spans="1:65" x14ac:dyDescent="0.25">
      <c r="B22" s="233" t="str">
        <f t="shared" si="57"/>
        <v>TRABDLM00</v>
      </c>
      <c r="C22" s="234"/>
      <c r="D22" s="235"/>
      <c r="E22" s="234"/>
      <c r="F22" s="234"/>
      <c r="G22" s="234"/>
      <c r="H22" s="236">
        <f>$K$5</f>
        <v>2050</v>
      </c>
      <c r="I22" s="224"/>
      <c r="J22" s="237" t="s">
        <v>1065</v>
      </c>
      <c r="K22" s="237" t="s">
        <v>85</v>
      </c>
      <c r="L22" s="637">
        <f>L$18*LOOKUP($H22, $AF$47:$AF$50, AG$47:AG$50)</f>
        <v>0</v>
      </c>
      <c r="M22" s="637">
        <f t="shared" si="59"/>
        <v>0</v>
      </c>
      <c r="N22" s="637">
        <f t="shared" si="59"/>
        <v>0</v>
      </c>
      <c r="O22" s="637">
        <f t="shared" si="59"/>
        <v>0</v>
      </c>
      <c r="P22" s="637">
        <f t="shared" si="59"/>
        <v>0</v>
      </c>
      <c r="Q22" s="637">
        <f t="shared" si="59"/>
        <v>0</v>
      </c>
      <c r="R22" s="637">
        <f t="shared" si="59"/>
        <v>0</v>
      </c>
      <c r="S22" s="637">
        <f t="shared" si="59"/>
        <v>0</v>
      </c>
      <c r="T22" s="637">
        <f t="shared" si="59"/>
        <v>0</v>
      </c>
      <c r="U22" s="637">
        <f t="shared" si="59"/>
        <v>0</v>
      </c>
      <c r="V22" s="637">
        <f t="shared" si="59"/>
        <v>0</v>
      </c>
      <c r="W22" s="637">
        <f t="shared" si="59"/>
        <v>0</v>
      </c>
      <c r="X22" s="637">
        <f t="shared" si="59"/>
        <v>0</v>
      </c>
      <c r="Y22" s="637">
        <f t="shared" si="59"/>
        <v>0</v>
      </c>
      <c r="Z22" s="637">
        <f t="shared" si="59"/>
        <v>0</v>
      </c>
      <c r="AB22" s="19"/>
      <c r="AE22" s="419" t="s">
        <v>1012</v>
      </c>
      <c r="AF22" s="830">
        <f t="shared" si="5"/>
        <v>288.96831238534952</v>
      </c>
      <c r="AG22" s="728">
        <f>SUMIF(TC_Private!$AV$6:$AV$24,TRA_Fuel!$AE22,TC_Private!AX$6:AX$24)+SUMIF(TB!$AV$6:$AV$24,TRA_Fuel!$AE22,TB!AX$6:AX$24)+SUMIF(TF_Private!$AV$11:$AV$29,TRA_Fuel!$AE22,TF_Private!AX$11:AX$29)</f>
        <v>288.96831238534952</v>
      </c>
      <c r="AH22" s="723">
        <f>SUMIF(TC_Private!$AV$6:$AV$24,TRA_Fuel!$AE22,TC_Private!AY$6:AY$24)+SUMIF(TB!$AV$6:$AV$24,TRA_Fuel!$AE22,TB!AY$6:AY$24)+SUMIF(TF_Private!$AV$11:$AV$29,TRA_Fuel!$AE22,TF_Private!AY$11:AY$29)</f>
        <v>0</v>
      </c>
      <c r="AI22" s="723">
        <f>SUMIF(TC_Private!$AV$6:$AV$24,TRA_Fuel!$AE22,TC_Private!AZ$6:AZ$24)+SUMIF(TB!$AV$6:$AV$24,TRA_Fuel!$AE22,TB!AZ$6:AZ$24)+SUMIF(TF_Private!$AV$11:$AV$29,TRA_Fuel!$AE22,TF_Private!AZ$11:AZ$29)</f>
        <v>0</v>
      </c>
      <c r="AJ22" s="723">
        <f>SUMIF(TC_Private!$AV$6:$AV$24,TRA_Fuel!$AE22,TC_Private!BA$6:BA$24)+SUMIF(TB!$AV$6:$AV$24,TRA_Fuel!$AE22,TB!BA$6:BA$24)+SUMIF(TF_Private!$AV$11:$AV$29,TRA_Fuel!$AE22,TF_Private!BA$11:BA$29)</f>
        <v>0</v>
      </c>
      <c r="AK22" s="723">
        <f>SUMIF(TC_Private!$AV$6:$AV$24,TRA_Fuel!$AE22,TC_Private!BB$6:BB$24)+SUMIF(TB!$AV$6:$AV$24,TRA_Fuel!$AE22,TB!BB$6:BB$24)+SUMIF(TF_Private!$AV$11:$AV$29,TRA_Fuel!$AE22,TF_Private!BB$11:BB$29)</f>
        <v>0</v>
      </c>
      <c r="AL22" s="723">
        <f>SUMIF(TC_Private!$AV$6:$AV$24,TRA_Fuel!$AE22,TC_Private!BC$6:BC$24)+SUMIF(TB!$AV$6:$AV$24,TRA_Fuel!$AE22,TB!BC$6:BC$24)+SUMIF(TF_Private!$AV$11:$AV$29,TRA_Fuel!$AE22,TF_Private!BC$11:BC$29)</f>
        <v>0</v>
      </c>
      <c r="AM22" s="723">
        <f>SUMIF(TC_Private!$AV$6:$AV$24,TRA_Fuel!$AE22,TC_Private!BD$6:BD$24)+SUMIF(TB!$AV$6:$AV$24,TRA_Fuel!$AE22,TB!BD$6:BD$24)+SUMIF(TF_Private!$AV$11:$AV$29,TRA_Fuel!$AE22,TF_Private!BD$11:BD$29)</f>
        <v>0</v>
      </c>
      <c r="AN22" s="723">
        <f>SUMIF(TC_Private!$AV$6:$AV$24,TRA_Fuel!$AE22,TC_Private!BE$6:BE$24)+SUMIF(TB!$AV$6:$AV$24,TRA_Fuel!$AE22,TB!BE$6:BE$24)+SUMIF(TF_Private!$AV$11:$AV$29,TRA_Fuel!$AE22,TF_Private!BE$11:BE$29)</f>
        <v>0</v>
      </c>
      <c r="AO22" s="723">
        <f>SUMIF(TC_Private!$AV$6:$AV$24,TRA_Fuel!$AE22,TC_Private!BF$6:BF$24)+SUMIF(TB!$AV$6:$AV$24,TRA_Fuel!$AE22,TB!BF$6:BF$24)+SUMIF(TF_Private!$AV$11:$AV$29,TRA_Fuel!$AE22,TF_Private!BF$11:BF$29)</f>
        <v>0</v>
      </c>
      <c r="AP22" s="723">
        <f>SUMIF(TC_Private!$AV$6:$AV$24,TRA_Fuel!$AE22,TC_Private!BG$6:BG$24)+SUMIF(TB!$AV$6:$AV$24,TRA_Fuel!$AE22,TB!BG$6:BG$24)+SUMIF(TF_Private!$AV$11:$AV$29,TRA_Fuel!$AE22,TF_Private!BG$11:BG$29)</f>
        <v>0</v>
      </c>
      <c r="AQ22" s="723">
        <f>SUMIF(TC_Private!$AV$6:$AV$24,TRA_Fuel!$AE22,TC_Private!BH$6:BH$24)+SUMIF(TB!$AV$6:$AV$24,TRA_Fuel!$AE22,TB!BH$6:BH$24)+SUMIF(TF_Private!$AV$11:$AV$29,TRA_Fuel!$AE22,TF_Private!BH$11:BH$29)</f>
        <v>0</v>
      </c>
      <c r="AR22" s="723">
        <f>SUMIF(TC_Private!$AV$6:$AV$24,TRA_Fuel!$AE22,TC_Private!BI$6:BI$24)+SUMIF(TB!$AV$6:$AV$24,TRA_Fuel!$AE22,TB!BI$6:BI$24)+SUMIF(TF_Private!$AV$11:$AV$29,TRA_Fuel!$AE22,TF_Private!BI$11:BI$29)</f>
        <v>0</v>
      </c>
      <c r="AS22" s="723">
        <f>SUMIF(TC_Private!$AV$6:$AV$24,TRA_Fuel!$AE22,TC_Private!BJ$6:BJ$24)+SUMIF(TB!$AV$6:$AV$24,TRA_Fuel!$AE22,TB!BJ$6:BJ$24)+SUMIF(TF_Private!$AV$11:$AV$29,TRA_Fuel!$AE22,TF_Private!BJ$11:BJ$29)</f>
        <v>0</v>
      </c>
      <c r="AT22" s="723">
        <f>SUMIF(TC_Private!$AV$6:$AV$24,TRA_Fuel!$AE22,TC_Private!BK$6:BK$24)+SUMIF(TB!$AV$6:$AV$24,TRA_Fuel!$AE22,TB!BK$6:BK$24)+SUMIF(TF_Private!$AV$11:$AV$29,TRA_Fuel!$AE22,TF_Private!BK$11:BK$29)</f>
        <v>0</v>
      </c>
      <c r="AU22" s="723">
        <f>SUMIF(TC_Private!$AV$6:$AV$24,TRA_Fuel!$AE22,TC_Private!BL$6:BL$24)+SUMIF(TB!$AV$6:$AV$24,TRA_Fuel!$AE22,TB!BL$6:BL$24)+SUMIF(TF_Private!$AV$11:$AV$29,TRA_Fuel!$AE22,TF_Private!BL$11:BL$29)</f>
        <v>0</v>
      </c>
      <c r="AW22" s="418" t="str">
        <f t="shared" si="40"/>
        <v>TRAETHM</v>
      </c>
      <c r="AX22" s="830">
        <f t="shared" si="8"/>
        <v>80268.975662597091</v>
      </c>
      <c r="AY22" s="728">
        <f t="shared" si="41"/>
        <v>80268.975662597091</v>
      </c>
      <c r="AZ22" s="728">
        <f t="shared" si="42"/>
        <v>0</v>
      </c>
      <c r="BA22" s="728">
        <f t="shared" si="43"/>
        <v>0</v>
      </c>
      <c r="BB22" s="728">
        <f t="shared" si="44"/>
        <v>0</v>
      </c>
      <c r="BC22" s="728">
        <f t="shared" si="45"/>
        <v>0</v>
      </c>
      <c r="BD22" s="728">
        <f t="shared" si="46"/>
        <v>0</v>
      </c>
      <c r="BE22" s="728">
        <f t="shared" si="47"/>
        <v>0</v>
      </c>
      <c r="BF22" s="728">
        <f t="shared" si="48"/>
        <v>0</v>
      </c>
      <c r="BG22" s="728">
        <f t="shared" si="49"/>
        <v>0</v>
      </c>
      <c r="BH22" s="728">
        <f t="shared" si="50"/>
        <v>0</v>
      </c>
      <c r="BI22" s="728">
        <f t="shared" si="51"/>
        <v>0</v>
      </c>
      <c r="BJ22" s="728">
        <f t="shared" si="52"/>
        <v>0</v>
      </c>
      <c r="BK22" s="728">
        <f t="shared" si="53"/>
        <v>0</v>
      </c>
      <c r="BL22" s="728">
        <f t="shared" si="54"/>
        <v>0</v>
      </c>
      <c r="BM22" s="728">
        <f t="shared" si="55"/>
        <v>0</v>
      </c>
    </row>
    <row r="23" spans="1:65" x14ac:dyDescent="0.25">
      <c r="B23" s="219" t="str">
        <f>C23</f>
        <v>TRABDR00</v>
      </c>
      <c r="C23" s="224" t="str">
        <f>CONCATENATE(F23,"00")</f>
        <v>TRABDR00</v>
      </c>
      <c r="D23" s="225" t="str">
        <f>CONCATENATE("Fuel Tech - ",LOOKUP(F23,TRA_Comm!$C$6:$C$28,TRA_Comm!$D$6:$D$28))</f>
        <v>Fuel Tech - Biodiesel for rail (TRA)</v>
      </c>
      <c r="E23" s="224" t="s">
        <v>1063</v>
      </c>
      <c r="F23" s="224" t="s">
        <v>992</v>
      </c>
      <c r="G23" s="226"/>
      <c r="H23" s="227"/>
      <c r="I23" s="228"/>
      <c r="J23" s="229" t="s">
        <v>1064</v>
      </c>
      <c r="K23" s="229"/>
      <c r="L23" s="635">
        <v>1</v>
      </c>
      <c r="M23" s="635">
        <v>1</v>
      </c>
      <c r="N23" s="635">
        <v>1</v>
      </c>
      <c r="O23" s="635">
        <v>1</v>
      </c>
      <c r="P23" s="635">
        <v>1</v>
      </c>
      <c r="Q23" s="635">
        <v>1</v>
      </c>
      <c r="R23" s="635">
        <v>1</v>
      </c>
      <c r="S23" s="635">
        <v>1</v>
      </c>
      <c r="T23" s="635">
        <v>1</v>
      </c>
      <c r="U23" s="635">
        <v>1</v>
      </c>
      <c r="V23" s="635">
        <v>1</v>
      </c>
      <c r="W23" s="635">
        <v>1</v>
      </c>
      <c r="X23" s="635">
        <v>1</v>
      </c>
      <c r="Y23" s="635">
        <v>1</v>
      </c>
      <c r="Z23" s="635">
        <v>1</v>
      </c>
      <c r="AB23" s="19"/>
      <c r="AE23" s="419" t="s">
        <v>1014</v>
      </c>
      <c r="AF23" s="830">
        <f t="shared" si="5"/>
        <v>9689.3275514604175</v>
      </c>
      <c r="AG23" s="728">
        <f>SUMIF(TC_Private!$AV$6:$AV$24,TRA_Fuel!$AE23,TC_Private!AX$6:AX$24)+SUMIF(TB!$AV$6:$AV$24,TRA_Fuel!$AE23,TB!AX$6:AX$24)+SUMIF(TF_Private!$AV$11:$AV$29,TRA_Fuel!$AE23,TF_Private!AX$11:AX$29)</f>
        <v>9689.3275514604175</v>
      </c>
      <c r="AH23" s="723">
        <f>SUMIF(TC_Private!$AV$6:$AV$24,TRA_Fuel!$AE23,TC_Private!AY$6:AY$24)+SUMIF(TB!$AV$6:$AV$24,TRA_Fuel!$AE23,TB!AY$6:AY$24)+SUMIF(TF_Private!$AV$11:$AV$29,TRA_Fuel!$AE23,TF_Private!AY$11:AY$29)</f>
        <v>0</v>
      </c>
      <c r="AI23" s="723">
        <f>SUMIF(TC_Private!$AV$6:$AV$24,TRA_Fuel!$AE23,TC_Private!AZ$6:AZ$24)+SUMIF(TB!$AV$6:$AV$24,TRA_Fuel!$AE23,TB!AZ$6:AZ$24)+SUMIF(TF_Private!$AV$11:$AV$29,TRA_Fuel!$AE23,TF_Private!AZ$11:AZ$29)</f>
        <v>0</v>
      </c>
      <c r="AJ23" s="723">
        <f>SUMIF(TC_Private!$AV$6:$AV$24,TRA_Fuel!$AE23,TC_Private!BA$6:BA$24)+SUMIF(TB!$AV$6:$AV$24,TRA_Fuel!$AE23,TB!BA$6:BA$24)+SUMIF(TF_Private!$AV$11:$AV$29,TRA_Fuel!$AE23,TF_Private!BA$11:BA$29)</f>
        <v>0</v>
      </c>
      <c r="AK23" s="723">
        <f>SUMIF(TC_Private!$AV$6:$AV$24,TRA_Fuel!$AE23,TC_Private!BB$6:BB$24)+SUMIF(TB!$AV$6:$AV$24,TRA_Fuel!$AE23,TB!BB$6:BB$24)+SUMIF(TF_Private!$AV$11:$AV$29,TRA_Fuel!$AE23,TF_Private!BB$11:BB$29)</f>
        <v>0</v>
      </c>
      <c r="AL23" s="723">
        <f>SUMIF(TC_Private!$AV$6:$AV$24,TRA_Fuel!$AE23,TC_Private!BC$6:BC$24)+SUMIF(TB!$AV$6:$AV$24,TRA_Fuel!$AE23,TB!BC$6:BC$24)+SUMIF(TF_Private!$AV$11:$AV$29,TRA_Fuel!$AE23,TF_Private!BC$11:BC$29)</f>
        <v>0</v>
      </c>
      <c r="AM23" s="723">
        <f>SUMIF(TC_Private!$AV$6:$AV$24,TRA_Fuel!$AE23,TC_Private!BD$6:BD$24)+SUMIF(TB!$AV$6:$AV$24,TRA_Fuel!$AE23,TB!BD$6:BD$24)+SUMIF(TF_Private!$AV$11:$AV$29,TRA_Fuel!$AE23,TF_Private!BD$11:BD$29)</f>
        <v>0</v>
      </c>
      <c r="AN23" s="723">
        <f>SUMIF(TC_Private!$AV$6:$AV$24,TRA_Fuel!$AE23,TC_Private!BE$6:BE$24)+SUMIF(TB!$AV$6:$AV$24,TRA_Fuel!$AE23,TB!BE$6:BE$24)+SUMIF(TF_Private!$AV$11:$AV$29,TRA_Fuel!$AE23,TF_Private!BE$11:BE$29)</f>
        <v>0</v>
      </c>
      <c r="AO23" s="723">
        <f>SUMIF(TC_Private!$AV$6:$AV$24,TRA_Fuel!$AE23,TC_Private!BF$6:BF$24)+SUMIF(TB!$AV$6:$AV$24,TRA_Fuel!$AE23,TB!BF$6:BF$24)+SUMIF(TF_Private!$AV$11:$AV$29,TRA_Fuel!$AE23,TF_Private!BF$11:BF$29)</f>
        <v>0</v>
      </c>
      <c r="AP23" s="723">
        <f>SUMIF(TC_Private!$AV$6:$AV$24,TRA_Fuel!$AE23,TC_Private!BG$6:BG$24)+SUMIF(TB!$AV$6:$AV$24,TRA_Fuel!$AE23,TB!BG$6:BG$24)+SUMIF(TF_Private!$AV$11:$AV$29,TRA_Fuel!$AE23,TF_Private!BG$11:BG$29)</f>
        <v>0</v>
      </c>
      <c r="AQ23" s="723">
        <f>SUMIF(TC_Private!$AV$6:$AV$24,TRA_Fuel!$AE23,TC_Private!BH$6:BH$24)+SUMIF(TB!$AV$6:$AV$24,TRA_Fuel!$AE23,TB!BH$6:BH$24)+SUMIF(TF_Private!$AV$11:$AV$29,TRA_Fuel!$AE23,TF_Private!BH$11:BH$29)</f>
        <v>0</v>
      </c>
      <c r="AR23" s="723">
        <f>SUMIF(TC_Private!$AV$6:$AV$24,TRA_Fuel!$AE23,TC_Private!BI$6:BI$24)+SUMIF(TB!$AV$6:$AV$24,TRA_Fuel!$AE23,TB!BI$6:BI$24)+SUMIF(TF_Private!$AV$11:$AV$29,TRA_Fuel!$AE23,TF_Private!BI$11:BI$29)</f>
        <v>0</v>
      </c>
      <c r="AS23" s="723">
        <f>SUMIF(TC_Private!$AV$6:$AV$24,TRA_Fuel!$AE23,TC_Private!BJ$6:BJ$24)+SUMIF(TB!$AV$6:$AV$24,TRA_Fuel!$AE23,TB!BJ$6:BJ$24)+SUMIF(TF_Private!$AV$11:$AV$29,TRA_Fuel!$AE23,TF_Private!BJ$11:BJ$29)</f>
        <v>0</v>
      </c>
      <c r="AT23" s="723">
        <f>SUMIF(TC_Private!$AV$6:$AV$24,TRA_Fuel!$AE23,TC_Private!BK$6:BK$24)+SUMIF(TB!$AV$6:$AV$24,TRA_Fuel!$AE23,TB!BK$6:BK$24)+SUMIF(TF_Private!$AV$11:$AV$29,TRA_Fuel!$AE23,TF_Private!BK$11:BK$29)</f>
        <v>0</v>
      </c>
      <c r="AU23" s="723">
        <f>SUMIF(TC_Private!$AV$6:$AV$24,TRA_Fuel!$AE23,TC_Private!BL$6:BL$24)+SUMIF(TB!$AV$6:$AV$24,TRA_Fuel!$AE23,TB!BL$6:BL$24)+SUMIF(TF_Private!$AV$11:$AV$29,TRA_Fuel!$AE23,TF_Private!BL$11:BL$29)</f>
        <v>0</v>
      </c>
      <c r="AW23" s="418" t="str">
        <f t="shared" ref="AW23:AW28" si="61">AE23</f>
        <v>TRAGSL</v>
      </c>
      <c r="AX23" s="830">
        <f t="shared" ref="AX23:AX28" si="62">SUM(AY23:BM23)</f>
        <v>2691479.8754056715</v>
      </c>
      <c r="AY23" s="728">
        <f t="shared" ref="AY23:AY28" si="63">AG23/3.6*1000</f>
        <v>2691479.8754056715</v>
      </c>
      <c r="AZ23" s="728">
        <f t="shared" ref="AZ23:AZ28" si="64">AH23/3.6*1000</f>
        <v>0</v>
      </c>
      <c r="BA23" s="728">
        <f t="shared" ref="BA23:BA28" si="65">AI23/3.6*1000</f>
        <v>0</v>
      </c>
      <c r="BB23" s="728">
        <f t="shared" ref="BB23:BB28" si="66">AJ23/3.6*1000</f>
        <v>0</v>
      </c>
      <c r="BC23" s="728">
        <f t="shared" ref="BC23:BC28" si="67">AK23/3.6*1000</f>
        <v>0</v>
      </c>
      <c r="BD23" s="728">
        <f t="shared" ref="BD23:BD28" si="68">AL23/3.6*1000</f>
        <v>0</v>
      </c>
      <c r="BE23" s="728">
        <f t="shared" ref="BE23:BE28" si="69">AM23/3.6*1000</f>
        <v>0</v>
      </c>
      <c r="BF23" s="728">
        <f t="shared" ref="BF23:BF28" si="70">AN23/3.6*1000</f>
        <v>0</v>
      </c>
      <c r="BG23" s="728">
        <f t="shared" ref="BG23:BG28" si="71">AO23/3.6*1000</f>
        <v>0</v>
      </c>
      <c r="BH23" s="728">
        <f t="shared" ref="BH23:BH28" si="72">AP23/3.6*1000</f>
        <v>0</v>
      </c>
      <c r="BI23" s="728">
        <f t="shared" ref="BI23:BI28" si="73">AQ23/3.6*1000</f>
        <v>0</v>
      </c>
      <c r="BJ23" s="728">
        <f t="shared" ref="BJ23:BJ28" si="74">AR23/3.6*1000</f>
        <v>0</v>
      </c>
      <c r="BK23" s="728">
        <f t="shared" ref="BK23:BK28" si="75">AS23/3.6*1000</f>
        <v>0</v>
      </c>
      <c r="BL23" s="728">
        <f t="shared" ref="BL23:BL28" si="76">AT23/3.6*1000</f>
        <v>0</v>
      </c>
      <c r="BM23" s="728">
        <f t="shared" ref="BM23:BM28" si="77">AU23/3.6*1000</f>
        <v>0</v>
      </c>
    </row>
    <row r="24" spans="1:65" x14ac:dyDescent="0.25">
      <c r="B24" s="219" t="str">
        <f>B23</f>
        <v>TRABDR00</v>
      </c>
      <c r="C24" s="224"/>
      <c r="D24" s="230"/>
      <c r="E24" s="224"/>
      <c r="F24" s="224"/>
      <c r="G24" s="224"/>
      <c r="H24" s="231">
        <f>$K$3</f>
        <v>2019</v>
      </c>
      <c r="I24" s="224"/>
      <c r="J24" s="232" t="s">
        <v>1065</v>
      </c>
      <c r="K24" s="232" t="s">
        <v>85</v>
      </c>
      <c r="L24" s="636">
        <v>0</v>
      </c>
      <c r="M24" s="636">
        <v>0</v>
      </c>
      <c r="N24" s="636">
        <v>0</v>
      </c>
      <c r="O24" s="636">
        <v>0</v>
      </c>
      <c r="P24" s="636">
        <v>0</v>
      </c>
      <c r="Q24" s="636">
        <v>0</v>
      </c>
      <c r="R24" s="636">
        <v>0</v>
      </c>
      <c r="S24" s="636">
        <v>0</v>
      </c>
      <c r="T24" s="636">
        <v>0</v>
      </c>
      <c r="U24" s="636">
        <v>0</v>
      </c>
      <c r="V24" s="636">
        <v>0</v>
      </c>
      <c r="W24" s="636">
        <v>0</v>
      </c>
      <c r="X24" s="636">
        <v>0</v>
      </c>
      <c r="Y24" s="636">
        <v>0</v>
      </c>
      <c r="Z24" s="636">
        <v>0</v>
      </c>
      <c r="AB24" s="19"/>
      <c r="AE24" s="419" t="s">
        <v>1016</v>
      </c>
      <c r="AF24" s="830">
        <f t="shared" si="5"/>
        <v>0</v>
      </c>
      <c r="AG24" s="728">
        <f>SUMIF(TC_Private!$AV$6:$AV$24,TRA_Fuel!$AE24,TC_Private!AX$6:AX$24)+SUMIF(TB!$AV$6:$AV$24,TRA_Fuel!$AE24,TB!AX$6:AX$24)+SUMIF(TF_Private!$AV$11:$AV$29,TRA_Fuel!$AE24,TF_Private!AX$11:AX$29)</f>
        <v>0</v>
      </c>
      <c r="AH24" s="723">
        <f>SUMIF(TC_Private!$AV$6:$AV$24,TRA_Fuel!$AE24,TC_Private!AY$6:AY$24)+SUMIF(TB!$AV$6:$AV$24,TRA_Fuel!$AE24,TB!AY$6:AY$24)+SUMIF(TF_Private!$AV$11:$AV$29,TRA_Fuel!$AE24,TF_Private!AY$11:AY$29)</f>
        <v>0</v>
      </c>
      <c r="AI24" s="723">
        <f>SUMIF(TC_Private!$AV$6:$AV$24,TRA_Fuel!$AE24,TC_Private!AZ$6:AZ$24)+SUMIF(TB!$AV$6:$AV$24,TRA_Fuel!$AE24,TB!AZ$6:AZ$24)+SUMIF(TF_Private!$AV$11:$AV$29,TRA_Fuel!$AE24,TF_Private!AZ$11:AZ$29)</f>
        <v>0</v>
      </c>
      <c r="AJ24" s="723">
        <f>SUMIF(TC_Private!$AV$6:$AV$24,TRA_Fuel!$AE24,TC_Private!BA$6:BA$24)+SUMIF(TB!$AV$6:$AV$24,TRA_Fuel!$AE24,TB!BA$6:BA$24)+SUMIF(TF_Private!$AV$11:$AV$29,TRA_Fuel!$AE24,TF_Private!BA$11:BA$29)</f>
        <v>0</v>
      </c>
      <c r="AK24" s="723">
        <f>SUMIF(TC_Private!$AV$6:$AV$24,TRA_Fuel!$AE24,TC_Private!BB$6:BB$24)+SUMIF(TB!$AV$6:$AV$24,TRA_Fuel!$AE24,TB!BB$6:BB$24)+SUMIF(TF_Private!$AV$11:$AV$29,TRA_Fuel!$AE24,TF_Private!BB$11:BB$29)</f>
        <v>0</v>
      </c>
      <c r="AL24" s="723">
        <f>SUMIF(TC_Private!$AV$6:$AV$24,TRA_Fuel!$AE24,TC_Private!BC$6:BC$24)+SUMIF(TB!$AV$6:$AV$24,TRA_Fuel!$AE24,TB!BC$6:BC$24)+SUMIF(TF_Private!$AV$11:$AV$29,TRA_Fuel!$AE24,TF_Private!BC$11:BC$29)</f>
        <v>0</v>
      </c>
      <c r="AM24" s="723">
        <f>SUMIF(TC_Private!$AV$6:$AV$24,TRA_Fuel!$AE24,TC_Private!BD$6:BD$24)+SUMIF(TB!$AV$6:$AV$24,TRA_Fuel!$AE24,TB!BD$6:BD$24)+SUMIF(TF_Private!$AV$11:$AV$29,TRA_Fuel!$AE24,TF_Private!BD$11:BD$29)</f>
        <v>0</v>
      </c>
      <c r="AN24" s="723">
        <f>SUMIF(TC_Private!$AV$6:$AV$24,TRA_Fuel!$AE24,TC_Private!BE$6:BE$24)+SUMIF(TB!$AV$6:$AV$24,TRA_Fuel!$AE24,TB!BE$6:BE$24)+SUMIF(TF_Private!$AV$11:$AV$29,TRA_Fuel!$AE24,TF_Private!BE$11:BE$29)</f>
        <v>0</v>
      </c>
      <c r="AO24" s="723">
        <f>SUMIF(TC_Private!$AV$6:$AV$24,TRA_Fuel!$AE24,TC_Private!BF$6:BF$24)+SUMIF(TB!$AV$6:$AV$24,TRA_Fuel!$AE24,TB!BF$6:BF$24)+SUMIF(TF_Private!$AV$11:$AV$29,TRA_Fuel!$AE24,TF_Private!BF$11:BF$29)</f>
        <v>0</v>
      </c>
      <c r="AP24" s="723">
        <f>SUMIF(TC_Private!$AV$6:$AV$24,TRA_Fuel!$AE24,TC_Private!BG$6:BG$24)+SUMIF(TB!$AV$6:$AV$24,TRA_Fuel!$AE24,TB!BG$6:BG$24)+SUMIF(TF_Private!$AV$11:$AV$29,TRA_Fuel!$AE24,TF_Private!BG$11:BG$29)</f>
        <v>0</v>
      </c>
      <c r="AQ24" s="723">
        <f>SUMIF(TC_Private!$AV$6:$AV$24,TRA_Fuel!$AE24,TC_Private!BH$6:BH$24)+SUMIF(TB!$AV$6:$AV$24,TRA_Fuel!$AE24,TB!BH$6:BH$24)+SUMIF(TF_Private!$AV$11:$AV$29,TRA_Fuel!$AE24,TF_Private!BH$11:BH$29)</f>
        <v>0</v>
      </c>
      <c r="AR24" s="723">
        <f>SUMIF(TC_Private!$AV$6:$AV$24,TRA_Fuel!$AE24,TC_Private!BI$6:BI$24)+SUMIF(TB!$AV$6:$AV$24,TRA_Fuel!$AE24,TB!BI$6:BI$24)+SUMIF(TF_Private!$AV$11:$AV$29,TRA_Fuel!$AE24,TF_Private!BI$11:BI$29)</f>
        <v>0</v>
      </c>
      <c r="AS24" s="723">
        <f>SUMIF(TC_Private!$AV$6:$AV$24,TRA_Fuel!$AE24,TC_Private!BJ$6:BJ$24)+SUMIF(TB!$AV$6:$AV$24,TRA_Fuel!$AE24,TB!BJ$6:BJ$24)+SUMIF(TF_Private!$AV$11:$AV$29,TRA_Fuel!$AE24,TF_Private!BJ$11:BJ$29)</f>
        <v>0</v>
      </c>
      <c r="AT24" s="723">
        <f>SUMIF(TC_Private!$AV$6:$AV$24,TRA_Fuel!$AE24,TC_Private!BK$6:BK$24)+SUMIF(TB!$AV$6:$AV$24,TRA_Fuel!$AE24,TB!BK$6:BK$24)+SUMIF(TF_Private!$AV$11:$AV$29,TRA_Fuel!$AE24,TF_Private!BK$11:BK$29)</f>
        <v>0</v>
      </c>
      <c r="AU24" s="723">
        <f>SUMIF(TC_Private!$AV$6:$AV$24,TRA_Fuel!$AE24,TC_Private!BL$6:BL$24)+SUMIF(TB!$AV$6:$AV$24,TRA_Fuel!$AE24,TB!BL$6:BL$24)+SUMIF(TF_Private!$AV$11:$AV$29,TRA_Fuel!$AE24,TF_Private!BL$11:BL$29)</f>
        <v>0</v>
      </c>
      <c r="AW24" s="418" t="str">
        <f t="shared" si="61"/>
        <v>TRAH2G</v>
      </c>
      <c r="AX24" s="830">
        <f t="shared" si="62"/>
        <v>0</v>
      </c>
      <c r="AY24" s="728">
        <f t="shared" si="63"/>
        <v>0</v>
      </c>
      <c r="AZ24" s="728">
        <f t="shared" si="64"/>
        <v>0</v>
      </c>
      <c r="BA24" s="728">
        <f t="shared" si="65"/>
        <v>0</v>
      </c>
      <c r="BB24" s="728">
        <f t="shared" si="66"/>
        <v>0</v>
      </c>
      <c r="BC24" s="728">
        <f t="shared" si="67"/>
        <v>0</v>
      </c>
      <c r="BD24" s="728">
        <f t="shared" si="68"/>
        <v>0</v>
      </c>
      <c r="BE24" s="728">
        <f t="shared" si="69"/>
        <v>0</v>
      </c>
      <c r="BF24" s="728">
        <f t="shared" si="70"/>
        <v>0</v>
      </c>
      <c r="BG24" s="728">
        <f t="shared" si="71"/>
        <v>0</v>
      </c>
      <c r="BH24" s="728">
        <f t="shared" si="72"/>
        <v>0</v>
      </c>
      <c r="BI24" s="728">
        <f t="shared" si="73"/>
        <v>0</v>
      </c>
      <c r="BJ24" s="728">
        <f t="shared" si="74"/>
        <v>0</v>
      </c>
      <c r="BK24" s="728">
        <f t="shared" si="75"/>
        <v>0</v>
      </c>
      <c r="BL24" s="728">
        <f t="shared" si="76"/>
        <v>0</v>
      </c>
      <c r="BM24" s="728">
        <f t="shared" si="77"/>
        <v>0</v>
      </c>
    </row>
    <row r="25" spans="1:65" x14ac:dyDescent="0.25">
      <c r="B25" s="219" t="str">
        <f t="shared" ref="B25:B28" si="78">B24</f>
        <v>TRABDR00</v>
      </c>
      <c r="C25" s="224"/>
      <c r="D25" s="230"/>
      <c r="E25" s="224"/>
      <c r="F25" s="224"/>
      <c r="G25" s="224"/>
      <c r="H25" s="231">
        <v>2020</v>
      </c>
      <c r="I25" s="224"/>
      <c r="J25" s="232" t="s">
        <v>1065</v>
      </c>
      <c r="K25" s="232" t="s">
        <v>85</v>
      </c>
      <c r="L25" s="636">
        <f>L$24*LOOKUP($H25, $AF$47:$AF$50, AG$47:AG$50)</f>
        <v>0</v>
      </c>
      <c r="M25" s="636">
        <f t="shared" ref="M25:M28" si="79">M$24*LOOKUP($H25, $AF$47:$AF$50, AH$47:AH$50)</f>
        <v>0</v>
      </c>
      <c r="N25" s="636">
        <f t="shared" ref="N25:N28" si="80">N$24*LOOKUP($H25, $AF$47:$AF$50, AI$47:AI$50)</f>
        <v>0</v>
      </c>
      <c r="O25" s="636">
        <f t="shared" ref="O25:O28" si="81">O$24*LOOKUP($H25, $AF$47:$AF$50, AJ$47:AJ$50)</f>
        <v>0</v>
      </c>
      <c r="P25" s="636">
        <f t="shared" ref="P25:P28" si="82">P$24*LOOKUP($H25, $AF$47:$AF$50, AK$47:AK$50)</f>
        <v>0</v>
      </c>
      <c r="Q25" s="636">
        <f t="shared" ref="Q25:Q28" si="83">Q$24*LOOKUP($H25, $AF$47:$AF$50, AL$47:AL$50)</f>
        <v>0</v>
      </c>
      <c r="R25" s="636">
        <f t="shared" ref="R25:R28" si="84">R$24*LOOKUP($H25, $AF$47:$AF$50, AM$47:AM$50)</f>
        <v>0</v>
      </c>
      <c r="S25" s="636">
        <f t="shared" ref="S25:S28" si="85">S$24*LOOKUP($H25, $AF$47:$AF$50, AN$47:AN$50)</f>
        <v>0</v>
      </c>
      <c r="T25" s="636">
        <f t="shared" ref="T25:T28" si="86">T$24*LOOKUP($H25, $AF$47:$AF$50, AO$47:AO$50)</f>
        <v>0</v>
      </c>
      <c r="U25" s="636">
        <f t="shared" ref="U25:U28" si="87">U$24*LOOKUP($H25, $AF$47:$AF$50, AP$47:AP$50)</f>
        <v>0</v>
      </c>
      <c r="V25" s="636">
        <f t="shared" ref="V25:V28" si="88">V$24*LOOKUP($H25, $AF$47:$AF$50, AQ$47:AQ$50)</f>
        <v>0</v>
      </c>
      <c r="W25" s="636">
        <f t="shared" ref="W25:W28" si="89">W$24*LOOKUP($H25, $AF$47:$AF$50, AR$47:AR$50)</f>
        <v>0</v>
      </c>
      <c r="X25" s="636">
        <f t="shared" ref="X25:X28" si="90">X$24*LOOKUP($H25, $AF$47:$AF$50, AS$47:AS$50)</f>
        <v>0</v>
      </c>
      <c r="Y25" s="636">
        <f t="shared" ref="Y25:Y28" si="91">Y$24*LOOKUP($H25, $AF$47:$AF$50, AT$47:AT$50)</f>
        <v>0</v>
      </c>
      <c r="Z25" s="636">
        <f t="shared" ref="Z25:Z28" si="92">Z$24*LOOKUP($H25, $AF$47:$AF$50, AU$47:AU$50)</f>
        <v>0</v>
      </c>
      <c r="AB25" s="19"/>
      <c r="AE25" s="419" t="s">
        <v>1023</v>
      </c>
      <c r="AF25" s="830">
        <f t="shared" si="5"/>
        <v>0</v>
      </c>
      <c r="AG25" s="728">
        <f>SUMIF(TC_Private!$AV$6:$AV$24,TRA_Fuel!$AE25,TC_Private!AX$6:AX$24)+SUMIF(TB!$AV$6:$AV$24,TRA_Fuel!$AE25,TB!AX$6:AX$24)+SUMIF(TF_Private!$AV$11:$AV$29,TRA_Fuel!$AE25,TF_Private!AX$11:AX$29)</f>
        <v>0</v>
      </c>
      <c r="AH25" s="723">
        <f>SUMIF(TC_Private!$AV$6:$AV$24,TRA_Fuel!$AE25,TC_Private!AY$6:AY$24)+SUMIF(TB!$AV$6:$AV$24,TRA_Fuel!$AE25,TB!AY$6:AY$24)+SUMIF(TF_Private!$AV$11:$AV$29,TRA_Fuel!$AE25,TF_Private!AY$11:AY$29)</f>
        <v>0</v>
      </c>
      <c r="AI25" s="723">
        <f>SUMIF(TC_Private!$AV$6:$AV$24,TRA_Fuel!$AE25,TC_Private!AZ$6:AZ$24)+SUMIF(TB!$AV$6:$AV$24,TRA_Fuel!$AE25,TB!AZ$6:AZ$24)+SUMIF(TF_Private!$AV$11:$AV$29,TRA_Fuel!$AE25,TF_Private!AZ$11:AZ$29)</f>
        <v>0</v>
      </c>
      <c r="AJ25" s="723">
        <f>SUMIF(TC_Private!$AV$6:$AV$24,TRA_Fuel!$AE25,TC_Private!BA$6:BA$24)+SUMIF(TB!$AV$6:$AV$24,TRA_Fuel!$AE25,TB!BA$6:BA$24)+SUMIF(TF_Private!$AV$11:$AV$29,TRA_Fuel!$AE25,TF_Private!BA$11:BA$29)</f>
        <v>0</v>
      </c>
      <c r="AK25" s="723">
        <f>SUMIF(TC_Private!$AV$6:$AV$24,TRA_Fuel!$AE25,TC_Private!BB$6:BB$24)+SUMIF(TB!$AV$6:$AV$24,TRA_Fuel!$AE25,TB!BB$6:BB$24)+SUMIF(TF_Private!$AV$11:$AV$29,TRA_Fuel!$AE25,TF_Private!BB$11:BB$29)</f>
        <v>0</v>
      </c>
      <c r="AL25" s="723">
        <f>SUMIF(TC_Private!$AV$6:$AV$24,TRA_Fuel!$AE25,TC_Private!BC$6:BC$24)+SUMIF(TB!$AV$6:$AV$24,TRA_Fuel!$AE25,TB!BC$6:BC$24)+SUMIF(TF_Private!$AV$11:$AV$29,TRA_Fuel!$AE25,TF_Private!BC$11:BC$29)</f>
        <v>0</v>
      </c>
      <c r="AM25" s="723">
        <f>SUMIF(TC_Private!$AV$6:$AV$24,TRA_Fuel!$AE25,TC_Private!BD$6:BD$24)+SUMIF(TB!$AV$6:$AV$24,TRA_Fuel!$AE25,TB!BD$6:BD$24)+SUMIF(TF_Private!$AV$11:$AV$29,TRA_Fuel!$AE25,TF_Private!BD$11:BD$29)</f>
        <v>0</v>
      </c>
      <c r="AN25" s="723">
        <f>SUMIF(TC_Private!$AV$6:$AV$24,TRA_Fuel!$AE25,TC_Private!BE$6:BE$24)+SUMIF(TB!$AV$6:$AV$24,TRA_Fuel!$AE25,TB!BE$6:BE$24)+SUMIF(TF_Private!$AV$11:$AV$29,TRA_Fuel!$AE25,TF_Private!BE$11:BE$29)</f>
        <v>0</v>
      </c>
      <c r="AO25" s="723">
        <f>SUMIF(TC_Private!$AV$6:$AV$24,TRA_Fuel!$AE25,TC_Private!BF$6:BF$24)+SUMIF(TB!$AV$6:$AV$24,TRA_Fuel!$AE25,TB!BF$6:BF$24)+SUMIF(TF_Private!$AV$11:$AV$29,TRA_Fuel!$AE25,TF_Private!BF$11:BF$29)</f>
        <v>0</v>
      </c>
      <c r="AP25" s="723">
        <f>SUMIF(TC_Private!$AV$6:$AV$24,TRA_Fuel!$AE25,TC_Private!BG$6:BG$24)+SUMIF(TB!$AV$6:$AV$24,TRA_Fuel!$AE25,TB!BG$6:BG$24)+SUMIF(TF_Private!$AV$11:$AV$29,TRA_Fuel!$AE25,TF_Private!BG$11:BG$29)</f>
        <v>0</v>
      </c>
      <c r="AQ25" s="723">
        <f>SUMIF(TC_Private!$AV$6:$AV$24,TRA_Fuel!$AE25,TC_Private!BH$6:BH$24)+SUMIF(TB!$AV$6:$AV$24,TRA_Fuel!$AE25,TB!BH$6:BH$24)+SUMIF(TF_Private!$AV$11:$AV$29,TRA_Fuel!$AE25,TF_Private!BH$11:BH$29)</f>
        <v>0</v>
      </c>
      <c r="AR25" s="723">
        <f>SUMIF(TC_Private!$AV$6:$AV$24,TRA_Fuel!$AE25,TC_Private!BI$6:BI$24)+SUMIF(TB!$AV$6:$AV$24,TRA_Fuel!$AE25,TB!BI$6:BI$24)+SUMIF(TF_Private!$AV$11:$AV$29,TRA_Fuel!$AE25,TF_Private!BI$11:BI$29)</f>
        <v>0</v>
      </c>
      <c r="AS25" s="723">
        <f>SUMIF(TC_Private!$AV$6:$AV$24,TRA_Fuel!$AE25,TC_Private!BJ$6:BJ$24)+SUMIF(TB!$AV$6:$AV$24,TRA_Fuel!$AE25,TB!BJ$6:BJ$24)+SUMIF(TF_Private!$AV$11:$AV$29,TRA_Fuel!$AE25,TF_Private!BJ$11:BJ$29)</f>
        <v>0</v>
      </c>
      <c r="AT25" s="723">
        <f>SUMIF(TC_Private!$AV$6:$AV$24,TRA_Fuel!$AE25,TC_Private!BK$6:BK$24)+SUMIF(TB!$AV$6:$AV$24,TRA_Fuel!$AE25,TB!BK$6:BK$24)+SUMIF(TF_Private!$AV$11:$AV$29,TRA_Fuel!$AE25,TF_Private!BK$11:BK$29)</f>
        <v>0</v>
      </c>
      <c r="AU25" s="723">
        <f>SUMIF(TC_Private!$AV$6:$AV$24,TRA_Fuel!$AE25,TC_Private!BL$6:BL$24)+SUMIF(TB!$AV$6:$AV$24,TRA_Fuel!$AE25,TB!BL$6:BL$24)+SUMIF(TF_Private!$AV$11:$AV$29,TRA_Fuel!$AE25,TF_Private!BL$11:BL$29)</f>
        <v>0</v>
      </c>
      <c r="AW25" s="418" t="str">
        <f t="shared" si="61"/>
        <v>TRAHFO</v>
      </c>
      <c r="AX25" s="830">
        <f t="shared" si="62"/>
        <v>0</v>
      </c>
      <c r="AY25" s="728">
        <f t="shared" si="63"/>
        <v>0</v>
      </c>
      <c r="AZ25" s="728">
        <f t="shared" si="64"/>
        <v>0</v>
      </c>
      <c r="BA25" s="728">
        <f t="shared" si="65"/>
        <v>0</v>
      </c>
      <c r="BB25" s="728">
        <f t="shared" si="66"/>
        <v>0</v>
      </c>
      <c r="BC25" s="728">
        <f t="shared" si="67"/>
        <v>0</v>
      </c>
      <c r="BD25" s="728">
        <f t="shared" si="68"/>
        <v>0</v>
      </c>
      <c r="BE25" s="728">
        <f t="shared" si="69"/>
        <v>0</v>
      </c>
      <c r="BF25" s="728">
        <f t="shared" si="70"/>
        <v>0</v>
      </c>
      <c r="BG25" s="728">
        <f t="shared" si="71"/>
        <v>0</v>
      </c>
      <c r="BH25" s="728">
        <f t="shared" si="72"/>
        <v>0</v>
      </c>
      <c r="BI25" s="728">
        <f t="shared" si="73"/>
        <v>0</v>
      </c>
      <c r="BJ25" s="728">
        <f t="shared" si="74"/>
        <v>0</v>
      </c>
      <c r="BK25" s="728">
        <f t="shared" si="75"/>
        <v>0</v>
      </c>
      <c r="BL25" s="728">
        <f t="shared" si="76"/>
        <v>0</v>
      </c>
      <c r="BM25" s="728">
        <f t="shared" si="77"/>
        <v>0</v>
      </c>
    </row>
    <row r="26" spans="1:65" x14ac:dyDescent="0.25">
      <c r="B26" s="219" t="str">
        <f t="shared" si="78"/>
        <v>TRABDR00</v>
      </c>
      <c r="C26" s="224"/>
      <c r="D26" s="230"/>
      <c r="E26" s="224"/>
      <c r="F26" s="224"/>
      <c r="G26" s="224"/>
      <c r="H26" s="231">
        <v>2030</v>
      </c>
      <c r="I26" s="224"/>
      <c r="J26" s="232" t="s">
        <v>1065</v>
      </c>
      <c r="K26" s="232" t="s">
        <v>85</v>
      </c>
      <c r="L26" s="636">
        <f t="shared" ref="L26:L28" si="93">L$24*LOOKUP($H26, $AF$47:$AF$50, AG$47:AG$50)</f>
        <v>0</v>
      </c>
      <c r="M26" s="636">
        <f t="shared" si="79"/>
        <v>0</v>
      </c>
      <c r="N26" s="636">
        <f t="shared" si="80"/>
        <v>0</v>
      </c>
      <c r="O26" s="636">
        <f t="shared" si="81"/>
        <v>0</v>
      </c>
      <c r="P26" s="636">
        <f t="shared" si="82"/>
        <v>0</v>
      </c>
      <c r="Q26" s="636">
        <f t="shared" si="83"/>
        <v>0</v>
      </c>
      <c r="R26" s="636">
        <f t="shared" si="84"/>
        <v>0</v>
      </c>
      <c r="S26" s="636">
        <f t="shared" si="85"/>
        <v>0</v>
      </c>
      <c r="T26" s="636">
        <f t="shared" si="86"/>
        <v>0</v>
      </c>
      <c r="U26" s="636">
        <f t="shared" si="87"/>
        <v>0</v>
      </c>
      <c r="V26" s="636">
        <f t="shared" si="88"/>
        <v>0</v>
      </c>
      <c r="W26" s="636">
        <f t="shared" si="89"/>
        <v>0</v>
      </c>
      <c r="X26" s="636">
        <f t="shared" si="90"/>
        <v>0</v>
      </c>
      <c r="Y26" s="636">
        <f t="shared" si="91"/>
        <v>0</v>
      </c>
      <c r="Z26" s="636">
        <f t="shared" si="92"/>
        <v>0</v>
      </c>
      <c r="AB26" s="19"/>
      <c r="AE26" s="418" t="s">
        <v>681</v>
      </c>
      <c r="AF26" s="830">
        <f t="shared" si="5"/>
        <v>0</v>
      </c>
      <c r="AG26" s="728">
        <f>SUMIF(TC_Private!$AV$6:$AV$24,TRA_Fuel!$AE26,TC_Private!AX$6:AX$24)+SUMIF(TB!$AV$6:$AV$24,TRA_Fuel!$AE26,TB!AX$6:AX$24)+SUMIF(TF_Private!$AV$11:$AV$29,TRA_Fuel!$AE26,TF_Private!AX$11:AX$29)</f>
        <v>0</v>
      </c>
      <c r="AH26" s="723">
        <f>SUMIF(TC_Private!$AV$6:$AV$24,TRA_Fuel!$AE26,TC_Private!AY$6:AY$24)+SUMIF(TB!$AV$6:$AV$24,TRA_Fuel!$AE26,TB!AY$6:AY$24)+SUMIF(TF_Private!$AV$11:$AV$29,TRA_Fuel!$AE26,TF_Private!AY$11:AY$29)</f>
        <v>0</v>
      </c>
      <c r="AI26" s="723">
        <f>SUMIF(TC_Private!$AV$6:$AV$24,TRA_Fuel!$AE26,TC_Private!AZ$6:AZ$24)+SUMIF(TB!$AV$6:$AV$24,TRA_Fuel!$AE26,TB!AZ$6:AZ$24)+SUMIF(TF_Private!$AV$11:$AV$29,TRA_Fuel!$AE26,TF_Private!AZ$11:AZ$29)</f>
        <v>0</v>
      </c>
      <c r="AJ26" s="723">
        <f>SUMIF(TC_Private!$AV$6:$AV$24,TRA_Fuel!$AE26,TC_Private!BA$6:BA$24)+SUMIF(TB!$AV$6:$AV$24,TRA_Fuel!$AE26,TB!BA$6:BA$24)+SUMIF(TF_Private!$AV$11:$AV$29,TRA_Fuel!$AE26,TF_Private!BA$11:BA$29)</f>
        <v>0</v>
      </c>
      <c r="AK26" s="723">
        <f>SUMIF(TC_Private!$AV$6:$AV$24,TRA_Fuel!$AE26,TC_Private!BB$6:BB$24)+SUMIF(TB!$AV$6:$AV$24,TRA_Fuel!$AE26,TB!BB$6:BB$24)+SUMIF(TF_Private!$AV$11:$AV$29,TRA_Fuel!$AE26,TF_Private!BB$11:BB$29)</f>
        <v>0</v>
      </c>
      <c r="AL26" s="723">
        <f>SUMIF(TC_Private!$AV$6:$AV$24,TRA_Fuel!$AE26,TC_Private!BC$6:BC$24)+SUMIF(TB!$AV$6:$AV$24,TRA_Fuel!$AE26,TB!BC$6:BC$24)+SUMIF(TF_Private!$AV$11:$AV$29,TRA_Fuel!$AE26,TF_Private!BC$11:BC$29)</f>
        <v>0</v>
      </c>
      <c r="AM26" s="723">
        <f>SUMIF(TC_Private!$AV$6:$AV$24,TRA_Fuel!$AE26,TC_Private!BD$6:BD$24)+SUMIF(TB!$AV$6:$AV$24,TRA_Fuel!$AE26,TB!BD$6:BD$24)+SUMIF(TF_Private!$AV$11:$AV$29,TRA_Fuel!$AE26,TF_Private!BD$11:BD$29)</f>
        <v>0</v>
      </c>
      <c r="AN26" s="723">
        <f>SUMIF(TC_Private!$AV$6:$AV$24,TRA_Fuel!$AE26,TC_Private!BE$6:BE$24)+SUMIF(TB!$AV$6:$AV$24,TRA_Fuel!$AE26,TB!BE$6:BE$24)+SUMIF(TF_Private!$AV$11:$AV$29,TRA_Fuel!$AE26,TF_Private!BE$11:BE$29)</f>
        <v>0</v>
      </c>
      <c r="AO26" s="723">
        <f>SUMIF(TC_Private!$AV$6:$AV$24,TRA_Fuel!$AE26,TC_Private!BF$6:BF$24)+SUMIF(TB!$AV$6:$AV$24,TRA_Fuel!$AE26,TB!BF$6:BF$24)+SUMIF(TF_Private!$AV$11:$AV$29,TRA_Fuel!$AE26,TF_Private!BF$11:BF$29)</f>
        <v>0</v>
      </c>
      <c r="AP26" s="723">
        <f>SUMIF(TC_Private!$AV$6:$AV$24,TRA_Fuel!$AE26,TC_Private!BG$6:BG$24)+SUMIF(TB!$AV$6:$AV$24,TRA_Fuel!$AE26,TB!BG$6:BG$24)+SUMIF(TF_Private!$AV$11:$AV$29,TRA_Fuel!$AE26,TF_Private!BG$11:BG$29)</f>
        <v>0</v>
      </c>
      <c r="AQ26" s="723">
        <f>SUMIF(TC_Private!$AV$6:$AV$24,TRA_Fuel!$AE26,TC_Private!BH$6:BH$24)+SUMIF(TB!$AV$6:$AV$24,TRA_Fuel!$AE26,TB!BH$6:BH$24)+SUMIF(TF_Private!$AV$11:$AV$29,TRA_Fuel!$AE26,TF_Private!BH$11:BH$29)</f>
        <v>0</v>
      </c>
      <c r="AR26" s="723">
        <f>SUMIF(TC_Private!$AV$6:$AV$24,TRA_Fuel!$AE26,TC_Private!BI$6:BI$24)+SUMIF(TB!$AV$6:$AV$24,TRA_Fuel!$AE26,TB!BI$6:BI$24)+SUMIF(TF_Private!$AV$11:$AV$29,TRA_Fuel!$AE26,TF_Private!BI$11:BI$29)</f>
        <v>0</v>
      </c>
      <c r="AS26" s="723">
        <f>SUMIF(TC_Private!$AV$6:$AV$24,TRA_Fuel!$AE26,TC_Private!BJ$6:BJ$24)+SUMIF(TB!$AV$6:$AV$24,TRA_Fuel!$AE26,TB!BJ$6:BJ$24)+SUMIF(TF_Private!$AV$11:$AV$29,TRA_Fuel!$AE26,TF_Private!BJ$11:BJ$29)</f>
        <v>0</v>
      </c>
      <c r="AT26" s="723">
        <f>SUMIF(TC_Private!$AV$6:$AV$24,TRA_Fuel!$AE26,TC_Private!BK$6:BK$24)+SUMIF(TB!$AV$6:$AV$24,TRA_Fuel!$AE26,TB!BK$6:BK$24)+SUMIF(TF_Private!$AV$11:$AV$29,TRA_Fuel!$AE26,TF_Private!BK$11:BK$29)</f>
        <v>0</v>
      </c>
      <c r="AU26" s="723">
        <f>SUMIF(TC_Private!$AV$6:$AV$24,TRA_Fuel!$AE26,TC_Private!BL$6:BL$24)+SUMIF(TB!$AV$6:$AV$24,TRA_Fuel!$AE26,TB!BL$6:BL$24)+SUMIF(TF_Private!$AV$11:$AV$29,TRA_Fuel!$AE26,TF_Private!BL$11:BL$29)</f>
        <v>0</v>
      </c>
      <c r="AW26" s="418" t="str">
        <f t="shared" si="61"/>
        <v>TRAHUM</v>
      </c>
      <c r="AX26" s="830">
        <f t="shared" si="62"/>
        <v>0</v>
      </c>
      <c r="AY26" s="728">
        <f t="shared" si="63"/>
        <v>0</v>
      </c>
      <c r="AZ26" s="728">
        <f t="shared" si="64"/>
        <v>0</v>
      </c>
      <c r="BA26" s="728">
        <f t="shared" si="65"/>
        <v>0</v>
      </c>
      <c r="BB26" s="728">
        <f t="shared" si="66"/>
        <v>0</v>
      </c>
      <c r="BC26" s="728">
        <f t="shared" si="67"/>
        <v>0</v>
      </c>
      <c r="BD26" s="728">
        <f t="shared" si="68"/>
        <v>0</v>
      </c>
      <c r="BE26" s="728">
        <f t="shared" si="69"/>
        <v>0</v>
      </c>
      <c r="BF26" s="728">
        <f t="shared" si="70"/>
        <v>0</v>
      </c>
      <c r="BG26" s="728">
        <f t="shared" si="71"/>
        <v>0</v>
      </c>
      <c r="BH26" s="728">
        <f t="shared" si="72"/>
        <v>0</v>
      </c>
      <c r="BI26" s="728">
        <f t="shared" si="73"/>
        <v>0</v>
      </c>
      <c r="BJ26" s="728">
        <f t="shared" si="74"/>
        <v>0</v>
      </c>
      <c r="BK26" s="728">
        <f t="shared" si="75"/>
        <v>0</v>
      </c>
      <c r="BL26" s="728">
        <f t="shared" si="76"/>
        <v>0</v>
      </c>
      <c r="BM26" s="728">
        <f t="shared" si="77"/>
        <v>0</v>
      </c>
    </row>
    <row r="27" spans="1:65" x14ac:dyDescent="0.25">
      <c r="B27" s="219" t="str">
        <f t="shared" si="78"/>
        <v>TRABDR00</v>
      </c>
      <c r="C27" s="224"/>
      <c r="D27" s="230"/>
      <c r="E27" s="224"/>
      <c r="F27" s="224"/>
      <c r="G27" s="224"/>
      <c r="H27" s="231">
        <v>2040</v>
      </c>
      <c r="I27" s="224"/>
      <c r="J27" s="232" t="s">
        <v>1065</v>
      </c>
      <c r="K27" s="232" t="s">
        <v>85</v>
      </c>
      <c r="L27" s="636">
        <f t="shared" si="93"/>
        <v>0</v>
      </c>
      <c r="M27" s="636">
        <f t="shared" si="79"/>
        <v>0</v>
      </c>
      <c r="N27" s="636">
        <f t="shared" si="80"/>
        <v>0</v>
      </c>
      <c r="O27" s="636">
        <f t="shared" si="81"/>
        <v>0</v>
      </c>
      <c r="P27" s="636">
        <f t="shared" si="82"/>
        <v>0</v>
      </c>
      <c r="Q27" s="636">
        <f t="shared" si="83"/>
        <v>0</v>
      </c>
      <c r="R27" s="636">
        <f t="shared" si="84"/>
        <v>0</v>
      </c>
      <c r="S27" s="636">
        <f t="shared" si="85"/>
        <v>0</v>
      </c>
      <c r="T27" s="636">
        <f t="shared" si="86"/>
        <v>0</v>
      </c>
      <c r="U27" s="636">
        <f t="shared" si="87"/>
        <v>0</v>
      </c>
      <c r="V27" s="636">
        <f t="shared" si="88"/>
        <v>0</v>
      </c>
      <c r="W27" s="636">
        <f t="shared" si="89"/>
        <v>0</v>
      </c>
      <c r="X27" s="636">
        <f t="shared" si="90"/>
        <v>0</v>
      </c>
      <c r="Y27" s="636">
        <f t="shared" si="91"/>
        <v>0</v>
      </c>
      <c r="Z27" s="636">
        <f t="shared" si="92"/>
        <v>0</v>
      </c>
      <c r="AB27" s="19"/>
      <c r="AE27" s="418" t="s">
        <v>1029</v>
      </c>
      <c r="AF27" s="830">
        <f t="shared" si="5"/>
        <v>0</v>
      </c>
      <c r="AG27" s="728">
        <f>SUMIF(TC_Private!$AV$6:$AV$24,TRA_Fuel!$AE27,TC_Private!AX$6:AX$24)+SUMIF(TB!$AV$6:$AV$24,TRA_Fuel!$AE27,TB!AX$6:AX$24)+SUMIF(TF_Private!$AV$11:$AV$29,TRA_Fuel!$AE27,TF_Private!AX$11:AX$29)</f>
        <v>0</v>
      </c>
      <c r="AH27" s="723">
        <f>SUMIF(TC_Private!$AV$6:$AV$24,TRA_Fuel!$AE27,TC_Private!AY$6:AY$24)+SUMIF(TB!$AV$6:$AV$24,TRA_Fuel!$AE27,TB!AY$6:AY$24)+SUMIF(TF_Private!$AV$11:$AV$29,TRA_Fuel!$AE27,TF_Private!AY$11:AY$29)</f>
        <v>0</v>
      </c>
      <c r="AI27" s="723">
        <f>SUMIF(TC_Private!$AV$6:$AV$24,TRA_Fuel!$AE27,TC_Private!AZ$6:AZ$24)+SUMIF(TB!$AV$6:$AV$24,TRA_Fuel!$AE27,TB!AZ$6:AZ$24)+SUMIF(TF_Private!$AV$11:$AV$29,TRA_Fuel!$AE27,TF_Private!AZ$11:AZ$29)</f>
        <v>0</v>
      </c>
      <c r="AJ27" s="723">
        <f>SUMIF(TC_Private!$AV$6:$AV$24,TRA_Fuel!$AE27,TC_Private!BA$6:BA$24)+SUMIF(TB!$AV$6:$AV$24,TRA_Fuel!$AE27,TB!BA$6:BA$24)+SUMIF(TF_Private!$AV$11:$AV$29,TRA_Fuel!$AE27,TF_Private!BA$11:BA$29)</f>
        <v>0</v>
      </c>
      <c r="AK27" s="723">
        <f>SUMIF(TC_Private!$AV$6:$AV$24,TRA_Fuel!$AE27,TC_Private!BB$6:BB$24)+SUMIF(TB!$AV$6:$AV$24,TRA_Fuel!$AE27,TB!BB$6:BB$24)+SUMIF(TF_Private!$AV$11:$AV$29,TRA_Fuel!$AE27,TF_Private!BB$11:BB$29)</f>
        <v>0</v>
      </c>
      <c r="AL27" s="723">
        <f>SUMIF(TC_Private!$AV$6:$AV$24,TRA_Fuel!$AE27,TC_Private!BC$6:BC$24)+SUMIF(TB!$AV$6:$AV$24,TRA_Fuel!$AE27,TB!BC$6:BC$24)+SUMIF(TF_Private!$AV$11:$AV$29,TRA_Fuel!$AE27,TF_Private!BC$11:BC$29)</f>
        <v>0</v>
      </c>
      <c r="AM27" s="723">
        <f>SUMIF(TC_Private!$AV$6:$AV$24,TRA_Fuel!$AE27,TC_Private!BD$6:BD$24)+SUMIF(TB!$AV$6:$AV$24,TRA_Fuel!$AE27,TB!BD$6:BD$24)+SUMIF(TF_Private!$AV$11:$AV$29,TRA_Fuel!$AE27,TF_Private!BD$11:BD$29)</f>
        <v>0</v>
      </c>
      <c r="AN27" s="723">
        <f>SUMIF(TC_Private!$AV$6:$AV$24,TRA_Fuel!$AE27,TC_Private!BE$6:BE$24)+SUMIF(TB!$AV$6:$AV$24,TRA_Fuel!$AE27,TB!BE$6:BE$24)+SUMIF(TF_Private!$AV$11:$AV$29,TRA_Fuel!$AE27,TF_Private!BE$11:BE$29)</f>
        <v>0</v>
      </c>
      <c r="AO27" s="723">
        <f>SUMIF(TC_Private!$AV$6:$AV$24,TRA_Fuel!$AE27,TC_Private!BF$6:BF$24)+SUMIF(TB!$AV$6:$AV$24,TRA_Fuel!$AE27,TB!BF$6:BF$24)+SUMIF(TF_Private!$AV$11:$AV$29,TRA_Fuel!$AE27,TF_Private!BF$11:BF$29)</f>
        <v>0</v>
      </c>
      <c r="AP27" s="723">
        <f>SUMIF(TC_Private!$AV$6:$AV$24,TRA_Fuel!$AE27,TC_Private!BG$6:BG$24)+SUMIF(TB!$AV$6:$AV$24,TRA_Fuel!$AE27,TB!BG$6:BG$24)+SUMIF(TF_Private!$AV$11:$AV$29,TRA_Fuel!$AE27,TF_Private!BG$11:BG$29)</f>
        <v>0</v>
      </c>
      <c r="AQ27" s="723">
        <f>SUMIF(TC_Private!$AV$6:$AV$24,TRA_Fuel!$AE27,TC_Private!BH$6:BH$24)+SUMIF(TB!$AV$6:$AV$24,TRA_Fuel!$AE27,TB!BH$6:BH$24)+SUMIF(TF_Private!$AV$11:$AV$29,TRA_Fuel!$AE27,TF_Private!BH$11:BH$29)</f>
        <v>0</v>
      </c>
      <c r="AR27" s="723">
        <f>SUMIF(TC_Private!$AV$6:$AV$24,TRA_Fuel!$AE27,TC_Private!BI$6:BI$24)+SUMIF(TB!$AV$6:$AV$24,TRA_Fuel!$AE27,TB!BI$6:BI$24)+SUMIF(TF_Private!$AV$11:$AV$29,TRA_Fuel!$AE27,TF_Private!BI$11:BI$29)</f>
        <v>0</v>
      </c>
      <c r="AS27" s="723">
        <f>SUMIF(TC_Private!$AV$6:$AV$24,TRA_Fuel!$AE27,TC_Private!BJ$6:BJ$24)+SUMIF(TB!$AV$6:$AV$24,TRA_Fuel!$AE27,TB!BJ$6:BJ$24)+SUMIF(TF_Private!$AV$11:$AV$29,TRA_Fuel!$AE27,TF_Private!BJ$11:BJ$29)</f>
        <v>0</v>
      </c>
      <c r="AT27" s="723">
        <f>SUMIF(TC_Private!$AV$6:$AV$24,TRA_Fuel!$AE27,TC_Private!BK$6:BK$24)+SUMIF(TB!$AV$6:$AV$24,TRA_Fuel!$AE27,TB!BK$6:BK$24)+SUMIF(TF_Private!$AV$11:$AV$29,TRA_Fuel!$AE27,TF_Private!BK$11:BK$29)</f>
        <v>0</v>
      </c>
      <c r="AU27" s="723">
        <f>SUMIF(TC_Private!$AV$6:$AV$24,TRA_Fuel!$AE27,TC_Private!BL$6:BL$24)+SUMIF(TB!$AV$6:$AV$24,TRA_Fuel!$AE27,TB!BL$6:BL$24)+SUMIF(TF_Private!$AV$11:$AV$29,TRA_Fuel!$AE27,TF_Private!BL$11:BL$29)</f>
        <v>0</v>
      </c>
      <c r="AW27" s="418" t="str">
        <f t="shared" si="61"/>
        <v>TRAKER</v>
      </c>
      <c r="AX27" s="830">
        <f t="shared" si="62"/>
        <v>0</v>
      </c>
      <c r="AY27" s="728">
        <f t="shared" si="63"/>
        <v>0</v>
      </c>
      <c r="AZ27" s="728">
        <f t="shared" si="64"/>
        <v>0</v>
      </c>
      <c r="BA27" s="728">
        <f t="shared" si="65"/>
        <v>0</v>
      </c>
      <c r="BB27" s="728">
        <f t="shared" si="66"/>
        <v>0</v>
      </c>
      <c r="BC27" s="728">
        <f t="shared" si="67"/>
        <v>0</v>
      </c>
      <c r="BD27" s="728">
        <f t="shared" si="68"/>
        <v>0</v>
      </c>
      <c r="BE27" s="728">
        <f t="shared" si="69"/>
        <v>0</v>
      </c>
      <c r="BF27" s="728">
        <f t="shared" si="70"/>
        <v>0</v>
      </c>
      <c r="BG27" s="728">
        <f t="shared" si="71"/>
        <v>0</v>
      </c>
      <c r="BH27" s="728">
        <f t="shared" si="72"/>
        <v>0</v>
      </c>
      <c r="BI27" s="728">
        <f t="shared" si="73"/>
        <v>0</v>
      </c>
      <c r="BJ27" s="728">
        <f t="shared" si="74"/>
        <v>0</v>
      </c>
      <c r="BK27" s="728">
        <f t="shared" si="75"/>
        <v>0</v>
      </c>
      <c r="BL27" s="728">
        <f t="shared" si="76"/>
        <v>0</v>
      </c>
      <c r="BM27" s="728">
        <f t="shared" si="77"/>
        <v>0</v>
      </c>
    </row>
    <row r="28" spans="1:65" x14ac:dyDescent="0.25">
      <c r="B28" s="233" t="str">
        <f t="shared" si="78"/>
        <v>TRABDR00</v>
      </c>
      <c r="C28" s="234"/>
      <c r="D28" s="235"/>
      <c r="E28" s="234"/>
      <c r="F28" s="234"/>
      <c r="G28" s="234"/>
      <c r="H28" s="236">
        <f>$K$5</f>
        <v>2050</v>
      </c>
      <c r="I28" s="224"/>
      <c r="J28" s="237" t="s">
        <v>1065</v>
      </c>
      <c r="K28" s="237" t="s">
        <v>85</v>
      </c>
      <c r="L28" s="637">
        <f t="shared" si="93"/>
        <v>0</v>
      </c>
      <c r="M28" s="637">
        <f t="shared" si="79"/>
        <v>0</v>
      </c>
      <c r="N28" s="637">
        <f t="shared" si="80"/>
        <v>0</v>
      </c>
      <c r="O28" s="637">
        <f t="shared" si="81"/>
        <v>0</v>
      </c>
      <c r="P28" s="637">
        <f t="shared" si="82"/>
        <v>0</v>
      </c>
      <c r="Q28" s="637">
        <f t="shared" si="83"/>
        <v>0</v>
      </c>
      <c r="R28" s="637">
        <f t="shared" si="84"/>
        <v>0</v>
      </c>
      <c r="S28" s="637">
        <f t="shared" si="85"/>
        <v>0</v>
      </c>
      <c r="T28" s="637">
        <f t="shared" si="86"/>
        <v>0</v>
      </c>
      <c r="U28" s="637">
        <f t="shared" si="87"/>
        <v>0</v>
      </c>
      <c r="V28" s="637">
        <f t="shared" si="88"/>
        <v>0</v>
      </c>
      <c r="W28" s="637">
        <f t="shared" si="89"/>
        <v>0</v>
      </c>
      <c r="X28" s="637">
        <f t="shared" si="90"/>
        <v>0</v>
      </c>
      <c r="Y28" s="637">
        <f t="shared" si="91"/>
        <v>0</v>
      </c>
      <c r="Z28" s="637">
        <f t="shared" si="92"/>
        <v>0</v>
      </c>
      <c r="AB28" s="19"/>
      <c r="AE28" s="418" t="s">
        <v>1031</v>
      </c>
      <c r="AF28" s="830">
        <f t="shared" si="5"/>
        <v>0</v>
      </c>
      <c r="AG28" s="728">
        <f>SUMIF(TC_Private!$AV$6:$AV$24,TRA_Fuel!$AE28,TC_Private!AX$6:AX$24)+SUMIF(TB!$AV$6:$AV$24,TRA_Fuel!$AE28,TB!AX$6:AX$24)+SUMIF(TF_Private!$AV$11:$AV$29,TRA_Fuel!$AE28,TF_Private!AX$11:AX$29)</f>
        <v>0</v>
      </c>
      <c r="AH28" s="723">
        <f>SUMIF(TC_Private!$AV$6:$AV$24,TRA_Fuel!$AE28,TC_Private!AY$6:AY$24)+SUMIF(TB!$AV$6:$AV$24,TRA_Fuel!$AE28,TB!AY$6:AY$24)+SUMIF(TF_Private!$AV$11:$AV$29,TRA_Fuel!$AE28,TF_Private!AY$11:AY$29)</f>
        <v>0</v>
      </c>
      <c r="AI28" s="723">
        <f>SUMIF(TC_Private!$AV$6:$AV$24,TRA_Fuel!$AE28,TC_Private!AZ$6:AZ$24)+SUMIF(TB!$AV$6:$AV$24,TRA_Fuel!$AE28,TB!AZ$6:AZ$24)+SUMIF(TF_Private!$AV$11:$AV$29,TRA_Fuel!$AE28,TF_Private!AZ$11:AZ$29)</f>
        <v>0</v>
      </c>
      <c r="AJ28" s="723">
        <f>SUMIF(TC_Private!$AV$6:$AV$24,TRA_Fuel!$AE28,TC_Private!BA$6:BA$24)+SUMIF(TB!$AV$6:$AV$24,TRA_Fuel!$AE28,TB!BA$6:BA$24)+SUMIF(TF_Private!$AV$11:$AV$29,TRA_Fuel!$AE28,TF_Private!BA$11:BA$29)</f>
        <v>0</v>
      </c>
      <c r="AK28" s="723">
        <f>SUMIF(TC_Private!$AV$6:$AV$24,TRA_Fuel!$AE28,TC_Private!BB$6:BB$24)+SUMIF(TB!$AV$6:$AV$24,TRA_Fuel!$AE28,TB!BB$6:BB$24)+SUMIF(TF_Private!$AV$11:$AV$29,TRA_Fuel!$AE28,TF_Private!BB$11:BB$29)</f>
        <v>0</v>
      </c>
      <c r="AL28" s="723">
        <f>SUMIF(TC_Private!$AV$6:$AV$24,TRA_Fuel!$AE28,TC_Private!BC$6:BC$24)+SUMIF(TB!$AV$6:$AV$24,TRA_Fuel!$AE28,TB!BC$6:BC$24)+SUMIF(TF_Private!$AV$11:$AV$29,TRA_Fuel!$AE28,TF_Private!BC$11:BC$29)</f>
        <v>0</v>
      </c>
      <c r="AM28" s="723">
        <f>SUMIF(TC_Private!$AV$6:$AV$24,TRA_Fuel!$AE28,TC_Private!BD$6:BD$24)+SUMIF(TB!$AV$6:$AV$24,TRA_Fuel!$AE28,TB!BD$6:BD$24)+SUMIF(TF_Private!$AV$11:$AV$29,TRA_Fuel!$AE28,TF_Private!BD$11:BD$29)</f>
        <v>0</v>
      </c>
      <c r="AN28" s="723">
        <f>SUMIF(TC_Private!$AV$6:$AV$24,TRA_Fuel!$AE28,TC_Private!BE$6:BE$24)+SUMIF(TB!$AV$6:$AV$24,TRA_Fuel!$AE28,TB!BE$6:BE$24)+SUMIF(TF_Private!$AV$11:$AV$29,TRA_Fuel!$AE28,TF_Private!BE$11:BE$29)</f>
        <v>0</v>
      </c>
      <c r="AO28" s="723">
        <f>SUMIF(TC_Private!$AV$6:$AV$24,TRA_Fuel!$AE28,TC_Private!BF$6:BF$24)+SUMIF(TB!$AV$6:$AV$24,TRA_Fuel!$AE28,TB!BF$6:BF$24)+SUMIF(TF_Private!$AV$11:$AV$29,TRA_Fuel!$AE28,TF_Private!BF$11:BF$29)</f>
        <v>0</v>
      </c>
      <c r="AP28" s="723">
        <f>SUMIF(TC_Private!$AV$6:$AV$24,TRA_Fuel!$AE28,TC_Private!BG$6:BG$24)+SUMIF(TB!$AV$6:$AV$24,TRA_Fuel!$AE28,TB!BG$6:BG$24)+SUMIF(TF_Private!$AV$11:$AV$29,TRA_Fuel!$AE28,TF_Private!BG$11:BG$29)</f>
        <v>0</v>
      </c>
      <c r="AQ28" s="723">
        <f>SUMIF(TC_Private!$AV$6:$AV$24,TRA_Fuel!$AE28,TC_Private!BH$6:BH$24)+SUMIF(TB!$AV$6:$AV$24,TRA_Fuel!$AE28,TB!BH$6:BH$24)+SUMIF(TF_Private!$AV$11:$AV$29,TRA_Fuel!$AE28,TF_Private!BH$11:BH$29)</f>
        <v>0</v>
      </c>
      <c r="AR28" s="723">
        <f>SUMIF(TC_Private!$AV$6:$AV$24,TRA_Fuel!$AE28,TC_Private!BI$6:BI$24)+SUMIF(TB!$AV$6:$AV$24,TRA_Fuel!$AE28,TB!BI$6:BI$24)+SUMIF(TF_Private!$AV$11:$AV$29,TRA_Fuel!$AE28,TF_Private!BI$11:BI$29)</f>
        <v>0</v>
      </c>
      <c r="AS28" s="723">
        <f>SUMIF(TC_Private!$AV$6:$AV$24,TRA_Fuel!$AE28,TC_Private!BJ$6:BJ$24)+SUMIF(TB!$AV$6:$AV$24,TRA_Fuel!$AE28,TB!BJ$6:BJ$24)+SUMIF(TF_Private!$AV$11:$AV$29,TRA_Fuel!$AE28,TF_Private!BJ$11:BJ$29)</f>
        <v>0</v>
      </c>
      <c r="AT28" s="723">
        <f>SUMIF(TC_Private!$AV$6:$AV$24,TRA_Fuel!$AE28,TC_Private!BK$6:BK$24)+SUMIF(TB!$AV$6:$AV$24,TRA_Fuel!$AE28,TB!BK$6:BK$24)+SUMIF(TF_Private!$AV$11:$AV$29,TRA_Fuel!$AE28,TF_Private!BK$11:BK$29)</f>
        <v>0</v>
      </c>
      <c r="AU28" s="723">
        <f>SUMIF(TC_Private!$AV$6:$AV$24,TRA_Fuel!$AE28,TC_Private!BL$6:BL$24)+SUMIF(TB!$AV$6:$AV$24,TRA_Fuel!$AE28,TB!BL$6:BL$24)+SUMIF(TF_Private!$AV$11:$AV$29,TRA_Fuel!$AE28,TF_Private!BL$11:BL$29)</f>
        <v>0</v>
      </c>
      <c r="AW28" s="418" t="str">
        <f t="shared" si="61"/>
        <v>TRALFO</v>
      </c>
      <c r="AX28" s="830">
        <f t="shared" si="62"/>
        <v>0</v>
      </c>
      <c r="AY28" s="728">
        <f t="shared" si="63"/>
        <v>0</v>
      </c>
      <c r="AZ28" s="728">
        <f t="shared" si="64"/>
        <v>0</v>
      </c>
      <c r="BA28" s="728">
        <f t="shared" si="65"/>
        <v>0</v>
      </c>
      <c r="BB28" s="728">
        <f t="shared" si="66"/>
        <v>0</v>
      </c>
      <c r="BC28" s="728">
        <f t="shared" si="67"/>
        <v>0</v>
      </c>
      <c r="BD28" s="728">
        <f t="shared" si="68"/>
        <v>0</v>
      </c>
      <c r="BE28" s="728">
        <f t="shared" si="69"/>
        <v>0</v>
      </c>
      <c r="BF28" s="728">
        <f t="shared" si="70"/>
        <v>0</v>
      </c>
      <c r="BG28" s="728">
        <f t="shared" si="71"/>
        <v>0</v>
      </c>
      <c r="BH28" s="728">
        <f t="shared" si="72"/>
        <v>0</v>
      </c>
      <c r="BI28" s="728">
        <f t="shared" si="73"/>
        <v>0</v>
      </c>
      <c r="BJ28" s="728">
        <f t="shared" si="74"/>
        <v>0</v>
      </c>
      <c r="BK28" s="728">
        <f t="shared" si="75"/>
        <v>0</v>
      </c>
      <c r="BL28" s="728">
        <f t="shared" si="76"/>
        <v>0</v>
      </c>
      <c r="BM28" s="728">
        <f t="shared" si="77"/>
        <v>0</v>
      </c>
    </row>
    <row r="29" spans="1:65" x14ac:dyDescent="0.25">
      <c r="A29" s="100"/>
      <c r="B29" s="219" t="str">
        <f>C29</f>
        <v>TRABGS00</v>
      </c>
      <c r="C29" s="224" t="str">
        <f>CONCATENATE(F29,"00")</f>
        <v>TRABGS00</v>
      </c>
      <c r="D29" s="225" t="str">
        <f>CONCATENATE("Fuel Tech - ",LOOKUP(F29,TRA_Comm!$C$6:$C$28,TRA_Comm!$D$6:$D$28))</f>
        <v>Fuel Tech - Biogas (gaseous) (TRA)</v>
      </c>
      <c r="E29" s="224" t="s">
        <v>1067</v>
      </c>
      <c r="F29" s="224" t="s">
        <v>994</v>
      </c>
      <c r="G29" s="226"/>
      <c r="H29" s="227"/>
      <c r="I29" s="228"/>
      <c r="J29" s="229" t="s">
        <v>1064</v>
      </c>
      <c r="K29" s="229"/>
      <c r="L29" s="635">
        <v>1</v>
      </c>
      <c r="M29" s="635">
        <v>1</v>
      </c>
      <c r="N29" s="635">
        <v>1</v>
      </c>
      <c r="O29" s="635">
        <v>1</v>
      </c>
      <c r="P29" s="635">
        <v>1</v>
      </c>
      <c r="Q29" s="635">
        <v>1</v>
      </c>
      <c r="R29" s="635">
        <v>1</v>
      </c>
      <c r="S29" s="635">
        <v>1</v>
      </c>
      <c r="T29" s="635">
        <v>1</v>
      </c>
      <c r="U29" s="635">
        <v>1</v>
      </c>
      <c r="V29" s="635">
        <v>1</v>
      </c>
      <c r="W29" s="635">
        <v>1</v>
      </c>
      <c r="X29" s="635">
        <v>1</v>
      </c>
      <c r="Y29" s="635">
        <v>1</v>
      </c>
      <c r="Z29" s="635">
        <v>1</v>
      </c>
      <c r="AB29" s="19"/>
      <c r="AE29" s="418" t="s">
        <v>1033</v>
      </c>
      <c r="AF29" s="830">
        <f t="shared" si="5"/>
        <v>0</v>
      </c>
      <c r="AG29" s="728">
        <f>SUMIF(TC_Private!$AV$6:$AV$24,TRA_Fuel!$AE29,TC_Private!AX$6:AX$24)+SUMIF(TB!$AV$6:$AV$24,TRA_Fuel!$AE29,TB!AX$6:AX$24)+SUMIF(TF_Private!$AV$11:$AV$29,TRA_Fuel!$AE29,TF_Private!AX$11:AX$29)</f>
        <v>0</v>
      </c>
      <c r="AH29" s="723">
        <f>SUMIF(TC_Private!$AV$6:$AV$24,TRA_Fuel!$AE29,TC_Private!AY$6:AY$24)+SUMIF(TB!$AV$6:$AV$24,TRA_Fuel!$AE29,TB!AY$6:AY$24)+SUMIF(TF_Private!$AV$11:$AV$29,TRA_Fuel!$AE29,TF_Private!AY$11:AY$29)</f>
        <v>0</v>
      </c>
      <c r="AI29" s="723">
        <f>SUMIF(TC_Private!$AV$6:$AV$24,TRA_Fuel!$AE29,TC_Private!AZ$6:AZ$24)+SUMIF(TB!$AV$6:$AV$24,TRA_Fuel!$AE29,TB!AZ$6:AZ$24)+SUMIF(TF_Private!$AV$11:$AV$29,TRA_Fuel!$AE29,TF_Private!AZ$11:AZ$29)</f>
        <v>0</v>
      </c>
      <c r="AJ29" s="723">
        <f>SUMIF(TC_Private!$AV$6:$AV$24,TRA_Fuel!$AE29,TC_Private!BA$6:BA$24)+SUMIF(TB!$AV$6:$AV$24,TRA_Fuel!$AE29,TB!BA$6:BA$24)+SUMIF(TF_Private!$AV$11:$AV$29,TRA_Fuel!$AE29,TF_Private!BA$11:BA$29)</f>
        <v>0</v>
      </c>
      <c r="AK29" s="723">
        <f>SUMIF(TC_Private!$AV$6:$AV$24,TRA_Fuel!$AE29,TC_Private!BB$6:BB$24)+SUMIF(TB!$AV$6:$AV$24,TRA_Fuel!$AE29,TB!BB$6:BB$24)+SUMIF(TF_Private!$AV$11:$AV$29,TRA_Fuel!$AE29,TF_Private!BB$11:BB$29)</f>
        <v>0</v>
      </c>
      <c r="AL29" s="723">
        <f>SUMIF(TC_Private!$AV$6:$AV$24,TRA_Fuel!$AE29,TC_Private!BC$6:BC$24)+SUMIF(TB!$AV$6:$AV$24,TRA_Fuel!$AE29,TB!BC$6:BC$24)+SUMIF(TF_Private!$AV$11:$AV$29,TRA_Fuel!$AE29,TF_Private!BC$11:BC$29)</f>
        <v>0</v>
      </c>
      <c r="AM29" s="723">
        <f>SUMIF(TC_Private!$AV$6:$AV$24,TRA_Fuel!$AE29,TC_Private!BD$6:BD$24)+SUMIF(TB!$AV$6:$AV$24,TRA_Fuel!$AE29,TB!BD$6:BD$24)+SUMIF(TF_Private!$AV$11:$AV$29,TRA_Fuel!$AE29,TF_Private!BD$11:BD$29)</f>
        <v>0</v>
      </c>
      <c r="AN29" s="723">
        <f>SUMIF(TC_Private!$AV$6:$AV$24,TRA_Fuel!$AE29,TC_Private!BE$6:BE$24)+SUMIF(TB!$AV$6:$AV$24,TRA_Fuel!$AE29,TB!BE$6:BE$24)+SUMIF(TF_Private!$AV$11:$AV$29,TRA_Fuel!$AE29,TF_Private!BE$11:BE$29)</f>
        <v>0</v>
      </c>
      <c r="AO29" s="723">
        <f>SUMIF(TC_Private!$AV$6:$AV$24,TRA_Fuel!$AE29,TC_Private!BF$6:BF$24)+SUMIF(TB!$AV$6:$AV$24,TRA_Fuel!$AE29,TB!BF$6:BF$24)+SUMIF(TF_Private!$AV$11:$AV$29,TRA_Fuel!$AE29,TF_Private!BF$11:BF$29)</f>
        <v>0</v>
      </c>
      <c r="AP29" s="723">
        <f>SUMIF(TC_Private!$AV$6:$AV$24,TRA_Fuel!$AE29,TC_Private!BG$6:BG$24)+SUMIF(TB!$AV$6:$AV$24,TRA_Fuel!$AE29,TB!BG$6:BG$24)+SUMIF(TF_Private!$AV$11:$AV$29,TRA_Fuel!$AE29,TF_Private!BG$11:BG$29)</f>
        <v>0</v>
      </c>
      <c r="AQ29" s="723">
        <f>SUMIF(TC_Private!$AV$6:$AV$24,TRA_Fuel!$AE29,TC_Private!BH$6:BH$24)+SUMIF(TB!$AV$6:$AV$24,TRA_Fuel!$AE29,TB!BH$6:BH$24)+SUMIF(TF_Private!$AV$11:$AV$29,TRA_Fuel!$AE29,TF_Private!BH$11:BH$29)</f>
        <v>0</v>
      </c>
      <c r="AR29" s="723">
        <f>SUMIF(TC_Private!$AV$6:$AV$24,TRA_Fuel!$AE29,TC_Private!BI$6:BI$24)+SUMIF(TB!$AV$6:$AV$24,TRA_Fuel!$AE29,TB!BI$6:BI$24)+SUMIF(TF_Private!$AV$11:$AV$29,TRA_Fuel!$AE29,TF_Private!BI$11:BI$29)</f>
        <v>0</v>
      </c>
      <c r="AS29" s="723">
        <f>SUMIF(TC_Private!$AV$6:$AV$24,TRA_Fuel!$AE29,TC_Private!BJ$6:BJ$24)+SUMIF(TB!$AV$6:$AV$24,TRA_Fuel!$AE29,TB!BJ$6:BJ$24)+SUMIF(TF_Private!$AV$11:$AV$29,TRA_Fuel!$AE29,TF_Private!BJ$11:BJ$29)</f>
        <v>0</v>
      </c>
      <c r="AT29" s="723">
        <f>SUMIF(TC_Private!$AV$6:$AV$24,TRA_Fuel!$AE29,TC_Private!BK$6:BK$24)+SUMIF(TB!$AV$6:$AV$24,TRA_Fuel!$AE29,TB!BK$6:BK$24)+SUMIF(TF_Private!$AV$11:$AV$29,TRA_Fuel!$AE29,TF_Private!BK$11:BK$29)</f>
        <v>0</v>
      </c>
      <c r="AU29" s="723">
        <f>SUMIF(TC_Private!$AV$6:$AV$24,TRA_Fuel!$AE29,TC_Private!BL$6:BL$24)+SUMIF(TB!$AV$6:$AV$24,TRA_Fuel!$AE29,TB!BL$6:BL$24)+SUMIF(TF_Private!$AV$11:$AV$29,TRA_Fuel!$AE29,TF_Private!BL$11:BL$29)</f>
        <v>0</v>
      </c>
      <c r="AW29" s="418" t="str">
        <f>AE29</f>
        <v>TRALPG</v>
      </c>
      <c r="AX29" s="830">
        <f>SUM(AY29:BM29)</f>
        <v>0</v>
      </c>
      <c r="AY29" s="728">
        <f t="shared" ref="AY29:BM31" si="94">AG29/3.6*1000</f>
        <v>0</v>
      </c>
      <c r="AZ29" s="728">
        <f t="shared" si="94"/>
        <v>0</v>
      </c>
      <c r="BA29" s="728">
        <f t="shared" si="94"/>
        <v>0</v>
      </c>
      <c r="BB29" s="728">
        <f t="shared" si="94"/>
        <v>0</v>
      </c>
      <c r="BC29" s="728">
        <f t="shared" si="94"/>
        <v>0</v>
      </c>
      <c r="BD29" s="728">
        <f t="shared" si="94"/>
        <v>0</v>
      </c>
      <c r="BE29" s="728">
        <f t="shared" si="94"/>
        <v>0</v>
      </c>
      <c r="BF29" s="728">
        <f t="shared" si="94"/>
        <v>0</v>
      </c>
      <c r="BG29" s="728">
        <f t="shared" si="94"/>
        <v>0</v>
      </c>
      <c r="BH29" s="728">
        <f t="shared" si="94"/>
        <v>0</v>
      </c>
      <c r="BI29" s="728">
        <f t="shared" si="94"/>
        <v>0</v>
      </c>
      <c r="BJ29" s="728">
        <f t="shared" si="94"/>
        <v>0</v>
      </c>
      <c r="BK29" s="728">
        <f t="shared" si="94"/>
        <v>0</v>
      </c>
      <c r="BL29" s="728">
        <f t="shared" si="94"/>
        <v>0</v>
      </c>
      <c r="BM29" s="728">
        <f t="shared" si="94"/>
        <v>0</v>
      </c>
    </row>
    <row r="30" spans="1:65" x14ac:dyDescent="0.25">
      <c r="B30" s="219" t="str">
        <f>B29</f>
        <v>TRABGS00</v>
      </c>
      <c r="C30" s="224"/>
      <c r="D30" s="230"/>
      <c r="E30" s="224"/>
      <c r="F30" s="224"/>
      <c r="G30" s="224"/>
      <c r="H30" s="231">
        <f>$K$3</f>
        <v>2019</v>
      </c>
      <c r="I30" s="224"/>
      <c r="J30" s="232" t="s">
        <v>1065</v>
      </c>
      <c r="K30" s="232" t="s">
        <v>85</v>
      </c>
      <c r="L30" s="636" cm="1">
        <f t="array" ref="L30">LOOKUP($F29, $AE$11:$AE$34, AG$11:AG$34*$L$6)</f>
        <v>1005.549589736876</v>
      </c>
      <c r="M30" s="636">
        <f t="shared" ref="M30:Z30" si="95">LOOKUP($F29, $AE$11:$AE$34, AH$11:AH$34*$L$6)</f>
        <v>0</v>
      </c>
      <c r="N30" s="636">
        <f t="shared" si="95"/>
        <v>0</v>
      </c>
      <c r="O30" s="636">
        <f t="shared" si="95"/>
        <v>0</v>
      </c>
      <c r="P30" s="636">
        <f t="shared" si="95"/>
        <v>0</v>
      </c>
      <c r="Q30" s="636">
        <f t="shared" si="95"/>
        <v>0</v>
      </c>
      <c r="R30" s="636">
        <f t="shared" si="95"/>
        <v>0</v>
      </c>
      <c r="S30" s="636">
        <f t="shared" si="95"/>
        <v>0</v>
      </c>
      <c r="T30" s="636">
        <f t="shared" si="95"/>
        <v>0</v>
      </c>
      <c r="U30" s="636">
        <f t="shared" si="95"/>
        <v>0</v>
      </c>
      <c r="V30" s="636">
        <f t="shared" si="95"/>
        <v>0</v>
      </c>
      <c r="W30" s="636">
        <f t="shared" si="95"/>
        <v>0</v>
      </c>
      <c r="X30" s="636">
        <f t="shared" si="95"/>
        <v>0</v>
      </c>
      <c r="Y30" s="636">
        <f t="shared" si="95"/>
        <v>0</v>
      </c>
      <c r="Z30" s="636">
        <f t="shared" si="95"/>
        <v>0</v>
      </c>
      <c r="AB30" s="19"/>
      <c r="AE30" s="418" t="s">
        <v>1035</v>
      </c>
      <c r="AF30" s="830">
        <f t="shared" si="5"/>
        <v>0</v>
      </c>
      <c r="AG30" s="728">
        <f>SUMIF(TC_Private!$AV$6:$AV$24,TRA_Fuel!$AE30,TC_Private!AX$6:AX$24)+SUMIF(TB!$AV$6:$AV$24,TRA_Fuel!$AE30,TB!AX$6:AX$24)+SUMIF(TF_Private!$AV$11:$AV$29,TRA_Fuel!$AE30,TF_Private!AX$11:AX$29)</f>
        <v>0</v>
      </c>
      <c r="AH30" s="723">
        <f>SUMIF(TC_Private!$AV$6:$AV$24,TRA_Fuel!$AE30,TC_Private!AY$6:AY$24)+SUMIF(TB!$AV$6:$AV$24,TRA_Fuel!$AE30,TB!AY$6:AY$24)+SUMIF(TF_Private!$AV$11:$AV$29,TRA_Fuel!$AE30,TF_Private!AY$11:AY$29)</f>
        <v>0</v>
      </c>
      <c r="AI30" s="723">
        <f>SUMIF(TC_Private!$AV$6:$AV$24,TRA_Fuel!$AE30,TC_Private!AZ$6:AZ$24)+SUMIF(TB!$AV$6:$AV$24,TRA_Fuel!$AE30,TB!AZ$6:AZ$24)+SUMIF(TF_Private!$AV$11:$AV$29,TRA_Fuel!$AE30,TF_Private!AZ$11:AZ$29)</f>
        <v>0</v>
      </c>
      <c r="AJ30" s="723">
        <f>SUMIF(TC_Private!$AV$6:$AV$24,TRA_Fuel!$AE30,TC_Private!BA$6:BA$24)+SUMIF(TB!$AV$6:$AV$24,TRA_Fuel!$AE30,TB!BA$6:BA$24)+SUMIF(TF_Private!$AV$11:$AV$29,TRA_Fuel!$AE30,TF_Private!BA$11:BA$29)</f>
        <v>0</v>
      </c>
      <c r="AK30" s="723">
        <f>SUMIF(TC_Private!$AV$6:$AV$24,TRA_Fuel!$AE30,TC_Private!BB$6:BB$24)+SUMIF(TB!$AV$6:$AV$24,TRA_Fuel!$AE30,TB!BB$6:BB$24)+SUMIF(TF_Private!$AV$11:$AV$29,TRA_Fuel!$AE30,TF_Private!BB$11:BB$29)</f>
        <v>0</v>
      </c>
      <c r="AL30" s="723">
        <f>SUMIF(TC_Private!$AV$6:$AV$24,TRA_Fuel!$AE30,TC_Private!BC$6:BC$24)+SUMIF(TB!$AV$6:$AV$24,TRA_Fuel!$AE30,TB!BC$6:BC$24)+SUMIF(TF_Private!$AV$11:$AV$29,TRA_Fuel!$AE30,TF_Private!BC$11:BC$29)</f>
        <v>0</v>
      </c>
      <c r="AM30" s="723">
        <f>SUMIF(TC_Private!$AV$6:$AV$24,TRA_Fuel!$AE30,TC_Private!BD$6:BD$24)+SUMIF(TB!$AV$6:$AV$24,TRA_Fuel!$AE30,TB!BD$6:BD$24)+SUMIF(TF_Private!$AV$11:$AV$29,TRA_Fuel!$AE30,TF_Private!BD$11:BD$29)</f>
        <v>0</v>
      </c>
      <c r="AN30" s="723">
        <f>SUMIF(TC_Private!$AV$6:$AV$24,TRA_Fuel!$AE30,TC_Private!BE$6:BE$24)+SUMIF(TB!$AV$6:$AV$24,TRA_Fuel!$AE30,TB!BE$6:BE$24)+SUMIF(TF_Private!$AV$11:$AV$29,TRA_Fuel!$AE30,TF_Private!BE$11:BE$29)</f>
        <v>0</v>
      </c>
      <c r="AO30" s="723">
        <f>SUMIF(TC_Private!$AV$6:$AV$24,TRA_Fuel!$AE30,TC_Private!BF$6:BF$24)+SUMIF(TB!$AV$6:$AV$24,TRA_Fuel!$AE30,TB!BF$6:BF$24)+SUMIF(TF_Private!$AV$11:$AV$29,TRA_Fuel!$AE30,TF_Private!BF$11:BF$29)</f>
        <v>0</v>
      </c>
      <c r="AP30" s="723">
        <f>SUMIF(TC_Private!$AV$6:$AV$24,TRA_Fuel!$AE30,TC_Private!BG$6:BG$24)+SUMIF(TB!$AV$6:$AV$24,TRA_Fuel!$AE30,TB!BG$6:BG$24)+SUMIF(TF_Private!$AV$11:$AV$29,TRA_Fuel!$AE30,TF_Private!BG$11:BG$29)</f>
        <v>0</v>
      </c>
      <c r="AQ30" s="723">
        <f>SUMIF(TC_Private!$AV$6:$AV$24,TRA_Fuel!$AE30,TC_Private!BH$6:BH$24)+SUMIF(TB!$AV$6:$AV$24,TRA_Fuel!$AE30,TB!BH$6:BH$24)+SUMIF(TF_Private!$AV$11:$AV$29,TRA_Fuel!$AE30,TF_Private!BH$11:BH$29)</f>
        <v>0</v>
      </c>
      <c r="AR30" s="723">
        <f>SUMIF(TC_Private!$AV$6:$AV$24,TRA_Fuel!$AE30,TC_Private!BI$6:BI$24)+SUMIF(TB!$AV$6:$AV$24,TRA_Fuel!$AE30,TB!BI$6:BI$24)+SUMIF(TF_Private!$AV$11:$AV$29,TRA_Fuel!$AE30,TF_Private!BI$11:BI$29)</f>
        <v>0</v>
      </c>
      <c r="AS30" s="723">
        <f>SUMIF(TC_Private!$AV$6:$AV$24,TRA_Fuel!$AE30,TC_Private!BJ$6:BJ$24)+SUMIF(TB!$AV$6:$AV$24,TRA_Fuel!$AE30,TB!BJ$6:BJ$24)+SUMIF(TF_Private!$AV$11:$AV$29,TRA_Fuel!$AE30,TF_Private!BJ$11:BJ$29)</f>
        <v>0</v>
      </c>
      <c r="AT30" s="723">
        <f>SUMIF(TC_Private!$AV$6:$AV$24,TRA_Fuel!$AE30,TC_Private!BK$6:BK$24)+SUMIF(TB!$AV$6:$AV$24,TRA_Fuel!$AE30,TB!BK$6:BK$24)+SUMIF(TF_Private!$AV$11:$AV$29,TRA_Fuel!$AE30,TF_Private!BK$11:BK$29)</f>
        <v>0</v>
      </c>
      <c r="AU30" s="723">
        <f>SUMIF(TC_Private!$AV$6:$AV$24,TRA_Fuel!$AE30,TC_Private!BL$6:BL$24)+SUMIF(TB!$AV$6:$AV$24,TRA_Fuel!$AE30,TB!BL$6:BL$24)+SUMIF(TF_Private!$AV$11:$AV$29,TRA_Fuel!$AE30,TF_Private!BL$11:BL$29)</f>
        <v>0</v>
      </c>
      <c r="AW30" s="418" t="str">
        <f>AE30</f>
        <v>TRAMTH</v>
      </c>
      <c r="AX30" s="830">
        <f>SUM(AY30:BM30)</f>
        <v>0</v>
      </c>
      <c r="AY30" s="728">
        <f t="shared" si="94"/>
        <v>0</v>
      </c>
      <c r="AZ30" s="728">
        <f t="shared" si="94"/>
        <v>0</v>
      </c>
      <c r="BA30" s="728">
        <f t="shared" si="94"/>
        <v>0</v>
      </c>
      <c r="BB30" s="728">
        <f t="shared" si="94"/>
        <v>0</v>
      </c>
      <c r="BC30" s="728">
        <f t="shared" si="94"/>
        <v>0</v>
      </c>
      <c r="BD30" s="728">
        <f t="shared" si="94"/>
        <v>0</v>
      </c>
      <c r="BE30" s="728">
        <f t="shared" si="94"/>
        <v>0</v>
      </c>
      <c r="BF30" s="728">
        <f t="shared" si="94"/>
        <v>0</v>
      </c>
      <c r="BG30" s="728">
        <f t="shared" si="94"/>
        <v>0</v>
      </c>
      <c r="BH30" s="728">
        <f t="shared" si="94"/>
        <v>0</v>
      </c>
      <c r="BI30" s="728">
        <f t="shared" si="94"/>
        <v>0</v>
      </c>
      <c r="BJ30" s="728">
        <f t="shared" si="94"/>
        <v>0</v>
      </c>
      <c r="BK30" s="728">
        <f t="shared" si="94"/>
        <v>0</v>
      </c>
      <c r="BL30" s="728">
        <f t="shared" si="94"/>
        <v>0</v>
      </c>
      <c r="BM30" s="728">
        <f t="shared" si="94"/>
        <v>0</v>
      </c>
    </row>
    <row r="31" spans="1:65" x14ac:dyDescent="0.25">
      <c r="B31" s="219" t="str">
        <f t="shared" ref="B31:B33" si="96">B30</f>
        <v>TRABGS00</v>
      </c>
      <c r="C31" s="224"/>
      <c r="D31" s="230"/>
      <c r="E31" s="224"/>
      <c r="F31" s="224"/>
      <c r="G31" s="224"/>
      <c r="H31" s="231">
        <v>2020</v>
      </c>
      <c r="I31" s="224"/>
      <c r="J31" s="232" t="s">
        <v>1065</v>
      </c>
      <c r="K31" s="232" t="s">
        <v>85</v>
      </c>
      <c r="L31" s="636">
        <f t="shared" ref="L31:Z34" si="97">L$30*LOOKUP($H31, $AF$47:$AF$50, AG$47:AG$50)</f>
        <v>804.43967178950084</v>
      </c>
      <c r="M31" s="636">
        <f t="shared" si="97"/>
        <v>0</v>
      </c>
      <c r="N31" s="636">
        <f t="shared" si="97"/>
        <v>0</v>
      </c>
      <c r="O31" s="636">
        <f t="shared" si="97"/>
        <v>0</v>
      </c>
      <c r="P31" s="636">
        <f t="shared" si="97"/>
        <v>0</v>
      </c>
      <c r="Q31" s="636">
        <f t="shared" si="97"/>
        <v>0</v>
      </c>
      <c r="R31" s="636">
        <f t="shared" si="97"/>
        <v>0</v>
      </c>
      <c r="S31" s="636">
        <f t="shared" si="97"/>
        <v>0</v>
      </c>
      <c r="T31" s="636">
        <f t="shared" si="97"/>
        <v>0</v>
      </c>
      <c r="U31" s="636">
        <f t="shared" si="97"/>
        <v>0</v>
      </c>
      <c r="V31" s="636">
        <f t="shared" si="97"/>
        <v>0</v>
      </c>
      <c r="W31" s="636">
        <f t="shared" si="97"/>
        <v>0</v>
      </c>
      <c r="X31" s="636">
        <f t="shared" si="97"/>
        <v>0</v>
      </c>
      <c r="Y31" s="636">
        <f t="shared" si="97"/>
        <v>0</v>
      </c>
      <c r="Z31" s="636">
        <f t="shared" si="97"/>
        <v>0</v>
      </c>
      <c r="AB31" s="19"/>
      <c r="AE31" s="418" t="s">
        <v>1039</v>
      </c>
      <c r="AF31" s="830">
        <f t="shared" si="5"/>
        <v>114.34352000322187</v>
      </c>
      <c r="AG31" s="728">
        <f>SUMIF(TC_Private!$AV$6:$AV$24,TRA_Fuel!$AE31,TC_Private!AX$6:AX$24)+SUMIF(TB!$AV$6:$AV$24,TRA_Fuel!$AE31,TB!AX$6:AX$24)+SUMIF(TF_Private!$AV$11:$AV$29,TRA_Fuel!$AE31,TF_Private!AX$11:AX$29)</f>
        <v>114.34352000322187</v>
      </c>
      <c r="AH31" s="723">
        <f>SUMIF(TC_Private!$AV$6:$AV$24,TRA_Fuel!$AE31,TC_Private!AY$6:AY$24)+SUMIF(TB!$AV$6:$AV$24,TRA_Fuel!$AE31,TB!AY$6:AY$24)+SUMIF(TF_Private!$AV$11:$AV$29,TRA_Fuel!$AE31,TF_Private!AY$11:AY$29)</f>
        <v>0</v>
      </c>
      <c r="AI31" s="723">
        <f>SUMIF(TC_Private!$AV$6:$AV$24,TRA_Fuel!$AE31,TC_Private!AZ$6:AZ$24)+SUMIF(TB!$AV$6:$AV$24,TRA_Fuel!$AE31,TB!AZ$6:AZ$24)+SUMIF(TF_Private!$AV$11:$AV$29,TRA_Fuel!$AE31,TF_Private!AZ$11:AZ$29)</f>
        <v>0</v>
      </c>
      <c r="AJ31" s="723">
        <f>SUMIF(TC_Private!$AV$6:$AV$24,TRA_Fuel!$AE31,TC_Private!BA$6:BA$24)+SUMIF(TB!$AV$6:$AV$24,TRA_Fuel!$AE31,TB!BA$6:BA$24)+SUMIF(TF_Private!$AV$11:$AV$29,TRA_Fuel!$AE31,TF_Private!BA$11:BA$29)</f>
        <v>0</v>
      </c>
      <c r="AK31" s="723">
        <f>SUMIF(TC_Private!$AV$6:$AV$24,TRA_Fuel!$AE31,TC_Private!BB$6:BB$24)+SUMIF(TB!$AV$6:$AV$24,TRA_Fuel!$AE31,TB!BB$6:BB$24)+SUMIF(TF_Private!$AV$11:$AV$29,TRA_Fuel!$AE31,TF_Private!BB$11:BB$29)</f>
        <v>0</v>
      </c>
      <c r="AL31" s="723">
        <f>SUMIF(TC_Private!$AV$6:$AV$24,TRA_Fuel!$AE31,TC_Private!BC$6:BC$24)+SUMIF(TB!$AV$6:$AV$24,TRA_Fuel!$AE31,TB!BC$6:BC$24)+SUMIF(TF_Private!$AV$11:$AV$29,TRA_Fuel!$AE31,TF_Private!BC$11:BC$29)</f>
        <v>0</v>
      </c>
      <c r="AM31" s="723">
        <f>SUMIF(TC_Private!$AV$6:$AV$24,TRA_Fuel!$AE31,TC_Private!BD$6:BD$24)+SUMIF(TB!$AV$6:$AV$24,TRA_Fuel!$AE31,TB!BD$6:BD$24)+SUMIF(TF_Private!$AV$11:$AV$29,TRA_Fuel!$AE31,TF_Private!BD$11:BD$29)</f>
        <v>0</v>
      </c>
      <c r="AN31" s="723">
        <f>SUMIF(TC_Private!$AV$6:$AV$24,TRA_Fuel!$AE31,TC_Private!BE$6:BE$24)+SUMIF(TB!$AV$6:$AV$24,TRA_Fuel!$AE31,TB!BE$6:BE$24)+SUMIF(TF_Private!$AV$11:$AV$29,TRA_Fuel!$AE31,TF_Private!BE$11:BE$29)</f>
        <v>0</v>
      </c>
      <c r="AO31" s="723">
        <f>SUMIF(TC_Private!$AV$6:$AV$24,TRA_Fuel!$AE31,TC_Private!BF$6:BF$24)+SUMIF(TB!$AV$6:$AV$24,TRA_Fuel!$AE31,TB!BF$6:BF$24)+SUMIF(TF_Private!$AV$11:$AV$29,TRA_Fuel!$AE31,TF_Private!BF$11:BF$29)</f>
        <v>0</v>
      </c>
      <c r="AP31" s="723">
        <f>SUMIF(TC_Private!$AV$6:$AV$24,TRA_Fuel!$AE31,TC_Private!BG$6:BG$24)+SUMIF(TB!$AV$6:$AV$24,TRA_Fuel!$AE31,TB!BG$6:BG$24)+SUMIF(TF_Private!$AV$11:$AV$29,TRA_Fuel!$AE31,TF_Private!BG$11:BG$29)</f>
        <v>0</v>
      </c>
      <c r="AQ31" s="723">
        <f>SUMIF(TC_Private!$AV$6:$AV$24,TRA_Fuel!$AE31,TC_Private!BH$6:BH$24)+SUMIF(TB!$AV$6:$AV$24,TRA_Fuel!$AE31,TB!BH$6:BH$24)+SUMIF(TF_Private!$AV$11:$AV$29,TRA_Fuel!$AE31,TF_Private!BH$11:BH$29)</f>
        <v>0</v>
      </c>
      <c r="AR31" s="723">
        <f>SUMIF(TC_Private!$AV$6:$AV$24,TRA_Fuel!$AE31,TC_Private!BI$6:BI$24)+SUMIF(TB!$AV$6:$AV$24,TRA_Fuel!$AE31,TB!BI$6:BI$24)+SUMIF(TF_Private!$AV$11:$AV$29,TRA_Fuel!$AE31,TF_Private!BI$11:BI$29)</f>
        <v>0</v>
      </c>
      <c r="AS31" s="723">
        <f>SUMIF(TC_Private!$AV$6:$AV$24,TRA_Fuel!$AE31,TC_Private!BJ$6:BJ$24)+SUMIF(TB!$AV$6:$AV$24,TRA_Fuel!$AE31,TB!BJ$6:BJ$24)+SUMIF(TF_Private!$AV$11:$AV$29,TRA_Fuel!$AE31,TF_Private!BJ$11:BJ$29)</f>
        <v>0</v>
      </c>
      <c r="AT31" s="723">
        <f>SUMIF(TC_Private!$AV$6:$AV$24,TRA_Fuel!$AE31,TC_Private!BK$6:BK$24)+SUMIF(TB!$AV$6:$AV$24,TRA_Fuel!$AE31,TB!BK$6:BK$24)+SUMIF(TF_Private!$AV$11:$AV$29,TRA_Fuel!$AE31,TF_Private!BK$11:BK$29)</f>
        <v>0</v>
      </c>
      <c r="AU31" s="723">
        <f>SUMIF(TC_Private!$AV$6:$AV$24,TRA_Fuel!$AE31,TC_Private!BL$6:BL$24)+SUMIF(TB!$AV$6:$AV$24,TRA_Fuel!$AE31,TB!BL$6:BL$24)+SUMIF(TF_Private!$AV$11:$AV$29,TRA_Fuel!$AE31,TF_Private!BL$11:BL$29)</f>
        <v>0</v>
      </c>
      <c r="AW31" s="418" t="str">
        <f>AE31</f>
        <v>TRANGS</v>
      </c>
      <c r="AX31" s="830">
        <f>SUM(AY31:BM31)</f>
        <v>31762.088889783852</v>
      </c>
      <c r="AY31" s="728">
        <f t="shared" si="94"/>
        <v>31762.088889783852</v>
      </c>
      <c r="AZ31" s="728">
        <f t="shared" si="94"/>
        <v>0</v>
      </c>
      <c r="BA31" s="728">
        <f t="shared" si="94"/>
        <v>0</v>
      </c>
      <c r="BB31" s="728">
        <f t="shared" si="94"/>
        <v>0</v>
      </c>
      <c r="BC31" s="728">
        <f t="shared" si="94"/>
        <v>0</v>
      </c>
      <c r="BD31" s="728">
        <f t="shared" si="94"/>
        <v>0</v>
      </c>
      <c r="BE31" s="728">
        <f t="shared" si="94"/>
        <v>0</v>
      </c>
      <c r="BF31" s="728">
        <f t="shared" si="94"/>
        <v>0</v>
      </c>
      <c r="BG31" s="728">
        <f t="shared" si="94"/>
        <v>0</v>
      </c>
      <c r="BH31" s="728">
        <f t="shared" si="94"/>
        <v>0</v>
      </c>
      <c r="BI31" s="728">
        <f t="shared" si="94"/>
        <v>0</v>
      </c>
      <c r="BJ31" s="728">
        <f t="shared" si="94"/>
        <v>0</v>
      </c>
      <c r="BK31" s="728">
        <f t="shared" si="94"/>
        <v>0</v>
      </c>
      <c r="BL31" s="728">
        <f t="shared" si="94"/>
        <v>0</v>
      </c>
      <c r="BM31" s="728">
        <f t="shared" si="94"/>
        <v>0</v>
      </c>
    </row>
    <row r="32" spans="1:65" x14ac:dyDescent="0.25">
      <c r="B32" s="219" t="str">
        <f t="shared" si="96"/>
        <v>TRABGS00</v>
      </c>
      <c r="C32" s="224"/>
      <c r="D32" s="230"/>
      <c r="E32" s="224"/>
      <c r="F32" s="224"/>
      <c r="G32" s="224"/>
      <c r="H32" s="231">
        <v>2030</v>
      </c>
      <c r="I32" s="224"/>
      <c r="J32" s="232" t="s">
        <v>1065</v>
      </c>
      <c r="K32" s="232" t="s">
        <v>85</v>
      </c>
      <c r="L32" s="636">
        <f t="shared" si="97"/>
        <v>402.21983589475042</v>
      </c>
      <c r="M32" s="636">
        <f t="shared" si="97"/>
        <v>0</v>
      </c>
      <c r="N32" s="636">
        <f t="shared" si="97"/>
        <v>0</v>
      </c>
      <c r="O32" s="636">
        <f t="shared" si="97"/>
        <v>0</v>
      </c>
      <c r="P32" s="636">
        <f t="shared" si="97"/>
        <v>0</v>
      </c>
      <c r="Q32" s="636">
        <f t="shared" si="97"/>
        <v>0</v>
      </c>
      <c r="R32" s="636">
        <f t="shared" si="97"/>
        <v>0</v>
      </c>
      <c r="S32" s="636">
        <f t="shared" si="97"/>
        <v>0</v>
      </c>
      <c r="T32" s="636">
        <f t="shared" si="97"/>
        <v>0</v>
      </c>
      <c r="U32" s="636">
        <f t="shared" si="97"/>
        <v>0</v>
      </c>
      <c r="V32" s="636">
        <f t="shared" si="97"/>
        <v>0</v>
      </c>
      <c r="W32" s="636">
        <f t="shared" si="97"/>
        <v>0</v>
      </c>
      <c r="X32" s="636">
        <f t="shared" si="97"/>
        <v>0</v>
      </c>
      <c r="Y32" s="636">
        <f t="shared" si="97"/>
        <v>0</v>
      </c>
      <c r="Z32" s="636">
        <f t="shared" si="97"/>
        <v>0</v>
      </c>
      <c r="AB32" s="19"/>
      <c r="AE32" s="418"/>
      <c r="AF32" s="862"/>
      <c r="AG32" s="723"/>
      <c r="AH32" s="723"/>
      <c r="AI32" s="723"/>
      <c r="AJ32" s="723"/>
      <c r="AK32" s="723"/>
      <c r="AL32" s="723"/>
      <c r="AM32" s="723"/>
      <c r="AN32" s="723"/>
      <c r="AO32" s="723"/>
      <c r="AP32" s="723"/>
      <c r="AQ32" s="723"/>
      <c r="AR32" s="723"/>
      <c r="AS32" s="723"/>
      <c r="AT32" s="723"/>
      <c r="AU32" s="723"/>
      <c r="AW32" s="418"/>
      <c r="AX32" s="830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728"/>
      <c r="BL32" s="728"/>
      <c r="BM32" s="728"/>
    </row>
    <row r="33" spans="1:67" x14ac:dyDescent="0.25">
      <c r="B33" s="219" t="str">
        <f t="shared" si="96"/>
        <v>TRABGS00</v>
      </c>
      <c r="C33" s="224"/>
      <c r="D33" s="230"/>
      <c r="E33" s="224"/>
      <c r="F33" s="224"/>
      <c r="G33" s="224"/>
      <c r="H33" s="231">
        <v>2040</v>
      </c>
      <c r="I33" s="224"/>
      <c r="J33" s="232" t="s">
        <v>1065</v>
      </c>
      <c r="K33" s="232" t="s">
        <v>85</v>
      </c>
      <c r="L33" s="636">
        <f t="shared" si="97"/>
        <v>0</v>
      </c>
      <c r="M33" s="636">
        <f t="shared" si="97"/>
        <v>0</v>
      </c>
      <c r="N33" s="636">
        <f t="shared" si="97"/>
        <v>0</v>
      </c>
      <c r="O33" s="636">
        <f t="shared" si="97"/>
        <v>0</v>
      </c>
      <c r="P33" s="636">
        <f t="shared" si="97"/>
        <v>0</v>
      </c>
      <c r="Q33" s="636">
        <f t="shared" si="97"/>
        <v>0</v>
      </c>
      <c r="R33" s="636">
        <f t="shared" si="97"/>
        <v>0</v>
      </c>
      <c r="S33" s="636">
        <f t="shared" si="97"/>
        <v>0</v>
      </c>
      <c r="T33" s="636">
        <f t="shared" si="97"/>
        <v>0</v>
      </c>
      <c r="U33" s="636">
        <f t="shared" si="97"/>
        <v>0</v>
      </c>
      <c r="V33" s="636">
        <f t="shared" si="97"/>
        <v>0</v>
      </c>
      <c r="W33" s="636">
        <f t="shared" si="97"/>
        <v>0</v>
      </c>
      <c r="X33" s="636">
        <f t="shared" si="97"/>
        <v>0</v>
      </c>
      <c r="Y33" s="636">
        <f t="shared" si="97"/>
        <v>0</v>
      </c>
      <c r="Z33" s="636">
        <f t="shared" si="97"/>
        <v>0</v>
      </c>
      <c r="AB33" s="19"/>
      <c r="AE33" s="418"/>
      <c r="AF33" s="862"/>
      <c r="AG33" s="723"/>
      <c r="AH33" s="723"/>
      <c r="AI33" s="723"/>
      <c r="AJ33" s="723"/>
      <c r="AK33" s="723"/>
      <c r="AL33" s="723"/>
      <c r="AM33" s="723"/>
      <c r="AN33" s="723"/>
      <c r="AO33" s="723"/>
      <c r="AP33" s="723"/>
      <c r="AQ33" s="723"/>
      <c r="AR33" s="723"/>
      <c r="AS33" s="723"/>
      <c r="AT33" s="723"/>
      <c r="AU33" s="723"/>
      <c r="AW33" s="418"/>
      <c r="AX33" s="830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728"/>
      <c r="BL33" s="728"/>
      <c r="BM33" s="728"/>
    </row>
    <row r="34" spans="1:67" x14ac:dyDescent="0.25">
      <c r="B34" s="233" t="str">
        <f>B29</f>
        <v>TRABGS00</v>
      </c>
      <c r="C34" s="234"/>
      <c r="D34" s="235"/>
      <c r="E34" s="234"/>
      <c r="F34" s="234"/>
      <c r="G34" s="234"/>
      <c r="H34" s="236">
        <f>$K$5</f>
        <v>2050</v>
      </c>
      <c r="I34" s="224"/>
      <c r="J34" s="237" t="s">
        <v>1065</v>
      </c>
      <c r="K34" s="237" t="s">
        <v>85</v>
      </c>
      <c r="L34" s="637">
        <f t="shared" si="97"/>
        <v>0</v>
      </c>
      <c r="M34" s="637">
        <f t="shared" si="97"/>
        <v>0</v>
      </c>
      <c r="N34" s="637">
        <f t="shared" si="97"/>
        <v>0</v>
      </c>
      <c r="O34" s="637">
        <f t="shared" si="97"/>
        <v>0</v>
      </c>
      <c r="P34" s="637">
        <f t="shared" si="97"/>
        <v>0</v>
      </c>
      <c r="Q34" s="637">
        <f t="shared" si="97"/>
        <v>0</v>
      </c>
      <c r="R34" s="637">
        <f t="shared" si="97"/>
        <v>0</v>
      </c>
      <c r="S34" s="637">
        <f t="shared" si="97"/>
        <v>0</v>
      </c>
      <c r="T34" s="637">
        <f t="shared" si="97"/>
        <v>0</v>
      </c>
      <c r="U34" s="637">
        <f t="shared" si="97"/>
        <v>0</v>
      </c>
      <c r="V34" s="637">
        <f t="shared" si="97"/>
        <v>0</v>
      </c>
      <c r="W34" s="637">
        <f t="shared" si="97"/>
        <v>0</v>
      </c>
      <c r="X34" s="637">
        <f t="shared" si="97"/>
        <v>0</v>
      </c>
      <c r="Y34" s="637">
        <f t="shared" si="97"/>
        <v>0</v>
      </c>
      <c r="Z34" s="637">
        <f t="shared" si="97"/>
        <v>0</v>
      </c>
      <c r="AB34" s="19"/>
      <c r="AE34" s="418"/>
      <c r="AF34" s="862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W34" s="418"/>
      <c r="AX34" s="830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728"/>
      <c r="BL34" s="728"/>
      <c r="BM34" s="728"/>
    </row>
    <row r="35" spans="1:67" x14ac:dyDescent="0.25">
      <c r="A35" s="100"/>
      <c r="B35" s="219" t="str">
        <f>C35</f>
        <v>TRABGSLM00</v>
      </c>
      <c r="C35" s="224" t="str">
        <f>CONCATENATE(F35,"00")</f>
        <v>TRABGSLM00</v>
      </c>
      <c r="D35" s="225" t="str">
        <f>CONCATENATE("Fuel Tech - ",LOOKUP(F35,TRA_Comm!$C$6:$C$28,TRA_Comm!$D$6:$D$28))</f>
        <v>Fuel Tech - Bio-gasoline for low-blending (TRA)</v>
      </c>
      <c r="E35" s="224" t="s">
        <v>1068</v>
      </c>
      <c r="F35" s="224" t="s">
        <v>996</v>
      </c>
      <c r="G35" s="226"/>
      <c r="H35" s="227"/>
      <c r="I35" s="228"/>
      <c r="J35" s="229" t="s">
        <v>1064</v>
      </c>
      <c r="K35" s="229"/>
      <c r="L35" s="635">
        <v>1</v>
      </c>
      <c r="M35" s="635">
        <v>1</v>
      </c>
      <c r="N35" s="635">
        <v>1</v>
      </c>
      <c r="O35" s="635">
        <v>1</v>
      </c>
      <c r="P35" s="635">
        <v>1</v>
      </c>
      <c r="Q35" s="635">
        <v>1</v>
      </c>
      <c r="R35" s="635">
        <v>1</v>
      </c>
      <c r="S35" s="635">
        <v>1</v>
      </c>
      <c r="T35" s="635">
        <v>1</v>
      </c>
      <c r="U35" s="635">
        <v>1</v>
      </c>
      <c r="V35" s="635">
        <v>1</v>
      </c>
      <c r="W35" s="635">
        <v>1</v>
      </c>
      <c r="X35" s="635">
        <v>1</v>
      </c>
      <c r="Y35" s="635">
        <v>1</v>
      </c>
      <c r="Z35" s="635">
        <v>1</v>
      </c>
      <c r="AB35" s="19"/>
    </row>
    <row r="36" spans="1:67" x14ac:dyDescent="0.25">
      <c r="B36" s="219" t="str">
        <f>B35</f>
        <v>TRABGSLM00</v>
      </c>
      <c r="C36" s="224"/>
      <c r="D36" s="230"/>
      <c r="E36" s="224"/>
      <c r="F36" s="224"/>
      <c r="G36" s="224"/>
      <c r="H36" s="231">
        <f>$K$3</f>
        <v>2019</v>
      </c>
      <c r="I36" s="224"/>
      <c r="J36" s="232" t="s">
        <v>1065</v>
      </c>
      <c r="K36" s="232" t="s">
        <v>85</v>
      </c>
      <c r="L36" s="636">
        <f t="shared" ref="L36:Z36" si="98">LOOKUP($F35, $AE$11:$AE$34, AG$11:AG$34*$L$6)</f>
        <v>0</v>
      </c>
      <c r="M36" s="636">
        <f t="shared" si="98"/>
        <v>0</v>
      </c>
      <c r="N36" s="636">
        <f t="shared" si="98"/>
        <v>0</v>
      </c>
      <c r="O36" s="636">
        <f t="shared" si="98"/>
        <v>0</v>
      </c>
      <c r="P36" s="636">
        <f t="shared" si="98"/>
        <v>0</v>
      </c>
      <c r="Q36" s="636">
        <f t="shared" si="98"/>
        <v>0</v>
      </c>
      <c r="R36" s="636">
        <f t="shared" si="98"/>
        <v>0</v>
      </c>
      <c r="S36" s="636">
        <f t="shared" si="98"/>
        <v>0</v>
      </c>
      <c r="T36" s="636">
        <f t="shared" si="98"/>
        <v>0</v>
      </c>
      <c r="U36" s="636">
        <f t="shared" si="98"/>
        <v>0</v>
      </c>
      <c r="V36" s="636">
        <f t="shared" si="98"/>
        <v>0</v>
      </c>
      <c r="W36" s="636">
        <f t="shared" si="98"/>
        <v>0</v>
      </c>
      <c r="X36" s="636">
        <f t="shared" si="98"/>
        <v>0</v>
      </c>
      <c r="Y36" s="636">
        <f t="shared" si="98"/>
        <v>0</v>
      </c>
      <c r="Z36" s="636">
        <f t="shared" si="98"/>
        <v>0</v>
      </c>
      <c r="AB36" s="19"/>
    </row>
    <row r="37" spans="1:67" x14ac:dyDescent="0.25">
      <c r="B37" s="219" t="str">
        <f t="shared" ref="B37:B39" si="99">B36</f>
        <v>TRABGSLM00</v>
      </c>
      <c r="C37" s="224"/>
      <c r="D37" s="230"/>
      <c r="E37" s="224"/>
      <c r="F37" s="224"/>
      <c r="G37" s="224"/>
      <c r="H37" s="231">
        <v>2020</v>
      </c>
      <c r="I37" s="224"/>
      <c r="J37" s="232" t="s">
        <v>1065</v>
      </c>
      <c r="K37" s="232" t="s">
        <v>85</v>
      </c>
      <c r="L37" s="636">
        <f>L$36*LOOKUP($H37, $AF$47:$AF$50, AG$47:AG$50)</f>
        <v>0</v>
      </c>
      <c r="M37" s="636">
        <f t="shared" ref="M37:M40" si="100">M$36*LOOKUP($H37, $AF$47:$AF$50, AH$47:AH$50)</f>
        <v>0</v>
      </c>
      <c r="N37" s="636">
        <f t="shared" ref="N37:N40" si="101">N$36*LOOKUP($H37, $AF$47:$AF$50, AI$47:AI$50)</f>
        <v>0</v>
      </c>
      <c r="O37" s="636">
        <f t="shared" ref="O37:O40" si="102">O$36*LOOKUP($H37, $AF$47:$AF$50, AJ$47:AJ$50)</f>
        <v>0</v>
      </c>
      <c r="P37" s="636">
        <f t="shared" ref="P37:P40" si="103">P$36*LOOKUP($H37, $AF$47:$AF$50, AK$47:AK$50)</f>
        <v>0</v>
      </c>
      <c r="Q37" s="636">
        <f t="shared" ref="Q37:Q40" si="104">Q$36*LOOKUP($H37, $AF$47:$AF$50, AL$47:AL$50)</f>
        <v>0</v>
      </c>
      <c r="R37" s="636">
        <f t="shared" ref="R37:R40" si="105">R$36*LOOKUP($H37, $AF$47:$AF$50, AM$47:AM$50)</f>
        <v>0</v>
      </c>
      <c r="S37" s="636">
        <f t="shared" ref="S37:S40" si="106">S$36*LOOKUP($H37, $AF$47:$AF$50, AN$47:AN$50)</f>
        <v>0</v>
      </c>
      <c r="T37" s="636">
        <f t="shared" ref="T37:T40" si="107">T$36*LOOKUP($H37, $AF$47:$AF$50, AO$47:AO$50)</f>
        <v>0</v>
      </c>
      <c r="U37" s="636">
        <f t="shared" ref="U37:U40" si="108">U$36*LOOKUP($H37, $AF$47:$AF$50, AP$47:AP$50)</f>
        <v>0</v>
      </c>
      <c r="V37" s="636">
        <f t="shared" ref="V37:V40" si="109">V$36*LOOKUP($H37, $AF$47:$AF$50, AQ$47:AQ$50)</f>
        <v>0</v>
      </c>
      <c r="W37" s="636">
        <f t="shared" ref="W37:W40" si="110">W$36*LOOKUP($H37, $AF$47:$AF$50, AR$47:AR$50)</f>
        <v>0</v>
      </c>
      <c r="X37" s="636">
        <f t="shared" ref="X37:X40" si="111">X$36*LOOKUP($H37, $AF$47:$AF$50, AS$47:AS$50)</f>
        <v>0</v>
      </c>
      <c r="Y37" s="636">
        <f t="shared" ref="Y37:Y40" si="112">Y$36*LOOKUP($H37, $AF$47:$AF$50, AT$47:AT$50)</f>
        <v>0</v>
      </c>
      <c r="Z37" s="636">
        <f t="shared" ref="Z37:Z40" si="113">Z$36*LOOKUP($H37, $AF$47:$AF$50, AU$47:AU$50)</f>
        <v>0</v>
      </c>
      <c r="AB37" s="19"/>
    </row>
    <row r="38" spans="1:67" x14ac:dyDescent="0.25">
      <c r="B38" s="219" t="str">
        <f t="shared" si="99"/>
        <v>TRABGSLM00</v>
      </c>
      <c r="C38" s="224"/>
      <c r="D38" s="230"/>
      <c r="E38" s="224"/>
      <c r="F38" s="224"/>
      <c r="G38" s="224"/>
      <c r="H38" s="231">
        <v>2030</v>
      </c>
      <c r="I38" s="224"/>
      <c r="J38" s="232" t="s">
        <v>1065</v>
      </c>
      <c r="K38" s="232" t="s">
        <v>85</v>
      </c>
      <c r="L38" s="636">
        <f t="shared" ref="L38:L40" si="114">L$36*LOOKUP($H38, $AF$47:$AF$50, AG$47:AG$50)</f>
        <v>0</v>
      </c>
      <c r="M38" s="636">
        <f t="shared" si="100"/>
        <v>0</v>
      </c>
      <c r="N38" s="636">
        <f t="shared" si="101"/>
        <v>0</v>
      </c>
      <c r="O38" s="636">
        <f t="shared" si="102"/>
        <v>0</v>
      </c>
      <c r="P38" s="636">
        <f t="shared" si="103"/>
        <v>0</v>
      </c>
      <c r="Q38" s="636">
        <f t="shared" si="104"/>
        <v>0</v>
      </c>
      <c r="R38" s="636">
        <f t="shared" si="105"/>
        <v>0</v>
      </c>
      <c r="S38" s="636">
        <f t="shared" si="106"/>
        <v>0</v>
      </c>
      <c r="T38" s="636">
        <f t="shared" si="107"/>
        <v>0</v>
      </c>
      <c r="U38" s="636">
        <f t="shared" si="108"/>
        <v>0</v>
      </c>
      <c r="V38" s="636">
        <f t="shared" si="109"/>
        <v>0</v>
      </c>
      <c r="W38" s="636">
        <f t="shared" si="110"/>
        <v>0</v>
      </c>
      <c r="X38" s="636">
        <f t="shared" si="111"/>
        <v>0</v>
      </c>
      <c r="Y38" s="636">
        <f t="shared" si="112"/>
        <v>0</v>
      </c>
      <c r="Z38" s="636">
        <f t="shared" si="113"/>
        <v>0</v>
      </c>
      <c r="AB38" s="19"/>
    </row>
    <row r="39" spans="1:67" x14ac:dyDescent="0.25">
      <c r="B39" s="219" t="str">
        <f t="shared" si="99"/>
        <v>TRABGSLM00</v>
      </c>
      <c r="C39" s="224"/>
      <c r="D39" s="230"/>
      <c r="E39" s="224"/>
      <c r="F39" s="224"/>
      <c r="G39" s="224"/>
      <c r="H39" s="231">
        <v>2040</v>
      </c>
      <c r="I39" s="224"/>
      <c r="J39" s="232" t="s">
        <v>1065</v>
      </c>
      <c r="K39" s="232" t="s">
        <v>85</v>
      </c>
      <c r="L39" s="636">
        <f t="shared" si="114"/>
        <v>0</v>
      </c>
      <c r="M39" s="636">
        <f t="shared" si="100"/>
        <v>0</v>
      </c>
      <c r="N39" s="636">
        <f t="shared" si="101"/>
        <v>0</v>
      </c>
      <c r="O39" s="636">
        <f t="shared" si="102"/>
        <v>0</v>
      </c>
      <c r="P39" s="636">
        <f t="shared" si="103"/>
        <v>0</v>
      </c>
      <c r="Q39" s="636">
        <f t="shared" si="104"/>
        <v>0</v>
      </c>
      <c r="R39" s="636">
        <f t="shared" si="105"/>
        <v>0</v>
      </c>
      <c r="S39" s="636">
        <f t="shared" si="106"/>
        <v>0</v>
      </c>
      <c r="T39" s="636">
        <f t="shared" si="107"/>
        <v>0</v>
      </c>
      <c r="U39" s="636">
        <f t="shared" si="108"/>
        <v>0</v>
      </c>
      <c r="V39" s="636">
        <f t="shared" si="109"/>
        <v>0</v>
      </c>
      <c r="W39" s="636">
        <f t="shared" si="110"/>
        <v>0</v>
      </c>
      <c r="X39" s="636">
        <f t="shared" si="111"/>
        <v>0</v>
      </c>
      <c r="Y39" s="636">
        <f t="shared" si="112"/>
        <v>0</v>
      </c>
      <c r="Z39" s="636">
        <f t="shared" si="113"/>
        <v>0</v>
      </c>
      <c r="AB39" s="19"/>
    </row>
    <row r="40" spans="1:67" x14ac:dyDescent="0.25">
      <c r="B40" s="233" t="str">
        <f>B35</f>
        <v>TRABGSLM00</v>
      </c>
      <c r="C40" s="234"/>
      <c r="D40" s="235"/>
      <c r="E40" s="234"/>
      <c r="F40" s="234"/>
      <c r="G40" s="234"/>
      <c r="H40" s="236">
        <f>$K$5</f>
        <v>2050</v>
      </c>
      <c r="I40" s="224"/>
      <c r="J40" s="237" t="s">
        <v>1065</v>
      </c>
      <c r="K40" s="237" t="s">
        <v>85</v>
      </c>
      <c r="L40" s="637">
        <f t="shared" si="114"/>
        <v>0</v>
      </c>
      <c r="M40" s="637">
        <f t="shared" si="100"/>
        <v>0</v>
      </c>
      <c r="N40" s="637">
        <f t="shared" si="101"/>
        <v>0</v>
      </c>
      <c r="O40" s="637">
        <f t="shared" si="102"/>
        <v>0</v>
      </c>
      <c r="P40" s="637">
        <f t="shared" si="103"/>
        <v>0</v>
      </c>
      <c r="Q40" s="637">
        <f t="shared" si="104"/>
        <v>0</v>
      </c>
      <c r="R40" s="637">
        <f t="shared" si="105"/>
        <v>0</v>
      </c>
      <c r="S40" s="637">
        <f t="shared" si="106"/>
        <v>0</v>
      </c>
      <c r="T40" s="637">
        <f t="shared" si="107"/>
        <v>0</v>
      </c>
      <c r="U40" s="637">
        <f t="shared" si="108"/>
        <v>0</v>
      </c>
      <c r="V40" s="637">
        <f t="shared" si="109"/>
        <v>0</v>
      </c>
      <c r="W40" s="637">
        <f t="shared" si="110"/>
        <v>0</v>
      </c>
      <c r="X40" s="637">
        <f t="shared" si="111"/>
        <v>0</v>
      </c>
      <c r="Y40" s="637">
        <f t="shared" si="112"/>
        <v>0</v>
      </c>
      <c r="Z40" s="637">
        <f t="shared" si="113"/>
        <v>0</v>
      </c>
      <c r="AB40" s="19"/>
    </row>
    <row r="41" spans="1:67" x14ac:dyDescent="0.25">
      <c r="A41" s="100"/>
      <c r="B41" s="219" t="str">
        <f>C41</f>
        <v>TRABJF00</v>
      </c>
      <c r="C41" s="224" t="s">
        <v>920</v>
      </c>
      <c r="D41" s="225" t="str">
        <f>CONCATENATE("Fuel Tech - ",LOOKUP(F41,TRA_Comm!$C$6:$C$28,TRA_Comm!$D$6:$D$28))</f>
        <v>Fuel Tech - Bio Jet Fuel (TRA)</v>
      </c>
      <c r="E41" s="224" t="s">
        <v>1069</v>
      </c>
      <c r="F41" s="224" t="s">
        <v>998</v>
      </c>
      <c r="G41" s="226"/>
      <c r="H41" s="227"/>
      <c r="I41" s="228"/>
      <c r="J41" s="229" t="s">
        <v>1064</v>
      </c>
      <c r="K41" s="229"/>
      <c r="L41" s="635">
        <v>1</v>
      </c>
      <c r="M41" s="635">
        <v>1</v>
      </c>
      <c r="N41" s="635">
        <v>1</v>
      </c>
      <c r="O41" s="635">
        <v>1</v>
      </c>
      <c r="P41" s="635">
        <v>1</v>
      </c>
      <c r="Q41" s="635">
        <v>1</v>
      </c>
      <c r="R41" s="635">
        <v>1</v>
      </c>
      <c r="S41" s="635">
        <v>1</v>
      </c>
      <c r="T41" s="635">
        <v>1</v>
      </c>
      <c r="U41" s="635">
        <v>1</v>
      </c>
      <c r="V41" s="635">
        <v>1</v>
      </c>
      <c r="W41" s="635">
        <v>1</v>
      </c>
      <c r="X41" s="635">
        <v>1</v>
      </c>
      <c r="Y41" s="635">
        <v>1</v>
      </c>
      <c r="Z41" s="635">
        <v>1</v>
      </c>
      <c r="AB41" s="19"/>
    </row>
    <row r="42" spans="1:67" x14ac:dyDescent="0.25">
      <c r="B42" s="219" t="str">
        <f>B41</f>
        <v>TRABJF00</v>
      </c>
      <c r="C42" s="224"/>
      <c r="D42" s="230"/>
      <c r="E42" s="224"/>
      <c r="F42" s="224"/>
      <c r="G42" s="224"/>
      <c r="H42" s="231">
        <f>$K$3</f>
        <v>2019</v>
      </c>
      <c r="I42" s="224"/>
      <c r="J42" s="232" t="s">
        <v>1065</v>
      </c>
      <c r="K42" s="232" t="s">
        <v>85</v>
      </c>
      <c r="L42" s="636">
        <f t="shared" ref="L42:Z42" si="115">LOOKUP($F41, $AE$11:$AE$34, AG$11:AG$34*$L$6)</f>
        <v>0</v>
      </c>
      <c r="M42" s="636">
        <f t="shared" si="115"/>
        <v>0</v>
      </c>
      <c r="N42" s="636">
        <f t="shared" si="115"/>
        <v>0</v>
      </c>
      <c r="O42" s="636">
        <f t="shared" si="115"/>
        <v>0</v>
      </c>
      <c r="P42" s="636">
        <f t="shared" si="115"/>
        <v>0</v>
      </c>
      <c r="Q42" s="636">
        <f t="shared" si="115"/>
        <v>0</v>
      </c>
      <c r="R42" s="636">
        <f t="shared" si="115"/>
        <v>0</v>
      </c>
      <c r="S42" s="636">
        <f t="shared" si="115"/>
        <v>0</v>
      </c>
      <c r="T42" s="636">
        <f t="shared" si="115"/>
        <v>0</v>
      </c>
      <c r="U42" s="636">
        <f t="shared" si="115"/>
        <v>0</v>
      </c>
      <c r="V42" s="636">
        <f t="shared" si="115"/>
        <v>0</v>
      </c>
      <c r="W42" s="636">
        <f t="shared" si="115"/>
        <v>0</v>
      </c>
      <c r="X42" s="636">
        <f t="shared" si="115"/>
        <v>0</v>
      </c>
      <c r="Y42" s="636">
        <f t="shared" si="115"/>
        <v>0</v>
      </c>
      <c r="Z42" s="636">
        <f t="shared" si="115"/>
        <v>0</v>
      </c>
      <c r="AB42" s="19"/>
    </row>
    <row r="43" spans="1:67" x14ac:dyDescent="0.25">
      <c r="B43" s="219" t="str">
        <f t="shared" ref="B43:B45" si="116">B42</f>
        <v>TRABJF00</v>
      </c>
      <c r="C43" s="224"/>
      <c r="D43" s="230"/>
      <c r="E43" s="224"/>
      <c r="F43" s="224"/>
      <c r="G43" s="224"/>
      <c r="H43" s="231">
        <v>2020</v>
      </c>
      <c r="I43" s="224"/>
      <c r="J43" s="232" t="s">
        <v>1065</v>
      </c>
      <c r="K43" s="232" t="s">
        <v>85</v>
      </c>
      <c r="L43" s="636">
        <f t="shared" ref="L43:Z46" si="117">L$42*LOOKUP($H43, $AF$47:$AF$50, AG$47:AG$50)</f>
        <v>0</v>
      </c>
      <c r="M43" s="636">
        <f t="shared" si="117"/>
        <v>0</v>
      </c>
      <c r="N43" s="636">
        <f t="shared" si="117"/>
        <v>0</v>
      </c>
      <c r="O43" s="636">
        <f t="shared" si="117"/>
        <v>0</v>
      </c>
      <c r="P43" s="636">
        <f t="shared" si="117"/>
        <v>0</v>
      </c>
      <c r="Q43" s="636">
        <f t="shared" si="117"/>
        <v>0</v>
      </c>
      <c r="R43" s="636">
        <f t="shared" si="117"/>
        <v>0</v>
      </c>
      <c r="S43" s="636">
        <f t="shared" si="117"/>
        <v>0</v>
      </c>
      <c r="T43" s="636">
        <f t="shared" si="117"/>
        <v>0</v>
      </c>
      <c r="U43" s="636">
        <f t="shared" si="117"/>
        <v>0</v>
      </c>
      <c r="V43" s="636">
        <f t="shared" si="117"/>
        <v>0</v>
      </c>
      <c r="W43" s="636">
        <f t="shared" si="117"/>
        <v>0</v>
      </c>
      <c r="X43" s="636">
        <f t="shared" si="117"/>
        <v>0</v>
      </c>
      <c r="Y43" s="636">
        <f t="shared" si="117"/>
        <v>0</v>
      </c>
      <c r="Z43" s="636">
        <f t="shared" si="117"/>
        <v>0</v>
      </c>
      <c r="AB43" s="19"/>
    </row>
    <row r="44" spans="1:67" x14ac:dyDescent="0.25">
      <c r="B44" s="219" t="str">
        <f t="shared" si="116"/>
        <v>TRABJF00</v>
      </c>
      <c r="C44" s="224"/>
      <c r="D44" s="230"/>
      <c r="E44" s="224"/>
      <c r="F44" s="224"/>
      <c r="G44" s="224"/>
      <c r="H44" s="231">
        <v>2030</v>
      </c>
      <c r="I44" s="224"/>
      <c r="J44" s="232" t="s">
        <v>1065</v>
      </c>
      <c r="K44" s="232" t="s">
        <v>85</v>
      </c>
      <c r="L44" s="636">
        <f t="shared" si="117"/>
        <v>0</v>
      </c>
      <c r="M44" s="636">
        <f t="shared" si="117"/>
        <v>0</v>
      </c>
      <c r="N44" s="636">
        <f t="shared" si="117"/>
        <v>0</v>
      </c>
      <c r="O44" s="636">
        <f t="shared" si="117"/>
        <v>0</v>
      </c>
      <c r="P44" s="636">
        <f t="shared" si="117"/>
        <v>0</v>
      </c>
      <c r="Q44" s="636">
        <f t="shared" si="117"/>
        <v>0</v>
      </c>
      <c r="R44" s="636">
        <f t="shared" si="117"/>
        <v>0</v>
      </c>
      <c r="S44" s="636">
        <f t="shared" si="117"/>
        <v>0</v>
      </c>
      <c r="T44" s="636">
        <f t="shared" si="117"/>
        <v>0</v>
      </c>
      <c r="U44" s="636">
        <f t="shared" si="117"/>
        <v>0</v>
      </c>
      <c r="V44" s="636">
        <f t="shared" si="117"/>
        <v>0</v>
      </c>
      <c r="W44" s="636">
        <f t="shared" si="117"/>
        <v>0</v>
      </c>
      <c r="X44" s="636">
        <f t="shared" si="117"/>
        <v>0</v>
      </c>
      <c r="Y44" s="636">
        <f t="shared" si="117"/>
        <v>0</v>
      </c>
      <c r="Z44" s="636">
        <f t="shared" si="117"/>
        <v>0</v>
      </c>
      <c r="AB44" s="19"/>
    </row>
    <row r="45" spans="1:67" x14ac:dyDescent="0.25">
      <c r="B45" s="219" t="str">
        <f t="shared" si="116"/>
        <v>TRABJF00</v>
      </c>
      <c r="C45" s="224"/>
      <c r="D45" s="230"/>
      <c r="E45" s="224"/>
      <c r="F45" s="224"/>
      <c r="G45" s="224"/>
      <c r="H45" s="231">
        <v>2040</v>
      </c>
      <c r="I45" s="224"/>
      <c r="J45" s="232" t="s">
        <v>1065</v>
      </c>
      <c r="K45" s="232" t="s">
        <v>85</v>
      </c>
      <c r="L45" s="636">
        <f t="shared" si="117"/>
        <v>0</v>
      </c>
      <c r="M45" s="636">
        <f t="shared" si="117"/>
        <v>0</v>
      </c>
      <c r="N45" s="636">
        <f t="shared" si="117"/>
        <v>0</v>
      </c>
      <c r="O45" s="636">
        <f t="shared" si="117"/>
        <v>0</v>
      </c>
      <c r="P45" s="636">
        <f t="shared" si="117"/>
        <v>0</v>
      </c>
      <c r="Q45" s="636">
        <f t="shared" si="117"/>
        <v>0</v>
      </c>
      <c r="R45" s="636">
        <f t="shared" si="117"/>
        <v>0</v>
      </c>
      <c r="S45" s="636">
        <f t="shared" si="117"/>
        <v>0</v>
      </c>
      <c r="T45" s="636">
        <f t="shared" si="117"/>
        <v>0</v>
      </c>
      <c r="U45" s="636">
        <f t="shared" si="117"/>
        <v>0</v>
      </c>
      <c r="V45" s="636">
        <f t="shared" si="117"/>
        <v>0</v>
      </c>
      <c r="W45" s="636">
        <f t="shared" si="117"/>
        <v>0</v>
      </c>
      <c r="X45" s="636">
        <f t="shared" si="117"/>
        <v>0</v>
      </c>
      <c r="Y45" s="636">
        <f t="shared" si="117"/>
        <v>0</v>
      </c>
      <c r="Z45" s="636">
        <f t="shared" si="117"/>
        <v>0</v>
      </c>
      <c r="AB45" s="19"/>
      <c r="AW45" s="750" t="s">
        <v>1070</v>
      </c>
      <c r="BO45" s="23" t="s">
        <v>1240</v>
      </c>
    </row>
    <row r="46" spans="1:67" x14ac:dyDescent="0.25">
      <c r="B46" s="233" t="str">
        <f>B41</f>
        <v>TRABJF00</v>
      </c>
      <c r="C46" s="234"/>
      <c r="D46" s="235"/>
      <c r="E46" s="234"/>
      <c r="F46" s="234"/>
      <c r="G46" s="234"/>
      <c r="H46" s="236">
        <f>$K$5</f>
        <v>2050</v>
      </c>
      <c r="I46" s="224"/>
      <c r="J46" s="237" t="s">
        <v>1065</v>
      </c>
      <c r="K46" s="237" t="s">
        <v>85</v>
      </c>
      <c r="L46" s="637">
        <f t="shared" si="117"/>
        <v>0</v>
      </c>
      <c r="M46" s="637">
        <f t="shared" si="117"/>
        <v>0</v>
      </c>
      <c r="N46" s="637">
        <f t="shared" si="117"/>
        <v>0</v>
      </c>
      <c r="O46" s="637">
        <f t="shared" si="117"/>
        <v>0</v>
      </c>
      <c r="P46" s="637">
        <f t="shared" si="117"/>
        <v>0</v>
      </c>
      <c r="Q46" s="637">
        <f t="shared" si="117"/>
        <v>0</v>
      </c>
      <c r="R46" s="637">
        <f t="shared" si="117"/>
        <v>0</v>
      </c>
      <c r="S46" s="637">
        <f t="shared" si="117"/>
        <v>0</v>
      </c>
      <c r="T46" s="637">
        <f t="shared" si="117"/>
        <v>0</v>
      </c>
      <c r="U46" s="637">
        <f t="shared" si="117"/>
        <v>0</v>
      </c>
      <c r="V46" s="637">
        <f t="shared" si="117"/>
        <v>0</v>
      </c>
      <c r="W46" s="637">
        <f t="shared" si="117"/>
        <v>0</v>
      </c>
      <c r="X46" s="637">
        <f t="shared" si="117"/>
        <v>0</v>
      </c>
      <c r="Y46" s="637">
        <f t="shared" si="117"/>
        <v>0</v>
      </c>
      <c r="Z46" s="637">
        <f t="shared" si="117"/>
        <v>0</v>
      </c>
      <c r="AB46" s="19"/>
      <c r="AE46" s="750" t="s">
        <v>1071</v>
      </c>
      <c r="AF46" s="701" t="s">
        <v>1056</v>
      </c>
      <c r="AG46" s="701" t="str">
        <f t="shared" ref="AG46:AU46" si="118">AG9</f>
        <v>Z01</v>
      </c>
      <c r="AH46" s="701" t="str">
        <f t="shared" si="118"/>
        <v>Z02</v>
      </c>
      <c r="AI46" s="701" t="str">
        <f t="shared" si="118"/>
        <v>Z03</v>
      </c>
      <c r="AJ46" s="701" t="str">
        <f t="shared" si="118"/>
        <v>Z04</v>
      </c>
      <c r="AK46" s="701" t="str">
        <f t="shared" si="118"/>
        <v>Z05</v>
      </c>
      <c r="AL46" s="701" t="str">
        <f t="shared" si="118"/>
        <v>Z06</v>
      </c>
      <c r="AM46" s="701" t="str">
        <f t="shared" si="118"/>
        <v>Z07</v>
      </c>
      <c r="AN46" s="701" t="str">
        <f t="shared" si="118"/>
        <v>Z08</v>
      </c>
      <c r="AO46" s="701" t="str">
        <f t="shared" si="118"/>
        <v>Z09</v>
      </c>
      <c r="AP46" s="701" t="str">
        <f t="shared" si="118"/>
        <v>Z10</v>
      </c>
      <c r="AQ46" s="701" t="str">
        <f t="shared" si="118"/>
        <v>Z11</v>
      </c>
      <c r="AR46" s="701" t="str">
        <f t="shared" si="118"/>
        <v>Z12</v>
      </c>
      <c r="AS46" s="701" t="str">
        <f t="shared" si="118"/>
        <v>Z13</v>
      </c>
      <c r="AT46" s="701" t="str">
        <f t="shared" si="118"/>
        <v>Z14</v>
      </c>
      <c r="AU46" s="701" t="str">
        <f t="shared" si="118"/>
        <v>Z15</v>
      </c>
      <c r="AW46" s="418" t="s">
        <v>1072</v>
      </c>
      <c r="AX46" s="419">
        <f>SUM(AY46:BM46)</f>
        <v>7581429.022593135</v>
      </c>
      <c r="AY46" s="831">
        <f>AY17+AY18+AY23+AY25+AY27+AY28</f>
        <v>7581429.022593135</v>
      </c>
      <c r="AZ46" s="831">
        <f t="shared" ref="AZ46:BM46" si="119">AZ17+AZ18+AZ23+AZ25+AZ27+AZ28</f>
        <v>0</v>
      </c>
      <c r="BA46" s="831">
        <f t="shared" si="119"/>
        <v>0</v>
      </c>
      <c r="BB46" s="831">
        <f t="shared" si="119"/>
        <v>0</v>
      </c>
      <c r="BC46" s="831">
        <f t="shared" si="119"/>
        <v>0</v>
      </c>
      <c r="BD46" s="831">
        <f t="shared" si="119"/>
        <v>0</v>
      </c>
      <c r="BE46" s="831">
        <f t="shared" si="119"/>
        <v>0</v>
      </c>
      <c r="BF46" s="831">
        <f t="shared" si="119"/>
        <v>0</v>
      </c>
      <c r="BG46" s="831">
        <f t="shared" si="119"/>
        <v>0</v>
      </c>
      <c r="BH46" s="831">
        <f t="shared" si="119"/>
        <v>0</v>
      </c>
      <c r="BI46" s="831">
        <f t="shared" si="119"/>
        <v>0</v>
      </c>
      <c r="BJ46" s="831">
        <f t="shared" si="119"/>
        <v>0</v>
      </c>
      <c r="BK46" s="831">
        <f t="shared" si="119"/>
        <v>0</v>
      </c>
      <c r="BL46" s="831">
        <f t="shared" si="119"/>
        <v>0</v>
      </c>
      <c r="BM46" s="831">
        <f t="shared" si="119"/>
        <v>0</v>
      </c>
      <c r="BO46" s="655">
        <v>9385925</v>
      </c>
    </row>
    <row r="47" spans="1:67" x14ac:dyDescent="0.25">
      <c r="A47" s="100"/>
      <c r="B47" s="219" t="str">
        <f>C47</f>
        <v>TRADME00</v>
      </c>
      <c r="C47" s="224" t="s">
        <v>923</v>
      </c>
      <c r="D47" s="225" t="str">
        <f>CONCATENATE("Fuel Tech - ",LOOKUP(F47,TRA_Comm!$C$6:$C$28,TRA_Comm!$D$6:$D$28))</f>
        <v>Fuel Tech - Dimethyle Ether (TRA)</v>
      </c>
      <c r="E47" s="224" t="s">
        <v>1073</v>
      </c>
      <c r="F47" s="224" t="s">
        <v>1000</v>
      </c>
      <c r="G47" s="226"/>
      <c r="H47" s="227"/>
      <c r="I47" s="228"/>
      <c r="J47" s="229" t="s">
        <v>1064</v>
      </c>
      <c r="K47" s="229"/>
      <c r="L47" s="635">
        <v>1</v>
      </c>
      <c r="M47" s="635">
        <v>1</v>
      </c>
      <c r="N47" s="635">
        <v>1</v>
      </c>
      <c r="O47" s="635">
        <v>1</v>
      </c>
      <c r="P47" s="635">
        <v>1</v>
      </c>
      <c r="Q47" s="635">
        <v>1</v>
      </c>
      <c r="R47" s="635">
        <v>1</v>
      </c>
      <c r="S47" s="635">
        <v>1</v>
      </c>
      <c r="T47" s="635">
        <v>1</v>
      </c>
      <c r="U47" s="635">
        <v>1</v>
      </c>
      <c r="V47" s="635">
        <v>1</v>
      </c>
      <c r="W47" s="635">
        <v>1</v>
      </c>
      <c r="X47" s="635">
        <v>1</v>
      </c>
      <c r="Y47" s="635">
        <v>1</v>
      </c>
      <c r="Z47" s="635">
        <v>1</v>
      </c>
      <c r="AB47" s="19"/>
      <c r="AE47" s="394" t="s">
        <v>675</v>
      </c>
      <c r="AF47" s="394">
        <v>2020</v>
      </c>
      <c r="AG47" s="394">
        <v>0.8</v>
      </c>
      <c r="AH47" s="394">
        <v>0.8</v>
      </c>
      <c r="AI47" s="394">
        <v>0.8</v>
      </c>
      <c r="AJ47" s="394">
        <v>0.8</v>
      </c>
      <c r="AK47" s="394">
        <v>0.8</v>
      </c>
      <c r="AL47" s="394">
        <v>0.8</v>
      </c>
      <c r="AM47" s="394">
        <v>0.8</v>
      </c>
      <c r="AN47" s="394">
        <v>0.8</v>
      </c>
      <c r="AO47" s="394">
        <v>0.8</v>
      </c>
      <c r="AP47" s="394">
        <v>0.8</v>
      </c>
      <c r="AQ47" s="394">
        <v>0.8</v>
      </c>
      <c r="AR47" s="394">
        <v>0.8</v>
      </c>
      <c r="AS47" s="394">
        <v>0.8</v>
      </c>
      <c r="AT47" s="394">
        <v>0.8</v>
      </c>
      <c r="AU47" s="394">
        <v>0.8</v>
      </c>
      <c r="AW47" s="418" t="s">
        <v>1074</v>
      </c>
      <c r="AX47" s="419">
        <f t="shared" ref="AX47:AX52" si="120">SUM(AY47:BM47)</f>
        <v>1628504.1873973028</v>
      </c>
      <c r="AY47" s="831">
        <f>AY11+AY12+AY21+AY22</f>
        <v>1628504.1873973028</v>
      </c>
      <c r="AZ47" s="831">
        <f t="shared" ref="AZ47:BM47" si="121">AZ11+AZ12+AZ21+AZ22</f>
        <v>0</v>
      </c>
      <c r="BA47" s="831">
        <f t="shared" si="121"/>
        <v>0</v>
      </c>
      <c r="BB47" s="831">
        <f t="shared" si="121"/>
        <v>0</v>
      </c>
      <c r="BC47" s="831">
        <f t="shared" si="121"/>
        <v>0</v>
      </c>
      <c r="BD47" s="831">
        <f t="shared" si="121"/>
        <v>0</v>
      </c>
      <c r="BE47" s="831">
        <f t="shared" si="121"/>
        <v>0</v>
      </c>
      <c r="BF47" s="831">
        <f t="shared" si="121"/>
        <v>0</v>
      </c>
      <c r="BG47" s="831">
        <f t="shared" si="121"/>
        <v>0</v>
      </c>
      <c r="BH47" s="831">
        <f t="shared" si="121"/>
        <v>0</v>
      </c>
      <c r="BI47" s="831">
        <f t="shared" si="121"/>
        <v>0</v>
      </c>
      <c r="BJ47" s="831">
        <f t="shared" si="121"/>
        <v>0</v>
      </c>
      <c r="BK47" s="831">
        <f t="shared" si="121"/>
        <v>0</v>
      </c>
      <c r="BL47" s="831">
        <f t="shared" si="121"/>
        <v>0</v>
      </c>
      <c r="BM47" s="831">
        <f t="shared" si="121"/>
        <v>0</v>
      </c>
      <c r="BO47" s="655">
        <v>2825050</v>
      </c>
    </row>
    <row r="48" spans="1:67" x14ac:dyDescent="0.25">
      <c r="B48" s="219" t="str">
        <f>B47</f>
        <v>TRADME00</v>
      </c>
      <c r="C48" s="224"/>
      <c r="D48" s="230"/>
      <c r="E48" s="224"/>
      <c r="F48" s="224"/>
      <c r="G48" s="224"/>
      <c r="H48" s="231">
        <f>$K$3</f>
        <v>2019</v>
      </c>
      <c r="I48" s="224"/>
      <c r="J48" s="232" t="s">
        <v>1065</v>
      </c>
      <c r="K48" s="232" t="s">
        <v>85</v>
      </c>
      <c r="L48" s="636">
        <f t="shared" ref="L48:Z48" si="122">LOOKUP($F47, $AE$11:$AE$34, AG$11:AG$34*$L$6)</f>
        <v>0</v>
      </c>
      <c r="M48" s="636">
        <f t="shared" si="122"/>
        <v>0</v>
      </c>
      <c r="N48" s="636">
        <f t="shared" si="122"/>
        <v>0</v>
      </c>
      <c r="O48" s="636">
        <f t="shared" si="122"/>
        <v>0</v>
      </c>
      <c r="P48" s="636">
        <f t="shared" si="122"/>
        <v>0</v>
      </c>
      <c r="Q48" s="636">
        <f t="shared" si="122"/>
        <v>0</v>
      </c>
      <c r="R48" s="636">
        <f t="shared" si="122"/>
        <v>0</v>
      </c>
      <c r="S48" s="636">
        <f t="shared" si="122"/>
        <v>0</v>
      </c>
      <c r="T48" s="636">
        <f t="shared" si="122"/>
        <v>0</v>
      </c>
      <c r="U48" s="636">
        <f t="shared" si="122"/>
        <v>0</v>
      </c>
      <c r="V48" s="636">
        <f t="shared" si="122"/>
        <v>0</v>
      </c>
      <c r="W48" s="636">
        <f t="shared" si="122"/>
        <v>0</v>
      </c>
      <c r="X48" s="636">
        <f t="shared" si="122"/>
        <v>0</v>
      </c>
      <c r="Y48" s="636">
        <f t="shared" si="122"/>
        <v>0</v>
      </c>
      <c r="Z48" s="636">
        <f t="shared" si="122"/>
        <v>0</v>
      </c>
      <c r="AB48" s="19"/>
      <c r="AE48" s="394" t="s">
        <v>675</v>
      </c>
      <c r="AF48" s="394">
        <v>2030</v>
      </c>
      <c r="AG48" s="394">
        <v>0.4</v>
      </c>
      <c r="AH48" s="394">
        <v>0.4</v>
      </c>
      <c r="AI48" s="394">
        <v>0.4</v>
      </c>
      <c r="AJ48" s="394">
        <v>0.4</v>
      </c>
      <c r="AK48" s="394">
        <v>0.4</v>
      </c>
      <c r="AL48" s="394">
        <v>0.4</v>
      </c>
      <c r="AM48" s="394">
        <v>0.4</v>
      </c>
      <c r="AN48" s="394">
        <v>0.4</v>
      </c>
      <c r="AO48" s="394">
        <v>0.4</v>
      </c>
      <c r="AP48" s="394">
        <v>0.4</v>
      </c>
      <c r="AQ48" s="394">
        <v>0.4</v>
      </c>
      <c r="AR48" s="394">
        <v>0.4</v>
      </c>
      <c r="AS48" s="394">
        <v>0.4</v>
      </c>
      <c r="AT48" s="394">
        <v>0.4</v>
      </c>
      <c r="AU48" s="394">
        <v>0.4</v>
      </c>
      <c r="AW48" s="418" t="s">
        <v>1075</v>
      </c>
      <c r="AX48" s="419">
        <f t="shared" si="120"/>
        <v>31762.088889783852</v>
      </c>
      <c r="AY48" s="831">
        <f>AY31</f>
        <v>31762.088889783852</v>
      </c>
      <c r="AZ48" s="831">
        <f t="shared" ref="AZ48:BM48" si="123">AZ31</f>
        <v>0</v>
      </c>
      <c r="BA48" s="831">
        <f t="shared" si="123"/>
        <v>0</v>
      </c>
      <c r="BB48" s="831">
        <f t="shared" si="123"/>
        <v>0</v>
      </c>
      <c r="BC48" s="831">
        <f t="shared" si="123"/>
        <v>0</v>
      </c>
      <c r="BD48" s="831">
        <f t="shared" si="123"/>
        <v>0</v>
      </c>
      <c r="BE48" s="831">
        <f t="shared" si="123"/>
        <v>0</v>
      </c>
      <c r="BF48" s="831">
        <f t="shared" si="123"/>
        <v>0</v>
      </c>
      <c r="BG48" s="831">
        <f t="shared" si="123"/>
        <v>0</v>
      </c>
      <c r="BH48" s="831">
        <f t="shared" si="123"/>
        <v>0</v>
      </c>
      <c r="BI48" s="831">
        <f t="shared" si="123"/>
        <v>0</v>
      </c>
      <c r="BJ48" s="831">
        <f t="shared" si="123"/>
        <v>0</v>
      </c>
      <c r="BK48" s="831">
        <f t="shared" si="123"/>
        <v>0</v>
      </c>
      <c r="BL48" s="831">
        <f t="shared" si="123"/>
        <v>0</v>
      </c>
      <c r="BM48" s="831">
        <f t="shared" si="123"/>
        <v>0</v>
      </c>
      <c r="BO48" s="655">
        <v>0</v>
      </c>
    </row>
    <row r="49" spans="1:67" x14ac:dyDescent="0.25">
      <c r="B49" s="219" t="str">
        <f t="shared" ref="B49:B51" si="124">B48</f>
        <v>TRADME00</v>
      </c>
      <c r="C49" s="224"/>
      <c r="D49" s="230"/>
      <c r="E49" s="224"/>
      <c r="F49" s="224"/>
      <c r="G49" s="224"/>
      <c r="H49" s="231">
        <v>2020</v>
      </c>
      <c r="I49" s="224"/>
      <c r="J49" s="232" t="s">
        <v>1065</v>
      </c>
      <c r="K49" s="232" t="s">
        <v>85</v>
      </c>
      <c r="L49" s="636">
        <f t="shared" ref="L49:Z52" si="125">L$48*LOOKUP($H49, $AF$47:$AF$50, AG$47:AG$50)</f>
        <v>0</v>
      </c>
      <c r="M49" s="636">
        <f t="shared" si="125"/>
        <v>0</v>
      </c>
      <c r="N49" s="636">
        <f t="shared" si="125"/>
        <v>0</v>
      </c>
      <c r="O49" s="636">
        <f t="shared" si="125"/>
        <v>0</v>
      </c>
      <c r="P49" s="636">
        <f t="shared" si="125"/>
        <v>0</v>
      </c>
      <c r="Q49" s="636">
        <f t="shared" si="125"/>
        <v>0</v>
      </c>
      <c r="R49" s="636">
        <f t="shared" si="125"/>
        <v>0</v>
      </c>
      <c r="S49" s="636">
        <f t="shared" si="125"/>
        <v>0</v>
      </c>
      <c r="T49" s="636">
        <f t="shared" si="125"/>
        <v>0</v>
      </c>
      <c r="U49" s="636">
        <f t="shared" si="125"/>
        <v>0</v>
      </c>
      <c r="V49" s="636">
        <f t="shared" si="125"/>
        <v>0</v>
      </c>
      <c r="W49" s="636">
        <f t="shared" si="125"/>
        <v>0</v>
      </c>
      <c r="X49" s="636">
        <f t="shared" si="125"/>
        <v>0</v>
      </c>
      <c r="Y49" s="636">
        <f t="shared" si="125"/>
        <v>0</v>
      </c>
      <c r="Z49" s="636">
        <f t="shared" si="125"/>
        <v>0</v>
      </c>
      <c r="AB49" s="19"/>
      <c r="AE49" s="394" t="s">
        <v>675</v>
      </c>
      <c r="AF49" s="394">
        <v>2040</v>
      </c>
      <c r="AG49" s="806">
        <v>0</v>
      </c>
      <c r="AH49" s="806">
        <v>0</v>
      </c>
      <c r="AI49" s="806">
        <v>0</v>
      </c>
      <c r="AJ49" s="806">
        <v>0</v>
      </c>
      <c r="AK49" s="806">
        <v>0</v>
      </c>
      <c r="AL49" s="806">
        <v>0</v>
      </c>
      <c r="AM49" s="806">
        <v>0</v>
      </c>
      <c r="AN49" s="806">
        <v>0</v>
      </c>
      <c r="AO49" s="806">
        <v>0</v>
      </c>
      <c r="AP49" s="806">
        <v>0</v>
      </c>
      <c r="AQ49" s="806">
        <v>0</v>
      </c>
      <c r="AR49" s="806">
        <v>0</v>
      </c>
      <c r="AS49" s="806">
        <v>0</v>
      </c>
      <c r="AT49" s="806">
        <v>0</v>
      </c>
      <c r="AU49" s="806">
        <v>0</v>
      </c>
      <c r="AW49" s="418" t="s">
        <v>1076</v>
      </c>
      <c r="AX49" s="419">
        <f t="shared" si="120"/>
        <v>0</v>
      </c>
      <c r="AY49" s="831">
        <f>AY14</f>
        <v>0</v>
      </c>
      <c r="AZ49" s="831">
        <f t="shared" ref="AZ49:BM49" si="126">AZ14</f>
        <v>0</v>
      </c>
      <c r="BA49" s="831">
        <f t="shared" si="126"/>
        <v>0</v>
      </c>
      <c r="BB49" s="831">
        <f t="shared" si="126"/>
        <v>0</v>
      </c>
      <c r="BC49" s="831">
        <f t="shared" si="126"/>
        <v>0</v>
      </c>
      <c r="BD49" s="831">
        <f t="shared" si="126"/>
        <v>0</v>
      </c>
      <c r="BE49" s="831">
        <f t="shared" si="126"/>
        <v>0</v>
      </c>
      <c r="BF49" s="831">
        <f t="shared" si="126"/>
        <v>0</v>
      </c>
      <c r="BG49" s="831">
        <f t="shared" si="126"/>
        <v>0</v>
      </c>
      <c r="BH49" s="831">
        <f t="shared" si="126"/>
        <v>0</v>
      </c>
      <c r="BI49" s="831">
        <f t="shared" si="126"/>
        <v>0</v>
      </c>
      <c r="BJ49" s="831">
        <f t="shared" si="126"/>
        <v>0</v>
      </c>
      <c r="BK49" s="831">
        <f t="shared" si="126"/>
        <v>0</v>
      </c>
      <c r="BL49" s="831">
        <f t="shared" si="126"/>
        <v>0</v>
      </c>
      <c r="BM49" s="831">
        <f t="shared" si="126"/>
        <v>0</v>
      </c>
      <c r="BO49" s="655">
        <v>0</v>
      </c>
    </row>
    <row r="50" spans="1:67" x14ac:dyDescent="0.25">
      <c r="B50" s="219" t="str">
        <f t="shared" si="124"/>
        <v>TRADME00</v>
      </c>
      <c r="C50" s="224"/>
      <c r="D50" s="230"/>
      <c r="E50" s="224"/>
      <c r="F50" s="224"/>
      <c r="G50" s="224"/>
      <c r="H50" s="231">
        <v>2030</v>
      </c>
      <c r="I50" s="224"/>
      <c r="J50" s="232" t="s">
        <v>1065</v>
      </c>
      <c r="K50" s="232" t="s">
        <v>85</v>
      </c>
      <c r="L50" s="636">
        <f t="shared" si="125"/>
        <v>0</v>
      </c>
      <c r="M50" s="636">
        <f t="shared" si="125"/>
        <v>0</v>
      </c>
      <c r="N50" s="636">
        <f t="shared" si="125"/>
        <v>0</v>
      </c>
      <c r="O50" s="636">
        <f t="shared" si="125"/>
        <v>0</v>
      </c>
      <c r="P50" s="636">
        <f t="shared" si="125"/>
        <v>0</v>
      </c>
      <c r="Q50" s="636">
        <f t="shared" si="125"/>
        <v>0</v>
      </c>
      <c r="R50" s="636">
        <f t="shared" si="125"/>
        <v>0</v>
      </c>
      <c r="S50" s="636">
        <f t="shared" si="125"/>
        <v>0</v>
      </c>
      <c r="T50" s="636">
        <f t="shared" si="125"/>
        <v>0</v>
      </c>
      <c r="U50" s="636">
        <f t="shared" si="125"/>
        <v>0</v>
      </c>
      <c r="V50" s="636">
        <f t="shared" si="125"/>
        <v>0</v>
      </c>
      <c r="W50" s="636">
        <f t="shared" si="125"/>
        <v>0</v>
      </c>
      <c r="X50" s="636">
        <f t="shared" si="125"/>
        <v>0</v>
      </c>
      <c r="Y50" s="636">
        <f t="shared" si="125"/>
        <v>0</v>
      </c>
      <c r="Z50" s="636">
        <f t="shared" si="125"/>
        <v>0</v>
      </c>
      <c r="AB50" s="19"/>
      <c r="AE50" s="394" t="s">
        <v>675</v>
      </c>
      <c r="AF50" s="394">
        <v>2050</v>
      </c>
      <c r="AG50" s="806">
        <v>0</v>
      </c>
      <c r="AH50" s="806">
        <v>0</v>
      </c>
      <c r="AI50" s="806">
        <v>0</v>
      </c>
      <c r="AJ50" s="806">
        <v>0</v>
      </c>
      <c r="AK50" s="806">
        <v>0</v>
      </c>
      <c r="AL50" s="806">
        <v>0</v>
      </c>
      <c r="AM50" s="806">
        <v>0</v>
      </c>
      <c r="AN50" s="806">
        <v>0</v>
      </c>
      <c r="AO50" s="806">
        <v>0</v>
      </c>
      <c r="AP50" s="806">
        <v>0</v>
      </c>
      <c r="AQ50" s="806">
        <v>0</v>
      </c>
      <c r="AR50" s="806">
        <v>0</v>
      </c>
      <c r="AS50" s="806">
        <v>0</v>
      </c>
      <c r="AT50" s="806">
        <v>0</v>
      </c>
      <c r="AU50" s="806">
        <v>0</v>
      </c>
      <c r="AW50" s="418" t="s">
        <v>1077</v>
      </c>
      <c r="AX50" s="419">
        <f t="shared" si="120"/>
        <v>29415.350015661141</v>
      </c>
      <c r="AY50" s="831">
        <f>AY19</f>
        <v>29415.350015661141</v>
      </c>
      <c r="AZ50" s="831">
        <f t="shared" ref="AZ50:BM50" si="127">AZ19</f>
        <v>0</v>
      </c>
      <c r="BA50" s="831">
        <f t="shared" si="127"/>
        <v>0</v>
      </c>
      <c r="BB50" s="831">
        <f t="shared" si="127"/>
        <v>0</v>
      </c>
      <c r="BC50" s="831">
        <f t="shared" si="127"/>
        <v>0</v>
      </c>
      <c r="BD50" s="831">
        <f t="shared" si="127"/>
        <v>0</v>
      </c>
      <c r="BE50" s="831">
        <f t="shared" si="127"/>
        <v>0</v>
      </c>
      <c r="BF50" s="831">
        <f t="shared" si="127"/>
        <v>0</v>
      </c>
      <c r="BG50" s="831">
        <f t="shared" si="127"/>
        <v>0</v>
      </c>
      <c r="BH50" s="831">
        <f t="shared" si="127"/>
        <v>0</v>
      </c>
      <c r="BI50" s="831">
        <f t="shared" si="127"/>
        <v>0</v>
      </c>
      <c r="BJ50" s="831">
        <f t="shared" si="127"/>
        <v>0</v>
      </c>
      <c r="BK50" s="831">
        <f t="shared" si="127"/>
        <v>0</v>
      </c>
      <c r="BL50" s="831">
        <f t="shared" si="127"/>
        <v>0</v>
      </c>
      <c r="BM50" s="831">
        <f t="shared" si="127"/>
        <v>0</v>
      </c>
      <c r="BO50" s="655">
        <v>864831</v>
      </c>
    </row>
    <row r="51" spans="1:67" x14ac:dyDescent="0.25">
      <c r="B51" s="219" t="str">
        <f t="shared" si="124"/>
        <v>TRADME00</v>
      </c>
      <c r="C51" s="224"/>
      <c r="D51" s="230"/>
      <c r="E51" s="224"/>
      <c r="F51" s="224"/>
      <c r="G51" s="224"/>
      <c r="H51" s="231">
        <v>2040</v>
      </c>
      <c r="I51" s="224"/>
      <c r="J51" s="232" t="s">
        <v>1065</v>
      </c>
      <c r="K51" s="232" t="s">
        <v>85</v>
      </c>
      <c r="L51" s="636">
        <f t="shared" si="125"/>
        <v>0</v>
      </c>
      <c r="M51" s="636">
        <f t="shared" si="125"/>
        <v>0</v>
      </c>
      <c r="N51" s="636">
        <f t="shared" si="125"/>
        <v>0</v>
      </c>
      <c r="O51" s="636">
        <f t="shared" si="125"/>
        <v>0</v>
      </c>
      <c r="P51" s="636">
        <f t="shared" si="125"/>
        <v>0</v>
      </c>
      <c r="Q51" s="636">
        <f t="shared" si="125"/>
        <v>0</v>
      </c>
      <c r="R51" s="636">
        <f t="shared" si="125"/>
        <v>0</v>
      </c>
      <c r="S51" s="636">
        <f t="shared" si="125"/>
        <v>0</v>
      </c>
      <c r="T51" s="636">
        <f t="shared" si="125"/>
        <v>0</v>
      </c>
      <c r="U51" s="636">
        <f t="shared" si="125"/>
        <v>0</v>
      </c>
      <c r="V51" s="636">
        <f t="shared" si="125"/>
        <v>0</v>
      </c>
      <c r="W51" s="636">
        <f t="shared" si="125"/>
        <v>0</v>
      </c>
      <c r="X51" s="636">
        <f t="shared" si="125"/>
        <v>0</v>
      </c>
      <c r="Y51" s="636">
        <f t="shared" si="125"/>
        <v>0</v>
      </c>
      <c r="Z51" s="636">
        <f t="shared" si="125"/>
        <v>0</v>
      </c>
      <c r="AB51" s="19"/>
      <c r="AW51" s="418" t="s">
        <v>1078</v>
      </c>
      <c r="AX51" s="419">
        <f t="shared" si="120"/>
        <v>0</v>
      </c>
      <c r="AY51" s="831">
        <f>AY24</f>
        <v>0</v>
      </c>
      <c r="AZ51" s="831">
        <f t="shared" ref="AZ51:BM51" si="128">AZ24</f>
        <v>0</v>
      </c>
      <c r="BA51" s="831">
        <f t="shared" si="128"/>
        <v>0</v>
      </c>
      <c r="BB51" s="831">
        <f t="shared" si="128"/>
        <v>0</v>
      </c>
      <c r="BC51" s="831">
        <f t="shared" si="128"/>
        <v>0</v>
      </c>
      <c r="BD51" s="831">
        <f t="shared" si="128"/>
        <v>0</v>
      </c>
      <c r="BE51" s="831">
        <f t="shared" si="128"/>
        <v>0</v>
      </c>
      <c r="BF51" s="831">
        <f t="shared" si="128"/>
        <v>0</v>
      </c>
      <c r="BG51" s="831">
        <f t="shared" si="128"/>
        <v>0</v>
      </c>
      <c r="BH51" s="831">
        <f t="shared" si="128"/>
        <v>0</v>
      </c>
      <c r="BI51" s="831">
        <f t="shared" si="128"/>
        <v>0</v>
      </c>
      <c r="BJ51" s="831">
        <f t="shared" si="128"/>
        <v>0</v>
      </c>
      <c r="BK51" s="831">
        <f t="shared" si="128"/>
        <v>0</v>
      </c>
      <c r="BL51" s="831">
        <f t="shared" si="128"/>
        <v>0</v>
      </c>
      <c r="BM51" s="831">
        <f t="shared" si="128"/>
        <v>0</v>
      </c>
      <c r="BO51" s="655">
        <v>0</v>
      </c>
    </row>
    <row r="52" spans="1:67" x14ac:dyDescent="0.25">
      <c r="B52" s="233" t="str">
        <f>B47</f>
        <v>TRADME00</v>
      </c>
      <c r="C52" s="234"/>
      <c r="D52" s="235"/>
      <c r="E52" s="234"/>
      <c r="F52" s="234"/>
      <c r="G52" s="234"/>
      <c r="H52" s="236">
        <f>$K$5</f>
        <v>2050</v>
      </c>
      <c r="I52" s="224"/>
      <c r="J52" s="237" t="s">
        <v>1065</v>
      </c>
      <c r="K52" s="237" t="s">
        <v>85</v>
      </c>
      <c r="L52" s="637">
        <f t="shared" si="125"/>
        <v>0</v>
      </c>
      <c r="M52" s="637">
        <f t="shared" si="125"/>
        <v>0</v>
      </c>
      <c r="N52" s="637">
        <f t="shared" si="125"/>
        <v>0</v>
      </c>
      <c r="O52" s="637">
        <f t="shared" si="125"/>
        <v>0</v>
      </c>
      <c r="P52" s="637">
        <f t="shared" si="125"/>
        <v>0</v>
      </c>
      <c r="Q52" s="637">
        <f t="shared" si="125"/>
        <v>0</v>
      </c>
      <c r="R52" s="637">
        <f t="shared" si="125"/>
        <v>0</v>
      </c>
      <c r="S52" s="637">
        <f t="shared" si="125"/>
        <v>0</v>
      </c>
      <c r="T52" s="637">
        <f t="shared" si="125"/>
        <v>0</v>
      </c>
      <c r="U52" s="637">
        <f t="shared" si="125"/>
        <v>0</v>
      </c>
      <c r="V52" s="637">
        <f t="shared" si="125"/>
        <v>0</v>
      </c>
      <c r="W52" s="637">
        <f t="shared" si="125"/>
        <v>0</v>
      </c>
      <c r="X52" s="637">
        <f t="shared" si="125"/>
        <v>0</v>
      </c>
      <c r="Y52" s="637">
        <f t="shared" si="125"/>
        <v>0</v>
      </c>
      <c r="Z52" s="637">
        <f t="shared" si="125"/>
        <v>0</v>
      </c>
      <c r="AB52" s="19"/>
      <c r="AW52" s="418" t="s">
        <v>1079</v>
      </c>
      <c r="AX52" s="419">
        <f t="shared" si="120"/>
        <v>9271110.6488958821</v>
      </c>
      <c r="AY52" s="831">
        <f>SUM(AY46:AY51)</f>
        <v>9271110.6488958821</v>
      </c>
      <c r="AZ52" s="831">
        <f t="shared" ref="AZ52:BM52" si="129">SUM(AZ46:AZ51)</f>
        <v>0</v>
      </c>
      <c r="BA52" s="831">
        <f t="shared" si="129"/>
        <v>0</v>
      </c>
      <c r="BB52" s="831">
        <f t="shared" si="129"/>
        <v>0</v>
      </c>
      <c r="BC52" s="831">
        <f t="shared" si="129"/>
        <v>0</v>
      </c>
      <c r="BD52" s="831">
        <f t="shared" si="129"/>
        <v>0</v>
      </c>
      <c r="BE52" s="831">
        <f t="shared" si="129"/>
        <v>0</v>
      </c>
      <c r="BF52" s="831">
        <f t="shared" si="129"/>
        <v>0</v>
      </c>
      <c r="BG52" s="831">
        <f t="shared" si="129"/>
        <v>0</v>
      </c>
      <c r="BH52" s="831">
        <f t="shared" si="129"/>
        <v>0</v>
      </c>
      <c r="BI52" s="831">
        <f t="shared" si="129"/>
        <v>0</v>
      </c>
      <c r="BJ52" s="831">
        <f t="shared" si="129"/>
        <v>0</v>
      </c>
      <c r="BK52" s="831">
        <f t="shared" si="129"/>
        <v>0</v>
      </c>
      <c r="BL52" s="831">
        <f t="shared" si="129"/>
        <v>0</v>
      </c>
      <c r="BM52" s="831">
        <f t="shared" si="129"/>
        <v>0</v>
      </c>
      <c r="BO52" s="655">
        <f>SUM(BO46:BO51)</f>
        <v>13075806</v>
      </c>
    </row>
    <row r="53" spans="1:67" x14ac:dyDescent="0.25">
      <c r="A53" s="100"/>
      <c r="B53" s="219" t="str">
        <f>C53</f>
        <v>TRAETH00</v>
      </c>
      <c r="C53" s="224" t="str">
        <f>CONCATENATE(F53,"00")</f>
        <v>TRAETH00</v>
      </c>
      <c r="D53" s="225" t="str">
        <f>CONCATENATE("Fuel Tech - ",LOOKUP(F53,TRA_Comm!$C$6:$C$28,TRA_Comm!$D$6:$D$28))</f>
        <v>Fuel Tech - Ethanol (TRA)</v>
      </c>
      <c r="E53" s="224" t="s">
        <v>1080</v>
      </c>
      <c r="F53" s="224" t="s">
        <v>1010</v>
      </c>
      <c r="G53" s="226"/>
      <c r="H53" s="227"/>
      <c r="I53" s="228"/>
      <c r="J53" s="229" t="s">
        <v>1064</v>
      </c>
      <c r="K53" s="229"/>
      <c r="L53" s="635">
        <v>1</v>
      </c>
      <c r="M53" s="635">
        <v>1</v>
      </c>
      <c r="N53" s="635">
        <v>1</v>
      </c>
      <c r="O53" s="635">
        <v>1</v>
      </c>
      <c r="P53" s="635">
        <v>1</v>
      </c>
      <c r="Q53" s="635">
        <v>1</v>
      </c>
      <c r="R53" s="635">
        <v>1</v>
      </c>
      <c r="S53" s="635">
        <v>1</v>
      </c>
      <c r="T53" s="635">
        <v>1</v>
      </c>
      <c r="U53" s="635">
        <v>1</v>
      </c>
      <c r="V53" s="635">
        <v>1</v>
      </c>
      <c r="W53" s="635">
        <v>1</v>
      </c>
      <c r="X53" s="635">
        <v>1</v>
      </c>
      <c r="Y53" s="635">
        <v>1</v>
      </c>
      <c r="Z53" s="635">
        <v>1</v>
      </c>
      <c r="AB53" s="19"/>
      <c r="AW53" s="936"/>
      <c r="AX53" s="937"/>
      <c r="AY53" s="938"/>
      <c r="AZ53" s="938"/>
      <c r="BA53" s="938"/>
      <c r="BB53" s="938"/>
      <c r="BC53" s="938"/>
      <c r="BD53" s="938"/>
      <c r="BE53" s="938"/>
      <c r="BF53" s="938"/>
      <c r="BG53" s="938"/>
      <c r="BH53" s="938"/>
      <c r="BI53" s="938"/>
      <c r="BJ53" s="938"/>
      <c r="BK53" s="938"/>
      <c r="BL53" s="938"/>
      <c r="BM53" s="938"/>
    </row>
    <row r="54" spans="1:67" x14ac:dyDescent="0.25">
      <c r="B54" s="219" t="str">
        <f>B53</f>
        <v>TRAETH00</v>
      </c>
      <c r="C54" s="224"/>
      <c r="D54" s="230"/>
      <c r="E54" s="224"/>
      <c r="F54" s="224"/>
      <c r="G54" s="224"/>
      <c r="H54" s="231">
        <f>$K$3</f>
        <v>2019</v>
      </c>
      <c r="I54" s="224"/>
      <c r="J54" s="232" t="s">
        <v>1065</v>
      </c>
      <c r="K54" s="232" t="s">
        <v>85</v>
      </c>
      <c r="L54" s="636">
        <f t="shared" ref="L54:Z54" si="130">LOOKUP($F53, $AE$11:$AE$34, AG$11:AG$34*$L$6)</f>
        <v>1028.7762224531771</v>
      </c>
      <c r="M54" s="636">
        <f t="shared" si="130"/>
        <v>0</v>
      </c>
      <c r="N54" s="636">
        <f t="shared" si="130"/>
        <v>0</v>
      </c>
      <c r="O54" s="636">
        <f t="shared" si="130"/>
        <v>0</v>
      </c>
      <c r="P54" s="636">
        <f t="shared" si="130"/>
        <v>0</v>
      </c>
      <c r="Q54" s="636">
        <f t="shared" si="130"/>
        <v>0</v>
      </c>
      <c r="R54" s="636">
        <f t="shared" si="130"/>
        <v>0</v>
      </c>
      <c r="S54" s="636">
        <f t="shared" si="130"/>
        <v>0</v>
      </c>
      <c r="T54" s="636">
        <f t="shared" si="130"/>
        <v>0</v>
      </c>
      <c r="U54" s="636">
        <f t="shared" si="130"/>
        <v>0</v>
      </c>
      <c r="V54" s="636">
        <f t="shared" si="130"/>
        <v>0</v>
      </c>
      <c r="W54" s="636">
        <f t="shared" si="130"/>
        <v>0</v>
      </c>
      <c r="X54" s="636">
        <f t="shared" si="130"/>
        <v>0</v>
      </c>
      <c r="Y54" s="636">
        <f t="shared" si="130"/>
        <v>0</v>
      </c>
      <c r="Z54" s="636">
        <f t="shared" si="130"/>
        <v>0</v>
      </c>
      <c r="AB54" s="19"/>
      <c r="AE54" s="394" t="s">
        <v>675</v>
      </c>
      <c r="AF54" s="394">
        <v>2030</v>
      </c>
      <c r="AG54" s="394">
        <v>0.4</v>
      </c>
      <c r="AH54" s="394">
        <v>0.4</v>
      </c>
      <c r="AI54" s="394">
        <v>0.4</v>
      </c>
      <c r="AJ54" s="394">
        <v>0.4</v>
      </c>
      <c r="AK54" s="394">
        <v>0.4</v>
      </c>
      <c r="AL54" s="394">
        <v>0.4</v>
      </c>
      <c r="AM54" s="394">
        <v>0.4</v>
      </c>
      <c r="AN54" s="394">
        <v>0.4</v>
      </c>
      <c r="AO54" s="394">
        <v>0.4</v>
      </c>
      <c r="AP54" s="394">
        <v>0.4</v>
      </c>
      <c r="AQ54" s="394">
        <v>0.4</v>
      </c>
      <c r="AR54" s="394">
        <v>0.4</v>
      </c>
      <c r="AS54" s="394">
        <v>0.4</v>
      </c>
      <c r="AT54" s="394">
        <v>0.4</v>
      </c>
      <c r="AU54" s="394">
        <v>0.4</v>
      </c>
      <c r="AW54" s="936"/>
      <c r="AX54" s="937"/>
      <c r="AY54" s="938"/>
      <c r="AZ54" s="938"/>
      <c r="BA54" s="938"/>
      <c r="BB54" s="938"/>
      <c r="BC54" s="938"/>
      <c r="BD54" s="938"/>
      <c r="BE54" s="938"/>
      <c r="BF54" s="938"/>
      <c r="BG54" s="938"/>
      <c r="BH54" s="938"/>
      <c r="BI54" s="938"/>
      <c r="BJ54" s="938"/>
      <c r="BK54" s="938"/>
      <c r="BL54" s="938"/>
      <c r="BM54" s="938"/>
    </row>
    <row r="55" spans="1:67" x14ac:dyDescent="0.25">
      <c r="B55" s="219" t="str">
        <f t="shared" ref="B55:B57" si="131">B54</f>
        <v>TRAETH00</v>
      </c>
      <c r="C55" s="224"/>
      <c r="D55" s="230"/>
      <c r="E55" s="224"/>
      <c r="F55" s="224"/>
      <c r="G55" s="224"/>
      <c r="H55" s="231">
        <v>2020</v>
      </c>
      <c r="I55" s="224"/>
      <c r="J55" s="232" t="s">
        <v>1065</v>
      </c>
      <c r="K55" s="232" t="s">
        <v>85</v>
      </c>
      <c r="L55" s="636">
        <f t="shared" ref="L55:Z58" si="132">L$54*LOOKUP($H55, $AF$47:$AF$50, AG$47:AG$50)</f>
        <v>823.02097796254168</v>
      </c>
      <c r="M55" s="636">
        <f t="shared" si="132"/>
        <v>0</v>
      </c>
      <c r="N55" s="636">
        <f t="shared" si="132"/>
        <v>0</v>
      </c>
      <c r="O55" s="636">
        <f t="shared" si="132"/>
        <v>0</v>
      </c>
      <c r="P55" s="636">
        <f t="shared" si="132"/>
        <v>0</v>
      </c>
      <c r="Q55" s="636">
        <f t="shared" si="132"/>
        <v>0</v>
      </c>
      <c r="R55" s="636">
        <f t="shared" si="132"/>
        <v>0</v>
      </c>
      <c r="S55" s="636">
        <f t="shared" si="132"/>
        <v>0</v>
      </c>
      <c r="T55" s="636">
        <f t="shared" si="132"/>
        <v>0</v>
      </c>
      <c r="U55" s="636">
        <f t="shared" si="132"/>
        <v>0</v>
      </c>
      <c r="V55" s="636">
        <f t="shared" si="132"/>
        <v>0</v>
      </c>
      <c r="W55" s="636">
        <f t="shared" si="132"/>
        <v>0</v>
      </c>
      <c r="X55" s="636">
        <f t="shared" si="132"/>
        <v>0</v>
      </c>
      <c r="Y55" s="636">
        <f t="shared" si="132"/>
        <v>0</v>
      </c>
      <c r="Z55" s="636">
        <f t="shared" si="132"/>
        <v>0</v>
      </c>
      <c r="AB55" s="19"/>
      <c r="AE55" s="394" t="s">
        <v>675</v>
      </c>
      <c r="AF55" s="394">
        <v>2040</v>
      </c>
      <c r="AG55" s="806">
        <v>0</v>
      </c>
      <c r="AH55" s="806">
        <v>0</v>
      </c>
      <c r="AI55" s="806">
        <v>0</v>
      </c>
      <c r="AJ55" s="806">
        <v>0</v>
      </c>
      <c r="AK55" s="806">
        <v>0</v>
      </c>
      <c r="AL55" s="806">
        <v>0</v>
      </c>
      <c r="AM55" s="806">
        <v>0</v>
      </c>
      <c r="AN55" s="806">
        <v>0</v>
      </c>
      <c r="AO55" s="806">
        <v>0</v>
      </c>
      <c r="AP55" s="806">
        <v>0</v>
      </c>
      <c r="AQ55" s="806">
        <v>0</v>
      </c>
      <c r="AR55" s="806">
        <v>0</v>
      </c>
      <c r="AS55" s="806">
        <v>0</v>
      </c>
      <c r="AT55" s="806">
        <v>0</v>
      </c>
      <c r="AU55" s="806">
        <v>0</v>
      </c>
      <c r="AW55" s="936"/>
      <c r="AX55" s="937"/>
      <c r="AY55" s="938"/>
      <c r="AZ55" s="938"/>
      <c r="BA55" s="938"/>
      <c r="BB55" s="938"/>
      <c r="BC55" s="938"/>
      <c r="BD55" s="938"/>
      <c r="BE55" s="938"/>
      <c r="BF55" s="938"/>
      <c r="BG55" s="938"/>
      <c r="BH55" s="938"/>
      <c r="BI55" s="938"/>
      <c r="BJ55" s="938"/>
      <c r="BK55" s="938"/>
      <c r="BL55" s="938"/>
      <c r="BM55" s="938"/>
    </row>
    <row r="56" spans="1:67" x14ac:dyDescent="0.25">
      <c r="B56" s="219" t="str">
        <f t="shared" si="131"/>
        <v>TRAETH00</v>
      </c>
      <c r="C56" s="224"/>
      <c r="D56" s="230"/>
      <c r="E56" s="224"/>
      <c r="F56" s="224"/>
      <c r="G56" s="224"/>
      <c r="H56" s="231">
        <v>2030</v>
      </c>
      <c r="I56" s="224"/>
      <c r="J56" s="232" t="s">
        <v>1065</v>
      </c>
      <c r="K56" s="232" t="s">
        <v>85</v>
      </c>
      <c r="L56" s="636">
        <f t="shared" si="132"/>
        <v>411.51048898127084</v>
      </c>
      <c r="M56" s="636">
        <f t="shared" si="132"/>
        <v>0</v>
      </c>
      <c r="N56" s="636">
        <f t="shared" si="132"/>
        <v>0</v>
      </c>
      <c r="O56" s="636">
        <f t="shared" si="132"/>
        <v>0</v>
      </c>
      <c r="P56" s="636">
        <f t="shared" si="132"/>
        <v>0</v>
      </c>
      <c r="Q56" s="636">
        <f t="shared" si="132"/>
        <v>0</v>
      </c>
      <c r="R56" s="636">
        <f t="shared" si="132"/>
        <v>0</v>
      </c>
      <c r="S56" s="636">
        <f t="shared" si="132"/>
        <v>0</v>
      </c>
      <c r="T56" s="636">
        <f t="shared" si="132"/>
        <v>0</v>
      </c>
      <c r="U56" s="636">
        <f t="shared" si="132"/>
        <v>0</v>
      </c>
      <c r="V56" s="636">
        <f t="shared" si="132"/>
        <v>0</v>
      </c>
      <c r="W56" s="636">
        <f t="shared" si="132"/>
        <v>0</v>
      </c>
      <c r="X56" s="636">
        <f t="shared" si="132"/>
        <v>0</v>
      </c>
      <c r="Y56" s="636">
        <f t="shared" si="132"/>
        <v>0</v>
      </c>
      <c r="Z56" s="636">
        <f t="shared" si="132"/>
        <v>0</v>
      </c>
      <c r="AB56" s="19"/>
      <c r="AE56" s="394" t="s">
        <v>675</v>
      </c>
      <c r="AF56" s="394">
        <v>2050</v>
      </c>
      <c r="AG56" s="806">
        <v>0</v>
      </c>
      <c r="AH56" s="806">
        <v>0</v>
      </c>
      <c r="AI56" s="806">
        <v>0</v>
      </c>
      <c r="AJ56" s="806">
        <v>0</v>
      </c>
      <c r="AK56" s="806">
        <v>0</v>
      </c>
      <c r="AL56" s="806">
        <v>0</v>
      </c>
      <c r="AM56" s="806">
        <v>0</v>
      </c>
      <c r="AN56" s="806">
        <v>0</v>
      </c>
      <c r="AO56" s="806">
        <v>0</v>
      </c>
      <c r="AP56" s="806">
        <v>0</v>
      </c>
      <c r="AQ56" s="806">
        <v>0</v>
      </c>
      <c r="AR56" s="806">
        <v>0</v>
      </c>
      <c r="AS56" s="806">
        <v>0</v>
      </c>
      <c r="AT56" s="806">
        <v>0</v>
      </c>
      <c r="AU56" s="806">
        <v>0</v>
      </c>
      <c r="AW56" s="936"/>
      <c r="AX56" s="937"/>
      <c r="AY56" s="938"/>
      <c r="AZ56" s="938"/>
      <c r="BA56" s="938"/>
      <c r="BB56" s="938"/>
      <c r="BC56" s="938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</row>
    <row r="57" spans="1:67" x14ac:dyDescent="0.25">
      <c r="B57" s="219" t="str">
        <f t="shared" si="131"/>
        <v>TRAETH00</v>
      </c>
      <c r="C57" s="224"/>
      <c r="D57" s="230"/>
      <c r="E57" s="224"/>
      <c r="F57" s="224"/>
      <c r="G57" s="224"/>
      <c r="H57" s="231">
        <v>2040</v>
      </c>
      <c r="I57" s="224"/>
      <c r="J57" s="232" t="s">
        <v>1065</v>
      </c>
      <c r="K57" s="232" t="s">
        <v>85</v>
      </c>
      <c r="L57" s="636">
        <f t="shared" si="132"/>
        <v>0</v>
      </c>
      <c r="M57" s="636">
        <f t="shared" si="132"/>
        <v>0</v>
      </c>
      <c r="N57" s="636">
        <f t="shared" si="132"/>
        <v>0</v>
      </c>
      <c r="O57" s="636">
        <f t="shared" si="132"/>
        <v>0</v>
      </c>
      <c r="P57" s="636">
        <f t="shared" si="132"/>
        <v>0</v>
      </c>
      <c r="Q57" s="636">
        <f t="shared" si="132"/>
        <v>0</v>
      </c>
      <c r="R57" s="636">
        <f t="shared" si="132"/>
        <v>0</v>
      </c>
      <c r="S57" s="636">
        <f t="shared" si="132"/>
        <v>0</v>
      </c>
      <c r="T57" s="636">
        <f t="shared" si="132"/>
        <v>0</v>
      </c>
      <c r="U57" s="636">
        <f t="shared" si="132"/>
        <v>0</v>
      </c>
      <c r="V57" s="636">
        <f t="shared" si="132"/>
        <v>0</v>
      </c>
      <c r="W57" s="636">
        <f t="shared" si="132"/>
        <v>0</v>
      </c>
      <c r="X57" s="636">
        <f t="shared" si="132"/>
        <v>0</v>
      </c>
      <c r="Y57" s="636">
        <f t="shared" si="132"/>
        <v>0</v>
      </c>
      <c r="Z57" s="636">
        <f t="shared" si="132"/>
        <v>0</v>
      </c>
      <c r="AB57" s="19"/>
      <c r="AW57" s="936"/>
      <c r="AX57" s="937"/>
      <c r="AY57" s="938"/>
      <c r="AZ57" s="938"/>
      <c r="BA57" s="938"/>
      <c r="BB57" s="938"/>
      <c r="BC57" s="938"/>
      <c r="BD57" s="938"/>
      <c r="BE57" s="938"/>
      <c r="BF57" s="938"/>
      <c r="BG57" s="938"/>
      <c r="BH57" s="938"/>
      <c r="BI57" s="938"/>
      <c r="BJ57" s="938"/>
      <c r="BK57" s="938"/>
      <c r="BL57" s="938"/>
      <c r="BM57" s="938"/>
    </row>
    <row r="58" spans="1:67" x14ac:dyDescent="0.25">
      <c r="B58" s="233" t="str">
        <f>B53</f>
        <v>TRAETH00</v>
      </c>
      <c r="C58" s="234"/>
      <c r="D58" s="235"/>
      <c r="E58" s="234"/>
      <c r="F58" s="234"/>
      <c r="G58" s="234"/>
      <c r="H58" s="236">
        <f>$K$5</f>
        <v>2050</v>
      </c>
      <c r="I58" s="224"/>
      <c r="J58" s="237" t="s">
        <v>1065</v>
      </c>
      <c r="K58" s="237" t="s">
        <v>85</v>
      </c>
      <c r="L58" s="637">
        <f t="shared" si="132"/>
        <v>0</v>
      </c>
      <c r="M58" s="637">
        <f t="shared" si="132"/>
        <v>0</v>
      </c>
      <c r="N58" s="637">
        <f t="shared" si="132"/>
        <v>0</v>
      </c>
      <c r="O58" s="637">
        <f t="shared" si="132"/>
        <v>0</v>
      </c>
      <c r="P58" s="637">
        <f t="shared" si="132"/>
        <v>0</v>
      </c>
      <c r="Q58" s="637">
        <f t="shared" si="132"/>
        <v>0</v>
      </c>
      <c r="R58" s="637">
        <f t="shared" si="132"/>
        <v>0</v>
      </c>
      <c r="S58" s="637">
        <f t="shared" si="132"/>
        <v>0</v>
      </c>
      <c r="T58" s="637">
        <f t="shared" si="132"/>
        <v>0</v>
      </c>
      <c r="U58" s="637">
        <f t="shared" si="132"/>
        <v>0</v>
      </c>
      <c r="V58" s="637">
        <f t="shared" si="132"/>
        <v>0</v>
      </c>
      <c r="W58" s="637">
        <f t="shared" si="132"/>
        <v>0</v>
      </c>
      <c r="X58" s="637">
        <f t="shared" si="132"/>
        <v>0</v>
      </c>
      <c r="Y58" s="637">
        <f t="shared" si="132"/>
        <v>0</v>
      </c>
      <c r="Z58" s="637">
        <f t="shared" si="132"/>
        <v>0</v>
      </c>
      <c r="AB58" s="19"/>
    </row>
    <row r="59" spans="1:67" x14ac:dyDescent="0.25">
      <c r="A59" s="100"/>
      <c r="B59" s="219" t="str">
        <f>C59</f>
        <v>TRAETHM00</v>
      </c>
      <c r="C59" s="224" t="str">
        <f>CONCATENATE(F59,"00")</f>
        <v>TRAETHM00</v>
      </c>
      <c r="D59" s="225" t="str">
        <f>CONCATENATE("Fuel Tech - ",LOOKUP(F59,TRA_Comm!$C$6:$C$28,TRA_Comm!$D$6:$D$28))</f>
        <v>Fuel Tech - Ethanol for blending with GSL (TRA)</v>
      </c>
      <c r="E59" s="224" t="s">
        <v>1080</v>
      </c>
      <c r="F59" s="224" t="s">
        <v>1012</v>
      </c>
      <c r="G59" s="226"/>
      <c r="H59" s="227"/>
      <c r="I59" s="228"/>
      <c r="J59" s="229" t="s">
        <v>1064</v>
      </c>
      <c r="K59" s="229"/>
      <c r="L59" s="635">
        <v>1</v>
      </c>
      <c r="M59" s="635">
        <v>1</v>
      </c>
      <c r="N59" s="635">
        <v>1</v>
      </c>
      <c r="O59" s="635">
        <v>1</v>
      </c>
      <c r="P59" s="635">
        <v>1</v>
      </c>
      <c r="Q59" s="635">
        <v>1</v>
      </c>
      <c r="R59" s="635">
        <v>1</v>
      </c>
      <c r="S59" s="635">
        <v>1</v>
      </c>
      <c r="T59" s="635">
        <v>1</v>
      </c>
      <c r="U59" s="635">
        <v>1</v>
      </c>
      <c r="V59" s="635">
        <v>1</v>
      </c>
      <c r="W59" s="635">
        <v>1</v>
      </c>
      <c r="X59" s="635">
        <v>1</v>
      </c>
      <c r="Y59" s="635">
        <v>1</v>
      </c>
      <c r="Z59" s="635">
        <v>1</v>
      </c>
      <c r="AB59" s="19"/>
    </row>
    <row r="60" spans="1:67" x14ac:dyDescent="0.25">
      <c r="B60" s="219" t="str">
        <f>B59</f>
        <v>TRAETHM00</v>
      </c>
      <c r="C60" s="224"/>
      <c r="D60" s="230"/>
      <c r="E60" s="224"/>
      <c r="F60" s="224"/>
      <c r="G60" s="224"/>
      <c r="H60" s="231">
        <f>$K$3</f>
        <v>2019</v>
      </c>
      <c r="I60" s="224"/>
      <c r="J60" s="232" t="s">
        <v>1065</v>
      </c>
      <c r="K60" s="232" t="s">
        <v>85</v>
      </c>
      <c r="L60" s="636">
        <f t="shared" ref="L60:Z60" si="133">LOOKUP($F59, $AE$11:$AE$34, AG$11:AG$34*$L$6)</f>
        <v>361.21039048168689</v>
      </c>
      <c r="M60" s="636">
        <f t="shared" si="133"/>
        <v>0</v>
      </c>
      <c r="N60" s="636">
        <f t="shared" si="133"/>
        <v>0</v>
      </c>
      <c r="O60" s="636">
        <f t="shared" si="133"/>
        <v>0</v>
      </c>
      <c r="P60" s="636">
        <f t="shared" si="133"/>
        <v>0</v>
      </c>
      <c r="Q60" s="636">
        <f t="shared" si="133"/>
        <v>0</v>
      </c>
      <c r="R60" s="636">
        <f t="shared" si="133"/>
        <v>0</v>
      </c>
      <c r="S60" s="636">
        <f t="shared" si="133"/>
        <v>0</v>
      </c>
      <c r="T60" s="636">
        <f t="shared" si="133"/>
        <v>0</v>
      </c>
      <c r="U60" s="636">
        <f t="shared" si="133"/>
        <v>0</v>
      </c>
      <c r="V60" s="636">
        <f t="shared" si="133"/>
        <v>0</v>
      </c>
      <c r="W60" s="636">
        <f t="shared" si="133"/>
        <v>0</v>
      </c>
      <c r="X60" s="636">
        <f t="shared" si="133"/>
        <v>0</v>
      </c>
      <c r="Y60" s="636">
        <f t="shared" si="133"/>
        <v>0</v>
      </c>
      <c r="Z60" s="636">
        <f t="shared" si="133"/>
        <v>0</v>
      </c>
      <c r="AB60" s="19"/>
    </row>
    <row r="61" spans="1:67" x14ac:dyDescent="0.25">
      <c r="B61" s="219" t="str">
        <f t="shared" ref="B61:B63" si="134">B60</f>
        <v>TRAETHM00</v>
      </c>
      <c r="C61" s="224"/>
      <c r="D61" s="230"/>
      <c r="E61" s="224"/>
      <c r="F61" s="224"/>
      <c r="G61" s="224"/>
      <c r="H61" s="231">
        <v>2020</v>
      </c>
      <c r="I61" s="224"/>
      <c r="J61" s="232" t="s">
        <v>1065</v>
      </c>
      <c r="K61" s="232" t="s">
        <v>85</v>
      </c>
      <c r="L61" s="636">
        <f t="shared" ref="L61:Z64" si="135">L$60*LOOKUP($H61, $AF$47:$AF$50, AG$47:AG$50)</f>
        <v>288.96831238534952</v>
      </c>
      <c r="M61" s="636">
        <f t="shared" si="135"/>
        <v>0</v>
      </c>
      <c r="N61" s="636">
        <f t="shared" si="135"/>
        <v>0</v>
      </c>
      <c r="O61" s="636">
        <f t="shared" si="135"/>
        <v>0</v>
      </c>
      <c r="P61" s="636">
        <f t="shared" si="135"/>
        <v>0</v>
      </c>
      <c r="Q61" s="636">
        <f t="shared" si="135"/>
        <v>0</v>
      </c>
      <c r="R61" s="636">
        <f t="shared" si="135"/>
        <v>0</v>
      </c>
      <c r="S61" s="636">
        <f t="shared" si="135"/>
        <v>0</v>
      </c>
      <c r="T61" s="636">
        <f t="shared" si="135"/>
        <v>0</v>
      </c>
      <c r="U61" s="636">
        <f t="shared" si="135"/>
        <v>0</v>
      </c>
      <c r="V61" s="636">
        <f t="shared" si="135"/>
        <v>0</v>
      </c>
      <c r="W61" s="636">
        <f t="shared" si="135"/>
        <v>0</v>
      </c>
      <c r="X61" s="636">
        <f t="shared" si="135"/>
        <v>0</v>
      </c>
      <c r="Y61" s="636">
        <f t="shared" si="135"/>
        <v>0</v>
      </c>
      <c r="Z61" s="636">
        <f t="shared" si="135"/>
        <v>0</v>
      </c>
      <c r="AB61" s="19"/>
      <c r="AW61" s="750" t="s">
        <v>1081</v>
      </c>
      <c r="BN61" s="421"/>
    </row>
    <row r="62" spans="1:67" x14ac:dyDescent="0.25">
      <c r="B62" s="219" t="str">
        <f t="shared" si="134"/>
        <v>TRAETHM00</v>
      </c>
      <c r="C62" s="224"/>
      <c r="D62" s="230"/>
      <c r="E62" s="224"/>
      <c r="F62" s="224"/>
      <c r="G62" s="224"/>
      <c r="H62" s="231">
        <v>2030</v>
      </c>
      <c r="I62" s="224"/>
      <c r="J62" s="232" t="s">
        <v>1065</v>
      </c>
      <c r="K62" s="232" t="s">
        <v>85</v>
      </c>
      <c r="L62" s="636">
        <f t="shared" si="135"/>
        <v>144.48415619267476</v>
      </c>
      <c r="M62" s="636">
        <f t="shared" si="135"/>
        <v>0</v>
      </c>
      <c r="N62" s="636">
        <f t="shared" si="135"/>
        <v>0</v>
      </c>
      <c r="O62" s="636">
        <f t="shared" si="135"/>
        <v>0</v>
      </c>
      <c r="P62" s="636">
        <f t="shared" si="135"/>
        <v>0</v>
      </c>
      <c r="Q62" s="636">
        <f t="shared" si="135"/>
        <v>0</v>
      </c>
      <c r="R62" s="636">
        <f t="shared" si="135"/>
        <v>0</v>
      </c>
      <c r="S62" s="636">
        <f t="shared" si="135"/>
        <v>0</v>
      </c>
      <c r="T62" s="636">
        <f t="shared" si="135"/>
        <v>0</v>
      </c>
      <c r="U62" s="636">
        <f t="shared" si="135"/>
        <v>0</v>
      </c>
      <c r="V62" s="636">
        <f t="shared" si="135"/>
        <v>0</v>
      </c>
      <c r="W62" s="636">
        <f t="shared" si="135"/>
        <v>0</v>
      </c>
      <c r="X62" s="636">
        <f t="shared" si="135"/>
        <v>0</v>
      </c>
      <c r="Y62" s="636">
        <f t="shared" si="135"/>
        <v>0</v>
      </c>
      <c r="Z62" s="636">
        <f t="shared" si="135"/>
        <v>0</v>
      </c>
      <c r="AB62" s="19"/>
      <c r="AW62" s="418" t="s">
        <v>1072</v>
      </c>
      <c r="AX62" s="833">
        <f>SUM(AY62:BM62)</f>
        <v>2541703</v>
      </c>
      <c r="AY62" s="832">
        <v>65410</v>
      </c>
      <c r="AZ62" s="832">
        <v>29232</v>
      </c>
      <c r="BA62" s="832">
        <v>31487</v>
      </c>
      <c r="BB62" s="832" t="s">
        <v>1082</v>
      </c>
      <c r="BC62" s="832">
        <v>57934</v>
      </c>
      <c r="BD62" s="832">
        <v>55971</v>
      </c>
      <c r="BE62" s="832">
        <v>121470</v>
      </c>
      <c r="BF62" s="832">
        <v>41394</v>
      </c>
      <c r="BG62" s="832">
        <v>36669</v>
      </c>
      <c r="BH62" s="832">
        <v>104425</v>
      </c>
      <c r="BI62" s="832">
        <v>103296</v>
      </c>
      <c r="BJ62" s="832">
        <v>64351</v>
      </c>
      <c r="BK62" s="832">
        <v>926393</v>
      </c>
      <c r="BL62" s="832">
        <v>183350</v>
      </c>
      <c r="BM62" s="832">
        <v>720321</v>
      </c>
      <c r="BN62" s="421"/>
    </row>
    <row r="63" spans="1:67" x14ac:dyDescent="0.25">
      <c r="B63" s="219" t="str">
        <f t="shared" si="134"/>
        <v>TRAETHM00</v>
      </c>
      <c r="C63" s="224"/>
      <c r="D63" s="230"/>
      <c r="E63" s="224"/>
      <c r="F63" s="224"/>
      <c r="G63" s="224"/>
      <c r="H63" s="231">
        <v>2040</v>
      </c>
      <c r="I63" s="224"/>
      <c r="J63" s="232" t="s">
        <v>1065</v>
      </c>
      <c r="K63" s="232" t="s">
        <v>85</v>
      </c>
      <c r="L63" s="636">
        <f t="shared" si="135"/>
        <v>0</v>
      </c>
      <c r="M63" s="636">
        <f t="shared" si="135"/>
        <v>0</v>
      </c>
      <c r="N63" s="636">
        <f t="shared" si="135"/>
        <v>0</v>
      </c>
      <c r="O63" s="636">
        <f t="shared" si="135"/>
        <v>0</v>
      </c>
      <c r="P63" s="636">
        <f t="shared" si="135"/>
        <v>0</v>
      </c>
      <c r="Q63" s="636">
        <f t="shared" si="135"/>
        <v>0</v>
      </c>
      <c r="R63" s="636">
        <f t="shared" si="135"/>
        <v>0</v>
      </c>
      <c r="S63" s="636">
        <f t="shared" si="135"/>
        <v>0</v>
      </c>
      <c r="T63" s="636">
        <f t="shared" si="135"/>
        <v>0</v>
      </c>
      <c r="U63" s="636">
        <f t="shared" si="135"/>
        <v>0</v>
      </c>
      <c r="V63" s="636">
        <f t="shared" si="135"/>
        <v>0</v>
      </c>
      <c r="W63" s="636">
        <f t="shared" si="135"/>
        <v>0</v>
      </c>
      <c r="X63" s="636">
        <f t="shared" si="135"/>
        <v>0</v>
      </c>
      <c r="Y63" s="636">
        <f t="shared" si="135"/>
        <v>0</v>
      </c>
      <c r="Z63" s="636">
        <f t="shared" si="135"/>
        <v>0</v>
      </c>
      <c r="AB63" s="19"/>
      <c r="AW63" s="418" t="s">
        <v>1074</v>
      </c>
      <c r="AX63" s="833">
        <f t="shared" ref="AX63:AX66" si="136">SUM(AY63:BM63)</f>
        <v>140222</v>
      </c>
      <c r="AY63" s="832">
        <v>5885</v>
      </c>
      <c r="AZ63" s="832">
        <v>2611</v>
      </c>
      <c r="BA63" s="832">
        <v>2707</v>
      </c>
      <c r="BB63" s="832">
        <v>3191</v>
      </c>
      <c r="BC63" s="832">
        <v>5022</v>
      </c>
      <c r="BD63" s="832">
        <v>5066</v>
      </c>
      <c r="BE63" s="832">
        <v>10315</v>
      </c>
      <c r="BF63" s="832">
        <v>3294</v>
      </c>
      <c r="BG63" s="832">
        <v>2875</v>
      </c>
      <c r="BH63" s="832">
        <v>9021</v>
      </c>
      <c r="BI63" s="832">
        <v>8622</v>
      </c>
      <c r="BJ63" s="832">
        <v>5585</v>
      </c>
      <c r="BK63" s="832" t="s">
        <v>1082</v>
      </c>
      <c r="BL63" s="832">
        <v>16062</v>
      </c>
      <c r="BM63" s="832">
        <v>59966</v>
      </c>
      <c r="BN63" s="421"/>
    </row>
    <row r="64" spans="1:67" x14ac:dyDescent="0.25">
      <c r="B64" s="233" t="str">
        <f>B59</f>
        <v>TRAETHM00</v>
      </c>
      <c r="C64" s="234"/>
      <c r="D64" s="235"/>
      <c r="E64" s="234"/>
      <c r="F64" s="234"/>
      <c r="G64" s="234"/>
      <c r="H64" s="236">
        <f>$K$5</f>
        <v>2050</v>
      </c>
      <c r="I64" s="224"/>
      <c r="J64" s="237" t="s">
        <v>1065</v>
      </c>
      <c r="K64" s="237" t="s">
        <v>85</v>
      </c>
      <c r="L64" s="637">
        <f t="shared" si="135"/>
        <v>0</v>
      </c>
      <c r="M64" s="637">
        <f t="shared" si="135"/>
        <v>0</v>
      </c>
      <c r="N64" s="637">
        <f t="shared" si="135"/>
        <v>0</v>
      </c>
      <c r="O64" s="637">
        <f t="shared" si="135"/>
        <v>0</v>
      </c>
      <c r="P64" s="637">
        <f t="shared" si="135"/>
        <v>0</v>
      </c>
      <c r="Q64" s="637">
        <f t="shared" si="135"/>
        <v>0</v>
      </c>
      <c r="R64" s="637">
        <f t="shared" si="135"/>
        <v>0</v>
      </c>
      <c r="S64" s="637">
        <f t="shared" si="135"/>
        <v>0</v>
      </c>
      <c r="T64" s="637">
        <f t="shared" si="135"/>
        <v>0</v>
      </c>
      <c r="U64" s="637">
        <f t="shared" si="135"/>
        <v>0</v>
      </c>
      <c r="V64" s="637">
        <f t="shared" si="135"/>
        <v>0</v>
      </c>
      <c r="W64" s="637">
        <f t="shared" si="135"/>
        <v>0</v>
      </c>
      <c r="X64" s="637">
        <f t="shared" si="135"/>
        <v>0</v>
      </c>
      <c r="Y64" s="637">
        <f t="shared" si="135"/>
        <v>0</v>
      </c>
      <c r="Z64" s="637">
        <f t="shared" si="135"/>
        <v>0</v>
      </c>
      <c r="AB64" s="19"/>
      <c r="AW64" s="418" t="s">
        <v>1075</v>
      </c>
      <c r="AX64" s="833">
        <f t="shared" si="136"/>
        <v>0</v>
      </c>
      <c r="AY64" s="832"/>
      <c r="AZ64" s="832"/>
      <c r="BA64" s="832"/>
      <c r="BB64" s="832"/>
      <c r="BC64" s="832"/>
      <c r="BD64" s="832"/>
      <c r="BE64" s="832"/>
      <c r="BF64" s="832"/>
      <c r="BG64" s="832"/>
      <c r="BH64" s="832"/>
      <c r="BI64" s="832"/>
      <c r="BJ64" s="832"/>
      <c r="BK64" s="832"/>
      <c r="BL64" s="832"/>
      <c r="BM64" s="832"/>
      <c r="BN64" s="421"/>
    </row>
    <row r="65" spans="1:66" x14ac:dyDescent="0.25">
      <c r="A65" s="100"/>
      <c r="B65" s="224" t="str">
        <f>C65</f>
        <v>TRAH2G00</v>
      </c>
      <c r="C65" s="224" t="str">
        <f>CONCATENATE(F65,"00")</f>
        <v>TRAH2G00</v>
      </c>
      <c r="D65" s="225" t="str">
        <f>CONCATENATE("Fuel Tech - ",LOOKUP(F65,TRA_Comm!$C$6:$C$28,TRA_Comm!$D$6:$D$28))</f>
        <v>Fuel Tech - H2 (gaseous) (TRA)</v>
      </c>
      <c r="E65" s="224" t="s">
        <v>1083</v>
      </c>
      <c r="F65" s="224" t="s">
        <v>1016</v>
      </c>
      <c r="G65" s="226"/>
      <c r="H65" s="238"/>
      <c r="I65" s="226"/>
      <c r="J65" s="229" t="s">
        <v>1064</v>
      </c>
      <c r="K65" s="229"/>
      <c r="L65" s="635">
        <v>1</v>
      </c>
      <c r="M65" s="635">
        <v>1</v>
      </c>
      <c r="N65" s="635">
        <v>1</v>
      </c>
      <c r="O65" s="635">
        <v>1</v>
      </c>
      <c r="P65" s="635">
        <v>1</v>
      </c>
      <c r="Q65" s="635">
        <v>1</v>
      </c>
      <c r="R65" s="635">
        <v>1</v>
      </c>
      <c r="S65" s="635">
        <v>1</v>
      </c>
      <c r="T65" s="635">
        <v>1</v>
      </c>
      <c r="U65" s="635">
        <v>1</v>
      </c>
      <c r="V65" s="635">
        <v>1</v>
      </c>
      <c r="W65" s="635">
        <v>1</v>
      </c>
      <c r="X65" s="635">
        <v>1</v>
      </c>
      <c r="Y65" s="635">
        <v>1</v>
      </c>
      <c r="Z65" s="635">
        <v>1</v>
      </c>
      <c r="AB65" s="19"/>
      <c r="AW65" s="418" t="s">
        <v>1076</v>
      </c>
      <c r="AX65" s="833">
        <f t="shared" si="136"/>
        <v>0</v>
      </c>
      <c r="AY65" s="832"/>
      <c r="AZ65" s="832"/>
      <c r="BA65" s="832"/>
      <c r="BB65" s="832"/>
      <c r="BC65" s="832"/>
      <c r="BD65" s="832"/>
      <c r="BE65" s="832"/>
      <c r="BF65" s="832"/>
      <c r="BG65" s="832"/>
      <c r="BH65" s="832"/>
      <c r="BI65" s="832"/>
      <c r="BJ65" s="832"/>
      <c r="BK65" s="832"/>
      <c r="BL65" s="832"/>
      <c r="BM65" s="832"/>
      <c r="BN65" s="421"/>
    </row>
    <row r="66" spans="1:66" x14ac:dyDescent="0.25">
      <c r="B66" s="224" t="str">
        <f>B65</f>
        <v>TRAH2G00</v>
      </c>
      <c r="C66" s="224"/>
      <c r="D66" s="225"/>
      <c r="E66" s="224"/>
      <c r="F66" s="224"/>
      <c r="G66" s="224"/>
      <c r="H66" s="231">
        <f>$K$3</f>
        <v>2019</v>
      </c>
      <c r="I66" s="224"/>
      <c r="J66" s="232" t="s">
        <v>1065</v>
      </c>
      <c r="K66" s="232" t="s">
        <v>85</v>
      </c>
      <c r="L66" s="636">
        <f t="shared" ref="L66:Z66" si="137">LOOKUP($F65, $AE$11:$AE$34, AG$11:AG$34*$L$6)</f>
        <v>0</v>
      </c>
      <c r="M66" s="636">
        <f t="shared" si="137"/>
        <v>0</v>
      </c>
      <c r="N66" s="636">
        <f t="shared" si="137"/>
        <v>0</v>
      </c>
      <c r="O66" s="636">
        <f t="shared" si="137"/>
        <v>0</v>
      </c>
      <c r="P66" s="636">
        <f t="shared" si="137"/>
        <v>0</v>
      </c>
      <c r="Q66" s="636">
        <f t="shared" si="137"/>
        <v>0</v>
      </c>
      <c r="R66" s="636">
        <f t="shared" si="137"/>
        <v>0</v>
      </c>
      <c r="S66" s="636">
        <f t="shared" si="137"/>
        <v>0</v>
      </c>
      <c r="T66" s="636">
        <f t="shared" si="137"/>
        <v>0</v>
      </c>
      <c r="U66" s="636">
        <f t="shared" si="137"/>
        <v>0</v>
      </c>
      <c r="V66" s="636">
        <f t="shared" si="137"/>
        <v>0</v>
      </c>
      <c r="W66" s="636">
        <f t="shared" si="137"/>
        <v>0</v>
      </c>
      <c r="X66" s="636">
        <f t="shared" si="137"/>
        <v>0</v>
      </c>
      <c r="Y66" s="636">
        <f t="shared" si="137"/>
        <v>0</v>
      </c>
      <c r="Z66" s="636">
        <f t="shared" si="137"/>
        <v>0</v>
      </c>
      <c r="AB66" s="19"/>
      <c r="AW66" s="418" t="s">
        <v>1077</v>
      </c>
      <c r="AX66" s="833">
        <f t="shared" si="136"/>
        <v>60509</v>
      </c>
      <c r="AY66" s="832">
        <v>147</v>
      </c>
      <c r="AZ66" s="832">
        <v>41</v>
      </c>
      <c r="BA66" s="832">
        <v>117</v>
      </c>
      <c r="BB66" s="832">
        <v>114</v>
      </c>
      <c r="BC66" s="832">
        <v>260</v>
      </c>
      <c r="BD66" s="832">
        <v>105</v>
      </c>
      <c r="BE66" s="832">
        <v>125</v>
      </c>
      <c r="BF66" s="832">
        <v>184</v>
      </c>
      <c r="BG66" s="832">
        <v>6</v>
      </c>
      <c r="BH66" s="832">
        <v>1940</v>
      </c>
      <c r="BI66" s="832">
        <v>31</v>
      </c>
      <c r="BJ66" s="832">
        <v>0</v>
      </c>
      <c r="BK66" s="832" t="s">
        <v>1082</v>
      </c>
      <c r="BL66" s="832">
        <v>542</v>
      </c>
      <c r="BM66" s="832">
        <v>56897</v>
      </c>
      <c r="BN66" s="421"/>
    </row>
    <row r="67" spans="1:66" x14ac:dyDescent="0.25">
      <c r="B67" s="219" t="str">
        <f t="shared" ref="B67:B69" si="138">B66</f>
        <v>TRAH2G00</v>
      </c>
      <c r="C67" s="224"/>
      <c r="D67" s="230"/>
      <c r="E67" s="224"/>
      <c r="F67" s="224"/>
      <c r="G67" s="224"/>
      <c r="H67" s="231">
        <v>2020</v>
      </c>
      <c r="I67" s="224"/>
      <c r="J67" s="232" t="s">
        <v>1065</v>
      </c>
      <c r="K67" s="232" t="s">
        <v>85</v>
      </c>
      <c r="L67" s="636">
        <f t="shared" ref="L67:Z70" si="139">L$66*LOOKUP($H67, $AF$47:$AF$50, AG$47:AG$50)</f>
        <v>0</v>
      </c>
      <c r="M67" s="636">
        <f t="shared" si="139"/>
        <v>0</v>
      </c>
      <c r="N67" s="636">
        <f t="shared" si="139"/>
        <v>0</v>
      </c>
      <c r="O67" s="636">
        <f t="shared" si="139"/>
        <v>0</v>
      </c>
      <c r="P67" s="636">
        <f t="shared" si="139"/>
        <v>0</v>
      </c>
      <c r="Q67" s="636">
        <f t="shared" si="139"/>
        <v>0</v>
      </c>
      <c r="R67" s="636">
        <f t="shared" si="139"/>
        <v>0</v>
      </c>
      <c r="S67" s="636">
        <f t="shared" si="139"/>
        <v>0</v>
      </c>
      <c r="T67" s="636">
        <f t="shared" si="139"/>
        <v>0</v>
      </c>
      <c r="U67" s="636">
        <f t="shared" si="139"/>
        <v>0</v>
      </c>
      <c r="V67" s="636">
        <f t="shared" si="139"/>
        <v>0</v>
      </c>
      <c r="W67" s="636">
        <f t="shared" si="139"/>
        <v>0</v>
      </c>
      <c r="X67" s="636">
        <f t="shared" si="139"/>
        <v>0</v>
      </c>
      <c r="Y67" s="636">
        <f t="shared" si="139"/>
        <v>0</v>
      </c>
      <c r="Z67" s="636">
        <f t="shared" si="139"/>
        <v>0</v>
      </c>
      <c r="AB67" s="19"/>
      <c r="AW67" s="418" t="s">
        <v>1078</v>
      </c>
      <c r="AX67" s="833">
        <f t="shared" ref="AX67" si="140">SUM(AY67:BM67)</f>
        <v>0</v>
      </c>
      <c r="AY67" s="832"/>
      <c r="AZ67" s="832"/>
      <c r="BA67" s="832"/>
      <c r="BB67" s="832"/>
      <c r="BC67" s="832"/>
      <c r="BD67" s="832"/>
      <c r="BE67" s="832"/>
      <c r="BF67" s="832"/>
      <c r="BG67" s="832"/>
      <c r="BH67" s="832"/>
      <c r="BI67" s="832"/>
      <c r="BJ67" s="832"/>
      <c r="BK67" s="832"/>
      <c r="BL67" s="832"/>
      <c r="BM67" s="832"/>
      <c r="BN67" s="421"/>
    </row>
    <row r="68" spans="1:66" x14ac:dyDescent="0.25">
      <c r="B68" s="219" t="str">
        <f t="shared" si="138"/>
        <v>TRAH2G00</v>
      </c>
      <c r="C68" s="224"/>
      <c r="D68" s="230"/>
      <c r="E68" s="224"/>
      <c r="F68" s="224"/>
      <c r="G68" s="224"/>
      <c r="H68" s="231">
        <v>2030</v>
      </c>
      <c r="I68" s="224"/>
      <c r="J68" s="232" t="s">
        <v>1065</v>
      </c>
      <c r="K68" s="232" t="s">
        <v>85</v>
      </c>
      <c r="L68" s="636">
        <f t="shared" si="139"/>
        <v>0</v>
      </c>
      <c r="M68" s="636">
        <f t="shared" si="139"/>
        <v>0</v>
      </c>
      <c r="N68" s="636">
        <f t="shared" si="139"/>
        <v>0</v>
      </c>
      <c r="O68" s="636">
        <f t="shared" si="139"/>
        <v>0</v>
      </c>
      <c r="P68" s="636">
        <f t="shared" si="139"/>
        <v>0</v>
      </c>
      <c r="Q68" s="636">
        <f t="shared" si="139"/>
        <v>0</v>
      </c>
      <c r="R68" s="636">
        <f t="shared" si="139"/>
        <v>0</v>
      </c>
      <c r="S68" s="636">
        <f t="shared" si="139"/>
        <v>0</v>
      </c>
      <c r="T68" s="636">
        <f t="shared" si="139"/>
        <v>0</v>
      </c>
      <c r="U68" s="636">
        <f t="shared" si="139"/>
        <v>0</v>
      </c>
      <c r="V68" s="636">
        <f t="shared" si="139"/>
        <v>0</v>
      </c>
      <c r="W68" s="636">
        <f t="shared" si="139"/>
        <v>0</v>
      </c>
      <c r="X68" s="636">
        <f t="shared" si="139"/>
        <v>0</v>
      </c>
      <c r="Y68" s="636">
        <f t="shared" si="139"/>
        <v>0</v>
      </c>
      <c r="Z68" s="636">
        <f t="shared" si="139"/>
        <v>0</v>
      </c>
      <c r="AB68" s="19"/>
      <c r="AW68" s="418" t="s">
        <v>1079</v>
      </c>
      <c r="AX68" s="833">
        <f>SUM(AX50:AX67)</f>
        <v>12042959.998911543</v>
      </c>
      <c r="AY68" s="832">
        <f t="shared" ref="AY68:BJ68" si="141">SUM(AY50:AY67)</f>
        <v>9371967.9989115428</v>
      </c>
      <c r="AZ68" s="832">
        <f t="shared" si="141"/>
        <v>31884</v>
      </c>
      <c r="BA68" s="832">
        <f t="shared" si="141"/>
        <v>34311</v>
      </c>
      <c r="BB68" s="832">
        <f t="shared" si="141"/>
        <v>3305</v>
      </c>
      <c r="BC68" s="832">
        <f t="shared" si="141"/>
        <v>63216</v>
      </c>
      <c r="BD68" s="832">
        <f t="shared" si="141"/>
        <v>61142</v>
      </c>
      <c r="BE68" s="832">
        <f t="shared" si="141"/>
        <v>131910</v>
      </c>
      <c r="BF68" s="832">
        <f t="shared" si="141"/>
        <v>44872</v>
      </c>
      <c r="BG68" s="832">
        <f t="shared" si="141"/>
        <v>39550</v>
      </c>
      <c r="BH68" s="832">
        <f t="shared" si="141"/>
        <v>115386</v>
      </c>
      <c r="BI68" s="832">
        <f t="shared" si="141"/>
        <v>111949</v>
      </c>
      <c r="BJ68" s="832">
        <f t="shared" si="141"/>
        <v>69936</v>
      </c>
      <c r="BK68" s="832">
        <v>1013104</v>
      </c>
      <c r="BL68" s="832">
        <f t="shared" ref="BL68:BM68" si="142">SUM(BL50:BL67)</f>
        <v>199954</v>
      </c>
      <c r="BM68" s="832">
        <f t="shared" si="142"/>
        <v>837184</v>
      </c>
    </row>
    <row r="69" spans="1:66" x14ac:dyDescent="0.25">
      <c r="B69" s="219" t="str">
        <f t="shared" si="138"/>
        <v>TRAH2G00</v>
      </c>
      <c r="C69" s="224"/>
      <c r="D69" s="230"/>
      <c r="E69" s="224"/>
      <c r="F69" s="224"/>
      <c r="G69" s="224"/>
      <c r="H69" s="231">
        <v>2040</v>
      </c>
      <c r="I69" s="224"/>
      <c r="J69" s="232" t="s">
        <v>1065</v>
      </c>
      <c r="K69" s="232" t="s">
        <v>85</v>
      </c>
      <c r="L69" s="636">
        <f t="shared" si="139"/>
        <v>0</v>
      </c>
      <c r="M69" s="636">
        <f t="shared" si="139"/>
        <v>0</v>
      </c>
      <c r="N69" s="636">
        <f t="shared" si="139"/>
        <v>0</v>
      </c>
      <c r="O69" s="636">
        <f t="shared" si="139"/>
        <v>0</v>
      </c>
      <c r="P69" s="636">
        <f t="shared" si="139"/>
        <v>0</v>
      </c>
      <c r="Q69" s="636">
        <f t="shared" si="139"/>
        <v>0</v>
      </c>
      <c r="R69" s="636">
        <f t="shared" si="139"/>
        <v>0</v>
      </c>
      <c r="S69" s="636">
        <f t="shared" si="139"/>
        <v>0</v>
      </c>
      <c r="T69" s="636">
        <f t="shared" si="139"/>
        <v>0</v>
      </c>
      <c r="U69" s="636">
        <f t="shared" si="139"/>
        <v>0</v>
      </c>
      <c r="V69" s="636">
        <f t="shared" si="139"/>
        <v>0</v>
      </c>
      <c r="W69" s="636">
        <f t="shared" si="139"/>
        <v>0</v>
      </c>
      <c r="X69" s="636">
        <f t="shared" si="139"/>
        <v>0</v>
      </c>
      <c r="Y69" s="636">
        <f t="shared" si="139"/>
        <v>0</v>
      </c>
      <c r="Z69" s="636">
        <f t="shared" si="139"/>
        <v>0</v>
      </c>
      <c r="AB69" s="19"/>
    </row>
    <row r="70" spans="1:66" x14ac:dyDescent="0.25">
      <c r="B70" s="234" t="str">
        <f>B66</f>
        <v>TRAH2G00</v>
      </c>
      <c r="C70" s="234"/>
      <c r="D70" s="240"/>
      <c r="E70" s="234"/>
      <c r="F70" s="234"/>
      <c r="G70" s="234"/>
      <c r="H70" s="236">
        <f>$K$5</f>
        <v>2050</v>
      </c>
      <c r="I70" s="234"/>
      <c r="J70" s="237" t="s">
        <v>1065</v>
      </c>
      <c r="K70" s="237" t="s">
        <v>85</v>
      </c>
      <c r="L70" s="637">
        <f t="shared" si="139"/>
        <v>0</v>
      </c>
      <c r="M70" s="637">
        <f t="shared" si="139"/>
        <v>0</v>
      </c>
      <c r="N70" s="637">
        <f t="shared" si="139"/>
        <v>0</v>
      </c>
      <c r="O70" s="637">
        <f t="shared" si="139"/>
        <v>0</v>
      </c>
      <c r="P70" s="637">
        <f t="shared" si="139"/>
        <v>0</v>
      </c>
      <c r="Q70" s="637">
        <f t="shared" si="139"/>
        <v>0</v>
      </c>
      <c r="R70" s="637">
        <f t="shared" si="139"/>
        <v>0</v>
      </c>
      <c r="S70" s="637">
        <f t="shared" si="139"/>
        <v>0</v>
      </c>
      <c r="T70" s="637">
        <f t="shared" si="139"/>
        <v>0</v>
      </c>
      <c r="U70" s="637">
        <f t="shared" si="139"/>
        <v>0</v>
      </c>
      <c r="V70" s="637">
        <f t="shared" si="139"/>
        <v>0</v>
      </c>
      <c r="W70" s="637">
        <f t="shared" si="139"/>
        <v>0</v>
      </c>
      <c r="X70" s="637">
        <f t="shared" si="139"/>
        <v>0</v>
      </c>
      <c r="Y70" s="637">
        <f t="shared" si="139"/>
        <v>0</v>
      </c>
      <c r="Z70" s="637">
        <f t="shared" si="139"/>
        <v>0</v>
      </c>
      <c r="AB70" s="19"/>
    </row>
    <row r="71" spans="1:66" x14ac:dyDescent="0.25">
      <c r="A71" s="100"/>
      <c r="B71" s="219" t="str">
        <f>C71</f>
        <v>TRANGS00</v>
      </c>
      <c r="C71" s="224" t="str">
        <f>CONCATENATE(F71,"00")</f>
        <v>TRANGS00</v>
      </c>
      <c r="D71" s="225" t="str">
        <f>CONCATENATE("Fuel Tech - ",LOOKUP(F71,TRA_Comm!$C$6:$C$28,TRA_Comm!$D$6:$D$28))</f>
        <v>Fuel Tech - Natural Gas (TRA)</v>
      </c>
      <c r="E71" s="224" t="s">
        <v>1084</v>
      </c>
      <c r="F71" s="224" t="s">
        <v>1039</v>
      </c>
      <c r="G71" s="173"/>
      <c r="H71" s="241"/>
      <c r="I71" s="173"/>
      <c r="J71" s="173" t="s">
        <v>1064</v>
      </c>
      <c r="K71" s="173"/>
      <c r="L71" s="635">
        <v>1</v>
      </c>
      <c r="M71" s="635">
        <v>1</v>
      </c>
      <c r="N71" s="635">
        <v>1</v>
      </c>
      <c r="O71" s="635">
        <v>1</v>
      </c>
      <c r="P71" s="635">
        <v>1</v>
      </c>
      <c r="Q71" s="635">
        <v>1</v>
      </c>
      <c r="R71" s="635">
        <v>1</v>
      </c>
      <c r="S71" s="635">
        <v>1</v>
      </c>
      <c r="T71" s="635">
        <v>1</v>
      </c>
      <c r="U71" s="635">
        <v>1</v>
      </c>
      <c r="V71" s="635">
        <v>1</v>
      </c>
      <c r="W71" s="635">
        <v>1</v>
      </c>
      <c r="X71" s="635">
        <v>1</v>
      </c>
      <c r="Y71" s="635">
        <v>1</v>
      </c>
      <c r="Z71" s="635">
        <v>1</v>
      </c>
      <c r="AB71" s="19"/>
    </row>
    <row r="72" spans="1:66" x14ac:dyDescent="0.25">
      <c r="B72" s="219" t="str">
        <f>B71</f>
        <v>TRANGS00</v>
      </c>
      <c r="C72" s="224"/>
      <c r="D72" s="230"/>
      <c r="E72" s="224"/>
      <c r="F72" s="224"/>
      <c r="G72" s="224"/>
      <c r="H72" s="231">
        <f>$K$3</f>
        <v>2019</v>
      </c>
      <c r="I72" s="224"/>
      <c r="J72" s="232" t="s">
        <v>1065</v>
      </c>
      <c r="K72" s="232" t="s">
        <v>85</v>
      </c>
      <c r="L72" s="636">
        <f t="shared" ref="L72:Z72" si="143">LOOKUP($F71, $AE$11:$AE$34, AG$11:AG$34*$L$6)</f>
        <v>142.92940000402734</v>
      </c>
      <c r="M72" s="636">
        <f t="shared" si="143"/>
        <v>0</v>
      </c>
      <c r="N72" s="636">
        <f t="shared" si="143"/>
        <v>0</v>
      </c>
      <c r="O72" s="636">
        <f t="shared" si="143"/>
        <v>0</v>
      </c>
      <c r="P72" s="636">
        <f t="shared" si="143"/>
        <v>0</v>
      </c>
      <c r="Q72" s="636">
        <f t="shared" si="143"/>
        <v>0</v>
      </c>
      <c r="R72" s="636">
        <f t="shared" si="143"/>
        <v>0</v>
      </c>
      <c r="S72" s="636">
        <f t="shared" si="143"/>
        <v>0</v>
      </c>
      <c r="T72" s="636">
        <f t="shared" si="143"/>
        <v>0</v>
      </c>
      <c r="U72" s="636">
        <f t="shared" si="143"/>
        <v>0</v>
      </c>
      <c r="V72" s="636">
        <f t="shared" si="143"/>
        <v>0</v>
      </c>
      <c r="W72" s="636">
        <f t="shared" si="143"/>
        <v>0</v>
      </c>
      <c r="X72" s="636">
        <f t="shared" si="143"/>
        <v>0</v>
      </c>
      <c r="Y72" s="636">
        <f t="shared" si="143"/>
        <v>0</v>
      </c>
      <c r="Z72" s="636">
        <f t="shared" si="143"/>
        <v>0</v>
      </c>
      <c r="AB72" s="19"/>
    </row>
    <row r="73" spans="1:66" x14ac:dyDescent="0.25">
      <c r="B73" s="219" t="str">
        <f t="shared" ref="B73:B75" si="144">B72</f>
        <v>TRANGS00</v>
      </c>
      <c r="C73" s="224"/>
      <c r="D73" s="230"/>
      <c r="E73" s="224"/>
      <c r="F73" s="224"/>
      <c r="G73" s="224"/>
      <c r="H73" s="231">
        <v>2020</v>
      </c>
      <c r="I73" s="224"/>
      <c r="J73" s="232" t="s">
        <v>1065</v>
      </c>
      <c r="K73" s="232" t="s">
        <v>85</v>
      </c>
      <c r="L73" s="636">
        <f t="shared" ref="L73:Z76" si="145">L$72*LOOKUP($H73, $AF$47:$AF$50, AG$47:AG$50)</f>
        <v>114.34352000322188</v>
      </c>
      <c r="M73" s="636">
        <f t="shared" si="145"/>
        <v>0</v>
      </c>
      <c r="N73" s="636">
        <f t="shared" si="145"/>
        <v>0</v>
      </c>
      <c r="O73" s="636">
        <f t="shared" si="145"/>
        <v>0</v>
      </c>
      <c r="P73" s="636">
        <f t="shared" si="145"/>
        <v>0</v>
      </c>
      <c r="Q73" s="636">
        <f t="shared" si="145"/>
        <v>0</v>
      </c>
      <c r="R73" s="636">
        <f t="shared" si="145"/>
        <v>0</v>
      </c>
      <c r="S73" s="636">
        <f t="shared" si="145"/>
        <v>0</v>
      </c>
      <c r="T73" s="636">
        <f t="shared" si="145"/>
        <v>0</v>
      </c>
      <c r="U73" s="636">
        <f t="shared" si="145"/>
        <v>0</v>
      </c>
      <c r="V73" s="636">
        <f t="shared" si="145"/>
        <v>0</v>
      </c>
      <c r="W73" s="636">
        <f t="shared" si="145"/>
        <v>0</v>
      </c>
      <c r="X73" s="636">
        <f t="shared" si="145"/>
        <v>0</v>
      </c>
      <c r="Y73" s="636">
        <f t="shared" si="145"/>
        <v>0</v>
      </c>
      <c r="Z73" s="636">
        <f t="shared" si="145"/>
        <v>0</v>
      </c>
      <c r="AB73" s="19"/>
    </row>
    <row r="74" spans="1:66" x14ac:dyDescent="0.25">
      <c r="B74" s="219" t="str">
        <f t="shared" si="144"/>
        <v>TRANGS00</v>
      </c>
      <c r="C74" s="224"/>
      <c r="D74" s="230"/>
      <c r="E74" s="224"/>
      <c r="F74" s="224"/>
      <c r="G74" s="224"/>
      <c r="H74" s="231">
        <v>2030</v>
      </c>
      <c r="I74" s="224"/>
      <c r="J74" s="232" t="s">
        <v>1065</v>
      </c>
      <c r="K74" s="232" t="s">
        <v>85</v>
      </c>
      <c r="L74" s="636">
        <f t="shared" si="145"/>
        <v>57.171760001610942</v>
      </c>
      <c r="M74" s="636">
        <f t="shared" si="145"/>
        <v>0</v>
      </c>
      <c r="N74" s="636">
        <f t="shared" si="145"/>
        <v>0</v>
      </c>
      <c r="O74" s="636">
        <f t="shared" si="145"/>
        <v>0</v>
      </c>
      <c r="P74" s="636">
        <f t="shared" si="145"/>
        <v>0</v>
      </c>
      <c r="Q74" s="636">
        <f t="shared" si="145"/>
        <v>0</v>
      </c>
      <c r="R74" s="636">
        <f t="shared" si="145"/>
        <v>0</v>
      </c>
      <c r="S74" s="636">
        <f t="shared" si="145"/>
        <v>0</v>
      </c>
      <c r="T74" s="636">
        <f t="shared" si="145"/>
        <v>0</v>
      </c>
      <c r="U74" s="636">
        <f t="shared" si="145"/>
        <v>0</v>
      </c>
      <c r="V74" s="636">
        <f t="shared" si="145"/>
        <v>0</v>
      </c>
      <c r="W74" s="636">
        <f t="shared" si="145"/>
        <v>0</v>
      </c>
      <c r="X74" s="636">
        <f t="shared" si="145"/>
        <v>0</v>
      </c>
      <c r="Y74" s="636">
        <f t="shared" si="145"/>
        <v>0</v>
      </c>
      <c r="Z74" s="636">
        <f t="shared" si="145"/>
        <v>0</v>
      </c>
      <c r="AB74" s="19"/>
    </row>
    <row r="75" spans="1:66" x14ac:dyDescent="0.25">
      <c r="B75" s="219" t="str">
        <f t="shared" si="144"/>
        <v>TRANGS00</v>
      </c>
      <c r="C75" s="224"/>
      <c r="D75" s="230"/>
      <c r="E75" s="224"/>
      <c r="F75" s="224"/>
      <c r="G75" s="224"/>
      <c r="H75" s="231">
        <v>2040</v>
      </c>
      <c r="I75" s="224"/>
      <c r="J75" s="232" t="s">
        <v>1065</v>
      </c>
      <c r="K75" s="232" t="s">
        <v>85</v>
      </c>
      <c r="L75" s="636">
        <f t="shared" si="145"/>
        <v>0</v>
      </c>
      <c r="M75" s="636">
        <f t="shared" si="145"/>
        <v>0</v>
      </c>
      <c r="N75" s="636">
        <f t="shared" si="145"/>
        <v>0</v>
      </c>
      <c r="O75" s="636">
        <f t="shared" si="145"/>
        <v>0</v>
      </c>
      <c r="P75" s="636">
        <f t="shared" si="145"/>
        <v>0</v>
      </c>
      <c r="Q75" s="636">
        <f t="shared" si="145"/>
        <v>0</v>
      </c>
      <c r="R75" s="636">
        <f t="shared" si="145"/>
        <v>0</v>
      </c>
      <c r="S75" s="636">
        <f t="shared" si="145"/>
        <v>0</v>
      </c>
      <c r="T75" s="636">
        <f t="shared" si="145"/>
        <v>0</v>
      </c>
      <c r="U75" s="636">
        <f t="shared" si="145"/>
        <v>0</v>
      </c>
      <c r="V75" s="636">
        <f t="shared" si="145"/>
        <v>0</v>
      </c>
      <c r="W75" s="636">
        <f t="shared" si="145"/>
        <v>0</v>
      </c>
      <c r="X75" s="636">
        <f t="shared" si="145"/>
        <v>0</v>
      </c>
      <c r="Y75" s="636">
        <f t="shared" si="145"/>
        <v>0</v>
      </c>
      <c r="Z75" s="636">
        <f t="shared" si="145"/>
        <v>0</v>
      </c>
      <c r="AB75" s="19"/>
    </row>
    <row r="76" spans="1:66" x14ac:dyDescent="0.25">
      <c r="B76" s="233" t="str">
        <f>B72</f>
        <v>TRANGS00</v>
      </c>
      <c r="C76" s="234"/>
      <c r="D76" s="235"/>
      <c r="E76" s="234"/>
      <c r="F76" s="234"/>
      <c r="G76" s="234"/>
      <c r="H76" s="236">
        <f>$K$5</f>
        <v>2050</v>
      </c>
      <c r="I76" s="224"/>
      <c r="J76" s="237" t="s">
        <v>1065</v>
      </c>
      <c r="K76" s="237" t="s">
        <v>85</v>
      </c>
      <c r="L76" s="637">
        <f t="shared" si="145"/>
        <v>0</v>
      </c>
      <c r="M76" s="637">
        <f t="shared" si="145"/>
        <v>0</v>
      </c>
      <c r="N76" s="637">
        <f t="shared" si="145"/>
        <v>0</v>
      </c>
      <c r="O76" s="637">
        <f t="shared" si="145"/>
        <v>0</v>
      </c>
      <c r="P76" s="637">
        <f t="shared" si="145"/>
        <v>0</v>
      </c>
      <c r="Q76" s="637">
        <f t="shared" si="145"/>
        <v>0</v>
      </c>
      <c r="R76" s="637">
        <f t="shared" si="145"/>
        <v>0</v>
      </c>
      <c r="S76" s="637">
        <f t="shared" si="145"/>
        <v>0</v>
      </c>
      <c r="T76" s="637">
        <f t="shared" si="145"/>
        <v>0</v>
      </c>
      <c r="U76" s="637">
        <f t="shared" si="145"/>
        <v>0</v>
      </c>
      <c r="V76" s="637">
        <f t="shared" si="145"/>
        <v>0</v>
      </c>
      <c r="W76" s="637">
        <f t="shared" si="145"/>
        <v>0</v>
      </c>
      <c r="X76" s="637">
        <f t="shared" si="145"/>
        <v>0</v>
      </c>
      <c r="Y76" s="637">
        <f t="shared" si="145"/>
        <v>0</v>
      </c>
      <c r="Z76" s="637">
        <f t="shared" si="145"/>
        <v>0</v>
      </c>
      <c r="AB76" s="19"/>
    </row>
    <row r="77" spans="1:66" x14ac:dyDescent="0.25">
      <c r="A77" s="100"/>
      <c r="B77" s="219" t="str">
        <f>C77</f>
        <v>TRAHUM00</v>
      </c>
      <c r="C77" s="224" t="str">
        <f>CONCATENATE(F77,"00")</f>
        <v>TRAHUM00</v>
      </c>
      <c r="D77" s="225" t="str">
        <f>CONCATENATE("Fuel Tech - ",LOOKUP(F77,TRA_Comm!$C$6:$C$28,TRA_Comm!$D$6:$D$28))</f>
        <v>Fuel Tech - Human power</v>
      </c>
      <c r="E77" s="224" t="s">
        <v>1085</v>
      </c>
      <c r="F77" s="224" t="s">
        <v>681</v>
      </c>
      <c r="G77" s="226"/>
      <c r="H77" s="227"/>
      <c r="I77" s="228"/>
      <c r="J77" s="229" t="s">
        <v>1064</v>
      </c>
      <c r="K77" s="229"/>
      <c r="L77" s="635">
        <v>1</v>
      </c>
      <c r="M77" s="635">
        <v>1</v>
      </c>
      <c r="N77" s="635">
        <v>1</v>
      </c>
      <c r="O77" s="635">
        <v>1</v>
      </c>
      <c r="P77" s="635">
        <v>1</v>
      </c>
      <c r="Q77" s="635">
        <v>1</v>
      </c>
      <c r="R77" s="635">
        <v>1</v>
      </c>
      <c r="S77" s="635">
        <v>1</v>
      </c>
      <c r="T77" s="635">
        <v>1</v>
      </c>
      <c r="U77" s="635">
        <v>1</v>
      </c>
      <c r="V77" s="635">
        <v>1</v>
      </c>
      <c r="W77" s="635">
        <v>1</v>
      </c>
      <c r="X77" s="635">
        <v>1</v>
      </c>
      <c r="Y77" s="635">
        <v>1</v>
      </c>
      <c r="Z77" s="635">
        <v>1</v>
      </c>
      <c r="AB77" s="19"/>
    </row>
    <row r="78" spans="1:66" x14ac:dyDescent="0.25">
      <c r="B78" s="219" t="str">
        <f>B77</f>
        <v>TRAHUM00</v>
      </c>
      <c r="C78" s="224"/>
      <c r="D78" s="230"/>
      <c r="E78" s="224"/>
      <c r="F78" s="224"/>
      <c r="G78" s="224"/>
      <c r="H78" s="231">
        <f>$K$3</f>
        <v>2019</v>
      </c>
      <c r="I78" s="224"/>
      <c r="J78" s="232" t="s">
        <v>1065</v>
      </c>
      <c r="K78" s="232" t="s">
        <v>85</v>
      </c>
      <c r="L78" s="636"/>
      <c r="M78" s="636"/>
      <c r="N78" s="636"/>
      <c r="O78" s="636"/>
      <c r="P78" s="636"/>
      <c r="Q78" s="636"/>
      <c r="R78" s="636"/>
      <c r="S78" s="636"/>
      <c r="T78" s="636"/>
      <c r="U78" s="636"/>
      <c r="V78" s="636"/>
      <c r="W78" s="636"/>
      <c r="X78" s="636"/>
      <c r="Y78" s="636"/>
      <c r="Z78" s="636"/>
      <c r="AB78" s="19"/>
    </row>
    <row r="79" spans="1:66" x14ac:dyDescent="0.25">
      <c r="B79" s="219" t="str">
        <f t="shared" ref="B79:B81" si="146">B78</f>
        <v>TRAHUM00</v>
      </c>
      <c r="C79" s="224"/>
      <c r="D79" s="230"/>
      <c r="E79" s="224"/>
      <c r="F79" s="224"/>
      <c r="G79" s="224"/>
      <c r="H79" s="231">
        <v>2020</v>
      </c>
      <c r="I79" s="224"/>
      <c r="J79" s="232" t="s">
        <v>1065</v>
      </c>
      <c r="K79" s="232" t="s">
        <v>85</v>
      </c>
      <c r="L79" s="636"/>
      <c r="M79" s="636"/>
      <c r="N79" s="636"/>
      <c r="O79" s="636"/>
      <c r="P79" s="636"/>
      <c r="Q79" s="636"/>
      <c r="R79" s="636"/>
      <c r="S79" s="636"/>
      <c r="T79" s="636"/>
      <c r="U79" s="636"/>
      <c r="V79" s="636"/>
      <c r="W79" s="636"/>
      <c r="X79" s="636"/>
      <c r="Y79" s="636"/>
      <c r="Z79" s="636"/>
      <c r="AB79" s="19"/>
    </row>
    <row r="80" spans="1:66" x14ac:dyDescent="0.25">
      <c r="B80" s="219" t="str">
        <f t="shared" si="146"/>
        <v>TRAHUM00</v>
      </c>
      <c r="C80" s="224"/>
      <c r="D80" s="230"/>
      <c r="E80" s="224"/>
      <c r="F80" s="224"/>
      <c r="G80" s="224"/>
      <c r="H80" s="231">
        <v>2030</v>
      </c>
      <c r="I80" s="224"/>
      <c r="J80" s="232" t="s">
        <v>1065</v>
      </c>
      <c r="K80" s="232" t="s">
        <v>85</v>
      </c>
      <c r="L80" s="636"/>
      <c r="M80" s="636"/>
      <c r="N80" s="636"/>
      <c r="O80" s="636"/>
      <c r="P80" s="636"/>
      <c r="Q80" s="636"/>
      <c r="R80" s="636"/>
      <c r="S80" s="636"/>
      <c r="T80" s="636"/>
      <c r="U80" s="636"/>
      <c r="V80" s="636"/>
      <c r="W80" s="636"/>
      <c r="X80" s="636"/>
      <c r="Y80" s="636"/>
      <c r="Z80" s="636"/>
      <c r="AB80" s="19"/>
    </row>
    <row r="81" spans="1:31" x14ac:dyDescent="0.25">
      <c r="B81" s="219" t="str">
        <f t="shared" si="146"/>
        <v>TRAHUM00</v>
      </c>
      <c r="C81" s="224"/>
      <c r="D81" s="230"/>
      <c r="E81" s="224"/>
      <c r="F81" s="224"/>
      <c r="G81" s="224"/>
      <c r="H81" s="231">
        <v>2040</v>
      </c>
      <c r="I81" s="224"/>
      <c r="J81" s="232" t="s">
        <v>1065</v>
      </c>
      <c r="K81" s="232" t="s">
        <v>85</v>
      </c>
      <c r="L81" s="636"/>
      <c r="M81" s="636"/>
      <c r="N81" s="636"/>
      <c r="O81" s="636"/>
      <c r="P81" s="636"/>
      <c r="Q81" s="636"/>
      <c r="R81" s="636"/>
      <c r="S81" s="636"/>
      <c r="T81" s="636"/>
      <c r="U81" s="636"/>
      <c r="V81" s="636"/>
      <c r="W81" s="636"/>
      <c r="X81" s="636"/>
      <c r="Y81" s="636"/>
      <c r="Z81" s="636"/>
      <c r="AB81" s="19"/>
      <c r="AE81" s="19"/>
    </row>
    <row r="82" spans="1:31" x14ac:dyDescent="0.25">
      <c r="B82" s="233" t="str">
        <f>B78</f>
        <v>TRAHUM00</v>
      </c>
      <c r="C82" s="234"/>
      <c r="D82" s="235"/>
      <c r="E82" s="234"/>
      <c r="F82" s="234"/>
      <c r="G82" s="234"/>
      <c r="H82" s="236">
        <f>$K$5</f>
        <v>2050</v>
      </c>
      <c r="I82" s="224"/>
      <c r="J82" s="237" t="s">
        <v>1065</v>
      </c>
      <c r="K82" s="237" t="s">
        <v>85</v>
      </c>
      <c r="L82" s="637"/>
      <c r="M82" s="637"/>
      <c r="N82" s="637"/>
      <c r="O82" s="637"/>
      <c r="P82" s="637"/>
      <c r="Q82" s="637"/>
      <c r="R82" s="637"/>
      <c r="S82" s="637"/>
      <c r="T82" s="637"/>
      <c r="U82" s="637"/>
      <c r="V82" s="637"/>
      <c r="W82" s="637"/>
      <c r="X82" s="637"/>
      <c r="Y82" s="637"/>
      <c r="Z82" s="637"/>
      <c r="AB82" s="19"/>
      <c r="AE82" s="19"/>
    </row>
    <row r="83" spans="1:31" x14ac:dyDescent="0.25">
      <c r="B83" s="242" t="str">
        <f>C83</f>
        <v>TRADSR00</v>
      </c>
      <c r="C83" s="224" t="str">
        <f>CONCATENATE(F83,"00")</f>
        <v>TRADSR00</v>
      </c>
      <c r="D83" s="225" t="str">
        <f>CONCATENATE("Fuel Tech - ",LOOKUP(F83,TRA_Comm!$C$6:$C$28,TRA_Comm!$D$6:$D$28))</f>
        <v>Fuel Tech - Diesel for rail transportation (TRA)</v>
      </c>
      <c r="E83" s="224" t="s">
        <v>1086</v>
      </c>
      <c r="F83" s="224" t="s">
        <v>1002</v>
      </c>
      <c r="G83" s="224"/>
      <c r="H83" s="227"/>
      <c r="I83" s="228"/>
      <c r="J83" s="229" t="s">
        <v>1064</v>
      </c>
      <c r="K83" s="229"/>
      <c r="L83" s="635">
        <v>1</v>
      </c>
      <c r="M83" s="635">
        <v>1</v>
      </c>
      <c r="N83" s="635">
        <v>1</v>
      </c>
      <c r="O83" s="635">
        <v>1</v>
      </c>
      <c r="P83" s="635">
        <v>1</v>
      </c>
      <c r="Q83" s="635">
        <v>1</v>
      </c>
      <c r="R83" s="635">
        <v>1</v>
      </c>
      <c r="S83" s="635">
        <v>1</v>
      </c>
      <c r="T83" s="635">
        <v>1</v>
      </c>
      <c r="U83" s="635">
        <v>1</v>
      </c>
      <c r="V83" s="635">
        <v>1</v>
      </c>
      <c r="W83" s="635">
        <v>1</v>
      </c>
      <c r="X83" s="635">
        <v>1</v>
      </c>
      <c r="Y83" s="635">
        <v>1</v>
      </c>
      <c r="Z83" s="635">
        <v>1</v>
      </c>
      <c r="AB83" s="19"/>
    </row>
    <row r="84" spans="1:31" x14ac:dyDescent="0.25">
      <c r="B84" s="219" t="str">
        <f>B83</f>
        <v>TRADSR00</v>
      </c>
      <c r="C84" s="224"/>
      <c r="D84" s="230"/>
      <c r="E84" s="224"/>
      <c r="F84" s="224"/>
      <c r="G84" s="224"/>
      <c r="H84" s="231">
        <f>$K$3</f>
        <v>2019</v>
      </c>
      <c r="I84" s="224"/>
      <c r="J84" s="232" t="s">
        <v>1065</v>
      </c>
      <c r="K84" s="232" t="s">
        <v>85</v>
      </c>
      <c r="L84" s="636">
        <f t="shared" ref="L84:Z84" si="147">LOOKUP($F83, $AE$11:$AE$34, AG$11:AG$34*$L$6)</f>
        <v>0</v>
      </c>
      <c r="M84" s="636">
        <f t="shared" si="147"/>
        <v>0</v>
      </c>
      <c r="N84" s="636">
        <f t="shared" si="147"/>
        <v>0</v>
      </c>
      <c r="O84" s="636">
        <f t="shared" si="147"/>
        <v>0</v>
      </c>
      <c r="P84" s="636">
        <f t="shared" si="147"/>
        <v>0</v>
      </c>
      <c r="Q84" s="636">
        <f t="shared" si="147"/>
        <v>0</v>
      </c>
      <c r="R84" s="636">
        <f t="shared" si="147"/>
        <v>0</v>
      </c>
      <c r="S84" s="636">
        <f t="shared" si="147"/>
        <v>0</v>
      </c>
      <c r="T84" s="636">
        <f t="shared" si="147"/>
        <v>0</v>
      </c>
      <c r="U84" s="636">
        <f t="shared" si="147"/>
        <v>0</v>
      </c>
      <c r="V84" s="636">
        <f t="shared" si="147"/>
        <v>0</v>
      </c>
      <c r="W84" s="636">
        <f t="shared" si="147"/>
        <v>0</v>
      </c>
      <c r="X84" s="636">
        <f t="shared" si="147"/>
        <v>0</v>
      </c>
      <c r="Y84" s="636">
        <f t="shared" si="147"/>
        <v>0</v>
      </c>
      <c r="Z84" s="636">
        <f t="shared" si="147"/>
        <v>0</v>
      </c>
      <c r="AB84" s="19"/>
    </row>
    <row r="85" spans="1:31" x14ac:dyDescent="0.25">
      <c r="B85" s="219" t="str">
        <f t="shared" ref="B85:B87" si="148">B84</f>
        <v>TRADSR00</v>
      </c>
      <c r="C85" s="224"/>
      <c r="D85" s="230"/>
      <c r="E85" s="224"/>
      <c r="F85" s="224"/>
      <c r="G85" s="224"/>
      <c r="H85" s="231">
        <v>2020</v>
      </c>
      <c r="I85" s="224"/>
      <c r="J85" s="232" t="s">
        <v>1065</v>
      </c>
      <c r="K85" s="232" t="s">
        <v>85</v>
      </c>
      <c r="L85" s="636">
        <f t="shared" ref="L85:Z88" si="149">L$84*LOOKUP($H85, $AF$47:$AF$50, AG$47:AG$50)</f>
        <v>0</v>
      </c>
      <c r="M85" s="636">
        <f t="shared" si="149"/>
        <v>0</v>
      </c>
      <c r="N85" s="636">
        <f t="shared" si="149"/>
        <v>0</v>
      </c>
      <c r="O85" s="636">
        <f t="shared" si="149"/>
        <v>0</v>
      </c>
      <c r="P85" s="636">
        <f t="shared" si="149"/>
        <v>0</v>
      </c>
      <c r="Q85" s="636">
        <f t="shared" si="149"/>
        <v>0</v>
      </c>
      <c r="R85" s="636">
        <f t="shared" si="149"/>
        <v>0</v>
      </c>
      <c r="S85" s="636">
        <f t="shared" si="149"/>
        <v>0</v>
      </c>
      <c r="T85" s="636">
        <f t="shared" si="149"/>
        <v>0</v>
      </c>
      <c r="U85" s="636">
        <f t="shared" si="149"/>
        <v>0</v>
      </c>
      <c r="V85" s="636">
        <f t="shared" si="149"/>
        <v>0</v>
      </c>
      <c r="W85" s="636">
        <f t="shared" si="149"/>
        <v>0</v>
      </c>
      <c r="X85" s="636">
        <f t="shared" si="149"/>
        <v>0</v>
      </c>
      <c r="Y85" s="636">
        <f t="shared" si="149"/>
        <v>0</v>
      </c>
      <c r="Z85" s="636">
        <f t="shared" si="149"/>
        <v>0</v>
      </c>
      <c r="AB85" s="19"/>
    </row>
    <row r="86" spans="1:31" x14ac:dyDescent="0.25">
      <c r="B86" s="219" t="str">
        <f t="shared" si="148"/>
        <v>TRADSR00</v>
      </c>
      <c r="C86" s="224"/>
      <c r="D86" s="230"/>
      <c r="E86" s="224"/>
      <c r="F86" s="224"/>
      <c r="G86" s="224"/>
      <c r="H86" s="231">
        <v>2030</v>
      </c>
      <c r="I86" s="224"/>
      <c r="J86" s="232" t="s">
        <v>1065</v>
      </c>
      <c r="K86" s="232" t="s">
        <v>85</v>
      </c>
      <c r="L86" s="636">
        <f t="shared" si="149"/>
        <v>0</v>
      </c>
      <c r="M86" s="636">
        <f t="shared" si="149"/>
        <v>0</v>
      </c>
      <c r="N86" s="636">
        <f t="shared" si="149"/>
        <v>0</v>
      </c>
      <c r="O86" s="636">
        <f t="shared" si="149"/>
        <v>0</v>
      </c>
      <c r="P86" s="636">
        <f t="shared" si="149"/>
        <v>0</v>
      </c>
      <c r="Q86" s="636">
        <f t="shared" si="149"/>
        <v>0</v>
      </c>
      <c r="R86" s="636">
        <f t="shared" si="149"/>
        <v>0</v>
      </c>
      <c r="S86" s="636">
        <f t="shared" si="149"/>
        <v>0</v>
      </c>
      <c r="T86" s="636">
        <f t="shared" si="149"/>
        <v>0</v>
      </c>
      <c r="U86" s="636">
        <f t="shared" si="149"/>
        <v>0</v>
      </c>
      <c r="V86" s="636">
        <f t="shared" si="149"/>
        <v>0</v>
      </c>
      <c r="W86" s="636">
        <f t="shared" si="149"/>
        <v>0</v>
      </c>
      <c r="X86" s="636">
        <f t="shared" si="149"/>
        <v>0</v>
      </c>
      <c r="Y86" s="636">
        <f t="shared" si="149"/>
        <v>0</v>
      </c>
      <c r="Z86" s="636">
        <f t="shared" si="149"/>
        <v>0</v>
      </c>
      <c r="AB86" s="19"/>
    </row>
    <row r="87" spans="1:31" x14ac:dyDescent="0.25">
      <c r="B87" s="219" t="str">
        <f t="shared" si="148"/>
        <v>TRADSR00</v>
      </c>
      <c r="C87" s="224"/>
      <c r="D87" s="230"/>
      <c r="E87" s="224"/>
      <c r="F87" s="224"/>
      <c r="G87" s="224"/>
      <c r="H87" s="231">
        <v>2040</v>
      </c>
      <c r="I87" s="224"/>
      <c r="J87" s="232" t="s">
        <v>1065</v>
      </c>
      <c r="K87" s="232" t="s">
        <v>85</v>
      </c>
      <c r="L87" s="636">
        <f t="shared" si="149"/>
        <v>0</v>
      </c>
      <c r="M87" s="636">
        <f t="shared" si="149"/>
        <v>0</v>
      </c>
      <c r="N87" s="636">
        <f t="shared" si="149"/>
        <v>0</v>
      </c>
      <c r="O87" s="636">
        <f t="shared" si="149"/>
        <v>0</v>
      </c>
      <c r="P87" s="636">
        <f t="shared" si="149"/>
        <v>0</v>
      </c>
      <c r="Q87" s="636">
        <f t="shared" si="149"/>
        <v>0</v>
      </c>
      <c r="R87" s="636">
        <f t="shared" si="149"/>
        <v>0</v>
      </c>
      <c r="S87" s="636">
        <f t="shared" si="149"/>
        <v>0</v>
      </c>
      <c r="T87" s="636">
        <f t="shared" si="149"/>
        <v>0</v>
      </c>
      <c r="U87" s="636">
        <f t="shared" si="149"/>
        <v>0</v>
      </c>
      <c r="V87" s="636">
        <f t="shared" si="149"/>
        <v>0</v>
      </c>
      <c r="W87" s="636">
        <f t="shared" si="149"/>
        <v>0</v>
      </c>
      <c r="X87" s="636">
        <f t="shared" si="149"/>
        <v>0</v>
      </c>
      <c r="Y87" s="636">
        <f t="shared" si="149"/>
        <v>0</v>
      </c>
      <c r="Z87" s="636">
        <f t="shared" si="149"/>
        <v>0</v>
      </c>
      <c r="AB87" s="19"/>
      <c r="AE87" s="19"/>
    </row>
    <row r="88" spans="1:31" x14ac:dyDescent="0.25">
      <c r="B88" s="233" t="str">
        <f>B83</f>
        <v>TRADSR00</v>
      </c>
      <c r="C88" s="234"/>
      <c r="D88" s="235"/>
      <c r="E88" s="234"/>
      <c r="F88" s="234"/>
      <c r="G88" s="234"/>
      <c r="H88" s="236">
        <f>$K$5</f>
        <v>2050</v>
      </c>
      <c r="I88" s="224"/>
      <c r="J88" s="237" t="s">
        <v>1065</v>
      </c>
      <c r="K88" s="237" t="s">
        <v>85</v>
      </c>
      <c r="L88" s="637">
        <f t="shared" si="149"/>
        <v>0</v>
      </c>
      <c r="M88" s="637">
        <f t="shared" si="149"/>
        <v>0</v>
      </c>
      <c r="N88" s="637">
        <f t="shared" si="149"/>
        <v>0</v>
      </c>
      <c r="O88" s="637">
        <f t="shared" si="149"/>
        <v>0</v>
      </c>
      <c r="P88" s="637">
        <f t="shared" si="149"/>
        <v>0</v>
      </c>
      <c r="Q88" s="637">
        <f t="shared" si="149"/>
        <v>0</v>
      </c>
      <c r="R88" s="637">
        <f t="shared" si="149"/>
        <v>0</v>
      </c>
      <c r="S88" s="637">
        <f t="shared" si="149"/>
        <v>0</v>
      </c>
      <c r="T88" s="637">
        <f t="shared" si="149"/>
        <v>0</v>
      </c>
      <c r="U88" s="637">
        <f t="shared" si="149"/>
        <v>0</v>
      </c>
      <c r="V88" s="637">
        <f t="shared" si="149"/>
        <v>0</v>
      </c>
      <c r="W88" s="637">
        <f t="shared" si="149"/>
        <v>0</v>
      </c>
      <c r="X88" s="637">
        <f t="shared" si="149"/>
        <v>0</v>
      </c>
      <c r="Y88" s="637">
        <f t="shared" si="149"/>
        <v>0</v>
      </c>
      <c r="Z88" s="637">
        <f t="shared" si="149"/>
        <v>0</v>
      </c>
      <c r="AB88" s="19"/>
      <c r="AE88" s="19"/>
    </row>
    <row r="89" spans="1:31" x14ac:dyDescent="0.25">
      <c r="B89" s="242" t="str">
        <f>C89</f>
        <v>TRADST00</v>
      </c>
      <c r="C89" s="224" t="str">
        <f>CONCATENATE(F89,"00")</f>
        <v>TRADST00</v>
      </c>
      <c r="D89" s="225" t="str">
        <f>CONCATENATE("Fuel Tech - ",LOOKUP(F89,TRA_Comm!$C$6:$C$28,TRA_Comm!$D$6:$D$28))</f>
        <v>Fuel Tech - Diesel (TRA)</v>
      </c>
      <c r="E89" s="224" t="s">
        <v>1086</v>
      </c>
      <c r="F89" s="224" t="s">
        <v>185</v>
      </c>
      <c r="G89" s="224"/>
      <c r="H89" s="227"/>
      <c r="I89" s="228"/>
      <c r="J89" s="229" t="s">
        <v>1064</v>
      </c>
      <c r="K89" s="229"/>
      <c r="L89" s="635">
        <v>1</v>
      </c>
      <c r="M89" s="635">
        <v>1</v>
      </c>
      <c r="N89" s="635">
        <v>1</v>
      </c>
      <c r="O89" s="635">
        <v>1</v>
      </c>
      <c r="P89" s="635">
        <v>1</v>
      </c>
      <c r="Q89" s="635">
        <v>1</v>
      </c>
      <c r="R89" s="635">
        <v>1</v>
      </c>
      <c r="S89" s="635">
        <v>1</v>
      </c>
      <c r="T89" s="635">
        <v>1</v>
      </c>
      <c r="U89" s="635">
        <v>1</v>
      </c>
      <c r="V89" s="635">
        <v>1</v>
      </c>
      <c r="W89" s="635">
        <v>1</v>
      </c>
      <c r="X89" s="635">
        <v>1</v>
      </c>
      <c r="Y89" s="635">
        <v>1</v>
      </c>
      <c r="Z89" s="635">
        <v>1</v>
      </c>
      <c r="AB89" s="19"/>
      <c r="AC89" s="19" t="s">
        <v>1087</v>
      </c>
    </row>
    <row r="90" spans="1:31" x14ac:dyDescent="0.25">
      <c r="B90" s="219" t="str">
        <f>B89</f>
        <v>TRADST00</v>
      </c>
      <c r="C90" s="224"/>
      <c r="D90" s="230"/>
      <c r="E90" s="224"/>
      <c r="F90" s="224"/>
      <c r="G90" s="224"/>
      <c r="H90" s="231">
        <f>$K$3</f>
        <v>2019</v>
      </c>
      <c r="I90" s="224"/>
      <c r="J90" s="232" t="s">
        <v>1065</v>
      </c>
      <c r="K90" s="232" t="s">
        <v>85</v>
      </c>
      <c r="L90" s="636">
        <f t="shared" ref="L90:Z90" si="150">LOOKUP($F89, $AE$11:$AE$34, AG$11:AG$34*$L$6)</f>
        <v>22004.771162343586</v>
      </c>
      <c r="M90" s="636">
        <f t="shared" si="150"/>
        <v>0</v>
      </c>
      <c r="N90" s="636">
        <f t="shared" si="150"/>
        <v>0</v>
      </c>
      <c r="O90" s="636">
        <f t="shared" si="150"/>
        <v>0</v>
      </c>
      <c r="P90" s="636">
        <f t="shared" si="150"/>
        <v>0</v>
      </c>
      <c r="Q90" s="636">
        <f t="shared" si="150"/>
        <v>0</v>
      </c>
      <c r="R90" s="636">
        <f t="shared" si="150"/>
        <v>0</v>
      </c>
      <c r="S90" s="636">
        <f t="shared" si="150"/>
        <v>0</v>
      </c>
      <c r="T90" s="636">
        <f t="shared" si="150"/>
        <v>0</v>
      </c>
      <c r="U90" s="636">
        <f t="shared" si="150"/>
        <v>0</v>
      </c>
      <c r="V90" s="636">
        <f t="shared" si="150"/>
        <v>0</v>
      </c>
      <c r="W90" s="636">
        <f t="shared" si="150"/>
        <v>0</v>
      </c>
      <c r="X90" s="636">
        <f t="shared" si="150"/>
        <v>0</v>
      </c>
      <c r="Y90" s="636">
        <f t="shared" si="150"/>
        <v>0</v>
      </c>
      <c r="Z90" s="636">
        <f t="shared" si="150"/>
        <v>0</v>
      </c>
      <c r="AB90" s="19"/>
      <c r="AD90" s="19"/>
    </row>
    <row r="91" spans="1:31" x14ac:dyDescent="0.25">
      <c r="B91" s="219" t="str">
        <f t="shared" ref="B91:B93" si="151">B90</f>
        <v>TRADST00</v>
      </c>
      <c r="C91" s="224"/>
      <c r="D91" s="230"/>
      <c r="E91" s="224"/>
      <c r="F91" s="224"/>
      <c r="G91" s="224"/>
      <c r="H91" s="231">
        <v>2020</v>
      </c>
      <c r="I91" s="224"/>
      <c r="J91" s="232" t="s">
        <v>1065</v>
      </c>
      <c r="K91" s="232" t="s">
        <v>85</v>
      </c>
      <c r="L91" s="636">
        <f t="shared" ref="L91:Z94" si="152">L$90*LOOKUP($H91, $AF$47:$AF$50, AG$47:AG$50)</f>
        <v>17603.816929874869</v>
      </c>
      <c r="M91" s="636">
        <f t="shared" si="152"/>
        <v>0</v>
      </c>
      <c r="N91" s="636">
        <f t="shared" si="152"/>
        <v>0</v>
      </c>
      <c r="O91" s="636">
        <f t="shared" si="152"/>
        <v>0</v>
      </c>
      <c r="P91" s="636">
        <f t="shared" si="152"/>
        <v>0</v>
      </c>
      <c r="Q91" s="636">
        <f t="shared" si="152"/>
        <v>0</v>
      </c>
      <c r="R91" s="636">
        <f t="shared" si="152"/>
        <v>0</v>
      </c>
      <c r="S91" s="636">
        <f t="shared" si="152"/>
        <v>0</v>
      </c>
      <c r="T91" s="636">
        <f t="shared" si="152"/>
        <v>0</v>
      </c>
      <c r="U91" s="636">
        <f t="shared" si="152"/>
        <v>0</v>
      </c>
      <c r="V91" s="636">
        <f t="shared" si="152"/>
        <v>0</v>
      </c>
      <c r="W91" s="636">
        <f t="shared" si="152"/>
        <v>0</v>
      </c>
      <c r="X91" s="636">
        <f t="shared" si="152"/>
        <v>0</v>
      </c>
      <c r="Y91" s="636">
        <f t="shared" si="152"/>
        <v>0</v>
      </c>
      <c r="Z91" s="636">
        <f t="shared" si="152"/>
        <v>0</v>
      </c>
      <c r="AB91" s="19"/>
    </row>
    <row r="92" spans="1:31" x14ac:dyDescent="0.25">
      <c r="B92" s="219" t="str">
        <f t="shared" si="151"/>
        <v>TRADST00</v>
      </c>
      <c r="C92" s="224"/>
      <c r="D92" s="230"/>
      <c r="E92" s="224"/>
      <c r="F92" s="224"/>
      <c r="G92" s="224"/>
      <c r="H92" s="231">
        <v>2030</v>
      </c>
      <c r="I92" s="224"/>
      <c r="J92" s="232" t="s">
        <v>1065</v>
      </c>
      <c r="K92" s="232" t="s">
        <v>85</v>
      </c>
      <c r="L92" s="636">
        <f t="shared" si="152"/>
        <v>8801.9084649374345</v>
      </c>
      <c r="M92" s="636">
        <f t="shared" si="152"/>
        <v>0</v>
      </c>
      <c r="N92" s="636">
        <f t="shared" si="152"/>
        <v>0</v>
      </c>
      <c r="O92" s="636">
        <f t="shared" si="152"/>
        <v>0</v>
      </c>
      <c r="P92" s="636">
        <f t="shared" si="152"/>
        <v>0</v>
      </c>
      <c r="Q92" s="636">
        <f t="shared" si="152"/>
        <v>0</v>
      </c>
      <c r="R92" s="636">
        <f t="shared" si="152"/>
        <v>0</v>
      </c>
      <c r="S92" s="636">
        <f t="shared" si="152"/>
        <v>0</v>
      </c>
      <c r="T92" s="636">
        <f t="shared" si="152"/>
        <v>0</v>
      </c>
      <c r="U92" s="636">
        <f t="shared" si="152"/>
        <v>0</v>
      </c>
      <c r="V92" s="636">
        <f t="shared" si="152"/>
        <v>0</v>
      </c>
      <c r="W92" s="636">
        <f t="shared" si="152"/>
        <v>0</v>
      </c>
      <c r="X92" s="636">
        <f t="shared" si="152"/>
        <v>0</v>
      </c>
      <c r="Y92" s="636">
        <f t="shared" si="152"/>
        <v>0</v>
      </c>
      <c r="Z92" s="636">
        <f t="shared" si="152"/>
        <v>0</v>
      </c>
      <c r="AB92" s="19"/>
      <c r="AE92" s="19"/>
    </row>
    <row r="93" spans="1:31" x14ac:dyDescent="0.25">
      <c r="B93" s="219" t="str">
        <f t="shared" si="151"/>
        <v>TRADST00</v>
      </c>
      <c r="C93" s="224"/>
      <c r="D93" s="230"/>
      <c r="E93" s="224"/>
      <c r="F93" s="224"/>
      <c r="G93" s="224"/>
      <c r="H93" s="231">
        <v>2040</v>
      </c>
      <c r="I93" s="224"/>
      <c r="J93" s="232" t="s">
        <v>1065</v>
      </c>
      <c r="K93" s="232" t="s">
        <v>85</v>
      </c>
      <c r="L93" s="636">
        <f t="shared" si="152"/>
        <v>0</v>
      </c>
      <c r="M93" s="636">
        <f t="shared" si="152"/>
        <v>0</v>
      </c>
      <c r="N93" s="636">
        <f t="shared" si="152"/>
        <v>0</v>
      </c>
      <c r="O93" s="636">
        <f t="shared" si="152"/>
        <v>0</v>
      </c>
      <c r="P93" s="636">
        <f t="shared" si="152"/>
        <v>0</v>
      </c>
      <c r="Q93" s="636">
        <f t="shared" si="152"/>
        <v>0</v>
      </c>
      <c r="R93" s="636">
        <f t="shared" si="152"/>
        <v>0</v>
      </c>
      <c r="S93" s="636">
        <f t="shared" si="152"/>
        <v>0</v>
      </c>
      <c r="T93" s="636">
        <f t="shared" si="152"/>
        <v>0</v>
      </c>
      <c r="U93" s="636">
        <f t="shared" si="152"/>
        <v>0</v>
      </c>
      <c r="V93" s="636">
        <f t="shared" si="152"/>
        <v>0</v>
      </c>
      <c r="W93" s="636">
        <f t="shared" si="152"/>
        <v>0</v>
      </c>
      <c r="X93" s="636">
        <f t="shared" si="152"/>
        <v>0</v>
      </c>
      <c r="Y93" s="636">
        <f t="shared" si="152"/>
        <v>0</v>
      </c>
      <c r="Z93" s="636">
        <f t="shared" si="152"/>
        <v>0</v>
      </c>
      <c r="AB93" s="19"/>
    </row>
    <row r="94" spans="1:31" x14ac:dyDescent="0.25">
      <c r="B94" s="233" t="str">
        <f>B89</f>
        <v>TRADST00</v>
      </c>
      <c r="C94" s="234"/>
      <c r="D94" s="235"/>
      <c r="E94" s="234"/>
      <c r="F94" s="234"/>
      <c r="G94" s="234"/>
      <c r="H94" s="236">
        <f>$K$5</f>
        <v>2050</v>
      </c>
      <c r="I94" s="224"/>
      <c r="J94" s="237" t="s">
        <v>1065</v>
      </c>
      <c r="K94" s="237" t="s">
        <v>85</v>
      </c>
      <c r="L94" s="637">
        <f t="shared" si="152"/>
        <v>0</v>
      </c>
      <c r="M94" s="637">
        <f t="shared" si="152"/>
        <v>0</v>
      </c>
      <c r="N94" s="637">
        <f t="shared" si="152"/>
        <v>0</v>
      </c>
      <c r="O94" s="637">
        <f t="shared" si="152"/>
        <v>0</v>
      </c>
      <c r="P94" s="637">
        <f t="shared" si="152"/>
        <v>0</v>
      </c>
      <c r="Q94" s="637">
        <f t="shared" si="152"/>
        <v>0</v>
      </c>
      <c r="R94" s="637">
        <f t="shared" si="152"/>
        <v>0</v>
      </c>
      <c r="S94" s="637">
        <f t="shared" si="152"/>
        <v>0</v>
      </c>
      <c r="T94" s="637">
        <f t="shared" si="152"/>
        <v>0</v>
      </c>
      <c r="U94" s="637">
        <f t="shared" si="152"/>
        <v>0</v>
      </c>
      <c r="V94" s="637">
        <f t="shared" si="152"/>
        <v>0</v>
      </c>
      <c r="W94" s="637">
        <f t="shared" si="152"/>
        <v>0</v>
      </c>
      <c r="X94" s="637">
        <f t="shared" si="152"/>
        <v>0</v>
      </c>
      <c r="Y94" s="637">
        <f t="shared" si="152"/>
        <v>0</v>
      </c>
      <c r="Z94" s="637">
        <f t="shared" si="152"/>
        <v>0</v>
      </c>
      <c r="AB94" s="19"/>
    </row>
    <row r="95" spans="1:31" x14ac:dyDescent="0.25">
      <c r="A95" s="100"/>
      <c r="B95" s="219" t="str">
        <f>C95</f>
        <v>TRAGSL00</v>
      </c>
      <c r="C95" s="224" t="str">
        <f>CONCATENATE(F95,"00")</f>
        <v>TRAGSL00</v>
      </c>
      <c r="D95" s="225" t="str">
        <f>CONCATENATE("Fuel Tech - ",LOOKUP(F95,TRA_Comm!$C$6:$C$28,TRA_Comm!$D$6:$D$28))</f>
        <v>Fuel Tech - Gasoline (TRA)</v>
      </c>
      <c r="E95" s="224" t="s">
        <v>1088</v>
      </c>
      <c r="F95" s="224" t="s">
        <v>1014</v>
      </c>
      <c r="G95" s="226"/>
      <c r="H95" s="227"/>
      <c r="I95" s="228"/>
      <c r="J95" s="229" t="s">
        <v>1064</v>
      </c>
      <c r="K95" s="229"/>
      <c r="L95" s="635">
        <v>1</v>
      </c>
      <c r="M95" s="635">
        <v>1</v>
      </c>
      <c r="N95" s="635">
        <v>1</v>
      </c>
      <c r="O95" s="635">
        <v>1</v>
      </c>
      <c r="P95" s="635">
        <v>1</v>
      </c>
      <c r="Q95" s="635">
        <v>1</v>
      </c>
      <c r="R95" s="635">
        <v>1</v>
      </c>
      <c r="S95" s="635">
        <v>1</v>
      </c>
      <c r="T95" s="635">
        <v>1</v>
      </c>
      <c r="U95" s="635">
        <v>1</v>
      </c>
      <c r="V95" s="635">
        <v>1</v>
      </c>
      <c r="W95" s="635">
        <v>1</v>
      </c>
      <c r="X95" s="635">
        <v>1</v>
      </c>
      <c r="Y95" s="635">
        <v>1</v>
      </c>
      <c r="Z95" s="635">
        <v>1</v>
      </c>
      <c r="AB95" s="19"/>
    </row>
    <row r="96" spans="1:31" x14ac:dyDescent="0.25">
      <c r="B96" s="219" t="str">
        <f>B95</f>
        <v>TRAGSL00</v>
      </c>
      <c r="C96" s="224"/>
      <c r="D96" s="230"/>
      <c r="E96" s="224"/>
      <c r="F96" s="224"/>
      <c r="G96" s="224"/>
      <c r="H96" s="231">
        <f>$K$3</f>
        <v>2019</v>
      </c>
      <c r="I96" s="224"/>
      <c r="J96" s="232" t="s">
        <v>1065</v>
      </c>
      <c r="K96" s="232" t="s">
        <v>85</v>
      </c>
      <c r="L96" s="636">
        <f t="shared" ref="L96:Z96" si="153">LOOKUP($F95, $AE$11:$AE$34, AG$11:AG$34*$L$6)</f>
        <v>12111.659439325522</v>
      </c>
      <c r="M96" s="636">
        <f t="shared" si="153"/>
        <v>0</v>
      </c>
      <c r="N96" s="636">
        <f t="shared" si="153"/>
        <v>0</v>
      </c>
      <c r="O96" s="636">
        <f t="shared" si="153"/>
        <v>0</v>
      </c>
      <c r="P96" s="636">
        <f t="shared" si="153"/>
        <v>0</v>
      </c>
      <c r="Q96" s="636">
        <f t="shared" si="153"/>
        <v>0</v>
      </c>
      <c r="R96" s="636">
        <f t="shared" si="153"/>
        <v>0</v>
      </c>
      <c r="S96" s="636">
        <f t="shared" si="153"/>
        <v>0</v>
      </c>
      <c r="T96" s="636">
        <f t="shared" si="153"/>
        <v>0</v>
      </c>
      <c r="U96" s="636">
        <f t="shared" si="153"/>
        <v>0</v>
      </c>
      <c r="V96" s="636">
        <f t="shared" si="153"/>
        <v>0</v>
      </c>
      <c r="W96" s="636">
        <f t="shared" si="153"/>
        <v>0</v>
      </c>
      <c r="X96" s="636">
        <f t="shared" si="153"/>
        <v>0</v>
      </c>
      <c r="Y96" s="636">
        <f t="shared" si="153"/>
        <v>0</v>
      </c>
      <c r="Z96" s="636">
        <f t="shared" si="153"/>
        <v>0</v>
      </c>
      <c r="AB96" s="19"/>
    </row>
    <row r="97" spans="1:28" x14ac:dyDescent="0.25">
      <c r="B97" s="219" t="str">
        <f t="shared" ref="B97:B99" si="154">B96</f>
        <v>TRAGSL00</v>
      </c>
      <c r="C97" s="224"/>
      <c r="D97" s="230"/>
      <c r="E97" s="224"/>
      <c r="F97" s="224"/>
      <c r="G97" s="224"/>
      <c r="H97" s="231">
        <v>2020</v>
      </c>
      <c r="I97" s="224"/>
      <c r="J97" s="232" t="s">
        <v>1065</v>
      </c>
      <c r="K97" s="232" t="s">
        <v>85</v>
      </c>
      <c r="L97" s="636">
        <f t="shared" ref="L97:Z100" si="155">L$96*LOOKUP($H97, $AF$47:$AF$50, AG$47:AG$50)</f>
        <v>9689.3275514604175</v>
      </c>
      <c r="M97" s="636">
        <f t="shared" si="155"/>
        <v>0</v>
      </c>
      <c r="N97" s="636">
        <f t="shared" si="155"/>
        <v>0</v>
      </c>
      <c r="O97" s="636">
        <f t="shared" si="155"/>
        <v>0</v>
      </c>
      <c r="P97" s="636">
        <f t="shared" si="155"/>
        <v>0</v>
      </c>
      <c r="Q97" s="636">
        <f t="shared" si="155"/>
        <v>0</v>
      </c>
      <c r="R97" s="636">
        <f t="shared" si="155"/>
        <v>0</v>
      </c>
      <c r="S97" s="636">
        <f t="shared" si="155"/>
        <v>0</v>
      </c>
      <c r="T97" s="636">
        <f t="shared" si="155"/>
        <v>0</v>
      </c>
      <c r="U97" s="636">
        <f t="shared" si="155"/>
        <v>0</v>
      </c>
      <c r="V97" s="636">
        <f t="shared" si="155"/>
        <v>0</v>
      </c>
      <c r="W97" s="636">
        <f t="shared" si="155"/>
        <v>0</v>
      </c>
      <c r="X97" s="636">
        <f t="shared" si="155"/>
        <v>0</v>
      </c>
      <c r="Y97" s="636">
        <f t="shared" si="155"/>
        <v>0</v>
      </c>
      <c r="Z97" s="636">
        <f t="shared" si="155"/>
        <v>0</v>
      </c>
      <c r="AB97" s="19"/>
    </row>
    <row r="98" spans="1:28" x14ac:dyDescent="0.25">
      <c r="B98" s="219" t="str">
        <f t="shared" si="154"/>
        <v>TRAGSL00</v>
      </c>
      <c r="C98" s="224"/>
      <c r="D98" s="230"/>
      <c r="E98" s="224"/>
      <c r="F98" s="224"/>
      <c r="G98" s="224"/>
      <c r="H98" s="231">
        <v>2030</v>
      </c>
      <c r="I98" s="224"/>
      <c r="J98" s="232" t="s">
        <v>1065</v>
      </c>
      <c r="K98" s="232" t="s">
        <v>85</v>
      </c>
      <c r="L98" s="636">
        <f t="shared" si="155"/>
        <v>4844.6637757302087</v>
      </c>
      <c r="M98" s="636">
        <f t="shared" si="155"/>
        <v>0</v>
      </c>
      <c r="N98" s="636">
        <f t="shared" si="155"/>
        <v>0</v>
      </c>
      <c r="O98" s="636">
        <f t="shared" si="155"/>
        <v>0</v>
      </c>
      <c r="P98" s="636">
        <f t="shared" si="155"/>
        <v>0</v>
      </c>
      <c r="Q98" s="636">
        <f t="shared" si="155"/>
        <v>0</v>
      </c>
      <c r="R98" s="636">
        <f t="shared" si="155"/>
        <v>0</v>
      </c>
      <c r="S98" s="636">
        <f t="shared" si="155"/>
        <v>0</v>
      </c>
      <c r="T98" s="636">
        <f t="shared" si="155"/>
        <v>0</v>
      </c>
      <c r="U98" s="636">
        <f t="shared" si="155"/>
        <v>0</v>
      </c>
      <c r="V98" s="636">
        <f t="shared" si="155"/>
        <v>0</v>
      </c>
      <c r="W98" s="636">
        <f t="shared" si="155"/>
        <v>0</v>
      </c>
      <c r="X98" s="636">
        <f t="shared" si="155"/>
        <v>0</v>
      </c>
      <c r="Y98" s="636">
        <f t="shared" si="155"/>
        <v>0</v>
      </c>
      <c r="Z98" s="636">
        <f t="shared" si="155"/>
        <v>0</v>
      </c>
      <c r="AB98" s="19"/>
    </row>
    <row r="99" spans="1:28" x14ac:dyDescent="0.25">
      <c r="B99" s="219" t="str">
        <f t="shared" si="154"/>
        <v>TRAGSL00</v>
      </c>
      <c r="C99" s="224"/>
      <c r="D99" s="230"/>
      <c r="E99" s="224"/>
      <c r="F99" s="224"/>
      <c r="G99" s="224"/>
      <c r="H99" s="231">
        <v>2040</v>
      </c>
      <c r="I99" s="224"/>
      <c r="J99" s="232" t="s">
        <v>1065</v>
      </c>
      <c r="K99" s="232" t="s">
        <v>85</v>
      </c>
      <c r="L99" s="636">
        <f t="shared" si="155"/>
        <v>0</v>
      </c>
      <c r="M99" s="636">
        <f t="shared" si="155"/>
        <v>0</v>
      </c>
      <c r="N99" s="636">
        <f t="shared" si="155"/>
        <v>0</v>
      </c>
      <c r="O99" s="636">
        <f t="shared" si="155"/>
        <v>0</v>
      </c>
      <c r="P99" s="636">
        <f t="shared" si="155"/>
        <v>0</v>
      </c>
      <c r="Q99" s="636">
        <f t="shared" si="155"/>
        <v>0</v>
      </c>
      <c r="R99" s="636">
        <f t="shared" si="155"/>
        <v>0</v>
      </c>
      <c r="S99" s="636">
        <f t="shared" si="155"/>
        <v>0</v>
      </c>
      <c r="T99" s="636">
        <f t="shared" si="155"/>
        <v>0</v>
      </c>
      <c r="U99" s="636">
        <f t="shared" si="155"/>
        <v>0</v>
      </c>
      <c r="V99" s="636">
        <f t="shared" si="155"/>
        <v>0</v>
      </c>
      <c r="W99" s="636">
        <f t="shared" si="155"/>
        <v>0</v>
      </c>
      <c r="X99" s="636">
        <f t="shared" si="155"/>
        <v>0</v>
      </c>
      <c r="Y99" s="636">
        <f t="shared" si="155"/>
        <v>0</v>
      </c>
      <c r="Z99" s="636">
        <f t="shared" si="155"/>
        <v>0</v>
      </c>
      <c r="AB99" s="19"/>
    </row>
    <row r="100" spans="1:28" x14ac:dyDescent="0.25">
      <c r="B100" s="233" t="str">
        <f>B95</f>
        <v>TRAGSL00</v>
      </c>
      <c r="C100" s="234"/>
      <c r="D100" s="235"/>
      <c r="E100" s="234"/>
      <c r="F100" s="234"/>
      <c r="G100" s="234"/>
      <c r="H100" s="236">
        <f>$K$5</f>
        <v>2050</v>
      </c>
      <c r="I100" s="224"/>
      <c r="J100" s="237" t="s">
        <v>1065</v>
      </c>
      <c r="K100" s="237" t="s">
        <v>85</v>
      </c>
      <c r="L100" s="637">
        <f t="shared" si="155"/>
        <v>0</v>
      </c>
      <c r="M100" s="637">
        <f t="shared" si="155"/>
        <v>0</v>
      </c>
      <c r="N100" s="637">
        <f t="shared" si="155"/>
        <v>0</v>
      </c>
      <c r="O100" s="637">
        <f t="shared" si="155"/>
        <v>0</v>
      </c>
      <c r="P100" s="637">
        <f t="shared" si="155"/>
        <v>0</v>
      </c>
      <c r="Q100" s="637">
        <f t="shared" si="155"/>
        <v>0</v>
      </c>
      <c r="R100" s="637">
        <f t="shared" si="155"/>
        <v>0</v>
      </c>
      <c r="S100" s="637">
        <f t="shared" si="155"/>
        <v>0</v>
      </c>
      <c r="T100" s="637">
        <f t="shared" si="155"/>
        <v>0</v>
      </c>
      <c r="U100" s="637">
        <f t="shared" si="155"/>
        <v>0</v>
      </c>
      <c r="V100" s="637">
        <f t="shared" si="155"/>
        <v>0</v>
      </c>
      <c r="W100" s="637">
        <f t="shared" si="155"/>
        <v>0</v>
      </c>
      <c r="X100" s="637">
        <f t="shared" si="155"/>
        <v>0</v>
      </c>
      <c r="Y100" s="637">
        <f t="shared" si="155"/>
        <v>0</v>
      </c>
      <c r="Z100" s="637">
        <f t="shared" si="155"/>
        <v>0</v>
      </c>
      <c r="AB100" s="19"/>
    </row>
    <row r="101" spans="1:28" x14ac:dyDescent="0.25">
      <c r="A101" s="100"/>
      <c r="B101" s="219" t="str">
        <f>C101</f>
        <v>TRAKER00</v>
      </c>
      <c r="C101" s="224" t="str">
        <f>CONCATENATE(F101,"00")</f>
        <v>TRAKER00</v>
      </c>
      <c r="D101" s="225" t="str">
        <f>CONCATENATE("Fuel Tech - ",LOOKUP(F101,TRA_Comm!$C$6:$C$28,TRA_Comm!$D$6:$D$28))</f>
        <v>Fuel Tech - Kerosene - Jet Fuels (TRA)</v>
      </c>
      <c r="E101" s="224" t="s">
        <v>1089</v>
      </c>
      <c r="F101" s="224" t="s">
        <v>1029</v>
      </c>
      <c r="G101" s="226"/>
      <c r="H101" s="227"/>
      <c r="I101" s="228"/>
      <c r="J101" s="229" t="s">
        <v>1064</v>
      </c>
      <c r="K101" s="229"/>
      <c r="L101" s="635">
        <v>1</v>
      </c>
      <c r="M101" s="635">
        <v>1</v>
      </c>
      <c r="N101" s="635">
        <v>1</v>
      </c>
      <c r="O101" s="635">
        <v>1</v>
      </c>
      <c r="P101" s="635">
        <v>1</v>
      </c>
      <c r="Q101" s="635">
        <v>1</v>
      </c>
      <c r="R101" s="635">
        <v>1</v>
      </c>
      <c r="S101" s="635">
        <v>1</v>
      </c>
      <c r="T101" s="635">
        <v>1</v>
      </c>
      <c r="U101" s="635">
        <v>1</v>
      </c>
      <c r="V101" s="635">
        <v>1</v>
      </c>
      <c r="W101" s="635">
        <v>1</v>
      </c>
      <c r="X101" s="635">
        <v>1</v>
      </c>
      <c r="Y101" s="635">
        <v>1</v>
      </c>
      <c r="Z101" s="635">
        <v>1</v>
      </c>
      <c r="AB101" s="19"/>
    </row>
    <row r="102" spans="1:28" x14ac:dyDescent="0.25">
      <c r="B102" s="219" t="str">
        <f>B101</f>
        <v>TRAKER00</v>
      </c>
      <c r="C102" s="224"/>
      <c r="D102" s="230"/>
      <c r="E102" s="224"/>
      <c r="F102" s="224"/>
      <c r="G102" s="224"/>
      <c r="H102" s="231">
        <f>$K$3</f>
        <v>2019</v>
      </c>
      <c r="I102" s="224"/>
      <c r="J102" s="232" t="s">
        <v>1065</v>
      </c>
      <c r="K102" s="232" t="s">
        <v>85</v>
      </c>
      <c r="L102" s="636">
        <f t="shared" ref="L102:Z102" si="156">LOOKUP($F101, $AE$11:$AE$34, AG$11:AG$34*$L$6)</f>
        <v>0</v>
      </c>
      <c r="M102" s="636">
        <f t="shared" si="156"/>
        <v>0</v>
      </c>
      <c r="N102" s="636">
        <f t="shared" si="156"/>
        <v>0</v>
      </c>
      <c r="O102" s="636">
        <f t="shared" si="156"/>
        <v>0</v>
      </c>
      <c r="P102" s="636">
        <f t="shared" si="156"/>
        <v>0</v>
      </c>
      <c r="Q102" s="636">
        <f t="shared" si="156"/>
        <v>0</v>
      </c>
      <c r="R102" s="636">
        <f t="shared" si="156"/>
        <v>0</v>
      </c>
      <c r="S102" s="636">
        <f t="shared" si="156"/>
        <v>0</v>
      </c>
      <c r="T102" s="636">
        <f t="shared" si="156"/>
        <v>0</v>
      </c>
      <c r="U102" s="636">
        <f t="shared" si="156"/>
        <v>0</v>
      </c>
      <c r="V102" s="636">
        <f t="shared" si="156"/>
        <v>0</v>
      </c>
      <c r="W102" s="636">
        <f t="shared" si="156"/>
        <v>0</v>
      </c>
      <c r="X102" s="636">
        <f t="shared" si="156"/>
        <v>0</v>
      </c>
      <c r="Y102" s="636">
        <f t="shared" si="156"/>
        <v>0</v>
      </c>
      <c r="Z102" s="636">
        <f t="shared" si="156"/>
        <v>0</v>
      </c>
      <c r="AB102" s="19"/>
    </row>
    <row r="103" spans="1:28" x14ac:dyDescent="0.25">
      <c r="B103" s="219" t="str">
        <f t="shared" ref="B103:B105" si="157">B102</f>
        <v>TRAKER00</v>
      </c>
      <c r="C103" s="224"/>
      <c r="D103" s="230"/>
      <c r="E103" s="224"/>
      <c r="F103" s="224"/>
      <c r="G103" s="224"/>
      <c r="H103" s="231">
        <v>2020</v>
      </c>
      <c r="I103" s="224"/>
      <c r="J103" s="232" t="s">
        <v>1065</v>
      </c>
      <c r="K103" s="232" t="s">
        <v>85</v>
      </c>
      <c r="L103" s="636">
        <f t="shared" ref="L103:Z106" si="158">L$102*LOOKUP($H103, $AF$47:$AF$50, AG$47:AG$50)</f>
        <v>0</v>
      </c>
      <c r="M103" s="636">
        <f t="shared" si="158"/>
        <v>0</v>
      </c>
      <c r="N103" s="636">
        <f t="shared" si="158"/>
        <v>0</v>
      </c>
      <c r="O103" s="636">
        <f t="shared" si="158"/>
        <v>0</v>
      </c>
      <c r="P103" s="636">
        <f t="shared" si="158"/>
        <v>0</v>
      </c>
      <c r="Q103" s="636">
        <f t="shared" si="158"/>
        <v>0</v>
      </c>
      <c r="R103" s="636">
        <f t="shared" si="158"/>
        <v>0</v>
      </c>
      <c r="S103" s="636">
        <f t="shared" si="158"/>
        <v>0</v>
      </c>
      <c r="T103" s="636">
        <f t="shared" si="158"/>
        <v>0</v>
      </c>
      <c r="U103" s="636">
        <f t="shared" si="158"/>
        <v>0</v>
      </c>
      <c r="V103" s="636">
        <f t="shared" si="158"/>
        <v>0</v>
      </c>
      <c r="W103" s="636">
        <f t="shared" si="158"/>
        <v>0</v>
      </c>
      <c r="X103" s="636">
        <f t="shared" si="158"/>
        <v>0</v>
      </c>
      <c r="Y103" s="636">
        <f t="shared" si="158"/>
        <v>0</v>
      </c>
      <c r="Z103" s="636">
        <f t="shared" si="158"/>
        <v>0</v>
      </c>
      <c r="AB103" s="19"/>
    </row>
    <row r="104" spans="1:28" x14ac:dyDescent="0.25">
      <c r="B104" s="219" t="str">
        <f t="shared" si="157"/>
        <v>TRAKER00</v>
      </c>
      <c r="C104" s="224"/>
      <c r="D104" s="230"/>
      <c r="E104" s="224"/>
      <c r="F104" s="224"/>
      <c r="G104" s="224"/>
      <c r="H104" s="231">
        <v>2030</v>
      </c>
      <c r="I104" s="224"/>
      <c r="J104" s="232" t="s">
        <v>1065</v>
      </c>
      <c r="K104" s="232" t="s">
        <v>85</v>
      </c>
      <c r="L104" s="636">
        <f t="shared" si="158"/>
        <v>0</v>
      </c>
      <c r="M104" s="636">
        <f t="shared" si="158"/>
        <v>0</v>
      </c>
      <c r="N104" s="636">
        <f t="shared" si="158"/>
        <v>0</v>
      </c>
      <c r="O104" s="636">
        <f t="shared" si="158"/>
        <v>0</v>
      </c>
      <c r="P104" s="636">
        <f t="shared" si="158"/>
        <v>0</v>
      </c>
      <c r="Q104" s="636">
        <f t="shared" si="158"/>
        <v>0</v>
      </c>
      <c r="R104" s="636">
        <f t="shared" si="158"/>
        <v>0</v>
      </c>
      <c r="S104" s="636">
        <f t="shared" si="158"/>
        <v>0</v>
      </c>
      <c r="T104" s="636">
        <f t="shared" si="158"/>
        <v>0</v>
      </c>
      <c r="U104" s="636">
        <f t="shared" si="158"/>
        <v>0</v>
      </c>
      <c r="V104" s="636">
        <f t="shared" si="158"/>
        <v>0</v>
      </c>
      <c r="W104" s="636">
        <f t="shared" si="158"/>
        <v>0</v>
      </c>
      <c r="X104" s="636">
        <f t="shared" si="158"/>
        <v>0</v>
      </c>
      <c r="Y104" s="636">
        <f t="shared" si="158"/>
        <v>0</v>
      </c>
      <c r="Z104" s="636">
        <f t="shared" si="158"/>
        <v>0</v>
      </c>
      <c r="AB104" s="19"/>
    </row>
    <row r="105" spans="1:28" x14ac:dyDescent="0.25">
      <c r="B105" s="219" t="str">
        <f t="shared" si="157"/>
        <v>TRAKER00</v>
      </c>
      <c r="C105" s="224"/>
      <c r="D105" s="230"/>
      <c r="E105" s="224"/>
      <c r="F105" s="224"/>
      <c r="G105" s="224"/>
      <c r="H105" s="231">
        <v>2040</v>
      </c>
      <c r="I105" s="224"/>
      <c r="J105" s="232" t="s">
        <v>1065</v>
      </c>
      <c r="K105" s="232" t="s">
        <v>85</v>
      </c>
      <c r="L105" s="636">
        <f t="shared" si="158"/>
        <v>0</v>
      </c>
      <c r="M105" s="636">
        <f t="shared" si="158"/>
        <v>0</v>
      </c>
      <c r="N105" s="636">
        <f t="shared" si="158"/>
        <v>0</v>
      </c>
      <c r="O105" s="636">
        <f t="shared" si="158"/>
        <v>0</v>
      </c>
      <c r="P105" s="636">
        <f t="shared" si="158"/>
        <v>0</v>
      </c>
      <c r="Q105" s="636">
        <f t="shared" si="158"/>
        <v>0</v>
      </c>
      <c r="R105" s="636">
        <f t="shared" si="158"/>
        <v>0</v>
      </c>
      <c r="S105" s="636">
        <f t="shared" si="158"/>
        <v>0</v>
      </c>
      <c r="T105" s="636">
        <f t="shared" si="158"/>
        <v>0</v>
      </c>
      <c r="U105" s="636">
        <f t="shared" si="158"/>
        <v>0</v>
      </c>
      <c r="V105" s="636">
        <f t="shared" si="158"/>
        <v>0</v>
      </c>
      <c r="W105" s="636">
        <f t="shared" si="158"/>
        <v>0</v>
      </c>
      <c r="X105" s="636">
        <f t="shared" si="158"/>
        <v>0</v>
      </c>
      <c r="Y105" s="636">
        <f t="shared" si="158"/>
        <v>0</v>
      </c>
      <c r="Z105" s="636">
        <f t="shared" si="158"/>
        <v>0</v>
      </c>
      <c r="AB105" s="19"/>
    </row>
    <row r="106" spans="1:28" x14ac:dyDescent="0.25">
      <c r="B106" s="233" t="str">
        <f>B102</f>
        <v>TRAKER00</v>
      </c>
      <c r="C106" s="234"/>
      <c r="D106" s="235"/>
      <c r="E106" s="234"/>
      <c r="F106" s="234"/>
      <c r="G106" s="234"/>
      <c r="H106" s="236">
        <f>$K$5</f>
        <v>2050</v>
      </c>
      <c r="I106" s="224"/>
      <c r="J106" s="237" t="s">
        <v>1065</v>
      </c>
      <c r="K106" s="237" t="s">
        <v>85</v>
      </c>
      <c r="L106" s="637">
        <f t="shared" si="158"/>
        <v>0</v>
      </c>
      <c r="M106" s="637">
        <f t="shared" si="158"/>
        <v>0</v>
      </c>
      <c r="N106" s="637">
        <f t="shared" si="158"/>
        <v>0</v>
      </c>
      <c r="O106" s="637">
        <f t="shared" si="158"/>
        <v>0</v>
      </c>
      <c r="P106" s="637">
        <f t="shared" si="158"/>
        <v>0</v>
      </c>
      <c r="Q106" s="637">
        <f t="shared" si="158"/>
        <v>0</v>
      </c>
      <c r="R106" s="637">
        <f t="shared" si="158"/>
        <v>0</v>
      </c>
      <c r="S106" s="637">
        <f t="shared" si="158"/>
        <v>0</v>
      </c>
      <c r="T106" s="637">
        <f t="shared" si="158"/>
        <v>0</v>
      </c>
      <c r="U106" s="637">
        <f t="shared" si="158"/>
        <v>0</v>
      </c>
      <c r="V106" s="637">
        <f t="shared" si="158"/>
        <v>0</v>
      </c>
      <c r="W106" s="637">
        <f t="shared" si="158"/>
        <v>0</v>
      </c>
      <c r="X106" s="637">
        <f t="shared" si="158"/>
        <v>0</v>
      </c>
      <c r="Y106" s="637">
        <f t="shared" si="158"/>
        <v>0</v>
      </c>
      <c r="Z106" s="637">
        <f t="shared" si="158"/>
        <v>0</v>
      </c>
      <c r="AB106" s="19"/>
    </row>
    <row r="107" spans="1:28" x14ac:dyDescent="0.25">
      <c r="A107" s="100"/>
      <c r="B107" s="219" t="str">
        <f>C107</f>
        <v>TRAHFO00</v>
      </c>
      <c r="C107" s="224" t="str">
        <f>CONCATENATE(F107,"00")</f>
        <v>TRAHFO00</v>
      </c>
      <c r="D107" s="225" t="str">
        <f>CONCATENATE("Fuel Tech - ",LOOKUP(F107,TRA_Comm!$C$6:$C$28,TRA_Comm!$D$6:$D$28))</f>
        <v>Fuel Tech - Heavy Fuel Oil (TRA)</v>
      </c>
      <c r="E107" s="224" t="s">
        <v>1090</v>
      </c>
      <c r="F107" s="224" t="s">
        <v>1023</v>
      </c>
      <c r="G107" s="226"/>
      <c r="H107" s="227"/>
      <c r="I107" s="228"/>
      <c r="J107" s="229" t="s">
        <v>1064</v>
      </c>
      <c r="K107" s="229"/>
      <c r="L107" s="635">
        <v>1</v>
      </c>
      <c r="M107" s="635">
        <v>1</v>
      </c>
      <c r="N107" s="635">
        <v>1</v>
      </c>
      <c r="O107" s="635">
        <v>1</v>
      </c>
      <c r="P107" s="635">
        <v>1</v>
      </c>
      <c r="Q107" s="635">
        <v>1</v>
      </c>
      <c r="R107" s="635">
        <v>1</v>
      </c>
      <c r="S107" s="635">
        <v>1</v>
      </c>
      <c r="T107" s="635">
        <v>1</v>
      </c>
      <c r="U107" s="635">
        <v>1</v>
      </c>
      <c r="V107" s="635">
        <v>1</v>
      </c>
      <c r="W107" s="635">
        <v>1</v>
      </c>
      <c r="X107" s="635">
        <v>1</v>
      </c>
      <c r="Y107" s="635">
        <v>1</v>
      </c>
      <c r="Z107" s="635">
        <v>1</v>
      </c>
      <c r="AB107" s="19"/>
    </row>
    <row r="108" spans="1:28" x14ac:dyDescent="0.25">
      <c r="B108" s="219" t="str">
        <f>B107</f>
        <v>TRAHFO00</v>
      </c>
      <c r="C108" s="224"/>
      <c r="D108" s="230"/>
      <c r="E108" s="224"/>
      <c r="F108" s="224"/>
      <c r="G108" s="224"/>
      <c r="H108" s="231">
        <f>$K$3</f>
        <v>2019</v>
      </c>
      <c r="I108" s="224"/>
      <c r="J108" s="232" t="s">
        <v>1065</v>
      </c>
      <c r="K108" s="232" t="s">
        <v>85</v>
      </c>
      <c r="L108" s="636">
        <f t="shared" ref="L108:Z108" si="159">LOOKUP($F107, $AE$11:$AE$34, AG$11:AG$34*$L$6)</f>
        <v>0</v>
      </c>
      <c r="M108" s="636">
        <f t="shared" si="159"/>
        <v>0</v>
      </c>
      <c r="N108" s="636">
        <f t="shared" si="159"/>
        <v>0</v>
      </c>
      <c r="O108" s="636">
        <f t="shared" si="159"/>
        <v>0</v>
      </c>
      <c r="P108" s="636">
        <f t="shared" si="159"/>
        <v>0</v>
      </c>
      <c r="Q108" s="636">
        <f t="shared" si="159"/>
        <v>0</v>
      </c>
      <c r="R108" s="636">
        <f t="shared" si="159"/>
        <v>0</v>
      </c>
      <c r="S108" s="636">
        <f t="shared" si="159"/>
        <v>0</v>
      </c>
      <c r="T108" s="636">
        <f t="shared" si="159"/>
        <v>0</v>
      </c>
      <c r="U108" s="636">
        <f t="shared" si="159"/>
        <v>0</v>
      </c>
      <c r="V108" s="636">
        <f t="shared" si="159"/>
        <v>0</v>
      </c>
      <c r="W108" s="636">
        <f t="shared" si="159"/>
        <v>0</v>
      </c>
      <c r="X108" s="636">
        <f t="shared" si="159"/>
        <v>0</v>
      </c>
      <c r="Y108" s="636">
        <f t="shared" si="159"/>
        <v>0</v>
      </c>
      <c r="Z108" s="636">
        <f t="shared" si="159"/>
        <v>0</v>
      </c>
      <c r="AB108" s="19"/>
    </row>
    <row r="109" spans="1:28" x14ac:dyDescent="0.25">
      <c r="B109" s="219" t="str">
        <f t="shared" ref="B109:B111" si="160">B108</f>
        <v>TRAHFO00</v>
      </c>
      <c r="C109" s="224"/>
      <c r="D109" s="230"/>
      <c r="E109" s="224"/>
      <c r="F109" s="224"/>
      <c r="G109" s="224"/>
      <c r="H109" s="231">
        <v>2020</v>
      </c>
      <c r="I109" s="224"/>
      <c r="J109" s="232" t="s">
        <v>1065</v>
      </c>
      <c r="K109" s="232" t="s">
        <v>85</v>
      </c>
      <c r="L109" s="636">
        <f t="shared" ref="L109:Z112" si="161">L$108*LOOKUP($H109, $AF$47:$AF$50, AG$47:AG$50)</f>
        <v>0</v>
      </c>
      <c r="M109" s="636">
        <f t="shared" si="161"/>
        <v>0</v>
      </c>
      <c r="N109" s="636">
        <f t="shared" si="161"/>
        <v>0</v>
      </c>
      <c r="O109" s="636">
        <f t="shared" si="161"/>
        <v>0</v>
      </c>
      <c r="P109" s="636">
        <f t="shared" si="161"/>
        <v>0</v>
      </c>
      <c r="Q109" s="636">
        <f t="shared" si="161"/>
        <v>0</v>
      </c>
      <c r="R109" s="636">
        <f t="shared" si="161"/>
        <v>0</v>
      </c>
      <c r="S109" s="636">
        <f t="shared" si="161"/>
        <v>0</v>
      </c>
      <c r="T109" s="636">
        <f t="shared" si="161"/>
        <v>0</v>
      </c>
      <c r="U109" s="636">
        <f t="shared" si="161"/>
        <v>0</v>
      </c>
      <c r="V109" s="636">
        <f t="shared" si="161"/>
        <v>0</v>
      </c>
      <c r="W109" s="636">
        <f t="shared" si="161"/>
        <v>0</v>
      </c>
      <c r="X109" s="636">
        <f t="shared" si="161"/>
        <v>0</v>
      </c>
      <c r="Y109" s="636">
        <f t="shared" si="161"/>
        <v>0</v>
      </c>
      <c r="Z109" s="636">
        <f t="shared" si="161"/>
        <v>0</v>
      </c>
      <c r="AB109" s="19"/>
    </row>
    <row r="110" spans="1:28" x14ac:dyDescent="0.25">
      <c r="B110" s="219" t="str">
        <f t="shared" si="160"/>
        <v>TRAHFO00</v>
      </c>
      <c r="C110" s="224"/>
      <c r="D110" s="230"/>
      <c r="E110" s="224"/>
      <c r="F110" s="224"/>
      <c r="G110" s="224"/>
      <c r="H110" s="231">
        <v>2030</v>
      </c>
      <c r="I110" s="224"/>
      <c r="J110" s="232" t="s">
        <v>1065</v>
      </c>
      <c r="K110" s="232" t="s">
        <v>85</v>
      </c>
      <c r="L110" s="636">
        <f t="shared" si="161"/>
        <v>0</v>
      </c>
      <c r="M110" s="636">
        <f t="shared" si="161"/>
        <v>0</v>
      </c>
      <c r="N110" s="636">
        <f t="shared" si="161"/>
        <v>0</v>
      </c>
      <c r="O110" s="636">
        <f t="shared" si="161"/>
        <v>0</v>
      </c>
      <c r="P110" s="636">
        <f t="shared" si="161"/>
        <v>0</v>
      </c>
      <c r="Q110" s="636">
        <f t="shared" si="161"/>
        <v>0</v>
      </c>
      <c r="R110" s="636">
        <f t="shared" si="161"/>
        <v>0</v>
      </c>
      <c r="S110" s="636">
        <f t="shared" si="161"/>
        <v>0</v>
      </c>
      <c r="T110" s="636">
        <f t="shared" si="161"/>
        <v>0</v>
      </c>
      <c r="U110" s="636">
        <f t="shared" si="161"/>
        <v>0</v>
      </c>
      <c r="V110" s="636">
        <f t="shared" si="161"/>
        <v>0</v>
      </c>
      <c r="W110" s="636">
        <f t="shared" si="161"/>
        <v>0</v>
      </c>
      <c r="X110" s="636">
        <f t="shared" si="161"/>
        <v>0</v>
      </c>
      <c r="Y110" s="636">
        <f t="shared" si="161"/>
        <v>0</v>
      </c>
      <c r="Z110" s="636">
        <f t="shared" si="161"/>
        <v>0</v>
      </c>
      <c r="AB110" s="19"/>
    </row>
    <row r="111" spans="1:28" x14ac:dyDescent="0.25">
      <c r="B111" s="219" t="str">
        <f t="shared" si="160"/>
        <v>TRAHFO00</v>
      </c>
      <c r="C111" s="224"/>
      <c r="D111" s="230"/>
      <c r="E111" s="224"/>
      <c r="F111" s="224"/>
      <c r="G111" s="224"/>
      <c r="H111" s="231">
        <v>2040</v>
      </c>
      <c r="I111" s="224"/>
      <c r="J111" s="232" t="s">
        <v>1065</v>
      </c>
      <c r="K111" s="232" t="s">
        <v>85</v>
      </c>
      <c r="L111" s="636">
        <f t="shared" si="161"/>
        <v>0</v>
      </c>
      <c r="M111" s="636">
        <f t="shared" si="161"/>
        <v>0</v>
      </c>
      <c r="N111" s="636">
        <f t="shared" si="161"/>
        <v>0</v>
      </c>
      <c r="O111" s="636">
        <f t="shared" si="161"/>
        <v>0</v>
      </c>
      <c r="P111" s="636">
        <f t="shared" si="161"/>
        <v>0</v>
      </c>
      <c r="Q111" s="636">
        <f t="shared" si="161"/>
        <v>0</v>
      </c>
      <c r="R111" s="636">
        <f t="shared" si="161"/>
        <v>0</v>
      </c>
      <c r="S111" s="636">
        <f t="shared" si="161"/>
        <v>0</v>
      </c>
      <c r="T111" s="636">
        <f t="shared" si="161"/>
        <v>0</v>
      </c>
      <c r="U111" s="636">
        <f t="shared" si="161"/>
        <v>0</v>
      </c>
      <c r="V111" s="636">
        <f t="shared" si="161"/>
        <v>0</v>
      </c>
      <c r="W111" s="636">
        <f t="shared" si="161"/>
        <v>0</v>
      </c>
      <c r="X111" s="636">
        <f t="shared" si="161"/>
        <v>0</v>
      </c>
      <c r="Y111" s="636">
        <f t="shared" si="161"/>
        <v>0</v>
      </c>
      <c r="Z111" s="636">
        <f t="shared" si="161"/>
        <v>0</v>
      </c>
      <c r="AB111" s="19"/>
    </row>
    <row r="112" spans="1:28" x14ac:dyDescent="0.25">
      <c r="B112" s="233" t="str">
        <f>B108</f>
        <v>TRAHFO00</v>
      </c>
      <c r="C112" s="234"/>
      <c r="D112" s="235"/>
      <c r="E112" s="234"/>
      <c r="F112" s="234"/>
      <c r="G112" s="234"/>
      <c r="H112" s="236">
        <f>$K$5</f>
        <v>2050</v>
      </c>
      <c r="I112" s="224"/>
      <c r="J112" s="237" t="s">
        <v>1065</v>
      </c>
      <c r="K112" s="237" t="s">
        <v>85</v>
      </c>
      <c r="L112" s="637">
        <f t="shared" si="161"/>
        <v>0</v>
      </c>
      <c r="M112" s="637">
        <f t="shared" si="161"/>
        <v>0</v>
      </c>
      <c r="N112" s="637">
        <f t="shared" si="161"/>
        <v>0</v>
      </c>
      <c r="O112" s="637">
        <f t="shared" si="161"/>
        <v>0</v>
      </c>
      <c r="P112" s="637">
        <f t="shared" si="161"/>
        <v>0</v>
      </c>
      <c r="Q112" s="637">
        <f t="shared" si="161"/>
        <v>0</v>
      </c>
      <c r="R112" s="637">
        <f t="shared" si="161"/>
        <v>0</v>
      </c>
      <c r="S112" s="637">
        <f t="shared" si="161"/>
        <v>0</v>
      </c>
      <c r="T112" s="637">
        <f t="shared" si="161"/>
        <v>0</v>
      </c>
      <c r="U112" s="637">
        <f t="shared" si="161"/>
        <v>0</v>
      </c>
      <c r="V112" s="637">
        <f t="shared" si="161"/>
        <v>0</v>
      </c>
      <c r="W112" s="637">
        <f t="shared" si="161"/>
        <v>0</v>
      </c>
      <c r="X112" s="637">
        <f t="shared" si="161"/>
        <v>0</v>
      </c>
      <c r="Y112" s="637">
        <f t="shared" si="161"/>
        <v>0</v>
      </c>
      <c r="Z112" s="637">
        <f t="shared" si="161"/>
        <v>0</v>
      </c>
      <c r="AB112" s="19"/>
    </row>
    <row r="113" spans="1:67" x14ac:dyDescent="0.25">
      <c r="A113" s="100"/>
      <c r="B113" s="219" t="str">
        <f>C113</f>
        <v>TRALFO00</v>
      </c>
      <c r="C113" s="224" t="str">
        <f>CONCATENATE(F113,"00")</f>
        <v>TRALFO00</v>
      </c>
      <c r="D113" s="225" t="str">
        <f>CONCATENATE("Fuel Tech - ",LOOKUP(F113,TRA_Comm!$C$6:$C$28,TRA_Comm!$D$6:$D$28))</f>
        <v>Fuel Tech - Light Fuel Oil (TRA)</v>
      </c>
      <c r="E113" s="224" t="s">
        <v>1091</v>
      </c>
      <c r="F113" s="224" t="s">
        <v>1031</v>
      </c>
      <c r="G113" s="226"/>
      <c r="H113" s="227"/>
      <c r="I113" s="228"/>
      <c r="J113" s="229" t="s">
        <v>1064</v>
      </c>
      <c r="K113" s="229"/>
      <c r="L113" s="635">
        <v>1</v>
      </c>
      <c r="M113" s="635">
        <v>1</v>
      </c>
      <c r="N113" s="635">
        <v>1</v>
      </c>
      <c r="O113" s="635">
        <v>1</v>
      </c>
      <c r="P113" s="635">
        <v>1</v>
      </c>
      <c r="Q113" s="635">
        <v>1</v>
      </c>
      <c r="R113" s="635">
        <v>1</v>
      </c>
      <c r="S113" s="635">
        <v>1</v>
      </c>
      <c r="T113" s="635">
        <v>1</v>
      </c>
      <c r="U113" s="635">
        <v>1</v>
      </c>
      <c r="V113" s="635">
        <v>1</v>
      </c>
      <c r="W113" s="635">
        <v>1</v>
      </c>
      <c r="X113" s="635">
        <v>1</v>
      </c>
      <c r="Y113" s="635">
        <v>1</v>
      </c>
      <c r="Z113" s="635">
        <v>1</v>
      </c>
      <c r="AB113" s="19"/>
    </row>
    <row r="114" spans="1:67" x14ac:dyDescent="0.25">
      <c r="B114" s="219" t="str">
        <f>B113</f>
        <v>TRALFO00</v>
      </c>
      <c r="C114" s="224"/>
      <c r="D114" s="230"/>
      <c r="E114" s="224"/>
      <c r="F114" s="224"/>
      <c r="G114" s="224"/>
      <c r="H114" s="231">
        <f>$K$3</f>
        <v>2019</v>
      </c>
      <c r="I114" s="224"/>
      <c r="J114" s="232" t="s">
        <v>1065</v>
      </c>
      <c r="K114" s="232" t="s">
        <v>85</v>
      </c>
      <c r="L114" s="636">
        <f t="shared" ref="L114:Z114" si="162">LOOKUP($F113, $AE$11:$AE$34, AG$11:AG$34*$L$6)</f>
        <v>0</v>
      </c>
      <c r="M114" s="636">
        <f t="shared" si="162"/>
        <v>0</v>
      </c>
      <c r="N114" s="636">
        <f t="shared" si="162"/>
        <v>0</v>
      </c>
      <c r="O114" s="636">
        <f t="shared" si="162"/>
        <v>0</v>
      </c>
      <c r="P114" s="636">
        <f t="shared" si="162"/>
        <v>0</v>
      </c>
      <c r="Q114" s="636">
        <f t="shared" si="162"/>
        <v>0</v>
      </c>
      <c r="R114" s="636">
        <f t="shared" si="162"/>
        <v>0</v>
      </c>
      <c r="S114" s="636">
        <f t="shared" si="162"/>
        <v>0</v>
      </c>
      <c r="T114" s="636">
        <f t="shared" si="162"/>
        <v>0</v>
      </c>
      <c r="U114" s="636">
        <f t="shared" si="162"/>
        <v>0</v>
      </c>
      <c r="V114" s="636">
        <f t="shared" si="162"/>
        <v>0</v>
      </c>
      <c r="W114" s="636">
        <f t="shared" si="162"/>
        <v>0</v>
      </c>
      <c r="X114" s="636">
        <f t="shared" si="162"/>
        <v>0</v>
      </c>
      <c r="Y114" s="636">
        <f t="shared" si="162"/>
        <v>0</v>
      </c>
      <c r="Z114" s="636">
        <f t="shared" si="162"/>
        <v>0</v>
      </c>
      <c r="AB114" s="19"/>
    </row>
    <row r="115" spans="1:67" x14ac:dyDescent="0.25">
      <c r="B115" s="219" t="str">
        <f t="shared" ref="B115:B117" si="163">B114</f>
        <v>TRALFO00</v>
      </c>
      <c r="C115" s="224"/>
      <c r="D115" s="230"/>
      <c r="E115" s="224"/>
      <c r="F115" s="224"/>
      <c r="G115" s="224"/>
      <c r="H115" s="231">
        <v>2020</v>
      </c>
      <c r="I115" s="224"/>
      <c r="J115" s="232" t="s">
        <v>1065</v>
      </c>
      <c r="K115" s="232" t="s">
        <v>85</v>
      </c>
      <c r="L115" s="636">
        <f t="shared" ref="L115:Z118" si="164">L$114*LOOKUP($H115, $AF$47:$AF$50, AG$47:AG$50)</f>
        <v>0</v>
      </c>
      <c r="M115" s="636">
        <f t="shared" si="164"/>
        <v>0</v>
      </c>
      <c r="N115" s="636">
        <f t="shared" si="164"/>
        <v>0</v>
      </c>
      <c r="O115" s="636">
        <f t="shared" si="164"/>
        <v>0</v>
      </c>
      <c r="P115" s="636">
        <f t="shared" si="164"/>
        <v>0</v>
      </c>
      <c r="Q115" s="636">
        <f t="shared" si="164"/>
        <v>0</v>
      </c>
      <c r="R115" s="636">
        <f t="shared" si="164"/>
        <v>0</v>
      </c>
      <c r="S115" s="636">
        <f t="shared" si="164"/>
        <v>0</v>
      </c>
      <c r="T115" s="636">
        <f t="shared" si="164"/>
        <v>0</v>
      </c>
      <c r="U115" s="636">
        <f t="shared" si="164"/>
        <v>0</v>
      </c>
      <c r="V115" s="636">
        <f t="shared" si="164"/>
        <v>0</v>
      </c>
      <c r="W115" s="636">
        <f t="shared" si="164"/>
        <v>0</v>
      </c>
      <c r="X115" s="636">
        <f t="shared" si="164"/>
        <v>0</v>
      </c>
      <c r="Y115" s="636">
        <f t="shared" si="164"/>
        <v>0</v>
      </c>
      <c r="Z115" s="636">
        <f t="shared" si="164"/>
        <v>0</v>
      </c>
      <c r="AB115" s="19"/>
    </row>
    <row r="116" spans="1:67" x14ac:dyDescent="0.25">
      <c r="B116" s="219" t="str">
        <f t="shared" si="163"/>
        <v>TRALFO00</v>
      </c>
      <c r="C116" s="224"/>
      <c r="D116" s="230"/>
      <c r="E116" s="224"/>
      <c r="F116" s="224"/>
      <c r="G116" s="224"/>
      <c r="H116" s="231">
        <v>2030</v>
      </c>
      <c r="I116" s="224"/>
      <c r="J116" s="232" t="s">
        <v>1065</v>
      </c>
      <c r="K116" s="232" t="s">
        <v>85</v>
      </c>
      <c r="L116" s="636">
        <f t="shared" si="164"/>
        <v>0</v>
      </c>
      <c r="M116" s="636">
        <f t="shared" si="164"/>
        <v>0</v>
      </c>
      <c r="N116" s="636">
        <f t="shared" si="164"/>
        <v>0</v>
      </c>
      <c r="O116" s="636">
        <f t="shared" si="164"/>
        <v>0</v>
      </c>
      <c r="P116" s="636">
        <f t="shared" si="164"/>
        <v>0</v>
      </c>
      <c r="Q116" s="636">
        <f t="shared" si="164"/>
        <v>0</v>
      </c>
      <c r="R116" s="636">
        <f t="shared" si="164"/>
        <v>0</v>
      </c>
      <c r="S116" s="636">
        <f t="shared" si="164"/>
        <v>0</v>
      </c>
      <c r="T116" s="636">
        <f t="shared" si="164"/>
        <v>0</v>
      </c>
      <c r="U116" s="636">
        <f t="shared" si="164"/>
        <v>0</v>
      </c>
      <c r="V116" s="636">
        <f t="shared" si="164"/>
        <v>0</v>
      </c>
      <c r="W116" s="636">
        <f t="shared" si="164"/>
        <v>0</v>
      </c>
      <c r="X116" s="636">
        <f t="shared" si="164"/>
        <v>0</v>
      </c>
      <c r="Y116" s="636">
        <f t="shared" si="164"/>
        <v>0</v>
      </c>
      <c r="Z116" s="636">
        <f t="shared" si="164"/>
        <v>0</v>
      </c>
      <c r="AB116" s="19"/>
    </row>
    <row r="117" spans="1:67" x14ac:dyDescent="0.25">
      <c r="B117" s="219" t="str">
        <f t="shared" si="163"/>
        <v>TRALFO00</v>
      </c>
      <c r="C117" s="224"/>
      <c r="D117" s="230"/>
      <c r="E117" s="224"/>
      <c r="F117" s="224"/>
      <c r="G117" s="224"/>
      <c r="H117" s="231">
        <v>2040</v>
      </c>
      <c r="I117" s="224"/>
      <c r="J117" s="232" t="s">
        <v>1065</v>
      </c>
      <c r="K117" s="232" t="s">
        <v>85</v>
      </c>
      <c r="L117" s="636">
        <f t="shared" si="164"/>
        <v>0</v>
      </c>
      <c r="M117" s="636">
        <f t="shared" si="164"/>
        <v>0</v>
      </c>
      <c r="N117" s="636">
        <f t="shared" si="164"/>
        <v>0</v>
      </c>
      <c r="O117" s="636">
        <f t="shared" si="164"/>
        <v>0</v>
      </c>
      <c r="P117" s="636">
        <f t="shared" si="164"/>
        <v>0</v>
      </c>
      <c r="Q117" s="636">
        <f t="shared" si="164"/>
        <v>0</v>
      </c>
      <c r="R117" s="636">
        <f t="shared" si="164"/>
        <v>0</v>
      </c>
      <c r="S117" s="636">
        <f t="shared" si="164"/>
        <v>0</v>
      </c>
      <c r="T117" s="636">
        <f t="shared" si="164"/>
        <v>0</v>
      </c>
      <c r="U117" s="636">
        <f t="shared" si="164"/>
        <v>0</v>
      </c>
      <c r="V117" s="636">
        <f t="shared" si="164"/>
        <v>0</v>
      </c>
      <c r="W117" s="636">
        <f t="shared" si="164"/>
        <v>0</v>
      </c>
      <c r="X117" s="636">
        <f t="shared" si="164"/>
        <v>0</v>
      </c>
      <c r="Y117" s="636">
        <f t="shared" si="164"/>
        <v>0</v>
      </c>
      <c r="Z117" s="636">
        <f t="shared" si="164"/>
        <v>0</v>
      </c>
      <c r="AB117" s="19"/>
    </row>
    <row r="118" spans="1:67" x14ac:dyDescent="0.25">
      <c r="B118" s="233" t="str">
        <f>B114</f>
        <v>TRALFO00</v>
      </c>
      <c r="C118" s="234"/>
      <c r="D118" s="235"/>
      <c r="E118" s="234"/>
      <c r="F118" s="234"/>
      <c r="G118" s="234"/>
      <c r="H118" s="236">
        <f>$K$5</f>
        <v>2050</v>
      </c>
      <c r="I118" s="234"/>
      <c r="J118" s="237" t="s">
        <v>1065</v>
      </c>
      <c r="K118" s="237" t="s">
        <v>85</v>
      </c>
      <c r="L118" s="637">
        <f t="shared" si="164"/>
        <v>0</v>
      </c>
      <c r="M118" s="637">
        <f t="shared" si="164"/>
        <v>0</v>
      </c>
      <c r="N118" s="637">
        <f t="shared" si="164"/>
        <v>0</v>
      </c>
      <c r="O118" s="637">
        <f t="shared" si="164"/>
        <v>0</v>
      </c>
      <c r="P118" s="637">
        <f t="shared" si="164"/>
        <v>0</v>
      </c>
      <c r="Q118" s="637">
        <f t="shared" si="164"/>
        <v>0</v>
      </c>
      <c r="R118" s="637">
        <f t="shared" si="164"/>
        <v>0</v>
      </c>
      <c r="S118" s="637">
        <f t="shared" si="164"/>
        <v>0</v>
      </c>
      <c r="T118" s="637">
        <f t="shared" si="164"/>
        <v>0</v>
      </c>
      <c r="U118" s="637">
        <f t="shared" si="164"/>
        <v>0</v>
      </c>
      <c r="V118" s="637">
        <f t="shared" si="164"/>
        <v>0</v>
      </c>
      <c r="W118" s="637">
        <f t="shared" si="164"/>
        <v>0</v>
      </c>
      <c r="X118" s="637">
        <f t="shared" si="164"/>
        <v>0</v>
      </c>
      <c r="Y118" s="637">
        <f t="shared" si="164"/>
        <v>0</v>
      </c>
      <c r="Z118" s="637">
        <f t="shared" si="164"/>
        <v>0</v>
      </c>
      <c r="AB118" s="19"/>
    </row>
    <row r="119" spans="1:67" x14ac:dyDescent="0.25">
      <c r="A119" s="100"/>
      <c r="B119" s="219" t="str">
        <f>C119</f>
        <v>TRALPG00</v>
      </c>
      <c r="C119" s="224" t="str">
        <f>CONCATENATE(F119,"00")</f>
        <v>TRALPG00</v>
      </c>
      <c r="D119" s="225" t="str">
        <f>CONCATENATE("Fuel Tech - ",LOOKUP(F119,TRA_Comm!$C$6:$C$28,TRA_Comm!$D$6:$D$28))</f>
        <v>Fuel Tech - Liquified Petroleum Gas (TRA)</v>
      </c>
      <c r="E119" s="224" t="s">
        <v>1092</v>
      </c>
      <c r="F119" s="224" t="s">
        <v>1033</v>
      </c>
      <c r="G119" s="173"/>
      <c r="H119" s="241"/>
      <c r="I119" s="173"/>
      <c r="J119" s="173" t="s">
        <v>1064</v>
      </c>
      <c r="K119" s="173"/>
      <c r="L119" s="635">
        <v>1</v>
      </c>
      <c r="M119" s="635">
        <v>1</v>
      </c>
      <c r="N119" s="635">
        <v>1</v>
      </c>
      <c r="O119" s="635">
        <v>1</v>
      </c>
      <c r="P119" s="635">
        <v>1</v>
      </c>
      <c r="Q119" s="635">
        <v>1</v>
      </c>
      <c r="R119" s="635">
        <v>1</v>
      </c>
      <c r="S119" s="635">
        <v>1</v>
      </c>
      <c r="T119" s="635">
        <v>1</v>
      </c>
      <c r="U119" s="635">
        <v>1</v>
      </c>
      <c r="V119" s="635">
        <v>1</v>
      </c>
      <c r="W119" s="635">
        <v>1</v>
      </c>
      <c r="X119" s="635">
        <v>1</v>
      </c>
      <c r="Y119" s="635">
        <v>1</v>
      </c>
      <c r="Z119" s="635">
        <v>1</v>
      </c>
      <c r="AB119" s="19"/>
    </row>
    <row r="120" spans="1:67" x14ac:dyDescent="0.25">
      <c r="B120" s="219" t="str">
        <f>B119</f>
        <v>TRALPG00</v>
      </c>
      <c r="C120" s="224"/>
      <c r="D120" s="230"/>
      <c r="E120" s="224"/>
      <c r="F120" s="224"/>
      <c r="G120" s="224"/>
      <c r="H120" s="231">
        <f>$K$3</f>
        <v>2019</v>
      </c>
      <c r="I120" s="224"/>
      <c r="J120" s="232" t="s">
        <v>1065</v>
      </c>
      <c r="K120" s="232" t="s">
        <v>85</v>
      </c>
      <c r="L120" s="636">
        <f t="shared" ref="L120:Z120" si="165">LOOKUP($F119, $AE$11:$AE$34, AG$11:AG$34*$L$6)</f>
        <v>0</v>
      </c>
      <c r="M120" s="636">
        <f t="shared" si="165"/>
        <v>0</v>
      </c>
      <c r="N120" s="636">
        <f t="shared" si="165"/>
        <v>0</v>
      </c>
      <c r="O120" s="636">
        <f t="shared" si="165"/>
        <v>0</v>
      </c>
      <c r="P120" s="636">
        <f t="shared" si="165"/>
        <v>0</v>
      </c>
      <c r="Q120" s="636">
        <f t="shared" si="165"/>
        <v>0</v>
      </c>
      <c r="R120" s="636">
        <f t="shared" si="165"/>
        <v>0</v>
      </c>
      <c r="S120" s="636">
        <f t="shared" si="165"/>
        <v>0</v>
      </c>
      <c r="T120" s="636">
        <f t="shared" si="165"/>
        <v>0</v>
      </c>
      <c r="U120" s="636">
        <f t="shared" si="165"/>
        <v>0</v>
      </c>
      <c r="V120" s="636">
        <f t="shared" si="165"/>
        <v>0</v>
      </c>
      <c r="W120" s="636">
        <f t="shared" si="165"/>
        <v>0</v>
      </c>
      <c r="X120" s="636">
        <f t="shared" si="165"/>
        <v>0</v>
      </c>
      <c r="Y120" s="636">
        <f t="shared" si="165"/>
        <v>0</v>
      </c>
      <c r="Z120" s="636">
        <f t="shared" si="165"/>
        <v>0</v>
      </c>
      <c r="AB120" s="19"/>
    </row>
    <row r="121" spans="1:67" x14ac:dyDescent="0.25">
      <c r="B121" s="219" t="str">
        <f t="shared" ref="B121:B123" si="166">B120</f>
        <v>TRALPG00</v>
      </c>
      <c r="C121" s="224"/>
      <c r="D121" s="230"/>
      <c r="E121" s="224"/>
      <c r="F121" s="224"/>
      <c r="G121" s="224"/>
      <c r="H121" s="231">
        <v>2020</v>
      </c>
      <c r="I121" s="224"/>
      <c r="J121" s="232" t="s">
        <v>1065</v>
      </c>
      <c r="K121" s="232" t="s">
        <v>85</v>
      </c>
      <c r="L121" s="636">
        <f t="shared" ref="L121:Z124" si="167">L$120*LOOKUP($H121, $AF$47:$AF$50, AG$47:AG$50)</f>
        <v>0</v>
      </c>
      <c r="M121" s="636">
        <f t="shared" si="167"/>
        <v>0</v>
      </c>
      <c r="N121" s="636">
        <f t="shared" si="167"/>
        <v>0</v>
      </c>
      <c r="O121" s="636">
        <f t="shared" si="167"/>
        <v>0</v>
      </c>
      <c r="P121" s="636">
        <f t="shared" si="167"/>
        <v>0</v>
      </c>
      <c r="Q121" s="636">
        <f t="shared" si="167"/>
        <v>0</v>
      </c>
      <c r="R121" s="636">
        <f t="shared" si="167"/>
        <v>0</v>
      </c>
      <c r="S121" s="636">
        <f t="shared" si="167"/>
        <v>0</v>
      </c>
      <c r="T121" s="636">
        <f t="shared" si="167"/>
        <v>0</v>
      </c>
      <c r="U121" s="636">
        <f t="shared" si="167"/>
        <v>0</v>
      </c>
      <c r="V121" s="636">
        <f t="shared" si="167"/>
        <v>0</v>
      </c>
      <c r="W121" s="636">
        <f t="shared" si="167"/>
        <v>0</v>
      </c>
      <c r="X121" s="636">
        <f t="shared" si="167"/>
        <v>0</v>
      </c>
      <c r="Y121" s="636">
        <f t="shared" si="167"/>
        <v>0</v>
      </c>
      <c r="Z121" s="636">
        <f t="shared" si="167"/>
        <v>0</v>
      </c>
      <c r="AB121" s="19"/>
    </row>
    <row r="122" spans="1:67" x14ac:dyDescent="0.25">
      <c r="B122" s="219" t="str">
        <f t="shared" si="166"/>
        <v>TRALPG00</v>
      </c>
      <c r="C122" s="224"/>
      <c r="D122" s="230"/>
      <c r="E122" s="224"/>
      <c r="F122" s="224"/>
      <c r="G122" s="224"/>
      <c r="H122" s="231">
        <v>2030</v>
      </c>
      <c r="I122" s="224"/>
      <c r="J122" s="232" t="s">
        <v>1065</v>
      </c>
      <c r="K122" s="232" t="s">
        <v>85</v>
      </c>
      <c r="L122" s="636">
        <f t="shared" si="167"/>
        <v>0</v>
      </c>
      <c r="M122" s="636">
        <f t="shared" si="167"/>
        <v>0</v>
      </c>
      <c r="N122" s="636">
        <f t="shared" si="167"/>
        <v>0</v>
      </c>
      <c r="O122" s="636">
        <f t="shared" si="167"/>
        <v>0</v>
      </c>
      <c r="P122" s="636">
        <f t="shared" si="167"/>
        <v>0</v>
      </c>
      <c r="Q122" s="636">
        <f t="shared" si="167"/>
        <v>0</v>
      </c>
      <c r="R122" s="636">
        <f t="shared" si="167"/>
        <v>0</v>
      </c>
      <c r="S122" s="636">
        <f t="shared" si="167"/>
        <v>0</v>
      </c>
      <c r="T122" s="636">
        <f t="shared" si="167"/>
        <v>0</v>
      </c>
      <c r="U122" s="636">
        <f t="shared" si="167"/>
        <v>0</v>
      </c>
      <c r="V122" s="636">
        <f t="shared" si="167"/>
        <v>0</v>
      </c>
      <c r="W122" s="636">
        <f t="shared" si="167"/>
        <v>0</v>
      </c>
      <c r="X122" s="636">
        <f t="shared" si="167"/>
        <v>0</v>
      </c>
      <c r="Y122" s="636">
        <f t="shared" si="167"/>
        <v>0</v>
      </c>
      <c r="Z122" s="636">
        <f t="shared" si="167"/>
        <v>0</v>
      </c>
      <c r="AB122" s="19"/>
    </row>
    <row r="123" spans="1:67" x14ac:dyDescent="0.25">
      <c r="B123" s="219" t="str">
        <f t="shared" si="166"/>
        <v>TRALPG00</v>
      </c>
      <c r="C123" s="224"/>
      <c r="D123" s="230"/>
      <c r="E123" s="224"/>
      <c r="F123" s="224"/>
      <c r="G123" s="224"/>
      <c r="H123" s="231">
        <v>2040</v>
      </c>
      <c r="I123" s="224"/>
      <c r="J123" s="232" t="s">
        <v>1065</v>
      </c>
      <c r="K123" s="232" t="s">
        <v>85</v>
      </c>
      <c r="L123" s="636">
        <f t="shared" si="167"/>
        <v>0</v>
      </c>
      <c r="M123" s="636">
        <f t="shared" si="167"/>
        <v>0</v>
      </c>
      <c r="N123" s="636">
        <f t="shared" si="167"/>
        <v>0</v>
      </c>
      <c r="O123" s="636">
        <f t="shared" si="167"/>
        <v>0</v>
      </c>
      <c r="P123" s="636">
        <f t="shared" si="167"/>
        <v>0</v>
      </c>
      <c r="Q123" s="636">
        <f t="shared" si="167"/>
        <v>0</v>
      </c>
      <c r="R123" s="636">
        <f t="shared" si="167"/>
        <v>0</v>
      </c>
      <c r="S123" s="636">
        <f t="shared" si="167"/>
        <v>0</v>
      </c>
      <c r="T123" s="636">
        <f t="shared" si="167"/>
        <v>0</v>
      </c>
      <c r="U123" s="636">
        <f t="shared" si="167"/>
        <v>0</v>
      </c>
      <c r="V123" s="636">
        <f t="shared" si="167"/>
        <v>0</v>
      </c>
      <c r="W123" s="636">
        <f t="shared" si="167"/>
        <v>0</v>
      </c>
      <c r="X123" s="636">
        <f t="shared" si="167"/>
        <v>0</v>
      </c>
      <c r="Y123" s="636">
        <f t="shared" si="167"/>
        <v>0</v>
      </c>
      <c r="Z123" s="636">
        <f t="shared" si="167"/>
        <v>0</v>
      </c>
      <c r="AB123" s="19"/>
    </row>
    <row r="124" spans="1:67" x14ac:dyDescent="0.25">
      <c r="B124" s="233" t="str">
        <f>B120</f>
        <v>TRALPG00</v>
      </c>
      <c r="C124" s="234"/>
      <c r="D124" s="235"/>
      <c r="E124" s="234"/>
      <c r="F124" s="234"/>
      <c r="G124" s="234"/>
      <c r="H124" s="236">
        <f>$K$5</f>
        <v>2050</v>
      </c>
      <c r="I124" s="234"/>
      <c r="J124" s="237" t="s">
        <v>1065</v>
      </c>
      <c r="K124" s="237" t="s">
        <v>85</v>
      </c>
      <c r="L124" s="637">
        <f t="shared" si="167"/>
        <v>0</v>
      </c>
      <c r="M124" s="637">
        <f t="shared" si="167"/>
        <v>0</v>
      </c>
      <c r="N124" s="637">
        <f t="shared" si="167"/>
        <v>0</v>
      </c>
      <c r="O124" s="637">
        <f t="shared" si="167"/>
        <v>0</v>
      </c>
      <c r="P124" s="637">
        <f t="shared" si="167"/>
        <v>0</v>
      </c>
      <c r="Q124" s="637">
        <f t="shared" si="167"/>
        <v>0</v>
      </c>
      <c r="R124" s="637">
        <f t="shared" si="167"/>
        <v>0</v>
      </c>
      <c r="S124" s="637">
        <f t="shared" si="167"/>
        <v>0</v>
      </c>
      <c r="T124" s="637">
        <f t="shared" si="167"/>
        <v>0</v>
      </c>
      <c r="U124" s="637">
        <f t="shared" si="167"/>
        <v>0</v>
      </c>
      <c r="V124" s="637">
        <f t="shared" si="167"/>
        <v>0</v>
      </c>
      <c r="W124" s="637">
        <f t="shared" si="167"/>
        <v>0</v>
      </c>
      <c r="X124" s="637">
        <f t="shared" si="167"/>
        <v>0</v>
      </c>
      <c r="Y124" s="637">
        <f t="shared" si="167"/>
        <v>0</v>
      </c>
      <c r="Z124" s="637">
        <f t="shared" si="167"/>
        <v>0</v>
      </c>
      <c r="AB124" s="19"/>
    </row>
    <row r="125" spans="1:67" x14ac:dyDescent="0.25">
      <c r="A125" s="100"/>
      <c r="B125" s="219" t="str">
        <f>C125</f>
        <v>TRAMTH00</v>
      </c>
      <c r="C125" s="224" t="str">
        <f>CONCATENATE(F125,"00")</f>
        <v>TRAMTH00</v>
      </c>
      <c r="D125" s="225" t="str">
        <f>CONCATENATE("Fuel Tech - ",LOOKUP(F125,TRA_Comm!$C$6:$C$28,TRA_Comm!$D$6:$D$28))</f>
        <v>Fuel Tech - Methanol (TRA)</v>
      </c>
      <c r="E125" s="224" t="s">
        <v>1093</v>
      </c>
      <c r="F125" s="224" t="s">
        <v>1035</v>
      </c>
      <c r="G125" s="173"/>
      <c r="H125" s="241"/>
      <c r="I125" s="173"/>
      <c r="J125" s="173" t="s">
        <v>1064</v>
      </c>
      <c r="K125" s="173"/>
      <c r="L125" s="635">
        <v>1</v>
      </c>
      <c r="M125" s="635">
        <v>1</v>
      </c>
      <c r="N125" s="635">
        <v>1</v>
      </c>
      <c r="O125" s="635">
        <v>1</v>
      </c>
      <c r="P125" s="635">
        <v>1</v>
      </c>
      <c r="Q125" s="635">
        <v>1</v>
      </c>
      <c r="R125" s="635">
        <v>1</v>
      </c>
      <c r="S125" s="635">
        <v>1</v>
      </c>
      <c r="T125" s="635">
        <v>1</v>
      </c>
      <c r="U125" s="635">
        <v>1</v>
      </c>
      <c r="V125" s="635">
        <v>1</v>
      </c>
      <c r="W125" s="635">
        <v>1</v>
      </c>
      <c r="X125" s="635">
        <v>1</v>
      </c>
      <c r="Y125" s="635">
        <v>1</v>
      </c>
      <c r="Z125" s="635">
        <v>1</v>
      </c>
      <c r="AB125" s="19"/>
    </row>
    <row r="126" spans="1:67" s="19" customFormat="1" x14ac:dyDescent="0.25">
      <c r="A126"/>
      <c r="B126" s="219" t="str">
        <f>B125</f>
        <v>TRAMTH00</v>
      </c>
      <c r="C126" s="224"/>
      <c r="D126" s="230"/>
      <c r="E126" s="224"/>
      <c r="F126" s="224"/>
      <c r="G126" s="224"/>
      <c r="H126" s="231">
        <f>$K$3</f>
        <v>2019</v>
      </c>
      <c r="I126" s="224"/>
      <c r="J126" s="232" t="s">
        <v>1065</v>
      </c>
      <c r="K126" s="232" t="s">
        <v>85</v>
      </c>
      <c r="L126" s="636">
        <f t="shared" ref="L126:Z126" si="168">LOOKUP($F125, $AE$11:$AE$34, AG$11:AG$34*$L$6)</f>
        <v>0</v>
      </c>
      <c r="M126" s="636">
        <f t="shared" si="168"/>
        <v>0</v>
      </c>
      <c r="N126" s="636">
        <f t="shared" si="168"/>
        <v>0</v>
      </c>
      <c r="O126" s="636">
        <f t="shared" si="168"/>
        <v>0</v>
      </c>
      <c r="P126" s="636">
        <f t="shared" si="168"/>
        <v>0</v>
      </c>
      <c r="Q126" s="636">
        <f t="shared" si="168"/>
        <v>0</v>
      </c>
      <c r="R126" s="636">
        <f t="shared" si="168"/>
        <v>0</v>
      </c>
      <c r="S126" s="636">
        <f t="shared" si="168"/>
        <v>0</v>
      </c>
      <c r="T126" s="636">
        <f t="shared" si="168"/>
        <v>0</v>
      </c>
      <c r="U126" s="636">
        <f t="shared" si="168"/>
        <v>0</v>
      </c>
      <c r="V126" s="636">
        <f t="shared" si="168"/>
        <v>0</v>
      </c>
      <c r="W126" s="636">
        <f t="shared" si="168"/>
        <v>0</v>
      </c>
      <c r="X126" s="636">
        <f t="shared" si="168"/>
        <v>0</v>
      </c>
      <c r="Y126" s="636">
        <f t="shared" si="168"/>
        <v>0</v>
      </c>
      <c r="Z126" s="636">
        <f t="shared" si="168"/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 s="23"/>
    </row>
    <row r="127" spans="1:67" s="834" customFormat="1" x14ac:dyDescent="0.25">
      <c r="A127"/>
      <c r="B127" s="219" t="str">
        <f t="shared" ref="B127:B129" si="169">B126</f>
        <v>TRAMTH00</v>
      </c>
      <c r="C127" s="224"/>
      <c r="D127" s="230"/>
      <c r="E127" s="224"/>
      <c r="F127" s="224"/>
      <c r="G127" s="224"/>
      <c r="H127" s="231">
        <v>2020</v>
      </c>
      <c r="I127" s="224"/>
      <c r="J127" s="232" t="s">
        <v>1065</v>
      </c>
      <c r="K127" s="232" t="s">
        <v>85</v>
      </c>
      <c r="L127" s="636">
        <f t="shared" ref="L127:Z130" si="170">L$126*LOOKUP($H127, $AF$47:$AF$50, AG$47:AG$50)</f>
        <v>0</v>
      </c>
      <c r="M127" s="636">
        <f t="shared" si="170"/>
        <v>0</v>
      </c>
      <c r="N127" s="636">
        <f t="shared" si="170"/>
        <v>0</v>
      </c>
      <c r="O127" s="636">
        <f t="shared" si="170"/>
        <v>0</v>
      </c>
      <c r="P127" s="636">
        <f t="shared" si="170"/>
        <v>0</v>
      </c>
      <c r="Q127" s="636">
        <f t="shared" si="170"/>
        <v>0</v>
      </c>
      <c r="R127" s="636">
        <f t="shared" si="170"/>
        <v>0</v>
      </c>
      <c r="S127" s="636">
        <f t="shared" si="170"/>
        <v>0</v>
      </c>
      <c r="T127" s="636">
        <f t="shared" si="170"/>
        <v>0</v>
      </c>
      <c r="U127" s="636">
        <f t="shared" si="170"/>
        <v>0</v>
      </c>
      <c r="V127" s="636">
        <f t="shared" si="170"/>
        <v>0</v>
      </c>
      <c r="W127" s="636">
        <f t="shared" si="170"/>
        <v>0</v>
      </c>
      <c r="X127" s="636">
        <f t="shared" si="170"/>
        <v>0</v>
      </c>
      <c r="Y127" s="636">
        <f t="shared" si="170"/>
        <v>0</v>
      </c>
      <c r="Z127" s="636">
        <f t="shared" si="170"/>
        <v>0</v>
      </c>
      <c r="AA127"/>
      <c r="AB127" s="836" t="s">
        <v>1059</v>
      </c>
      <c r="AC127" s="836" t="s">
        <v>1060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 s="19"/>
      <c r="BO127" s="23"/>
    </row>
    <row r="128" spans="1:67" s="834" customFormat="1" x14ac:dyDescent="0.25">
      <c r="A128"/>
      <c r="B128" s="219" t="str">
        <f t="shared" si="169"/>
        <v>TRAMTH00</v>
      </c>
      <c r="C128" s="224"/>
      <c r="D128" s="230"/>
      <c r="E128" s="224"/>
      <c r="F128" s="224"/>
      <c r="G128" s="224"/>
      <c r="H128" s="231">
        <v>2030</v>
      </c>
      <c r="I128" s="224"/>
      <c r="J128" s="232" t="s">
        <v>1065</v>
      </c>
      <c r="K128" s="232" t="s">
        <v>85</v>
      </c>
      <c r="L128" s="636">
        <f t="shared" si="170"/>
        <v>0</v>
      </c>
      <c r="M128" s="636">
        <f t="shared" si="170"/>
        <v>0</v>
      </c>
      <c r="N128" s="636">
        <f t="shared" si="170"/>
        <v>0</v>
      </c>
      <c r="O128" s="636">
        <f t="shared" si="170"/>
        <v>0</v>
      </c>
      <c r="P128" s="636">
        <f t="shared" si="170"/>
        <v>0</v>
      </c>
      <c r="Q128" s="636">
        <f t="shared" si="170"/>
        <v>0</v>
      </c>
      <c r="R128" s="636">
        <f t="shared" si="170"/>
        <v>0</v>
      </c>
      <c r="S128" s="636">
        <f t="shared" si="170"/>
        <v>0</v>
      </c>
      <c r="T128" s="636">
        <f t="shared" si="170"/>
        <v>0</v>
      </c>
      <c r="U128" s="636">
        <f t="shared" si="170"/>
        <v>0</v>
      </c>
      <c r="V128" s="636">
        <f t="shared" si="170"/>
        <v>0</v>
      </c>
      <c r="W128" s="636">
        <f t="shared" si="170"/>
        <v>0</v>
      </c>
      <c r="X128" s="636">
        <f t="shared" si="170"/>
        <v>0</v>
      </c>
      <c r="Y128" s="636">
        <f t="shared" si="170"/>
        <v>0</v>
      </c>
      <c r="Z128" s="636">
        <f t="shared" si="170"/>
        <v>0</v>
      </c>
      <c r="AA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O128" s="23"/>
    </row>
    <row r="129" spans="1:67" s="834" customFormat="1" x14ac:dyDescent="0.25">
      <c r="A129"/>
      <c r="B129" s="219" t="str">
        <f t="shared" si="169"/>
        <v>TRAMTH00</v>
      </c>
      <c r="C129" s="224"/>
      <c r="D129" s="230"/>
      <c r="E129" s="224"/>
      <c r="F129" s="224"/>
      <c r="G129" s="224"/>
      <c r="H129" s="231">
        <v>2040</v>
      </c>
      <c r="I129" s="224"/>
      <c r="J129" s="232" t="s">
        <v>1065</v>
      </c>
      <c r="K129" s="232" t="s">
        <v>85</v>
      </c>
      <c r="L129" s="636">
        <f t="shared" si="170"/>
        <v>0</v>
      </c>
      <c r="M129" s="636">
        <f t="shared" si="170"/>
        <v>0</v>
      </c>
      <c r="N129" s="636">
        <f t="shared" si="170"/>
        <v>0</v>
      </c>
      <c r="O129" s="636">
        <f t="shared" si="170"/>
        <v>0</v>
      </c>
      <c r="P129" s="636">
        <f t="shared" si="170"/>
        <v>0</v>
      </c>
      <c r="Q129" s="636">
        <f t="shared" si="170"/>
        <v>0</v>
      </c>
      <c r="R129" s="636">
        <f t="shared" si="170"/>
        <v>0</v>
      </c>
      <c r="S129" s="636">
        <f t="shared" si="170"/>
        <v>0</v>
      </c>
      <c r="T129" s="636">
        <f t="shared" si="170"/>
        <v>0</v>
      </c>
      <c r="U129" s="636">
        <f t="shared" si="170"/>
        <v>0</v>
      </c>
      <c r="V129" s="636">
        <f t="shared" si="170"/>
        <v>0</v>
      </c>
      <c r="W129" s="636">
        <f t="shared" si="170"/>
        <v>0</v>
      </c>
      <c r="X129" s="636">
        <f t="shared" si="170"/>
        <v>0</v>
      </c>
      <c r="Y129" s="636">
        <f t="shared" si="170"/>
        <v>0</v>
      </c>
      <c r="Z129" s="636">
        <f t="shared" si="170"/>
        <v>0</v>
      </c>
      <c r="AA129"/>
      <c r="BO129" s="23"/>
    </row>
    <row r="130" spans="1:67" s="834" customFormat="1" x14ac:dyDescent="0.25">
      <c r="A130"/>
      <c r="B130" s="233" t="str">
        <f>B126</f>
        <v>TRAMTH00</v>
      </c>
      <c r="C130" s="234"/>
      <c r="D130" s="235"/>
      <c r="E130" s="234"/>
      <c r="F130" s="234"/>
      <c r="G130" s="234"/>
      <c r="H130" s="236">
        <f>$K$5</f>
        <v>2050</v>
      </c>
      <c r="I130" s="234"/>
      <c r="J130" s="237" t="s">
        <v>1065</v>
      </c>
      <c r="K130" s="237" t="s">
        <v>85</v>
      </c>
      <c r="L130" s="637">
        <f t="shared" si="170"/>
        <v>0</v>
      </c>
      <c r="M130" s="637">
        <f t="shared" si="170"/>
        <v>0</v>
      </c>
      <c r="N130" s="637">
        <f t="shared" si="170"/>
        <v>0</v>
      </c>
      <c r="O130" s="637">
        <f t="shared" si="170"/>
        <v>0</v>
      </c>
      <c r="P130" s="637">
        <f t="shared" si="170"/>
        <v>0</v>
      </c>
      <c r="Q130" s="637">
        <f t="shared" si="170"/>
        <v>0</v>
      </c>
      <c r="R130" s="637">
        <f t="shared" si="170"/>
        <v>0</v>
      </c>
      <c r="S130" s="637">
        <f t="shared" si="170"/>
        <v>0</v>
      </c>
      <c r="T130" s="637">
        <f t="shared" si="170"/>
        <v>0</v>
      </c>
      <c r="U130" s="637">
        <f t="shared" si="170"/>
        <v>0</v>
      </c>
      <c r="V130" s="637">
        <f t="shared" si="170"/>
        <v>0</v>
      </c>
      <c r="W130" s="637">
        <f t="shared" si="170"/>
        <v>0</v>
      </c>
      <c r="X130" s="637">
        <f t="shared" si="170"/>
        <v>0</v>
      </c>
      <c r="Y130" s="637">
        <f t="shared" si="170"/>
        <v>0</v>
      </c>
      <c r="Z130" s="637">
        <f t="shared" si="170"/>
        <v>0</v>
      </c>
      <c r="AA130"/>
      <c r="BO130" s="23"/>
    </row>
    <row r="131" spans="1:67" x14ac:dyDescent="0.25">
      <c r="A131" s="100"/>
      <c r="B131" s="219" t="str">
        <f>C131</f>
        <v>TRAMTHM00</v>
      </c>
      <c r="C131" s="224" t="str">
        <f>CONCATENATE(F131,"00")</f>
        <v>TRAMTHM00</v>
      </c>
      <c r="D131" s="225" t="str">
        <f>CONCATENATE("Fuel Tech - ",LOOKUP(F131,TRA_Comm!$C$6:$C$28,TRA_Comm!$D$6:$D$28))</f>
        <v>Fuel Tech - Methanol for blending with GSL (TRA)</v>
      </c>
      <c r="E131" s="224" t="s">
        <v>1093</v>
      </c>
      <c r="F131" s="224" t="s">
        <v>1037</v>
      </c>
      <c r="G131" s="173"/>
      <c r="H131" s="241"/>
      <c r="I131" s="173"/>
      <c r="J131" s="173" t="s">
        <v>1064</v>
      </c>
      <c r="K131" s="173"/>
      <c r="L131" s="635">
        <v>1</v>
      </c>
      <c r="M131" s="635">
        <v>1</v>
      </c>
      <c r="N131" s="635">
        <v>1</v>
      </c>
      <c r="O131" s="635">
        <v>1</v>
      </c>
      <c r="P131" s="635">
        <v>1</v>
      </c>
      <c r="Q131" s="635">
        <v>1</v>
      </c>
      <c r="R131" s="635">
        <v>1</v>
      </c>
      <c r="S131" s="635">
        <v>1</v>
      </c>
      <c r="T131" s="635">
        <v>1</v>
      </c>
      <c r="U131" s="635">
        <v>1</v>
      </c>
      <c r="V131" s="635">
        <v>1</v>
      </c>
      <c r="W131" s="635">
        <v>1</v>
      </c>
      <c r="X131" s="635">
        <v>1</v>
      </c>
      <c r="Y131" s="635">
        <v>1</v>
      </c>
      <c r="Z131" s="635">
        <v>1</v>
      </c>
      <c r="AB131" s="19"/>
    </row>
    <row r="132" spans="1:67" s="19" customFormat="1" x14ac:dyDescent="0.25">
      <c r="A132"/>
      <c r="B132" s="219" t="str">
        <f>B131</f>
        <v>TRAMTHM00</v>
      </c>
      <c r="C132" s="224"/>
      <c r="D132" s="230"/>
      <c r="E132" s="224"/>
      <c r="F132" s="224"/>
      <c r="G132" s="224"/>
      <c r="H132" s="231">
        <f>$K$3</f>
        <v>2019</v>
      </c>
      <c r="I132" s="224"/>
      <c r="J132" s="232" t="s">
        <v>1065</v>
      </c>
      <c r="K132" s="232" t="s">
        <v>85</v>
      </c>
      <c r="L132" s="636">
        <f t="shared" ref="L132:Z132" si="171">LOOKUP($F131, $AE$11:$AE$34, AG$11:AG$34*$L$6)</f>
        <v>0</v>
      </c>
      <c r="M132" s="636">
        <f t="shared" si="171"/>
        <v>0</v>
      </c>
      <c r="N132" s="636">
        <f t="shared" si="171"/>
        <v>0</v>
      </c>
      <c r="O132" s="636">
        <f t="shared" si="171"/>
        <v>0</v>
      </c>
      <c r="P132" s="636">
        <f t="shared" si="171"/>
        <v>0</v>
      </c>
      <c r="Q132" s="636">
        <f t="shared" si="171"/>
        <v>0</v>
      </c>
      <c r="R132" s="636">
        <f t="shared" si="171"/>
        <v>0</v>
      </c>
      <c r="S132" s="636">
        <f t="shared" si="171"/>
        <v>0</v>
      </c>
      <c r="T132" s="636">
        <f t="shared" si="171"/>
        <v>0</v>
      </c>
      <c r="U132" s="636">
        <f t="shared" si="171"/>
        <v>0</v>
      </c>
      <c r="V132" s="636">
        <f t="shared" si="171"/>
        <v>0</v>
      </c>
      <c r="W132" s="636">
        <f t="shared" si="171"/>
        <v>0</v>
      </c>
      <c r="X132" s="636">
        <f t="shared" si="171"/>
        <v>0</v>
      </c>
      <c r="Y132" s="636">
        <f t="shared" si="171"/>
        <v>0</v>
      </c>
      <c r="Z132" s="636">
        <f t="shared" si="171"/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s="23"/>
    </row>
    <row r="133" spans="1:67" s="834" customFormat="1" x14ac:dyDescent="0.25">
      <c r="A133"/>
      <c r="B133" s="219" t="str">
        <f t="shared" ref="B133:B135" si="172">B132</f>
        <v>TRAMTHM00</v>
      </c>
      <c r="C133" s="224"/>
      <c r="D133" s="230"/>
      <c r="E133" s="224"/>
      <c r="F133" s="224"/>
      <c r="G133" s="224"/>
      <c r="H133" s="231">
        <v>2020</v>
      </c>
      <c r="I133" s="224"/>
      <c r="J133" s="232" t="s">
        <v>1065</v>
      </c>
      <c r="K133" s="232" t="s">
        <v>85</v>
      </c>
      <c r="L133" s="636">
        <f t="shared" ref="L133:L136" si="173">L$126*LOOKUP($H133, $AF$47:$AF$50, AG$47:AG$50)</f>
        <v>0</v>
      </c>
      <c r="M133" s="636">
        <f t="shared" ref="M133:M136" si="174">M$126*LOOKUP($H133, $AF$47:$AF$50, AH$47:AH$50)</f>
        <v>0</v>
      </c>
      <c r="N133" s="636">
        <f t="shared" ref="N133:N136" si="175">N$126*LOOKUP($H133, $AF$47:$AF$50, AI$47:AI$50)</f>
        <v>0</v>
      </c>
      <c r="O133" s="636">
        <f t="shared" ref="O133:O136" si="176">O$126*LOOKUP($H133, $AF$47:$AF$50, AJ$47:AJ$50)</f>
        <v>0</v>
      </c>
      <c r="P133" s="636">
        <f t="shared" ref="P133:P136" si="177">P$126*LOOKUP($H133, $AF$47:$AF$50, AK$47:AK$50)</f>
        <v>0</v>
      </c>
      <c r="Q133" s="636">
        <f t="shared" ref="Q133:Q136" si="178">Q$126*LOOKUP($H133, $AF$47:$AF$50, AL$47:AL$50)</f>
        <v>0</v>
      </c>
      <c r="R133" s="636">
        <f t="shared" ref="R133:R136" si="179">R$126*LOOKUP($H133, $AF$47:$AF$50, AM$47:AM$50)</f>
        <v>0</v>
      </c>
      <c r="S133" s="636">
        <f t="shared" ref="S133:S136" si="180">S$126*LOOKUP($H133, $AF$47:$AF$50, AN$47:AN$50)</f>
        <v>0</v>
      </c>
      <c r="T133" s="636">
        <f t="shared" ref="T133:T136" si="181">T$126*LOOKUP($H133, $AF$47:$AF$50, AO$47:AO$50)</f>
        <v>0</v>
      </c>
      <c r="U133" s="636">
        <f t="shared" ref="U133:U136" si="182">U$126*LOOKUP($H133, $AF$47:$AF$50, AP$47:AP$50)</f>
        <v>0</v>
      </c>
      <c r="V133" s="636">
        <f t="shared" ref="V133:V136" si="183">V$126*LOOKUP($H133, $AF$47:$AF$50, AQ$47:AQ$50)</f>
        <v>0</v>
      </c>
      <c r="W133" s="636">
        <f t="shared" ref="W133:W136" si="184">W$126*LOOKUP($H133, $AF$47:$AF$50, AR$47:AR$50)</f>
        <v>0</v>
      </c>
      <c r="X133" s="636">
        <f t="shared" ref="X133:X136" si="185">X$126*LOOKUP($H133, $AF$47:$AF$50, AS$47:AS$50)</f>
        <v>0</v>
      </c>
      <c r="Y133" s="636">
        <f t="shared" ref="Y133:Y136" si="186">Y$126*LOOKUP($H133, $AF$47:$AF$50, AT$47:AT$50)</f>
        <v>0</v>
      </c>
      <c r="Z133" s="636">
        <f t="shared" ref="Z133:Z136" si="187">Z$126*LOOKUP($H133, $AF$47:$AF$50, AU$47:AU$50)</f>
        <v>0</v>
      </c>
      <c r="AA133"/>
      <c r="AB133" s="836" t="s">
        <v>1059</v>
      </c>
      <c r="AC133" s="836" t="s">
        <v>1060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s="19"/>
      <c r="BO133" s="23"/>
    </row>
    <row r="134" spans="1:67" s="834" customFormat="1" x14ac:dyDescent="0.25">
      <c r="A134"/>
      <c r="B134" s="219" t="str">
        <f t="shared" si="172"/>
        <v>TRAMTHM00</v>
      </c>
      <c r="C134" s="224"/>
      <c r="D134" s="230"/>
      <c r="E134" s="224"/>
      <c r="F134" s="224"/>
      <c r="G134" s="224"/>
      <c r="H134" s="231">
        <v>2030</v>
      </c>
      <c r="I134" s="224"/>
      <c r="J134" s="232" t="s">
        <v>1065</v>
      </c>
      <c r="K134" s="232" t="s">
        <v>85</v>
      </c>
      <c r="L134" s="636">
        <f t="shared" si="173"/>
        <v>0</v>
      </c>
      <c r="M134" s="636">
        <f t="shared" si="174"/>
        <v>0</v>
      </c>
      <c r="N134" s="636">
        <f t="shared" si="175"/>
        <v>0</v>
      </c>
      <c r="O134" s="636">
        <f t="shared" si="176"/>
        <v>0</v>
      </c>
      <c r="P134" s="636">
        <f t="shared" si="177"/>
        <v>0</v>
      </c>
      <c r="Q134" s="636">
        <f t="shared" si="178"/>
        <v>0</v>
      </c>
      <c r="R134" s="636">
        <f t="shared" si="179"/>
        <v>0</v>
      </c>
      <c r="S134" s="636">
        <f t="shared" si="180"/>
        <v>0</v>
      </c>
      <c r="T134" s="636">
        <f t="shared" si="181"/>
        <v>0</v>
      </c>
      <c r="U134" s="636">
        <f t="shared" si="182"/>
        <v>0</v>
      </c>
      <c r="V134" s="636">
        <f t="shared" si="183"/>
        <v>0</v>
      </c>
      <c r="W134" s="636">
        <f t="shared" si="184"/>
        <v>0</v>
      </c>
      <c r="X134" s="636">
        <f t="shared" si="185"/>
        <v>0</v>
      </c>
      <c r="Y134" s="636">
        <f t="shared" si="186"/>
        <v>0</v>
      </c>
      <c r="Z134" s="636">
        <f t="shared" si="187"/>
        <v>0</v>
      </c>
      <c r="AA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O134" s="23"/>
    </row>
    <row r="135" spans="1:67" s="834" customFormat="1" x14ac:dyDescent="0.25">
      <c r="A135"/>
      <c r="B135" s="219" t="str">
        <f t="shared" si="172"/>
        <v>TRAMTHM00</v>
      </c>
      <c r="C135" s="224"/>
      <c r="D135" s="230"/>
      <c r="E135" s="224"/>
      <c r="F135" s="224"/>
      <c r="G135" s="224"/>
      <c r="H135" s="231">
        <v>2040</v>
      </c>
      <c r="I135" s="224"/>
      <c r="J135" s="232" t="s">
        <v>1065</v>
      </c>
      <c r="K135" s="232" t="s">
        <v>85</v>
      </c>
      <c r="L135" s="636">
        <f t="shared" si="173"/>
        <v>0</v>
      </c>
      <c r="M135" s="636">
        <f t="shared" si="174"/>
        <v>0</v>
      </c>
      <c r="N135" s="636">
        <f t="shared" si="175"/>
        <v>0</v>
      </c>
      <c r="O135" s="636">
        <f t="shared" si="176"/>
        <v>0</v>
      </c>
      <c r="P135" s="636">
        <f t="shared" si="177"/>
        <v>0</v>
      </c>
      <c r="Q135" s="636">
        <f t="shared" si="178"/>
        <v>0</v>
      </c>
      <c r="R135" s="636">
        <f t="shared" si="179"/>
        <v>0</v>
      </c>
      <c r="S135" s="636">
        <f t="shared" si="180"/>
        <v>0</v>
      </c>
      <c r="T135" s="636">
        <f t="shared" si="181"/>
        <v>0</v>
      </c>
      <c r="U135" s="636">
        <f t="shared" si="182"/>
        <v>0</v>
      </c>
      <c r="V135" s="636">
        <f t="shared" si="183"/>
        <v>0</v>
      </c>
      <c r="W135" s="636">
        <f t="shared" si="184"/>
        <v>0</v>
      </c>
      <c r="X135" s="636">
        <f t="shared" si="185"/>
        <v>0</v>
      </c>
      <c r="Y135" s="636">
        <f t="shared" si="186"/>
        <v>0</v>
      </c>
      <c r="Z135" s="636">
        <f t="shared" si="187"/>
        <v>0</v>
      </c>
      <c r="AA135"/>
      <c r="BO135" s="23"/>
    </row>
    <row r="136" spans="1:67" s="834" customFormat="1" x14ac:dyDescent="0.25">
      <c r="A136"/>
      <c r="B136" s="233" t="str">
        <f>B132</f>
        <v>TRAMTHM00</v>
      </c>
      <c r="C136" s="234"/>
      <c r="D136" s="235"/>
      <c r="E136" s="234"/>
      <c r="F136" s="234"/>
      <c r="G136" s="234"/>
      <c r="H136" s="236">
        <f>$K$5</f>
        <v>2050</v>
      </c>
      <c r="I136" s="234"/>
      <c r="J136" s="237" t="s">
        <v>1065</v>
      </c>
      <c r="K136" s="237" t="s">
        <v>85</v>
      </c>
      <c r="L136" s="637">
        <f t="shared" si="173"/>
        <v>0</v>
      </c>
      <c r="M136" s="637">
        <f t="shared" si="174"/>
        <v>0</v>
      </c>
      <c r="N136" s="637">
        <f t="shared" si="175"/>
        <v>0</v>
      </c>
      <c r="O136" s="637">
        <f t="shared" si="176"/>
        <v>0</v>
      </c>
      <c r="P136" s="637">
        <f t="shared" si="177"/>
        <v>0</v>
      </c>
      <c r="Q136" s="637">
        <f t="shared" si="178"/>
        <v>0</v>
      </c>
      <c r="R136" s="637">
        <f t="shared" si="179"/>
        <v>0</v>
      </c>
      <c r="S136" s="637">
        <f t="shared" si="180"/>
        <v>0</v>
      </c>
      <c r="T136" s="637">
        <f t="shared" si="181"/>
        <v>0</v>
      </c>
      <c r="U136" s="637">
        <f t="shared" si="182"/>
        <v>0</v>
      </c>
      <c r="V136" s="637">
        <f t="shared" si="183"/>
        <v>0</v>
      </c>
      <c r="W136" s="637">
        <f t="shared" si="184"/>
        <v>0</v>
      </c>
      <c r="X136" s="637">
        <f t="shared" si="185"/>
        <v>0</v>
      </c>
      <c r="Y136" s="637">
        <f t="shared" si="186"/>
        <v>0</v>
      </c>
      <c r="Z136" s="637">
        <f t="shared" si="187"/>
        <v>0</v>
      </c>
      <c r="AA136"/>
      <c r="BO136" s="23"/>
    </row>
    <row r="137" spans="1:67" s="834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BO137" s="23"/>
    </row>
    <row r="138" spans="1:67" s="834" customFormat="1" x14ac:dyDescent="0.25">
      <c r="A138"/>
      <c r="B138"/>
      <c r="C138" s="12"/>
      <c r="D138" s="12"/>
      <c r="E138"/>
      <c r="F138"/>
      <c r="G138" s="41"/>
      <c r="H138" s="51"/>
      <c r="I138" s="41"/>
      <c r="J138" s="40"/>
      <c r="K138"/>
      <c r="L138"/>
      <c r="M138"/>
      <c r="N138"/>
      <c r="O138" s="41"/>
      <c r="P138"/>
      <c r="Q138"/>
      <c r="R138"/>
      <c r="S138"/>
      <c r="T138"/>
      <c r="U138"/>
      <c r="V138"/>
      <c r="W138"/>
      <c r="X138"/>
      <c r="Y138"/>
      <c r="Z138" s="41"/>
      <c r="AA138" s="19"/>
      <c r="BO138" s="23"/>
    </row>
    <row r="139" spans="1:67" s="834" customFormat="1" x14ac:dyDescent="0.25">
      <c r="B139" s="835" t="s">
        <v>1053</v>
      </c>
      <c r="C139" s="836" t="s">
        <v>104</v>
      </c>
      <c r="D139" s="836" t="s">
        <v>1054</v>
      </c>
      <c r="E139" s="836" t="s">
        <v>673</v>
      </c>
      <c r="F139" s="836" t="s">
        <v>674</v>
      </c>
      <c r="G139" s="836" t="s">
        <v>1055</v>
      </c>
      <c r="H139" s="837" t="s">
        <v>1056</v>
      </c>
      <c r="I139" s="836" t="s">
        <v>982</v>
      </c>
      <c r="J139" s="836" t="s">
        <v>1057</v>
      </c>
      <c r="K139" s="836" t="s">
        <v>1058</v>
      </c>
      <c r="L139" s="836" t="str">
        <f t="shared" ref="L139:Z139" si="188">L$2</f>
        <v>Z01</v>
      </c>
      <c r="M139" s="836" t="str">
        <f t="shared" si="188"/>
        <v>Z02</v>
      </c>
      <c r="N139" s="836" t="str">
        <f t="shared" si="188"/>
        <v>Z03</v>
      </c>
      <c r="O139" s="836" t="str">
        <f t="shared" si="188"/>
        <v>Z04</v>
      </c>
      <c r="P139" s="836" t="str">
        <f t="shared" si="188"/>
        <v>Z05</v>
      </c>
      <c r="Q139" s="836" t="str">
        <f t="shared" si="188"/>
        <v>Z06</v>
      </c>
      <c r="R139" s="836" t="str">
        <f t="shared" si="188"/>
        <v>Z07</v>
      </c>
      <c r="S139" s="836" t="str">
        <f t="shared" si="188"/>
        <v>Z08</v>
      </c>
      <c r="T139" s="836" t="str">
        <f t="shared" si="188"/>
        <v>Z09</v>
      </c>
      <c r="U139" s="836" t="str">
        <f t="shared" si="188"/>
        <v>Z10</v>
      </c>
      <c r="V139" s="836" t="str">
        <f t="shared" si="188"/>
        <v>Z11</v>
      </c>
      <c r="W139" s="836" t="str">
        <f t="shared" si="188"/>
        <v>Z12</v>
      </c>
      <c r="X139" s="836" t="str">
        <f t="shared" si="188"/>
        <v>Z13</v>
      </c>
      <c r="Y139" s="836" t="str">
        <f t="shared" si="188"/>
        <v>Z14</v>
      </c>
      <c r="Z139" s="836" t="str">
        <f t="shared" si="188"/>
        <v>Z15</v>
      </c>
      <c r="AA139" s="838"/>
      <c r="BO139" s="23"/>
    </row>
    <row r="140" spans="1:67" s="834" customFormat="1" x14ac:dyDescent="0.25">
      <c r="B140" s="839"/>
      <c r="C140" s="839"/>
      <c r="D140" s="839" t="s">
        <v>1062</v>
      </c>
      <c r="E140" s="839"/>
      <c r="F140" s="839"/>
      <c r="G140" s="839"/>
      <c r="H140" s="840"/>
      <c r="I140" s="839"/>
      <c r="J140" s="839"/>
      <c r="K140" s="839"/>
      <c r="L140" s="839"/>
      <c r="M140" s="839"/>
      <c r="N140" s="839"/>
      <c r="O140" s="839"/>
      <c r="P140" s="839"/>
      <c r="Q140" s="839"/>
      <c r="R140" s="839"/>
      <c r="S140" s="839"/>
      <c r="T140" s="839"/>
      <c r="U140" s="839"/>
      <c r="V140" s="839"/>
      <c r="W140" s="839"/>
      <c r="X140" s="839"/>
      <c r="Y140" s="839"/>
      <c r="Z140" s="839"/>
      <c r="BO140" s="23"/>
    </row>
    <row r="141" spans="1:67" s="834" customFormat="1" x14ac:dyDescent="0.25">
      <c r="A141" s="841"/>
      <c r="B141" s="842" t="str">
        <f>C141</f>
        <v>TRABDL00</v>
      </c>
      <c r="C141" s="842" t="str">
        <f>CONCATENATE(F141,"00")</f>
        <v>TRABDL00</v>
      </c>
      <c r="D141" s="843" t="str">
        <f>CONCATENATE("Fuel Tech - ",LOOKUP(F141,TRA_Comm!$C$6:$C$28,TRA_Comm!$D$6:$D$28))</f>
        <v>Fuel Tech - Biodiesel (TRA)</v>
      </c>
      <c r="E141" s="842" t="s">
        <v>1094</v>
      </c>
      <c r="F141" s="842" t="s">
        <v>988</v>
      </c>
      <c r="G141" s="844"/>
      <c r="H141" s="845"/>
      <c r="I141" s="846"/>
      <c r="J141" s="847" t="s">
        <v>1064</v>
      </c>
      <c r="K141" s="847"/>
      <c r="L141" s="848">
        <v>1</v>
      </c>
      <c r="M141" s="848">
        <v>1</v>
      </c>
      <c r="N141" s="848">
        <v>1</v>
      </c>
      <c r="O141" s="848">
        <v>1</v>
      </c>
      <c r="P141" s="848">
        <v>1</v>
      </c>
      <c r="Q141" s="848">
        <v>1</v>
      </c>
      <c r="R141" s="848">
        <v>1</v>
      </c>
      <c r="S141" s="848">
        <v>1</v>
      </c>
      <c r="T141" s="848">
        <v>1</v>
      </c>
      <c r="U141" s="848">
        <v>1</v>
      </c>
      <c r="V141" s="848">
        <v>1</v>
      </c>
      <c r="W141" s="848">
        <v>1</v>
      </c>
      <c r="X141" s="848">
        <v>1</v>
      </c>
      <c r="Y141" s="848">
        <v>1</v>
      </c>
      <c r="Z141" s="848">
        <v>1</v>
      </c>
      <c r="BO141" s="23"/>
    </row>
    <row r="142" spans="1:67" s="834" customFormat="1" x14ac:dyDescent="0.25">
      <c r="B142" s="842" t="str">
        <f>B141</f>
        <v>TRABDL00</v>
      </c>
      <c r="C142" s="842"/>
      <c r="D142" s="849"/>
      <c r="E142" s="842"/>
      <c r="F142" s="842"/>
      <c r="G142" s="842"/>
      <c r="H142" s="850">
        <f>$K$3</f>
        <v>2019</v>
      </c>
      <c r="I142" s="842"/>
      <c r="J142" s="851" t="s">
        <v>1065</v>
      </c>
      <c r="K142" s="851" t="s">
        <v>85</v>
      </c>
      <c r="L142" s="852"/>
      <c r="M142" s="852"/>
      <c r="N142" s="852"/>
      <c r="O142" s="852"/>
      <c r="P142" s="852"/>
      <c r="Q142" s="852"/>
      <c r="R142" s="852"/>
      <c r="S142" s="852"/>
      <c r="T142" s="852"/>
      <c r="U142" s="852"/>
      <c r="V142" s="852"/>
      <c r="W142" s="852"/>
      <c r="X142" s="852"/>
      <c r="Y142" s="852"/>
      <c r="Z142" s="852"/>
      <c r="BO142" s="23"/>
    </row>
    <row r="143" spans="1:67" s="834" customFormat="1" x14ac:dyDescent="0.25">
      <c r="B143" s="853" t="str">
        <f>B142</f>
        <v>TRABDL00</v>
      </c>
      <c r="C143" s="853"/>
      <c r="D143" s="854"/>
      <c r="E143" s="853"/>
      <c r="F143" s="853"/>
      <c r="G143" s="853"/>
      <c r="H143" s="855">
        <f>$K$5</f>
        <v>2050</v>
      </c>
      <c r="I143" s="842"/>
      <c r="J143" s="856" t="s">
        <v>1065</v>
      </c>
      <c r="K143" s="856" t="s">
        <v>85</v>
      </c>
      <c r="L143" s="857"/>
      <c r="M143" s="857"/>
      <c r="N143" s="857"/>
      <c r="O143" s="857"/>
      <c r="P143" s="857"/>
      <c r="Q143" s="857"/>
      <c r="R143" s="857"/>
      <c r="S143" s="857"/>
      <c r="T143" s="857"/>
      <c r="U143" s="857"/>
      <c r="V143" s="857"/>
      <c r="W143" s="857"/>
      <c r="X143" s="857"/>
      <c r="Y143" s="857"/>
      <c r="Z143" s="857"/>
      <c r="BO143" s="23"/>
    </row>
    <row r="144" spans="1:67" s="834" customFormat="1" x14ac:dyDescent="0.25">
      <c r="A144" s="841"/>
      <c r="B144" s="842" t="str">
        <f>C144</f>
        <v>TRABGS00</v>
      </c>
      <c r="C144" s="842" t="str">
        <f>CONCATENATE(F144,"00")</f>
        <v>TRABGS00</v>
      </c>
      <c r="D144" s="843" t="str">
        <f>CONCATENATE("Fuel Tech - ",LOOKUP(F144,TRA_Comm!$C$6:$C$28,TRA_Comm!$D$6:$D$28))</f>
        <v>Fuel Tech - Biogas (gaseous) (TRA)</v>
      </c>
      <c r="E144" s="842" t="s">
        <v>1067</v>
      </c>
      <c r="F144" s="842" t="s">
        <v>994</v>
      </c>
      <c r="G144" s="844"/>
      <c r="H144" s="845"/>
      <c r="I144" s="846"/>
      <c r="J144" s="847" t="s">
        <v>1064</v>
      </c>
      <c r="K144" s="847"/>
      <c r="L144" s="848">
        <v>1</v>
      </c>
      <c r="M144" s="848">
        <v>1</v>
      </c>
      <c r="N144" s="848">
        <v>1</v>
      </c>
      <c r="O144" s="848">
        <v>1</v>
      </c>
      <c r="P144" s="848">
        <v>1</v>
      </c>
      <c r="Q144" s="848">
        <v>1</v>
      </c>
      <c r="R144" s="848">
        <v>1</v>
      </c>
      <c r="S144" s="848">
        <v>1</v>
      </c>
      <c r="T144" s="848">
        <v>1</v>
      </c>
      <c r="U144" s="848">
        <v>1</v>
      </c>
      <c r="V144" s="848">
        <v>1</v>
      </c>
      <c r="W144" s="848">
        <v>1</v>
      </c>
      <c r="X144" s="848">
        <v>1</v>
      </c>
      <c r="Y144" s="848">
        <v>1</v>
      </c>
      <c r="Z144" s="848">
        <v>1</v>
      </c>
      <c r="BO144" s="23"/>
    </row>
    <row r="145" spans="1:67" s="834" customFormat="1" x14ac:dyDescent="0.25">
      <c r="B145" s="842" t="str">
        <f>B144</f>
        <v>TRABGS00</v>
      </c>
      <c r="C145" s="842"/>
      <c r="D145" s="849"/>
      <c r="E145" s="842"/>
      <c r="F145" s="842"/>
      <c r="G145" s="842"/>
      <c r="H145" s="850">
        <f>$K$3</f>
        <v>2019</v>
      </c>
      <c r="I145" s="842"/>
      <c r="J145" s="851" t="s">
        <v>1065</v>
      </c>
      <c r="K145" s="851" t="s">
        <v>85</v>
      </c>
      <c r="L145" s="852"/>
      <c r="M145" s="852"/>
      <c r="N145" s="852"/>
      <c r="O145" s="852"/>
      <c r="P145" s="852"/>
      <c r="Q145" s="852"/>
      <c r="R145" s="852"/>
      <c r="S145" s="852"/>
      <c r="T145" s="852"/>
      <c r="U145" s="852"/>
      <c r="V145" s="852"/>
      <c r="W145" s="852"/>
      <c r="X145" s="852"/>
      <c r="Y145" s="852"/>
      <c r="Z145" s="852"/>
      <c r="BO145" s="23"/>
    </row>
    <row r="146" spans="1:67" s="834" customFormat="1" x14ac:dyDescent="0.25">
      <c r="B146" s="853" t="str">
        <f>B144</f>
        <v>TRABGS00</v>
      </c>
      <c r="C146" s="853"/>
      <c r="D146" s="854"/>
      <c r="E146" s="853"/>
      <c r="F146" s="853"/>
      <c r="G146" s="853"/>
      <c r="H146" s="855">
        <f>$K$5</f>
        <v>2050</v>
      </c>
      <c r="I146" s="842"/>
      <c r="J146" s="856" t="s">
        <v>1065</v>
      </c>
      <c r="K146" s="856" t="s">
        <v>85</v>
      </c>
      <c r="L146" s="857"/>
      <c r="M146" s="857"/>
      <c r="N146" s="857"/>
      <c r="O146" s="857"/>
      <c r="P146" s="857"/>
      <c r="Q146" s="857"/>
      <c r="R146" s="857"/>
      <c r="S146" s="857"/>
      <c r="T146" s="857"/>
      <c r="U146" s="857"/>
      <c r="V146" s="857"/>
      <c r="W146" s="857"/>
      <c r="X146" s="857"/>
      <c r="Y146" s="857"/>
      <c r="Z146" s="857"/>
      <c r="BO146" s="23"/>
    </row>
    <row r="147" spans="1:67" s="834" customFormat="1" x14ac:dyDescent="0.25">
      <c r="A147" s="841"/>
      <c r="B147" s="842" t="str">
        <f>C147</f>
        <v>TRABJF00</v>
      </c>
      <c r="C147" s="842" t="s">
        <v>920</v>
      </c>
      <c r="D147" s="843" t="str">
        <f>CONCATENATE("Fuel Tech - ",LOOKUP(F147,TRA_Comm!$C$6:$C$28,TRA_Comm!$D$6:$D$28))</f>
        <v>Fuel Tech - Bio Jet Fuel (TRA)</v>
      </c>
      <c r="E147" s="842" t="s">
        <v>1069</v>
      </c>
      <c r="F147" s="842" t="s">
        <v>998</v>
      </c>
      <c r="G147" s="844"/>
      <c r="H147" s="845"/>
      <c r="I147" s="846"/>
      <c r="J147" s="847" t="s">
        <v>1064</v>
      </c>
      <c r="K147" s="847"/>
      <c r="L147" s="848">
        <v>1</v>
      </c>
      <c r="M147" s="848">
        <v>1</v>
      </c>
      <c r="N147" s="848">
        <v>1</v>
      </c>
      <c r="O147" s="848">
        <v>1</v>
      </c>
      <c r="P147" s="848">
        <v>1</v>
      </c>
      <c r="Q147" s="848">
        <v>1</v>
      </c>
      <c r="R147" s="848">
        <v>1</v>
      </c>
      <c r="S147" s="848">
        <v>1</v>
      </c>
      <c r="T147" s="848">
        <v>1</v>
      </c>
      <c r="U147" s="848">
        <v>1</v>
      </c>
      <c r="V147" s="848">
        <v>1</v>
      </c>
      <c r="W147" s="848">
        <v>1</v>
      </c>
      <c r="X147" s="848">
        <v>1</v>
      </c>
      <c r="Y147" s="848">
        <v>1</v>
      </c>
      <c r="Z147" s="848">
        <v>1</v>
      </c>
      <c r="BO147" s="23"/>
    </row>
    <row r="148" spans="1:67" s="834" customFormat="1" x14ac:dyDescent="0.25">
      <c r="B148" s="842" t="str">
        <f>B147</f>
        <v>TRABJF00</v>
      </c>
      <c r="C148" s="842"/>
      <c r="D148" s="849"/>
      <c r="E148" s="842"/>
      <c r="F148" s="842"/>
      <c r="G148" s="842"/>
      <c r="H148" s="850">
        <f>$K$3</f>
        <v>2019</v>
      </c>
      <c r="I148" s="842"/>
      <c r="J148" s="851" t="s">
        <v>1065</v>
      </c>
      <c r="K148" s="851" t="s">
        <v>85</v>
      </c>
      <c r="L148" s="852"/>
      <c r="M148" s="852"/>
      <c r="N148" s="852"/>
      <c r="O148" s="852"/>
      <c r="P148" s="852"/>
      <c r="Q148" s="852"/>
      <c r="R148" s="852"/>
      <c r="S148" s="852"/>
      <c r="T148" s="852"/>
      <c r="U148" s="852"/>
      <c r="V148" s="852"/>
      <c r="W148" s="852"/>
      <c r="X148" s="852"/>
      <c r="Y148" s="852"/>
      <c r="Z148" s="852"/>
      <c r="BO148" s="23"/>
    </row>
    <row r="149" spans="1:67" s="834" customFormat="1" x14ac:dyDescent="0.25">
      <c r="B149" s="853" t="str">
        <f>B147</f>
        <v>TRABJF00</v>
      </c>
      <c r="C149" s="853"/>
      <c r="D149" s="854"/>
      <c r="E149" s="853"/>
      <c r="F149" s="853"/>
      <c r="G149" s="853"/>
      <c r="H149" s="855">
        <f>$K$5</f>
        <v>2050</v>
      </c>
      <c r="I149" s="842"/>
      <c r="J149" s="856" t="s">
        <v>1065</v>
      </c>
      <c r="K149" s="856" t="s">
        <v>85</v>
      </c>
      <c r="L149" s="857"/>
      <c r="M149" s="857"/>
      <c r="N149" s="857"/>
      <c r="O149" s="857"/>
      <c r="P149" s="857"/>
      <c r="Q149" s="857"/>
      <c r="R149" s="857"/>
      <c r="S149" s="857"/>
      <c r="T149" s="857"/>
      <c r="U149" s="857"/>
      <c r="V149" s="857"/>
      <c r="W149" s="857"/>
      <c r="X149" s="857"/>
      <c r="Y149" s="857"/>
      <c r="Z149" s="857"/>
      <c r="BO149" s="23"/>
    </row>
    <row r="150" spans="1:67" s="834" customFormat="1" x14ac:dyDescent="0.25">
      <c r="A150" s="841"/>
      <c r="B150" s="842" t="str">
        <f>C150</f>
        <v>TRADME00</v>
      </c>
      <c r="C150" s="842" t="s">
        <v>923</v>
      </c>
      <c r="D150" s="843" t="str">
        <f>CONCATENATE("Fuel Tech - ",LOOKUP(F150,TRA_Comm!$C$6:$C$28,TRA_Comm!$D$6:$D$28))</f>
        <v>Fuel Tech - Dimethyle Ether (TRA)</v>
      </c>
      <c r="E150" s="842" t="s">
        <v>1073</v>
      </c>
      <c r="F150" s="842" t="s">
        <v>1000</v>
      </c>
      <c r="G150" s="844"/>
      <c r="H150" s="845"/>
      <c r="I150" s="846"/>
      <c r="J150" s="847" t="s">
        <v>1064</v>
      </c>
      <c r="K150" s="847"/>
      <c r="L150" s="848">
        <v>1</v>
      </c>
      <c r="M150" s="848">
        <v>1</v>
      </c>
      <c r="N150" s="848">
        <v>1</v>
      </c>
      <c r="O150" s="848">
        <v>1</v>
      </c>
      <c r="P150" s="848">
        <v>1</v>
      </c>
      <c r="Q150" s="848">
        <v>1</v>
      </c>
      <c r="R150" s="848">
        <v>1</v>
      </c>
      <c r="S150" s="848">
        <v>1</v>
      </c>
      <c r="T150" s="848">
        <v>1</v>
      </c>
      <c r="U150" s="848">
        <v>1</v>
      </c>
      <c r="V150" s="848">
        <v>1</v>
      </c>
      <c r="W150" s="848">
        <v>1</v>
      </c>
      <c r="X150" s="848">
        <v>1</v>
      </c>
      <c r="Y150" s="848">
        <v>1</v>
      </c>
      <c r="Z150" s="848">
        <v>1</v>
      </c>
      <c r="BO150" s="23"/>
    </row>
    <row r="151" spans="1:67" s="834" customFormat="1" x14ac:dyDescent="0.25">
      <c r="B151" s="842" t="str">
        <f>B150</f>
        <v>TRADME00</v>
      </c>
      <c r="C151" s="842"/>
      <c r="D151" s="849"/>
      <c r="E151" s="842"/>
      <c r="F151" s="842"/>
      <c r="G151" s="842"/>
      <c r="H151" s="850">
        <f>$K$3</f>
        <v>2019</v>
      </c>
      <c r="I151" s="842"/>
      <c r="J151" s="851" t="s">
        <v>1065</v>
      </c>
      <c r="K151" s="851" t="s">
        <v>85</v>
      </c>
      <c r="L151" s="852"/>
      <c r="M151" s="852"/>
      <c r="N151" s="852"/>
      <c r="O151" s="852"/>
      <c r="P151" s="852"/>
      <c r="Q151" s="852"/>
      <c r="R151" s="852"/>
      <c r="S151" s="852"/>
      <c r="T151" s="852"/>
      <c r="U151" s="852"/>
      <c r="V151" s="852"/>
      <c r="W151" s="852"/>
      <c r="X151" s="852"/>
      <c r="Y151" s="852"/>
      <c r="Z151" s="852"/>
      <c r="BO151" s="23"/>
    </row>
    <row r="152" spans="1:67" s="834" customFormat="1" x14ac:dyDescent="0.25">
      <c r="B152" s="853" t="str">
        <f>B150</f>
        <v>TRADME00</v>
      </c>
      <c r="C152" s="853"/>
      <c r="D152" s="854"/>
      <c r="E152" s="853"/>
      <c r="F152" s="853"/>
      <c r="G152" s="853"/>
      <c r="H152" s="855">
        <f>$K$5</f>
        <v>2050</v>
      </c>
      <c r="I152" s="842"/>
      <c r="J152" s="856" t="s">
        <v>1065</v>
      </c>
      <c r="K152" s="856" t="s">
        <v>85</v>
      </c>
      <c r="L152" s="857"/>
      <c r="M152" s="857"/>
      <c r="N152" s="857"/>
      <c r="O152" s="857"/>
      <c r="P152" s="857"/>
      <c r="Q152" s="857"/>
      <c r="R152" s="857"/>
      <c r="S152" s="857"/>
      <c r="T152" s="857"/>
      <c r="U152" s="857"/>
      <c r="V152" s="857"/>
      <c r="W152" s="857"/>
      <c r="X152" s="857"/>
      <c r="Y152" s="857"/>
      <c r="Z152" s="857"/>
      <c r="BO152" s="23"/>
    </row>
    <row r="153" spans="1:67" s="834" customFormat="1" x14ac:dyDescent="0.25">
      <c r="A153" s="841"/>
      <c r="B153" s="842" t="str">
        <f>C153</f>
        <v>TRAETH00</v>
      </c>
      <c r="C153" s="842" t="str">
        <f>CONCATENATE(F153,"00")</f>
        <v>TRAETH00</v>
      </c>
      <c r="D153" s="843" t="str">
        <f>CONCATENATE("Fuel Tech - ",LOOKUP(F153,TRA_Comm!$C$6:$C$28,TRA_Comm!$D$6:$D$28))</f>
        <v>Fuel Tech - Ethanol (TRA)</v>
      </c>
      <c r="E153" s="842" t="s">
        <v>1095</v>
      </c>
      <c r="F153" s="842" t="s">
        <v>1010</v>
      </c>
      <c r="G153" s="844"/>
      <c r="H153" s="845"/>
      <c r="I153" s="846"/>
      <c r="J153" s="847" t="s">
        <v>1064</v>
      </c>
      <c r="K153" s="847"/>
      <c r="L153" s="848">
        <v>1</v>
      </c>
      <c r="M153" s="848">
        <v>1</v>
      </c>
      <c r="N153" s="848">
        <v>1</v>
      </c>
      <c r="O153" s="848">
        <v>1</v>
      </c>
      <c r="P153" s="848">
        <v>1</v>
      </c>
      <c r="Q153" s="848">
        <v>1</v>
      </c>
      <c r="R153" s="848">
        <v>1</v>
      </c>
      <c r="S153" s="848">
        <v>1</v>
      </c>
      <c r="T153" s="848">
        <v>1</v>
      </c>
      <c r="U153" s="848">
        <v>1</v>
      </c>
      <c r="V153" s="848">
        <v>1</v>
      </c>
      <c r="W153" s="848">
        <v>1</v>
      </c>
      <c r="X153" s="848">
        <v>1</v>
      </c>
      <c r="Y153" s="848">
        <v>1</v>
      </c>
      <c r="Z153" s="848">
        <v>1</v>
      </c>
      <c r="BO153" s="23"/>
    </row>
    <row r="154" spans="1:67" s="834" customFormat="1" x14ac:dyDescent="0.25">
      <c r="B154" s="842" t="str">
        <f>B153</f>
        <v>TRAETH00</v>
      </c>
      <c r="C154" s="842"/>
      <c r="D154" s="849"/>
      <c r="E154" s="842"/>
      <c r="F154" s="842" t="s">
        <v>1012</v>
      </c>
      <c r="G154" s="842"/>
      <c r="H154" s="850">
        <f>$K$3</f>
        <v>2019</v>
      </c>
      <c r="I154" s="842"/>
      <c r="J154" s="851" t="s">
        <v>1065</v>
      </c>
      <c r="K154" s="851" t="s">
        <v>85</v>
      </c>
      <c r="L154" s="852"/>
      <c r="M154" s="852"/>
      <c r="N154" s="852"/>
      <c r="O154" s="852"/>
      <c r="P154" s="852"/>
      <c r="Q154" s="852"/>
      <c r="R154" s="852"/>
      <c r="S154" s="852"/>
      <c r="T154" s="852"/>
      <c r="U154" s="852"/>
      <c r="V154" s="852"/>
      <c r="W154" s="852"/>
      <c r="X154" s="852"/>
      <c r="Y154" s="852"/>
      <c r="Z154" s="852"/>
      <c r="BO154" s="23"/>
    </row>
    <row r="155" spans="1:67" s="834" customFormat="1" x14ac:dyDescent="0.25">
      <c r="B155" s="853" t="str">
        <f>B153</f>
        <v>TRAETH00</v>
      </c>
      <c r="C155" s="853"/>
      <c r="D155" s="854"/>
      <c r="E155" s="853"/>
      <c r="F155" s="853"/>
      <c r="G155" s="853"/>
      <c r="H155" s="855">
        <f>$K$5</f>
        <v>2050</v>
      </c>
      <c r="I155" s="842"/>
      <c r="J155" s="856" t="s">
        <v>1065</v>
      </c>
      <c r="K155" s="856" t="s">
        <v>85</v>
      </c>
      <c r="L155" s="857"/>
      <c r="M155" s="857"/>
      <c r="N155" s="857"/>
      <c r="O155" s="857"/>
      <c r="P155" s="857"/>
      <c r="Q155" s="857"/>
      <c r="R155" s="857"/>
      <c r="S155" s="857"/>
      <c r="T155" s="857"/>
      <c r="U155" s="857"/>
      <c r="V155" s="857"/>
      <c r="W155" s="857"/>
      <c r="X155" s="857"/>
      <c r="Y155" s="857"/>
      <c r="Z155" s="857"/>
      <c r="BO155" s="23"/>
    </row>
    <row r="156" spans="1:67" s="834" customFormat="1" x14ac:dyDescent="0.25">
      <c r="A156" s="841"/>
      <c r="B156" s="842" t="str">
        <f>C156</f>
        <v>TRAH2G00</v>
      </c>
      <c r="C156" s="842" t="str">
        <f>CONCATENATE(F156,"00")</f>
        <v>TRAH2G00</v>
      </c>
      <c r="D156" s="843" t="str">
        <f>CONCATENATE("Fuel Tech - ",LOOKUP(F156,TRA_Comm!$C$6:$C$28,TRA_Comm!$D$6:$D$28))</f>
        <v>Fuel Tech - H2 (gaseous) (TRA)</v>
      </c>
      <c r="E156" s="842" t="s">
        <v>1083</v>
      </c>
      <c r="F156" s="842" t="s">
        <v>1016</v>
      </c>
      <c r="G156" s="844"/>
      <c r="H156" s="845"/>
      <c r="I156" s="844"/>
      <c r="J156" s="847" t="s">
        <v>1064</v>
      </c>
      <c r="K156" s="847"/>
      <c r="L156" s="848">
        <v>1</v>
      </c>
      <c r="M156" s="848">
        <v>1</v>
      </c>
      <c r="N156" s="848">
        <v>1</v>
      </c>
      <c r="O156" s="848">
        <v>1</v>
      </c>
      <c r="P156" s="848">
        <v>1</v>
      </c>
      <c r="Q156" s="848">
        <v>1</v>
      </c>
      <c r="R156" s="848">
        <v>1</v>
      </c>
      <c r="S156" s="848">
        <v>1</v>
      </c>
      <c r="T156" s="848">
        <v>1</v>
      </c>
      <c r="U156" s="848">
        <v>1</v>
      </c>
      <c r="V156" s="848">
        <v>1</v>
      </c>
      <c r="W156" s="848">
        <v>1</v>
      </c>
      <c r="X156" s="848">
        <v>1</v>
      </c>
      <c r="Y156" s="848">
        <v>1</v>
      </c>
      <c r="Z156" s="848">
        <v>1</v>
      </c>
      <c r="BO156" s="23"/>
    </row>
    <row r="157" spans="1:67" s="834" customFormat="1" x14ac:dyDescent="0.25">
      <c r="B157" s="842" t="str">
        <f>B156</f>
        <v>TRAH2G00</v>
      </c>
      <c r="C157" s="842"/>
      <c r="D157" s="843"/>
      <c r="E157" s="842"/>
      <c r="F157" s="842"/>
      <c r="G157" s="842"/>
      <c r="H157" s="850">
        <f>$K$3</f>
        <v>2019</v>
      </c>
      <c r="I157" s="842"/>
      <c r="J157" s="851" t="s">
        <v>1065</v>
      </c>
      <c r="K157" s="851" t="s">
        <v>85</v>
      </c>
      <c r="L157" s="852"/>
      <c r="M157" s="852"/>
      <c r="N157" s="852"/>
      <c r="O157" s="852"/>
      <c r="P157" s="852"/>
      <c r="Q157" s="852"/>
      <c r="R157" s="852"/>
      <c r="S157" s="852"/>
      <c r="T157" s="852"/>
      <c r="U157" s="852"/>
      <c r="V157" s="852"/>
      <c r="W157" s="852"/>
      <c r="X157" s="852"/>
      <c r="Y157" s="852"/>
      <c r="Z157" s="852"/>
      <c r="BO157" s="23"/>
    </row>
    <row r="158" spans="1:67" s="834" customFormat="1" x14ac:dyDescent="0.25">
      <c r="B158" s="853" t="str">
        <f>B157</f>
        <v>TRAH2G00</v>
      </c>
      <c r="C158" s="853"/>
      <c r="D158" s="858"/>
      <c r="E158" s="853"/>
      <c r="F158" s="853"/>
      <c r="G158" s="853"/>
      <c r="H158" s="855">
        <f>$K$5</f>
        <v>2050</v>
      </c>
      <c r="I158" s="853"/>
      <c r="J158" s="856" t="s">
        <v>1065</v>
      </c>
      <c r="K158" s="856" t="s">
        <v>85</v>
      </c>
      <c r="L158" s="857"/>
      <c r="M158" s="857"/>
      <c r="N158" s="857"/>
      <c r="O158" s="857"/>
      <c r="P158" s="857"/>
      <c r="Q158" s="857"/>
      <c r="R158" s="857"/>
      <c r="S158" s="857"/>
      <c r="T158" s="857"/>
      <c r="U158" s="857"/>
      <c r="V158" s="857"/>
      <c r="W158" s="857"/>
      <c r="X158" s="857"/>
      <c r="Y158" s="857"/>
      <c r="Z158" s="857"/>
      <c r="BO158" s="23"/>
    </row>
    <row r="159" spans="1:67" s="834" customFormat="1" x14ac:dyDescent="0.25">
      <c r="A159" s="841"/>
      <c r="B159" s="842" t="str">
        <f>C159</f>
        <v>TRANGS00</v>
      </c>
      <c r="C159" s="842" t="str">
        <f>CONCATENATE(F159,"00")</f>
        <v>TRANGS00</v>
      </c>
      <c r="D159" s="843" t="str">
        <f>CONCATENATE("Fuel Tech - ",LOOKUP(F159,TRA_Comm!$C$6:$C$28,TRA_Comm!$D$6:$D$28))</f>
        <v>Fuel Tech - Natural Gas (TRA)</v>
      </c>
      <c r="E159" s="842" t="s">
        <v>1084</v>
      </c>
      <c r="F159" s="842" t="s">
        <v>1039</v>
      </c>
      <c r="G159" s="859"/>
      <c r="H159" s="850"/>
      <c r="I159" s="859"/>
      <c r="J159" s="859" t="s">
        <v>1064</v>
      </c>
      <c r="K159" s="859"/>
      <c r="L159" s="848">
        <v>1</v>
      </c>
      <c r="M159" s="848">
        <v>1</v>
      </c>
      <c r="N159" s="848">
        <v>1</v>
      </c>
      <c r="O159" s="848">
        <v>1</v>
      </c>
      <c r="P159" s="848">
        <v>1</v>
      </c>
      <c r="Q159" s="848">
        <v>1</v>
      </c>
      <c r="R159" s="848">
        <v>1</v>
      </c>
      <c r="S159" s="848">
        <v>1</v>
      </c>
      <c r="T159" s="848">
        <v>1</v>
      </c>
      <c r="U159" s="848">
        <v>1</v>
      </c>
      <c r="V159" s="848">
        <v>1</v>
      </c>
      <c r="W159" s="848">
        <v>1</v>
      </c>
      <c r="X159" s="848">
        <v>1</v>
      </c>
      <c r="Y159" s="848">
        <v>1</v>
      </c>
      <c r="Z159" s="848">
        <v>1</v>
      </c>
      <c r="BO159" s="23"/>
    </row>
    <row r="160" spans="1:67" s="834" customFormat="1" x14ac:dyDescent="0.25">
      <c r="B160" s="842" t="str">
        <f>B159</f>
        <v>TRANGS00</v>
      </c>
      <c r="C160" s="842"/>
      <c r="D160" s="849"/>
      <c r="E160" s="842"/>
      <c r="F160" s="842"/>
      <c r="G160" s="842"/>
      <c r="H160" s="850">
        <f>$K$3</f>
        <v>2019</v>
      </c>
      <c r="I160" s="842"/>
      <c r="J160" s="851" t="s">
        <v>1065</v>
      </c>
      <c r="K160" s="851" t="s">
        <v>85</v>
      </c>
      <c r="L160" s="852"/>
      <c r="M160" s="852"/>
      <c r="N160" s="852"/>
      <c r="O160" s="852"/>
      <c r="P160" s="852"/>
      <c r="Q160" s="852"/>
      <c r="R160" s="852"/>
      <c r="S160" s="852"/>
      <c r="T160" s="852"/>
      <c r="U160" s="852"/>
      <c r="V160" s="852"/>
      <c r="W160" s="852"/>
      <c r="X160" s="852"/>
      <c r="Y160" s="852"/>
      <c r="Z160" s="852"/>
      <c r="BO160" s="23"/>
    </row>
    <row r="161" spans="1:67" s="834" customFormat="1" x14ac:dyDescent="0.25">
      <c r="B161" s="853" t="str">
        <f>B160</f>
        <v>TRANGS00</v>
      </c>
      <c r="C161" s="853"/>
      <c r="D161" s="854"/>
      <c r="E161" s="853"/>
      <c r="F161" s="853"/>
      <c r="G161" s="853"/>
      <c r="H161" s="855">
        <f>$K$5</f>
        <v>2050</v>
      </c>
      <c r="I161" s="842"/>
      <c r="J161" s="856" t="s">
        <v>1065</v>
      </c>
      <c r="K161" s="856" t="s">
        <v>85</v>
      </c>
      <c r="L161" s="857"/>
      <c r="M161" s="857"/>
      <c r="N161" s="857"/>
      <c r="O161" s="857"/>
      <c r="P161" s="857"/>
      <c r="Q161" s="857"/>
      <c r="R161" s="857"/>
      <c r="S161" s="857"/>
      <c r="T161" s="857"/>
      <c r="U161" s="857"/>
      <c r="V161" s="857"/>
      <c r="W161" s="857"/>
      <c r="X161" s="857"/>
      <c r="Y161" s="857"/>
      <c r="Z161" s="857"/>
      <c r="BO161" s="23"/>
    </row>
    <row r="162" spans="1:67" s="834" customFormat="1" x14ac:dyDescent="0.25">
      <c r="A162" s="841"/>
      <c r="B162" s="842" t="str">
        <f>C162</f>
        <v>TRAHUM00</v>
      </c>
      <c r="C162" s="842" t="str">
        <f>CONCATENATE(F162,"00")</f>
        <v>TRAHUM00</v>
      </c>
      <c r="D162" s="843" t="str">
        <f>CONCATENATE("Fuel Tech - ",LOOKUP(F162,TRA_Comm!$C$6:$C$28,TRA_Comm!$D$6:$D$28))</f>
        <v>Fuel Tech - Human power</v>
      </c>
      <c r="E162" s="842" t="s">
        <v>1085</v>
      </c>
      <c r="F162" s="842" t="s">
        <v>681</v>
      </c>
      <c r="G162" s="844"/>
      <c r="H162" s="845"/>
      <c r="I162" s="846"/>
      <c r="J162" s="847" t="s">
        <v>1064</v>
      </c>
      <c r="K162" s="847"/>
      <c r="L162" s="848">
        <v>1</v>
      </c>
      <c r="M162" s="848">
        <v>1</v>
      </c>
      <c r="N162" s="848">
        <v>1</v>
      </c>
      <c r="O162" s="848">
        <v>1</v>
      </c>
      <c r="P162" s="848">
        <v>1</v>
      </c>
      <c r="Q162" s="848">
        <v>1</v>
      </c>
      <c r="R162" s="848">
        <v>1</v>
      </c>
      <c r="S162" s="848">
        <v>1</v>
      </c>
      <c r="T162" s="848">
        <v>1</v>
      </c>
      <c r="U162" s="848">
        <v>1</v>
      </c>
      <c r="V162" s="848">
        <v>1</v>
      </c>
      <c r="W162" s="848">
        <v>1</v>
      </c>
      <c r="X162" s="848">
        <v>1</v>
      </c>
      <c r="Y162" s="848">
        <v>1</v>
      </c>
      <c r="Z162" s="848">
        <v>1</v>
      </c>
      <c r="AC162" s="834" t="s">
        <v>1087</v>
      </c>
      <c r="BO162" s="23"/>
    </row>
    <row r="163" spans="1:67" s="834" customFormat="1" x14ac:dyDescent="0.25">
      <c r="B163" s="842" t="str">
        <f>B162</f>
        <v>TRAHUM00</v>
      </c>
      <c r="C163" s="842"/>
      <c r="D163" s="849"/>
      <c r="E163" s="842"/>
      <c r="F163" s="842"/>
      <c r="G163" s="842"/>
      <c r="H163" s="850">
        <f>$K$3</f>
        <v>2019</v>
      </c>
      <c r="I163" s="842"/>
      <c r="J163" s="851" t="s">
        <v>1065</v>
      </c>
      <c r="K163" s="851" t="s">
        <v>85</v>
      </c>
      <c r="L163" s="852"/>
      <c r="M163" s="852"/>
      <c r="N163" s="852"/>
      <c r="O163" s="852"/>
      <c r="P163" s="852"/>
      <c r="Q163" s="852"/>
      <c r="R163" s="852"/>
      <c r="S163" s="852"/>
      <c r="T163" s="852"/>
      <c r="U163" s="852"/>
      <c r="V163" s="852"/>
      <c r="W163" s="852"/>
      <c r="X163" s="852"/>
      <c r="Y163" s="852"/>
      <c r="Z163" s="852"/>
      <c r="BO163" s="23"/>
    </row>
    <row r="164" spans="1:67" s="834" customFormat="1" x14ac:dyDescent="0.25">
      <c r="B164" s="853" t="str">
        <f>B163</f>
        <v>TRAHUM00</v>
      </c>
      <c r="C164" s="853"/>
      <c r="D164" s="854"/>
      <c r="E164" s="853"/>
      <c r="F164" s="853"/>
      <c r="G164" s="853"/>
      <c r="H164" s="855">
        <f>$K$5</f>
        <v>2050</v>
      </c>
      <c r="I164" s="842"/>
      <c r="J164" s="856" t="s">
        <v>1065</v>
      </c>
      <c r="K164" s="856" t="s">
        <v>85</v>
      </c>
      <c r="L164" s="857"/>
      <c r="M164" s="857"/>
      <c r="N164" s="857"/>
      <c r="O164" s="857"/>
      <c r="P164" s="857"/>
      <c r="Q164" s="857"/>
      <c r="R164" s="857"/>
      <c r="S164" s="857"/>
      <c r="T164" s="857"/>
      <c r="U164" s="857"/>
      <c r="V164" s="857"/>
      <c r="W164" s="857"/>
      <c r="X164" s="857"/>
      <c r="Y164" s="857"/>
      <c r="Z164" s="857"/>
      <c r="BO164" s="23"/>
    </row>
    <row r="165" spans="1:67" s="834" customFormat="1" x14ac:dyDescent="0.25">
      <c r="B165" s="860" t="str">
        <f>C165</f>
        <v>TRADST00</v>
      </c>
      <c r="C165" s="842" t="str">
        <f>CONCATENATE(F165,"00")</f>
        <v>TRADST00</v>
      </c>
      <c r="D165" s="843" t="str">
        <f>CONCATENATE("Fuel Tech - ",LOOKUP(F165,TRA_Comm!$C$6:$C$28,TRA_Comm!$D$6:$D$28))</f>
        <v>Fuel Tech - Diesel (TRA)</v>
      </c>
      <c r="E165" s="842" t="s">
        <v>1086</v>
      </c>
      <c r="F165" s="842" t="s">
        <v>185</v>
      </c>
      <c r="G165" s="842"/>
      <c r="H165" s="845"/>
      <c r="I165" s="846"/>
      <c r="J165" s="847" t="s">
        <v>1064</v>
      </c>
      <c r="K165" s="847"/>
      <c r="L165" s="848">
        <v>1</v>
      </c>
      <c r="M165" s="848">
        <v>1</v>
      </c>
      <c r="N165" s="848">
        <v>1</v>
      </c>
      <c r="O165" s="848">
        <v>1</v>
      </c>
      <c r="P165" s="848">
        <v>1</v>
      </c>
      <c r="Q165" s="848">
        <v>1</v>
      </c>
      <c r="R165" s="848">
        <v>1</v>
      </c>
      <c r="S165" s="848">
        <v>1</v>
      </c>
      <c r="T165" s="848">
        <v>1</v>
      </c>
      <c r="U165" s="848">
        <v>1</v>
      </c>
      <c r="V165" s="848">
        <v>1</v>
      </c>
      <c r="W165" s="848">
        <v>1</v>
      </c>
      <c r="X165" s="848">
        <v>1</v>
      </c>
      <c r="Y165" s="848">
        <v>1</v>
      </c>
      <c r="Z165" s="848">
        <v>1</v>
      </c>
      <c r="BO165" s="23"/>
    </row>
    <row r="166" spans="1:67" s="834" customFormat="1" x14ac:dyDescent="0.25">
      <c r="B166" s="842" t="str">
        <f>B165</f>
        <v>TRADST00</v>
      </c>
      <c r="C166" s="842"/>
      <c r="D166" s="849"/>
      <c r="E166" s="842"/>
      <c r="F166" s="842"/>
      <c r="G166" s="842"/>
      <c r="H166" s="850">
        <f>$K$3</f>
        <v>2019</v>
      </c>
      <c r="I166" s="842"/>
      <c r="J166" s="851" t="s">
        <v>1065</v>
      </c>
      <c r="K166" s="851" t="s">
        <v>85</v>
      </c>
      <c r="L166" s="852"/>
      <c r="M166" s="852"/>
      <c r="N166" s="852"/>
      <c r="O166" s="852"/>
      <c r="P166" s="852"/>
      <c r="Q166" s="852"/>
      <c r="R166" s="852"/>
      <c r="S166" s="852"/>
      <c r="T166" s="852"/>
      <c r="U166" s="852"/>
      <c r="V166" s="852"/>
      <c r="W166" s="852"/>
      <c r="X166" s="852"/>
      <c r="Y166" s="852"/>
      <c r="Z166" s="852"/>
      <c r="BO166" s="23"/>
    </row>
    <row r="167" spans="1:67" s="834" customFormat="1" x14ac:dyDescent="0.25">
      <c r="B167" s="853" t="str">
        <f>B165</f>
        <v>TRADST00</v>
      </c>
      <c r="C167" s="853"/>
      <c r="D167" s="854"/>
      <c r="E167" s="853"/>
      <c r="F167" s="853"/>
      <c r="G167" s="853"/>
      <c r="H167" s="855">
        <f>$K$5</f>
        <v>2050</v>
      </c>
      <c r="I167" s="842"/>
      <c r="J167" s="856" t="s">
        <v>1065</v>
      </c>
      <c r="K167" s="856" t="s">
        <v>85</v>
      </c>
      <c r="L167" s="857"/>
      <c r="M167" s="857"/>
      <c r="N167" s="857"/>
      <c r="O167" s="857"/>
      <c r="P167" s="857"/>
      <c r="Q167" s="857"/>
      <c r="R167" s="857"/>
      <c r="S167" s="857"/>
      <c r="T167" s="857"/>
      <c r="U167" s="857"/>
      <c r="V167" s="857"/>
      <c r="W167" s="857"/>
      <c r="X167" s="857"/>
      <c r="Y167" s="857"/>
      <c r="Z167" s="857"/>
      <c r="BO167" s="23"/>
    </row>
    <row r="168" spans="1:67" s="834" customFormat="1" x14ac:dyDescent="0.25">
      <c r="A168" s="841"/>
      <c r="B168" s="842" t="str">
        <f>C168</f>
        <v>TRAGSL00</v>
      </c>
      <c r="C168" s="842" t="str">
        <f>CONCATENATE(F168,"00")</f>
        <v>TRAGSL00</v>
      </c>
      <c r="D168" s="843" t="str">
        <f>CONCATENATE("Fuel Tech - ",LOOKUP(F168,TRA_Comm!$C$6:$C$28,TRA_Comm!$D$6:$D$28))</f>
        <v>Fuel Tech - Gasoline (TRA)</v>
      </c>
      <c r="E168" s="842" t="s">
        <v>1088</v>
      </c>
      <c r="F168" s="842" t="s">
        <v>1014</v>
      </c>
      <c r="G168" s="844"/>
      <c r="H168" s="845"/>
      <c r="I168" s="846"/>
      <c r="J168" s="847" t="s">
        <v>1064</v>
      </c>
      <c r="K168" s="847"/>
      <c r="L168" s="848">
        <v>1</v>
      </c>
      <c r="M168" s="848">
        <v>1</v>
      </c>
      <c r="N168" s="848">
        <v>1</v>
      </c>
      <c r="O168" s="848">
        <v>1</v>
      </c>
      <c r="P168" s="848">
        <v>1</v>
      </c>
      <c r="Q168" s="848">
        <v>1</v>
      </c>
      <c r="R168" s="848">
        <v>1</v>
      </c>
      <c r="S168" s="848">
        <v>1</v>
      </c>
      <c r="T168" s="848">
        <v>1</v>
      </c>
      <c r="U168" s="848">
        <v>1</v>
      </c>
      <c r="V168" s="848">
        <v>1</v>
      </c>
      <c r="W168" s="848">
        <v>1</v>
      </c>
      <c r="X168" s="848">
        <v>1</v>
      </c>
      <c r="Y168" s="848">
        <v>1</v>
      </c>
      <c r="Z168" s="848">
        <v>1</v>
      </c>
      <c r="BO168" s="23"/>
    </row>
    <row r="169" spans="1:67" s="834" customFormat="1" x14ac:dyDescent="0.25">
      <c r="B169" s="842" t="str">
        <f>B168</f>
        <v>TRAGSL00</v>
      </c>
      <c r="C169" s="842"/>
      <c r="D169" s="849"/>
      <c r="E169" s="842"/>
      <c r="F169" s="842"/>
      <c r="G169" s="842"/>
      <c r="H169" s="850">
        <f>$K$3</f>
        <v>2019</v>
      </c>
      <c r="I169" s="842"/>
      <c r="J169" s="851" t="s">
        <v>1065</v>
      </c>
      <c r="K169" s="851" t="s">
        <v>85</v>
      </c>
      <c r="L169" s="852"/>
      <c r="M169" s="852"/>
      <c r="N169" s="852"/>
      <c r="O169" s="852"/>
      <c r="P169" s="852"/>
      <c r="Q169" s="852"/>
      <c r="R169" s="852"/>
      <c r="S169" s="852"/>
      <c r="T169" s="852"/>
      <c r="U169" s="852"/>
      <c r="V169" s="852"/>
      <c r="W169" s="852"/>
      <c r="X169" s="852"/>
      <c r="Y169" s="852"/>
      <c r="Z169" s="852"/>
      <c r="BO169" s="23"/>
    </row>
    <row r="170" spans="1:67" s="834" customFormat="1" x14ac:dyDescent="0.25">
      <c r="B170" s="853" t="str">
        <f>B168</f>
        <v>TRAGSL00</v>
      </c>
      <c r="C170" s="853"/>
      <c r="D170" s="854"/>
      <c r="E170" s="853"/>
      <c r="F170" s="853"/>
      <c r="G170" s="853"/>
      <c r="H170" s="855">
        <f>$K$5</f>
        <v>2050</v>
      </c>
      <c r="I170" s="842"/>
      <c r="J170" s="856" t="s">
        <v>1065</v>
      </c>
      <c r="K170" s="856" t="s">
        <v>85</v>
      </c>
      <c r="L170" s="857"/>
      <c r="M170" s="857"/>
      <c r="N170" s="857"/>
      <c r="O170" s="857"/>
      <c r="P170" s="857"/>
      <c r="Q170" s="857"/>
      <c r="R170" s="857"/>
      <c r="S170" s="857"/>
      <c r="T170" s="857"/>
      <c r="U170" s="857"/>
      <c r="V170" s="857"/>
      <c r="W170" s="857"/>
      <c r="X170" s="857"/>
      <c r="Y170" s="857"/>
      <c r="Z170" s="857"/>
      <c r="BO170" s="23"/>
    </row>
    <row r="171" spans="1:67" s="834" customFormat="1" x14ac:dyDescent="0.25">
      <c r="A171" s="841"/>
      <c r="B171" s="842" t="str">
        <f>C171</f>
        <v>TRAKER00</v>
      </c>
      <c r="C171" s="842" t="str">
        <f>CONCATENATE(F171,"00")</f>
        <v>TRAKER00</v>
      </c>
      <c r="D171" s="843" t="str">
        <f>CONCATENATE("Fuel Tech - ",LOOKUP(F171,TRA_Comm!$C$6:$C$28,TRA_Comm!$D$6:$D$28))</f>
        <v>Fuel Tech - Kerosene - Jet Fuels (TRA)</v>
      </c>
      <c r="E171" s="842" t="s">
        <v>1089</v>
      </c>
      <c r="F171" s="842" t="s">
        <v>1029</v>
      </c>
      <c r="G171" s="844"/>
      <c r="H171" s="845"/>
      <c r="I171" s="846"/>
      <c r="J171" s="847" t="s">
        <v>1064</v>
      </c>
      <c r="K171" s="847"/>
      <c r="L171" s="848">
        <v>1</v>
      </c>
      <c r="M171" s="848">
        <v>1</v>
      </c>
      <c r="N171" s="848">
        <v>1</v>
      </c>
      <c r="O171" s="848">
        <v>1</v>
      </c>
      <c r="P171" s="848">
        <v>1</v>
      </c>
      <c r="Q171" s="848">
        <v>1</v>
      </c>
      <c r="R171" s="848">
        <v>1</v>
      </c>
      <c r="S171" s="848">
        <v>1</v>
      </c>
      <c r="T171" s="848">
        <v>1</v>
      </c>
      <c r="U171" s="848">
        <v>1</v>
      </c>
      <c r="V171" s="848">
        <v>1</v>
      </c>
      <c r="W171" s="848">
        <v>1</v>
      </c>
      <c r="X171" s="848">
        <v>1</v>
      </c>
      <c r="Y171" s="848">
        <v>1</v>
      </c>
      <c r="Z171" s="848">
        <v>1</v>
      </c>
      <c r="BO171" s="23"/>
    </row>
    <row r="172" spans="1:67" s="834" customFormat="1" x14ac:dyDescent="0.25">
      <c r="B172" s="842" t="str">
        <f>B171</f>
        <v>TRAKER00</v>
      </c>
      <c r="C172" s="842"/>
      <c r="D172" s="849"/>
      <c r="E172" s="842"/>
      <c r="F172" s="842"/>
      <c r="G172" s="842"/>
      <c r="H172" s="850">
        <f>$K$3</f>
        <v>2019</v>
      </c>
      <c r="I172" s="842"/>
      <c r="J172" s="851" t="s">
        <v>1065</v>
      </c>
      <c r="K172" s="851" t="s">
        <v>85</v>
      </c>
      <c r="L172" s="852"/>
      <c r="M172" s="852"/>
      <c r="N172" s="852"/>
      <c r="O172" s="852"/>
      <c r="P172" s="852"/>
      <c r="Q172" s="852"/>
      <c r="R172" s="852"/>
      <c r="S172" s="852"/>
      <c r="T172" s="852"/>
      <c r="U172" s="852"/>
      <c r="V172" s="852"/>
      <c r="W172" s="852"/>
      <c r="X172" s="852"/>
      <c r="Y172" s="852"/>
      <c r="Z172" s="852"/>
      <c r="BO172" s="23"/>
    </row>
    <row r="173" spans="1:67" s="834" customFormat="1" x14ac:dyDescent="0.25">
      <c r="B173" s="853" t="str">
        <f>B172</f>
        <v>TRAKER00</v>
      </c>
      <c r="C173" s="853"/>
      <c r="D173" s="854"/>
      <c r="E173" s="853"/>
      <c r="F173" s="853"/>
      <c r="G173" s="853"/>
      <c r="H173" s="855">
        <f>$K$5</f>
        <v>2050</v>
      </c>
      <c r="I173" s="842"/>
      <c r="J173" s="856" t="s">
        <v>1065</v>
      </c>
      <c r="K173" s="856" t="s">
        <v>85</v>
      </c>
      <c r="L173" s="857"/>
      <c r="M173" s="857"/>
      <c r="N173" s="857"/>
      <c r="O173" s="857"/>
      <c r="P173" s="857"/>
      <c r="Q173" s="857"/>
      <c r="R173" s="857"/>
      <c r="S173" s="857"/>
      <c r="T173" s="857"/>
      <c r="U173" s="857"/>
      <c r="V173" s="857"/>
      <c r="W173" s="857"/>
      <c r="X173" s="857"/>
      <c r="Y173" s="857"/>
      <c r="Z173" s="857"/>
      <c r="BO173" s="23"/>
    </row>
    <row r="174" spans="1:67" s="834" customFormat="1" x14ac:dyDescent="0.25">
      <c r="A174" s="841"/>
      <c r="B174" s="842" t="str">
        <f>C174</f>
        <v>TRAHFO00</v>
      </c>
      <c r="C174" s="842" t="str">
        <f>CONCATENATE(F174,"00")</f>
        <v>TRAHFO00</v>
      </c>
      <c r="D174" s="843" t="str">
        <f>CONCATENATE("Fuel Tech - ",LOOKUP(F174,TRA_Comm!$C$6:$C$28,TRA_Comm!$D$6:$D$28))</f>
        <v>Fuel Tech - Heavy Fuel Oil (TRA)</v>
      </c>
      <c r="E174" s="842" t="s">
        <v>1090</v>
      </c>
      <c r="F174" s="842" t="s">
        <v>1023</v>
      </c>
      <c r="G174" s="844"/>
      <c r="H174" s="845"/>
      <c r="I174" s="846"/>
      <c r="J174" s="847" t="s">
        <v>1064</v>
      </c>
      <c r="K174" s="847"/>
      <c r="L174" s="848">
        <v>1</v>
      </c>
      <c r="M174" s="848">
        <v>1</v>
      </c>
      <c r="N174" s="848">
        <v>1</v>
      </c>
      <c r="O174" s="848">
        <v>1</v>
      </c>
      <c r="P174" s="848">
        <v>1</v>
      </c>
      <c r="Q174" s="848">
        <v>1</v>
      </c>
      <c r="R174" s="848">
        <v>1</v>
      </c>
      <c r="S174" s="848">
        <v>1</v>
      </c>
      <c r="T174" s="848">
        <v>1</v>
      </c>
      <c r="U174" s="848">
        <v>1</v>
      </c>
      <c r="V174" s="848">
        <v>1</v>
      </c>
      <c r="W174" s="848">
        <v>1</v>
      </c>
      <c r="X174" s="848">
        <v>1</v>
      </c>
      <c r="Y174" s="848">
        <v>1</v>
      </c>
      <c r="Z174" s="848">
        <v>1</v>
      </c>
      <c r="BO174" s="23"/>
    </row>
    <row r="175" spans="1:67" s="834" customFormat="1" x14ac:dyDescent="0.25">
      <c r="B175" s="842" t="str">
        <f>B174</f>
        <v>TRAHFO00</v>
      </c>
      <c r="C175" s="842"/>
      <c r="D175" s="849"/>
      <c r="E175" s="842"/>
      <c r="F175" s="842"/>
      <c r="G175" s="842"/>
      <c r="H175" s="850">
        <f>$K$3</f>
        <v>2019</v>
      </c>
      <c r="I175" s="842"/>
      <c r="J175" s="851" t="s">
        <v>1065</v>
      </c>
      <c r="K175" s="851" t="s">
        <v>85</v>
      </c>
      <c r="L175" s="852"/>
      <c r="M175" s="852"/>
      <c r="N175" s="852"/>
      <c r="O175" s="852"/>
      <c r="P175" s="852"/>
      <c r="Q175" s="852"/>
      <c r="R175" s="852"/>
      <c r="S175" s="852"/>
      <c r="T175" s="852"/>
      <c r="U175" s="852"/>
      <c r="V175" s="852"/>
      <c r="W175" s="852"/>
      <c r="X175" s="852"/>
      <c r="Y175" s="852"/>
      <c r="Z175" s="852"/>
      <c r="BO175" s="23"/>
    </row>
    <row r="176" spans="1:67" s="834" customFormat="1" x14ac:dyDescent="0.25">
      <c r="B176" s="853" t="str">
        <f>B175</f>
        <v>TRAHFO00</v>
      </c>
      <c r="C176" s="853"/>
      <c r="D176" s="854"/>
      <c r="E176" s="853"/>
      <c r="F176" s="853"/>
      <c r="G176" s="853"/>
      <c r="H176" s="855">
        <f>$K$5</f>
        <v>2050</v>
      </c>
      <c r="I176" s="842"/>
      <c r="J176" s="856" t="s">
        <v>1065</v>
      </c>
      <c r="K176" s="856" t="s">
        <v>85</v>
      </c>
      <c r="L176" s="857"/>
      <c r="M176" s="857"/>
      <c r="N176" s="857"/>
      <c r="O176" s="857"/>
      <c r="P176" s="857"/>
      <c r="Q176" s="857"/>
      <c r="R176" s="857"/>
      <c r="S176" s="857"/>
      <c r="T176" s="857"/>
      <c r="U176" s="857"/>
      <c r="V176" s="857"/>
      <c r="W176" s="857"/>
      <c r="X176" s="857"/>
      <c r="Y176" s="857"/>
      <c r="Z176" s="857"/>
      <c r="BO176" s="23"/>
    </row>
    <row r="177" spans="1:67" s="834" customFormat="1" x14ac:dyDescent="0.25">
      <c r="A177" s="841"/>
      <c r="B177" s="842" t="str">
        <f>C177</f>
        <v>TRALFO00</v>
      </c>
      <c r="C177" s="842" t="str">
        <f>CONCATENATE(F177,"00")</f>
        <v>TRALFO00</v>
      </c>
      <c r="D177" s="843" t="str">
        <f>CONCATENATE("Fuel Tech - ",LOOKUP(F177,TRA_Comm!$C$6:$C$28,TRA_Comm!$D$6:$D$28))</f>
        <v>Fuel Tech - Light Fuel Oil (TRA)</v>
      </c>
      <c r="E177" s="842" t="s">
        <v>1091</v>
      </c>
      <c r="F177" s="842" t="s">
        <v>1031</v>
      </c>
      <c r="G177" s="844"/>
      <c r="H177" s="845"/>
      <c r="I177" s="846"/>
      <c r="J177" s="847" t="s">
        <v>1064</v>
      </c>
      <c r="K177" s="847"/>
      <c r="L177" s="848">
        <v>1</v>
      </c>
      <c r="M177" s="848">
        <v>1</v>
      </c>
      <c r="N177" s="848">
        <v>1</v>
      </c>
      <c r="O177" s="848">
        <v>1</v>
      </c>
      <c r="P177" s="848">
        <v>1</v>
      </c>
      <c r="Q177" s="848">
        <v>1</v>
      </c>
      <c r="R177" s="848">
        <v>1</v>
      </c>
      <c r="S177" s="848">
        <v>1</v>
      </c>
      <c r="T177" s="848">
        <v>1</v>
      </c>
      <c r="U177" s="848">
        <v>1</v>
      </c>
      <c r="V177" s="848">
        <v>1</v>
      </c>
      <c r="W177" s="848">
        <v>1</v>
      </c>
      <c r="X177" s="848">
        <v>1</v>
      </c>
      <c r="Y177" s="848">
        <v>1</v>
      </c>
      <c r="Z177" s="848">
        <v>1</v>
      </c>
      <c r="BO177" s="23"/>
    </row>
    <row r="178" spans="1:67" s="834" customFormat="1" x14ac:dyDescent="0.25">
      <c r="B178" s="842" t="str">
        <f>B177</f>
        <v>TRALFO00</v>
      </c>
      <c r="C178" s="842"/>
      <c r="D178" s="849"/>
      <c r="E178" s="842"/>
      <c r="F178" s="842"/>
      <c r="G178" s="842"/>
      <c r="H178" s="850">
        <f>$K$3</f>
        <v>2019</v>
      </c>
      <c r="I178" s="842"/>
      <c r="J178" s="851" t="s">
        <v>1065</v>
      </c>
      <c r="K178" s="851" t="s">
        <v>85</v>
      </c>
      <c r="L178" s="852"/>
      <c r="M178" s="852"/>
      <c r="N178" s="852"/>
      <c r="O178" s="852"/>
      <c r="P178" s="852"/>
      <c r="Q178" s="852"/>
      <c r="R178" s="852"/>
      <c r="S178" s="852"/>
      <c r="T178" s="852"/>
      <c r="U178" s="852"/>
      <c r="V178" s="852"/>
      <c r="W178" s="852"/>
      <c r="X178" s="852"/>
      <c r="Y178" s="852"/>
      <c r="Z178" s="852"/>
      <c r="BO178" s="23"/>
    </row>
    <row r="179" spans="1:67" s="834" customFormat="1" x14ac:dyDescent="0.25">
      <c r="B179" s="853" t="str">
        <f>B178</f>
        <v>TRALFO00</v>
      </c>
      <c r="C179" s="853"/>
      <c r="D179" s="854"/>
      <c r="E179" s="853"/>
      <c r="F179" s="853"/>
      <c r="G179" s="853"/>
      <c r="H179" s="855">
        <f>$K$5</f>
        <v>2050</v>
      </c>
      <c r="I179" s="853"/>
      <c r="J179" s="856" t="s">
        <v>1065</v>
      </c>
      <c r="K179" s="856" t="s">
        <v>85</v>
      </c>
      <c r="L179" s="857"/>
      <c r="M179" s="857"/>
      <c r="N179" s="857"/>
      <c r="O179" s="857"/>
      <c r="P179" s="857"/>
      <c r="Q179" s="857"/>
      <c r="R179" s="857"/>
      <c r="S179" s="857"/>
      <c r="T179" s="857"/>
      <c r="U179" s="857"/>
      <c r="V179" s="857"/>
      <c r="W179" s="857"/>
      <c r="X179" s="857"/>
      <c r="Y179" s="857"/>
      <c r="Z179" s="857"/>
      <c r="BO179" s="23"/>
    </row>
    <row r="180" spans="1:67" x14ac:dyDescent="0.25">
      <c r="A180" s="841"/>
      <c r="B180" s="842" t="str">
        <f>C180</f>
        <v>TRALPG00</v>
      </c>
      <c r="C180" s="842" t="str">
        <f>CONCATENATE(F180,"00")</f>
        <v>TRALPG00</v>
      </c>
      <c r="D180" s="843" t="str">
        <f>CONCATENATE("Fuel Tech - ",LOOKUP(F180,TRA_Comm!$C$6:$C$28,TRA_Comm!$D$6:$D$28))</f>
        <v>Fuel Tech - Liquified Petroleum Gas (TRA)</v>
      </c>
      <c r="E180" s="842" t="s">
        <v>1092</v>
      </c>
      <c r="F180" s="842" t="s">
        <v>1033</v>
      </c>
      <c r="G180" s="859"/>
      <c r="H180" s="850"/>
      <c r="I180" s="859"/>
      <c r="J180" s="859" t="s">
        <v>1064</v>
      </c>
      <c r="K180" s="859"/>
      <c r="L180" s="848">
        <v>1</v>
      </c>
      <c r="M180" s="848">
        <v>1</v>
      </c>
      <c r="N180" s="848">
        <v>1</v>
      </c>
      <c r="O180" s="848">
        <v>1</v>
      </c>
      <c r="P180" s="848">
        <v>1</v>
      </c>
      <c r="Q180" s="848">
        <v>1</v>
      </c>
      <c r="R180" s="848">
        <v>1</v>
      </c>
      <c r="S180" s="848">
        <v>1</v>
      </c>
      <c r="T180" s="848">
        <v>1</v>
      </c>
      <c r="U180" s="848">
        <v>1</v>
      </c>
      <c r="V180" s="848">
        <v>1</v>
      </c>
      <c r="W180" s="848">
        <v>1</v>
      </c>
      <c r="X180" s="848">
        <v>1</v>
      </c>
      <c r="Y180" s="848">
        <v>1</v>
      </c>
      <c r="Z180" s="848">
        <v>1</v>
      </c>
      <c r="AA180" s="834"/>
      <c r="AB180" s="19"/>
      <c r="AD180" s="834"/>
      <c r="AE180" s="834"/>
      <c r="AF180" s="834"/>
      <c r="AG180" s="834"/>
      <c r="AH180" s="834"/>
      <c r="AI180" s="834"/>
      <c r="AJ180" s="834"/>
      <c r="AK180" s="834"/>
      <c r="AL180" s="834"/>
      <c r="AM180" s="834"/>
      <c r="AN180" s="834"/>
      <c r="AO180" s="834"/>
      <c r="AP180" s="834"/>
      <c r="AQ180" s="834"/>
      <c r="AR180" s="834"/>
      <c r="AS180" s="834"/>
      <c r="AT180" s="834"/>
      <c r="AU180" s="834"/>
      <c r="AV180" s="834"/>
      <c r="AW180" s="834"/>
      <c r="AX180" s="834"/>
      <c r="AY180" s="834"/>
      <c r="AZ180" s="834"/>
      <c r="BA180" s="834"/>
      <c r="BB180" s="834"/>
      <c r="BC180" s="834"/>
      <c r="BD180" s="834"/>
      <c r="BE180" s="834"/>
      <c r="BF180" s="834"/>
      <c r="BG180" s="834"/>
      <c r="BH180" s="834"/>
      <c r="BI180" s="834"/>
      <c r="BJ180" s="834"/>
      <c r="BK180" s="834"/>
      <c r="BL180" s="834"/>
      <c r="BM180" s="834"/>
      <c r="BN180" s="834"/>
    </row>
    <row r="181" spans="1:67" x14ac:dyDescent="0.25">
      <c r="A181" s="834"/>
      <c r="B181" s="842" t="str">
        <f>B180</f>
        <v>TRALPG00</v>
      </c>
      <c r="C181" s="842"/>
      <c r="D181" s="849"/>
      <c r="E181" s="842"/>
      <c r="F181" s="842"/>
      <c r="G181" s="842"/>
      <c r="H181" s="850">
        <f>$K$3</f>
        <v>2019</v>
      </c>
      <c r="I181" s="842"/>
      <c r="J181" s="851" t="s">
        <v>1065</v>
      </c>
      <c r="K181" s="851" t="s">
        <v>85</v>
      </c>
      <c r="L181" s="852"/>
      <c r="M181" s="852"/>
      <c r="N181" s="852"/>
      <c r="O181" s="852"/>
      <c r="P181" s="852"/>
      <c r="Q181" s="852"/>
      <c r="R181" s="852"/>
      <c r="S181" s="852"/>
      <c r="T181" s="852"/>
      <c r="U181" s="852"/>
      <c r="V181" s="852"/>
      <c r="W181" s="852"/>
      <c r="X181" s="852"/>
      <c r="Y181" s="852"/>
      <c r="Z181" s="852"/>
      <c r="AA181" s="834"/>
      <c r="AB181" s="19"/>
      <c r="AE181" s="834"/>
      <c r="AF181" s="834"/>
      <c r="AG181" s="834"/>
      <c r="AH181" s="834"/>
      <c r="AI181" s="834"/>
      <c r="AJ181" s="834"/>
      <c r="AK181" s="834"/>
      <c r="AL181" s="834"/>
      <c r="AM181" s="834"/>
      <c r="AN181" s="834"/>
      <c r="AO181" s="834"/>
      <c r="AP181" s="834"/>
      <c r="AQ181" s="834"/>
      <c r="AR181" s="834"/>
      <c r="AS181" s="834"/>
      <c r="AT181" s="834"/>
      <c r="AU181" s="834"/>
      <c r="AV181" s="834"/>
      <c r="AW181" s="834"/>
      <c r="AX181" s="834"/>
      <c r="AY181" s="834"/>
      <c r="AZ181" s="834"/>
      <c r="BA181" s="834"/>
      <c r="BB181" s="834"/>
      <c r="BC181" s="834"/>
      <c r="BD181" s="834"/>
      <c r="BE181" s="834"/>
      <c r="BF181" s="834"/>
      <c r="BG181" s="834"/>
      <c r="BH181" s="834"/>
      <c r="BI181" s="834"/>
      <c r="BJ181" s="834"/>
      <c r="BK181" s="834"/>
      <c r="BL181" s="834"/>
      <c r="BM181" s="834"/>
    </row>
    <row r="182" spans="1:67" x14ac:dyDescent="0.25">
      <c r="A182" s="834"/>
      <c r="B182" s="853" t="str">
        <f>B181</f>
        <v>TRALPG00</v>
      </c>
      <c r="C182" s="853"/>
      <c r="D182" s="854"/>
      <c r="E182" s="853"/>
      <c r="F182" s="853"/>
      <c r="G182" s="853"/>
      <c r="H182" s="855">
        <f>$K$5</f>
        <v>2050</v>
      </c>
      <c r="I182" s="853"/>
      <c r="J182" s="856" t="s">
        <v>1065</v>
      </c>
      <c r="K182" s="856" t="s">
        <v>85</v>
      </c>
      <c r="L182" s="857"/>
      <c r="M182" s="857"/>
      <c r="N182" s="857"/>
      <c r="O182" s="857"/>
      <c r="P182" s="857"/>
      <c r="Q182" s="857"/>
      <c r="R182" s="857"/>
      <c r="S182" s="857"/>
      <c r="T182" s="857"/>
      <c r="U182" s="857"/>
      <c r="V182" s="857"/>
      <c r="W182" s="857"/>
      <c r="X182" s="857"/>
      <c r="Y182" s="857"/>
      <c r="Z182" s="857"/>
      <c r="AA182" s="834"/>
      <c r="AB182" s="19"/>
    </row>
    <row r="183" spans="1:67" x14ac:dyDescent="0.25">
      <c r="A183" s="841"/>
      <c r="B183" s="842" t="str">
        <f>C183</f>
        <v>TRAMTH00</v>
      </c>
      <c r="C183" s="842" t="str">
        <f>CONCATENATE(F183,"00")</f>
        <v>TRAMTH00</v>
      </c>
      <c r="D183" s="843" t="str">
        <f>CONCATENATE("Fuel Tech - ",LOOKUP(F183,TRA_Comm!$C$6:$C$28,TRA_Comm!$D$6:$D$28))</f>
        <v>Fuel Tech - Methanol (TRA)</v>
      </c>
      <c r="E183" s="842" t="s">
        <v>1093</v>
      </c>
      <c r="F183" s="842" t="s">
        <v>1035</v>
      </c>
      <c r="G183" s="859"/>
      <c r="H183" s="850"/>
      <c r="I183" s="859"/>
      <c r="J183" s="859" t="s">
        <v>1064</v>
      </c>
      <c r="K183" s="859"/>
      <c r="L183" s="848">
        <v>1</v>
      </c>
      <c r="M183" s="848">
        <v>1</v>
      </c>
      <c r="N183" s="848">
        <v>1</v>
      </c>
      <c r="O183" s="848">
        <v>1</v>
      </c>
      <c r="P183" s="848">
        <v>1</v>
      </c>
      <c r="Q183" s="848">
        <v>1</v>
      </c>
      <c r="R183" s="848">
        <v>1</v>
      </c>
      <c r="S183" s="848">
        <v>1</v>
      </c>
      <c r="T183" s="848">
        <v>1</v>
      </c>
      <c r="U183" s="848">
        <v>1</v>
      </c>
      <c r="V183" s="848">
        <v>1</v>
      </c>
      <c r="W183" s="848">
        <v>1</v>
      </c>
      <c r="X183" s="848">
        <v>1</v>
      </c>
      <c r="Y183" s="848">
        <v>1</v>
      </c>
      <c r="Z183" s="848">
        <v>1</v>
      </c>
      <c r="AA183" s="834"/>
      <c r="AB183" s="19"/>
    </row>
    <row r="184" spans="1:67" x14ac:dyDescent="0.25">
      <c r="A184" s="834"/>
      <c r="B184" s="842" t="str">
        <f>B183</f>
        <v>TRAMTH00</v>
      </c>
      <c r="C184" s="842"/>
      <c r="D184" s="849"/>
      <c r="E184" s="842"/>
      <c r="F184" s="842"/>
      <c r="G184" s="842"/>
      <c r="H184" s="850">
        <f>$K$3</f>
        <v>2019</v>
      </c>
      <c r="I184" s="842"/>
      <c r="J184" s="851" t="s">
        <v>1065</v>
      </c>
      <c r="K184" s="851" t="s">
        <v>85</v>
      </c>
      <c r="L184" s="852"/>
      <c r="M184" s="852"/>
      <c r="N184" s="852"/>
      <c r="O184" s="852"/>
      <c r="P184" s="852"/>
      <c r="Q184" s="852"/>
      <c r="R184" s="852"/>
      <c r="S184" s="852"/>
      <c r="T184" s="852"/>
      <c r="U184" s="852"/>
      <c r="V184" s="852"/>
      <c r="W184" s="852"/>
      <c r="X184" s="852"/>
      <c r="Y184" s="852"/>
      <c r="Z184" s="852"/>
      <c r="AA184" s="834"/>
      <c r="AB184" s="19"/>
    </row>
    <row r="185" spans="1:67" x14ac:dyDescent="0.25">
      <c r="A185" s="834"/>
      <c r="B185" s="853" t="str">
        <f>B184</f>
        <v>TRAMTH00</v>
      </c>
      <c r="C185" s="853"/>
      <c r="D185" s="854"/>
      <c r="E185" s="853"/>
      <c r="F185" s="853"/>
      <c r="G185" s="853"/>
      <c r="H185" s="855">
        <f>$K$5</f>
        <v>2050</v>
      </c>
      <c r="I185" s="853"/>
      <c r="J185" s="856" t="s">
        <v>1065</v>
      </c>
      <c r="K185" s="856" t="s">
        <v>85</v>
      </c>
      <c r="L185" s="857"/>
      <c r="M185" s="857"/>
      <c r="N185" s="857"/>
      <c r="O185" s="857"/>
      <c r="P185" s="857"/>
      <c r="Q185" s="857"/>
      <c r="R185" s="857"/>
      <c r="S185" s="857"/>
      <c r="T185" s="857"/>
      <c r="U185" s="857"/>
      <c r="V185" s="857"/>
      <c r="W185" s="857"/>
      <c r="X185" s="857"/>
      <c r="Y185" s="857"/>
      <c r="Z185" s="857"/>
      <c r="AA185" s="834"/>
      <c r="AB185" s="42" t="s">
        <v>1059</v>
      </c>
      <c r="AC185" s="42" t="s">
        <v>1060</v>
      </c>
    </row>
    <row r="186" spans="1:67" s="1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s="31"/>
      <c r="AD186" s="19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s="939"/>
    </row>
    <row r="187" spans="1:67" s="1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s="31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O187" s="939"/>
    </row>
    <row r="188" spans="1:67" s="13" customFormat="1" ht="17.25" customHeight="1" x14ac:dyDescent="0.25">
      <c r="A188"/>
      <c r="B188"/>
      <c r="C188"/>
      <c r="D188"/>
      <c r="E188"/>
      <c r="F188"/>
      <c r="G188"/>
      <c r="H188" s="96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s="31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O188" s="939"/>
    </row>
    <row r="189" spans="1:67" s="13" customFormat="1" x14ac:dyDescent="0.25">
      <c r="A189"/>
      <c r="B189" s="42" t="s">
        <v>1096</v>
      </c>
      <c r="C189" s="42"/>
      <c r="D189"/>
      <c r="E189"/>
      <c r="F189"/>
      <c r="G189" s="19"/>
      <c r="H189" s="101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/>
      <c r="AB189" s="31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19"/>
      <c r="AW189" s="1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O189" s="939"/>
    </row>
    <row r="190" spans="1:67" s="13" customFormat="1" x14ac:dyDescent="0.25">
      <c r="A190"/>
      <c r="B190"/>
      <c r="C190"/>
      <c r="D190"/>
      <c r="E190"/>
      <c r="F190"/>
      <c r="G190" s="19"/>
      <c r="H190" s="101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/>
      <c r="AB190" s="31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19"/>
      <c r="AW190" s="19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O190" s="939"/>
    </row>
    <row r="191" spans="1:67" s="13" customFormat="1" x14ac:dyDescent="0.25">
      <c r="A191" s="96"/>
      <c r="B191"/>
      <c r="C191" s="12"/>
      <c r="D191" s="12"/>
      <c r="E191"/>
      <c r="F191"/>
      <c r="G191" s="41"/>
      <c r="H191" s="51"/>
      <c r="I191" s="41"/>
      <c r="J191" s="40" t="s">
        <v>1051</v>
      </c>
      <c r="K191" s="40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/>
      <c r="AB191" s="3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O191" s="939"/>
    </row>
    <row r="192" spans="1:67" s="13" customFormat="1" ht="17.25" customHeight="1" x14ac:dyDescent="0.25">
      <c r="A192"/>
      <c r="B192" s="640" t="s">
        <v>1053</v>
      </c>
      <c r="C192" s="639" t="s">
        <v>104</v>
      </c>
      <c r="D192" s="639" t="s">
        <v>1054</v>
      </c>
      <c r="E192" s="639" t="s">
        <v>673</v>
      </c>
      <c r="F192" s="639" t="s">
        <v>674</v>
      </c>
      <c r="G192" s="639" t="s">
        <v>1055</v>
      </c>
      <c r="H192" s="641" t="s">
        <v>1056</v>
      </c>
      <c r="I192" s="42" t="s">
        <v>982</v>
      </c>
      <c r="J192" s="42" t="s">
        <v>1057</v>
      </c>
      <c r="K192" s="42" t="s">
        <v>1058</v>
      </c>
      <c r="L192" s="639" t="str">
        <f t="shared" ref="L192:Z192" si="189">L$2</f>
        <v>Z01</v>
      </c>
      <c r="M192" s="639" t="str">
        <f t="shared" si="189"/>
        <v>Z02</v>
      </c>
      <c r="N192" s="639" t="str">
        <f t="shared" si="189"/>
        <v>Z03</v>
      </c>
      <c r="O192" s="639" t="str">
        <f t="shared" si="189"/>
        <v>Z04</v>
      </c>
      <c r="P192" s="639" t="str">
        <f t="shared" si="189"/>
        <v>Z05</v>
      </c>
      <c r="Q192" s="639" t="str">
        <f t="shared" si="189"/>
        <v>Z06</v>
      </c>
      <c r="R192" s="639" t="str">
        <f t="shared" si="189"/>
        <v>Z07</v>
      </c>
      <c r="S192" s="639" t="str">
        <f t="shared" si="189"/>
        <v>Z08</v>
      </c>
      <c r="T192" s="639" t="str">
        <f t="shared" si="189"/>
        <v>Z09</v>
      </c>
      <c r="U192" s="639" t="str">
        <f t="shared" si="189"/>
        <v>Z10</v>
      </c>
      <c r="V192" s="639" t="str">
        <f t="shared" si="189"/>
        <v>Z11</v>
      </c>
      <c r="W192" s="639" t="str">
        <f t="shared" si="189"/>
        <v>Z12</v>
      </c>
      <c r="X192" s="639" t="str">
        <f t="shared" si="189"/>
        <v>Z13</v>
      </c>
      <c r="Y192" s="639" t="str">
        <f t="shared" si="189"/>
        <v>Z14</v>
      </c>
      <c r="Z192" s="639" t="str">
        <f t="shared" si="189"/>
        <v>Z15</v>
      </c>
      <c r="AA192" s="19"/>
      <c r="AB192" s="31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O192" s="939"/>
    </row>
    <row r="193" spans="1:67" s="31" customFormat="1" x14ac:dyDescent="0.25">
      <c r="A193" s="100"/>
      <c r="B193" s="737" t="str">
        <f>C193</f>
        <v>TRABDL01</v>
      </c>
      <c r="C193" s="245" t="str">
        <f>CONCATENATE(F193,"01")</f>
        <v>TRABDL01</v>
      </c>
      <c r="D193" s="738" t="str">
        <f>REPLACE(D11,1,9,"Fuel Tech New")</f>
        <v>Fuel Tech New - Biodiesel (TRA)</v>
      </c>
      <c r="E193" s="324" t="str">
        <f>E11</f>
        <v>BFUHVO1, BFUHVO2, BFUHVO3, BFUHVO4</v>
      </c>
      <c r="F193" s="739" t="str">
        <f>F11</f>
        <v>TRABDL</v>
      </c>
      <c r="G193" s="739"/>
      <c r="H193" s="739"/>
      <c r="I193" s="740"/>
      <c r="J193" s="741" t="s">
        <v>1064</v>
      </c>
      <c r="K193" s="741"/>
      <c r="L193" s="742">
        <v>1</v>
      </c>
      <c r="M193" s="742">
        <v>1</v>
      </c>
      <c r="N193" s="742">
        <v>1</v>
      </c>
      <c r="O193" s="742">
        <v>1</v>
      </c>
      <c r="P193" s="742">
        <v>1</v>
      </c>
      <c r="Q193" s="742">
        <v>1</v>
      </c>
      <c r="R193" s="742">
        <v>1</v>
      </c>
      <c r="S193" s="742">
        <v>1</v>
      </c>
      <c r="T193" s="742">
        <v>1</v>
      </c>
      <c r="U193" s="742">
        <v>1</v>
      </c>
      <c r="V193" s="742">
        <v>1</v>
      </c>
      <c r="W193" s="742">
        <v>1</v>
      </c>
      <c r="X193" s="742">
        <v>1</v>
      </c>
      <c r="Y193" s="742">
        <v>1</v>
      </c>
      <c r="Z193" s="742">
        <v>1</v>
      </c>
      <c r="AA193" s="13"/>
      <c r="AD193" s="1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19"/>
      <c r="AW193" s="19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 s="13"/>
      <c r="BO193" s="939"/>
    </row>
    <row r="194" spans="1:67" s="31" customFormat="1" x14ac:dyDescent="0.25">
      <c r="A194" s="13"/>
      <c r="B194" s="737" t="str">
        <f>B193</f>
        <v>TRABDL01</v>
      </c>
      <c r="C194" s="245"/>
      <c r="D194" s="743"/>
      <c r="E194" s="245"/>
      <c r="F194" s="739"/>
      <c r="G194" s="245"/>
      <c r="H194" s="744"/>
      <c r="I194" s="245"/>
      <c r="J194" s="745" t="s">
        <v>1097</v>
      </c>
      <c r="K194" s="745"/>
      <c r="L194" s="746">
        <f>$K$4</f>
        <v>2020</v>
      </c>
      <c r="M194" s="746">
        <f t="shared" ref="M194:Z194" si="190">$K$4</f>
        <v>2020</v>
      </c>
      <c r="N194" s="746">
        <f t="shared" si="190"/>
        <v>2020</v>
      </c>
      <c r="O194" s="746">
        <f t="shared" si="190"/>
        <v>2020</v>
      </c>
      <c r="P194" s="746">
        <f t="shared" si="190"/>
        <v>2020</v>
      </c>
      <c r="Q194" s="746">
        <f t="shared" si="190"/>
        <v>2020</v>
      </c>
      <c r="R194" s="746">
        <f t="shared" si="190"/>
        <v>2020</v>
      </c>
      <c r="S194" s="746">
        <f t="shared" si="190"/>
        <v>2020</v>
      </c>
      <c r="T194" s="746">
        <f t="shared" si="190"/>
        <v>2020</v>
      </c>
      <c r="U194" s="746">
        <f t="shared" si="190"/>
        <v>2020</v>
      </c>
      <c r="V194" s="746">
        <f t="shared" si="190"/>
        <v>2020</v>
      </c>
      <c r="W194" s="746">
        <f t="shared" si="190"/>
        <v>2020</v>
      </c>
      <c r="X194" s="746">
        <f t="shared" si="190"/>
        <v>2020</v>
      </c>
      <c r="Y194" s="746">
        <f t="shared" si="190"/>
        <v>2020</v>
      </c>
      <c r="Z194" s="746">
        <f t="shared" si="190"/>
        <v>2020</v>
      </c>
      <c r="AA194" s="13"/>
      <c r="AC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O194" s="939"/>
    </row>
    <row r="195" spans="1:67" s="31" customFormat="1" x14ac:dyDescent="0.25">
      <c r="A195" s="13"/>
      <c r="B195" s="747" t="str">
        <f>B193</f>
        <v>TRABDL01</v>
      </c>
      <c r="C195" s="250"/>
      <c r="D195" s="733"/>
      <c r="E195" s="250"/>
      <c r="F195" s="250"/>
      <c r="G195" s="250"/>
      <c r="H195" s="734"/>
      <c r="I195" s="250"/>
      <c r="J195" s="735" t="s">
        <v>1098</v>
      </c>
      <c r="K195" s="735" t="s">
        <v>1099</v>
      </c>
      <c r="L195" s="736"/>
      <c r="M195" s="736"/>
      <c r="N195" s="736"/>
      <c r="O195" s="736"/>
      <c r="P195" s="736"/>
      <c r="Q195" s="736"/>
      <c r="R195" s="736"/>
      <c r="S195" s="736"/>
      <c r="T195" s="736"/>
      <c r="U195" s="736"/>
      <c r="V195" s="736"/>
      <c r="W195" s="736"/>
      <c r="X195" s="736"/>
      <c r="Y195" s="736"/>
      <c r="Z195" s="736"/>
      <c r="AA195" s="13"/>
      <c r="AC195" s="749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O195" s="939"/>
    </row>
    <row r="196" spans="1:67" s="31" customFormat="1" x14ac:dyDescent="0.25">
      <c r="A196" s="100"/>
      <c r="B196" s="737" t="str">
        <f>C196</f>
        <v>TRABDLM01</v>
      </c>
      <c r="C196" s="245" t="str">
        <f>CONCATENATE(F196,"01")</f>
        <v>TRABDLM01</v>
      </c>
      <c r="D196" s="738" t="str">
        <f>REPLACE(D14,1,9,"Fuel Tech New")</f>
        <v>Fuel Tech New</v>
      </c>
      <c r="E196" s="324" t="str">
        <f>E17</f>
        <v>BFUFAME1, BFUFAME2, BFUFAME3, BFUFAME4</v>
      </c>
      <c r="F196" s="739" t="s">
        <v>990</v>
      </c>
      <c r="G196" s="739"/>
      <c r="H196" s="739"/>
      <c r="I196" s="740"/>
      <c r="J196" s="741" t="s">
        <v>1064</v>
      </c>
      <c r="K196" s="741"/>
      <c r="L196" s="742">
        <v>1</v>
      </c>
      <c r="M196" s="742">
        <v>1</v>
      </c>
      <c r="N196" s="742">
        <v>1</v>
      </c>
      <c r="O196" s="742">
        <v>1</v>
      </c>
      <c r="P196" s="742">
        <v>1</v>
      </c>
      <c r="Q196" s="742">
        <v>1</v>
      </c>
      <c r="R196" s="742">
        <v>1</v>
      </c>
      <c r="S196" s="742">
        <v>1</v>
      </c>
      <c r="T196" s="742">
        <v>1</v>
      </c>
      <c r="U196" s="742">
        <v>1</v>
      </c>
      <c r="V196" s="742">
        <v>1</v>
      </c>
      <c r="W196" s="742">
        <v>1</v>
      </c>
      <c r="X196" s="742">
        <v>1</v>
      </c>
      <c r="Y196" s="742">
        <v>1</v>
      </c>
      <c r="Z196" s="742">
        <v>1</v>
      </c>
      <c r="AA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O196" s="939"/>
    </row>
    <row r="197" spans="1:67" s="31" customFormat="1" x14ac:dyDescent="0.25">
      <c r="A197" s="13"/>
      <c r="B197" s="737" t="str">
        <f>B196</f>
        <v>TRABDLM01</v>
      </c>
      <c r="C197" s="245"/>
      <c r="D197" s="743"/>
      <c r="E197" s="245"/>
      <c r="F197" s="739"/>
      <c r="G197" s="245"/>
      <c r="H197" s="744"/>
      <c r="I197" s="245"/>
      <c r="J197" s="745" t="s">
        <v>1097</v>
      </c>
      <c r="K197" s="745"/>
      <c r="L197" s="746">
        <f>$K$4</f>
        <v>2020</v>
      </c>
      <c r="M197" s="746">
        <f t="shared" ref="M197:Z197" si="191">$K$4</f>
        <v>2020</v>
      </c>
      <c r="N197" s="746">
        <f t="shared" si="191"/>
        <v>2020</v>
      </c>
      <c r="O197" s="746">
        <f t="shared" si="191"/>
        <v>2020</v>
      </c>
      <c r="P197" s="746">
        <f t="shared" si="191"/>
        <v>2020</v>
      </c>
      <c r="Q197" s="746">
        <f t="shared" si="191"/>
        <v>2020</v>
      </c>
      <c r="R197" s="746">
        <f t="shared" si="191"/>
        <v>2020</v>
      </c>
      <c r="S197" s="746">
        <f t="shared" si="191"/>
        <v>2020</v>
      </c>
      <c r="T197" s="746">
        <f t="shared" si="191"/>
        <v>2020</v>
      </c>
      <c r="U197" s="746">
        <f t="shared" si="191"/>
        <v>2020</v>
      </c>
      <c r="V197" s="746">
        <f t="shared" si="191"/>
        <v>2020</v>
      </c>
      <c r="W197" s="746">
        <f t="shared" si="191"/>
        <v>2020</v>
      </c>
      <c r="X197" s="746">
        <f t="shared" si="191"/>
        <v>2020</v>
      </c>
      <c r="Y197" s="746">
        <f t="shared" si="191"/>
        <v>2020</v>
      </c>
      <c r="Z197" s="746">
        <f t="shared" si="191"/>
        <v>2020</v>
      </c>
      <c r="AA197" s="13"/>
      <c r="AC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O197" s="939"/>
    </row>
    <row r="198" spans="1:67" s="31" customFormat="1" x14ac:dyDescent="0.25">
      <c r="A198" s="13"/>
      <c r="B198" s="747" t="str">
        <f>B196</f>
        <v>TRABDLM01</v>
      </c>
      <c r="C198" s="250"/>
      <c r="D198" s="733"/>
      <c r="E198" s="250"/>
      <c r="F198" s="250"/>
      <c r="G198" s="250"/>
      <c r="H198" s="734"/>
      <c r="I198" s="250"/>
      <c r="J198" s="735" t="s">
        <v>1098</v>
      </c>
      <c r="K198" s="735" t="s">
        <v>1099</v>
      </c>
      <c r="L198" s="736"/>
      <c r="M198" s="736"/>
      <c r="N198" s="736"/>
      <c r="O198" s="736"/>
      <c r="P198" s="736"/>
      <c r="Q198" s="736"/>
      <c r="R198" s="736"/>
      <c r="S198" s="736"/>
      <c r="T198" s="736"/>
      <c r="U198" s="736"/>
      <c r="V198" s="736"/>
      <c r="W198" s="736"/>
      <c r="X198" s="736"/>
      <c r="Y198" s="736"/>
      <c r="Z198" s="736"/>
      <c r="AA198" s="13"/>
      <c r="AC198" s="749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O198" s="939"/>
    </row>
    <row r="199" spans="1:67" s="31" customFormat="1" x14ac:dyDescent="0.25">
      <c r="A199" s="100"/>
      <c r="B199" s="737" t="str">
        <f>C199</f>
        <v>TRABDR01</v>
      </c>
      <c r="C199" s="245" t="str">
        <f>CONCATENATE(F199,"01")</f>
        <v>TRABDR01</v>
      </c>
      <c r="D199" s="738" t="str">
        <f>REPLACE(D17,1,9,"Fuel Tech New")</f>
        <v>Fuel Tech New - Biodiesel for low-blending (TRA)</v>
      </c>
      <c r="E199" s="324" t="str">
        <f>E193</f>
        <v>BFUHVO1, BFUHVO2, BFUHVO3, BFUHVO4</v>
      </c>
      <c r="F199" s="739" t="s">
        <v>992</v>
      </c>
      <c r="G199" s="739"/>
      <c r="H199" s="739"/>
      <c r="I199" s="740"/>
      <c r="J199" s="741" t="s">
        <v>1064</v>
      </c>
      <c r="K199" s="741"/>
      <c r="L199" s="742">
        <v>1</v>
      </c>
      <c r="M199" s="742">
        <v>1</v>
      </c>
      <c r="N199" s="742">
        <v>1</v>
      </c>
      <c r="O199" s="742">
        <v>1</v>
      </c>
      <c r="P199" s="742">
        <v>1</v>
      </c>
      <c r="Q199" s="742">
        <v>1</v>
      </c>
      <c r="R199" s="742">
        <v>1</v>
      </c>
      <c r="S199" s="742">
        <v>1</v>
      </c>
      <c r="T199" s="742">
        <v>1</v>
      </c>
      <c r="U199" s="742">
        <v>1</v>
      </c>
      <c r="V199" s="742">
        <v>1</v>
      </c>
      <c r="W199" s="742">
        <v>1</v>
      </c>
      <c r="X199" s="742">
        <v>1</v>
      </c>
      <c r="Y199" s="742">
        <v>1</v>
      </c>
      <c r="Z199" s="742">
        <v>1</v>
      </c>
      <c r="AA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O199" s="939"/>
    </row>
    <row r="200" spans="1:67" s="31" customFormat="1" x14ac:dyDescent="0.25">
      <c r="A200" s="13"/>
      <c r="B200" s="737" t="str">
        <f>B199</f>
        <v>TRABDR01</v>
      </c>
      <c r="C200" s="245"/>
      <c r="D200" s="743"/>
      <c r="E200" s="245"/>
      <c r="F200" s="739"/>
      <c r="G200" s="245"/>
      <c r="H200" s="744"/>
      <c r="I200" s="245"/>
      <c r="J200" s="745" t="s">
        <v>1097</v>
      </c>
      <c r="K200" s="745"/>
      <c r="L200" s="746">
        <f>$K$4</f>
        <v>2020</v>
      </c>
      <c r="M200" s="746">
        <f t="shared" ref="M200:Z200" si="192">$K$4</f>
        <v>2020</v>
      </c>
      <c r="N200" s="746">
        <f t="shared" si="192"/>
        <v>2020</v>
      </c>
      <c r="O200" s="746">
        <f t="shared" si="192"/>
        <v>2020</v>
      </c>
      <c r="P200" s="746">
        <f t="shared" si="192"/>
        <v>2020</v>
      </c>
      <c r="Q200" s="746">
        <f t="shared" si="192"/>
        <v>2020</v>
      </c>
      <c r="R200" s="746">
        <f t="shared" si="192"/>
        <v>2020</v>
      </c>
      <c r="S200" s="746">
        <f t="shared" si="192"/>
        <v>2020</v>
      </c>
      <c r="T200" s="746">
        <f t="shared" si="192"/>
        <v>2020</v>
      </c>
      <c r="U200" s="746">
        <f t="shared" si="192"/>
        <v>2020</v>
      </c>
      <c r="V200" s="746">
        <f t="shared" si="192"/>
        <v>2020</v>
      </c>
      <c r="W200" s="746">
        <f t="shared" si="192"/>
        <v>2020</v>
      </c>
      <c r="X200" s="746">
        <f t="shared" si="192"/>
        <v>2020</v>
      </c>
      <c r="Y200" s="746">
        <f t="shared" si="192"/>
        <v>2020</v>
      </c>
      <c r="Z200" s="746">
        <f t="shared" si="192"/>
        <v>2020</v>
      </c>
      <c r="AA200" s="13"/>
      <c r="AC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O200" s="939"/>
    </row>
    <row r="201" spans="1:67" s="31" customFormat="1" x14ac:dyDescent="0.25">
      <c r="A201" s="13"/>
      <c r="B201" s="747" t="str">
        <f>B199</f>
        <v>TRABDR01</v>
      </c>
      <c r="C201" s="250"/>
      <c r="D201" s="733"/>
      <c r="E201" s="250"/>
      <c r="F201" s="250"/>
      <c r="G201" s="250"/>
      <c r="H201" s="734"/>
      <c r="I201" s="250"/>
      <c r="J201" s="735" t="s">
        <v>1098</v>
      </c>
      <c r="K201" s="735" t="s">
        <v>1099</v>
      </c>
      <c r="L201" s="736"/>
      <c r="M201" s="736"/>
      <c r="N201" s="736"/>
      <c r="O201" s="736"/>
      <c r="P201" s="736"/>
      <c r="Q201" s="736"/>
      <c r="R201" s="736"/>
      <c r="S201" s="736"/>
      <c r="T201" s="736"/>
      <c r="U201" s="736"/>
      <c r="V201" s="736"/>
      <c r="W201" s="736"/>
      <c r="X201" s="736"/>
      <c r="Y201" s="736"/>
      <c r="Z201" s="736"/>
      <c r="AA201" s="13"/>
      <c r="AC201" s="749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O201" s="939"/>
    </row>
    <row r="202" spans="1:67" s="31" customFormat="1" x14ac:dyDescent="0.25">
      <c r="A202" s="100"/>
      <c r="B202" s="737" t="str">
        <f>C202</f>
        <v>TRABGS01</v>
      </c>
      <c r="C202" s="245" t="str">
        <f>CONCATENATE(F202,"01")</f>
        <v>TRABGS01</v>
      </c>
      <c r="D202" s="738" t="str">
        <f>REPLACE(D29,1,9,"Fuel Tech New")</f>
        <v>Fuel Tech New - Biogas (gaseous) (TRA)</v>
      </c>
      <c r="E202" s="324" t="str">
        <f>E29</f>
        <v>BFUSNG</v>
      </c>
      <c r="F202" s="739" t="str">
        <f>F29</f>
        <v>TRABGS</v>
      </c>
      <c r="G202" s="739"/>
      <c r="H202" s="739"/>
      <c r="I202" s="740"/>
      <c r="J202" s="741" t="s">
        <v>1064</v>
      </c>
      <c r="K202" s="741"/>
      <c r="L202" s="742">
        <v>1</v>
      </c>
      <c r="M202" s="742">
        <v>1</v>
      </c>
      <c r="N202" s="742">
        <v>1</v>
      </c>
      <c r="O202" s="742">
        <v>1</v>
      </c>
      <c r="P202" s="742">
        <v>1</v>
      </c>
      <c r="Q202" s="742">
        <v>1</v>
      </c>
      <c r="R202" s="742">
        <v>1</v>
      </c>
      <c r="S202" s="742">
        <v>1</v>
      </c>
      <c r="T202" s="742">
        <v>1</v>
      </c>
      <c r="U202" s="742">
        <v>1</v>
      </c>
      <c r="V202" s="742">
        <v>1</v>
      </c>
      <c r="W202" s="742">
        <v>1</v>
      </c>
      <c r="X202" s="742">
        <v>1</v>
      </c>
      <c r="Y202" s="742">
        <v>1</v>
      </c>
      <c r="Z202" s="742">
        <v>1</v>
      </c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O202" s="939"/>
    </row>
    <row r="203" spans="1:67" s="31" customFormat="1" x14ac:dyDescent="0.25">
      <c r="A203" s="13"/>
      <c r="B203" s="737" t="str">
        <f>B202</f>
        <v>TRABGS01</v>
      </c>
      <c r="C203" s="245"/>
      <c r="D203" s="743"/>
      <c r="E203" s="245"/>
      <c r="F203" s="739"/>
      <c r="G203" s="245"/>
      <c r="H203" s="744"/>
      <c r="I203" s="245"/>
      <c r="J203" s="745" t="s">
        <v>1097</v>
      </c>
      <c r="K203" s="745"/>
      <c r="L203" s="746">
        <f>$K$4</f>
        <v>2020</v>
      </c>
      <c r="M203" s="746">
        <f t="shared" ref="M203:Z203" si="193">$K$4</f>
        <v>2020</v>
      </c>
      <c r="N203" s="746">
        <f t="shared" si="193"/>
        <v>2020</v>
      </c>
      <c r="O203" s="746">
        <f t="shared" si="193"/>
        <v>2020</v>
      </c>
      <c r="P203" s="746">
        <f t="shared" si="193"/>
        <v>2020</v>
      </c>
      <c r="Q203" s="746">
        <f t="shared" si="193"/>
        <v>2020</v>
      </c>
      <c r="R203" s="746">
        <f t="shared" si="193"/>
        <v>2020</v>
      </c>
      <c r="S203" s="746">
        <f t="shared" si="193"/>
        <v>2020</v>
      </c>
      <c r="T203" s="746">
        <f t="shared" si="193"/>
        <v>2020</v>
      </c>
      <c r="U203" s="746">
        <f t="shared" si="193"/>
        <v>2020</v>
      </c>
      <c r="V203" s="746">
        <f t="shared" si="193"/>
        <v>2020</v>
      </c>
      <c r="W203" s="746">
        <f t="shared" si="193"/>
        <v>2020</v>
      </c>
      <c r="X203" s="746">
        <f t="shared" si="193"/>
        <v>2020</v>
      </c>
      <c r="Y203" s="746">
        <f t="shared" si="193"/>
        <v>2020</v>
      </c>
      <c r="Z203" s="746">
        <f t="shared" si="193"/>
        <v>2020</v>
      </c>
      <c r="AA203" s="748"/>
      <c r="AC203" s="13"/>
      <c r="BO203" s="939"/>
    </row>
    <row r="204" spans="1:67" s="31" customFormat="1" x14ac:dyDescent="0.25">
      <c r="A204" s="13"/>
      <c r="B204" s="747" t="str">
        <f>B202</f>
        <v>TRABGS01</v>
      </c>
      <c r="C204" s="250"/>
      <c r="D204" s="733"/>
      <c r="E204" s="250"/>
      <c r="F204" s="250"/>
      <c r="G204" s="250"/>
      <c r="H204" s="734"/>
      <c r="I204" s="250"/>
      <c r="J204" s="747" t="s">
        <v>1098</v>
      </c>
      <c r="K204" s="747" t="s">
        <v>1099</v>
      </c>
      <c r="L204" s="736"/>
      <c r="M204" s="736"/>
      <c r="N204" s="736"/>
      <c r="O204" s="736"/>
      <c r="P204" s="736"/>
      <c r="Q204" s="736"/>
      <c r="R204" s="736"/>
      <c r="S204" s="736"/>
      <c r="T204" s="736"/>
      <c r="U204" s="736"/>
      <c r="V204" s="736"/>
      <c r="W204" s="736"/>
      <c r="X204" s="736"/>
      <c r="Y204" s="736"/>
      <c r="Z204" s="736"/>
      <c r="AA204" s="13"/>
      <c r="AC204" s="749"/>
      <c r="AD204" s="13"/>
      <c r="BO204" s="939"/>
    </row>
    <row r="205" spans="1:67" s="13" customFormat="1" x14ac:dyDescent="0.25">
      <c r="A205" s="100"/>
      <c r="B205" s="737" t="str">
        <f>C205</f>
        <v>TRABGSLM01</v>
      </c>
      <c r="C205" s="245" t="str">
        <f>CONCATENATE(F205,"01")</f>
        <v>TRABGSLM01</v>
      </c>
      <c r="D205" s="738" t="str">
        <f>REPLACE(D35,1,9,"Fuel Tech New")</f>
        <v>Fuel Tech New - Bio-gasoline for low-blending (TRA)</v>
      </c>
      <c r="E205" s="324" t="str">
        <f>E35</f>
        <v>BFUGSL1, BFUGSL2, BFUGSL3, BFUGSL4, BFUGSLY</v>
      </c>
      <c r="F205" s="739" t="s">
        <v>996</v>
      </c>
      <c r="G205" s="739"/>
      <c r="H205" s="739"/>
      <c r="I205" s="740"/>
      <c r="J205" s="741" t="s">
        <v>1064</v>
      </c>
      <c r="K205" s="741"/>
      <c r="L205" s="742">
        <v>1</v>
      </c>
      <c r="M205" s="742">
        <v>1</v>
      </c>
      <c r="N205" s="742">
        <v>1</v>
      </c>
      <c r="O205" s="742">
        <v>1</v>
      </c>
      <c r="P205" s="742">
        <v>1</v>
      </c>
      <c r="Q205" s="742">
        <v>1</v>
      </c>
      <c r="R205" s="742">
        <v>1</v>
      </c>
      <c r="S205" s="742">
        <v>1</v>
      </c>
      <c r="T205" s="742">
        <v>1</v>
      </c>
      <c r="U205" s="742">
        <v>1</v>
      </c>
      <c r="V205" s="742">
        <v>1</v>
      </c>
      <c r="W205" s="742">
        <v>1</v>
      </c>
      <c r="X205" s="742">
        <v>1</v>
      </c>
      <c r="Y205" s="742">
        <v>1</v>
      </c>
      <c r="Z205" s="742">
        <v>1</v>
      </c>
      <c r="AA205" s="31"/>
      <c r="AB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939"/>
    </row>
    <row r="206" spans="1:67" s="13" customFormat="1" x14ac:dyDescent="0.25">
      <c r="B206" s="737" t="str">
        <f>B205</f>
        <v>TRABGSLM01</v>
      </c>
      <c r="C206" s="245"/>
      <c r="D206" s="743"/>
      <c r="E206" s="245"/>
      <c r="F206" s="739"/>
      <c r="G206" s="245"/>
      <c r="H206" s="744"/>
      <c r="I206" s="245"/>
      <c r="J206" s="745" t="s">
        <v>1097</v>
      </c>
      <c r="K206" s="745"/>
      <c r="L206" s="746">
        <f>$K$4</f>
        <v>2020</v>
      </c>
      <c r="M206" s="746">
        <f t="shared" ref="M206:Z206" si="194">$K$4</f>
        <v>2020</v>
      </c>
      <c r="N206" s="746">
        <f t="shared" si="194"/>
        <v>2020</v>
      </c>
      <c r="O206" s="746">
        <f t="shared" si="194"/>
        <v>2020</v>
      </c>
      <c r="P206" s="746">
        <f t="shared" si="194"/>
        <v>2020</v>
      </c>
      <c r="Q206" s="746">
        <f t="shared" si="194"/>
        <v>2020</v>
      </c>
      <c r="R206" s="746">
        <f t="shared" si="194"/>
        <v>2020</v>
      </c>
      <c r="S206" s="746">
        <f t="shared" si="194"/>
        <v>2020</v>
      </c>
      <c r="T206" s="746">
        <f t="shared" si="194"/>
        <v>2020</v>
      </c>
      <c r="U206" s="746">
        <f t="shared" si="194"/>
        <v>2020</v>
      </c>
      <c r="V206" s="746">
        <f t="shared" si="194"/>
        <v>2020</v>
      </c>
      <c r="W206" s="746">
        <f t="shared" si="194"/>
        <v>2020</v>
      </c>
      <c r="X206" s="746">
        <f t="shared" si="194"/>
        <v>2020</v>
      </c>
      <c r="Y206" s="746">
        <f t="shared" si="194"/>
        <v>2020</v>
      </c>
      <c r="Z206" s="746">
        <f t="shared" si="194"/>
        <v>2020</v>
      </c>
      <c r="AA206" s="748"/>
      <c r="AB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O206" s="939"/>
    </row>
    <row r="207" spans="1:67" s="13" customFormat="1" x14ac:dyDescent="0.25">
      <c r="B207" s="747" t="str">
        <f>B205</f>
        <v>TRABGSLM01</v>
      </c>
      <c r="C207" s="250"/>
      <c r="D207" s="733"/>
      <c r="E207" s="250"/>
      <c r="F207" s="250"/>
      <c r="G207" s="250"/>
      <c r="H207" s="734"/>
      <c r="I207" s="250"/>
      <c r="J207" s="747" t="s">
        <v>1098</v>
      </c>
      <c r="K207" s="747" t="s">
        <v>1099</v>
      </c>
      <c r="L207" s="736"/>
      <c r="M207" s="736"/>
      <c r="N207" s="736"/>
      <c r="O207" s="736"/>
      <c r="P207" s="736"/>
      <c r="Q207" s="736"/>
      <c r="R207" s="736"/>
      <c r="S207" s="736"/>
      <c r="T207" s="736"/>
      <c r="U207" s="736"/>
      <c r="V207" s="736"/>
      <c r="W207" s="736"/>
      <c r="X207" s="736"/>
      <c r="Y207" s="736"/>
      <c r="Z207" s="736"/>
      <c r="AB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O207" s="939"/>
    </row>
    <row r="208" spans="1:67" s="13" customFormat="1" x14ac:dyDescent="0.25">
      <c r="A208" s="100"/>
      <c r="B208" s="737" t="str">
        <f>C208</f>
        <v>TRABJF01</v>
      </c>
      <c r="C208" s="245" t="str">
        <f>CONCATENATE(F208,"01")</f>
        <v>TRABJF01</v>
      </c>
      <c r="D208" s="738" t="str">
        <f>REPLACE(D41,1,9,"Fuel Tech New")</f>
        <v>Fuel Tech New - Bio Jet Fuel (TRA)</v>
      </c>
      <c r="E208" s="324" t="str">
        <f>E41</f>
        <v>BFUBJF</v>
      </c>
      <c r="F208" s="739" t="str">
        <f>F41</f>
        <v>TRABJF</v>
      </c>
      <c r="G208" s="739"/>
      <c r="H208" s="739"/>
      <c r="I208" s="740"/>
      <c r="J208" s="741" t="s">
        <v>1064</v>
      </c>
      <c r="K208" s="741"/>
      <c r="L208" s="742">
        <v>1</v>
      </c>
      <c r="M208" s="742">
        <v>1</v>
      </c>
      <c r="N208" s="742">
        <v>1</v>
      </c>
      <c r="O208" s="742">
        <v>1</v>
      </c>
      <c r="P208" s="742">
        <v>1</v>
      </c>
      <c r="Q208" s="742">
        <v>1</v>
      </c>
      <c r="R208" s="742">
        <v>1</v>
      </c>
      <c r="S208" s="742">
        <v>1</v>
      </c>
      <c r="T208" s="742">
        <v>1</v>
      </c>
      <c r="U208" s="742">
        <v>1</v>
      </c>
      <c r="V208" s="742">
        <v>1</v>
      </c>
      <c r="W208" s="742">
        <v>1</v>
      </c>
      <c r="X208" s="742">
        <v>1</v>
      </c>
      <c r="Y208" s="742">
        <v>1</v>
      </c>
      <c r="Z208" s="742">
        <v>1</v>
      </c>
      <c r="AA208" s="31"/>
      <c r="AB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O208" s="939"/>
    </row>
    <row r="209" spans="1:67" s="13" customFormat="1" x14ac:dyDescent="0.25">
      <c r="B209" s="737" t="str">
        <f>B208</f>
        <v>TRABJF01</v>
      </c>
      <c r="C209" s="245"/>
      <c r="D209" s="743"/>
      <c r="E209" s="245"/>
      <c r="F209" s="739"/>
      <c r="G209" s="245"/>
      <c r="H209" s="744"/>
      <c r="I209" s="245"/>
      <c r="J209" s="745" t="s">
        <v>1097</v>
      </c>
      <c r="K209" s="745"/>
      <c r="L209" s="746">
        <f>$K$4</f>
        <v>2020</v>
      </c>
      <c r="M209" s="746">
        <f t="shared" ref="M209:Z209" si="195">$K$4</f>
        <v>2020</v>
      </c>
      <c r="N209" s="746">
        <f t="shared" si="195"/>
        <v>2020</v>
      </c>
      <c r="O209" s="746">
        <f t="shared" si="195"/>
        <v>2020</v>
      </c>
      <c r="P209" s="746">
        <f t="shared" si="195"/>
        <v>2020</v>
      </c>
      <c r="Q209" s="746">
        <f t="shared" si="195"/>
        <v>2020</v>
      </c>
      <c r="R209" s="746">
        <f t="shared" si="195"/>
        <v>2020</v>
      </c>
      <c r="S209" s="746">
        <f t="shared" si="195"/>
        <v>2020</v>
      </c>
      <c r="T209" s="746">
        <f t="shared" si="195"/>
        <v>2020</v>
      </c>
      <c r="U209" s="746">
        <f t="shared" si="195"/>
        <v>2020</v>
      </c>
      <c r="V209" s="746">
        <f t="shared" si="195"/>
        <v>2020</v>
      </c>
      <c r="W209" s="746">
        <f t="shared" si="195"/>
        <v>2020</v>
      </c>
      <c r="X209" s="746">
        <f t="shared" si="195"/>
        <v>2020</v>
      </c>
      <c r="Y209" s="746">
        <f t="shared" si="195"/>
        <v>2020</v>
      </c>
      <c r="Z209" s="746">
        <f t="shared" si="195"/>
        <v>2020</v>
      </c>
      <c r="AA209" s="748"/>
      <c r="AB209" s="31"/>
      <c r="BO209" s="939"/>
    </row>
    <row r="210" spans="1:67" s="13" customFormat="1" x14ac:dyDescent="0.25">
      <c r="B210" s="747" t="str">
        <f>B208</f>
        <v>TRABJF01</v>
      </c>
      <c r="C210" s="250"/>
      <c r="D210" s="733"/>
      <c r="E210" s="250"/>
      <c r="F210" s="250"/>
      <c r="G210" s="250"/>
      <c r="H210" s="734"/>
      <c r="I210" s="250"/>
      <c r="J210" s="747" t="s">
        <v>1098</v>
      </c>
      <c r="K210" s="747" t="s">
        <v>1099</v>
      </c>
      <c r="L210" s="736"/>
      <c r="M210" s="736"/>
      <c r="N210" s="736"/>
      <c r="O210" s="736"/>
      <c r="P210" s="736"/>
      <c r="Q210" s="736"/>
      <c r="R210" s="736"/>
      <c r="S210" s="736"/>
      <c r="T210" s="736"/>
      <c r="U210" s="736"/>
      <c r="V210" s="736"/>
      <c r="W210" s="736"/>
      <c r="X210" s="736"/>
      <c r="Y210" s="736"/>
      <c r="Z210" s="736"/>
      <c r="AB210" s="31"/>
      <c r="BO210" s="939"/>
    </row>
    <row r="211" spans="1:67" s="13" customFormat="1" x14ac:dyDescent="0.25">
      <c r="A211" s="100"/>
      <c r="B211" s="737" t="str">
        <f>C211</f>
        <v>TRADME01</v>
      </c>
      <c r="C211" s="245" t="s">
        <v>925</v>
      </c>
      <c r="D211" s="738" t="str">
        <f>REPLACE(D47,1,9,"Fuel Tech New")</f>
        <v>Fuel Tech New - Dimethyle Ether (TRA)</v>
      </c>
      <c r="E211" s="324" t="s">
        <v>1073</v>
      </c>
      <c r="F211" s="739" t="s">
        <v>1000</v>
      </c>
      <c r="G211" s="739"/>
      <c r="H211" s="739"/>
      <c r="I211" s="740"/>
      <c r="J211" s="741" t="s">
        <v>1064</v>
      </c>
      <c r="K211" s="741"/>
      <c r="L211" s="742">
        <v>1</v>
      </c>
      <c r="M211" s="742">
        <v>1</v>
      </c>
      <c r="N211" s="742">
        <v>1</v>
      </c>
      <c r="O211" s="742">
        <v>1</v>
      </c>
      <c r="P211" s="742">
        <v>1</v>
      </c>
      <c r="Q211" s="742">
        <v>1</v>
      </c>
      <c r="R211" s="742">
        <v>1</v>
      </c>
      <c r="S211" s="742">
        <v>1</v>
      </c>
      <c r="T211" s="742">
        <v>1</v>
      </c>
      <c r="U211" s="742">
        <v>1</v>
      </c>
      <c r="V211" s="742">
        <v>1</v>
      </c>
      <c r="W211" s="742">
        <v>1</v>
      </c>
      <c r="X211" s="742">
        <v>1</v>
      </c>
      <c r="Y211" s="742">
        <v>1</v>
      </c>
      <c r="Z211" s="742">
        <v>1</v>
      </c>
      <c r="AB211" s="31"/>
      <c r="BO211" s="939"/>
    </row>
    <row r="212" spans="1:67" s="13" customFormat="1" x14ac:dyDescent="0.25">
      <c r="B212" s="245" t="str">
        <f>B211</f>
        <v>TRADME01</v>
      </c>
      <c r="C212" s="245"/>
      <c r="D212" s="743"/>
      <c r="E212" s="245"/>
      <c r="F212" s="739"/>
      <c r="G212" s="245"/>
      <c r="H212" s="744"/>
      <c r="I212" s="245"/>
      <c r="J212" s="745" t="s">
        <v>1097</v>
      </c>
      <c r="K212" s="745"/>
      <c r="L212" s="746">
        <f>$K$4</f>
        <v>2020</v>
      </c>
      <c r="M212" s="746">
        <f t="shared" ref="M212:Z212" si="196">$K$4</f>
        <v>2020</v>
      </c>
      <c r="N212" s="746">
        <f t="shared" si="196"/>
        <v>2020</v>
      </c>
      <c r="O212" s="746">
        <f t="shared" si="196"/>
        <v>2020</v>
      </c>
      <c r="P212" s="746">
        <f t="shared" si="196"/>
        <v>2020</v>
      </c>
      <c r="Q212" s="746">
        <f t="shared" si="196"/>
        <v>2020</v>
      </c>
      <c r="R212" s="746">
        <f t="shared" si="196"/>
        <v>2020</v>
      </c>
      <c r="S212" s="746">
        <f t="shared" si="196"/>
        <v>2020</v>
      </c>
      <c r="T212" s="746">
        <f t="shared" si="196"/>
        <v>2020</v>
      </c>
      <c r="U212" s="746">
        <f t="shared" si="196"/>
        <v>2020</v>
      </c>
      <c r="V212" s="746">
        <f t="shared" si="196"/>
        <v>2020</v>
      </c>
      <c r="W212" s="746">
        <f t="shared" si="196"/>
        <v>2020</v>
      </c>
      <c r="X212" s="746">
        <f t="shared" si="196"/>
        <v>2020</v>
      </c>
      <c r="Y212" s="746">
        <f t="shared" si="196"/>
        <v>2020</v>
      </c>
      <c r="Z212" s="746">
        <f t="shared" si="196"/>
        <v>2020</v>
      </c>
      <c r="AB212" s="31"/>
      <c r="BO212" s="939"/>
    </row>
    <row r="213" spans="1:67" s="13" customFormat="1" x14ac:dyDescent="0.25">
      <c r="B213" s="250" t="str">
        <f>B211</f>
        <v>TRADME01</v>
      </c>
      <c r="C213" s="250"/>
      <c r="D213" s="733"/>
      <c r="E213" s="250"/>
      <c r="F213" s="250"/>
      <c r="G213" s="250"/>
      <c r="H213" s="734"/>
      <c r="I213" s="250"/>
      <c r="J213" s="735" t="s">
        <v>1098</v>
      </c>
      <c r="K213" s="735" t="s">
        <v>1099</v>
      </c>
      <c r="L213" s="736"/>
      <c r="M213" s="736"/>
      <c r="N213" s="736"/>
      <c r="O213" s="736"/>
      <c r="P213" s="736"/>
      <c r="Q213" s="736"/>
      <c r="R213" s="736"/>
      <c r="S213" s="736"/>
      <c r="T213" s="736"/>
      <c r="U213" s="736"/>
      <c r="V213" s="736"/>
      <c r="W213" s="736"/>
      <c r="X213" s="736"/>
      <c r="Y213" s="736"/>
      <c r="Z213" s="736"/>
      <c r="AB213" s="31"/>
      <c r="BO213" s="939"/>
    </row>
    <row r="214" spans="1:67" s="13" customFormat="1" x14ac:dyDescent="0.25">
      <c r="A214" s="100"/>
      <c r="B214" s="737" t="str">
        <f>C214</f>
        <v>TRAETH01</v>
      </c>
      <c r="C214" s="245" t="str">
        <f>CONCATENATE(F214,"01")</f>
        <v>TRAETH01</v>
      </c>
      <c r="D214" s="738" t="str">
        <f>REPLACE(D53,1,9,"Fuel Tech New")</f>
        <v>Fuel Tech New - Ethanol (TRA)</v>
      </c>
      <c r="E214" s="324" t="str">
        <f>E53</f>
        <v>BFUETH1, BFUETH2, BFUETH3, BFUETHY</v>
      </c>
      <c r="F214" s="739" t="str">
        <f>F53</f>
        <v>TRAETH</v>
      </c>
      <c r="G214" s="739"/>
      <c r="H214" s="739"/>
      <c r="I214" s="740"/>
      <c r="J214" s="741" t="s">
        <v>1064</v>
      </c>
      <c r="K214" s="741"/>
      <c r="L214" s="742">
        <v>1</v>
      </c>
      <c r="M214" s="742">
        <v>1</v>
      </c>
      <c r="N214" s="742">
        <v>1</v>
      </c>
      <c r="O214" s="742">
        <v>1</v>
      </c>
      <c r="P214" s="742">
        <v>1</v>
      </c>
      <c r="Q214" s="742">
        <v>1</v>
      </c>
      <c r="R214" s="742">
        <v>1</v>
      </c>
      <c r="S214" s="742">
        <v>1</v>
      </c>
      <c r="T214" s="742">
        <v>1</v>
      </c>
      <c r="U214" s="742">
        <v>1</v>
      </c>
      <c r="V214" s="742">
        <v>1</v>
      </c>
      <c r="W214" s="742">
        <v>1</v>
      </c>
      <c r="X214" s="742">
        <v>1</v>
      </c>
      <c r="Y214" s="742">
        <v>1</v>
      </c>
      <c r="Z214" s="742">
        <v>1</v>
      </c>
      <c r="AB214" s="31"/>
      <c r="BO214" s="939"/>
    </row>
    <row r="215" spans="1:67" s="13" customFormat="1" x14ac:dyDescent="0.25">
      <c r="B215" s="245" t="str">
        <f>B214</f>
        <v>TRAETH01</v>
      </c>
      <c r="C215" s="245"/>
      <c r="D215" s="743"/>
      <c r="E215" s="245"/>
      <c r="F215" s="739"/>
      <c r="G215" s="245"/>
      <c r="H215" s="744"/>
      <c r="I215" s="245"/>
      <c r="J215" s="745" t="s">
        <v>1097</v>
      </c>
      <c r="K215" s="745"/>
      <c r="L215" s="746">
        <f>$K$4</f>
        <v>2020</v>
      </c>
      <c r="M215" s="746">
        <f t="shared" ref="M215:Z215" si="197">$K$4</f>
        <v>2020</v>
      </c>
      <c r="N215" s="746">
        <f t="shared" si="197"/>
        <v>2020</v>
      </c>
      <c r="O215" s="746">
        <f t="shared" si="197"/>
        <v>2020</v>
      </c>
      <c r="P215" s="746">
        <f t="shared" si="197"/>
        <v>2020</v>
      </c>
      <c r="Q215" s="746">
        <f t="shared" si="197"/>
        <v>2020</v>
      </c>
      <c r="R215" s="746">
        <f t="shared" si="197"/>
        <v>2020</v>
      </c>
      <c r="S215" s="746">
        <f t="shared" si="197"/>
        <v>2020</v>
      </c>
      <c r="T215" s="746">
        <f t="shared" si="197"/>
        <v>2020</v>
      </c>
      <c r="U215" s="746">
        <f t="shared" si="197"/>
        <v>2020</v>
      </c>
      <c r="V215" s="746">
        <f t="shared" si="197"/>
        <v>2020</v>
      </c>
      <c r="W215" s="746">
        <f t="shared" si="197"/>
        <v>2020</v>
      </c>
      <c r="X215" s="746">
        <f t="shared" si="197"/>
        <v>2020</v>
      </c>
      <c r="Y215" s="746">
        <f t="shared" si="197"/>
        <v>2020</v>
      </c>
      <c r="Z215" s="746">
        <f t="shared" si="197"/>
        <v>2020</v>
      </c>
      <c r="BO215" s="939"/>
    </row>
    <row r="216" spans="1:67" s="13" customFormat="1" x14ac:dyDescent="0.25">
      <c r="B216" s="250" t="str">
        <f>B214</f>
        <v>TRAETH01</v>
      </c>
      <c r="C216" s="250"/>
      <c r="D216" s="733"/>
      <c r="E216" s="250"/>
      <c r="F216" s="250"/>
      <c r="G216" s="250"/>
      <c r="H216" s="734"/>
      <c r="I216" s="250"/>
      <c r="J216" s="735" t="s">
        <v>1098</v>
      </c>
      <c r="K216" s="735" t="s">
        <v>1099</v>
      </c>
      <c r="L216" s="736"/>
      <c r="M216" s="736"/>
      <c r="N216" s="736"/>
      <c r="O216" s="736"/>
      <c r="P216" s="736"/>
      <c r="Q216" s="736"/>
      <c r="R216" s="736"/>
      <c r="S216" s="736"/>
      <c r="T216" s="736"/>
      <c r="U216" s="736"/>
      <c r="V216" s="736"/>
      <c r="W216" s="736"/>
      <c r="X216" s="736"/>
      <c r="Y216" s="736"/>
      <c r="Z216" s="736"/>
      <c r="BO216" s="939"/>
    </row>
    <row r="217" spans="1:67" s="13" customFormat="1" x14ac:dyDescent="0.25">
      <c r="A217" s="100"/>
      <c r="B217" s="737" t="str">
        <f>C217</f>
        <v>TRAETHM01</v>
      </c>
      <c r="C217" s="245" t="str">
        <f>CONCATENATE(F217,"01")</f>
        <v>TRAETHM01</v>
      </c>
      <c r="D217" s="738" t="str">
        <f>REPLACE(D59,1,9,"Fuel Tech New")</f>
        <v>Fuel Tech New - Ethanol for blending with GSL (TRA)</v>
      </c>
      <c r="E217" s="324" t="str">
        <f>E214</f>
        <v>BFUETH1, BFUETH2, BFUETH3, BFUETHY</v>
      </c>
      <c r="F217" s="739" t="s">
        <v>1012</v>
      </c>
      <c r="G217" s="739"/>
      <c r="H217" s="739"/>
      <c r="I217" s="740"/>
      <c r="J217" s="741" t="s">
        <v>1064</v>
      </c>
      <c r="K217" s="741"/>
      <c r="L217" s="742">
        <v>1</v>
      </c>
      <c r="M217" s="742">
        <v>1</v>
      </c>
      <c r="N217" s="742">
        <v>1</v>
      </c>
      <c r="O217" s="742">
        <v>1</v>
      </c>
      <c r="P217" s="742">
        <v>1</v>
      </c>
      <c r="Q217" s="742">
        <v>1</v>
      </c>
      <c r="R217" s="742">
        <v>1</v>
      </c>
      <c r="S217" s="742">
        <v>1</v>
      </c>
      <c r="T217" s="742">
        <v>1</v>
      </c>
      <c r="U217" s="742">
        <v>1</v>
      </c>
      <c r="V217" s="742">
        <v>1</v>
      </c>
      <c r="W217" s="742">
        <v>1</v>
      </c>
      <c r="X217" s="742">
        <v>1</v>
      </c>
      <c r="Y217" s="742">
        <v>1</v>
      </c>
      <c r="Z217" s="742">
        <v>1</v>
      </c>
      <c r="AB217" s="31"/>
      <c r="BO217" s="939"/>
    </row>
    <row r="218" spans="1:67" s="13" customFormat="1" x14ac:dyDescent="0.25">
      <c r="B218" s="245" t="str">
        <f>B217</f>
        <v>TRAETHM01</v>
      </c>
      <c r="C218" s="245"/>
      <c r="D218" s="743"/>
      <c r="E218" s="245"/>
      <c r="F218" s="739"/>
      <c r="G218" s="245"/>
      <c r="H218" s="744"/>
      <c r="I218" s="245"/>
      <c r="J218" s="745" t="s">
        <v>1097</v>
      </c>
      <c r="K218" s="745"/>
      <c r="L218" s="746">
        <f>$K$4</f>
        <v>2020</v>
      </c>
      <c r="M218" s="746">
        <f t="shared" ref="M218:Z218" si="198">$K$4</f>
        <v>2020</v>
      </c>
      <c r="N218" s="746">
        <f t="shared" si="198"/>
        <v>2020</v>
      </c>
      <c r="O218" s="746">
        <f t="shared" si="198"/>
        <v>2020</v>
      </c>
      <c r="P218" s="746">
        <f t="shared" si="198"/>
        <v>2020</v>
      </c>
      <c r="Q218" s="746">
        <f t="shared" si="198"/>
        <v>2020</v>
      </c>
      <c r="R218" s="746">
        <f t="shared" si="198"/>
        <v>2020</v>
      </c>
      <c r="S218" s="746">
        <f t="shared" si="198"/>
        <v>2020</v>
      </c>
      <c r="T218" s="746">
        <f t="shared" si="198"/>
        <v>2020</v>
      </c>
      <c r="U218" s="746">
        <f t="shared" si="198"/>
        <v>2020</v>
      </c>
      <c r="V218" s="746">
        <f t="shared" si="198"/>
        <v>2020</v>
      </c>
      <c r="W218" s="746">
        <f t="shared" si="198"/>
        <v>2020</v>
      </c>
      <c r="X218" s="746">
        <f t="shared" si="198"/>
        <v>2020</v>
      </c>
      <c r="Y218" s="746">
        <f t="shared" si="198"/>
        <v>2020</v>
      </c>
      <c r="Z218" s="746">
        <f t="shared" si="198"/>
        <v>2020</v>
      </c>
      <c r="AB218" s="31"/>
      <c r="BO218" s="939"/>
    </row>
    <row r="219" spans="1:67" s="13" customFormat="1" x14ac:dyDescent="0.25">
      <c r="B219" s="250" t="str">
        <f>B217</f>
        <v>TRAETHM01</v>
      </c>
      <c r="C219" s="250"/>
      <c r="D219" s="733"/>
      <c r="E219" s="250"/>
      <c r="F219" s="250"/>
      <c r="G219" s="250"/>
      <c r="H219" s="734"/>
      <c r="I219" s="250"/>
      <c r="J219" s="735" t="s">
        <v>1098</v>
      </c>
      <c r="K219" s="735" t="s">
        <v>1099</v>
      </c>
      <c r="L219" s="736"/>
      <c r="M219" s="736"/>
      <c r="N219" s="736"/>
      <c r="O219" s="736"/>
      <c r="P219" s="736"/>
      <c r="Q219" s="736"/>
      <c r="R219" s="736"/>
      <c r="S219" s="736"/>
      <c r="T219" s="736"/>
      <c r="U219" s="736"/>
      <c r="V219" s="736"/>
      <c r="W219" s="736"/>
      <c r="X219" s="736"/>
      <c r="Y219" s="736"/>
      <c r="Z219" s="736"/>
      <c r="AB219" s="31"/>
      <c r="BO219" s="939"/>
    </row>
    <row r="220" spans="1:67" s="13" customFormat="1" x14ac:dyDescent="0.25">
      <c r="A220" s="100"/>
      <c r="B220" s="737" t="str">
        <f>C220</f>
        <v>TRAH2G01</v>
      </c>
      <c r="C220" s="245" t="str">
        <f>CONCATENATE(F220,"01")</f>
        <v>TRAH2G01</v>
      </c>
      <c r="D220" s="738" t="str">
        <f>REPLACE(D65,1,9,"Fuel Tech New")</f>
        <v>Fuel Tech New - H2 (gaseous) (TRA)</v>
      </c>
      <c r="E220" s="324" t="s">
        <v>1083</v>
      </c>
      <c r="F220" s="739" t="str">
        <f>F65</f>
        <v>TRAH2G</v>
      </c>
      <c r="G220" s="739"/>
      <c r="H220" s="739"/>
      <c r="I220" s="740"/>
      <c r="J220" s="741" t="s">
        <v>1064</v>
      </c>
      <c r="K220" s="741"/>
      <c r="L220" s="742">
        <v>1</v>
      </c>
      <c r="M220" s="742">
        <v>1</v>
      </c>
      <c r="N220" s="742">
        <v>1</v>
      </c>
      <c r="O220" s="742">
        <v>1</v>
      </c>
      <c r="P220" s="742">
        <v>1</v>
      </c>
      <c r="Q220" s="742">
        <v>1</v>
      </c>
      <c r="R220" s="742">
        <v>1</v>
      </c>
      <c r="S220" s="742">
        <v>1</v>
      </c>
      <c r="T220" s="742">
        <v>1</v>
      </c>
      <c r="U220" s="742">
        <v>1</v>
      </c>
      <c r="V220" s="742">
        <v>1</v>
      </c>
      <c r="W220" s="742">
        <v>1</v>
      </c>
      <c r="X220" s="742">
        <v>1</v>
      </c>
      <c r="Y220" s="742">
        <v>1</v>
      </c>
      <c r="Z220" s="742">
        <v>1</v>
      </c>
      <c r="AB220" s="31"/>
      <c r="BO220" s="939"/>
    </row>
    <row r="221" spans="1:67" s="13" customFormat="1" x14ac:dyDescent="0.25">
      <c r="B221" s="245" t="str">
        <f>B220</f>
        <v>TRAH2G01</v>
      </c>
      <c r="C221" s="245"/>
      <c r="D221" s="743"/>
      <c r="E221" s="245"/>
      <c r="F221" s="245"/>
      <c r="G221" s="245"/>
      <c r="H221" s="744"/>
      <c r="I221" s="245"/>
      <c r="J221" s="745" t="s">
        <v>1097</v>
      </c>
      <c r="K221" s="745"/>
      <c r="L221" s="746">
        <f>$K$4</f>
        <v>2020</v>
      </c>
      <c r="M221" s="746">
        <f t="shared" ref="M221:Z221" si="199">$K$4</f>
        <v>2020</v>
      </c>
      <c r="N221" s="746">
        <f t="shared" si="199"/>
        <v>2020</v>
      </c>
      <c r="O221" s="746">
        <f t="shared" si="199"/>
        <v>2020</v>
      </c>
      <c r="P221" s="746">
        <f t="shared" si="199"/>
        <v>2020</v>
      </c>
      <c r="Q221" s="746">
        <f t="shared" si="199"/>
        <v>2020</v>
      </c>
      <c r="R221" s="746">
        <f t="shared" si="199"/>
        <v>2020</v>
      </c>
      <c r="S221" s="746">
        <f t="shared" si="199"/>
        <v>2020</v>
      </c>
      <c r="T221" s="746">
        <f t="shared" si="199"/>
        <v>2020</v>
      </c>
      <c r="U221" s="746">
        <f t="shared" si="199"/>
        <v>2020</v>
      </c>
      <c r="V221" s="746">
        <f t="shared" si="199"/>
        <v>2020</v>
      </c>
      <c r="W221" s="746">
        <f t="shared" si="199"/>
        <v>2020</v>
      </c>
      <c r="X221" s="746">
        <f t="shared" si="199"/>
        <v>2020</v>
      </c>
      <c r="Y221" s="746">
        <f t="shared" si="199"/>
        <v>2020</v>
      </c>
      <c r="Z221" s="746">
        <f t="shared" si="199"/>
        <v>2020</v>
      </c>
      <c r="AB221" s="31"/>
      <c r="BO221" s="939"/>
    </row>
    <row r="222" spans="1:67" s="13" customFormat="1" x14ac:dyDescent="0.25">
      <c r="B222" s="250" t="str">
        <f>B220</f>
        <v>TRAH2G01</v>
      </c>
      <c r="C222" s="250"/>
      <c r="D222" s="733"/>
      <c r="E222" s="250"/>
      <c r="F222" s="250"/>
      <c r="G222" s="250"/>
      <c r="H222" s="734"/>
      <c r="I222" s="250"/>
      <c r="J222" s="735" t="s">
        <v>1098</v>
      </c>
      <c r="K222" s="735" t="s">
        <v>1099</v>
      </c>
      <c r="L222" s="736"/>
      <c r="M222" s="736"/>
      <c r="N222" s="736"/>
      <c r="O222" s="736"/>
      <c r="P222" s="736"/>
      <c r="Q222" s="736"/>
      <c r="R222" s="736"/>
      <c r="S222" s="736"/>
      <c r="T222" s="736"/>
      <c r="U222" s="736"/>
      <c r="V222" s="736"/>
      <c r="W222" s="736"/>
      <c r="X222" s="736"/>
      <c r="Y222" s="736"/>
      <c r="Z222" s="736"/>
      <c r="AB222" s="31"/>
      <c r="BO222" s="939"/>
    </row>
    <row r="223" spans="1:67" s="13" customFormat="1" x14ac:dyDescent="0.25">
      <c r="A223" s="100"/>
      <c r="B223" s="737" t="str">
        <f>C223</f>
        <v>TRANGS01</v>
      </c>
      <c r="C223" s="245" t="str">
        <f>CONCATENATE(F223,"01")</f>
        <v>TRANGS01</v>
      </c>
      <c r="D223" s="738" t="str">
        <f>REPLACE(D71,1,9,"Fuel Tech New")</f>
        <v>Fuel Tech New - Natural Gas (TRA)</v>
      </c>
      <c r="E223" s="324" t="str">
        <f>E71</f>
        <v>GASNAT</v>
      </c>
      <c r="F223" s="739" t="str">
        <f>F71</f>
        <v>TRANGS</v>
      </c>
      <c r="G223" s="739"/>
      <c r="H223" s="739"/>
      <c r="I223" s="740"/>
      <c r="J223" s="741" t="s">
        <v>1064</v>
      </c>
      <c r="K223" s="741"/>
      <c r="L223" s="742">
        <v>1</v>
      </c>
      <c r="M223" s="742">
        <v>1</v>
      </c>
      <c r="N223" s="742">
        <v>1</v>
      </c>
      <c r="O223" s="742">
        <v>1</v>
      </c>
      <c r="P223" s="742">
        <v>1</v>
      </c>
      <c r="Q223" s="742">
        <v>1</v>
      </c>
      <c r="R223" s="742">
        <v>1</v>
      </c>
      <c r="S223" s="742">
        <v>1</v>
      </c>
      <c r="T223" s="742">
        <v>1</v>
      </c>
      <c r="U223" s="742">
        <v>1</v>
      </c>
      <c r="V223" s="742">
        <v>1</v>
      </c>
      <c r="W223" s="742">
        <v>1</v>
      </c>
      <c r="X223" s="742">
        <v>1</v>
      </c>
      <c r="Y223" s="742">
        <v>1</v>
      </c>
      <c r="Z223" s="742">
        <v>1</v>
      </c>
      <c r="AB223" s="31"/>
      <c r="BO223" s="939"/>
    </row>
    <row r="224" spans="1:67" s="13" customFormat="1" x14ac:dyDescent="0.25">
      <c r="B224" s="245" t="str">
        <f>B223</f>
        <v>TRANGS01</v>
      </c>
      <c r="C224" s="245"/>
      <c r="D224" s="743"/>
      <c r="E224" s="245"/>
      <c r="F224" s="245"/>
      <c r="G224" s="245"/>
      <c r="H224" s="744"/>
      <c r="I224" s="245"/>
      <c r="J224" s="745" t="s">
        <v>1097</v>
      </c>
      <c r="K224" s="745"/>
      <c r="L224" s="746">
        <f>$K$4</f>
        <v>2020</v>
      </c>
      <c r="M224" s="746">
        <f t="shared" ref="M224:Z224" si="200">$K$4</f>
        <v>2020</v>
      </c>
      <c r="N224" s="746">
        <f t="shared" si="200"/>
        <v>2020</v>
      </c>
      <c r="O224" s="746">
        <f t="shared" si="200"/>
        <v>2020</v>
      </c>
      <c r="P224" s="746">
        <f t="shared" si="200"/>
        <v>2020</v>
      </c>
      <c r="Q224" s="746">
        <f t="shared" si="200"/>
        <v>2020</v>
      </c>
      <c r="R224" s="746">
        <f t="shared" si="200"/>
        <v>2020</v>
      </c>
      <c r="S224" s="746">
        <f t="shared" si="200"/>
        <v>2020</v>
      </c>
      <c r="T224" s="746">
        <f t="shared" si="200"/>
        <v>2020</v>
      </c>
      <c r="U224" s="746">
        <f t="shared" si="200"/>
        <v>2020</v>
      </c>
      <c r="V224" s="746">
        <f t="shared" si="200"/>
        <v>2020</v>
      </c>
      <c r="W224" s="746">
        <f t="shared" si="200"/>
        <v>2020</v>
      </c>
      <c r="X224" s="746">
        <f t="shared" si="200"/>
        <v>2020</v>
      </c>
      <c r="Y224" s="746">
        <f t="shared" si="200"/>
        <v>2020</v>
      </c>
      <c r="Z224" s="746">
        <f t="shared" si="200"/>
        <v>2020</v>
      </c>
      <c r="AB224" s="31"/>
      <c r="BO224" s="939"/>
    </row>
    <row r="225" spans="1:67" s="13" customFormat="1" x14ac:dyDescent="0.25">
      <c r="B225" s="250" t="str">
        <f>B223</f>
        <v>TRANGS01</v>
      </c>
      <c r="C225" s="250"/>
      <c r="D225" s="733"/>
      <c r="E225" s="250"/>
      <c r="F225" s="250"/>
      <c r="G225" s="250"/>
      <c r="H225" s="734"/>
      <c r="I225" s="250"/>
      <c r="J225" s="735" t="s">
        <v>1098</v>
      </c>
      <c r="K225" s="735" t="s">
        <v>1099</v>
      </c>
      <c r="L225" s="736"/>
      <c r="M225" s="736"/>
      <c r="N225" s="736"/>
      <c r="O225" s="736"/>
      <c r="P225" s="736"/>
      <c r="Q225" s="736"/>
      <c r="R225" s="736"/>
      <c r="S225" s="736"/>
      <c r="T225" s="736"/>
      <c r="U225" s="736"/>
      <c r="V225" s="736"/>
      <c r="W225" s="736"/>
      <c r="X225" s="736"/>
      <c r="Y225" s="736"/>
      <c r="Z225" s="736"/>
      <c r="AB225" s="31"/>
      <c r="BO225" s="939"/>
    </row>
    <row r="226" spans="1:67" s="13" customFormat="1" x14ac:dyDescent="0.25">
      <c r="A226" s="100"/>
      <c r="B226" s="737" t="str">
        <f>C226</f>
        <v>TRAHUM01</v>
      </c>
      <c r="C226" s="245" t="str">
        <f>CONCATENATE(F226,"01")</f>
        <v>TRAHUM01</v>
      </c>
      <c r="D226" s="738" t="str">
        <f>REPLACE(D77,1,9,"Fuel Tech New")</f>
        <v>Fuel Tech New - Human power</v>
      </c>
      <c r="E226" s="324" t="str">
        <f>E77</f>
        <v>HUMPOW</v>
      </c>
      <c r="F226" s="739" t="str">
        <f>F77</f>
        <v>TRAHUM</v>
      </c>
      <c r="G226" s="739"/>
      <c r="H226" s="739"/>
      <c r="I226" s="740"/>
      <c r="J226" s="741" t="s">
        <v>1064</v>
      </c>
      <c r="K226" s="741"/>
      <c r="L226" s="742">
        <v>1</v>
      </c>
      <c r="M226" s="742">
        <v>1</v>
      </c>
      <c r="N226" s="742">
        <v>1</v>
      </c>
      <c r="O226" s="742">
        <v>1</v>
      </c>
      <c r="P226" s="742">
        <v>1</v>
      </c>
      <c r="Q226" s="742">
        <v>1</v>
      </c>
      <c r="R226" s="742">
        <v>1</v>
      </c>
      <c r="S226" s="742">
        <v>1</v>
      </c>
      <c r="T226" s="742">
        <v>1</v>
      </c>
      <c r="U226" s="742">
        <v>1</v>
      </c>
      <c r="V226" s="742">
        <v>1</v>
      </c>
      <c r="W226" s="742">
        <v>1</v>
      </c>
      <c r="X226" s="742">
        <v>1</v>
      </c>
      <c r="Y226" s="742">
        <v>1</v>
      </c>
      <c r="Z226" s="742">
        <v>1</v>
      </c>
      <c r="AB226" s="31"/>
      <c r="BO226" s="939"/>
    </row>
    <row r="227" spans="1:67" s="13" customFormat="1" x14ac:dyDescent="0.25">
      <c r="B227" s="245" t="str">
        <f>B226</f>
        <v>TRAHUM01</v>
      </c>
      <c r="C227" s="245"/>
      <c r="D227" s="743"/>
      <c r="E227" s="245"/>
      <c r="F227" s="245"/>
      <c r="G227" s="245"/>
      <c r="H227" s="744"/>
      <c r="I227" s="245"/>
      <c r="J227" s="745" t="s">
        <v>1097</v>
      </c>
      <c r="K227" s="745"/>
      <c r="L227" s="746">
        <f>$K$4</f>
        <v>2020</v>
      </c>
      <c r="M227" s="746">
        <f t="shared" ref="M227:Z227" si="201">$K$4</f>
        <v>2020</v>
      </c>
      <c r="N227" s="746">
        <f t="shared" si="201"/>
        <v>2020</v>
      </c>
      <c r="O227" s="746">
        <f t="shared" si="201"/>
        <v>2020</v>
      </c>
      <c r="P227" s="746">
        <f t="shared" si="201"/>
        <v>2020</v>
      </c>
      <c r="Q227" s="746">
        <f t="shared" si="201"/>
        <v>2020</v>
      </c>
      <c r="R227" s="746">
        <f t="shared" si="201"/>
        <v>2020</v>
      </c>
      <c r="S227" s="746">
        <f t="shared" si="201"/>
        <v>2020</v>
      </c>
      <c r="T227" s="746">
        <f t="shared" si="201"/>
        <v>2020</v>
      </c>
      <c r="U227" s="746">
        <f t="shared" si="201"/>
        <v>2020</v>
      </c>
      <c r="V227" s="746">
        <f t="shared" si="201"/>
        <v>2020</v>
      </c>
      <c r="W227" s="746">
        <f t="shared" si="201"/>
        <v>2020</v>
      </c>
      <c r="X227" s="746">
        <f t="shared" si="201"/>
        <v>2020</v>
      </c>
      <c r="Y227" s="746">
        <f t="shared" si="201"/>
        <v>2020</v>
      </c>
      <c r="Z227" s="746">
        <f t="shared" si="201"/>
        <v>2020</v>
      </c>
      <c r="AB227" s="31"/>
      <c r="BO227" s="939"/>
    </row>
    <row r="228" spans="1:67" s="13" customFormat="1" x14ac:dyDescent="0.25">
      <c r="B228" s="250" t="str">
        <f>B226</f>
        <v>TRAHUM01</v>
      </c>
      <c r="C228" s="250"/>
      <c r="D228" s="733"/>
      <c r="E228" s="250"/>
      <c r="F228" s="250"/>
      <c r="G228" s="250"/>
      <c r="H228" s="734"/>
      <c r="I228" s="250"/>
      <c r="J228" s="735" t="s">
        <v>1098</v>
      </c>
      <c r="K228" s="735" t="s">
        <v>1099</v>
      </c>
      <c r="L228" s="736"/>
      <c r="M228" s="736"/>
      <c r="N228" s="736"/>
      <c r="O228" s="736"/>
      <c r="P228" s="736"/>
      <c r="Q228" s="736"/>
      <c r="R228" s="736"/>
      <c r="S228" s="736"/>
      <c r="T228" s="736"/>
      <c r="U228" s="736"/>
      <c r="V228" s="736"/>
      <c r="W228" s="736"/>
      <c r="X228" s="736"/>
      <c r="Y228" s="736"/>
      <c r="Z228" s="736"/>
      <c r="AB228" s="31"/>
      <c r="BO228" s="939"/>
    </row>
    <row r="229" spans="1:67" s="13" customFormat="1" x14ac:dyDescent="0.25">
      <c r="A229" s="100"/>
      <c r="B229" s="737" t="str">
        <f>C229</f>
        <v>TRADSR01</v>
      </c>
      <c r="C229" s="245" t="str">
        <f>CONCATENATE(F229,"01")</f>
        <v>TRADSR01</v>
      </c>
      <c r="D229" s="738" t="str">
        <f>REPLACE(D83,1,9,"Fuel Tech New")</f>
        <v>Fuel Tech New - Diesel for rail transportation (TRA)</v>
      </c>
      <c r="E229" s="324" t="s">
        <v>1086</v>
      </c>
      <c r="F229" s="739" t="s">
        <v>1002</v>
      </c>
      <c r="G229" s="739"/>
      <c r="H229" s="739"/>
      <c r="I229" s="740"/>
      <c r="J229" s="741" t="s">
        <v>1064</v>
      </c>
      <c r="K229" s="741"/>
      <c r="L229" s="742">
        <v>1</v>
      </c>
      <c r="M229" s="742">
        <v>1</v>
      </c>
      <c r="N229" s="742">
        <v>1</v>
      </c>
      <c r="O229" s="742">
        <v>1</v>
      </c>
      <c r="P229" s="742">
        <v>1</v>
      </c>
      <c r="Q229" s="742">
        <v>1</v>
      </c>
      <c r="R229" s="742">
        <v>1</v>
      </c>
      <c r="S229" s="742">
        <v>1</v>
      </c>
      <c r="T229" s="742">
        <v>1</v>
      </c>
      <c r="U229" s="742">
        <v>1</v>
      </c>
      <c r="V229" s="742">
        <v>1</v>
      </c>
      <c r="W229" s="742">
        <v>1</v>
      </c>
      <c r="X229" s="742">
        <v>1</v>
      </c>
      <c r="Y229" s="742">
        <v>1</v>
      </c>
      <c r="Z229" s="742">
        <v>1</v>
      </c>
      <c r="AB229" s="31"/>
      <c r="BO229" s="939"/>
    </row>
    <row r="230" spans="1:67" s="13" customFormat="1" x14ac:dyDescent="0.25">
      <c r="B230" s="245" t="str">
        <f>B229</f>
        <v>TRADSR01</v>
      </c>
      <c r="C230" s="245"/>
      <c r="D230" s="743"/>
      <c r="E230" s="245"/>
      <c r="F230" s="245"/>
      <c r="G230" s="245"/>
      <c r="H230" s="744"/>
      <c r="I230" s="245"/>
      <c r="J230" s="745" t="s">
        <v>1097</v>
      </c>
      <c r="K230" s="745"/>
      <c r="L230" s="746">
        <f>$K$4</f>
        <v>2020</v>
      </c>
      <c r="M230" s="746">
        <f t="shared" ref="M230:Z230" si="202">$K$4</f>
        <v>2020</v>
      </c>
      <c r="N230" s="746">
        <f t="shared" si="202"/>
        <v>2020</v>
      </c>
      <c r="O230" s="746">
        <f t="shared" si="202"/>
        <v>2020</v>
      </c>
      <c r="P230" s="746">
        <f t="shared" si="202"/>
        <v>2020</v>
      </c>
      <c r="Q230" s="746">
        <f t="shared" si="202"/>
        <v>2020</v>
      </c>
      <c r="R230" s="746">
        <f t="shared" si="202"/>
        <v>2020</v>
      </c>
      <c r="S230" s="746">
        <f t="shared" si="202"/>
        <v>2020</v>
      </c>
      <c r="T230" s="746">
        <f t="shared" si="202"/>
        <v>2020</v>
      </c>
      <c r="U230" s="746">
        <f t="shared" si="202"/>
        <v>2020</v>
      </c>
      <c r="V230" s="746">
        <f t="shared" si="202"/>
        <v>2020</v>
      </c>
      <c r="W230" s="746">
        <f t="shared" si="202"/>
        <v>2020</v>
      </c>
      <c r="X230" s="746">
        <f t="shared" si="202"/>
        <v>2020</v>
      </c>
      <c r="Y230" s="746">
        <f t="shared" si="202"/>
        <v>2020</v>
      </c>
      <c r="Z230" s="746">
        <f t="shared" si="202"/>
        <v>2020</v>
      </c>
      <c r="AB230" s="31"/>
      <c r="BO230" s="939"/>
    </row>
    <row r="231" spans="1:67" s="13" customFormat="1" x14ac:dyDescent="0.25">
      <c r="B231" s="250" t="str">
        <f>B229</f>
        <v>TRADSR01</v>
      </c>
      <c r="C231" s="250"/>
      <c r="D231" s="733"/>
      <c r="E231" s="250"/>
      <c r="F231" s="250"/>
      <c r="G231" s="250"/>
      <c r="H231" s="734"/>
      <c r="I231" s="250"/>
      <c r="J231" s="735" t="s">
        <v>1098</v>
      </c>
      <c r="K231" s="735" t="s">
        <v>1099</v>
      </c>
      <c r="L231" s="736"/>
      <c r="M231" s="736"/>
      <c r="N231" s="736"/>
      <c r="O231" s="736"/>
      <c r="P231" s="736"/>
      <c r="Q231" s="736"/>
      <c r="R231" s="736"/>
      <c r="S231" s="736"/>
      <c r="T231" s="736"/>
      <c r="U231" s="736"/>
      <c r="V231" s="736"/>
      <c r="W231" s="736"/>
      <c r="X231" s="736"/>
      <c r="Y231" s="736"/>
      <c r="Z231" s="736"/>
      <c r="AB231" s="31"/>
      <c r="BO231" s="939"/>
    </row>
    <row r="232" spans="1:67" s="13" customFormat="1" x14ac:dyDescent="0.25">
      <c r="A232" s="100"/>
      <c r="B232" s="737" t="str">
        <f>C232</f>
        <v>TRADST01</v>
      </c>
      <c r="C232" s="245" t="str">
        <f>CONCATENATE(F232,"01")</f>
        <v>TRADST01</v>
      </c>
      <c r="D232" s="738" t="str">
        <f>REPLACE(D89,1,9,"Fuel Tech New")</f>
        <v>Fuel Tech New - Diesel (TRA)</v>
      </c>
      <c r="E232" s="324" t="str">
        <f>E89</f>
        <v>OILDST</v>
      </c>
      <c r="F232" s="739" t="str">
        <f>F89</f>
        <v>TRADST</v>
      </c>
      <c r="G232" s="739"/>
      <c r="H232" s="739"/>
      <c r="I232" s="740"/>
      <c r="J232" s="741" t="s">
        <v>1064</v>
      </c>
      <c r="K232" s="741"/>
      <c r="L232" s="742">
        <v>1</v>
      </c>
      <c r="M232" s="742">
        <v>1</v>
      </c>
      <c r="N232" s="742">
        <v>1</v>
      </c>
      <c r="O232" s="742">
        <v>1</v>
      </c>
      <c r="P232" s="742">
        <v>1</v>
      </c>
      <c r="Q232" s="742">
        <v>1</v>
      </c>
      <c r="R232" s="742">
        <v>1</v>
      </c>
      <c r="S232" s="742">
        <v>1</v>
      </c>
      <c r="T232" s="742">
        <v>1</v>
      </c>
      <c r="U232" s="742">
        <v>1</v>
      </c>
      <c r="V232" s="742">
        <v>1</v>
      </c>
      <c r="W232" s="742">
        <v>1</v>
      </c>
      <c r="X232" s="742">
        <v>1</v>
      </c>
      <c r="Y232" s="742">
        <v>1</v>
      </c>
      <c r="Z232" s="742">
        <v>1</v>
      </c>
      <c r="AB232" s="31"/>
      <c r="BO232" s="939"/>
    </row>
    <row r="233" spans="1:67" s="13" customFormat="1" x14ac:dyDescent="0.25">
      <c r="B233" s="245" t="str">
        <f>B232</f>
        <v>TRADST01</v>
      </c>
      <c r="C233" s="245"/>
      <c r="D233" s="743"/>
      <c r="E233" s="245"/>
      <c r="F233" s="245"/>
      <c r="G233" s="245"/>
      <c r="H233" s="744"/>
      <c r="I233" s="245"/>
      <c r="J233" s="745" t="s">
        <v>1097</v>
      </c>
      <c r="K233" s="745"/>
      <c r="L233" s="746">
        <f>$K$4</f>
        <v>2020</v>
      </c>
      <c r="M233" s="746">
        <f t="shared" ref="M233:Z233" si="203">$K$4</f>
        <v>2020</v>
      </c>
      <c r="N233" s="746">
        <f t="shared" si="203"/>
        <v>2020</v>
      </c>
      <c r="O233" s="746">
        <f t="shared" si="203"/>
        <v>2020</v>
      </c>
      <c r="P233" s="746">
        <f t="shared" si="203"/>
        <v>2020</v>
      </c>
      <c r="Q233" s="746">
        <f t="shared" si="203"/>
        <v>2020</v>
      </c>
      <c r="R233" s="746">
        <f t="shared" si="203"/>
        <v>2020</v>
      </c>
      <c r="S233" s="746">
        <f t="shared" si="203"/>
        <v>2020</v>
      </c>
      <c r="T233" s="746">
        <f t="shared" si="203"/>
        <v>2020</v>
      </c>
      <c r="U233" s="746">
        <f t="shared" si="203"/>
        <v>2020</v>
      </c>
      <c r="V233" s="746">
        <f t="shared" si="203"/>
        <v>2020</v>
      </c>
      <c r="W233" s="746">
        <f t="shared" si="203"/>
        <v>2020</v>
      </c>
      <c r="X233" s="746">
        <f t="shared" si="203"/>
        <v>2020</v>
      </c>
      <c r="Y233" s="746">
        <f t="shared" si="203"/>
        <v>2020</v>
      </c>
      <c r="Z233" s="746">
        <f t="shared" si="203"/>
        <v>2020</v>
      </c>
      <c r="AB233" s="31"/>
      <c r="BO233" s="939"/>
    </row>
    <row r="234" spans="1:67" s="13" customFormat="1" x14ac:dyDescent="0.25">
      <c r="B234" s="250" t="str">
        <f>B232</f>
        <v>TRADST01</v>
      </c>
      <c r="C234" s="250"/>
      <c r="D234" s="733"/>
      <c r="E234" s="250"/>
      <c r="F234" s="250"/>
      <c r="G234" s="250"/>
      <c r="H234" s="734"/>
      <c r="I234" s="250"/>
      <c r="J234" s="735" t="s">
        <v>1098</v>
      </c>
      <c r="K234" s="735" t="s">
        <v>1099</v>
      </c>
      <c r="L234" s="736"/>
      <c r="M234" s="736"/>
      <c r="N234" s="736"/>
      <c r="O234" s="736"/>
      <c r="P234" s="736"/>
      <c r="Q234" s="736"/>
      <c r="R234" s="736"/>
      <c r="S234" s="736"/>
      <c r="T234" s="736"/>
      <c r="U234" s="736"/>
      <c r="V234" s="736"/>
      <c r="W234" s="736"/>
      <c r="X234" s="736"/>
      <c r="Y234" s="736"/>
      <c r="Z234" s="736"/>
      <c r="AB234" s="31"/>
      <c r="BO234" s="939"/>
    </row>
    <row r="235" spans="1:67" s="13" customFormat="1" x14ac:dyDescent="0.25">
      <c r="A235" s="100"/>
      <c r="B235" s="737" t="str">
        <f>C235</f>
        <v>TRAGSL01</v>
      </c>
      <c r="C235" s="245" t="str">
        <f>CONCATENATE(F235,"01")</f>
        <v>TRAGSL01</v>
      </c>
      <c r="D235" s="738" t="str">
        <f>REPLACE(D95,1,9,"Fuel Tech New")</f>
        <v>Fuel Tech New - Gasoline (TRA)</v>
      </c>
      <c r="E235" s="324" t="str">
        <f>E95</f>
        <v>OILGSL</v>
      </c>
      <c r="F235" s="739" t="str">
        <f>F95</f>
        <v>TRAGSL</v>
      </c>
      <c r="G235" s="739"/>
      <c r="H235" s="739"/>
      <c r="I235" s="740"/>
      <c r="J235" s="741" t="s">
        <v>1064</v>
      </c>
      <c r="K235" s="741"/>
      <c r="L235" s="742">
        <v>1</v>
      </c>
      <c r="M235" s="742">
        <v>1</v>
      </c>
      <c r="N235" s="742">
        <v>1</v>
      </c>
      <c r="O235" s="742">
        <v>1</v>
      </c>
      <c r="P235" s="742">
        <v>1</v>
      </c>
      <c r="Q235" s="742">
        <v>1</v>
      </c>
      <c r="R235" s="742">
        <v>1</v>
      </c>
      <c r="S235" s="742">
        <v>1</v>
      </c>
      <c r="T235" s="742">
        <v>1</v>
      </c>
      <c r="U235" s="742">
        <v>1</v>
      </c>
      <c r="V235" s="742">
        <v>1</v>
      </c>
      <c r="W235" s="742">
        <v>1</v>
      </c>
      <c r="X235" s="742">
        <v>1</v>
      </c>
      <c r="Y235" s="742">
        <v>1</v>
      </c>
      <c r="Z235" s="742">
        <v>1</v>
      </c>
      <c r="AB235" s="31"/>
      <c r="BO235" s="939"/>
    </row>
    <row r="236" spans="1:67" s="13" customFormat="1" x14ac:dyDescent="0.25">
      <c r="B236" s="245" t="str">
        <f>B235</f>
        <v>TRAGSL01</v>
      </c>
      <c r="C236" s="245"/>
      <c r="D236" s="743"/>
      <c r="E236" s="245"/>
      <c r="F236" s="245"/>
      <c r="G236" s="245"/>
      <c r="H236" s="744"/>
      <c r="I236" s="245"/>
      <c r="J236" s="745" t="s">
        <v>1097</v>
      </c>
      <c r="K236" s="745"/>
      <c r="L236" s="746">
        <f>$K$4</f>
        <v>2020</v>
      </c>
      <c r="M236" s="746">
        <f t="shared" ref="M236:Z236" si="204">$K$4</f>
        <v>2020</v>
      </c>
      <c r="N236" s="746">
        <f t="shared" si="204"/>
        <v>2020</v>
      </c>
      <c r="O236" s="746">
        <f t="shared" si="204"/>
        <v>2020</v>
      </c>
      <c r="P236" s="746">
        <f t="shared" si="204"/>
        <v>2020</v>
      </c>
      <c r="Q236" s="746">
        <f t="shared" si="204"/>
        <v>2020</v>
      </c>
      <c r="R236" s="746">
        <f t="shared" si="204"/>
        <v>2020</v>
      </c>
      <c r="S236" s="746">
        <f t="shared" si="204"/>
        <v>2020</v>
      </c>
      <c r="T236" s="746">
        <f t="shared" si="204"/>
        <v>2020</v>
      </c>
      <c r="U236" s="746">
        <f t="shared" si="204"/>
        <v>2020</v>
      </c>
      <c r="V236" s="746">
        <f t="shared" si="204"/>
        <v>2020</v>
      </c>
      <c r="W236" s="746">
        <f t="shared" si="204"/>
        <v>2020</v>
      </c>
      <c r="X236" s="746">
        <f t="shared" si="204"/>
        <v>2020</v>
      </c>
      <c r="Y236" s="746">
        <f t="shared" si="204"/>
        <v>2020</v>
      </c>
      <c r="Z236" s="746">
        <f t="shared" si="204"/>
        <v>2020</v>
      </c>
      <c r="AB236" s="31"/>
      <c r="BO236" s="939"/>
    </row>
    <row r="237" spans="1:67" s="13" customFormat="1" x14ac:dyDescent="0.25">
      <c r="B237" s="250" t="str">
        <f>B235</f>
        <v>TRAGSL01</v>
      </c>
      <c r="C237" s="250"/>
      <c r="D237" s="733"/>
      <c r="E237" s="250"/>
      <c r="F237" s="250"/>
      <c r="G237" s="250"/>
      <c r="H237" s="734"/>
      <c r="I237" s="250"/>
      <c r="J237" s="735" t="s">
        <v>1098</v>
      </c>
      <c r="K237" s="735" t="s">
        <v>1099</v>
      </c>
      <c r="L237" s="736"/>
      <c r="M237" s="736"/>
      <c r="N237" s="736"/>
      <c r="O237" s="736"/>
      <c r="P237" s="736"/>
      <c r="Q237" s="736"/>
      <c r="R237" s="736"/>
      <c r="S237" s="736"/>
      <c r="T237" s="736"/>
      <c r="U237" s="736"/>
      <c r="V237" s="736"/>
      <c r="W237" s="736"/>
      <c r="X237" s="736"/>
      <c r="Y237" s="736"/>
      <c r="Z237" s="736"/>
      <c r="AB237" s="31"/>
      <c r="BO237" s="939"/>
    </row>
    <row r="238" spans="1:67" s="13" customFormat="1" x14ac:dyDescent="0.25">
      <c r="A238" s="100"/>
      <c r="B238" s="737" t="str">
        <f>C238</f>
        <v>TRAKER01</v>
      </c>
      <c r="C238" s="245" t="str">
        <f>CONCATENATE(F238,"01")</f>
        <v>TRAKER01</v>
      </c>
      <c r="D238" s="738" t="str">
        <f>REPLACE(D101,1,9,"Fuel Tech New")</f>
        <v>Fuel Tech New - Kerosene - Jet Fuels (TRA)</v>
      </c>
      <c r="E238" s="324" t="str">
        <f>E101</f>
        <v>OILKER</v>
      </c>
      <c r="F238" s="739" t="str">
        <f>F101</f>
        <v>TRAKER</v>
      </c>
      <c r="G238" s="739"/>
      <c r="H238" s="739"/>
      <c r="I238" s="740"/>
      <c r="J238" s="741" t="s">
        <v>1064</v>
      </c>
      <c r="K238" s="741"/>
      <c r="L238" s="742">
        <v>1</v>
      </c>
      <c r="M238" s="742">
        <v>1</v>
      </c>
      <c r="N238" s="742">
        <v>1</v>
      </c>
      <c r="O238" s="742">
        <v>1</v>
      </c>
      <c r="P238" s="742">
        <v>1</v>
      </c>
      <c r="Q238" s="742">
        <v>1</v>
      </c>
      <c r="R238" s="742">
        <v>1</v>
      </c>
      <c r="S238" s="742">
        <v>1</v>
      </c>
      <c r="T238" s="742">
        <v>1</v>
      </c>
      <c r="U238" s="742">
        <v>1</v>
      </c>
      <c r="V238" s="742">
        <v>1</v>
      </c>
      <c r="W238" s="742">
        <v>1</v>
      </c>
      <c r="X238" s="742">
        <v>1</v>
      </c>
      <c r="Y238" s="742">
        <v>1</v>
      </c>
      <c r="Z238" s="742">
        <v>1</v>
      </c>
      <c r="AB238" s="31"/>
      <c r="BO238" s="939"/>
    </row>
    <row r="239" spans="1:67" s="13" customFormat="1" x14ac:dyDescent="0.25">
      <c r="B239" s="245" t="str">
        <f>B238</f>
        <v>TRAKER01</v>
      </c>
      <c r="C239" s="245"/>
      <c r="D239" s="743"/>
      <c r="E239" s="245"/>
      <c r="F239" s="245"/>
      <c r="G239" s="245"/>
      <c r="H239" s="744"/>
      <c r="I239" s="245"/>
      <c r="J239" s="745" t="s">
        <v>1097</v>
      </c>
      <c r="K239" s="745"/>
      <c r="L239" s="746">
        <f>$K$4</f>
        <v>2020</v>
      </c>
      <c r="M239" s="746">
        <f t="shared" ref="M239:Z239" si="205">$K$4</f>
        <v>2020</v>
      </c>
      <c r="N239" s="746">
        <f t="shared" si="205"/>
        <v>2020</v>
      </c>
      <c r="O239" s="746">
        <f t="shared" si="205"/>
        <v>2020</v>
      </c>
      <c r="P239" s="746">
        <f t="shared" si="205"/>
        <v>2020</v>
      </c>
      <c r="Q239" s="746">
        <f t="shared" si="205"/>
        <v>2020</v>
      </c>
      <c r="R239" s="746">
        <f t="shared" si="205"/>
        <v>2020</v>
      </c>
      <c r="S239" s="746">
        <f t="shared" si="205"/>
        <v>2020</v>
      </c>
      <c r="T239" s="746">
        <f t="shared" si="205"/>
        <v>2020</v>
      </c>
      <c r="U239" s="746">
        <f t="shared" si="205"/>
        <v>2020</v>
      </c>
      <c r="V239" s="746">
        <f t="shared" si="205"/>
        <v>2020</v>
      </c>
      <c r="W239" s="746">
        <f t="shared" si="205"/>
        <v>2020</v>
      </c>
      <c r="X239" s="746">
        <f t="shared" si="205"/>
        <v>2020</v>
      </c>
      <c r="Y239" s="746">
        <f t="shared" si="205"/>
        <v>2020</v>
      </c>
      <c r="Z239" s="746">
        <f t="shared" si="205"/>
        <v>2020</v>
      </c>
      <c r="AB239" s="31"/>
      <c r="BO239" s="939"/>
    </row>
    <row r="240" spans="1:67" s="13" customFormat="1" x14ac:dyDescent="0.25">
      <c r="B240" s="250" t="str">
        <f>B238</f>
        <v>TRAKER01</v>
      </c>
      <c r="C240" s="250"/>
      <c r="D240" s="733"/>
      <c r="E240" s="250"/>
      <c r="F240" s="250"/>
      <c r="G240" s="250"/>
      <c r="H240" s="734"/>
      <c r="I240" s="250"/>
      <c r="J240" s="735" t="s">
        <v>1098</v>
      </c>
      <c r="K240" s="735" t="s">
        <v>1099</v>
      </c>
      <c r="L240" s="736"/>
      <c r="M240" s="736"/>
      <c r="N240" s="736"/>
      <c r="O240" s="736"/>
      <c r="P240" s="736"/>
      <c r="Q240" s="736"/>
      <c r="R240" s="736"/>
      <c r="S240" s="736"/>
      <c r="T240" s="736"/>
      <c r="U240" s="736"/>
      <c r="V240" s="736"/>
      <c r="W240" s="736"/>
      <c r="X240" s="736"/>
      <c r="Y240" s="736"/>
      <c r="Z240" s="736"/>
      <c r="AB240" s="31"/>
      <c r="BO240" s="939"/>
    </row>
    <row r="241" spans="1:67" s="13" customFormat="1" x14ac:dyDescent="0.25">
      <c r="A241" s="100"/>
      <c r="B241" s="737" t="str">
        <f>C241</f>
        <v>TRAHFO01</v>
      </c>
      <c r="C241" s="245" t="str">
        <f>CONCATENATE(F241,"01")</f>
        <v>TRAHFO01</v>
      </c>
      <c r="D241" s="738" t="str">
        <f>REPLACE(D107,1,9,"Fuel Tech New")</f>
        <v>Fuel Tech New - Heavy Fuel Oil (TRA)</v>
      </c>
      <c r="E241" s="324" t="str">
        <f>E107</f>
        <v>OILHFO</v>
      </c>
      <c r="F241" s="739" t="str">
        <f>F107</f>
        <v>TRAHFO</v>
      </c>
      <c r="G241" s="739"/>
      <c r="H241" s="739"/>
      <c r="I241" s="740"/>
      <c r="J241" s="741" t="s">
        <v>1064</v>
      </c>
      <c r="K241" s="741"/>
      <c r="L241" s="742">
        <v>1</v>
      </c>
      <c r="M241" s="742">
        <v>1</v>
      </c>
      <c r="N241" s="742">
        <v>1</v>
      </c>
      <c r="O241" s="742">
        <v>1</v>
      </c>
      <c r="P241" s="742">
        <v>1</v>
      </c>
      <c r="Q241" s="742">
        <v>1</v>
      </c>
      <c r="R241" s="742">
        <v>1</v>
      </c>
      <c r="S241" s="742">
        <v>1</v>
      </c>
      <c r="T241" s="742">
        <v>1</v>
      </c>
      <c r="U241" s="742">
        <v>1</v>
      </c>
      <c r="V241" s="742">
        <v>1</v>
      </c>
      <c r="W241" s="742">
        <v>1</v>
      </c>
      <c r="X241" s="742">
        <v>1</v>
      </c>
      <c r="Y241" s="742">
        <v>1</v>
      </c>
      <c r="Z241" s="742">
        <v>1</v>
      </c>
      <c r="AB241" s="31"/>
      <c r="BO241" s="939"/>
    </row>
    <row r="242" spans="1:67" s="13" customFormat="1" x14ac:dyDescent="0.25">
      <c r="B242" s="245" t="str">
        <f>B241</f>
        <v>TRAHFO01</v>
      </c>
      <c r="C242" s="245"/>
      <c r="D242" s="743"/>
      <c r="E242" s="245"/>
      <c r="F242" s="245"/>
      <c r="G242" s="245"/>
      <c r="H242" s="744"/>
      <c r="I242" s="245"/>
      <c r="J242" s="745" t="s">
        <v>1097</v>
      </c>
      <c r="K242" s="745"/>
      <c r="L242" s="746">
        <f>$K$4</f>
        <v>2020</v>
      </c>
      <c r="M242" s="746">
        <f t="shared" ref="M242:Z242" si="206">$K$4</f>
        <v>2020</v>
      </c>
      <c r="N242" s="746">
        <f t="shared" si="206"/>
        <v>2020</v>
      </c>
      <c r="O242" s="746">
        <f t="shared" si="206"/>
        <v>2020</v>
      </c>
      <c r="P242" s="746">
        <f t="shared" si="206"/>
        <v>2020</v>
      </c>
      <c r="Q242" s="746">
        <f t="shared" si="206"/>
        <v>2020</v>
      </c>
      <c r="R242" s="746">
        <f t="shared" si="206"/>
        <v>2020</v>
      </c>
      <c r="S242" s="746">
        <f t="shared" si="206"/>
        <v>2020</v>
      </c>
      <c r="T242" s="746">
        <f t="shared" si="206"/>
        <v>2020</v>
      </c>
      <c r="U242" s="746">
        <f t="shared" si="206"/>
        <v>2020</v>
      </c>
      <c r="V242" s="746">
        <f t="shared" si="206"/>
        <v>2020</v>
      </c>
      <c r="W242" s="746">
        <f t="shared" si="206"/>
        <v>2020</v>
      </c>
      <c r="X242" s="746">
        <f t="shared" si="206"/>
        <v>2020</v>
      </c>
      <c r="Y242" s="746">
        <f t="shared" si="206"/>
        <v>2020</v>
      </c>
      <c r="Z242" s="746">
        <f t="shared" si="206"/>
        <v>2020</v>
      </c>
      <c r="AB242" s="31"/>
      <c r="BO242" s="939"/>
    </row>
    <row r="243" spans="1:67" s="13" customFormat="1" x14ac:dyDescent="0.25">
      <c r="B243" s="250" t="str">
        <f>B241</f>
        <v>TRAHFO01</v>
      </c>
      <c r="C243" s="250"/>
      <c r="D243" s="733"/>
      <c r="E243" s="250"/>
      <c r="F243" s="250"/>
      <c r="G243" s="250"/>
      <c r="H243" s="734"/>
      <c r="I243" s="250"/>
      <c r="J243" s="735" t="s">
        <v>1098</v>
      </c>
      <c r="K243" s="735" t="s">
        <v>1099</v>
      </c>
      <c r="L243" s="736"/>
      <c r="M243" s="736"/>
      <c r="N243" s="736"/>
      <c r="O243" s="736"/>
      <c r="P243" s="736"/>
      <c r="Q243" s="736"/>
      <c r="R243" s="736"/>
      <c r="S243" s="736"/>
      <c r="T243" s="736"/>
      <c r="U243" s="736"/>
      <c r="V243" s="736"/>
      <c r="W243" s="736"/>
      <c r="X243" s="736"/>
      <c r="Y243" s="736"/>
      <c r="Z243" s="736"/>
      <c r="AB243" s="31"/>
      <c r="BO243" s="939"/>
    </row>
    <row r="244" spans="1:67" s="13" customFormat="1" x14ac:dyDescent="0.25">
      <c r="A244" s="100"/>
      <c r="B244" s="737" t="str">
        <f>C244</f>
        <v>TRALFO01</v>
      </c>
      <c r="C244" s="245" t="str">
        <f>CONCATENATE(F244,"01")</f>
        <v>TRALFO01</v>
      </c>
      <c r="D244" s="738" t="str">
        <f>REPLACE(D113,1,9,"Fuel Tech New")</f>
        <v>Fuel Tech New - Light Fuel Oil (TRA)</v>
      </c>
      <c r="E244" s="324" t="str">
        <f>E113</f>
        <v>OILLFO</v>
      </c>
      <c r="F244" s="739" t="str">
        <f>F113</f>
        <v>TRALFO</v>
      </c>
      <c r="G244" s="739"/>
      <c r="H244" s="739"/>
      <c r="I244" s="740"/>
      <c r="J244" s="741" t="s">
        <v>1064</v>
      </c>
      <c r="K244" s="741"/>
      <c r="L244" s="742">
        <v>1</v>
      </c>
      <c r="M244" s="742">
        <v>1</v>
      </c>
      <c r="N244" s="742">
        <v>1</v>
      </c>
      <c r="O244" s="742">
        <v>1</v>
      </c>
      <c r="P244" s="742">
        <v>1</v>
      </c>
      <c r="Q244" s="742">
        <v>1</v>
      </c>
      <c r="R244" s="742">
        <v>1</v>
      </c>
      <c r="S244" s="742">
        <v>1</v>
      </c>
      <c r="T244" s="742">
        <v>1</v>
      </c>
      <c r="U244" s="742">
        <v>1</v>
      </c>
      <c r="V244" s="742">
        <v>1</v>
      </c>
      <c r="W244" s="742">
        <v>1</v>
      </c>
      <c r="X244" s="742">
        <v>1</v>
      </c>
      <c r="Y244" s="742">
        <v>1</v>
      </c>
      <c r="Z244" s="742">
        <v>1</v>
      </c>
      <c r="AB244" s="31"/>
      <c r="BO244" s="939"/>
    </row>
    <row r="245" spans="1:67" s="13" customFormat="1" x14ac:dyDescent="0.25">
      <c r="B245" s="245" t="str">
        <f>B244</f>
        <v>TRALFO01</v>
      </c>
      <c r="C245" s="245"/>
      <c r="D245" s="743"/>
      <c r="E245" s="245"/>
      <c r="F245" s="245"/>
      <c r="G245" s="245"/>
      <c r="H245" s="744"/>
      <c r="I245" s="245"/>
      <c r="J245" s="745" t="s">
        <v>1097</v>
      </c>
      <c r="K245" s="745"/>
      <c r="L245" s="746">
        <f>$K$4</f>
        <v>2020</v>
      </c>
      <c r="M245" s="746">
        <f t="shared" ref="M245:Z245" si="207">$K$4</f>
        <v>2020</v>
      </c>
      <c r="N245" s="746">
        <f t="shared" si="207"/>
        <v>2020</v>
      </c>
      <c r="O245" s="746">
        <f t="shared" si="207"/>
        <v>2020</v>
      </c>
      <c r="P245" s="746">
        <f t="shared" si="207"/>
        <v>2020</v>
      </c>
      <c r="Q245" s="746">
        <f t="shared" si="207"/>
        <v>2020</v>
      </c>
      <c r="R245" s="746">
        <f t="shared" si="207"/>
        <v>2020</v>
      </c>
      <c r="S245" s="746">
        <f t="shared" si="207"/>
        <v>2020</v>
      </c>
      <c r="T245" s="746">
        <f t="shared" si="207"/>
        <v>2020</v>
      </c>
      <c r="U245" s="746">
        <f t="shared" si="207"/>
        <v>2020</v>
      </c>
      <c r="V245" s="746">
        <f t="shared" si="207"/>
        <v>2020</v>
      </c>
      <c r="W245" s="746">
        <f t="shared" si="207"/>
        <v>2020</v>
      </c>
      <c r="X245" s="746">
        <f t="shared" si="207"/>
        <v>2020</v>
      </c>
      <c r="Y245" s="746">
        <f t="shared" si="207"/>
        <v>2020</v>
      </c>
      <c r="Z245" s="746">
        <f t="shared" si="207"/>
        <v>2020</v>
      </c>
      <c r="AB245" s="31"/>
      <c r="BO245" s="939"/>
    </row>
    <row r="246" spans="1:67" s="13" customFormat="1" x14ac:dyDescent="0.25">
      <c r="B246" s="250" t="str">
        <f>B244</f>
        <v>TRALFO01</v>
      </c>
      <c r="C246" s="250"/>
      <c r="D246" s="733"/>
      <c r="E246" s="250"/>
      <c r="F246" s="250"/>
      <c r="G246" s="250"/>
      <c r="H246" s="734"/>
      <c r="I246" s="250"/>
      <c r="J246" s="735" t="s">
        <v>1098</v>
      </c>
      <c r="K246" s="735" t="s">
        <v>1099</v>
      </c>
      <c r="L246" s="736"/>
      <c r="M246" s="736"/>
      <c r="N246" s="736"/>
      <c r="O246" s="736"/>
      <c r="P246" s="736"/>
      <c r="Q246" s="736"/>
      <c r="R246" s="736"/>
      <c r="S246" s="736"/>
      <c r="T246" s="736"/>
      <c r="U246" s="736"/>
      <c r="V246" s="736"/>
      <c r="W246" s="736"/>
      <c r="X246" s="736"/>
      <c r="Y246" s="736"/>
      <c r="Z246" s="736"/>
      <c r="AB246" s="31"/>
      <c r="BO246" s="939"/>
    </row>
    <row r="247" spans="1:67" x14ac:dyDescent="0.25">
      <c r="A247" s="100"/>
      <c r="B247" s="737" t="str">
        <f>C247</f>
        <v>TRALPG01</v>
      </c>
      <c r="C247" s="245" t="str">
        <f>CONCATENATE(F247,"01")</f>
        <v>TRALPG01</v>
      </c>
      <c r="D247" s="738" t="str">
        <f>REPLACE(D119,1,9,"Fuel Tech New")</f>
        <v>Fuel Tech New - Liquified Petroleum Gas (TRA)</v>
      </c>
      <c r="E247" s="324" t="str">
        <f>E119</f>
        <v>OILLPG</v>
      </c>
      <c r="F247" s="739" t="str">
        <f>F119</f>
        <v>TRALPG</v>
      </c>
      <c r="G247" s="739"/>
      <c r="H247" s="739"/>
      <c r="I247" s="740"/>
      <c r="J247" s="741" t="s">
        <v>1064</v>
      </c>
      <c r="K247" s="741"/>
      <c r="L247" s="742">
        <v>1</v>
      </c>
      <c r="M247" s="742">
        <v>1</v>
      </c>
      <c r="N247" s="742">
        <v>1</v>
      </c>
      <c r="O247" s="742">
        <v>1</v>
      </c>
      <c r="P247" s="742">
        <v>1</v>
      </c>
      <c r="Q247" s="742">
        <v>1</v>
      </c>
      <c r="R247" s="742">
        <v>1</v>
      </c>
      <c r="S247" s="742">
        <v>1</v>
      </c>
      <c r="T247" s="742">
        <v>1</v>
      </c>
      <c r="U247" s="742">
        <v>1</v>
      </c>
      <c r="V247" s="742">
        <v>1</v>
      </c>
      <c r="W247" s="742">
        <v>1</v>
      </c>
      <c r="X247" s="742">
        <v>1</v>
      </c>
      <c r="Y247" s="742">
        <v>1</v>
      </c>
      <c r="Z247" s="742">
        <v>1</v>
      </c>
      <c r="AA247" s="13"/>
      <c r="AB247" s="19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</row>
    <row r="248" spans="1:67" x14ac:dyDescent="0.25">
      <c r="A248" s="13"/>
      <c r="B248" s="245" t="str">
        <f>B247</f>
        <v>TRALPG01</v>
      </c>
      <c r="C248" s="245"/>
      <c r="D248" s="743"/>
      <c r="E248" s="245"/>
      <c r="F248" s="245"/>
      <c r="G248" s="245"/>
      <c r="H248" s="744"/>
      <c r="I248" s="245"/>
      <c r="J248" s="745" t="s">
        <v>1097</v>
      </c>
      <c r="K248" s="745"/>
      <c r="L248" s="746">
        <f>$K$4</f>
        <v>2020</v>
      </c>
      <c r="M248" s="746">
        <f t="shared" ref="M248:Z248" si="208">$K$4</f>
        <v>2020</v>
      </c>
      <c r="N248" s="746">
        <f t="shared" si="208"/>
        <v>2020</v>
      </c>
      <c r="O248" s="746">
        <f t="shared" si="208"/>
        <v>2020</v>
      </c>
      <c r="P248" s="746">
        <f t="shared" si="208"/>
        <v>2020</v>
      </c>
      <c r="Q248" s="746">
        <f t="shared" si="208"/>
        <v>2020</v>
      </c>
      <c r="R248" s="746">
        <f t="shared" si="208"/>
        <v>2020</v>
      </c>
      <c r="S248" s="746">
        <f t="shared" si="208"/>
        <v>2020</v>
      </c>
      <c r="T248" s="746">
        <f t="shared" si="208"/>
        <v>2020</v>
      </c>
      <c r="U248" s="746">
        <f t="shared" si="208"/>
        <v>2020</v>
      </c>
      <c r="V248" s="746">
        <f t="shared" si="208"/>
        <v>2020</v>
      </c>
      <c r="W248" s="746">
        <f t="shared" si="208"/>
        <v>2020</v>
      </c>
      <c r="X248" s="746">
        <f t="shared" si="208"/>
        <v>2020</v>
      </c>
      <c r="Y248" s="746">
        <f t="shared" si="208"/>
        <v>2020</v>
      </c>
      <c r="Z248" s="746">
        <f t="shared" si="208"/>
        <v>2020</v>
      </c>
      <c r="AA248" s="13"/>
      <c r="AB248" s="19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</row>
    <row r="249" spans="1:67" x14ac:dyDescent="0.25">
      <c r="A249" s="13"/>
      <c r="B249" s="250" t="str">
        <f>B247</f>
        <v>TRALPG01</v>
      </c>
      <c r="C249" s="250"/>
      <c r="D249" s="733"/>
      <c r="E249" s="250"/>
      <c r="F249" s="250"/>
      <c r="G249" s="250"/>
      <c r="H249" s="734"/>
      <c r="I249" s="250"/>
      <c r="J249" s="735" t="s">
        <v>1098</v>
      </c>
      <c r="K249" s="735" t="s">
        <v>1099</v>
      </c>
      <c r="L249" s="736"/>
      <c r="M249" s="736"/>
      <c r="N249" s="736"/>
      <c r="O249" s="736"/>
      <c r="P249" s="736"/>
      <c r="Q249" s="736"/>
      <c r="R249" s="736"/>
      <c r="S249" s="736"/>
      <c r="T249" s="736"/>
      <c r="U249" s="736"/>
      <c r="V249" s="736"/>
      <c r="W249" s="736"/>
      <c r="X249" s="736"/>
      <c r="Y249" s="736"/>
      <c r="Z249" s="736"/>
      <c r="AA249" s="13"/>
      <c r="AB249" s="19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</row>
    <row r="250" spans="1:67" x14ac:dyDescent="0.25">
      <c r="A250" s="100"/>
      <c r="B250" s="737" t="str">
        <f>C250</f>
        <v>TRAMTH01</v>
      </c>
      <c r="C250" s="245" t="str">
        <f>CONCATENATE(F250,"01")</f>
        <v>TRAMTH01</v>
      </c>
      <c r="D250" s="738" t="str">
        <f>REPLACE(D125,1,9,"Fuel Tech New")</f>
        <v>Fuel Tech New - Methanol (TRA)</v>
      </c>
      <c r="E250" s="324" t="str">
        <f>E125</f>
        <v>BFUMTH</v>
      </c>
      <c r="F250" s="739" t="str">
        <f>F125</f>
        <v>TRAMTH</v>
      </c>
      <c r="G250" s="739"/>
      <c r="H250" s="739"/>
      <c r="I250" s="740"/>
      <c r="J250" s="741" t="s">
        <v>1064</v>
      </c>
      <c r="K250" s="741"/>
      <c r="L250" s="742">
        <v>1</v>
      </c>
      <c r="M250" s="742">
        <v>1</v>
      </c>
      <c r="N250" s="742">
        <v>1</v>
      </c>
      <c r="O250" s="742">
        <v>1</v>
      </c>
      <c r="P250" s="742">
        <v>1</v>
      </c>
      <c r="Q250" s="742">
        <v>1</v>
      </c>
      <c r="R250" s="742">
        <v>1</v>
      </c>
      <c r="S250" s="742">
        <v>1</v>
      </c>
      <c r="T250" s="742">
        <v>1</v>
      </c>
      <c r="U250" s="742">
        <v>1</v>
      </c>
      <c r="V250" s="742">
        <v>1</v>
      </c>
      <c r="W250" s="742">
        <v>1</v>
      </c>
      <c r="X250" s="742">
        <v>1</v>
      </c>
      <c r="Y250" s="742">
        <v>1</v>
      </c>
      <c r="Z250" s="742">
        <v>1</v>
      </c>
      <c r="AA250" s="13"/>
      <c r="AB250" s="19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</row>
    <row r="251" spans="1:67" x14ac:dyDescent="0.25">
      <c r="A251" s="13"/>
      <c r="B251" s="245" t="str">
        <f>B250</f>
        <v>TRAMTH01</v>
      </c>
      <c r="C251" s="245"/>
      <c r="D251" s="743"/>
      <c r="E251" s="245"/>
      <c r="F251" s="245"/>
      <c r="G251" s="245"/>
      <c r="H251" s="744"/>
      <c r="I251" s="245"/>
      <c r="J251" s="745" t="s">
        <v>1097</v>
      </c>
      <c r="K251" s="745"/>
      <c r="L251" s="746">
        <f>$K$4</f>
        <v>2020</v>
      </c>
      <c r="M251" s="746">
        <f t="shared" ref="M251:Z251" si="209">$K$4</f>
        <v>2020</v>
      </c>
      <c r="N251" s="746">
        <f t="shared" si="209"/>
        <v>2020</v>
      </c>
      <c r="O251" s="746">
        <f t="shared" si="209"/>
        <v>2020</v>
      </c>
      <c r="P251" s="746">
        <f t="shared" si="209"/>
        <v>2020</v>
      </c>
      <c r="Q251" s="746">
        <f t="shared" si="209"/>
        <v>2020</v>
      </c>
      <c r="R251" s="746">
        <f t="shared" si="209"/>
        <v>2020</v>
      </c>
      <c r="S251" s="746">
        <f t="shared" si="209"/>
        <v>2020</v>
      </c>
      <c r="T251" s="746">
        <f t="shared" si="209"/>
        <v>2020</v>
      </c>
      <c r="U251" s="746">
        <f t="shared" si="209"/>
        <v>2020</v>
      </c>
      <c r="V251" s="746">
        <f t="shared" si="209"/>
        <v>2020</v>
      </c>
      <c r="W251" s="746">
        <f t="shared" si="209"/>
        <v>2020</v>
      </c>
      <c r="X251" s="746">
        <f t="shared" si="209"/>
        <v>2020</v>
      </c>
      <c r="Y251" s="746">
        <f t="shared" si="209"/>
        <v>2020</v>
      </c>
      <c r="Z251" s="746">
        <f t="shared" si="209"/>
        <v>2020</v>
      </c>
      <c r="AA251" s="13"/>
      <c r="AB251" s="19"/>
    </row>
    <row r="252" spans="1:67" x14ac:dyDescent="0.25">
      <c r="A252" s="13"/>
      <c r="B252" s="250" t="str">
        <f>B250</f>
        <v>TRAMTH01</v>
      </c>
      <c r="C252" s="250"/>
      <c r="D252" s="733"/>
      <c r="E252" s="250"/>
      <c r="F252" s="250"/>
      <c r="G252" s="250"/>
      <c r="H252" s="734"/>
      <c r="I252" s="250"/>
      <c r="J252" s="735" t="s">
        <v>1098</v>
      </c>
      <c r="K252" s="735" t="s">
        <v>1099</v>
      </c>
      <c r="L252" s="736"/>
      <c r="M252" s="736"/>
      <c r="N252" s="736"/>
      <c r="O252" s="736"/>
      <c r="P252" s="736"/>
      <c r="Q252" s="736"/>
      <c r="R252" s="736"/>
      <c r="S252" s="736"/>
      <c r="T252" s="736"/>
      <c r="U252" s="736"/>
      <c r="V252" s="736"/>
      <c r="W252" s="736"/>
      <c r="X252" s="736"/>
      <c r="Y252" s="736"/>
      <c r="Z252" s="736"/>
      <c r="AA252" s="13"/>
    </row>
    <row r="253" spans="1:67" x14ac:dyDescent="0.25">
      <c r="A253" s="100"/>
      <c r="B253" s="737" t="str">
        <f>C253</f>
        <v>TRAMTHM01</v>
      </c>
      <c r="C253" s="245" t="str">
        <f>CONCATENATE(F253,"01")</f>
        <v>TRAMTHM01</v>
      </c>
      <c r="D253" s="738" t="str">
        <f>REPLACE(D131,1,9,"Fuel Tech New")</f>
        <v>Fuel Tech New - Methanol for blending with GSL (TRA)</v>
      </c>
      <c r="E253" s="324" t="s">
        <v>1093</v>
      </c>
      <c r="F253" s="739" t="s">
        <v>1037</v>
      </c>
      <c r="G253" s="739"/>
      <c r="H253" s="739"/>
      <c r="I253" s="740"/>
      <c r="J253" s="741" t="s">
        <v>1064</v>
      </c>
      <c r="K253" s="741"/>
      <c r="L253" s="742">
        <v>1</v>
      </c>
      <c r="M253" s="742">
        <v>1</v>
      </c>
      <c r="N253" s="742">
        <v>1</v>
      </c>
      <c r="O253" s="742">
        <v>1</v>
      </c>
      <c r="P253" s="742">
        <v>1</v>
      </c>
      <c r="Q253" s="742">
        <v>1</v>
      </c>
      <c r="R253" s="742">
        <v>1</v>
      </c>
      <c r="S253" s="742">
        <v>1</v>
      </c>
      <c r="T253" s="742">
        <v>1</v>
      </c>
      <c r="U253" s="742">
        <v>1</v>
      </c>
      <c r="V253" s="742">
        <v>1</v>
      </c>
      <c r="W253" s="742">
        <v>1</v>
      </c>
      <c r="X253" s="742">
        <v>1</v>
      </c>
      <c r="Y253" s="742">
        <v>1</v>
      </c>
      <c r="Z253" s="742">
        <v>1</v>
      </c>
      <c r="AA253" s="13"/>
      <c r="AB253" s="19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</row>
    <row r="254" spans="1:67" x14ac:dyDescent="0.25">
      <c r="A254" s="13"/>
      <c r="B254" s="245" t="str">
        <f>B253</f>
        <v>TRAMTHM01</v>
      </c>
      <c r="C254" s="245"/>
      <c r="D254" s="743"/>
      <c r="E254" s="245"/>
      <c r="F254" s="245"/>
      <c r="G254" s="245"/>
      <c r="H254" s="744"/>
      <c r="I254" s="245"/>
      <c r="J254" s="745" t="s">
        <v>1097</v>
      </c>
      <c r="K254" s="745"/>
      <c r="L254" s="746">
        <f>$K$4</f>
        <v>2020</v>
      </c>
      <c r="M254" s="746">
        <f t="shared" ref="M254:Z254" si="210">$K$4</f>
        <v>2020</v>
      </c>
      <c r="N254" s="746">
        <f t="shared" si="210"/>
        <v>2020</v>
      </c>
      <c r="O254" s="746">
        <f t="shared" si="210"/>
        <v>2020</v>
      </c>
      <c r="P254" s="746">
        <f t="shared" si="210"/>
        <v>2020</v>
      </c>
      <c r="Q254" s="746">
        <f t="shared" si="210"/>
        <v>2020</v>
      </c>
      <c r="R254" s="746">
        <f t="shared" si="210"/>
        <v>2020</v>
      </c>
      <c r="S254" s="746">
        <f t="shared" si="210"/>
        <v>2020</v>
      </c>
      <c r="T254" s="746">
        <f t="shared" si="210"/>
        <v>2020</v>
      </c>
      <c r="U254" s="746">
        <f t="shared" si="210"/>
        <v>2020</v>
      </c>
      <c r="V254" s="746">
        <f t="shared" si="210"/>
        <v>2020</v>
      </c>
      <c r="W254" s="746">
        <f t="shared" si="210"/>
        <v>2020</v>
      </c>
      <c r="X254" s="746">
        <f t="shared" si="210"/>
        <v>2020</v>
      </c>
      <c r="Y254" s="746">
        <f t="shared" si="210"/>
        <v>2020</v>
      </c>
      <c r="Z254" s="746">
        <f t="shared" si="210"/>
        <v>2020</v>
      </c>
      <c r="AA254" s="13"/>
      <c r="AB254" s="19"/>
    </row>
    <row r="255" spans="1:67" x14ac:dyDescent="0.25">
      <c r="A255" s="13"/>
      <c r="B255" s="250" t="str">
        <f>B253</f>
        <v>TRAMTHM01</v>
      </c>
      <c r="C255" s="250"/>
      <c r="D255" s="733"/>
      <c r="E255" s="250"/>
      <c r="F255" s="250"/>
      <c r="G255" s="250"/>
      <c r="H255" s="734"/>
      <c r="I255" s="250"/>
      <c r="J255" s="735" t="s">
        <v>1098</v>
      </c>
      <c r="K255" s="735" t="s">
        <v>1099</v>
      </c>
      <c r="L255" s="736"/>
      <c r="M255" s="736"/>
      <c r="N255" s="736"/>
      <c r="O255" s="736"/>
      <c r="P255" s="736"/>
      <c r="Q255" s="736"/>
      <c r="R255" s="736"/>
      <c r="S255" s="736"/>
      <c r="T255" s="736"/>
      <c r="U255" s="736"/>
      <c r="V255" s="736"/>
      <c r="W255" s="736"/>
      <c r="X255" s="736"/>
      <c r="Y255" s="736"/>
      <c r="Z255" s="736"/>
      <c r="AA255" s="13"/>
    </row>
    <row r="256" spans="1:67" x14ac:dyDescent="0.25">
      <c r="AB256" s="19"/>
    </row>
    <row r="257" spans="1:67" x14ac:dyDescent="0.25">
      <c r="B257" s="42" t="s">
        <v>1100</v>
      </c>
      <c r="C257" s="42"/>
      <c r="D257" s="42"/>
      <c r="AB257" s="19"/>
    </row>
    <row r="258" spans="1:67" x14ac:dyDescent="0.25">
      <c r="C258" s="12"/>
      <c r="D258" s="12"/>
      <c r="AB258" s="19"/>
    </row>
    <row r="259" spans="1:67" x14ac:dyDescent="0.25">
      <c r="C259" s="12"/>
      <c r="D259" s="12"/>
      <c r="G259" s="41"/>
      <c r="H259" s="51"/>
      <c r="I259" s="41"/>
      <c r="J259" s="40" t="s">
        <v>1051</v>
      </c>
      <c r="K259" s="40"/>
      <c r="P259" s="41"/>
      <c r="AB259" s="19"/>
    </row>
    <row r="260" spans="1:67" x14ac:dyDescent="0.25">
      <c r="B260" s="52" t="s">
        <v>1053</v>
      </c>
      <c r="C260" s="42" t="s">
        <v>104</v>
      </c>
      <c r="D260" s="42" t="s">
        <v>1054</v>
      </c>
      <c r="E260" s="42" t="s">
        <v>673</v>
      </c>
      <c r="F260" s="103" t="s">
        <v>674</v>
      </c>
      <c r="G260" s="42" t="s">
        <v>1055</v>
      </c>
      <c r="H260" s="98" t="s">
        <v>1056</v>
      </c>
      <c r="I260" s="42" t="s">
        <v>982</v>
      </c>
      <c r="J260" s="42" t="s">
        <v>1057</v>
      </c>
      <c r="K260" s="42" t="s">
        <v>1058</v>
      </c>
      <c r="L260" s="42" t="str">
        <f t="shared" ref="L260:Z260" si="211">L$2</f>
        <v>Z01</v>
      </c>
      <c r="M260" s="42" t="str">
        <f t="shared" si="211"/>
        <v>Z02</v>
      </c>
      <c r="N260" s="42" t="str">
        <f t="shared" si="211"/>
        <v>Z03</v>
      </c>
      <c r="O260" s="42" t="str">
        <f t="shared" si="211"/>
        <v>Z04</v>
      </c>
      <c r="P260" s="42" t="str">
        <f t="shared" si="211"/>
        <v>Z05</v>
      </c>
      <c r="Q260" s="42" t="str">
        <f t="shared" si="211"/>
        <v>Z06</v>
      </c>
      <c r="R260" s="42" t="str">
        <f t="shared" si="211"/>
        <v>Z07</v>
      </c>
      <c r="S260" s="42" t="str">
        <f t="shared" si="211"/>
        <v>Z08</v>
      </c>
      <c r="T260" s="42" t="str">
        <f t="shared" si="211"/>
        <v>Z09</v>
      </c>
      <c r="U260" s="42" t="str">
        <f t="shared" si="211"/>
        <v>Z10</v>
      </c>
      <c r="V260" s="42" t="str">
        <f t="shared" si="211"/>
        <v>Z11</v>
      </c>
      <c r="W260" s="42" t="str">
        <f t="shared" si="211"/>
        <v>Z12</v>
      </c>
      <c r="X260" s="42" t="str">
        <f t="shared" si="211"/>
        <v>Z13</v>
      </c>
      <c r="Y260" s="42" t="str">
        <f t="shared" si="211"/>
        <v>Z14</v>
      </c>
      <c r="Z260" s="42" t="str">
        <f t="shared" si="211"/>
        <v>Z15</v>
      </c>
      <c r="AB260" s="19"/>
    </row>
    <row r="261" spans="1:67" s="19" customFormat="1" x14ac:dyDescent="0.25">
      <c r="A261"/>
      <c r="B261" s="171"/>
      <c r="C261" s="171"/>
      <c r="D261" s="171" t="s">
        <v>1062</v>
      </c>
      <c r="E261" s="171"/>
      <c r="F261" s="171"/>
      <c r="G261" s="171"/>
      <c r="H261" s="223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 s="23"/>
    </row>
    <row r="262" spans="1:67" x14ac:dyDescent="0.25">
      <c r="A262" s="19"/>
      <c r="B262" s="219" t="str">
        <f>C262</f>
        <v>TRAELC00</v>
      </c>
      <c r="C262" s="224" t="str">
        <f>CONCATENATE(F262,"00")</f>
        <v>TRAELC00</v>
      </c>
      <c r="D262" s="225" t="s">
        <v>1101</v>
      </c>
      <c r="E262" s="173" t="s">
        <v>1102</v>
      </c>
      <c r="F262" s="173" t="s">
        <v>683</v>
      </c>
      <c r="G262" s="224"/>
      <c r="H262" s="241"/>
      <c r="I262" s="173"/>
      <c r="J262" s="239" t="s">
        <v>1064</v>
      </c>
      <c r="K262" s="239"/>
      <c r="L262" s="635">
        <v>1</v>
      </c>
      <c r="M262" s="635">
        <f>L262</f>
        <v>1</v>
      </c>
      <c r="N262" s="635">
        <f t="shared" ref="N262" si="212">M262</f>
        <v>1</v>
      </c>
      <c r="O262" s="635">
        <f t="shared" ref="O262" si="213">N262</f>
        <v>1</v>
      </c>
      <c r="P262" s="635">
        <f t="shared" ref="P262" si="214">O262</f>
        <v>1</v>
      </c>
      <c r="Q262" s="635">
        <f t="shared" ref="Q262" si="215">P262</f>
        <v>1</v>
      </c>
      <c r="R262" s="635">
        <f t="shared" ref="R262" si="216">Q262</f>
        <v>1</v>
      </c>
      <c r="S262" s="635">
        <f t="shared" ref="S262" si="217">R262</f>
        <v>1</v>
      </c>
      <c r="T262" s="635">
        <f t="shared" ref="T262" si="218">S262</f>
        <v>1</v>
      </c>
      <c r="U262" s="635">
        <f t="shared" ref="U262" si="219">T262</f>
        <v>1</v>
      </c>
      <c r="V262" s="635">
        <f t="shared" ref="V262" si="220">U262</f>
        <v>1</v>
      </c>
      <c r="W262" s="635">
        <f t="shared" ref="W262" si="221">V262</f>
        <v>1</v>
      </c>
      <c r="X262" s="635">
        <f t="shared" ref="X262" si="222">W262</f>
        <v>1</v>
      </c>
      <c r="Y262" s="635">
        <f t="shared" ref="Y262" si="223">X262</f>
        <v>1</v>
      </c>
      <c r="Z262" s="635">
        <f t="shared" ref="Z262" si="224">Y262</f>
        <v>1</v>
      </c>
      <c r="BN262" s="19"/>
    </row>
    <row r="263" spans="1:67" x14ac:dyDescent="0.25">
      <c r="A263" s="19"/>
      <c r="B263" s="219" t="str">
        <f>B262</f>
        <v>TRAELC00</v>
      </c>
      <c r="C263" s="224"/>
      <c r="D263" s="230"/>
      <c r="E263" s="224"/>
      <c r="F263" s="224"/>
      <c r="G263" s="224"/>
      <c r="H263" s="231">
        <f>$K$3</f>
        <v>2019</v>
      </c>
      <c r="I263" s="224"/>
      <c r="J263" s="232" t="s">
        <v>1065</v>
      </c>
      <c r="K263" s="232" t="s">
        <v>85</v>
      </c>
      <c r="L263" s="636">
        <v>1</v>
      </c>
      <c r="M263" s="636">
        <v>1</v>
      </c>
      <c r="N263" s="636">
        <v>1</v>
      </c>
      <c r="O263" s="636">
        <v>1</v>
      </c>
      <c r="P263" s="636">
        <v>1</v>
      </c>
      <c r="Q263" s="636">
        <v>1</v>
      </c>
      <c r="R263" s="636">
        <v>1</v>
      </c>
      <c r="S263" s="636">
        <v>1</v>
      </c>
      <c r="T263" s="636">
        <v>1</v>
      </c>
      <c r="U263" s="636">
        <v>1</v>
      </c>
      <c r="V263" s="636">
        <v>1</v>
      </c>
      <c r="W263" s="636">
        <v>1</v>
      </c>
      <c r="X263" s="636">
        <v>1</v>
      </c>
      <c r="Y263" s="636">
        <v>1</v>
      </c>
      <c r="Z263" s="636">
        <v>1</v>
      </c>
      <c r="AB263" s="19"/>
    </row>
    <row r="264" spans="1:67" x14ac:dyDescent="0.25">
      <c r="A264" s="19"/>
      <c r="B264" s="219" t="str">
        <f>B263</f>
        <v>TRAELC00</v>
      </c>
      <c r="C264" s="224"/>
      <c r="D264" s="230"/>
      <c r="E264" s="224"/>
      <c r="F264" s="224"/>
      <c r="G264" s="224"/>
      <c r="H264" s="231">
        <v>2020</v>
      </c>
      <c r="I264" s="224"/>
      <c r="J264" s="232" t="s">
        <v>1065</v>
      </c>
      <c r="K264" s="232" t="s">
        <v>85</v>
      </c>
      <c r="L264" s="636">
        <f t="shared" ref="L264:Z267" si="225">L$263*LOOKUP($H264, $AF$47:$AF$50, AG$47:AG$50)</f>
        <v>0.8</v>
      </c>
      <c r="M264" s="636">
        <f t="shared" si="225"/>
        <v>0.8</v>
      </c>
      <c r="N264" s="636">
        <f t="shared" si="225"/>
        <v>0.8</v>
      </c>
      <c r="O264" s="636">
        <f t="shared" si="225"/>
        <v>0.8</v>
      </c>
      <c r="P264" s="636">
        <f t="shared" si="225"/>
        <v>0.8</v>
      </c>
      <c r="Q264" s="636">
        <f t="shared" si="225"/>
        <v>0.8</v>
      </c>
      <c r="R264" s="636">
        <f t="shared" si="225"/>
        <v>0.8</v>
      </c>
      <c r="S264" s="636">
        <f t="shared" si="225"/>
        <v>0.8</v>
      </c>
      <c r="T264" s="636">
        <f t="shared" si="225"/>
        <v>0.8</v>
      </c>
      <c r="U264" s="636">
        <f t="shared" si="225"/>
        <v>0.8</v>
      </c>
      <c r="V264" s="636">
        <f t="shared" si="225"/>
        <v>0.8</v>
      </c>
      <c r="W264" s="636">
        <f t="shared" si="225"/>
        <v>0.8</v>
      </c>
      <c r="X264" s="636">
        <f t="shared" si="225"/>
        <v>0.8</v>
      </c>
      <c r="Y264" s="636">
        <f t="shared" si="225"/>
        <v>0.8</v>
      </c>
      <c r="Z264" s="636">
        <f t="shared" si="225"/>
        <v>0.8</v>
      </c>
      <c r="AB264" s="19"/>
    </row>
    <row r="265" spans="1:67" x14ac:dyDescent="0.25">
      <c r="A265" s="19"/>
      <c r="B265" s="219" t="str">
        <f t="shared" ref="B265:B267" si="226">B264</f>
        <v>TRAELC00</v>
      </c>
      <c r="C265" s="224"/>
      <c r="D265" s="230"/>
      <c r="E265" s="224"/>
      <c r="F265" s="224"/>
      <c r="G265" s="224"/>
      <c r="H265" s="231">
        <v>2030</v>
      </c>
      <c r="I265" s="224"/>
      <c r="J265" s="232" t="s">
        <v>1065</v>
      </c>
      <c r="K265" s="232" t="s">
        <v>85</v>
      </c>
      <c r="L265" s="636">
        <f t="shared" si="225"/>
        <v>0.4</v>
      </c>
      <c r="M265" s="636">
        <f t="shared" si="225"/>
        <v>0.4</v>
      </c>
      <c r="N265" s="636">
        <f t="shared" si="225"/>
        <v>0.4</v>
      </c>
      <c r="O265" s="636">
        <f t="shared" si="225"/>
        <v>0.4</v>
      </c>
      <c r="P265" s="636">
        <f t="shared" si="225"/>
        <v>0.4</v>
      </c>
      <c r="Q265" s="636">
        <f t="shared" si="225"/>
        <v>0.4</v>
      </c>
      <c r="R265" s="636">
        <f t="shared" si="225"/>
        <v>0.4</v>
      </c>
      <c r="S265" s="636">
        <f t="shared" si="225"/>
        <v>0.4</v>
      </c>
      <c r="T265" s="636">
        <f t="shared" si="225"/>
        <v>0.4</v>
      </c>
      <c r="U265" s="636">
        <f t="shared" si="225"/>
        <v>0.4</v>
      </c>
      <c r="V265" s="636">
        <f t="shared" si="225"/>
        <v>0.4</v>
      </c>
      <c r="W265" s="636">
        <f t="shared" si="225"/>
        <v>0.4</v>
      </c>
      <c r="X265" s="636">
        <f t="shared" si="225"/>
        <v>0.4</v>
      </c>
      <c r="Y265" s="636">
        <f t="shared" si="225"/>
        <v>0.4</v>
      </c>
      <c r="Z265" s="636">
        <f t="shared" si="225"/>
        <v>0.4</v>
      </c>
      <c r="AB265" s="19"/>
      <c r="AR265" s="97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</row>
    <row r="266" spans="1:67" x14ac:dyDescent="0.25">
      <c r="A266" s="19"/>
      <c r="B266" s="219" t="str">
        <f t="shared" si="226"/>
        <v>TRAELC00</v>
      </c>
      <c r="C266" s="224"/>
      <c r="D266" s="230"/>
      <c r="E266" s="224"/>
      <c r="F266" s="224"/>
      <c r="G266" s="224"/>
      <c r="H266" s="231">
        <v>2040</v>
      </c>
      <c r="I266" s="224"/>
      <c r="J266" s="232" t="s">
        <v>1065</v>
      </c>
      <c r="K266" s="232" t="s">
        <v>85</v>
      </c>
      <c r="L266" s="636">
        <f t="shared" si="225"/>
        <v>0</v>
      </c>
      <c r="M266" s="636">
        <f t="shared" si="225"/>
        <v>0</v>
      </c>
      <c r="N266" s="636">
        <f t="shared" si="225"/>
        <v>0</v>
      </c>
      <c r="O266" s="636">
        <f t="shared" si="225"/>
        <v>0</v>
      </c>
      <c r="P266" s="636">
        <f t="shared" si="225"/>
        <v>0</v>
      </c>
      <c r="Q266" s="636">
        <f t="shared" si="225"/>
        <v>0</v>
      </c>
      <c r="R266" s="636">
        <f t="shared" si="225"/>
        <v>0</v>
      </c>
      <c r="S266" s="636">
        <f t="shared" si="225"/>
        <v>0</v>
      </c>
      <c r="T266" s="636">
        <f t="shared" si="225"/>
        <v>0</v>
      </c>
      <c r="U266" s="636">
        <f t="shared" si="225"/>
        <v>0</v>
      </c>
      <c r="V266" s="636">
        <f t="shared" si="225"/>
        <v>0</v>
      </c>
      <c r="W266" s="636">
        <f t="shared" si="225"/>
        <v>0</v>
      </c>
      <c r="X266" s="636">
        <f t="shared" si="225"/>
        <v>0</v>
      </c>
      <c r="Y266" s="636">
        <f t="shared" si="225"/>
        <v>0</v>
      </c>
      <c r="Z266" s="636">
        <f t="shared" si="225"/>
        <v>0</v>
      </c>
      <c r="AB266" s="19"/>
    </row>
    <row r="267" spans="1:67" s="19" customFormat="1" x14ac:dyDescent="0.25">
      <c r="B267" s="233" t="str">
        <f t="shared" si="226"/>
        <v>TRAELC00</v>
      </c>
      <c r="C267" s="234"/>
      <c r="D267" s="235"/>
      <c r="E267" s="234"/>
      <c r="F267" s="234"/>
      <c r="G267" s="234"/>
      <c r="H267" s="236">
        <f>$K$5</f>
        <v>2050</v>
      </c>
      <c r="I267" s="234"/>
      <c r="J267" s="237" t="s">
        <v>1065</v>
      </c>
      <c r="K267" s="237" t="s">
        <v>85</v>
      </c>
      <c r="L267" s="637">
        <f t="shared" si="225"/>
        <v>0</v>
      </c>
      <c r="M267" s="637">
        <f t="shared" si="225"/>
        <v>0</v>
      </c>
      <c r="N267" s="637">
        <f t="shared" si="225"/>
        <v>0</v>
      </c>
      <c r="O267" s="637">
        <f t="shared" si="225"/>
        <v>0</v>
      </c>
      <c r="P267" s="637">
        <f t="shared" si="225"/>
        <v>0</v>
      </c>
      <c r="Q267" s="637">
        <f t="shared" si="225"/>
        <v>0</v>
      </c>
      <c r="R267" s="637">
        <f t="shared" si="225"/>
        <v>0</v>
      </c>
      <c r="S267" s="637">
        <f t="shared" si="225"/>
        <v>0</v>
      </c>
      <c r="T267" s="637">
        <f t="shared" si="225"/>
        <v>0</v>
      </c>
      <c r="U267" s="637">
        <f t="shared" si="225"/>
        <v>0</v>
      </c>
      <c r="V267" s="637">
        <f t="shared" si="225"/>
        <v>0</v>
      </c>
      <c r="W267" s="637">
        <f t="shared" si="225"/>
        <v>0</v>
      </c>
      <c r="X267" s="637">
        <f t="shared" si="225"/>
        <v>0</v>
      </c>
      <c r="Y267" s="637">
        <f t="shared" si="225"/>
        <v>0</v>
      </c>
      <c r="Z267" s="637">
        <f t="shared" si="225"/>
        <v>0</v>
      </c>
      <c r="AA267" s="41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 s="23"/>
    </row>
    <row r="268" spans="1:67" s="19" customFormat="1" x14ac:dyDescent="0.25">
      <c r="B268" s="219" t="str">
        <f>C268</f>
        <v>TRAELR00</v>
      </c>
      <c r="C268" s="224" t="s">
        <v>935</v>
      </c>
      <c r="D268" s="225" t="s">
        <v>1103</v>
      </c>
      <c r="E268" s="173" t="s">
        <v>1102</v>
      </c>
      <c r="F268" s="173" t="s">
        <v>1008</v>
      </c>
      <c r="G268" s="224"/>
      <c r="H268" s="241"/>
      <c r="I268" s="173"/>
      <c r="J268" s="239" t="s">
        <v>1064</v>
      </c>
      <c r="K268" s="239"/>
      <c r="L268" s="635">
        <v>1</v>
      </c>
      <c r="M268" s="635">
        <f>L268</f>
        <v>1</v>
      </c>
      <c r="N268" s="635">
        <f t="shared" ref="N268" si="227">M268</f>
        <v>1</v>
      </c>
      <c r="O268" s="635">
        <f t="shared" ref="O268" si="228">N268</f>
        <v>1</v>
      </c>
      <c r="P268" s="635">
        <f t="shared" ref="P268" si="229">O268</f>
        <v>1</v>
      </c>
      <c r="Q268" s="635">
        <f t="shared" ref="Q268" si="230">P268</f>
        <v>1</v>
      </c>
      <c r="R268" s="635">
        <f t="shared" ref="R268" si="231">Q268</f>
        <v>1</v>
      </c>
      <c r="S268" s="635">
        <f t="shared" ref="S268" si="232">R268</f>
        <v>1</v>
      </c>
      <c r="T268" s="635">
        <f t="shared" ref="T268" si="233">S268</f>
        <v>1</v>
      </c>
      <c r="U268" s="635">
        <f t="shared" ref="U268" si="234">T268</f>
        <v>1</v>
      </c>
      <c r="V268" s="635">
        <f t="shared" ref="V268" si="235">U268</f>
        <v>1</v>
      </c>
      <c r="W268" s="635">
        <f t="shared" ref="W268" si="236">V268</f>
        <v>1</v>
      </c>
      <c r="X268" s="635">
        <f t="shared" ref="X268" si="237">W268</f>
        <v>1</v>
      </c>
      <c r="Y268" s="635">
        <f t="shared" ref="Y268" si="238">X268</f>
        <v>1</v>
      </c>
      <c r="Z268" s="635">
        <f t="shared" ref="Z268" si="239">Y268</f>
        <v>1</v>
      </c>
      <c r="AA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O268" s="23"/>
    </row>
    <row r="269" spans="1:67" s="19" customFormat="1" x14ac:dyDescent="0.25">
      <c r="B269" s="219" t="str">
        <f>B268</f>
        <v>TRAELR00</v>
      </c>
      <c r="C269" s="224"/>
      <c r="D269" s="230"/>
      <c r="E269" s="224"/>
      <c r="F269" s="224"/>
      <c r="G269" s="224"/>
      <c r="H269" s="231">
        <f>$K$3</f>
        <v>2019</v>
      </c>
      <c r="I269" s="224"/>
      <c r="J269" s="232" t="s">
        <v>1065</v>
      </c>
      <c r="K269" s="232" t="s">
        <v>85</v>
      </c>
      <c r="L269" s="636">
        <f t="shared" ref="L269:Z269" si="240">LOOKUP($F268, $AE$11:$AE$34, AG$11:AG$34*$L$6)</f>
        <v>0</v>
      </c>
      <c r="M269" s="636">
        <f t="shared" si="240"/>
        <v>0</v>
      </c>
      <c r="N269" s="636">
        <f t="shared" si="240"/>
        <v>0</v>
      </c>
      <c r="O269" s="636">
        <f t="shared" si="240"/>
        <v>0</v>
      </c>
      <c r="P269" s="636">
        <f t="shared" si="240"/>
        <v>0</v>
      </c>
      <c r="Q269" s="636">
        <f t="shared" si="240"/>
        <v>0</v>
      </c>
      <c r="R269" s="636">
        <f t="shared" si="240"/>
        <v>0</v>
      </c>
      <c r="S269" s="636">
        <f t="shared" si="240"/>
        <v>0</v>
      </c>
      <c r="T269" s="636">
        <f t="shared" si="240"/>
        <v>0</v>
      </c>
      <c r="U269" s="636">
        <f t="shared" si="240"/>
        <v>0</v>
      </c>
      <c r="V269" s="636">
        <f t="shared" si="240"/>
        <v>0</v>
      </c>
      <c r="W269" s="636">
        <f t="shared" si="240"/>
        <v>0</v>
      </c>
      <c r="X269" s="636">
        <f t="shared" si="240"/>
        <v>0</v>
      </c>
      <c r="Y269" s="636">
        <f t="shared" si="240"/>
        <v>0</v>
      </c>
      <c r="Z269" s="636">
        <f t="shared" si="240"/>
        <v>0</v>
      </c>
      <c r="AA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O269" s="23"/>
    </row>
    <row r="270" spans="1:67" x14ac:dyDescent="0.25">
      <c r="A270" s="19"/>
      <c r="B270" s="219" t="str">
        <f>B269</f>
        <v>TRAELR00</v>
      </c>
      <c r="C270" s="224"/>
      <c r="D270" s="230"/>
      <c r="E270" s="224"/>
      <c r="F270" s="224"/>
      <c r="G270" s="224"/>
      <c r="H270" s="231">
        <v>2020</v>
      </c>
      <c r="I270" s="224"/>
      <c r="J270" s="232" t="s">
        <v>1065</v>
      </c>
      <c r="K270" s="232" t="s">
        <v>85</v>
      </c>
      <c r="L270" s="636">
        <f>L269</f>
        <v>0</v>
      </c>
      <c r="M270" s="636">
        <f t="shared" ref="M270:Z273" si="241">M269</f>
        <v>0</v>
      </c>
      <c r="N270" s="636">
        <f t="shared" si="241"/>
        <v>0</v>
      </c>
      <c r="O270" s="636">
        <f t="shared" si="241"/>
        <v>0</v>
      </c>
      <c r="P270" s="636">
        <f t="shared" si="241"/>
        <v>0</v>
      </c>
      <c r="Q270" s="636">
        <f t="shared" si="241"/>
        <v>0</v>
      </c>
      <c r="R270" s="636">
        <f t="shared" si="241"/>
        <v>0</v>
      </c>
      <c r="S270" s="636">
        <f t="shared" si="241"/>
        <v>0</v>
      </c>
      <c r="T270" s="636">
        <f t="shared" si="241"/>
        <v>0</v>
      </c>
      <c r="U270" s="636">
        <f t="shared" si="241"/>
        <v>0</v>
      </c>
      <c r="V270" s="636">
        <f t="shared" si="241"/>
        <v>0</v>
      </c>
      <c r="W270" s="636">
        <f t="shared" si="241"/>
        <v>0</v>
      </c>
      <c r="X270" s="636">
        <f t="shared" si="241"/>
        <v>0</v>
      </c>
      <c r="Y270" s="636">
        <f t="shared" si="241"/>
        <v>0</v>
      </c>
      <c r="Z270" s="636">
        <f t="shared" si="241"/>
        <v>0</v>
      </c>
      <c r="AB270" s="19"/>
      <c r="BN270" s="19"/>
    </row>
    <row r="271" spans="1:67" x14ac:dyDescent="0.25">
      <c r="A271" s="19"/>
      <c r="B271" s="219" t="str">
        <f t="shared" ref="B271:B273" si="242">B270</f>
        <v>TRAELR00</v>
      </c>
      <c r="C271" s="224"/>
      <c r="D271" s="230"/>
      <c r="E271" s="224"/>
      <c r="F271" s="224"/>
      <c r="G271" s="224"/>
      <c r="H271" s="231">
        <v>2030</v>
      </c>
      <c r="I271" s="224"/>
      <c r="J271" s="232" t="s">
        <v>1065</v>
      </c>
      <c r="K271" s="232" t="s">
        <v>85</v>
      </c>
      <c r="L271" s="636">
        <f t="shared" ref="L271:L273" si="243">L270</f>
        <v>0</v>
      </c>
      <c r="M271" s="636">
        <f t="shared" si="241"/>
        <v>0</v>
      </c>
      <c r="N271" s="636">
        <f t="shared" si="241"/>
        <v>0</v>
      </c>
      <c r="O271" s="636">
        <f t="shared" si="241"/>
        <v>0</v>
      </c>
      <c r="P271" s="636">
        <f t="shared" si="241"/>
        <v>0</v>
      </c>
      <c r="Q271" s="636">
        <f t="shared" si="241"/>
        <v>0</v>
      </c>
      <c r="R271" s="636">
        <f t="shared" si="241"/>
        <v>0</v>
      </c>
      <c r="S271" s="636">
        <f t="shared" si="241"/>
        <v>0</v>
      </c>
      <c r="T271" s="636">
        <f t="shared" si="241"/>
        <v>0</v>
      </c>
      <c r="U271" s="636">
        <f t="shared" si="241"/>
        <v>0</v>
      </c>
      <c r="V271" s="636">
        <f t="shared" si="241"/>
        <v>0</v>
      </c>
      <c r="W271" s="636">
        <f t="shared" si="241"/>
        <v>0</v>
      </c>
      <c r="X271" s="636">
        <f t="shared" si="241"/>
        <v>0</v>
      </c>
      <c r="Y271" s="636">
        <f t="shared" si="241"/>
        <v>0</v>
      </c>
      <c r="Z271" s="636">
        <f t="shared" si="241"/>
        <v>0</v>
      </c>
      <c r="AB271" s="19"/>
      <c r="AR271" s="97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</row>
    <row r="272" spans="1:67" x14ac:dyDescent="0.25">
      <c r="A272" s="19"/>
      <c r="B272" s="219" t="str">
        <f t="shared" si="242"/>
        <v>TRAELR00</v>
      </c>
      <c r="C272" s="224"/>
      <c r="D272" s="230"/>
      <c r="E272" s="224"/>
      <c r="F272" s="224"/>
      <c r="G272" s="224"/>
      <c r="H272" s="231">
        <v>2040</v>
      </c>
      <c r="I272" s="224"/>
      <c r="J272" s="232" t="s">
        <v>1065</v>
      </c>
      <c r="K272" s="232" t="s">
        <v>85</v>
      </c>
      <c r="L272" s="636">
        <f t="shared" si="243"/>
        <v>0</v>
      </c>
      <c r="M272" s="636">
        <f t="shared" si="241"/>
        <v>0</v>
      </c>
      <c r="N272" s="636">
        <f t="shared" si="241"/>
        <v>0</v>
      </c>
      <c r="O272" s="636">
        <f t="shared" si="241"/>
        <v>0</v>
      </c>
      <c r="P272" s="636">
        <f t="shared" si="241"/>
        <v>0</v>
      </c>
      <c r="Q272" s="636">
        <f t="shared" si="241"/>
        <v>0</v>
      </c>
      <c r="R272" s="636">
        <f t="shared" si="241"/>
        <v>0</v>
      </c>
      <c r="S272" s="636">
        <f t="shared" si="241"/>
        <v>0</v>
      </c>
      <c r="T272" s="636">
        <f t="shared" si="241"/>
        <v>0</v>
      </c>
      <c r="U272" s="636">
        <f t="shared" si="241"/>
        <v>0</v>
      </c>
      <c r="V272" s="636">
        <f t="shared" si="241"/>
        <v>0</v>
      </c>
      <c r="W272" s="636">
        <f t="shared" si="241"/>
        <v>0</v>
      </c>
      <c r="X272" s="636">
        <f t="shared" si="241"/>
        <v>0</v>
      </c>
      <c r="Y272" s="636">
        <f t="shared" si="241"/>
        <v>0</v>
      </c>
      <c r="Z272" s="636">
        <f t="shared" si="241"/>
        <v>0</v>
      </c>
      <c r="AR272" s="97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</row>
    <row r="273" spans="1:67" x14ac:dyDescent="0.25">
      <c r="A273" s="19"/>
      <c r="B273" s="233" t="str">
        <f t="shared" si="242"/>
        <v>TRAELR00</v>
      </c>
      <c r="C273" s="234"/>
      <c r="D273" s="235"/>
      <c r="E273" s="234"/>
      <c r="F273" s="234"/>
      <c r="G273" s="234"/>
      <c r="H273" s="236">
        <f>$K$5</f>
        <v>2050</v>
      </c>
      <c r="I273" s="234"/>
      <c r="J273" s="237" t="s">
        <v>1065</v>
      </c>
      <c r="K273" s="237" t="s">
        <v>85</v>
      </c>
      <c r="L273" s="637">
        <f t="shared" si="243"/>
        <v>0</v>
      </c>
      <c r="M273" s="637">
        <f t="shared" si="241"/>
        <v>0</v>
      </c>
      <c r="N273" s="637">
        <f t="shared" si="241"/>
        <v>0</v>
      </c>
      <c r="O273" s="637">
        <f t="shared" si="241"/>
        <v>0</v>
      </c>
      <c r="P273" s="637">
        <f t="shared" si="241"/>
        <v>0</v>
      </c>
      <c r="Q273" s="637">
        <f t="shared" si="241"/>
        <v>0</v>
      </c>
      <c r="R273" s="637">
        <f t="shared" si="241"/>
        <v>0</v>
      </c>
      <c r="S273" s="637">
        <f t="shared" si="241"/>
        <v>0</v>
      </c>
      <c r="T273" s="637">
        <f t="shared" si="241"/>
        <v>0</v>
      </c>
      <c r="U273" s="637">
        <f t="shared" si="241"/>
        <v>0</v>
      </c>
      <c r="V273" s="637">
        <f t="shared" si="241"/>
        <v>0</v>
      </c>
      <c r="W273" s="637">
        <f t="shared" si="241"/>
        <v>0</v>
      </c>
      <c r="X273" s="637">
        <f t="shared" si="241"/>
        <v>0</v>
      </c>
      <c r="Y273" s="637">
        <f t="shared" si="241"/>
        <v>0</v>
      </c>
      <c r="Z273" s="637">
        <f t="shared" si="241"/>
        <v>0</v>
      </c>
      <c r="AA273" s="41"/>
      <c r="AB273" s="19"/>
      <c r="AR273" s="97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</row>
    <row r="274" spans="1:67" s="19" customFormat="1" x14ac:dyDescent="0.25">
      <c r="C274"/>
      <c r="D274" s="3"/>
      <c r="E274"/>
      <c r="F274"/>
      <c r="G274"/>
      <c r="H274" s="96"/>
      <c r="I274"/>
      <c r="J274" s="719"/>
      <c r="K274" s="719"/>
      <c r="L274" s="732"/>
      <c r="M274" s="732"/>
      <c r="N274" s="732"/>
      <c r="O274" s="732"/>
      <c r="P274" s="732"/>
      <c r="Q274" s="732"/>
      <c r="R274" s="732"/>
      <c r="S274" s="732"/>
      <c r="T274" s="732"/>
      <c r="U274" s="732"/>
      <c r="V274" s="732"/>
      <c r="W274" s="732"/>
      <c r="X274" s="732"/>
      <c r="Y274" s="732"/>
      <c r="Z274" s="732"/>
      <c r="AA274" s="41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 s="23"/>
    </row>
    <row r="275" spans="1:67" x14ac:dyDescent="0.25">
      <c r="A275" s="19"/>
      <c r="B275" s="19"/>
      <c r="D275" s="3"/>
      <c r="J275" s="719"/>
      <c r="K275" s="719"/>
      <c r="L275" s="732"/>
      <c r="M275" s="732"/>
      <c r="N275" s="732"/>
      <c r="O275" s="732"/>
      <c r="P275" s="732"/>
      <c r="Q275" s="732"/>
      <c r="R275" s="732"/>
      <c r="S275" s="732"/>
      <c r="T275" s="732"/>
      <c r="U275" s="732"/>
      <c r="V275" s="732"/>
      <c r="W275" s="732"/>
      <c r="X275" s="732"/>
      <c r="Y275" s="732"/>
      <c r="Z275" s="732"/>
      <c r="AA275" s="41"/>
      <c r="BN275" s="19"/>
    </row>
    <row r="276" spans="1:67" x14ac:dyDescent="0.25">
      <c r="C276" s="12"/>
      <c r="D276" s="12"/>
      <c r="G276" s="41"/>
      <c r="H276" s="51"/>
      <c r="I276" s="41"/>
      <c r="J276" s="40" t="s">
        <v>1051</v>
      </c>
      <c r="K276" s="40"/>
      <c r="P276" s="41"/>
      <c r="AB276" s="19"/>
    </row>
    <row r="277" spans="1:67" s="19" customFormat="1" x14ac:dyDescent="0.25">
      <c r="A277"/>
      <c r="B277" s="52" t="s">
        <v>1053</v>
      </c>
      <c r="C277" s="42" t="s">
        <v>104</v>
      </c>
      <c r="D277" s="42" t="s">
        <v>1054</v>
      </c>
      <c r="E277" s="42" t="s">
        <v>673</v>
      </c>
      <c r="F277" s="103" t="s">
        <v>674</v>
      </c>
      <c r="G277" s="42" t="s">
        <v>1055</v>
      </c>
      <c r="H277" s="98" t="s">
        <v>1056</v>
      </c>
      <c r="I277" s="42" t="s">
        <v>982</v>
      </c>
      <c r="J277" s="42" t="s">
        <v>1057</v>
      </c>
      <c r="K277" s="42" t="s">
        <v>1058</v>
      </c>
      <c r="L277" s="42" t="str">
        <f t="shared" ref="L277:Z277" si="244">L$2</f>
        <v>Z01</v>
      </c>
      <c r="M277" s="42" t="str">
        <f t="shared" si="244"/>
        <v>Z02</v>
      </c>
      <c r="N277" s="42" t="str">
        <f t="shared" si="244"/>
        <v>Z03</v>
      </c>
      <c r="O277" s="42" t="str">
        <f t="shared" si="244"/>
        <v>Z04</v>
      </c>
      <c r="P277" s="42" t="str">
        <f t="shared" si="244"/>
        <v>Z05</v>
      </c>
      <c r="Q277" s="42" t="str">
        <f t="shared" si="244"/>
        <v>Z06</v>
      </c>
      <c r="R277" s="42" t="str">
        <f t="shared" si="244"/>
        <v>Z07</v>
      </c>
      <c r="S277" s="42" t="str">
        <f t="shared" si="244"/>
        <v>Z08</v>
      </c>
      <c r="T277" s="42" t="str">
        <f t="shared" si="244"/>
        <v>Z09</v>
      </c>
      <c r="U277" s="42" t="str">
        <f t="shared" si="244"/>
        <v>Z10</v>
      </c>
      <c r="V277" s="42" t="str">
        <f t="shared" si="244"/>
        <v>Z11</v>
      </c>
      <c r="W277" s="42" t="str">
        <f t="shared" si="244"/>
        <v>Z12</v>
      </c>
      <c r="X277" s="42" t="str">
        <f t="shared" si="244"/>
        <v>Z13</v>
      </c>
      <c r="Y277" s="42" t="str">
        <f t="shared" si="244"/>
        <v>Z14</v>
      </c>
      <c r="Z277" s="42" t="str">
        <f t="shared" si="244"/>
        <v>Z15</v>
      </c>
      <c r="AA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 s="23"/>
    </row>
    <row r="278" spans="1:67" s="19" customFormat="1" x14ac:dyDescent="0.25">
      <c r="B278" s="219" t="str">
        <f>C278</f>
        <v>TRAELC01</v>
      </c>
      <c r="C278" s="224" t="s">
        <v>934</v>
      </c>
      <c r="D278" s="225" t="s">
        <v>1104</v>
      </c>
      <c r="E278" s="173" t="s">
        <v>1102</v>
      </c>
      <c r="F278" s="173" t="s">
        <v>683</v>
      </c>
      <c r="G278" s="224"/>
      <c r="H278" s="241"/>
      <c r="I278" s="173"/>
      <c r="J278" s="239" t="s">
        <v>1064</v>
      </c>
      <c r="K278" s="239"/>
      <c r="L278" s="635">
        <v>1</v>
      </c>
      <c r="M278" s="635">
        <f t="shared" ref="M278" si="245">L278</f>
        <v>1</v>
      </c>
      <c r="N278" s="635">
        <f t="shared" ref="N278" si="246">M278</f>
        <v>1</v>
      </c>
      <c r="O278" s="635">
        <f t="shared" ref="O278" si="247">N278</f>
        <v>1</v>
      </c>
      <c r="P278" s="635">
        <f t="shared" ref="P278" si="248">O278</f>
        <v>1</v>
      </c>
      <c r="Q278" s="635">
        <f t="shared" ref="Q278" si="249">P278</f>
        <v>1</v>
      </c>
      <c r="R278" s="635">
        <f t="shared" ref="R278" si="250">Q278</f>
        <v>1</v>
      </c>
      <c r="S278" s="635">
        <f t="shared" ref="S278" si="251">R278</f>
        <v>1</v>
      </c>
      <c r="T278" s="635">
        <f t="shared" ref="T278" si="252">S278</f>
        <v>1</v>
      </c>
      <c r="U278" s="635">
        <f t="shared" ref="U278" si="253">T278</f>
        <v>1</v>
      </c>
      <c r="V278" s="635">
        <f t="shared" ref="V278" si="254">U278</f>
        <v>1</v>
      </c>
      <c r="W278" s="635">
        <f t="shared" ref="W278" si="255">V278</f>
        <v>1</v>
      </c>
      <c r="X278" s="635">
        <f t="shared" ref="X278" si="256">W278</f>
        <v>1</v>
      </c>
      <c r="Y278" s="635">
        <f t="shared" ref="Y278" si="257">X278</f>
        <v>1</v>
      </c>
      <c r="Z278" s="635">
        <f t="shared" ref="Z278" si="258">Y278</f>
        <v>1</v>
      </c>
      <c r="AA278"/>
      <c r="AB278" s="99"/>
      <c r="AC278" s="719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 s="97"/>
      <c r="BO278" s="23"/>
    </row>
    <row r="279" spans="1:67" x14ac:dyDescent="0.25">
      <c r="A279" s="19"/>
      <c r="B279" s="219" t="str">
        <f>B278</f>
        <v>TRAELC01</v>
      </c>
      <c r="C279" s="224"/>
      <c r="D279" s="230"/>
      <c r="E279" s="224"/>
      <c r="F279" s="224"/>
      <c r="G279" s="224"/>
      <c r="H279" s="231"/>
      <c r="I279" s="224"/>
      <c r="J279" s="232" t="s">
        <v>1097</v>
      </c>
      <c r="K279" s="232"/>
      <c r="L279" s="638">
        <v>2016</v>
      </c>
      <c r="M279" s="638">
        <f>L279</f>
        <v>2016</v>
      </c>
      <c r="N279" s="638">
        <f t="shared" ref="N279" si="259">M279</f>
        <v>2016</v>
      </c>
      <c r="O279" s="638">
        <f t="shared" ref="O279" si="260">N279</f>
        <v>2016</v>
      </c>
      <c r="P279" s="638">
        <f t="shared" ref="P279" si="261">O279</f>
        <v>2016</v>
      </c>
      <c r="Q279" s="638">
        <f t="shared" ref="Q279" si="262">P279</f>
        <v>2016</v>
      </c>
      <c r="R279" s="638">
        <f t="shared" ref="R279" si="263">Q279</f>
        <v>2016</v>
      </c>
      <c r="S279" s="638">
        <f t="shared" ref="S279" si="264">R279</f>
        <v>2016</v>
      </c>
      <c r="T279" s="638">
        <f t="shared" ref="T279" si="265">S279</f>
        <v>2016</v>
      </c>
      <c r="U279" s="638">
        <f t="shared" ref="U279" si="266">T279</f>
        <v>2016</v>
      </c>
      <c r="V279" s="638">
        <f t="shared" ref="V279" si="267">U279</f>
        <v>2016</v>
      </c>
      <c r="W279" s="638">
        <f t="shared" ref="W279" si="268">V279</f>
        <v>2016</v>
      </c>
      <c r="X279" s="638">
        <f t="shared" ref="X279" si="269">W279</f>
        <v>2016</v>
      </c>
      <c r="Y279" s="638">
        <f t="shared" ref="Y279" si="270">X279</f>
        <v>2016</v>
      </c>
      <c r="Z279" s="638">
        <f t="shared" ref="Z279" si="271">Y279</f>
        <v>2016</v>
      </c>
      <c r="AB279" s="19"/>
      <c r="AD279" s="720"/>
      <c r="BN279" s="19"/>
    </row>
    <row r="280" spans="1:67" x14ac:dyDescent="0.25">
      <c r="A280" s="19"/>
      <c r="B280" s="233" t="str">
        <f>B279</f>
        <v>TRAELC01</v>
      </c>
      <c r="C280" s="234"/>
      <c r="D280" s="235"/>
      <c r="E280" s="234"/>
      <c r="F280" s="234"/>
      <c r="G280" s="234"/>
      <c r="H280" s="236"/>
      <c r="I280" s="234"/>
      <c r="J280" s="237" t="s">
        <v>1098</v>
      </c>
      <c r="K280" s="237" t="s">
        <v>1099</v>
      </c>
      <c r="L280" s="637"/>
      <c r="M280" s="637"/>
      <c r="N280" s="637"/>
      <c r="O280" s="637"/>
      <c r="P280" s="637"/>
      <c r="Q280" s="637"/>
      <c r="R280" s="637"/>
      <c r="S280" s="637"/>
      <c r="T280" s="637"/>
      <c r="U280" s="637"/>
      <c r="V280" s="637"/>
      <c r="W280" s="637"/>
      <c r="X280" s="637"/>
      <c r="Y280" s="637"/>
      <c r="Z280" s="637"/>
      <c r="AA280" s="41"/>
      <c r="AB280" s="19"/>
    </row>
    <row r="281" spans="1:67" x14ac:dyDescent="0.25">
      <c r="A281" s="19"/>
      <c r="B281" s="219" t="str">
        <f>C281</f>
        <v>TRAELR01</v>
      </c>
      <c r="C281" s="224" t="s">
        <v>937</v>
      </c>
      <c r="D281" s="225" t="s">
        <v>1105</v>
      </c>
      <c r="E281" s="173" t="s">
        <v>1102</v>
      </c>
      <c r="F281" s="173" t="s">
        <v>1008</v>
      </c>
      <c r="G281" s="224"/>
      <c r="H281" s="241"/>
      <c r="I281" s="173"/>
      <c r="J281" s="239" t="s">
        <v>1064</v>
      </c>
      <c r="K281" s="239"/>
      <c r="L281" s="635">
        <v>1</v>
      </c>
      <c r="M281" s="635">
        <f t="shared" ref="M281" si="272">L281</f>
        <v>1</v>
      </c>
      <c r="N281" s="635">
        <f t="shared" ref="N281:N282" si="273">M281</f>
        <v>1</v>
      </c>
      <c r="O281" s="635">
        <f t="shared" ref="O281:O282" si="274">N281</f>
        <v>1</v>
      </c>
      <c r="P281" s="635">
        <f t="shared" ref="P281:P282" si="275">O281</f>
        <v>1</v>
      </c>
      <c r="Q281" s="635">
        <f t="shared" ref="Q281:Q282" si="276">P281</f>
        <v>1</v>
      </c>
      <c r="R281" s="635">
        <f t="shared" ref="R281:R282" si="277">Q281</f>
        <v>1</v>
      </c>
      <c r="S281" s="635">
        <f t="shared" ref="S281:S282" si="278">R281</f>
        <v>1</v>
      </c>
      <c r="T281" s="635">
        <f t="shared" ref="T281:T282" si="279">S281</f>
        <v>1</v>
      </c>
      <c r="U281" s="635">
        <f t="shared" ref="U281:U282" si="280">T281</f>
        <v>1</v>
      </c>
      <c r="V281" s="635">
        <f t="shared" ref="V281:V282" si="281">U281</f>
        <v>1</v>
      </c>
      <c r="W281" s="635">
        <f t="shared" ref="W281:W282" si="282">V281</f>
        <v>1</v>
      </c>
      <c r="X281" s="635">
        <f t="shared" ref="X281:X282" si="283">W281</f>
        <v>1</v>
      </c>
      <c r="Y281" s="635">
        <f t="shared" ref="Y281:Y282" si="284">X281</f>
        <v>1</v>
      </c>
      <c r="Z281" s="635">
        <f t="shared" ref="Z281:Z282" si="285">Y281</f>
        <v>1</v>
      </c>
      <c r="AB281" s="19"/>
      <c r="AR281" s="97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</row>
    <row r="282" spans="1:67" x14ac:dyDescent="0.25">
      <c r="A282" s="19"/>
      <c r="B282" s="219" t="str">
        <f>B281</f>
        <v>TRAELR01</v>
      </c>
      <c r="C282" s="224"/>
      <c r="D282" s="230"/>
      <c r="E282" s="224"/>
      <c r="F282" s="224"/>
      <c r="G282" s="224"/>
      <c r="H282" s="231"/>
      <c r="I282" s="224"/>
      <c r="J282" s="232" t="s">
        <v>1097</v>
      </c>
      <c r="K282" s="232"/>
      <c r="L282" s="638">
        <v>2016</v>
      </c>
      <c r="M282" s="638">
        <f>L282</f>
        <v>2016</v>
      </c>
      <c r="N282" s="638">
        <f t="shared" si="273"/>
        <v>2016</v>
      </c>
      <c r="O282" s="638">
        <f t="shared" si="274"/>
        <v>2016</v>
      </c>
      <c r="P282" s="638">
        <f t="shared" si="275"/>
        <v>2016</v>
      </c>
      <c r="Q282" s="638">
        <f t="shared" si="276"/>
        <v>2016</v>
      </c>
      <c r="R282" s="638">
        <f t="shared" si="277"/>
        <v>2016</v>
      </c>
      <c r="S282" s="638">
        <f t="shared" si="278"/>
        <v>2016</v>
      </c>
      <c r="T282" s="638">
        <f t="shared" si="279"/>
        <v>2016</v>
      </c>
      <c r="U282" s="638">
        <f t="shared" si="280"/>
        <v>2016</v>
      </c>
      <c r="V282" s="638">
        <f t="shared" si="281"/>
        <v>2016</v>
      </c>
      <c r="W282" s="638">
        <f t="shared" si="282"/>
        <v>2016</v>
      </c>
      <c r="X282" s="638">
        <f t="shared" si="283"/>
        <v>2016</v>
      </c>
      <c r="Y282" s="638">
        <f t="shared" si="284"/>
        <v>2016</v>
      </c>
      <c r="Z282" s="638">
        <f t="shared" si="285"/>
        <v>2016</v>
      </c>
      <c r="AB282" s="19"/>
      <c r="AE282" s="19"/>
      <c r="AQ282" s="9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</row>
    <row r="283" spans="1:67" x14ac:dyDescent="0.25">
      <c r="A283" s="19"/>
      <c r="B283" s="233" t="str">
        <f>B282</f>
        <v>TRAELR01</v>
      </c>
      <c r="C283" s="234"/>
      <c r="D283" s="235"/>
      <c r="E283" s="234"/>
      <c r="F283" s="234"/>
      <c r="G283" s="234"/>
      <c r="H283" s="236"/>
      <c r="I283" s="234"/>
      <c r="J283" s="237" t="s">
        <v>1098</v>
      </c>
      <c r="K283" s="237" t="s">
        <v>1099</v>
      </c>
      <c r="L283" s="637"/>
      <c r="M283" s="637"/>
      <c r="N283" s="637"/>
      <c r="O283" s="637"/>
      <c r="P283" s="637"/>
      <c r="Q283" s="637"/>
      <c r="R283" s="637"/>
      <c r="S283" s="637"/>
      <c r="T283" s="637"/>
      <c r="U283" s="637"/>
      <c r="V283" s="637"/>
      <c r="W283" s="637"/>
      <c r="X283" s="637"/>
      <c r="Y283" s="637"/>
      <c r="Z283" s="637"/>
      <c r="AA283" s="41"/>
      <c r="AB283" s="19"/>
    </row>
    <row r="284" spans="1:67" x14ac:dyDescent="0.25">
      <c r="B284" s="104"/>
      <c r="C284" s="19"/>
      <c r="F284" s="46"/>
      <c r="G284" s="105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</row>
    <row r="286" spans="1:67" x14ac:dyDescent="0.25">
      <c r="B286" s="42" t="s">
        <v>1100</v>
      </c>
      <c r="C286" s="42"/>
      <c r="D286" s="42"/>
      <c r="AB286" s="19"/>
    </row>
    <row r="287" spans="1:67" s="19" customFormat="1" x14ac:dyDescent="0.25">
      <c r="A287"/>
      <c r="B287"/>
      <c r="C287" s="12"/>
      <c r="D287" s="12"/>
      <c r="E287"/>
      <c r="F287"/>
      <c r="G287" s="41"/>
      <c r="H287" s="51"/>
      <c r="I287" s="41"/>
      <c r="J287" s="40"/>
      <c r="K287" s="40"/>
      <c r="L287"/>
      <c r="M287"/>
      <c r="N287"/>
      <c r="O287"/>
      <c r="P287" s="41"/>
      <c r="Q287"/>
      <c r="R287"/>
      <c r="S287"/>
      <c r="T287"/>
      <c r="U287"/>
      <c r="V287"/>
      <c r="W287"/>
      <c r="X287"/>
      <c r="Y287"/>
      <c r="Z287"/>
      <c r="AA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 s="23"/>
    </row>
    <row r="288" spans="1:67" x14ac:dyDescent="0.25">
      <c r="B288" s="52" t="s">
        <v>1053</v>
      </c>
      <c r="C288" s="42" t="s">
        <v>104</v>
      </c>
      <c r="D288" s="42" t="s">
        <v>1054</v>
      </c>
      <c r="E288" s="42" t="s">
        <v>673</v>
      </c>
      <c r="F288" s="103" t="s">
        <v>674</v>
      </c>
      <c r="G288" s="42" t="s">
        <v>1055</v>
      </c>
      <c r="H288" s="98" t="s">
        <v>1056</v>
      </c>
      <c r="I288" s="42" t="s">
        <v>982</v>
      </c>
      <c r="J288" s="42" t="s">
        <v>1057</v>
      </c>
      <c r="K288" s="42" t="s">
        <v>1058</v>
      </c>
      <c r="L288" s="42" t="str">
        <f t="shared" ref="L288:Z288" si="286">L$2</f>
        <v>Z01</v>
      </c>
      <c r="M288" s="42" t="str">
        <f t="shared" si="286"/>
        <v>Z02</v>
      </c>
      <c r="N288" s="42" t="str">
        <f t="shared" si="286"/>
        <v>Z03</v>
      </c>
      <c r="O288" s="42" t="str">
        <f t="shared" si="286"/>
        <v>Z04</v>
      </c>
      <c r="P288" s="42" t="str">
        <f t="shared" si="286"/>
        <v>Z05</v>
      </c>
      <c r="Q288" s="42" t="str">
        <f t="shared" si="286"/>
        <v>Z06</v>
      </c>
      <c r="R288" s="42" t="str">
        <f t="shared" si="286"/>
        <v>Z07</v>
      </c>
      <c r="S288" s="42" t="str">
        <f t="shared" si="286"/>
        <v>Z08</v>
      </c>
      <c r="T288" s="42" t="str">
        <f t="shared" si="286"/>
        <v>Z09</v>
      </c>
      <c r="U288" s="42" t="str">
        <f t="shared" si="286"/>
        <v>Z10</v>
      </c>
      <c r="V288" s="42" t="str">
        <f t="shared" si="286"/>
        <v>Z11</v>
      </c>
      <c r="W288" s="42" t="str">
        <f t="shared" si="286"/>
        <v>Z12</v>
      </c>
      <c r="X288" s="42" t="str">
        <f t="shared" si="286"/>
        <v>Z13</v>
      </c>
      <c r="Y288" s="42" t="str">
        <f t="shared" si="286"/>
        <v>Z14</v>
      </c>
      <c r="Z288" s="42" t="str">
        <f t="shared" si="286"/>
        <v>Z15</v>
      </c>
      <c r="BN288" s="19"/>
    </row>
    <row r="289" spans="1:67" x14ac:dyDescent="0.25">
      <c r="B289" s="171"/>
      <c r="C289" s="171"/>
      <c r="D289" s="171" t="s">
        <v>1062</v>
      </c>
      <c r="E289" s="171"/>
      <c r="F289" s="171"/>
      <c r="G289" s="171"/>
      <c r="H289" s="223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</row>
    <row r="290" spans="1:67" x14ac:dyDescent="0.25">
      <c r="A290" s="19"/>
      <c r="B290" s="219" t="str">
        <f>C290</f>
        <v>TRAELC00</v>
      </c>
      <c r="C290" s="224" t="str">
        <f>CONCATENATE(F290,"00")</f>
        <v>TRAELC00</v>
      </c>
      <c r="D290" s="225" t="s">
        <v>1101</v>
      </c>
      <c r="E290" s="173" t="s">
        <v>1106</v>
      </c>
      <c r="F290" s="173" t="s">
        <v>683</v>
      </c>
      <c r="G290" s="224"/>
      <c r="H290" s="241"/>
      <c r="I290" s="173"/>
      <c r="J290" s="239" t="s">
        <v>1064</v>
      </c>
      <c r="K290" s="239"/>
      <c r="L290" s="635">
        <v>1</v>
      </c>
      <c r="M290" s="635">
        <f>L290</f>
        <v>1</v>
      </c>
      <c r="N290" s="635">
        <f t="shared" ref="N290:S290" si="287">M290</f>
        <v>1</v>
      </c>
      <c r="O290" s="635">
        <f t="shared" si="287"/>
        <v>1</v>
      </c>
      <c r="P290" s="635">
        <f t="shared" si="287"/>
        <v>1</v>
      </c>
      <c r="Q290" s="635">
        <f t="shared" si="287"/>
        <v>1</v>
      </c>
      <c r="R290" s="635">
        <f t="shared" si="287"/>
        <v>1</v>
      </c>
      <c r="S290" s="635">
        <f t="shared" si="287"/>
        <v>1</v>
      </c>
      <c r="T290" s="635">
        <f t="shared" ref="T290:Z290" si="288">S290</f>
        <v>1</v>
      </c>
      <c r="U290" s="635">
        <f t="shared" si="288"/>
        <v>1</v>
      </c>
      <c r="V290" s="635">
        <f t="shared" si="288"/>
        <v>1</v>
      </c>
      <c r="W290" s="635">
        <f t="shared" si="288"/>
        <v>1</v>
      </c>
      <c r="X290" s="635">
        <f t="shared" si="288"/>
        <v>1</v>
      </c>
      <c r="Y290" s="635">
        <f t="shared" si="288"/>
        <v>1</v>
      </c>
      <c r="Z290" s="635">
        <f t="shared" si="288"/>
        <v>1</v>
      </c>
      <c r="AB290" s="19"/>
    </row>
    <row r="291" spans="1:67" s="19" customFormat="1" x14ac:dyDescent="0.25">
      <c r="B291" s="219" t="str">
        <f>B290</f>
        <v>TRAELC00</v>
      </c>
      <c r="C291" s="224"/>
      <c r="D291" s="225"/>
      <c r="E291" s="219"/>
      <c r="F291" s="219"/>
      <c r="G291" s="224"/>
      <c r="H291" s="241"/>
      <c r="I291" s="173"/>
      <c r="J291" s="239" t="s">
        <v>1107</v>
      </c>
      <c r="K291" s="239" t="s">
        <v>1108</v>
      </c>
      <c r="L291" s="636">
        <v>31.536000000000001</v>
      </c>
      <c r="M291" s="636">
        <v>31.536000000000001</v>
      </c>
      <c r="N291" s="636">
        <v>31.536000000000001</v>
      </c>
      <c r="O291" s="636">
        <v>31.536000000000001</v>
      </c>
      <c r="P291" s="636">
        <v>31.536000000000001</v>
      </c>
      <c r="Q291" s="636">
        <v>31.536000000000001</v>
      </c>
      <c r="R291" s="636">
        <v>31.536000000000001</v>
      </c>
      <c r="S291" s="636">
        <v>31.536000000000001</v>
      </c>
      <c r="T291" s="636">
        <v>31.536000000000001</v>
      </c>
      <c r="U291" s="636">
        <v>31.536000000000001</v>
      </c>
      <c r="V291" s="636">
        <v>31.536000000000001</v>
      </c>
      <c r="W291" s="636">
        <v>31.536000000000001</v>
      </c>
      <c r="X291" s="636">
        <v>31.536000000000001</v>
      </c>
      <c r="Y291" s="636">
        <v>31.536000000000001</v>
      </c>
      <c r="Z291" s="636">
        <v>31.536000000000001</v>
      </c>
      <c r="AA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 s="97"/>
      <c r="BN291"/>
      <c r="BO291" s="23"/>
    </row>
    <row r="292" spans="1:67" s="19" customFormat="1" x14ac:dyDescent="0.25">
      <c r="B292" s="219" t="str">
        <f>B290</f>
        <v>TRAELC00</v>
      </c>
      <c r="C292" s="224"/>
      <c r="D292" s="230"/>
      <c r="E292" s="224"/>
      <c r="F292" s="224"/>
      <c r="G292" s="224"/>
      <c r="H292" s="231">
        <f>$K$3</f>
        <v>2019</v>
      </c>
      <c r="I292" s="224"/>
      <c r="J292" s="232" t="s">
        <v>1065</v>
      </c>
      <c r="K292" s="232" t="s">
        <v>1109</v>
      </c>
      <c r="L292" s="638"/>
      <c r="M292" s="636"/>
      <c r="N292" s="636"/>
      <c r="O292" s="636"/>
      <c r="P292" s="636"/>
      <c r="Q292" s="636"/>
      <c r="R292" s="636"/>
      <c r="S292" s="636"/>
      <c r="T292" s="636"/>
      <c r="U292" s="636"/>
      <c r="V292" s="636"/>
      <c r="W292" s="636"/>
      <c r="X292" s="636"/>
      <c r="Y292" s="636"/>
      <c r="Z292" s="636"/>
      <c r="AA292"/>
      <c r="AB292" s="99"/>
      <c r="AC292" s="719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O292" s="23"/>
    </row>
    <row r="293" spans="1:67" s="19" customFormat="1" x14ac:dyDescent="0.25">
      <c r="B293" s="233" t="str">
        <f>B292</f>
        <v>TRAELC00</v>
      </c>
      <c r="C293" s="234"/>
      <c r="D293" s="235"/>
      <c r="E293" s="234"/>
      <c r="F293" s="234"/>
      <c r="G293" s="234"/>
      <c r="H293" s="236">
        <f>$K$5</f>
        <v>2050</v>
      </c>
      <c r="I293" s="234"/>
      <c r="J293" s="237" t="s">
        <v>1065</v>
      </c>
      <c r="K293" s="237" t="s">
        <v>1109</v>
      </c>
      <c r="L293" s="637"/>
      <c r="M293" s="637"/>
      <c r="N293" s="637"/>
      <c r="O293" s="637"/>
      <c r="P293" s="637"/>
      <c r="Q293" s="637"/>
      <c r="R293" s="637"/>
      <c r="S293" s="637"/>
      <c r="T293" s="637"/>
      <c r="U293" s="637"/>
      <c r="V293" s="637"/>
      <c r="W293" s="637"/>
      <c r="X293" s="637"/>
      <c r="Y293" s="637"/>
      <c r="Z293" s="637"/>
      <c r="AA293" s="41"/>
      <c r="AB293"/>
      <c r="AD293" s="720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O293" s="23"/>
    </row>
    <row r="294" spans="1:67" x14ac:dyDescent="0.25">
      <c r="A294" s="19"/>
      <c r="B294" s="219" t="str">
        <f>C294</f>
        <v>TRAELC01</v>
      </c>
      <c r="C294" s="224" t="s">
        <v>934</v>
      </c>
      <c r="D294" s="225" t="s">
        <v>1104</v>
      </c>
      <c r="E294" s="173" t="s">
        <v>1106</v>
      </c>
      <c r="F294" s="173" t="s">
        <v>683</v>
      </c>
      <c r="G294" s="224"/>
      <c r="H294" s="241"/>
      <c r="I294" s="173"/>
      <c r="J294" s="239" t="s">
        <v>1064</v>
      </c>
      <c r="K294" s="239"/>
      <c r="L294" s="635">
        <v>1</v>
      </c>
      <c r="M294" s="635">
        <f t="shared" ref="M294:Z294" si="289">L294</f>
        <v>1</v>
      </c>
      <c r="N294" s="635">
        <f t="shared" si="289"/>
        <v>1</v>
      </c>
      <c r="O294" s="635">
        <f t="shared" si="289"/>
        <v>1</v>
      </c>
      <c r="P294" s="635">
        <f t="shared" si="289"/>
        <v>1</v>
      </c>
      <c r="Q294" s="635">
        <f t="shared" si="289"/>
        <v>1</v>
      </c>
      <c r="R294" s="635">
        <f t="shared" si="289"/>
        <v>1</v>
      </c>
      <c r="S294" s="635">
        <f t="shared" si="289"/>
        <v>1</v>
      </c>
      <c r="T294" s="635">
        <f t="shared" si="289"/>
        <v>1</v>
      </c>
      <c r="U294" s="635">
        <f t="shared" si="289"/>
        <v>1</v>
      </c>
      <c r="V294" s="635">
        <f t="shared" si="289"/>
        <v>1</v>
      </c>
      <c r="W294" s="635">
        <f t="shared" si="289"/>
        <v>1</v>
      </c>
      <c r="X294" s="635">
        <f t="shared" si="289"/>
        <v>1</v>
      </c>
      <c r="Y294" s="635">
        <f t="shared" si="289"/>
        <v>1</v>
      </c>
      <c r="Z294" s="635">
        <f t="shared" si="289"/>
        <v>1</v>
      </c>
      <c r="AC294" s="19"/>
      <c r="BN294" s="19"/>
    </row>
    <row r="295" spans="1:67" ht="15" customHeight="1" x14ac:dyDescent="0.25">
      <c r="A295" s="19"/>
      <c r="B295" s="219" t="str">
        <f>B294</f>
        <v>TRAELC01</v>
      </c>
      <c r="C295" s="224"/>
      <c r="D295" s="225"/>
      <c r="E295" s="219"/>
      <c r="F295" s="219"/>
      <c r="G295" s="224"/>
      <c r="H295" s="241"/>
      <c r="I295" s="173"/>
      <c r="J295" s="239" t="s">
        <v>1107</v>
      </c>
      <c r="K295" s="239" t="s">
        <v>1108</v>
      </c>
      <c r="L295" s="636">
        <v>31.536000000000001</v>
      </c>
      <c r="M295" s="636">
        <v>31.536000000000001</v>
      </c>
      <c r="N295" s="636">
        <v>31.536000000000001</v>
      </c>
      <c r="O295" s="636">
        <v>31.536000000000001</v>
      </c>
      <c r="P295" s="636">
        <v>31.536000000000001</v>
      </c>
      <c r="Q295" s="636">
        <v>31.536000000000001</v>
      </c>
      <c r="R295" s="636">
        <v>31.536000000000001</v>
      </c>
      <c r="S295" s="636">
        <v>31.536000000000001</v>
      </c>
      <c r="T295" s="636">
        <v>31.536000000000001</v>
      </c>
      <c r="U295" s="636">
        <v>31.536000000000001</v>
      </c>
      <c r="V295" s="636">
        <v>31.536000000000001</v>
      </c>
      <c r="W295" s="636">
        <v>31.536000000000001</v>
      </c>
      <c r="X295" s="636">
        <v>31.536000000000001</v>
      </c>
      <c r="Y295" s="636">
        <v>31.536000000000001</v>
      </c>
      <c r="Z295" s="636">
        <v>31.536000000000001</v>
      </c>
      <c r="AR295" s="97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</row>
    <row r="296" spans="1:67" x14ac:dyDescent="0.25">
      <c r="A296" s="19"/>
      <c r="B296" s="219" t="str">
        <f>B294</f>
        <v>TRAELC01</v>
      </c>
      <c r="C296" s="224"/>
      <c r="D296" s="230"/>
      <c r="E296" s="224"/>
      <c r="F296" s="224"/>
      <c r="G296" s="224"/>
      <c r="H296" s="231"/>
      <c r="I296" s="224"/>
      <c r="J296" s="232" t="s">
        <v>1097</v>
      </c>
      <c r="K296" s="232"/>
      <c r="L296" s="638">
        <f>K3+1</f>
        <v>2020</v>
      </c>
      <c r="M296" s="638">
        <f>L296</f>
        <v>2020</v>
      </c>
      <c r="N296" s="638">
        <f t="shared" ref="N296:S296" si="290">M296</f>
        <v>2020</v>
      </c>
      <c r="O296" s="638">
        <f t="shared" si="290"/>
        <v>2020</v>
      </c>
      <c r="P296" s="638">
        <f t="shared" si="290"/>
        <v>2020</v>
      </c>
      <c r="Q296" s="638">
        <f t="shared" si="290"/>
        <v>2020</v>
      </c>
      <c r="R296" s="638">
        <f t="shared" si="290"/>
        <v>2020</v>
      </c>
      <c r="S296" s="638">
        <f t="shared" si="290"/>
        <v>2020</v>
      </c>
      <c r="T296" s="638">
        <f t="shared" ref="T296:Z296" si="291">S296</f>
        <v>2020</v>
      </c>
      <c r="U296" s="638">
        <f t="shared" si="291"/>
        <v>2020</v>
      </c>
      <c r="V296" s="638">
        <f t="shared" si="291"/>
        <v>2020</v>
      </c>
      <c r="W296" s="638">
        <f t="shared" si="291"/>
        <v>2020</v>
      </c>
      <c r="X296" s="638">
        <f t="shared" si="291"/>
        <v>2020</v>
      </c>
      <c r="Y296" s="638">
        <f t="shared" si="291"/>
        <v>2020</v>
      </c>
      <c r="Z296" s="638">
        <f t="shared" si="291"/>
        <v>2020</v>
      </c>
      <c r="AE296" s="19"/>
      <c r="AQ296" s="9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</row>
    <row r="297" spans="1:67" x14ac:dyDescent="0.25">
      <c r="A297" s="19"/>
      <c r="B297" s="233" t="str">
        <f>B296</f>
        <v>TRAELC01</v>
      </c>
      <c r="C297" s="234"/>
      <c r="D297" s="235"/>
      <c r="E297" s="234"/>
      <c r="F297" s="234"/>
      <c r="G297" s="234"/>
      <c r="H297" s="236"/>
      <c r="I297" s="234"/>
      <c r="J297" s="237" t="s">
        <v>1098</v>
      </c>
      <c r="K297" s="237" t="s">
        <v>1099</v>
      </c>
      <c r="L297" s="637"/>
      <c r="M297" s="637"/>
      <c r="N297" s="637"/>
      <c r="O297" s="637"/>
      <c r="P297" s="637"/>
      <c r="Q297" s="637"/>
      <c r="R297" s="637"/>
      <c r="S297" s="637"/>
      <c r="T297" s="637"/>
      <c r="U297" s="637"/>
      <c r="V297" s="637"/>
      <c r="W297" s="637"/>
      <c r="X297" s="637"/>
      <c r="Y297" s="637"/>
      <c r="Z297" s="637"/>
      <c r="AA297" s="41"/>
      <c r="AQ297" s="9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</row>
    <row r="298" spans="1:67" x14ac:dyDescent="0.25">
      <c r="B298" s="104"/>
      <c r="C298" s="19"/>
      <c r="F298" s="46"/>
      <c r="G298" s="105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</row>
    <row r="300" spans="1:67" x14ac:dyDescent="0.25">
      <c r="AC300" s="19"/>
    </row>
    <row r="301" spans="1:67" x14ac:dyDescent="0.25">
      <c r="H301"/>
      <c r="AC301" s="19"/>
    </row>
    <row r="302" spans="1:67" x14ac:dyDescent="0.25">
      <c r="AC302" s="19"/>
    </row>
    <row r="303" spans="1:67" x14ac:dyDescent="0.25">
      <c r="AC303" s="19"/>
    </row>
    <row r="304" spans="1:67" x14ac:dyDescent="0.25">
      <c r="AC304" s="19"/>
    </row>
    <row r="305" spans="29:29" x14ac:dyDescent="0.25">
      <c r="AC305" s="19"/>
    </row>
    <row r="306" spans="29:29" x14ac:dyDescent="0.25">
      <c r="AC306" s="19"/>
    </row>
    <row r="307" spans="29:29" x14ac:dyDescent="0.25">
      <c r="AC307" s="19"/>
    </row>
    <row r="308" spans="29:29" x14ac:dyDescent="0.25">
      <c r="AC308" s="19"/>
    </row>
    <row r="309" spans="29:29" x14ac:dyDescent="0.25">
      <c r="AC309" s="19"/>
    </row>
    <row r="310" spans="29:29" x14ac:dyDescent="0.25">
      <c r="AC310" s="19"/>
    </row>
    <row r="311" spans="29:29" x14ac:dyDescent="0.25">
      <c r="AC311" s="19"/>
    </row>
    <row r="312" spans="29:29" x14ac:dyDescent="0.25">
      <c r="AC312" s="19"/>
    </row>
    <row r="313" spans="29:29" x14ac:dyDescent="0.25">
      <c r="AC313" s="19"/>
    </row>
    <row r="314" spans="29:29" x14ac:dyDescent="0.25">
      <c r="AC314" s="19"/>
    </row>
    <row r="315" spans="29:29" x14ac:dyDescent="0.25">
      <c r="AC315" s="19"/>
    </row>
    <row r="316" spans="29:29" x14ac:dyDescent="0.25">
      <c r="AC316" s="19"/>
    </row>
    <row r="317" spans="29:29" x14ac:dyDescent="0.25">
      <c r="AC317" s="19"/>
    </row>
    <row r="318" spans="29:29" x14ac:dyDescent="0.25">
      <c r="AC318" s="19"/>
    </row>
    <row r="319" spans="29:29" x14ac:dyDescent="0.25">
      <c r="AC319" s="19"/>
    </row>
    <row r="320" spans="29:29" x14ac:dyDescent="0.25">
      <c r="AC320" s="19"/>
    </row>
    <row r="321" spans="29:29" x14ac:dyDescent="0.25">
      <c r="AC321" s="19"/>
    </row>
    <row r="322" spans="29:29" x14ac:dyDescent="0.25">
      <c r="AC322" s="19"/>
    </row>
    <row r="323" spans="29:29" x14ac:dyDescent="0.25">
      <c r="AC323" s="19"/>
    </row>
    <row r="324" spans="29:29" x14ac:dyDescent="0.25">
      <c r="AC324" s="19"/>
    </row>
    <row r="325" spans="29:29" x14ac:dyDescent="0.25">
      <c r="AC325" s="19"/>
    </row>
    <row r="326" spans="29:29" x14ac:dyDescent="0.25">
      <c r="AC326" s="19"/>
    </row>
    <row r="327" spans="29:29" x14ac:dyDescent="0.25">
      <c r="AC327" s="19"/>
    </row>
    <row r="328" spans="29:29" x14ac:dyDescent="0.25">
      <c r="AC328" s="19"/>
    </row>
    <row r="329" spans="29:29" x14ac:dyDescent="0.25">
      <c r="AC329" s="19"/>
    </row>
    <row r="330" spans="29:29" x14ac:dyDescent="0.25">
      <c r="AC330" s="19"/>
    </row>
    <row r="331" spans="29:29" x14ac:dyDescent="0.25">
      <c r="AC331" s="19"/>
    </row>
    <row r="332" spans="29:29" x14ac:dyDescent="0.25">
      <c r="AC332" s="19"/>
    </row>
    <row r="333" spans="29:29" x14ac:dyDescent="0.25">
      <c r="AC333" s="19"/>
    </row>
    <row r="334" spans="29:29" x14ac:dyDescent="0.25">
      <c r="AC334" s="19"/>
    </row>
    <row r="335" spans="29:29" x14ac:dyDescent="0.25">
      <c r="AC335" s="19"/>
    </row>
    <row r="336" spans="29:29" x14ac:dyDescent="0.25">
      <c r="AC336" s="19"/>
    </row>
    <row r="337" spans="29:29" x14ac:dyDescent="0.25">
      <c r="AC337" s="19"/>
    </row>
    <row r="338" spans="29:29" x14ac:dyDescent="0.25">
      <c r="AC338" s="19"/>
    </row>
    <row r="339" spans="29:29" x14ac:dyDescent="0.25">
      <c r="AC339" s="19"/>
    </row>
    <row r="340" spans="29:29" x14ac:dyDescent="0.25">
      <c r="AC340" s="19"/>
    </row>
    <row r="341" spans="29:29" x14ac:dyDescent="0.25">
      <c r="AC341" s="19"/>
    </row>
    <row r="342" spans="29:29" x14ac:dyDescent="0.25">
      <c r="AC342" s="19"/>
    </row>
    <row r="343" spans="29:29" x14ac:dyDescent="0.25">
      <c r="AC343" s="19"/>
    </row>
    <row r="344" spans="29:29" x14ac:dyDescent="0.25">
      <c r="AC344" s="19"/>
    </row>
    <row r="345" spans="29:29" x14ac:dyDescent="0.25">
      <c r="AC345" s="19"/>
    </row>
    <row r="346" spans="29:29" x14ac:dyDescent="0.25">
      <c r="AC346" s="19"/>
    </row>
    <row r="347" spans="29:29" x14ac:dyDescent="0.25">
      <c r="AC347" s="19"/>
    </row>
    <row r="348" spans="29:29" x14ac:dyDescent="0.25">
      <c r="AC348" s="19"/>
    </row>
    <row r="349" spans="29:29" x14ac:dyDescent="0.25">
      <c r="AC349" s="19"/>
    </row>
    <row r="350" spans="29:29" x14ac:dyDescent="0.25">
      <c r="AC350" s="19"/>
    </row>
    <row r="351" spans="29:29" x14ac:dyDescent="0.25">
      <c r="AC351" s="19"/>
    </row>
    <row r="352" spans="29:29" x14ac:dyDescent="0.25">
      <c r="AC352" s="19"/>
    </row>
    <row r="353" spans="29:29" x14ac:dyDescent="0.25">
      <c r="AC353" s="19"/>
    </row>
    <row r="354" spans="29:29" x14ac:dyDescent="0.25">
      <c r="AC354" s="19"/>
    </row>
    <row r="355" spans="29:29" x14ac:dyDescent="0.25">
      <c r="AC355" s="19"/>
    </row>
    <row r="356" spans="29:29" x14ac:dyDescent="0.25">
      <c r="AC356" s="19"/>
    </row>
    <row r="357" spans="29:29" x14ac:dyDescent="0.25">
      <c r="AC357" s="19"/>
    </row>
    <row r="358" spans="29:29" x14ac:dyDescent="0.25">
      <c r="AC358" s="19"/>
    </row>
    <row r="359" spans="29:29" x14ac:dyDescent="0.25">
      <c r="AC359" s="19"/>
    </row>
    <row r="360" spans="29:29" x14ac:dyDescent="0.25">
      <c r="AC360" s="19"/>
    </row>
    <row r="361" spans="29:29" x14ac:dyDescent="0.25">
      <c r="AC361" s="19"/>
    </row>
    <row r="362" spans="29:29" x14ac:dyDescent="0.25">
      <c r="AC362" s="19"/>
    </row>
    <row r="363" spans="29:29" x14ac:dyDescent="0.25">
      <c r="AC363" s="19"/>
    </row>
    <row r="364" spans="29:29" x14ac:dyDescent="0.25">
      <c r="AC364" s="19"/>
    </row>
    <row r="365" spans="29:29" x14ac:dyDescent="0.25">
      <c r="AC365" s="19"/>
    </row>
    <row r="366" spans="29:29" x14ac:dyDescent="0.25">
      <c r="AC366" s="19"/>
    </row>
    <row r="367" spans="29:29" x14ac:dyDescent="0.25">
      <c r="AC367" s="19"/>
    </row>
    <row r="368" spans="29:29" x14ac:dyDescent="0.25">
      <c r="AC368" s="19"/>
    </row>
    <row r="369" spans="29:29" x14ac:dyDescent="0.25">
      <c r="AC369" s="19"/>
    </row>
    <row r="370" spans="29:29" x14ac:dyDescent="0.25">
      <c r="AC370" s="19"/>
    </row>
    <row r="371" spans="29:29" x14ac:dyDescent="0.25">
      <c r="AC371" s="19"/>
    </row>
    <row r="372" spans="29:29" x14ac:dyDescent="0.25">
      <c r="AC372" s="19"/>
    </row>
    <row r="373" spans="29:29" x14ac:dyDescent="0.25">
      <c r="AC373" s="19"/>
    </row>
    <row r="374" spans="29:29" x14ac:dyDescent="0.25">
      <c r="AC374" s="19"/>
    </row>
    <row r="375" spans="29:29" x14ac:dyDescent="0.25">
      <c r="AC375" s="19"/>
    </row>
    <row r="376" spans="29:29" x14ac:dyDescent="0.25">
      <c r="AC376" s="19"/>
    </row>
    <row r="377" spans="29:29" x14ac:dyDescent="0.25">
      <c r="AC377" s="19"/>
    </row>
    <row r="378" spans="29:29" x14ac:dyDescent="0.25">
      <c r="AC378" s="19"/>
    </row>
    <row r="379" spans="29:29" x14ac:dyDescent="0.25">
      <c r="AC379" s="19"/>
    </row>
    <row r="380" spans="29:29" x14ac:dyDescent="0.25">
      <c r="AC380" s="19"/>
    </row>
    <row r="381" spans="29:29" x14ac:dyDescent="0.25">
      <c r="AC381" s="19"/>
    </row>
    <row r="382" spans="29:29" x14ac:dyDescent="0.25">
      <c r="AC382" s="19"/>
    </row>
    <row r="383" spans="29:29" x14ac:dyDescent="0.25">
      <c r="AC383" s="19"/>
    </row>
    <row r="384" spans="29:29" x14ac:dyDescent="0.25">
      <c r="AC384" s="19"/>
    </row>
    <row r="385" spans="29:29" x14ac:dyDescent="0.25">
      <c r="AC385" s="19"/>
    </row>
    <row r="386" spans="29:29" x14ac:dyDescent="0.25">
      <c r="AC386" s="19"/>
    </row>
    <row r="387" spans="29:29" x14ac:dyDescent="0.25">
      <c r="AC387" s="19"/>
    </row>
    <row r="388" spans="29:29" x14ac:dyDescent="0.25">
      <c r="AC388" s="19"/>
    </row>
    <row r="389" spans="29:29" x14ac:dyDescent="0.25">
      <c r="AC389" s="19"/>
    </row>
    <row r="390" spans="29:29" x14ac:dyDescent="0.25">
      <c r="AC390" s="19"/>
    </row>
    <row r="391" spans="29:29" x14ac:dyDescent="0.25">
      <c r="AC391" s="19"/>
    </row>
    <row r="392" spans="29:29" x14ac:dyDescent="0.25">
      <c r="AC392" s="19"/>
    </row>
    <row r="393" spans="29:29" x14ac:dyDescent="0.25">
      <c r="AC393" s="19"/>
    </row>
    <row r="394" spans="29:29" x14ac:dyDescent="0.25">
      <c r="AC394" s="19"/>
    </row>
    <row r="395" spans="29:29" x14ac:dyDescent="0.25">
      <c r="AC395" s="19"/>
    </row>
    <row r="396" spans="29:29" x14ac:dyDescent="0.25">
      <c r="AC396" s="19"/>
    </row>
    <row r="397" spans="29:29" x14ac:dyDescent="0.25">
      <c r="AC397" s="19"/>
    </row>
    <row r="398" spans="29:29" x14ac:dyDescent="0.25">
      <c r="AC398" s="19"/>
    </row>
    <row r="399" spans="29:29" x14ac:dyDescent="0.25">
      <c r="AC399" s="19"/>
    </row>
    <row r="400" spans="29:29" x14ac:dyDescent="0.25">
      <c r="AC400" s="19"/>
    </row>
    <row r="401" spans="29:29" x14ac:dyDescent="0.25">
      <c r="AC401" s="19"/>
    </row>
    <row r="402" spans="29:29" x14ac:dyDescent="0.25">
      <c r="AC402" s="19"/>
    </row>
    <row r="403" spans="29:29" x14ac:dyDescent="0.25">
      <c r="AC403" s="19"/>
    </row>
    <row r="404" spans="29:29" x14ac:dyDescent="0.25">
      <c r="AC404" s="19"/>
    </row>
    <row r="405" spans="29:29" x14ac:dyDescent="0.25">
      <c r="AC405" s="19"/>
    </row>
    <row r="406" spans="29:29" x14ac:dyDescent="0.25">
      <c r="AC406" s="19"/>
    </row>
    <row r="407" spans="29:29" x14ac:dyDescent="0.25">
      <c r="AC407" s="19"/>
    </row>
    <row r="408" spans="29:29" x14ac:dyDescent="0.25">
      <c r="AC408" s="19"/>
    </row>
    <row r="409" spans="29:29" x14ac:dyDescent="0.25">
      <c r="AC409" s="19"/>
    </row>
    <row r="410" spans="29:29" x14ac:dyDescent="0.25">
      <c r="AC410" s="19"/>
    </row>
    <row r="411" spans="29:29" x14ac:dyDescent="0.25">
      <c r="AC411" s="19"/>
    </row>
    <row r="412" spans="29:29" x14ac:dyDescent="0.25">
      <c r="AC412" s="19"/>
    </row>
    <row r="413" spans="29:29" x14ac:dyDescent="0.25">
      <c r="AC413" s="19"/>
    </row>
    <row r="414" spans="29:29" x14ac:dyDescent="0.25">
      <c r="AC414" s="19"/>
    </row>
    <row r="415" spans="29:29" x14ac:dyDescent="0.25">
      <c r="AC415" s="19"/>
    </row>
    <row r="416" spans="29:29" x14ac:dyDescent="0.25">
      <c r="AC416" s="19"/>
    </row>
    <row r="417" spans="29:29" x14ac:dyDescent="0.25">
      <c r="AC417" s="19"/>
    </row>
    <row r="418" spans="29:29" x14ac:dyDescent="0.25">
      <c r="AC418" s="19"/>
    </row>
    <row r="419" spans="29:29" x14ac:dyDescent="0.25">
      <c r="AC419" s="19"/>
    </row>
    <row r="420" spans="29:29" x14ac:dyDescent="0.25">
      <c r="AC420" s="19"/>
    </row>
    <row r="421" spans="29:29" x14ac:dyDescent="0.25">
      <c r="AC421" s="19"/>
    </row>
    <row r="422" spans="29:29" x14ac:dyDescent="0.25">
      <c r="AC422" s="19"/>
    </row>
    <row r="423" spans="29:29" x14ac:dyDescent="0.25">
      <c r="AC423" s="19"/>
    </row>
    <row r="424" spans="29:29" x14ac:dyDescent="0.25">
      <c r="AC424" s="19"/>
    </row>
    <row r="425" spans="29:29" x14ac:dyDescent="0.25">
      <c r="AC425" s="19"/>
    </row>
    <row r="426" spans="29:29" x14ac:dyDescent="0.25">
      <c r="AC426" s="19"/>
    </row>
  </sheetData>
  <sortState xmlns:xlrd2="http://schemas.microsoft.com/office/spreadsheetml/2017/richdata2" ref="AE11:AU31">
    <sortCondition ref="AE11:AE31"/>
  </sortState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8" tint="0.79998168889431442"/>
  </sheetPr>
  <dimension ref="A1:BL169"/>
  <sheetViews>
    <sheetView topLeftCell="AK1" zoomScale="75" zoomScaleNormal="75" workbookViewId="0">
      <selection activeCell="AV6" sqref="AV6:AV24"/>
    </sheetView>
  </sheetViews>
  <sheetFormatPr defaultColWidth="9.28515625" defaultRowHeight="15" x14ac:dyDescent="0.25"/>
  <cols>
    <col min="1" max="1" width="9.28515625" style="35"/>
    <col min="2" max="2" width="21.7109375" style="35" customWidth="1"/>
    <col min="3" max="3" width="12.7109375" style="35" bestFit="1" customWidth="1"/>
    <col min="4" max="4" width="31" style="35" bestFit="1" customWidth="1"/>
    <col min="5" max="5" width="9.42578125" style="35" bestFit="1" customWidth="1"/>
    <col min="6" max="6" width="11.42578125" style="35" bestFit="1" customWidth="1"/>
    <col min="7" max="7" width="11.28515625" style="35" bestFit="1" customWidth="1"/>
    <col min="8" max="8" width="9.7109375" style="35" bestFit="1" customWidth="1"/>
    <col min="9" max="9" width="15.5703125" style="35" bestFit="1" customWidth="1"/>
    <col min="10" max="10" width="20" style="35" bestFit="1" customWidth="1"/>
    <col min="11" max="11" width="17.28515625" style="35" bestFit="1" customWidth="1"/>
    <col min="12" max="12" width="14.42578125" style="35" bestFit="1" customWidth="1"/>
    <col min="13" max="13" width="18.7109375" style="35" customWidth="1"/>
    <col min="14" max="29" width="8.7109375" style="35" customWidth="1"/>
    <col min="30" max="30" width="16.42578125" style="35" customWidth="1"/>
    <col min="31" max="37" width="11.28515625" style="35" customWidth="1"/>
    <col min="38" max="38" width="12.7109375" style="35" customWidth="1"/>
    <col min="39" max="43" width="11.28515625" style="35" customWidth="1"/>
    <col min="44" max="44" width="12.28515625" style="35" customWidth="1"/>
    <col min="45" max="46" width="11.28515625" style="35" customWidth="1"/>
    <col min="47" max="47" width="9.28515625" style="35"/>
    <col min="48" max="48" width="17.42578125" style="35" bestFit="1" customWidth="1"/>
    <col min="49" max="50" width="9.7109375" style="35" bestFit="1" customWidth="1"/>
    <col min="51" max="16384" width="9.28515625" style="35"/>
  </cols>
  <sheetData>
    <row r="1" spans="1:64" x14ac:dyDescent="0.25">
      <c r="I1" s="36"/>
      <c r="M1" s="120" t="s">
        <v>1111</v>
      </c>
    </row>
    <row r="2" spans="1:64" ht="19.5" customHeight="1" x14ac:dyDescent="0.25">
      <c r="A2" s="633"/>
      <c r="B2" s="148" t="s">
        <v>1141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  <c r="AC2" s="375"/>
    </row>
    <row r="3" spans="1:64" x14ac:dyDescent="0.25">
      <c r="A3" s="22"/>
      <c r="B3" s="34"/>
      <c r="C3" s="22"/>
      <c r="D3" s="22"/>
      <c r="I3" s="36"/>
      <c r="M3" s="170"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25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1143</v>
      </c>
      <c r="AH4" s="38" t="s">
        <v>1007</v>
      </c>
      <c r="AI4" s="38" t="s">
        <v>1144</v>
      </c>
      <c r="AJ4" s="38" t="s">
        <v>1145</v>
      </c>
      <c r="AK4" s="38" t="s">
        <v>1146</v>
      </c>
      <c r="AL4" s="406" t="s">
        <v>1147</v>
      </c>
      <c r="AM4" s="406" t="s">
        <v>1148</v>
      </c>
      <c r="AN4" s="38" t="s">
        <v>115</v>
      </c>
      <c r="AO4" s="406" t="s">
        <v>1149</v>
      </c>
      <c r="AP4" s="406" t="s">
        <v>1150</v>
      </c>
      <c r="AV4" s="701" t="s">
        <v>85</v>
      </c>
      <c r="AW4" s="701" t="s">
        <v>421</v>
      </c>
      <c r="AX4" s="701" t="str">
        <f>N$2</f>
        <v>Z01</v>
      </c>
      <c r="AY4" s="701" t="str">
        <f t="shared" ref="AY4:BL4" si="2">O$2</f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x14ac:dyDescent="0.25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M4</f>
        <v>2020</v>
      </c>
      <c r="AG5" s="67">
        <v>0.95</v>
      </c>
      <c r="AH5" s="67">
        <v>0.99</v>
      </c>
      <c r="AI5" s="67">
        <v>0.95</v>
      </c>
      <c r="AJ5" s="67">
        <v>0.95</v>
      </c>
      <c r="AK5" s="67">
        <v>0.95</v>
      </c>
      <c r="AL5" s="67">
        <v>0.99</v>
      </c>
      <c r="AM5" s="67">
        <v>0.99</v>
      </c>
      <c r="AN5" s="67">
        <v>0.95</v>
      </c>
      <c r="AO5" s="67">
        <v>0.99</v>
      </c>
      <c r="AP5" s="67">
        <v>0.99</v>
      </c>
      <c r="AV5" s="398" t="s">
        <v>103</v>
      </c>
      <c r="AW5" s="717">
        <f t="shared" ref="AW5:AW24" si="3">SUM(AX5:BL5)</f>
        <v>19292.055727358827</v>
      </c>
      <c r="AX5" s="718">
        <f t="shared" ref="AX5:BL5" si="4">SUM(AX6:AX24)</f>
        <v>19292.055727358827</v>
      </c>
      <c r="AY5" s="709">
        <f t="shared" si="4"/>
        <v>0</v>
      </c>
      <c r="AZ5" s="709">
        <f t="shared" si="4"/>
        <v>0</v>
      </c>
      <c r="BA5" s="709">
        <f t="shared" si="4"/>
        <v>0</v>
      </c>
      <c r="BB5" s="709">
        <f t="shared" si="4"/>
        <v>0</v>
      </c>
      <c r="BC5" s="709">
        <f t="shared" si="4"/>
        <v>0</v>
      </c>
      <c r="BD5" s="709">
        <f t="shared" si="4"/>
        <v>0</v>
      </c>
      <c r="BE5" s="709">
        <f t="shared" si="4"/>
        <v>0</v>
      </c>
      <c r="BF5" s="709">
        <f t="shared" si="4"/>
        <v>0</v>
      </c>
      <c r="BG5" s="709">
        <f t="shared" si="4"/>
        <v>0</v>
      </c>
      <c r="BH5" s="709">
        <f t="shared" si="4"/>
        <v>0</v>
      </c>
      <c r="BI5" s="709">
        <f t="shared" si="4"/>
        <v>0</v>
      </c>
      <c r="BJ5" s="709">
        <f t="shared" si="4"/>
        <v>0</v>
      </c>
      <c r="BK5" s="709">
        <f t="shared" si="4"/>
        <v>0</v>
      </c>
      <c r="BL5" s="709">
        <f t="shared" si="4"/>
        <v>0</v>
      </c>
    </row>
    <row r="6" spans="1:64" x14ac:dyDescent="0.25">
      <c r="AF6" s="38">
        <f>AF5+5</f>
        <v>2025</v>
      </c>
      <c r="AG6" s="67">
        <v>0.7</v>
      </c>
      <c r="AH6" s="67">
        <v>0.75</v>
      </c>
      <c r="AI6" s="67">
        <v>0.7</v>
      </c>
      <c r="AJ6" s="67">
        <v>0.7</v>
      </c>
      <c r="AK6" s="67">
        <v>0.7</v>
      </c>
      <c r="AL6" s="67">
        <v>0.75</v>
      </c>
      <c r="AM6" s="67">
        <v>0.75</v>
      </c>
      <c r="AN6" s="67">
        <v>0.7</v>
      </c>
      <c r="AO6" s="67">
        <v>0.75</v>
      </c>
      <c r="AP6" s="67">
        <v>0.75</v>
      </c>
      <c r="AV6" s="725" t="s">
        <v>988</v>
      </c>
      <c r="AW6" s="935">
        <f t="shared" si="3"/>
        <v>1297.6714105305266</v>
      </c>
      <c r="AX6" s="728">
        <f t="shared" ref="AX6:BL15" si="5">SUMIF($AV$32:$AV$155,$AV6,AX$32:AX$155)</f>
        <v>1297.6714105305266</v>
      </c>
      <c r="AY6" s="723">
        <f t="shared" si="5"/>
        <v>0</v>
      </c>
      <c r="AZ6" s="723">
        <f t="shared" si="5"/>
        <v>0</v>
      </c>
      <c r="BA6" s="723">
        <f t="shared" si="5"/>
        <v>0</v>
      </c>
      <c r="BB6" s="723">
        <f t="shared" si="5"/>
        <v>0</v>
      </c>
      <c r="BC6" s="723">
        <f t="shared" si="5"/>
        <v>0</v>
      </c>
      <c r="BD6" s="723">
        <f t="shared" si="5"/>
        <v>0</v>
      </c>
      <c r="BE6" s="723">
        <f t="shared" si="5"/>
        <v>0</v>
      </c>
      <c r="BF6" s="723">
        <f t="shared" si="5"/>
        <v>0</v>
      </c>
      <c r="BG6" s="723">
        <f t="shared" si="5"/>
        <v>0</v>
      </c>
      <c r="BH6" s="723">
        <f t="shared" si="5"/>
        <v>0</v>
      </c>
      <c r="BI6" s="723">
        <f t="shared" si="5"/>
        <v>0</v>
      </c>
      <c r="BJ6" s="723">
        <f t="shared" si="5"/>
        <v>0</v>
      </c>
      <c r="BK6" s="723">
        <f t="shared" si="5"/>
        <v>0</v>
      </c>
      <c r="BL6" s="723">
        <f t="shared" si="5"/>
        <v>0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2030</v>
      </c>
      <c r="AG7" s="67">
        <v>0.4</v>
      </c>
      <c r="AH7" s="67">
        <v>0.5</v>
      </c>
      <c r="AI7" s="67">
        <v>0.4</v>
      </c>
      <c r="AJ7" s="67">
        <v>0.4</v>
      </c>
      <c r="AK7" s="67">
        <v>0.4</v>
      </c>
      <c r="AL7" s="67">
        <v>0.5</v>
      </c>
      <c r="AM7" s="67">
        <v>0.5</v>
      </c>
      <c r="AN7" s="67">
        <v>0.4</v>
      </c>
      <c r="AO7" s="67">
        <v>0.5</v>
      </c>
      <c r="AP7" s="67">
        <v>0.5</v>
      </c>
      <c r="AV7" s="725" t="s">
        <v>990</v>
      </c>
      <c r="AW7" s="935">
        <f t="shared" si="3"/>
        <v>605.57999158091263</v>
      </c>
      <c r="AX7" s="728">
        <f t="shared" si="5"/>
        <v>605.57999158091263</v>
      </c>
      <c r="AY7" s="723">
        <f t="shared" si="5"/>
        <v>0</v>
      </c>
      <c r="AZ7" s="723">
        <f t="shared" si="5"/>
        <v>0</v>
      </c>
      <c r="BA7" s="723">
        <f t="shared" si="5"/>
        <v>0</v>
      </c>
      <c r="BB7" s="723">
        <f t="shared" si="5"/>
        <v>0</v>
      </c>
      <c r="BC7" s="723">
        <f t="shared" si="5"/>
        <v>0</v>
      </c>
      <c r="BD7" s="723">
        <f t="shared" si="5"/>
        <v>0</v>
      </c>
      <c r="BE7" s="723">
        <f t="shared" si="5"/>
        <v>0</v>
      </c>
      <c r="BF7" s="723">
        <f t="shared" si="5"/>
        <v>0</v>
      </c>
      <c r="BG7" s="723">
        <f t="shared" si="5"/>
        <v>0</v>
      </c>
      <c r="BH7" s="723">
        <f t="shared" si="5"/>
        <v>0</v>
      </c>
      <c r="BI7" s="723">
        <f t="shared" si="5"/>
        <v>0</v>
      </c>
      <c r="BJ7" s="723">
        <f t="shared" si="5"/>
        <v>0</v>
      </c>
      <c r="BK7" s="723">
        <f t="shared" si="5"/>
        <v>0</v>
      </c>
      <c r="BL7" s="723">
        <f t="shared" si="5"/>
        <v>0</v>
      </c>
    </row>
    <row r="8" spans="1:64" s="45" customFormat="1" x14ac:dyDescent="0.25">
      <c r="H8" s="83"/>
      <c r="I8" s="354" t="s">
        <v>980</v>
      </c>
      <c r="J8" s="354" t="s">
        <v>1113</v>
      </c>
      <c r="K8" s="354" t="s">
        <v>1114</v>
      </c>
      <c r="L8" s="354" t="s">
        <v>1057</v>
      </c>
      <c r="M8" s="552" t="s">
        <v>1058</v>
      </c>
      <c r="N8" s="552" t="str">
        <f t="shared" ref="N8:AB8" si="6">N$2</f>
        <v>Z01</v>
      </c>
      <c r="O8" s="552" t="str">
        <f t="shared" si="6"/>
        <v>Z02</v>
      </c>
      <c r="P8" s="552" t="str">
        <f t="shared" si="6"/>
        <v>Z03</v>
      </c>
      <c r="Q8" s="552" t="str">
        <f t="shared" si="6"/>
        <v>Z04</v>
      </c>
      <c r="R8" s="552" t="str">
        <f t="shared" si="6"/>
        <v>Z05</v>
      </c>
      <c r="S8" s="552" t="str">
        <f t="shared" si="6"/>
        <v>Z06</v>
      </c>
      <c r="T8" s="552" t="str">
        <f t="shared" si="6"/>
        <v>Z07</v>
      </c>
      <c r="U8" s="552" t="str">
        <f t="shared" si="6"/>
        <v>Z08</v>
      </c>
      <c r="V8" s="552" t="str">
        <f t="shared" si="6"/>
        <v>Z09</v>
      </c>
      <c r="W8" s="552" t="str">
        <f t="shared" si="6"/>
        <v>Z10</v>
      </c>
      <c r="X8" s="552" t="str">
        <f t="shared" si="6"/>
        <v>Z11</v>
      </c>
      <c r="Y8" s="552" t="str">
        <f t="shared" si="6"/>
        <v>Z12</v>
      </c>
      <c r="Z8" s="552" t="str">
        <f t="shared" si="6"/>
        <v>Z13</v>
      </c>
      <c r="AA8" s="552" t="str">
        <f t="shared" si="6"/>
        <v>Z14</v>
      </c>
      <c r="AB8" s="552" t="str">
        <f t="shared" si="6"/>
        <v>Z15</v>
      </c>
      <c r="AC8" s="919"/>
      <c r="AD8" s="553" t="s">
        <v>421</v>
      </c>
      <c r="AF8" s="554">
        <f>AF7+5</f>
        <v>2035</v>
      </c>
      <c r="AG8" s="555">
        <v>0.15</v>
      </c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V8" s="725" t="s">
        <v>994</v>
      </c>
      <c r="AW8" s="935">
        <f t="shared" si="3"/>
        <v>262.54776580343736</v>
      </c>
      <c r="AX8" s="728">
        <f t="shared" si="5"/>
        <v>262.54776580343736</v>
      </c>
      <c r="AY8" s="723">
        <f t="shared" si="5"/>
        <v>0</v>
      </c>
      <c r="AZ8" s="723">
        <f t="shared" si="5"/>
        <v>0</v>
      </c>
      <c r="BA8" s="723">
        <f t="shared" si="5"/>
        <v>0</v>
      </c>
      <c r="BB8" s="723">
        <f t="shared" si="5"/>
        <v>0</v>
      </c>
      <c r="BC8" s="723">
        <f t="shared" si="5"/>
        <v>0</v>
      </c>
      <c r="BD8" s="723">
        <f t="shared" si="5"/>
        <v>0</v>
      </c>
      <c r="BE8" s="723">
        <f t="shared" si="5"/>
        <v>0</v>
      </c>
      <c r="BF8" s="723">
        <f t="shared" si="5"/>
        <v>0</v>
      </c>
      <c r="BG8" s="723">
        <f t="shared" si="5"/>
        <v>0</v>
      </c>
      <c r="BH8" s="723">
        <f t="shared" si="5"/>
        <v>0</v>
      </c>
      <c r="BI8" s="723">
        <f t="shared" si="5"/>
        <v>0</v>
      </c>
      <c r="BJ8" s="723">
        <f t="shared" si="5"/>
        <v>0</v>
      </c>
      <c r="BK8" s="723">
        <f t="shared" si="5"/>
        <v>0</v>
      </c>
      <c r="BL8" s="723">
        <f t="shared" si="5"/>
        <v>0</v>
      </c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02"/>
      <c r="AD9" s="171"/>
      <c r="AF9" s="38">
        <f>AF8+5</f>
        <v>2040</v>
      </c>
      <c r="AG9" s="67">
        <v>5.0000000000000001E-3</v>
      </c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V9" s="914" t="s">
        <v>996</v>
      </c>
      <c r="AW9" s="935">
        <f t="shared" si="3"/>
        <v>0</v>
      </c>
      <c r="AX9" s="728">
        <f t="shared" si="5"/>
        <v>0</v>
      </c>
      <c r="AY9" s="723">
        <f t="shared" si="5"/>
        <v>0</v>
      </c>
      <c r="AZ9" s="723">
        <f t="shared" si="5"/>
        <v>0</v>
      </c>
      <c r="BA9" s="723">
        <f t="shared" si="5"/>
        <v>0</v>
      </c>
      <c r="BB9" s="723">
        <f t="shared" si="5"/>
        <v>0</v>
      </c>
      <c r="BC9" s="723">
        <f t="shared" si="5"/>
        <v>0</v>
      </c>
      <c r="BD9" s="723">
        <f t="shared" si="5"/>
        <v>0</v>
      </c>
      <c r="BE9" s="723">
        <f t="shared" si="5"/>
        <v>0</v>
      </c>
      <c r="BF9" s="723">
        <f t="shared" si="5"/>
        <v>0</v>
      </c>
      <c r="BG9" s="723">
        <f t="shared" si="5"/>
        <v>0</v>
      </c>
      <c r="BH9" s="723">
        <f t="shared" si="5"/>
        <v>0</v>
      </c>
      <c r="BI9" s="723">
        <f t="shared" si="5"/>
        <v>0</v>
      </c>
      <c r="BJ9" s="723">
        <f t="shared" si="5"/>
        <v>0</v>
      </c>
      <c r="BK9" s="723">
        <f t="shared" si="5"/>
        <v>0</v>
      </c>
      <c r="BL9" s="723">
        <f t="shared" si="5"/>
        <v>0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2" t="s">
        <v>402</v>
      </c>
      <c r="J10" s="173" t="str">
        <f>LOOKUP(I10,TRA_Comm!$C$29:$C$90,TRA_Comm!$D$29:$D$90)</f>
        <v>Road.Car.Long.</v>
      </c>
      <c r="K10" s="173"/>
      <c r="L10" s="173" t="s">
        <v>1118</v>
      </c>
      <c r="M10" s="173" t="s">
        <v>583</v>
      </c>
      <c r="N10" s="166">
        <f>SUMIF(DEMAND_Pkm_Tkm!$C$6:$C$43, $I10, DEMAND_Pkm_Tkm!G$6:G$43)</f>
        <v>4794.12</v>
      </c>
      <c r="O10" s="166">
        <f>SUMIF(DEMAND_Pkm_Tkm!$C$6:$C$43, $I10, DEMAND_Pkm_Tkm!H$6:H$43)</f>
        <v>0</v>
      </c>
      <c r="P10" s="166">
        <f>SUMIF(DEMAND_Pkm_Tkm!$C$6:$C$43, $I10, DEMAND_Pkm_Tkm!I$6:I$43)</f>
        <v>0</v>
      </c>
      <c r="Q10" s="166">
        <f>SUMIF(DEMAND_Pkm_Tkm!$C$6:$C$43, $I10, DEMAND_Pkm_Tkm!J$6:J$43)</f>
        <v>0</v>
      </c>
      <c r="R10" s="166">
        <f>SUMIF(DEMAND_Pkm_Tkm!$C$6:$C$43, $I10, DEMAND_Pkm_Tkm!K$6:K$43)</f>
        <v>0</v>
      </c>
      <c r="S10" s="166">
        <f>SUMIF(DEMAND_Pkm_Tkm!$C$6:$C$43, $I10, DEMAND_Pkm_Tkm!L$6:L$43)</f>
        <v>0</v>
      </c>
      <c r="T10" s="166">
        <f>SUMIF(DEMAND_Pkm_Tkm!$C$6:$C$43, $I10, DEMAND_Pkm_Tkm!M$6:M$43)</f>
        <v>0</v>
      </c>
      <c r="U10" s="166">
        <f>SUMIF(DEMAND_Pkm_Tkm!$C$6:$C$43, $I10, DEMAND_Pkm_Tkm!N$6:N$43)</f>
        <v>0</v>
      </c>
      <c r="V10" s="166">
        <f>SUMIF(DEMAND_Pkm_Tkm!$C$6:$C$43, $I10, DEMAND_Pkm_Tkm!O$6:O$43)</f>
        <v>0</v>
      </c>
      <c r="W10" s="166">
        <f>SUMIF(DEMAND_Pkm_Tkm!$C$6:$C$43, $I10, DEMAND_Pkm_Tkm!P$6:P$43)</f>
        <v>0</v>
      </c>
      <c r="X10" s="166">
        <f>SUMIF(DEMAND_Pkm_Tkm!$C$6:$C$43, $I10, DEMAND_Pkm_Tkm!Q$6:Q$43)</f>
        <v>0</v>
      </c>
      <c r="Y10" s="166">
        <f>SUMIF(DEMAND_Pkm_Tkm!$C$6:$C$43, $I10, DEMAND_Pkm_Tkm!R$6:R$43)</f>
        <v>0</v>
      </c>
      <c r="Z10" s="166">
        <f>SUMIF(DEMAND_Pkm_Tkm!$C$6:$C$43, $I10, DEMAND_Pkm_Tkm!S$6:S$43)</f>
        <v>0</v>
      </c>
      <c r="AA10" s="166">
        <f>SUMIF(DEMAND_Pkm_Tkm!$C$6:$C$43, $I10, DEMAND_Pkm_Tkm!T$6:T$43)</f>
        <v>0</v>
      </c>
      <c r="AB10" s="166">
        <f>SUMIF(DEMAND_Pkm_Tkm!$C$6:$C$43, $I10, DEMAND_Pkm_Tkm!U$6:U$43)</f>
        <v>0</v>
      </c>
      <c r="AC10" s="920"/>
      <c r="AD10" s="516">
        <f>SUM(N10:AB10)</f>
        <v>4794.12</v>
      </c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V10" s="725" t="s">
        <v>998</v>
      </c>
      <c r="AW10" s="935">
        <f t="shared" si="3"/>
        <v>0</v>
      </c>
      <c r="AX10" s="728">
        <f t="shared" si="5"/>
        <v>0</v>
      </c>
      <c r="AY10" s="723">
        <f t="shared" si="5"/>
        <v>0</v>
      </c>
      <c r="AZ10" s="723">
        <f t="shared" si="5"/>
        <v>0</v>
      </c>
      <c r="BA10" s="723">
        <f t="shared" si="5"/>
        <v>0</v>
      </c>
      <c r="BB10" s="723">
        <f t="shared" si="5"/>
        <v>0</v>
      </c>
      <c r="BC10" s="723">
        <f t="shared" si="5"/>
        <v>0</v>
      </c>
      <c r="BD10" s="723">
        <f t="shared" si="5"/>
        <v>0</v>
      </c>
      <c r="BE10" s="723">
        <f t="shared" si="5"/>
        <v>0</v>
      </c>
      <c r="BF10" s="723">
        <f t="shared" si="5"/>
        <v>0</v>
      </c>
      <c r="BG10" s="723">
        <f t="shared" si="5"/>
        <v>0</v>
      </c>
      <c r="BH10" s="723">
        <f t="shared" si="5"/>
        <v>0</v>
      </c>
      <c r="BI10" s="723">
        <f t="shared" si="5"/>
        <v>0</v>
      </c>
      <c r="BJ10" s="723">
        <f t="shared" si="5"/>
        <v>0</v>
      </c>
      <c r="BK10" s="723">
        <f t="shared" si="5"/>
        <v>0</v>
      </c>
      <c r="BL10" s="723">
        <f t="shared" si="5"/>
        <v>0</v>
      </c>
    </row>
    <row r="11" spans="1:64" s="33" customFormat="1" x14ac:dyDescent="0.25">
      <c r="A11" s="44"/>
      <c r="B11" s="45"/>
      <c r="C11" s="44"/>
      <c r="D11" s="35"/>
      <c r="E11" s="35"/>
      <c r="F11" s="44"/>
      <c r="G11" s="44"/>
      <c r="H11" s="35"/>
      <c r="I11" s="172" t="s">
        <v>404</v>
      </c>
      <c r="J11" s="173" t="str">
        <f>LOOKUP(I11,TRA_Comm!$C$29:$C$90,TRA_Comm!$D$29:$D$90)</f>
        <v>Road.Car.Short.</v>
      </c>
      <c r="K11" s="173"/>
      <c r="L11" s="173" t="s">
        <v>1118</v>
      </c>
      <c r="M11" s="173" t="s">
        <v>583</v>
      </c>
      <c r="N11" s="166">
        <f>SUMIF(DEMAND_Pkm_Tkm!$C$6:$C$43, $I11, DEMAND_Pkm_Tkm!G$6:G$43)</f>
        <v>3196.08</v>
      </c>
      <c r="O11" s="166">
        <f>SUMIF(DEMAND_Pkm_Tkm!$C$6:$C$43, $I11, DEMAND_Pkm_Tkm!H$6:H$43)</f>
        <v>0</v>
      </c>
      <c r="P11" s="166">
        <f>SUMIF(DEMAND_Pkm_Tkm!$C$6:$C$43, $I11, DEMAND_Pkm_Tkm!I$6:I$43)</f>
        <v>0</v>
      </c>
      <c r="Q11" s="166">
        <f>SUMIF(DEMAND_Pkm_Tkm!$C$6:$C$43, $I11, DEMAND_Pkm_Tkm!J$6:J$43)</f>
        <v>0</v>
      </c>
      <c r="R11" s="166">
        <f>SUMIF(DEMAND_Pkm_Tkm!$C$6:$C$43, $I11, DEMAND_Pkm_Tkm!K$6:K$43)</f>
        <v>0</v>
      </c>
      <c r="S11" s="166">
        <f>SUMIF(DEMAND_Pkm_Tkm!$C$6:$C$43, $I11, DEMAND_Pkm_Tkm!L$6:L$43)</f>
        <v>0</v>
      </c>
      <c r="T11" s="166">
        <f>SUMIF(DEMAND_Pkm_Tkm!$C$6:$C$43, $I11, DEMAND_Pkm_Tkm!M$6:M$43)</f>
        <v>0</v>
      </c>
      <c r="U11" s="166">
        <f>SUMIF(DEMAND_Pkm_Tkm!$C$6:$C$43, $I11, DEMAND_Pkm_Tkm!N$6:N$43)</f>
        <v>0</v>
      </c>
      <c r="V11" s="166">
        <f>SUMIF(DEMAND_Pkm_Tkm!$C$6:$C$43, $I11, DEMAND_Pkm_Tkm!O$6:O$43)</f>
        <v>0</v>
      </c>
      <c r="W11" s="166">
        <f>SUMIF(DEMAND_Pkm_Tkm!$C$6:$C$43, $I11, DEMAND_Pkm_Tkm!P$6:P$43)</f>
        <v>0</v>
      </c>
      <c r="X11" s="166">
        <f>SUMIF(DEMAND_Pkm_Tkm!$C$6:$C$43, $I11, DEMAND_Pkm_Tkm!Q$6:Q$43)</f>
        <v>0</v>
      </c>
      <c r="Y11" s="166">
        <f>SUMIF(DEMAND_Pkm_Tkm!$C$6:$C$43, $I11, DEMAND_Pkm_Tkm!R$6:R$43)</f>
        <v>0</v>
      </c>
      <c r="Z11" s="166">
        <f>SUMIF(DEMAND_Pkm_Tkm!$C$6:$C$43, $I11, DEMAND_Pkm_Tkm!S$6:S$43)</f>
        <v>0</v>
      </c>
      <c r="AA11" s="166">
        <f>SUMIF(DEMAND_Pkm_Tkm!$C$6:$C$43, $I11, DEMAND_Pkm_Tkm!T$6:T$43)</f>
        <v>0</v>
      </c>
      <c r="AB11" s="166">
        <f>SUMIF(DEMAND_Pkm_Tkm!$C$6:$C$43, $I11, DEMAND_Pkm_Tkm!U$6:U$43)</f>
        <v>0</v>
      </c>
      <c r="AC11" s="920"/>
      <c r="AD11" s="516">
        <f>SUM(N11:AB11)</f>
        <v>3196.08</v>
      </c>
      <c r="AF11" s="35"/>
      <c r="AG11" s="35"/>
      <c r="AH11" s="35"/>
      <c r="AI11" s="35"/>
      <c r="AJ11" s="35"/>
      <c r="AK11" s="35"/>
      <c r="AL11" s="35"/>
      <c r="AM11" s="35"/>
      <c r="AN11" s="35"/>
      <c r="AV11" s="727" t="s">
        <v>1000</v>
      </c>
      <c r="AW11" s="935">
        <f t="shared" si="3"/>
        <v>0</v>
      </c>
      <c r="AX11" s="728">
        <f t="shared" si="5"/>
        <v>0</v>
      </c>
      <c r="AY11" s="723">
        <f t="shared" si="5"/>
        <v>0</v>
      </c>
      <c r="AZ11" s="723">
        <f t="shared" si="5"/>
        <v>0</v>
      </c>
      <c r="BA11" s="723">
        <f t="shared" si="5"/>
        <v>0</v>
      </c>
      <c r="BB11" s="723">
        <f t="shared" si="5"/>
        <v>0</v>
      </c>
      <c r="BC11" s="723">
        <f t="shared" si="5"/>
        <v>0</v>
      </c>
      <c r="BD11" s="723">
        <f t="shared" si="5"/>
        <v>0</v>
      </c>
      <c r="BE11" s="723">
        <f t="shared" si="5"/>
        <v>0</v>
      </c>
      <c r="BF11" s="723">
        <f t="shared" si="5"/>
        <v>0</v>
      </c>
      <c r="BG11" s="723">
        <f t="shared" si="5"/>
        <v>0</v>
      </c>
      <c r="BH11" s="723">
        <f t="shared" si="5"/>
        <v>0</v>
      </c>
      <c r="BI11" s="723">
        <f t="shared" si="5"/>
        <v>0</v>
      </c>
      <c r="BJ11" s="723">
        <f t="shared" si="5"/>
        <v>0</v>
      </c>
      <c r="BK11" s="723">
        <f t="shared" si="5"/>
        <v>0</v>
      </c>
      <c r="BL11" s="723">
        <f t="shared" si="5"/>
        <v>0</v>
      </c>
    </row>
    <row r="12" spans="1:64" s="33" customFormat="1" x14ac:dyDescent="0.25">
      <c r="A12" s="44"/>
      <c r="B12" s="44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68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F12" s="35"/>
      <c r="AG12" s="35"/>
      <c r="AH12" s="35"/>
      <c r="AI12" s="35"/>
      <c r="AJ12" s="35"/>
      <c r="AK12" s="35"/>
      <c r="AL12" s="35"/>
      <c r="AV12" s="728" t="s">
        <v>185</v>
      </c>
      <c r="AW12" s="935">
        <f t="shared" si="3"/>
        <v>6747.8913347587395</v>
      </c>
      <c r="AX12" s="728">
        <f t="shared" si="5"/>
        <v>6747.8913347587395</v>
      </c>
      <c r="AY12" s="723">
        <f t="shared" si="5"/>
        <v>0</v>
      </c>
      <c r="AZ12" s="723">
        <f t="shared" si="5"/>
        <v>0</v>
      </c>
      <c r="BA12" s="723">
        <f t="shared" si="5"/>
        <v>0</v>
      </c>
      <c r="BB12" s="723">
        <f t="shared" si="5"/>
        <v>0</v>
      </c>
      <c r="BC12" s="723">
        <f t="shared" si="5"/>
        <v>0</v>
      </c>
      <c r="BD12" s="723">
        <f t="shared" si="5"/>
        <v>0</v>
      </c>
      <c r="BE12" s="723">
        <f t="shared" si="5"/>
        <v>0</v>
      </c>
      <c r="BF12" s="723">
        <f t="shared" si="5"/>
        <v>0</v>
      </c>
      <c r="BG12" s="723">
        <f t="shared" si="5"/>
        <v>0</v>
      </c>
      <c r="BH12" s="723">
        <f t="shared" si="5"/>
        <v>0</v>
      </c>
      <c r="BI12" s="723">
        <f t="shared" si="5"/>
        <v>0</v>
      </c>
      <c r="BJ12" s="723">
        <f t="shared" si="5"/>
        <v>0</v>
      </c>
      <c r="BK12" s="723">
        <f t="shared" si="5"/>
        <v>0</v>
      </c>
      <c r="BL12" s="723">
        <f t="shared" si="5"/>
        <v>0</v>
      </c>
    </row>
    <row r="13" spans="1:64" s="33" customFormat="1" x14ac:dyDescent="0.25">
      <c r="A13" s="44"/>
      <c r="B13" s="44"/>
      <c r="C13" s="44"/>
      <c r="D13" s="35"/>
      <c r="E13" s="35"/>
      <c r="F13" s="44"/>
      <c r="G13" s="44"/>
      <c r="H13" s="44"/>
      <c r="I13" s="44"/>
      <c r="J13" s="44"/>
      <c r="K13" s="44"/>
      <c r="L13" s="43" t="s">
        <v>461</v>
      </c>
      <c r="M13" s="43" t="s">
        <v>1151</v>
      </c>
      <c r="N13" s="43" t="str">
        <f t="shared" ref="N13:AB13" si="7">N$2</f>
        <v>Z01</v>
      </c>
      <c r="O13" s="43" t="str">
        <f t="shared" si="7"/>
        <v>Z02</v>
      </c>
      <c r="P13" s="43" t="str">
        <f t="shared" si="7"/>
        <v>Z03</v>
      </c>
      <c r="Q13" s="43" t="str">
        <f t="shared" si="7"/>
        <v>Z04</v>
      </c>
      <c r="R13" s="43" t="str">
        <f t="shared" si="7"/>
        <v>Z05</v>
      </c>
      <c r="S13" s="43" t="str">
        <f t="shared" si="7"/>
        <v>Z06</v>
      </c>
      <c r="T13" s="43" t="str">
        <f t="shared" si="7"/>
        <v>Z07</v>
      </c>
      <c r="U13" s="43" t="str">
        <f t="shared" si="7"/>
        <v>Z08</v>
      </c>
      <c r="V13" s="43" t="str">
        <f t="shared" si="7"/>
        <v>Z09</v>
      </c>
      <c r="W13" s="43" t="str">
        <f t="shared" si="7"/>
        <v>Z10</v>
      </c>
      <c r="X13" s="43" t="str">
        <f t="shared" si="7"/>
        <v>Z11</v>
      </c>
      <c r="Y13" s="43" t="str">
        <f t="shared" si="7"/>
        <v>Z12</v>
      </c>
      <c r="Z13" s="43" t="str">
        <f t="shared" si="7"/>
        <v>Z13</v>
      </c>
      <c r="AA13" s="43" t="str">
        <f t="shared" si="7"/>
        <v>Z14</v>
      </c>
      <c r="AB13" s="43" t="str">
        <f t="shared" si="7"/>
        <v>Z15</v>
      </c>
      <c r="AC13" s="330"/>
      <c r="AE13" s="68">
        <f>AD10+AD11</f>
        <v>7990.2</v>
      </c>
      <c r="AF13" s="35"/>
      <c r="AG13" s="35"/>
      <c r="AH13" s="35"/>
      <c r="AI13" s="35"/>
      <c r="AJ13" s="35"/>
      <c r="AK13" s="35"/>
      <c r="AP13" s="35"/>
      <c r="AQ13" s="35"/>
      <c r="AR13" s="35"/>
      <c r="AS13" s="35"/>
      <c r="AV13" s="728" t="s">
        <v>683</v>
      </c>
      <c r="AW13" s="935">
        <f t="shared" si="3"/>
        <v>79.880510702767651</v>
      </c>
      <c r="AX13" s="728">
        <f t="shared" si="5"/>
        <v>79.880510702767651</v>
      </c>
      <c r="AY13" s="723">
        <f t="shared" si="5"/>
        <v>0</v>
      </c>
      <c r="AZ13" s="723">
        <f t="shared" si="5"/>
        <v>0</v>
      </c>
      <c r="BA13" s="723">
        <f t="shared" si="5"/>
        <v>0</v>
      </c>
      <c r="BB13" s="723">
        <f t="shared" si="5"/>
        <v>0</v>
      </c>
      <c r="BC13" s="723">
        <f t="shared" si="5"/>
        <v>0</v>
      </c>
      <c r="BD13" s="723">
        <f t="shared" si="5"/>
        <v>0</v>
      </c>
      <c r="BE13" s="723">
        <f t="shared" si="5"/>
        <v>0</v>
      </c>
      <c r="BF13" s="723">
        <f t="shared" si="5"/>
        <v>0</v>
      </c>
      <c r="BG13" s="723">
        <f t="shared" si="5"/>
        <v>0</v>
      </c>
      <c r="BH13" s="723">
        <f t="shared" si="5"/>
        <v>0</v>
      </c>
      <c r="BI13" s="723">
        <f t="shared" si="5"/>
        <v>0</v>
      </c>
      <c r="BJ13" s="723">
        <f t="shared" si="5"/>
        <v>0</v>
      </c>
      <c r="BK13" s="723">
        <f t="shared" si="5"/>
        <v>0</v>
      </c>
      <c r="BL13" s="723">
        <f t="shared" si="5"/>
        <v>0</v>
      </c>
    </row>
    <row r="14" spans="1:64" s="33" customFormat="1" x14ac:dyDescent="0.25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1"/>
      <c r="M14" s="173" t="s">
        <v>198</v>
      </c>
      <c r="N14" s="166">
        <f>ROUND(T_ACTFLO!E19,2)</f>
        <v>1.2</v>
      </c>
      <c r="O14" s="166">
        <f>ROUND(T_ACTFLO!F19,2)</f>
        <v>0</v>
      </c>
      <c r="P14" s="166">
        <f>ROUND(T_ACTFLO!G19,2)</f>
        <v>0</v>
      </c>
      <c r="Q14" s="166">
        <f>ROUND(T_ACTFLO!H19,2)</f>
        <v>0</v>
      </c>
      <c r="R14" s="166">
        <f>ROUND(T_ACTFLO!I19,2)</f>
        <v>0</v>
      </c>
      <c r="S14" s="166">
        <f>ROUND(T_ACTFLO!J19,2)</f>
        <v>0</v>
      </c>
      <c r="T14" s="166">
        <f>ROUND(T_ACTFLO!K19,2)</f>
        <v>0</v>
      </c>
      <c r="U14" s="166">
        <f>ROUND(T_ACTFLO!L19,2)</f>
        <v>0</v>
      </c>
      <c r="V14" s="166">
        <f>ROUND(T_ACTFLO!M19,2)</f>
        <v>0</v>
      </c>
      <c r="W14" s="166">
        <f>ROUND(T_ACTFLO!N19,2)</f>
        <v>0</v>
      </c>
      <c r="X14" s="166">
        <f>ROUND(T_ACTFLO!O19,2)</f>
        <v>0</v>
      </c>
      <c r="Y14" s="166">
        <f>ROUND(T_ACTFLO!P19,2)</f>
        <v>0</v>
      </c>
      <c r="Z14" s="166">
        <f>ROUND(T_ACTFLO!Q19,2)</f>
        <v>0</v>
      </c>
      <c r="AA14" s="166">
        <f>ROUND(T_ACTFLO!R19,2)</f>
        <v>0</v>
      </c>
      <c r="AB14" s="166">
        <f>ROUND(T_ACTFLO!S19,2)</f>
        <v>0</v>
      </c>
      <c r="AC14" s="920"/>
      <c r="AF14" s="35"/>
      <c r="AG14" s="35"/>
      <c r="AH14" s="35"/>
      <c r="AI14" s="35"/>
      <c r="AJ14" s="35"/>
      <c r="AK14" s="35"/>
      <c r="AL14" s="35"/>
      <c r="AV14" s="728" t="s">
        <v>1010</v>
      </c>
      <c r="AW14" s="935">
        <f t="shared" si="3"/>
        <v>689.74498251725095</v>
      </c>
      <c r="AX14" s="728">
        <f t="shared" si="5"/>
        <v>689.74498251725095</v>
      </c>
      <c r="AY14" s="723">
        <f t="shared" si="5"/>
        <v>0</v>
      </c>
      <c r="AZ14" s="723">
        <f t="shared" si="5"/>
        <v>0</v>
      </c>
      <c r="BA14" s="723">
        <f t="shared" si="5"/>
        <v>0</v>
      </c>
      <c r="BB14" s="723">
        <f t="shared" si="5"/>
        <v>0</v>
      </c>
      <c r="BC14" s="723">
        <f t="shared" si="5"/>
        <v>0</v>
      </c>
      <c r="BD14" s="723">
        <f t="shared" si="5"/>
        <v>0</v>
      </c>
      <c r="BE14" s="723">
        <f t="shared" si="5"/>
        <v>0</v>
      </c>
      <c r="BF14" s="723">
        <f t="shared" si="5"/>
        <v>0</v>
      </c>
      <c r="BG14" s="723">
        <f t="shared" si="5"/>
        <v>0</v>
      </c>
      <c r="BH14" s="723">
        <f t="shared" si="5"/>
        <v>0</v>
      </c>
      <c r="BI14" s="723">
        <f t="shared" si="5"/>
        <v>0</v>
      </c>
      <c r="BJ14" s="723">
        <f t="shared" si="5"/>
        <v>0</v>
      </c>
      <c r="BK14" s="723">
        <f t="shared" si="5"/>
        <v>0</v>
      </c>
      <c r="BL14" s="723">
        <f t="shared" si="5"/>
        <v>0</v>
      </c>
    </row>
    <row r="15" spans="1:64" s="33" customFormat="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F15" s="35"/>
      <c r="AG15" s="35"/>
      <c r="AH15" s="35"/>
      <c r="AI15" s="35"/>
      <c r="AJ15" s="35"/>
      <c r="AK15" s="35"/>
      <c r="AL15" s="35"/>
      <c r="AV15" s="728" t="s">
        <v>1012</v>
      </c>
      <c r="AW15" s="935">
        <f t="shared" si="3"/>
        <v>276.11378680271457</v>
      </c>
      <c r="AX15" s="728">
        <f t="shared" si="5"/>
        <v>276.11378680271457</v>
      </c>
      <c r="AY15" s="723">
        <f t="shared" si="5"/>
        <v>0</v>
      </c>
      <c r="AZ15" s="723">
        <f t="shared" si="5"/>
        <v>0</v>
      </c>
      <c r="BA15" s="723">
        <f t="shared" si="5"/>
        <v>0</v>
      </c>
      <c r="BB15" s="723">
        <f t="shared" si="5"/>
        <v>0</v>
      </c>
      <c r="BC15" s="723">
        <f t="shared" si="5"/>
        <v>0</v>
      </c>
      <c r="BD15" s="723">
        <f t="shared" si="5"/>
        <v>0</v>
      </c>
      <c r="BE15" s="723">
        <f t="shared" si="5"/>
        <v>0</v>
      </c>
      <c r="BF15" s="723">
        <f t="shared" si="5"/>
        <v>0</v>
      </c>
      <c r="BG15" s="723">
        <f t="shared" si="5"/>
        <v>0</v>
      </c>
      <c r="BH15" s="723">
        <f t="shared" si="5"/>
        <v>0</v>
      </c>
      <c r="BI15" s="723">
        <f t="shared" si="5"/>
        <v>0</v>
      </c>
      <c r="BJ15" s="723">
        <f t="shared" si="5"/>
        <v>0</v>
      </c>
      <c r="BK15" s="723">
        <f t="shared" si="5"/>
        <v>0</v>
      </c>
      <c r="BL15" s="723">
        <f t="shared" si="5"/>
        <v>0</v>
      </c>
    </row>
    <row r="16" spans="1:64" s="33" customFormat="1" x14ac:dyDescent="0.25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5">
        <f>STAT_TRA_Shares!C7</f>
        <v>0.9</v>
      </c>
      <c r="O16" s="514">
        <f t="shared" ref="O16:AB24" si="8">$N16</f>
        <v>0.9</v>
      </c>
      <c r="P16" s="514">
        <f t="shared" si="8"/>
        <v>0.9</v>
      </c>
      <c r="Q16" s="514">
        <f t="shared" si="8"/>
        <v>0.9</v>
      </c>
      <c r="R16" s="514">
        <f t="shared" si="8"/>
        <v>0.9</v>
      </c>
      <c r="S16" s="514">
        <f t="shared" si="8"/>
        <v>0.9</v>
      </c>
      <c r="T16" s="514">
        <f t="shared" si="8"/>
        <v>0.9</v>
      </c>
      <c r="U16" s="514">
        <f t="shared" si="8"/>
        <v>0.9</v>
      </c>
      <c r="V16" s="514">
        <f t="shared" si="8"/>
        <v>0.9</v>
      </c>
      <c r="W16" s="514">
        <f t="shared" si="8"/>
        <v>0.9</v>
      </c>
      <c r="X16" s="514">
        <f t="shared" si="8"/>
        <v>0.9</v>
      </c>
      <c r="Y16" s="514">
        <f t="shared" si="8"/>
        <v>0.9</v>
      </c>
      <c r="Z16" s="514">
        <f t="shared" si="8"/>
        <v>0.9</v>
      </c>
      <c r="AA16" s="514">
        <f t="shared" si="8"/>
        <v>0.9</v>
      </c>
      <c r="AB16" s="514">
        <f t="shared" si="8"/>
        <v>0.9</v>
      </c>
      <c r="AC16" s="921"/>
      <c r="AV16" s="728" t="s">
        <v>1014</v>
      </c>
      <c r="AW16" s="935">
        <f t="shared" si="3"/>
        <v>9245.1100227280003</v>
      </c>
      <c r="AX16" s="728">
        <f t="shared" ref="AX16:BL24" si="9">SUMIF($AV$32:$AV$155,$AV16,AX$32:AX$155)</f>
        <v>9245.1100227280003</v>
      </c>
      <c r="AY16" s="723">
        <f t="shared" si="9"/>
        <v>0</v>
      </c>
      <c r="AZ16" s="723">
        <f t="shared" si="9"/>
        <v>0</v>
      </c>
      <c r="BA16" s="723">
        <f t="shared" si="9"/>
        <v>0</v>
      </c>
      <c r="BB16" s="723">
        <f t="shared" si="9"/>
        <v>0</v>
      </c>
      <c r="BC16" s="723">
        <f t="shared" si="9"/>
        <v>0</v>
      </c>
      <c r="BD16" s="723">
        <f t="shared" si="9"/>
        <v>0</v>
      </c>
      <c r="BE16" s="723">
        <f t="shared" si="9"/>
        <v>0</v>
      </c>
      <c r="BF16" s="723">
        <f t="shared" si="9"/>
        <v>0</v>
      </c>
      <c r="BG16" s="723">
        <f t="shared" si="9"/>
        <v>0</v>
      </c>
      <c r="BH16" s="723">
        <f t="shared" si="9"/>
        <v>0</v>
      </c>
      <c r="BI16" s="723">
        <f t="shared" si="9"/>
        <v>0</v>
      </c>
      <c r="BJ16" s="723">
        <f t="shared" si="9"/>
        <v>0</v>
      </c>
      <c r="BK16" s="723">
        <f t="shared" si="9"/>
        <v>0</v>
      </c>
      <c r="BL16" s="723">
        <f t="shared" si="9"/>
        <v>0</v>
      </c>
    </row>
    <row r="17" spans="1:64" s="33" customFormat="1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STAT_TRA_Shares!B8</f>
        <v>% of FAME in diesel</v>
      </c>
      <c r="N17" s="515">
        <f>STAT_TRA_Shares!C8</f>
        <v>7.0000000000000007E-2</v>
      </c>
      <c r="O17" s="514">
        <f t="shared" si="8"/>
        <v>7.0000000000000007E-2</v>
      </c>
      <c r="P17" s="514">
        <f t="shared" si="8"/>
        <v>7.0000000000000007E-2</v>
      </c>
      <c r="Q17" s="514">
        <f t="shared" si="8"/>
        <v>7.0000000000000007E-2</v>
      </c>
      <c r="R17" s="514">
        <f t="shared" si="8"/>
        <v>7.0000000000000007E-2</v>
      </c>
      <c r="S17" s="514">
        <f t="shared" si="8"/>
        <v>7.0000000000000007E-2</v>
      </c>
      <c r="T17" s="514">
        <f t="shared" si="8"/>
        <v>7.0000000000000007E-2</v>
      </c>
      <c r="U17" s="514">
        <f t="shared" si="8"/>
        <v>7.0000000000000007E-2</v>
      </c>
      <c r="V17" s="514">
        <f t="shared" si="8"/>
        <v>7.0000000000000007E-2</v>
      </c>
      <c r="W17" s="514">
        <f t="shared" si="8"/>
        <v>7.0000000000000007E-2</v>
      </c>
      <c r="X17" s="514">
        <f t="shared" si="8"/>
        <v>7.0000000000000007E-2</v>
      </c>
      <c r="Y17" s="514">
        <f t="shared" si="8"/>
        <v>7.0000000000000007E-2</v>
      </c>
      <c r="Z17" s="514">
        <f t="shared" si="8"/>
        <v>7.0000000000000007E-2</v>
      </c>
      <c r="AA17" s="514">
        <f t="shared" si="8"/>
        <v>7.0000000000000007E-2</v>
      </c>
      <c r="AB17" s="514">
        <f t="shared" si="8"/>
        <v>7.0000000000000007E-2</v>
      </c>
      <c r="AC17" s="921"/>
      <c r="AV17" s="728" t="s">
        <v>1016</v>
      </c>
      <c r="AW17" s="935">
        <f t="shared" si="3"/>
        <v>0</v>
      </c>
      <c r="AX17" s="728">
        <f t="shared" si="9"/>
        <v>0</v>
      </c>
      <c r="AY17" s="723">
        <f t="shared" si="9"/>
        <v>0</v>
      </c>
      <c r="AZ17" s="723">
        <f t="shared" si="9"/>
        <v>0</v>
      </c>
      <c r="BA17" s="723">
        <f t="shared" si="9"/>
        <v>0</v>
      </c>
      <c r="BB17" s="723">
        <f t="shared" si="9"/>
        <v>0</v>
      </c>
      <c r="BC17" s="723">
        <f t="shared" si="9"/>
        <v>0</v>
      </c>
      <c r="BD17" s="723">
        <f t="shared" si="9"/>
        <v>0</v>
      </c>
      <c r="BE17" s="723">
        <f t="shared" si="9"/>
        <v>0</v>
      </c>
      <c r="BF17" s="723">
        <f t="shared" si="9"/>
        <v>0</v>
      </c>
      <c r="BG17" s="723">
        <f t="shared" si="9"/>
        <v>0</v>
      </c>
      <c r="BH17" s="723">
        <f t="shared" si="9"/>
        <v>0</v>
      </c>
      <c r="BI17" s="723">
        <f t="shared" si="9"/>
        <v>0</v>
      </c>
      <c r="BJ17" s="723">
        <f t="shared" si="9"/>
        <v>0</v>
      </c>
      <c r="BK17" s="723">
        <f t="shared" si="9"/>
        <v>0</v>
      </c>
      <c r="BL17" s="723">
        <f t="shared" si="9"/>
        <v>0</v>
      </c>
    </row>
    <row r="18" spans="1:64" s="33" customFormat="1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8"/>
        <v>0.15</v>
      </c>
      <c r="P18" s="514">
        <f t="shared" si="8"/>
        <v>0.15</v>
      </c>
      <c r="Q18" s="514">
        <f t="shared" si="8"/>
        <v>0.15</v>
      </c>
      <c r="R18" s="514">
        <f t="shared" si="8"/>
        <v>0.15</v>
      </c>
      <c r="S18" s="514">
        <f t="shared" si="8"/>
        <v>0.15</v>
      </c>
      <c r="T18" s="514">
        <f t="shared" si="8"/>
        <v>0.15</v>
      </c>
      <c r="U18" s="514">
        <f t="shared" si="8"/>
        <v>0.15</v>
      </c>
      <c r="V18" s="514">
        <f t="shared" si="8"/>
        <v>0.15</v>
      </c>
      <c r="W18" s="514">
        <f t="shared" si="8"/>
        <v>0.15</v>
      </c>
      <c r="X18" s="514">
        <f t="shared" si="8"/>
        <v>0.15</v>
      </c>
      <c r="Y18" s="514">
        <f t="shared" si="8"/>
        <v>0.15</v>
      </c>
      <c r="Z18" s="514">
        <f t="shared" si="8"/>
        <v>0.15</v>
      </c>
      <c r="AA18" s="514">
        <f t="shared" si="8"/>
        <v>0.15</v>
      </c>
      <c r="AB18" s="514">
        <f t="shared" si="8"/>
        <v>0.15</v>
      </c>
      <c r="AC18" s="921"/>
      <c r="AV18" s="728" t="s">
        <v>1023</v>
      </c>
      <c r="AW18" s="935">
        <f t="shared" si="3"/>
        <v>0</v>
      </c>
      <c r="AX18" s="728">
        <f t="shared" si="9"/>
        <v>0</v>
      </c>
      <c r="AY18" s="723">
        <f t="shared" si="9"/>
        <v>0</v>
      </c>
      <c r="AZ18" s="723">
        <f t="shared" si="9"/>
        <v>0</v>
      </c>
      <c r="BA18" s="723">
        <f t="shared" si="9"/>
        <v>0</v>
      </c>
      <c r="BB18" s="723">
        <f t="shared" si="9"/>
        <v>0</v>
      </c>
      <c r="BC18" s="723">
        <f t="shared" si="9"/>
        <v>0</v>
      </c>
      <c r="BD18" s="723">
        <f t="shared" si="9"/>
        <v>0</v>
      </c>
      <c r="BE18" s="723">
        <f t="shared" si="9"/>
        <v>0</v>
      </c>
      <c r="BF18" s="723">
        <f t="shared" si="9"/>
        <v>0</v>
      </c>
      <c r="BG18" s="723">
        <f t="shared" si="9"/>
        <v>0</v>
      </c>
      <c r="BH18" s="723">
        <f t="shared" si="9"/>
        <v>0</v>
      </c>
      <c r="BI18" s="723">
        <f t="shared" si="9"/>
        <v>0</v>
      </c>
      <c r="BJ18" s="723">
        <f t="shared" si="9"/>
        <v>0</v>
      </c>
      <c r="BK18" s="723">
        <f t="shared" si="9"/>
        <v>0</v>
      </c>
      <c r="BL18" s="723">
        <f t="shared" si="9"/>
        <v>0</v>
      </c>
    </row>
    <row r="19" spans="1:64" s="33" customFormat="1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8"/>
        <v>0.03</v>
      </c>
      <c r="P19" s="514">
        <f t="shared" si="8"/>
        <v>0.03</v>
      </c>
      <c r="Q19" s="514">
        <f t="shared" si="8"/>
        <v>0.03</v>
      </c>
      <c r="R19" s="514">
        <f t="shared" si="8"/>
        <v>0.03</v>
      </c>
      <c r="S19" s="514">
        <f t="shared" si="8"/>
        <v>0.03</v>
      </c>
      <c r="T19" s="514">
        <f t="shared" si="8"/>
        <v>0.03</v>
      </c>
      <c r="U19" s="514">
        <f t="shared" si="8"/>
        <v>0.03</v>
      </c>
      <c r="V19" s="514">
        <f t="shared" si="8"/>
        <v>0.03</v>
      </c>
      <c r="W19" s="514">
        <f t="shared" si="8"/>
        <v>0.03</v>
      </c>
      <c r="X19" s="514">
        <f t="shared" si="8"/>
        <v>0.03</v>
      </c>
      <c r="Y19" s="514">
        <f t="shared" si="8"/>
        <v>0.03</v>
      </c>
      <c r="Z19" s="514">
        <f t="shared" si="8"/>
        <v>0.03</v>
      </c>
      <c r="AA19" s="514">
        <f t="shared" si="8"/>
        <v>0.03</v>
      </c>
      <c r="AB19" s="514">
        <f t="shared" si="8"/>
        <v>0.03</v>
      </c>
      <c r="AC19" s="921"/>
      <c r="AV19" s="725" t="s">
        <v>681</v>
      </c>
      <c r="AW19" s="935">
        <f t="shared" si="3"/>
        <v>0</v>
      </c>
      <c r="AX19" s="728">
        <f t="shared" si="9"/>
        <v>0</v>
      </c>
      <c r="AY19" s="723">
        <f t="shared" si="9"/>
        <v>0</v>
      </c>
      <c r="AZ19" s="723">
        <f t="shared" si="9"/>
        <v>0</v>
      </c>
      <c r="BA19" s="723">
        <f t="shared" si="9"/>
        <v>0</v>
      </c>
      <c r="BB19" s="723">
        <f t="shared" si="9"/>
        <v>0</v>
      </c>
      <c r="BC19" s="723">
        <f t="shared" si="9"/>
        <v>0</v>
      </c>
      <c r="BD19" s="723">
        <f t="shared" si="9"/>
        <v>0</v>
      </c>
      <c r="BE19" s="723">
        <f t="shared" si="9"/>
        <v>0</v>
      </c>
      <c r="BF19" s="723">
        <f t="shared" si="9"/>
        <v>0</v>
      </c>
      <c r="BG19" s="723">
        <f t="shared" si="9"/>
        <v>0</v>
      </c>
      <c r="BH19" s="723">
        <f t="shared" si="9"/>
        <v>0</v>
      </c>
      <c r="BI19" s="723">
        <f t="shared" si="9"/>
        <v>0</v>
      </c>
      <c r="BJ19" s="723">
        <f t="shared" si="9"/>
        <v>0</v>
      </c>
      <c r="BK19" s="723">
        <f t="shared" si="9"/>
        <v>0</v>
      </c>
      <c r="BL19" s="723">
        <f t="shared" si="9"/>
        <v>0</v>
      </c>
    </row>
    <row r="20" spans="1:64" s="33" customFormat="1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STAT_TRA_Shares!B11</f>
        <v>% of low-blend biogasoline in gasoline</v>
      </c>
      <c r="N20" s="515">
        <f>STAT_TRA_Shares!C11</f>
        <v>0</v>
      </c>
      <c r="O20" s="514">
        <f t="shared" si="8"/>
        <v>0</v>
      </c>
      <c r="P20" s="514">
        <f t="shared" si="8"/>
        <v>0</v>
      </c>
      <c r="Q20" s="514">
        <f t="shared" si="8"/>
        <v>0</v>
      </c>
      <c r="R20" s="514">
        <f t="shared" si="8"/>
        <v>0</v>
      </c>
      <c r="S20" s="514">
        <f t="shared" si="8"/>
        <v>0</v>
      </c>
      <c r="T20" s="514">
        <f t="shared" si="8"/>
        <v>0</v>
      </c>
      <c r="U20" s="514">
        <f t="shared" si="8"/>
        <v>0</v>
      </c>
      <c r="V20" s="514">
        <f t="shared" si="8"/>
        <v>0</v>
      </c>
      <c r="W20" s="514">
        <f t="shared" si="8"/>
        <v>0</v>
      </c>
      <c r="X20" s="514">
        <f t="shared" si="8"/>
        <v>0</v>
      </c>
      <c r="Y20" s="514">
        <f t="shared" si="8"/>
        <v>0</v>
      </c>
      <c r="Z20" s="514">
        <f t="shared" si="8"/>
        <v>0</v>
      </c>
      <c r="AA20" s="514">
        <f t="shared" si="8"/>
        <v>0</v>
      </c>
      <c r="AB20" s="514">
        <f t="shared" si="8"/>
        <v>0</v>
      </c>
      <c r="AC20" s="921"/>
      <c r="AV20" s="725" t="s">
        <v>1029</v>
      </c>
      <c r="AW20" s="935">
        <f t="shared" si="3"/>
        <v>0</v>
      </c>
      <c r="AX20" s="728">
        <f t="shared" si="9"/>
        <v>0</v>
      </c>
      <c r="AY20" s="723">
        <f t="shared" si="9"/>
        <v>0</v>
      </c>
      <c r="AZ20" s="723">
        <f t="shared" si="9"/>
        <v>0</v>
      </c>
      <c r="BA20" s="723">
        <f t="shared" si="9"/>
        <v>0</v>
      </c>
      <c r="BB20" s="723">
        <f t="shared" si="9"/>
        <v>0</v>
      </c>
      <c r="BC20" s="723">
        <f t="shared" si="9"/>
        <v>0</v>
      </c>
      <c r="BD20" s="723">
        <f t="shared" si="9"/>
        <v>0</v>
      </c>
      <c r="BE20" s="723">
        <f t="shared" si="9"/>
        <v>0</v>
      </c>
      <c r="BF20" s="723">
        <f t="shared" si="9"/>
        <v>0</v>
      </c>
      <c r="BG20" s="723">
        <f t="shared" si="9"/>
        <v>0</v>
      </c>
      <c r="BH20" s="723">
        <f t="shared" si="9"/>
        <v>0</v>
      </c>
      <c r="BI20" s="723">
        <f t="shared" si="9"/>
        <v>0</v>
      </c>
      <c r="BJ20" s="723">
        <f t="shared" si="9"/>
        <v>0</v>
      </c>
      <c r="BK20" s="723">
        <f t="shared" si="9"/>
        <v>0</v>
      </c>
      <c r="BL20" s="723">
        <f t="shared" si="9"/>
        <v>0</v>
      </c>
    </row>
    <row r="21" spans="1:64" s="33" customFormat="1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STAT_TRA_Shares!B12</f>
        <v>% of bioethanol in E85 (TRAETH)</v>
      </c>
      <c r="N21" s="515">
        <f>STAT_TRA_Shares!C12</f>
        <v>0.85</v>
      </c>
      <c r="O21" s="514">
        <f t="shared" si="8"/>
        <v>0.85</v>
      </c>
      <c r="P21" s="514">
        <f t="shared" si="8"/>
        <v>0.85</v>
      </c>
      <c r="Q21" s="514">
        <f t="shared" si="8"/>
        <v>0.85</v>
      </c>
      <c r="R21" s="514">
        <f t="shared" si="8"/>
        <v>0.85</v>
      </c>
      <c r="S21" s="514">
        <f t="shared" si="8"/>
        <v>0.85</v>
      </c>
      <c r="T21" s="514">
        <f t="shared" si="8"/>
        <v>0.85</v>
      </c>
      <c r="U21" s="514">
        <f t="shared" si="8"/>
        <v>0.85</v>
      </c>
      <c r="V21" s="514">
        <f t="shared" si="8"/>
        <v>0.85</v>
      </c>
      <c r="W21" s="514">
        <f t="shared" si="8"/>
        <v>0.85</v>
      </c>
      <c r="X21" s="514">
        <f t="shared" si="8"/>
        <v>0.85</v>
      </c>
      <c r="Y21" s="514">
        <f t="shared" si="8"/>
        <v>0.85</v>
      </c>
      <c r="Z21" s="514">
        <f t="shared" si="8"/>
        <v>0.85</v>
      </c>
      <c r="AA21" s="514">
        <f t="shared" si="8"/>
        <v>0.85</v>
      </c>
      <c r="AB21" s="514">
        <f t="shared" si="8"/>
        <v>0.85</v>
      </c>
      <c r="AC21" s="921"/>
      <c r="AV21" s="725" t="s">
        <v>1031</v>
      </c>
      <c r="AW21" s="935">
        <f t="shared" si="3"/>
        <v>0</v>
      </c>
      <c r="AX21" s="728">
        <f t="shared" si="9"/>
        <v>0</v>
      </c>
      <c r="AY21" s="723">
        <f t="shared" si="9"/>
        <v>0</v>
      </c>
      <c r="AZ21" s="723">
        <f t="shared" si="9"/>
        <v>0</v>
      </c>
      <c r="BA21" s="723">
        <f t="shared" si="9"/>
        <v>0</v>
      </c>
      <c r="BB21" s="723">
        <f t="shared" si="9"/>
        <v>0</v>
      </c>
      <c r="BC21" s="723">
        <f t="shared" si="9"/>
        <v>0</v>
      </c>
      <c r="BD21" s="723">
        <f t="shared" si="9"/>
        <v>0</v>
      </c>
      <c r="BE21" s="723">
        <f t="shared" si="9"/>
        <v>0</v>
      </c>
      <c r="BF21" s="723">
        <f t="shared" si="9"/>
        <v>0</v>
      </c>
      <c r="BG21" s="723">
        <f t="shared" si="9"/>
        <v>0</v>
      </c>
      <c r="BH21" s="723">
        <f t="shared" si="9"/>
        <v>0</v>
      </c>
      <c r="BI21" s="723">
        <f t="shared" si="9"/>
        <v>0</v>
      </c>
      <c r="BJ21" s="723">
        <f t="shared" si="9"/>
        <v>0</v>
      </c>
      <c r="BK21" s="723">
        <f t="shared" si="9"/>
        <v>0</v>
      </c>
      <c r="BL21" s="723">
        <f t="shared" si="9"/>
        <v>0</v>
      </c>
    </row>
    <row r="22" spans="1:64" s="33" customFormat="1" x14ac:dyDescent="0.25">
      <c r="A22" s="44"/>
      <c r="B22" s="44"/>
      <c r="C22" s="44"/>
      <c r="D22" s="44"/>
      <c r="E22" s="44"/>
      <c r="F22" s="44"/>
      <c r="G22" s="44"/>
      <c r="H22" s="90"/>
      <c r="K22" s="172"/>
      <c r="L22" s="172"/>
      <c r="M22" s="174" t="str">
        <f>STAT_TRA_Shares!B18</f>
        <v>% of CNG fuelled in flexfuel GAS vehicles (rest is GSL)</v>
      </c>
      <c r="N22" s="515">
        <f>STAT_TRA_Shares!C18</f>
        <v>0.8</v>
      </c>
      <c r="O22" s="514">
        <f t="shared" si="8"/>
        <v>0.8</v>
      </c>
      <c r="P22" s="514">
        <f t="shared" si="8"/>
        <v>0.8</v>
      </c>
      <c r="Q22" s="514">
        <f t="shared" si="8"/>
        <v>0.8</v>
      </c>
      <c r="R22" s="514">
        <f t="shared" si="8"/>
        <v>0.8</v>
      </c>
      <c r="S22" s="514">
        <f t="shared" si="8"/>
        <v>0.8</v>
      </c>
      <c r="T22" s="514">
        <f t="shared" si="8"/>
        <v>0.8</v>
      </c>
      <c r="U22" s="514">
        <f t="shared" si="8"/>
        <v>0.8</v>
      </c>
      <c r="V22" s="514">
        <f t="shared" si="8"/>
        <v>0.8</v>
      </c>
      <c r="W22" s="514">
        <f t="shared" si="8"/>
        <v>0.8</v>
      </c>
      <c r="X22" s="514">
        <f t="shared" si="8"/>
        <v>0.8</v>
      </c>
      <c r="Y22" s="514">
        <f t="shared" si="8"/>
        <v>0.8</v>
      </c>
      <c r="Z22" s="514">
        <f t="shared" si="8"/>
        <v>0.8</v>
      </c>
      <c r="AA22" s="514">
        <f t="shared" si="8"/>
        <v>0.8</v>
      </c>
      <c r="AB22" s="514">
        <f t="shared" si="8"/>
        <v>0.8</v>
      </c>
      <c r="AC22" s="921"/>
      <c r="AV22" s="725" t="s">
        <v>1033</v>
      </c>
      <c r="AW22" s="935">
        <f t="shared" si="3"/>
        <v>0</v>
      </c>
      <c r="AX22" s="728">
        <f t="shared" si="9"/>
        <v>0</v>
      </c>
      <c r="AY22" s="723">
        <f t="shared" si="9"/>
        <v>0</v>
      </c>
      <c r="AZ22" s="723">
        <f t="shared" si="9"/>
        <v>0</v>
      </c>
      <c r="BA22" s="723">
        <f t="shared" si="9"/>
        <v>0</v>
      </c>
      <c r="BB22" s="723">
        <f t="shared" si="9"/>
        <v>0</v>
      </c>
      <c r="BC22" s="723">
        <f t="shared" si="9"/>
        <v>0</v>
      </c>
      <c r="BD22" s="723">
        <f t="shared" si="9"/>
        <v>0</v>
      </c>
      <c r="BE22" s="723">
        <f t="shared" si="9"/>
        <v>0</v>
      </c>
      <c r="BF22" s="723">
        <f t="shared" si="9"/>
        <v>0</v>
      </c>
      <c r="BG22" s="723">
        <f t="shared" si="9"/>
        <v>0</v>
      </c>
      <c r="BH22" s="723">
        <f t="shared" si="9"/>
        <v>0</v>
      </c>
      <c r="BI22" s="723">
        <f t="shared" si="9"/>
        <v>0</v>
      </c>
      <c r="BJ22" s="723">
        <f t="shared" si="9"/>
        <v>0</v>
      </c>
      <c r="BK22" s="723">
        <f t="shared" si="9"/>
        <v>0</v>
      </c>
      <c r="BL22" s="723">
        <f t="shared" si="9"/>
        <v>0</v>
      </c>
    </row>
    <row r="23" spans="1:64" s="33" customFormat="1" x14ac:dyDescent="0.25">
      <c r="A23" s="44"/>
      <c r="B23" s="44"/>
      <c r="C23" s="44"/>
      <c r="D23" s="44"/>
      <c r="E23" s="44"/>
      <c r="F23" s="44"/>
      <c r="G23" s="44"/>
      <c r="I23" s="634"/>
      <c r="K23" s="172"/>
      <c r="L23" s="172"/>
      <c r="M23" s="174" t="str">
        <f>STAT_TRA_Shares!B19</f>
        <v>% of ethanol fuelled in E85 flexfuel vehicles (rest is GSL)</v>
      </c>
      <c r="N23" s="515">
        <f>STAT_TRA_Shares!C19</f>
        <v>0.75</v>
      </c>
      <c r="O23" s="514">
        <f t="shared" si="8"/>
        <v>0.75</v>
      </c>
      <c r="P23" s="514">
        <f t="shared" si="8"/>
        <v>0.75</v>
      </c>
      <c r="Q23" s="514">
        <f t="shared" si="8"/>
        <v>0.75</v>
      </c>
      <c r="R23" s="514">
        <f t="shared" si="8"/>
        <v>0.75</v>
      </c>
      <c r="S23" s="514">
        <f t="shared" si="8"/>
        <v>0.75</v>
      </c>
      <c r="T23" s="514">
        <f t="shared" si="8"/>
        <v>0.75</v>
      </c>
      <c r="U23" s="514">
        <f t="shared" si="8"/>
        <v>0.75</v>
      </c>
      <c r="V23" s="514">
        <f t="shared" si="8"/>
        <v>0.75</v>
      </c>
      <c r="W23" s="514">
        <f t="shared" si="8"/>
        <v>0.75</v>
      </c>
      <c r="X23" s="514">
        <f t="shared" si="8"/>
        <v>0.75</v>
      </c>
      <c r="Y23" s="514">
        <f t="shared" si="8"/>
        <v>0.75</v>
      </c>
      <c r="Z23" s="514">
        <f t="shared" si="8"/>
        <v>0.75</v>
      </c>
      <c r="AA23" s="514">
        <f t="shared" si="8"/>
        <v>0.75</v>
      </c>
      <c r="AB23" s="514">
        <f t="shared" si="8"/>
        <v>0.75</v>
      </c>
      <c r="AC23" s="921"/>
      <c r="AV23" s="725" t="s">
        <v>1035</v>
      </c>
      <c r="AW23" s="935">
        <f t="shared" si="3"/>
        <v>0</v>
      </c>
      <c r="AX23" s="728">
        <f t="shared" si="9"/>
        <v>0</v>
      </c>
      <c r="AY23" s="723">
        <f t="shared" si="9"/>
        <v>0</v>
      </c>
      <c r="AZ23" s="723">
        <f t="shared" si="9"/>
        <v>0</v>
      </c>
      <c r="BA23" s="723">
        <f t="shared" si="9"/>
        <v>0</v>
      </c>
      <c r="BB23" s="723">
        <f t="shared" si="9"/>
        <v>0</v>
      </c>
      <c r="BC23" s="723">
        <f t="shared" si="9"/>
        <v>0</v>
      </c>
      <c r="BD23" s="723">
        <f t="shared" si="9"/>
        <v>0</v>
      </c>
      <c r="BE23" s="723">
        <f t="shared" si="9"/>
        <v>0</v>
      </c>
      <c r="BF23" s="723">
        <f t="shared" si="9"/>
        <v>0</v>
      </c>
      <c r="BG23" s="723">
        <f t="shared" si="9"/>
        <v>0</v>
      </c>
      <c r="BH23" s="723">
        <f t="shared" si="9"/>
        <v>0</v>
      </c>
      <c r="BI23" s="723">
        <f t="shared" si="9"/>
        <v>0</v>
      </c>
      <c r="BJ23" s="723">
        <f t="shared" si="9"/>
        <v>0</v>
      </c>
      <c r="BK23" s="723">
        <f t="shared" si="9"/>
        <v>0</v>
      </c>
      <c r="BL23" s="723">
        <f t="shared" si="9"/>
        <v>0</v>
      </c>
    </row>
    <row r="24" spans="1:64" s="33" customFormat="1" x14ac:dyDescent="0.25">
      <c r="A24" s="44"/>
      <c r="B24" s="44"/>
      <c r="C24" s="44"/>
      <c r="D24" s="44"/>
      <c r="E24" s="44"/>
      <c r="F24" s="44"/>
      <c r="G24" s="44"/>
      <c r="K24" s="172"/>
      <c r="L24" s="172"/>
      <c r="M24" s="174" t="str">
        <f>STAT_TRA_Shares!B20</f>
        <v>% of LPG fuelled in flexfuel LPG vehicles (rest is GSL)</v>
      </c>
      <c r="N24" s="515">
        <f>STAT_TRA_Shares!C20</f>
        <v>0.8</v>
      </c>
      <c r="O24" s="514">
        <f t="shared" si="8"/>
        <v>0.8</v>
      </c>
      <c r="P24" s="514">
        <f t="shared" si="8"/>
        <v>0.8</v>
      </c>
      <c r="Q24" s="514">
        <f t="shared" si="8"/>
        <v>0.8</v>
      </c>
      <c r="R24" s="514">
        <f t="shared" si="8"/>
        <v>0.8</v>
      </c>
      <c r="S24" s="514">
        <f t="shared" si="8"/>
        <v>0.8</v>
      </c>
      <c r="T24" s="514">
        <f t="shared" si="8"/>
        <v>0.8</v>
      </c>
      <c r="U24" s="514">
        <f t="shared" si="8"/>
        <v>0.8</v>
      </c>
      <c r="V24" s="514">
        <f t="shared" si="8"/>
        <v>0.8</v>
      </c>
      <c r="W24" s="514">
        <f t="shared" si="8"/>
        <v>0.8</v>
      </c>
      <c r="X24" s="514">
        <f t="shared" si="8"/>
        <v>0.8</v>
      </c>
      <c r="Y24" s="514">
        <f t="shared" si="8"/>
        <v>0.8</v>
      </c>
      <c r="Z24" s="514">
        <f t="shared" si="8"/>
        <v>0.8</v>
      </c>
      <c r="AA24" s="514">
        <f t="shared" si="8"/>
        <v>0.8</v>
      </c>
      <c r="AB24" s="514">
        <f t="shared" si="8"/>
        <v>0.8</v>
      </c>
      <c r="AC24" s="921"/>
      <c r="AV24" s="725" t="s">
        <v>1039</v>
      </c>
      <c r="AW24" s="935">
        <f t="shared" si="3"/>
        <v>87.515921934479124</v>
      </c>
      <c r="AX24" s="728">
        <f t="shared" si="9"/>
        <v>87.515921934479124</v>
      </c>
      <c r="AY24" s="723">
        <f t="shared" si="9"/>
        <v>0</v>
      </c>
      <c r="AZ24" s="723">
        <f t="shared" si="9"/>
        <v>0</v>
      </c>
      <c r="BA24" s="723">
        <f t="shared" si="9"/>
        <v>0</v>
      </c>
      <c r="BB24" s="723">
        <f t="shared" si="9"/>
        <v>0</v>
      </c>
      <c r="BC24" s="723">
        <f t="shared" si="9"/>
        <v>0</v>
      </c>
      <c r="BD24" s="723">
        <f t="shared" si="9"/>
        <v>0</v>
      </c>
      <c r="BE24" s="723">
        <f t="shared" si="9"/>
        <v>0</v>
      </c>
      <c r="BF24" s="723">
        <f t="shared" si="9"/>
        <v>0</v>
      </c>
      <c r="BG24" s="723">
        <f t="shared" si="9"/>
        <v>0</v>
      </c>
      <c r="BH24" s="723">
        <f t="shared" si="9"/>
        <v>0</v>
      </c>
      <c r="BI24" s="723">
        <f t="shared" si="9"/>
        <v>0</v>
      </c>
      <c r="BJ24" s="723">
        <f t="shared" si="9"/>
        <v>0</v>
      </c>
      <c r="BK24" s="723">
        <f t="shared" si="9"/>
        <v>0</v>
      </c>
      <c r="BL24" s="723">
        <f t="shared" si="9"/>
        <v>0</v>
      </c>
    </row>
    <row r="25" spans="1:64" s="33" customFormat="1" x14ac:dyDescent="0.25">
      <c r="A25" s="44"/>
      <c r="B25" s="44"/>
      <c r="C25" s="44"/>
      <c r="D25" s="44"/>
      <c r="E25" s="44"/>
      <c r="F25" s="44"/>
      <c r="G25" s="44"/>
      <c r="M25" s="469"/>
      <c r="N25" s="470"/>
      <c r="O25" s="470"/>
      <c r="P25" s="470"/>
      <c r="Q25" s="470"/>
      <c r="R25" s="470"/>
      <c r="S25" s="470"/>
      <c r="T25" s="470"/>
      <c r="U25" s="470"/>
      <c r="V25" s="470"/>
      <c r="W25" s="470"/>
      <c r="X25" s="470"/>
      <c r="Y25" s="470"/>
      <c r="Z25" s="470"/>
      <c r="AA25" s="470"/>
      <c r="AB25" s="470"/>
      <c r="AC25" s="470"/>
    </row>
    <row r="26" spans="1:64" x14ac:dyDescent="0.25">
      <c r="I26" s="36"/>
      <c r="M26" s="473" t="s">
        <v>1152</v>
      </c>
      <c r="N26" s="482">
        <v>-0.1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  <c r="AC26" s="922"/>
    </row>
    <row r="27" spans="1:64" s="33" customFormat="1" x14ac:dyDescent="0.25">
      <c r="A27" s="44"/>
      <c r="B27" s="26" t="s">
        <v>1153</v>
      </c>
      <c r="C27" s="26"/>
      <c r="D27" s="44"/>
      <c r="E27" s="44"/>
      <c r="F27" s="44"/>
      <c r="G27" s="44"/>
      <c r="M27" s="473" t="s">
        <v>1154</v>
      </c>
      <c r="N27" s="934">
        <v>-0.16596478000000001</v>
      </c>
      <c r="O27" s="482">
        <v>0</v>
      </c>
      <c r="P27" s="482">
        <v>0</v>
      </c>
      <c r="Q27" s="482">
        <v>0</v>
      </c>
      <c r="R27" s="482">
        <v>0</v>
      </c>
      <c r="S27" s="482">
        <v>0</v>
      </c>
      <c r="T27" s="482">
        <v>0</v>
      </c>
      <c r="U27" s="482">
        <v>0</v>
      </c>
      <c r="V27" s="482">
        <v>0</v>
      </c>
      <c r="W27" s="482">
        <v>0</v>
      </c>
      <c r="X27" s="482">
        <v>0</v>
      </c>
      <c r="Y27" s="482">
        <v>0</v>
      </c>
      <c r="Z27" s="482">
        <v>0</v>
      </c>
      <c r="AA27" s="482">
        <v>0</v>
      </c>
      <c r="AB27" s="482">
        <v>0</v>
      </c>
      <c r="AC27" s="922"/>
      <c r="AK27" s="818"/>
      <c r="AL27" s="818"/>
      <c r="AM27" s="818"/>
      <c r="AN27" s="818"/>
      <c r="AO27" s="818"/>
      <c r="AP27" s="818"/>
      <c r="AQ27" s="818"/>
      <c r="AR27" s="818"/>
      <c r="AS27" s="818"/>
      <c r="AT27" s="818"/>
    </row>
    <row r="28" spans="1:64" s="33" customFormat="1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K28" s="818"/>
      <c r="AL28" s="818"/>
      <c r="AM28" s="818"/>
      <c r="AN28" s="818"/>
      <c r="AO28" s="818"/>
      <c r="AP28" s="818"/>
      <c r="AQ28" s="818"/>
      <c r="AR28" s="818"/>
      <c r="AS28" s="818"/>
      <c r="AT28" s="818"/>
    </row>
    <row r="29" spans="1:64" s="22" customFormat="1" x14ac:dyDescent="0.25">
      <c r="A29" s="35"/>
      <c r="B29" s="35"/>
      <c r="C29" s="50"/>
      <c r="D29" s="50"/>
      <c r="E29" s="35"/>
      <c r="F29" s="35"/>
      <c r="G29" s="35"/>
      <c r="H29" s="41"/>
      <c r="I29" s="51"/>
      <c r="J29" s="41"/>
      <c r="K29" s="35"/>
      <c r="L29" s="40" t="str">
        <f>IF(SUM(N10:AB11)&gt;0,"~FI_T","Not in use")</f>
        <v>~FI_T</v>
      </c>
      <c r="M29" s="40"/>
      <c r="N29" s="471"/>
      <c r="O29" s="35"/>
      <c r="P29" s="35"/>
      <c r="Q29" s="35"/>
      <c r="R29" s="41"/>
      <c r="S29" s="35"/>
      <c r="T29" s="35"/>
      <c r="U29" s="35"/>
      <c r="V29" s="41"/>
      <c r="W29" s="35"/>
      <c r="X29" s="35"/>
      <c r="Y29" s="35"/>
      <c r="Z29" s="35"/>
      <c r="AA29" s="35"/>
      <c r="AB29" s="35"/>
      <c r="AC29" s="35"/>
      <c r="AD29" s="49" t="str">
        <f>CONCATENATE("TEST: ",B27)</f>
        <v>TEST: Base-year: Cars</v>
      </c>
      <c r="AF29" s="906"/>
      <c r="AG29" s="906"/>
      <c r="AH29" s="906"/>
      <c r="AI29" s="906"/>
      <c r="AJ29" s="906"/>
      <c r="AK29" s="906"/>
      <c r="AL29" s="906"/>
      <c r="AM29" s="906"/>
      <c r="AN29" s="906"/>
      <c r="AO29" s="906"/>
      <c r="AP29" s="906"/>
      <c r="AQ29" s="906"/>
      <c r="AR29" s="906"/>
      <c r="AS29" s="906"/>
      <c r="AT29" s="906"/>
      <c r="AV29" s="471" t="s">
        <v>1052</v>
      </c>
    </row>
    <row r="30" spans="1:64" s="82" customFormat="1" x14ac:dyDescent="0.25">
      <c r="A30" s="83"/>
      <c r="B30" s="351" t="s">
        <v>1053</v>
      </c>
      <c r="C30" s="352" t="s">
        <v>104</v>
      </c>
      <c r="D30" s="352" t="s">
        <v>1054</v>
      </c>
      <c r="E30" s="352" t="s">
        <v>673</v>
      </c>
      <c r="F30" s="352" t="s">
        <v>1155</v>
      </c>
      <c r="G30" s="352" t="s">
        <v>674</v>
      </c>
      <c r="H30" s="352" t="s">
        <v>1055</v>
      </c>
      <c r="I30" s="353" t="s">
        <v>1056</v>
      </c>
      <c r="J30" s="352" t="s">
        <v>982</v>
      </c>
      <c r="K30" s="354" t="s">
        <v>1123</v>
      </c>
      <c r="L30" s="352" t="s">
        <v>1057</v>
      </c>
      <c r="M30" s="352" t="s">
        <v>1058</v>
      </c>
      <c r="N30" s="352" t="str">
        <f t="shared" ref="N30:AB30" si="10">N$2</f>
        <v>Z01</v>
      </c>
      <c r="O30" s="352" t="str">
        <f t="shared" si="10"/>
        <v>Z02</v>
      </c>
      <c r="P30" s="352" t="str">
        <f t="shared" si="10"/>
        <v>Z03</v>
      </c>
      <c r="Q30" s="352" t="str">
        <f t="shared" si="10"/>
        <v>Z04</v>
      </c>
      <c r="R30" s="352" t="str">
        <f t="shared" si="10"/>
        <v>Z05</v>
      </c>
      <c r="S30" s="352" t="str">
        <f t="shared" si="10"/>
        <v>Z06</v>
      </c>
      <c r="T30" s="352" t="str">
        <f t="shared" si="10"/>
        <v>Z07</v>
      </c>
      <c r="U30" s="352" t="str">
        <f t="shared" si="10"/>
        <v>Z08</v>
      </c>
      <c r="V30" s="352" t="str">
        <f t="shared" si="10"/>
        <v>Z09</v>
      </c>
      <c r="W30" s="352" t="str">
        <f t="shared" si="10"/>
        <v>Z10</v>
      </c>
      <c r="X30" s="352" t="str">
        <f t="shared" si="10"/>
        <v>Z11</v>
      </c>
      <c r="Y30" s="352" t="str">
        <f t="shared" si="10"/>
        <v>Z12</v>
      </c>
      <c r="Z30" s="352" t="str">
        <f t="shared" si="10"/>
        <v>Z13</v>
      </c>
      <c r="AA30" s="352" t="str">
        <f t="shared" si="10"/>
        <v>Z14</v>
      </c>
      <c r="AB30" s="352" t="str">
        <f t="shared" si="10"/>
        <v>Z15</v>
      </c>
      <c r="AC30" s="923"/>
      <c r="AD30" s="43"/>
      <c r="AE30" s="707" t="s">
        <v>421</v>
      </c>
      <c r="AF30" s="98" t="str">
        <f t="shared" ref="AF30:AT30" si="11">N8</f>
        <v>Z01</v>
      </c>
      <c r="AG30" s="98" t="str">
        <f t="shared" si="11"/>
        <v>Z02</v>
      </c>
      <c r="AH30" s="98" t="str">
        <f t="shared" si="11"/>
        <v>Z03</v>
      </c>
      <c r="AI30" s="98" t="str">
        <f t="shared" si="11"/>
        <v>Z04</v>
      </c>
      <c r="AJ30" s="98" t="str">
        <f t="shared" si="11"/>
        <v>Z05</v>
      </c>
      <c r="AK30" s="98" t="str">
        <f t="shared" si="11"/>
        <v>Z06</v>
      </c>
      <c r="AL30" s="98" t="str">
        <f t="shared" si="11"/>
        <v>Z07</v>
      </c>
      <c r="AM30" s="98" t="str">
        <f t="shared" si="11"/>
        <v>Z08</v>
      </c>
      <c r="AN30" s="98" t="str">
        <f t="shared" si="11"/>
        <v>Z09</v>
      </c>
      <c r="AO30" s="98" t="str">
        <f t="shared" si="11"/>
        <v>Z10</v>
      </c>
      <c r="AP30" s="98" t="str">
        <f t="shared" si="11"/>
        <v>Z11</v>
      </c>
      <c r="AQ30" s="98" t="str">
        <f t="shared" si="11"/>
        <v>Z12</v>
      </c>
      <c r="AR30" s="98" t="str">
        <f t="shared" si="11"/>
        <v>Z13</v>
      </c>
      <c r="AS30" s="98" t="str">
        <f t="shared" si="11"/>
        <v>Z14</v>
      </c>
      <c r="AT30" s="98" t="str">
        <f t="shared" si="11"/>
        <v>Z15</v>
      </c>
      <c r="AV30" s="701" t="s">
        <v>85</v>
      </c>
      <c r="AW30" s="701" t="s">
        <v>421</v>
      </c>
      <c r="AX30" s="701" t="str">
        <f t="shared" ref="AX30:BL30" si="12">N$2</f>
        <v>Z01</v>
      </c>
      <c r="AY30" s="701" t="str">
        <f t="shared" si="12"/>
        <v>Z02</v>
      </c>
      <c r="AZ30" s="701" t="str">
        <f t="shared" si="12"/>
        <v>Z03</v>
      </c>
      <c r="BA30" s="701" t="str">
        <f t="shared" si="12"/>
        <v>Z04</v>
      </c>
      <c r="BB30" s="701" t="str">
        <f t="shared" si="12"/>
        <v>Z05</v>
      </c>
      <c r="BC30" s="701" t="str">
        <f t="shared" si="12"/>
        <v>Z06</v>
      </c>
      <c r="BD30" s="701" t="str">
        <f t="shared" si="12"/>
        <v>Z07</v>
      </c>
      <c r="BE30" s="701" t="str">
        <f t="shared" si="12"/>
        <v>Z08</v>
      </c>
      <c r="BF30" s="701" t="str">
        <f t="shared" si="12"/>
        <v>Z09</v>
      </c>
      <c r="BG30" s="701" t="str">
        <f t="shared" si="12"/>
        <v>Z10</v>
      </c>
      <c r="BH30" s="701" t="str">
        <f t="shared" si="12"/>
        <v>Z11</v>
      </c>
      <c r="BI30" s="701" t="str">
        <f t="shared" si="12"/>
        <v>Z12</v>
      </c>
      <c r="BJ30" s="701" t="str">
        <f t="shared" si="12"/>
        <v>Z13</v>
      </c>
      <c r="BK30" s="701" t="str">
        <f t="shared" si="12"/>
        <v>Z14</v>
      </c>
      <c r="BL30" s="701" t="str">
        <f t="shared" si="12"/>
        <v>Z15</v>
      </c>
    </row>
    <row r="31" spans="1:64" s="22" customFormat="1" x14ac:dyDescent="0.25">
      <c r="A31" s="35"/>
      <c r="B31" s="176"/>
      <c r="C31" s="176"/>
      <c r="D31" s="176" t="s">
        <v>1062</v>
      </c>
      <c r="E31" s="176"/>
      <c r="F31" s="176"/>
      <c r="G31" s="176"/>
      <c r="H31" s="176"/>
      <c r="I31" s="177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274"/>
      <c r="AD31" s="624" t="s">
        <v>1124</v>
      </c>
      <c r="AE31" s="625" t="str">
        <f>IF(AE32-(AD10+AD11)&lt;0,"Too small",IF(AE32-(AD10+AD11)&gt;0.001,"Too big","ok"))</f>
        <v>ok</v>
      </c>
      <c r="AF31" s="623" t="str">
        <f t="shared" ref="AF31:AT31" si="13">IF(AF32-SUM(N10:N11)&lt;0,"Too small",IF(AF32-SUM(N10:N11)&gt;0.0001,"Too big","ok"))</f>
        <v>ok</v>
      </c>
      <c r="AG31" s="623" t="str">
        <f t="shared" si="13"/>
        <v>ok</v>
      </c>
      <c r="AH31" s="623" t="str">
        <f t="shared" si="13"/>
        <v>ok</v>
      </c>
      <c r="AI31" s="623" t="str">
        <f t="shared" si="13"/>
        <v>ok</v>
      </c>
      <c r="AJ31" s="623" t="str">
        <f t="shared" si="13"/>
        <v>ok</v>
      </c>
      <c r="AK31" s="623" t="str">
        <f t="shared" si="13"/>
        <v>ok</v>
      </c>
      <c r="AL31" s="623" t="str">
        <f t="shared" si="13"/>
        <v>ok</v>
      </c>
      <c r="AM31" s="623" t="str">
        <f t="shared" si="13"/>
        <v>ok</v>
      </c>
      <c r="AN31" s="623" t="str">
        <f t="shared" si="13"/>
        <v>ok</v>
      </c>
      <c r="AO31" s="623" t="str">
        <f t="shared" si="13"/>
        <v>ok</v>
      </c>
      <c r="AP31" s="623" t="str">
        <f t="shared" si="13"/>
        <v>ok</v>
      </c>
      <c r="AQ31" s="623" t="str">
        <f t="shared" si="13"/>
        <v>ok</v>
      </c>
      <c r="AR31" s="623" t="str">
        <f t="shared" si="13"/>
        <v>ok</v>
      </c>
      <c r="AS31" s="623" t="str">
        <f t="shared" si="13"/>
        <v>ok</v>
      </c>
      <c r="AT31" s="623" t="str">
        <f t="shared" si="13"/>
        <v>ok</v>
      </c>
      <c r="AV31" s="398" t="s">
        <v>103</v>
      </c>
      <c r="AW31" s="717">
        <f>SUM(AX31:BL31)</f>
        <v>19292.055727358835</v>
      </c>
      <c r="AX31" s="718">
        <f t="shared" ref="AX31:BL31" si="14">SUM(AX32:AX166)</f>
        <v>19292.055727358835</v>
      </c>
      <c r="AY31" s="718">
        <f t="shared" si="14"/>
        <v>0</v>
      </c>
      <c r="AZ31" s="718">
        <f t="shared" si="14"/>
        <v>0</v>
      </c>
      <c r="BA31" s="718">
        <f t="shared" si="14"/>
        <v>0</v>
      </c>
      <c r="BB31" s="718">
        <f t="shared" si="14"/>
        <v>0</v>
      </c>
      <c r="BC31" s="718">
        <f t="shared" si="14"/>
        <v>0</v>
      </c>
      <c r="BD31" s="718">
        <f t="shared" si="14"/>
        <v>0</v>
      </c>
      <c r="BE31" s="718">
        <f t="shared" si="14"/>
        <v>0</v>
      </c>
      <c r="BF31" s="718">
        <f t="shared" si="14"/>
        <v>0</v>
      </c>
      <c r="BG31" s="718">
        <f t="shared" si="14"/>
        <v>0</v>
      </c>
      <c r="BH31" s="718">
        <f t="shared" si="14"/>
        <v>0</v>
      </c>
      <c r="BI31" s="718">
        <f t="shared" si="14"/>
        <v>0</v>
      </c>
      <c r="BJ31" s="718">
        <f t="shared" si="14"/>
        <v>0</v>
      </c>
      <c r="BK31" s="718">
        <f t="shared" si="14"/>
        <v>0</v>
      </c>
      <c r="BL31" s="718">
        <f t="shared" si="14"/>
        <v>0</v>
      </c>
    </row>
    <row r="32" spans="1:64" x14ac:dyDescent="0.25">
      <c r="A32" s="22"/>
      <c r="B32" s="186" t="str">
        <f>C32</f>
        <v>TCARDST100</v>
      </c>
      <c r="C32" s="216" t="s">
        <v>302</v>
      </c>
      <c r="D32" s="187" t="s">
        <v>774</v>
      </c>
      <c r="E32" s="258" t="s">
        <v>988</v>
      </c>
      <c r="F32" s="170"/>
      <c r="G32" s="189"/>
      <c r="H32" s="170"/>
      <c r="I32" s="190"/>
      <c r="J32" s="191"/>
      <c r="K32" s="191"/>
      <c r="L32" s="211" t="s">
        <v>1107</v>
      </c>
      <c r="M32" s="191" t="s">
        <v>1156</v>
      </c>
      <c r="N32" s="567">
        <f t="shared" ref="N32:AB32" si="15">10^-3</f>
        <v>1E-3</v>
      </c>
      <c r="O32" s="567">
        <f t="shared" si="15"/>
        <v>1E-3</v>
      </c>
      <c r="P32" s="567">
        <f t="shared" si="15"/>
        <v>1E-3</v>
      </c>
      <c r="Q32" s="567">
        <f t="shared" si="15"/>
        <v>1E-3</v>
      </c>
      <c r="R32" s="567">
        <f t="shared" si="15"/>
        <v>1E-3</v>
      </c>
      <c r="S32" s="567">
        <f t="shared" si="15"/>
        <v>1E-3</v>
      </c>
      <c r="T32" s="567">
        <f t="shared" si="15"/>
        <v>1E-3</v>
      </c>
      <c r="U32" s="567">
        <f t="shared" si="15"/>
        <v>1E-3</v>
      </c>
      <c r="V32" s="567">
        <f t="shared" si="15"/>
        <v>1E-3</v>
      </c>
      <c r="W32" s="567">
        <f t="shared" si="15"/>
        <v>1E-3</v>
      </c>
      <c r="X32" s="567">
        <f t="shared" si="15"/>
        <v>1E-3</v>
      </c>
      <c r="Y32" s="567">
        <f t="shared" si="15"/>
        <v>1E-3</v>
      </c>
      <c r="Z32" s="567">
        <f t="shared" si="15"/>
        <v>1E-3</v>
      </c>
      <c r="AA32" s="567">
        <f t="shared" si="15"/>
        <v>1E-3</v>
      </c>
      <c r="AB32" s="567">
        <f t="shared" si="15"/>
        <v>1E-3</v>
      </c>
      <c r="AC32" s="924"/>
      <c r="AD32" s="56" t="str">
        <f>MID(D32,5,3)</f>
        <v>DST</v>
      </c>
      <c r="AE32" s="80">
        <f>SUM(AF32:AT32)</f>
        <v>7990.2000693243808</v>
      </c>
      <c r="AF32" s="586">
        <f t="shared" ref="AF32:AT32" si="16">SUM(AF40:AF161)</f>
        <v>7990.2000693243808</v>
      </c>
      <c r="AG32" s="586">
        <f t="shared" si="16"/>
        <v>0</v>
      </c>
      <c r="AH32" s="586">
        <f t="shared" si="16"/>
        <v>0</v>
      </c>
      <c r="AI32" s="586">
        <f t="shared" si="16"/>
        <v>0</v>
      </c>
      <c r="AJ32" s="586">
        <f t="shared" si="16"/>
        <v>0</v>
      </c>
      <c r="AK32" s="586">
        <f t="shared" si="16"/>
        <v>0</v>
      </c>
      <c r="AL32" s="586">
        <f t="shared" si="16"/>
        <v>0</v>
      </c>
      <c r="AM32" s="586">
        <f t="shared" si="16"/>
        <v>0</v>
      </c>
      <c r="AN32" s="586">
        <f t="shared" si="16"/>
        <v>0</v>
      </c>
      <c r="AO32" s="586">
        <f t="shared" si="16"/>
        <v>0</v>
      </c>
      <c r="AP32" s="586">
        <f t="shared" si="16"/>
        <v>0</v>
      </c>
      <c r="AQ32" s="586">
        <f t="shared" si="16"/>
        <v>0</v>
      </c>
      <c r="AR32" s="586">
        <f t="shared" si="16"/>
        <v>0</v>
      </c>
      <c r="AS32" s="586">
        <f t="shared" si="16"/>
        <v>0</v>
      </c>
      <c r="AT32" s="586">
        <f t="shared" si="16"/>
        <v>0</v>
      </c>
      <c r="AV32" s="700" t="str">
        <f t="shared" ref="AV32:AV63" si="17">MID(E32,1,7)</f>
        <v>TRABDL</v>
      </c>
      <c r="AW32" s="568">
        <f>SUM(AX32:BL32)</f>
        <v>1297.6714105305266</v>
      </c>
      <c r="AX32" s="568">
        <f t="shared" ref="AX32:BL32" si="18">N$38*N$39*(1-N33-N34)/N$36/1000</f>
        <v>1297.6714105305266</v>
      </c>
      <c r="AY32" s="568">
        <f t="shared" si="18"/>
        <v>0</v>
      </c>
      <c r="AZ32" s="568">
        <f t="shared" si="18"/>
        <v>0</v>
      </c>
      <c r="BA32" s="568">
        <f t="shared" si="18"/>
        <v>0</v>
      </c>
      <c r="BB32" s="568">
        <f t="shared" si="18"/>
        <v>0</v>
      </c>
      <c r="BC32" s="568">
        <f t="shared" si="18"/>
        <v>0</v>
      </c>
      <c r="BD32" s="568">
        <f t="shared" si="18"/>
        <v>0</v>
      </c>
      <c r="BE32" s="568">
        <f t="shared" si="18"/>
        <v>0</v>
      </c>
      <c r="BF32" s="568">
        <f t="shared" si="18"/>
        <v>0</v>
      </c>
      <c r="BG32" s="568">
        <f t="shared" si="18"/>
        <v>0</v>
      </c>
      <c r="BH32" s="568">
        <f t="shared" si="18"/>
        <v>0</v>
      </c>
      <c r="BI32" s="568">
        <f t="shared" si="18"/>
        <v>0</v>
      </c>
      <c r="BJ32" s="568">
        <f t="shared" si="18"/>
        <v>0</v>
      </c>
      <c r="BK32" s="568">
        <f t="shared" si="18"/>
        <v>0</v>
      </c>
      <c r="BL32" s="568">
        <f t="shared" si="18"/>
        <v>0</v>
      </c>
    </row>
    <row r="33" spans="1:64" x14ac:dyDescent="0.25">
      <c r="A33" s="22"/>
      <c r="B33" s="186" t="str">
        <f>B32</f>
        <v>TCARDST100</v>
      </c>
      <c r="C33" s="186"/>
      <c r="D33" s="187"/>
      <c r="E33" s="258" t="s">
        <v>185</v>
      </c>
      <c r="F33" s="170"/>
      <c r="G33" s="189"/>
      <c r="H33" s="170"/>
      <c r="I33" s="190"/>
      <c r="J33" s="191" t="s">
        <v>1157</v>
      </c>
      <c r="K33" s="191"/>
      <c r="L33" s="211" t="s">
        <v>101</v>
      </c>
      <c r="M33" s="191"/>
      <c r="N33" s="377">
        <f>1-(N$17+N$18)</f>
        <v>0.78</v>
      </c>
      <c r="O33" s="377">
        <f t="shared" ref="O33:AB33" si="19">1-(O$17+O$18)</f>
        <v>0.78</v>
      </c>
      <c r="P33" s="377">
        <f t="shared" si="19"/>
        <v>0.78</v>
      </c>
      <c r="Q33" s="377">
        <f t="shared" si="19"/>
        <v>0.78</v>
      </c>
      <c r="R33" s="377">
        <f t="shared" si="19"/>
        <v>0.78</v>
      </c>
      <c r="S33" s="377">
        <f t="shared" si="19"/>
        <v>0.78</v>
      </c>
      <c r="T33" s="377">
        <f t="shared" si="19"/>
        <v>0.78</v>
      </c>
      <c r="U33" s="377">
        <f t="shared" si="19"/>
        <v>0.78</v>
      </c>
      <c r="V33" s="377">
        <f t="shared" si="19"/>
        <v>0.78</v>
      </c>
      <c r="W33" s="377">
        <f t="shared" si="19"/>
        <v>0.78</v>
      </c>
      <c r="X33" s="377">
        <f t="shared" si="19"/>
        <v>0.78</v>
      </c>
      <c r="Y33" s="377">
        <f t="shared" si="19"/>
        <v>0.78</v>
      </c>
      <c r="Z33" s="377">
        <f t="shared" si="19"/>
        <v>0.78</v>
      </c>
      <c r="AA33" s="377">
        <f t="shared" si="19"/>
        <v>0.78</v>
      </c>
      <c r="AB33" s="377">
        <f t="shared" si="19"/>
        <v>0.78</v>
      </c>
      <c r="AC33" s="925"/>
      <c r="AD33" s="66" t="str">
        <f>IF(COUNTIF($AG$4:$AP$4,AD32)=1,"ok","MISSING")</f>
        <v>ok</v>
      </c>
      <c r="AE33" s="819"/>
      <c r="AV33" s="700" t="str">
        <f t="shared" si="17"/>
        <v>TRADST</v>
      </c>
      <c r="AW33" s="568">
        <f>SUM(AX33:BL33)</f>
        <v>6747.8913347587395</v>
      </c>
      <c r="AX33" s="568">
        <f t="shared" ref="AX33:BL34" si="20">N$38*N$39*N33/N$36/1000</f>
        <v>6747.8913347587395</v>
      </c>
      <c r="AY33" s="568">
        <f t="shared" si="20"/>
        <v>0</v>
      </c>
      <c r="AZ33" s="568">
        <f t="shared" si="20"/>
        <v>0</v>
      </c>
      <c r="BA33" s="568">
        <f t="shared" si="20"/>
        <v>0</v>
      </c>
      <c r="BB33" s="568">
        <f t="shared" si="20"/>
        <v>0</v>
      </c>
      <c r="BC33" s="568">
        <f t="shared" si="20"/>
        <v>0</v>
      </c>
      <c r="BD33" s="568">
        <f t="shared" si="20"/>
        <v>0</v>
      </c>
      <c r="BE33" s="568">
        <f t="shared" si="20"/>
        <v>0</v>
      </c>
      <c r="BF33" s="568">
        <f t="shared" si="20"/>
        <v>0</v>
      </c>
      <c r="BG33" s="568">
        <f t="shared" si="20"/>
        <v>0</v>
      </c>
      <c r="BH33" s="568">
        <f t="shared" si="20"/>
        <v>0</v>
      </c>
      <c r="BI33" s="568">
        <f t="shared" si="20"/>
        <v>0</v>
      </c>
      <c r="BJ33" s="568">
        <f t="shared" si="20"/>
        <v>0</v>
      </c>
      <c r="BK33" s="568">
        <f t="shared" si="20"/>
        <v>0</v>
      </c>
      <c r="BL33" s="568">
        <f t="shared" si="20"/>
        <v>0</v>
      </c>
    </row>
    <row r="34" spans="1:64" x14ac:dyDescent="0.25">
      <c r="A34" s="22"/>
      <c r="B34" s="186" t="str">
        <f>B33</f>
        <v>TCARDST100</v>
      </c>
      <c r="C34" s="186"/>
      <c r="D34" s="187"/>
      <c r="E34" s="258" t="s">
        <v>990</v>
      </c>
      <c r="F34" s="170"/>
      <c r="G34" s="189"/>
      <c r="H34" s="170"/>
      <c r="I34" s="190"/>
      <c r="J34" s="191" t="s">
        <v>1158</v>
      </c>
      <c r="K34" s="191"/>
      <c r="L34" s="211" t="s">
        <v>101</v>
      </c>
      <c r="M34" s="191"/>
      <c r="N34" s="377">
        <f>N$17</f>
        <v>7.0000000000000007E-2</v>
      </c>
      <c r="O34" s="377">
        <f t="shared" ref="O34:AB34" si="21">O$17</f>
        <v>7.0000000000000007E-2</v>
      </c>
      <c r="P34" s="377">
        <f t="shared" si="21"/>
        <v>7.0000000000000007E-2</v>
      </c>
      <c r="Q34" s="377">
        <f t="shared" si="21"/>
        <v>7.0000000000000007E-2</v>
      </c>
      <c r="R34" s="377">
        <f t="shared" si="21"/>
        <v>7.0000000000000007E-2</v>
      </c>
      <c r="S34" s="377">
        <f t="shared" si="21"/>
        <v>7.0000000000000007E-2</v>
      </c>
      <c r="T34" s="377">
        <f t="shared" si="21"/>
        <v>7.0000000000000007E-2</v>
      </c>
      <c r="U34" s="377">
        <f t="shared" si="21"/>
        <v>7.0000000000000007E-2</v>
      </c>
      <c r="V34" s="377">
        <f t="shared" si="21"/>
        <v>7.0000000000000007E-2</v>
      </c>
      <c r="W34" s="377">
        <f t="shared" si="21"/>
        <v>7.0000000000000007E-2</v>
      </c>
      <c r="X34" s="377">
        <f t="shared" si="21"/>
        <v>7.0000000000000007E-2</v>
      </c>
      <c r="Y34" s="377">
        <f t="shared" si="21"/>
        <v>7.0000000000000007E-2</v>
      </c>
      <c r="Z34" s="377">
        <f t="shared" si="21"/>
        <v>7.0000000000000007E-2</v>
      </c>
      <c r="AA34" s="377">
        <f t="shared" si="21"/>
        <v>7.0000000000000007E-2</v>
      </c>
      <c r="AB34" s="377">
        <f t="shared" si="21"/>
        <v>7.0000000000000007E-2</v>
      </c>
      <c r="AC34" s="925"/>
      <c r="AD34" s="66"/>
      <c r="AE34" s="819"/>
      <c r="AV34" s="700" t="str">
        <f t="shared" si="17"/>
        <v>TRABDLM</v>
      </c>
      <c r="AW34" s="568">
        <f>SUM(AX34:BL34)</f>
        <v>605.57999158091263</v>
      </c>
      <c r="AX34" s="568">
        <f t="shared" si="20"/>
        <v>605.57999158091263</v>
      </c>
      <c r="AY34" s="568">
        <f t="shared" si="20"/>
        <v>0</v>
      </c>
      <c r="AZ34" s="568">
        <f t="shared" si="20"/>
        <v>0</v>
      </c>
      <c r="BA34" s="568">
        <f t="shared" si="20"/>
        <v>0</v>
      </c>
      <c r="BB34" s="568">
        <f t="shared" si="20"/>
        <v>0</v>
      </c>
      <c r="BC34" s="568">
        <f t="shared" si="20"/>
        <v>0</v>
      </c>
      <c r="BD34" s="568">
        <f t="shared" si="20"/>
        <v>0</v>
      </c>
      <c r="BE34" s="568">
        <f t="shared" si="20"/>
        <v>0</v>
      </c>
      <c r="BF34" s="568">
        <f t="shared" si="20"/>
        <v>0</v>
      </c>
      <c r="BG34" s="568">
        <f t="shared" si="20"/>
        <v>0</v>
      </c>
      <c r="BH34" s="568">
        <f t="shared" si="20"/>
        <v>0</v>
      </c>
      <c r="BI34" s="568">
        <f t="shared" si="20"/>
        <v>0</v>
      </c>
      <c r="BJ34" s="568">
        <f t="shared" si="20"/>
        <v>0</v>
      </c>
      <c r="BK34" s="568">
        <f t="shared" si="20"/>
        <v>0</v>
      </c>
      <c r="BL34" s="568">
        <f t="shared" si="20"/>
        <v>0</v>
      </c>
    </row>
    <row r="35" spans="1:64" x14ac:dyDescent="0.25">
      <c r="B35" s="186" t="str">
        <f>B33</f>
        <v>TCARDST100</v>
      </c>
      <c r="C35" s="186"/>
      <c r="D35" s="187"/>
      <c r="E35" s="186"/>
      <c r="F35" s="170"/>
      <c r="G35" s="214" t="s">
        <v>402</v>
      </c>
      <c r="H35" s="170"/>
      <c r="I35" s="190"/>
      <c r="J35" s="191"/>
      <c r="K35" s="191"/>
      <c r="L35" s="191" t="s">
        <v>1126</v>
      </c>
      <c r="M35" s="186" t="s">
        <v>678</v>
      </c>
      <c r="N35" s="377">
        <f>T_CEFF!H54</f>
        <v>0.4</v>
      </c>
      <c r="O35" s="377">
        <f>T_CEFF!I54</f>
        <v>0.4</v>
      </c>
      <c r="P35" s="377">
        <f>T_CEFF!J54</f>
        <v>0.4</v>
      </c>
      <c r="Q35" s="377">
        <f>T_CEFF!K54</f>
        <v>0.4</v>
      </c>
      <c r="R35" s="377">
        <f>T_CEFF!L54</f>
        <v>0.4</v>
      </c>
      <c r="S35" s="377">
        <f>T_CEFF!M54</f>
        <v>0.4</v>
      </c>
      <c r="T35" s="377">
        <f>T_CEFF!N54</f>
        <v>0.4</v>
      </c>
      <c r="U35" s="377">
        <f>T_CEFF!O54</f>
        <v>0.4</v>
      </c>
      <c r="V35" s="377">
        <f>T_CEFF!P54</f>
        <v>0.4</v>
      </c>
      <c r="W35" s="377">
        <f>T_CEFF!Q54</f>
        <v>0.4</v>
      </c>
      <c r="X35" s="377">
        <f>T_CEFF!R54</f>
        <v>0.4</v>
      </c>
      <c r="Y35" s="377">
        <f>T_CEFF!S54</f>
        <v>0.4</v>
      </c>
      <c r="Z35" s="377">
        <f>T_CEFF!T54</f>
        <v>0.4</v>
      </c>
      <c r="AA35" s="377">
        <f>T_CEFF!U54</f>
        <v>0.4</v>
      </c>
      <c r="AB35" s="377">
        <f>T_CEFF!V54</f>
        <v>0.4</v>
      </c>
      <c r="AC35" s="925"/>
      <c r="AE35" s="568"/>
      <c r="AV35" s="700" t="str">
        <f t="shared" si="17"/>
        <v/>
      </c>
      <c r="AW35" s="705"/>
      <c r="AX35" s="568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x14ac:dyDescent="0.25">
      <c r="B36" s="186" t="str">
        <f t="shared" ref="B36:B45" si="22">B35</f>
        <v>TCARDST100</v>
      </c>
      <c r="C36" s="186"/>
      <c r="D36" s="187"/>
      <c r="E36" s="186"/>
      <c r="F36" s="170"/>
      <c r="G36" s="214" t="s">
        <v>404</v>
      </c>
      <c r="H36" s="170"/>
      <c r="I36" s="190"/>
      <c r="J36" s="191"/>
      <c r="K36" s="191"/>
      <c r="L36" s="191" t="s">
        <v>1126</v>
      </c>
      <c r="M36" s="186" t="s">
        <v>678</v>
      </c>
      <c r="N36" s="377">
        <f>T_CEFF!H55</f>
        <v>0.35555999999999999</v>
      </c>
      <c r="O36" s="377">
        <f>T_CEFF!I55</f>
        <v>0.35555999999999999</v>
      </c>
      <c r="P36" s="377">
        <f>T_CEFF!J55</f>
        <v>0.35555999999999999</v>
      </c>
      <c r="Q36" s="377">
        <f>T_CEFF!K55</f>
        <v>0.35555999999999999</v>
      </c>
      <c r="R36" s="377">
        <f>T_CEFF!L55</f>
        <v>0.35555999999999999</v>
      </c>
      <c r="S36" s="377">
        <f>T_CEFF!M55</f>
        <v>0.35555999999999999</v>
      </c>
      <c r="T36" s="377">
        <f>T_CEFF!N55</f>
        <v>0.35555999999999999</v>
      </c>
      <c r="U36" s="377">
        <f>T_CEFF!O55</f>
        <v>0.35555999999999999</v>
      </c>
      <c r="V36" s="377">
        <f>T_CEFF!P55</f>
        <v>0.35555999999999999</v>
      </c>
      <c r="W36" s="377">
        <f>T_CEFF!Q55</f>
        <v>0.35555999999999999</v>
      </c>
      <c r="X36" s="377">
        <f>T_CEFF!R55</f>
        <v>0.35555999999999999</v>
      </c>
      <c r="Y36" s="377">
        <f>T_CEFF!S55</f>
        <v>0.35555999999999999</v>
      </c>
      <c r="Z36" s="377">
        <f>T_CEFF!T55</f>
        <v>0.35555999999999999</v>
      </c>
      <c r="AA36" s="377">
        <f>T_CEFF!U55</f>
        <v>0.35555999999999999</v>
      </c>
      <c r="AB36" s="377">
        <f>T_CEFF!V55</f>
        <v>0.35555999999999999</v>
      </c>
      <c r="AC36" s="925"/>
      <c r="AE36" s="568"/>
      <c r="AV36" s="700" t="str">
        <f t="shared" si="17"/>
        <v/>
      </c>
      <c r="AX36" s="568"/>
    </row>
    <row r="37" spans="1:64" x14ac:dyDescent="0.25">
      <c r="B37" s="186" t="str">
        <f>B36</f>
        <v>TCARDST100</v>
      </c>
      <c r="C37" s="186"/>
      <c r="D37" s="187"/>
      <c r="E37" s="186"/>
      <c r="F37" s="170"/>
      <c r="G37" s="213"/>
      <c r="H37" s="170"/>
      <c r="I37" s="190"/>
      <c r="J37" s="191"/>
      <c r="K37" s="191" t="s">
        <v>749</v>
      </c>
      <c r="L37" s="191" t="s">
        <v>1128</v>
      </c>
      <c r="M37" s="186" t="s">
        <v>1159</v>
      </c>
      <c r="N37" s="368">
        <f>N$14</f>
        <v>1.2</v>
      </c>
      <c r="O37" s="368">
        <f t="shared" ref="O37:AB37" si="23">O$14</f>
        <v>0</v>
      </c>
      <c r="P37" s="368">
        <f t="shared" si="23"/>
        <v>0</v>
      </c>
      <c r="Q37" s="368">
        <f t="shared" si="23"/>
        <v>0</v>
      </c>
      <c r="R37" s="368">
        <f t="shared" si="23"/>
        <v>0</v>
      </c>
      <c r="S37" s="368">
        <f t="shared" si="23"/>
        <v>0</v>
      </c>
      <c r="T37" s="368">
        <f t="shared" si="23"/>
        <v>0</v>
      </c>
      <c r="U37" s="368">
        <f t="shared" si="23"/>
        <v>0</v>
      </c>
      <c r="V37" s="368">
        <f t="shared" si="23"/>
        <v>0</v>
      </c>
      <c r="W37" s="368">
        <f t="shared" si="23"/>
        <v>0</v>
      </c>
      <c r="X37" s="368">
        <f t="shared" si="23"/>
        <v>0</v>
      </c>
      <c r="Y37" s="368">
        <f t="shared" si="23"/>
        <v>0</v>
      </c>
      <c r="Z37" s="368">
        <f t="shared" si="23"/>
        <v>0</v>
      </c>
      <c r="AA37" s="368">
        <f t="shared" si="23"/>
        <v>0</v>
      </c>
      <c r="AB37" s="368">
        <f t="shared" si="23"/>
        <v>0</v>
      </c>
      <c r="AC37" s="920"/>
      <c r="AE37" s="568"/>
      <c r="AV37" s="700" t="str">
        <f t="shared" si="17"/>
        <v/>
      </c>
    </row>
    <row r="38" spans="1:64" x14ac:dyDescent="0.25">
      <c r="B38" s="186" t="str">
        <f t="shared" si="22"/>
        <v>TCARDST100</v>
      </c>
      <c r="C38" s="186"/>
      <c r="D38" s="187"/>
      <c r="E38" s="186"/>
      <c r="F38" s="170"/>
      <c r="G38" s="213"/>
      <c r="H38" s="170"/>
      <c r="I38" s="190"/>
      <c r="J38" s="191"/>
      <c r="K38" s="191"/>
      <c r="L38" s="211" t="s">
        <v>1130</v>
      </c>
      <c r="M38" s="186" t="s">
        <v>1131</v>
      </c>
      <c r="N38" s="376">
        <f>LOOKUP($C$32, T_NCAP_AF!$C$5:$C$15, T_NCAP_AF!D$5:D$15)*(1+N$26)</f>
        <v>14.715000000000002</v>
      </c>
      <c r="O38" s="376">
        <f>LOOKUP($C$32, T_NCAP_AF!$C$5:$C$15, T_NCAP_AF!E$5:E$15)*(1+O$26)</f>
        <v>0</v>
      </c>
      <c r="P38" s="376">
        <f>LOOKUP($C$32, T_NCAP_AF!$C$5:$C$15, T_NCAP_AF!F$5:F$15)*(1+P$26)</f>
        <v>0</v>
      </c>
      <c r="Q38" s="376">
        <f>LOOKUP($C$32, T_NCAP_AF!$C$5:$C$15, T_NCAP_AF!G$5:G$15)*(1+Q$26)</f>
        <v>0</v>
      </c>
      <c r="R38" s="376">
        <f>LOOKUP($C$32, T_NCAP_AF!$C$5:$C$15, T_NCAP_AF!H$5:H$15)*(1+R$26)</f>
        <v>0</v>
      </c>
      <c r="S38" s="376">
        <f>LOOKUP($C$32, T_NCAP_AF!$C$5:$C$15, T_NCAP_AF!I$5:I$15)*(1+S$26)</f>
        <v>0</v>
      </c>
      <c r="T38" s="376">
        <f>LOOKUP($C$32, T_NCAP_AF!$C$5:$C$15, T_NCAP_AF!J$5:J$15)*(1+T$26)</f>
        <v>0</v>
      </c>
      <c r="U38" s="376">
        <f>LOOKUP($C$32, T_NCAP_AF!$C$5:$C$15, T_NCAP_AF!K$5:K$15)*(1+U$26)</f>
        <v>0</v>
      </c>
      <c r="V38" s="376">
        <f>LOOKUP($C$32, T_NCAP_AF!$C$5:$C$15, T_NCAP_AF!L$5:L$15)*(1+V$26)</f>
        <v>0</v>
      </c>
      <c r="W38" s="376">
        <f>LOOKUP($C$32, T_NCAP_AF!$C$5:$C$15, T_NCAP_AF!M$5:M$15)*(1+W$26)</f>
        <v>0</v>
      </c>
      <c r="X38" s="376">
        <f>LOOKUP($C$32, T_NCAP_AF!$C$5:$C$15, T_NCAP_AF!N$5:N$15)*(1+X$26)</f>
        <v>0</v>
      </c>
      <c r="Y38" s="376">
        <f>LOOKUP($C$32, T_NCAP_AF!$C$5:$C$15, T_NCAP_AF!O$5:O$15)*(1+Y$26)</f>
        <v>0</v>
      </c>
      <c r="Z38" s="376">
        <f>LOOKUP($C$32, T_NCAP_AF!$C$5:$C$15, T_NCAP_AF!P$5:P$15)*(1+Z$26)</f>
        <v>0</v>
      </c>
      <c r="AA38" s="376">
        <f>LOOKUP($C$32, T_NCAP_AF!$C$5:$C$15, T_NCAP_AF!Q$5:Q$15)*(1+AA$26)</f>
        <v>0</v>
      </c>
      <c r="AB38" s="376">
        <f>LOOKUP($C$32, T_NCAP_AF!$C$5:$C$15, T_NCAP_AF!R$5:R$15)*(1+AB$26)</f>
        <v>0</v>
      </c>
      <c r="AC38" s="132"/>
      <c r="AE38" s="568"/>
      <c r="AV38" s="700" t="str">
        <f t="shared" si="17"/>
        <v/>
      </c>
    </row>
    <row r="39" spans="1:64" x14ac:dyDescent="0.25">
      <c r="B39" s="186" t="str">
        <f>B38</f>
        <v>TCARDST100</v>
      </c>
      <c r="C39" s="186"/>
      <c r="D39" s="187"/>
      <c r="E39" s="186"/>
      <c r="F39" s="170"/>
      <c r="G39" s="213"/>
      <c r="H39" s="170"/>
      <c r="I39" s="190">
        <f>$M$3</f>
        <v>2019</v>
      </c>
      <c r="J39" s="191"/>
      <c r="K39" s="191"/>
      <c r="L39" s="211" t="s">
        <v>1065</v>
      </c>
      <c r="M39" s="217" t="s">
        <v>748</v>
      </c>
      <c r="N39" s="687">
        <f>LOOKUP($C$32, T_Stock_Private!$C$10:$C$20, T_Stock_Private!D$10:D$20)*(1+N27)</f>
        <v>209038.4173647</v>
      </c>
      <c r="O39" s="687">
        <f>LOOKUP($C$32, T_Stock_Private!$C$10:$C$20, T_Stock_Private!E$10:E$20)*(1+O27)</f>
        <v>0</v>
      </c>
      <c r="P39" s="687">
        <f>LOOKUP($C$32, T_Stock_Private!$C$10:$C$20, T_Stock_Private!F$10:F$20)*(1+P27)</f>
        <v>0</v>
      </c>
      <c r="Q39" s="687">
        <f>LOOKUP($C$32, T_Stock_Private!$C$10:$C$20, T_Stock_Private!G$10:G$20)*(1+Q27)</f>
        <v>0</v>
      </c>
      <c r="R39" s="687">
        <f>LOOKUP($C$32, T_Stock_Private!$C$10:$C$20, T_Stock_Private!H$10:H$20)*(1+R27)</f>
        <v>0</v>
      </c>
      <c r="S39" s="687">
        <f>LOOKUP($C$32, T_Stock_Private!$C$10:$C$20, T_Stock_Private!I$10:I$20)*(1+S27)</f>
        <v>0</v>
      </c>
      <c r="T39" s="687">
        <f>LOOKUP($C$32, T_Stock_Private!$C$10:$C$20, T_Stock_Private!J$10:J$20)*(1+T27)</f>
        <v>0</v>
      </c>
      <c r="U39" s="687">
        <f>LOOKUP($C$32, T_Stock_Private!$C$10:$C$20, T_Stock_Private!K$10:K$20)*(1+U27)</f>
        <v>0</v>
      </c>
      <c r="V39" s="687">
        <f>LOOKUP($C$32, T_Stock_Private!$C$10:$C$20, T_Stock_Private!L$10:L$20)*(1+V27)</f>
        <v>0</v>
      </c>
      <c r="W39" s="687">
        <f>LOOKUP($C$32, T_Stock_Private!$C$10:$C$20, T_Stock_Private!M$10:M$20)*(1+W27)</f>
        <v>0</v>
      </c>
      <c r="X39" s="687">
        <f>LOOKUP($C$32, T_Stock_Private!$C$10:$C$20, T_Stock_Private!N$10:N$20)*(1+X27)</f>
        <v>0</v>
      </c>
      <c r="Y39" s="687">
        <f>LOOKUP($C$32, T_Stock_Private!$C$10:$C$20, T_Stock_Private!O$10:O$20)*(1+Y27)</f>
        <v>0</v>
      </c>
      <c r="Z39" s="687">
        <f>LOOKUP($C$32, T_Stock_Private!$C$10:$C$20, T_Stock_Private!P$10:P$20)*(1+Z27)</f>
        <v>0</v>
      </c>
      <c r="AA39" s="687">
        <f>LOOKUP($C$32, T_Stock_Private!$C$10:$C$20, T_Stock_Private!Q$10:Q$20)*(1+AA27)</f>
        <v>0</v>
      </c>
      <c r="AB39" s="687">
        <f>LOOKUP($C$32, T_Stock_Private!$C$10:$C$20, T_Stock_Private!R$10:R$20)*(1+AB27)</f>
        <v>0</v>
      </c>
      <c r="AC39" s="926"/>
      <c r="AE39" s="568"/>
      <c r="AV39" s="700" t="str">
        <f t="shared" si="17"/>
        <v/>
      </c>
    </row>
    <row r="40" spans="1:64" x14ac:dyDescent="0.25">
      <c r="B40" s="186" t="str">
        <f t="shared" si="22"/>
        <v>TCARDST100</v>
      </c>
      <c r="C40" s="186"/>
      <c r="D40" s="187"/>
      <c r="E40" s="186"/>
      <c r="F40" s="170"/>
      <c r="G40" s="213"/>
      <c r="H40" s="170"/>
      <c r="I40" s="190">
        <f>AF$5</f>
        <v>2020</v>
      </c>
      <c r="J40" s="191"/>
      <c r="K40" s="191"/>
      <c r="L40" s="211" t="s">
        <v>1065</v>
      </c>
      <c r="M40" s="186" t="s">
        <v>748</v>
      </c>
      <c r="N40" s="687">
        <f t="shared" ref="N40:AB40" si="24">N39*LOOKUP($AD32,$AG$4:$AO$4,$AG$5:$AO$5)</f>
        <v>198586.496496465</v>
      </c>
      <c r="O40" s="687">
        <f t="shared" si="24"/>
        <v>0</v>
      </c>
      <c r="P40" s="687">
        <f t="shared" si="24"/>
        <v>0</v>
      </c>
      <c r="Q40" s="687">
        <f t="shared" si="24"/>
        <v>0</v>
      </c>
      <c r="R40" s="687">
        <f t="shared" si="24"/>
        <v>0</v>
      </c>
      <c r="S40" s="687">
        <f t="shared" si="24"/>
        <v>0</v>
      </c>
      <c r="T40" s="687">
        <f t="shared" si="24"/>
        <v>0</v>
      </c>
      <c r="U40" s="687">
        <f t="shared" si="24"/>
        <v>0</v>
      </c>
      <c r="V40" s="687">
        <f t="shared" si="24"/>
        <v>0</v>
      </c>
      <c r="W40" s="687">
        <f t="shared" si="24"/>
        <v>0</v>
      </c>
      <c r="X40" s="687">
        <f t="shared" si="24"/>
        <v>0</v>
      </c>
      <c r="Y40" s="687">
        <f t="shared" si="24"/>
        <v>0</v>
      </c>
      <c r="Z40" s="687">
        <f t="shared" si="24"/>
        <v>0</v>
      </c>
      <c r="AA40" s="687">
        <f t="shared" si="24"/>
        <v>0</v>
      </c>
      <c r="AB40" s="687">
        <f t="shared" si="24"/>
        <v>0</v>
      </c>
      <c r="AC40" s="926"/>
      <c r="AE40" s="569">
        <f>SUM(AF40:AT40)</f>
        <v>3691.2003738258727</v>
      </c>
      <c r="AF40" s="568">
        <f t="shared" ref="AF40:AT40" si="25">N37*N38*N39/1000</f>
        <v>3691.2003738258727</v>
      </c>
      <c r="AG40" s="568">
        <f t="shared" si="25"/>
        <v>0</v>
      </c>
      <c r="AH40" s="568">
        <f t="shared" si="25"/>
        <v>0</v>
      </c>
      <c r="AI40" s="568">
        <f t="shared" si="25"/>
        <v>0</v>
      </c>
      <c r="AJ40" s="568">
        <f t="shared" si="25"/>
        <v>0</v>
      </c>
      <c r="AK40" s="568">
        <f t="shared" si="25"/>
        <v>0</v>
      </c>
      <c r="AL40" s="568">
        <f t="shared" si="25"/>
        <v>0</v>
      </c>
      <c r="AM40" s="568">
        <f t="shared" si="25"/>
        <v>0</v>
      </c>
      <c r="AN40" s="568">
        <f t="shared" si="25"/>
        <v>0</v>
      </c>
      <c r="AO40" s="568">
        <f t="shared" si="25"/>
        <v>0</v>
      </c>
      <c r="AP40" s="568">
        <f t="shared" si="25"/>
        <v>0</v>
      </c>
      <c r="AQ40" s="568">
        <f t="shared" si="25"/>
        <v>0</v>
      </c>
      <c r="AR40" s="568">
        <f t="shared" si="25"/>
        <v>0</v>
      </c>
      <c r="AS40" s="568">
        <f t="shared" si="25"/>
        <v>0</v>
      </c>
      <c r="AT40" s="568">
        <f t="shared" si="25"/>
        <v>0</v>
      </c>
      <c r="AV40" s="700" t="str">
        <f t="shared" si="17"/>
        <v/>
      </c>
    </row>
    <row r="41" spans="1:64" x14ac:dyDescent="0.25">
      <c r="B41" s="186" t="str">
        <f t="shared" si="22"/>
        <v>TCARDST100</v>
      </c>
      <c r="C41" s="186"/>
      <c r="D41" s="187"/>
      <c r="E41" s="186"/>
      <c r="F41" s="170"/>
      <c r="G41" s="213"/>
      <c r="H41" s="170"/>
      <c r="I41" s="190">
        <f>AF$6</f>
        <v>2025</v>
      </c>
      <c r="J41" s="191"/>
      <c r="K41" s="191"/>
      <c r="L41" s="211" t="s">
        <v>1065</v>
      </c>
      <c r="M41" s="186" t="s">
        <v>748</v>
      </c>
      <c r="N41" s="687">
        <f t="shared" ref="N41:AB41" si="26">N39*LOOKUP($AD32,$AG$4:$AO$4,$AG$6:$AO$6)</f>
        <v>146326.89215529</v>
      </c>
      <c r="O41" s="687">
        <f t="shared" si="26"/>
        <v>0</v>
      </c>
      <c r="P41" s="687">
        <f t="shared" si="26"/>
        <v>0</v>
      </c>
      <c r="Q41" s="687">
        <f t="shared" si="26"/>
        <v>0</v>
      </c>
      <c r="R41" s="687">
        <f t="shared" si="26"/>
        <v>0</v>
      </c>
      <c r="S41" s="687">
        <f t="shared" si="26"/>
        <v>0</v>
      </c>
      <c r="T41" s="687">
        <f t="shared" si="26"/>
        <v>0</v>
      </c>
      <c r="U41" s="687">
        <f t="shared" si="26"/>
        <v>0</v>
      </c>
      <c r="V41" s="687">
        <f t="shared" si="26"/>
        <v>0</v>
      </c>
      <c r="W41" s="687">
        <f t="shared" si="26"/>
        <v>0</v>
      </c>
      <c r="X41" s="687">
        <f t="shared" si="26"/>
        <v>0</v>
      </c>
      <c r="Y41" s="687">
        <f t="shared" si="26"/>
        <v>0</v>
      </c>
      <c r="Z41" s="687">
        <f t="shared" si="26"/>
        <v>0</v>
      </c>
      <c r="AA41" s="687">
        <f t="shared" si="26"/>
        <v>0</v>
      </c>
      <c r="AB41" s="687">
        <f t="shared" si="26"/>
        <v>0</v>
      </c>
      <c r="AC41" s="926"/>
      <c r="AE41" s="568"/>
      <c r="AV41" s="700" t="str">
        <f t="shared" si="17"/>
        <v/>
      </c>
    </row>
    <row r="42" spans="1:64" x14ac:dyDescent="0.25">
      <c r="B42" s="186" t="str">
        <f t="shared" si="22"/>
        <v>TCARDST100</v>
      </c>
      <c r="C42" s="186"/>
      <c r="D42" s="187"/>
      <c r="E42" s="186"/>
      <c r="F42" s="170"/>
      <c r="G42" s="213"/>
      <c r="H42" s="170"/>
      <c r="I42" s="190">
        <f>AF$7</f>
        <v>2030</v>
      </c>
      <c r="J42" s="191"/>
      <c r="K42" s="191"/>
      <c r="L42" s="211" t="s">
        <v>1065</v>
      </c>
      <c r="M42" s="186" t="s">
        <v>748</v>
      </c>
      <c r="N42" s="687">
        <f t="shared" ref="N42:AB42" si="27">N39*LOOKUP($AD32,$AG$4:$AO$4,$AG$7:$AO$7)</f>
        <v>83615.36694588</v>
      </c>
      <c r="O42" s="687">
        <f t="shared" si="27"/>
        <v>0</v>
      </c>
      <c r="P42" s="687">
        <f t="shared" si="27"/>
        <v>0</v>
      </c>
      <c r="Q42" s="687">
        <f t="shared" si="27"/>
        <v>0</v>
      </c>
      <c r="R42" s="687">
        <f t="shared" si="27"/>
        <v>0</v>
      </c>
      <c r="S42" s="687">
        <f t="shared" si="27"/>
        <v>0</v>
      </c>
      <c r="T42" s="687">
        <f t="shared" si="27"/>
        <v>0</v>
      </c>
      <c r="U42" s="687">
        <f t="shared" si="27"/>
        <v>0</v>
      </c>
      <c r="V42" s="687">
        <f t="shared" si="27"/>
        <v>0</v>
      </c>
      <c r="W42" s="687">
        <f t="shared" si="27"/>
        <v>0</v>
      </c>
      <c r="X42" s="687">
        <f t="shared" si="27"/>
        <v>0</v>
      </c>
      <c r="Y42" s="687">
        <f t="shared" si="27"/>
        <v>0</v>
      </c>
      <c r="Z42" s="687">
        <f t="shared" si="27"/>
        <v>0</v>
      </c>
      <c r="AA42" s="687">
        <f t="shared" si="27"/>
        <v>0</v>
      </c>
      <c r="AB42" s="687">
        <f t="shared" si="27"/>
        <v>0</v>
      </c>
      <c r="AC42" s="926"/>
      <c r="AE42" s="568"/>
      <c r="AV42" s="700" t="str">
        <f t="shared" si="17"/>
        <v/>
      </c>
    </row>
    <row r="43" spans="1:64" x14ac:dyDescent="0.25">
      <c r="B43" s="186" t="str">
        <f t="shared" si="22"/>
        <v>TCARDST100</v>
      </c>
      <c r="C43" s="186"/>
      <c r="D43" s="187"/>
      <c r="E43" s="186"/>
      <c r="F43" s="170"/>
      <c r="G43" s="213"/>
      <c r="H43" s="170"/>
      <c r="I43" s="190">
        <f>AF$8</f>
        <v>2035</v>
      </c>
      <c r="J43" s="191"/>
      <c r="K43" s="191"/>
      <c r="L43" s="211" t="s">
        <v>1065</v>
      </c>
      <c r="M43" s="186" t="s">
        <v>748</v>
      </c>
      <c r="N43" s="687">
        <f t="shared" ref="N43:AB43" si="28">N39*LOOKUP($AD32,$AG$4:$AO$4,$AG$8:$AO$8)</f>
        <v>31355.762604705</v>
      </c>
      <c r="O43" s="687">
        <f t="shared" si="28"/>
        <v>0</v>
      </c>
      <c r="P43" s="687">
        <f t="shared" si="28"/>
        <v>0</v>
      </c>
      <c r="Q43" s="687">
        <f t="shared" si="28"/>
        <v>0</v>
      </c>
      <c r="R43" s="687">
        <f t="shared" si="28"/>
        <v>0</v>
      </c>
      <c r="S43" s="687">
        <f t="shared" si="28"/>
        <v>0</v>
      </c>
      <c r="T43" s="687">
        <f t="shared" si="28"/>
        <v>0</v>
      </c>
      <c r="U43" s="687">
        <f t="shared" si="28"/>
        <v>0</v>
      </c>
      <c r="V43" s="687">
        <f t="shared" si="28"/>
        <v>0</v>
      </c>
      <c r="W43" s="687">
        <f t="shared" si="28"/>
        <v>0</v>
      </c>
      <c r="X43" s="687">
        <f t="shared" si="28"/>
        <v>0</v>
      </c>
      <c r="Y43" s="687">
        <f t="shared" si="28"/>
        <v>0</v>
      </c>
      <c r="Z43" s="687">
        <f t="shared" si="28"/>
        <v>0</v>
      </c>
      <c r="AA43" s="687">
        <f t="shared" si="28"/>
        <v>0</v>
      </c>
      <c r="AB43" s="687">
        <f t="shared" si="28"/>
        <v>0</v>
      </c>
      <c r="AC43" s="926"/>
      <c r="AE43" s="568"/>
      <c r="AV43" s="700" t="str">
        <f t="shared" si="17"/>
        <v/>
      </c>
    </row>
    <row r="44" spans="1:64" x14ac:dyDescent="0.25">
      <c r="B44" s="186" t="str">
        <f t="shared" si="22"/>
        <v>TCARDST100</v>
      </c>
      <c r="C44" s="186"/>
      <c r="D44" s="187"/>
      <c r="E44" s="186"/>
      <c r="F44" s="170"/>
      <c r="G44" s="213"/>
      <c r="H44" s="170"/>
      <c r="I44" s="190">
        <f>AF$9</f>
        <v>2040</v>
      </c>
      <c r="J44" s="191"/>
      <c r="K44" s="191"/>
      <c r="L44" s="211" t="s">
        <v>1065</v>
      </c>
      <c r="M44" s="186" t="s">
        <v>748</v>
      </c>
      <c r="N44" s="687">
        <f t="shared" ref="N44:AB44" si="29">N39*LOOKUP($AD32,$AG$4:$AO$4,$AG$9:$AO$9)</f>
        <v>1045.1920868234999</v>
      </c>
      <c r="O44" s="687">
        <f t="shared" si="29"/>
        <v>0</v>
      </c>
      <c r="P44" s="687">
        <f t="shared" si="29"/>
        <v>0</v>
      </c>
      <c r="Q44" s="687">
        <f t="shared" si="29"/>
        <v>0</v>
      </c>
      <c r="R44" s="687">
        <f t="shared" si="29"/>
        <v>0</v>
      </c>
      <c r="S44" s="687">
        <f t="shared" si="29"/>
        <v>0</v>
      </c>
      <c r="T44" s="687">
        <f t="shared" si="29"/>
        <v>0</v>
      </c>
      <c r="U44" s="687">
        <f t="shared" si="29"/>
        <v>0</v>
      </c>
      <c r="V44" s="687">
        <f t="shared" si="29"/>
        <v>0</v>
      </c>
      <c r="W44" s="687">
        <f t="shared" si="29"/>
        <v>0</v>
      </c>
      <c r="X44" s="687">
        <f t="shared" si="29"/>
        <v>0</v>
      </c>
      <c r="Y44" s="687">
        <f t="shared" si="29"/>
        <v>0</v>
      </c>
      <c r="Z44" s="687">
        <f t="shared" si="29"/>
        <v>0</v>
      </c>
      <c r="AA44" s="687">
        <f t="shared" si="29"/>
        <v>0</v>
      </c>
      <c r="AB44" s="687">
        <f t="shared" si="29"/>
        <v>0</v>
      </c>
      <c r="AC44" s="926"/>
      <c r="AE44" s="568"/>
      <c r="AV44" s="700" t="str">
        <f t="shared" si="17"/>
        <v/>
      </c>
    </row>
    <row r="45" spans="1:64" x14ac:dyDescent="0.25">
      <c r="B45" s="193" t="str">
        <f t="shared" si="22"/>
        <v>TCARDST100</v>
      </c>
      <c r="C45" s="193"/>
      <c r="D45" s="194"/>
      <c r="E45" s="193"/>
      <c r="F45" s="196"/>
      <c r="G45" s="215"/>
      <c r="H45" s="196"/>
      <c r="I45" s="197">
        <f>AF$10</f>
        <v>2050</v>
      </c>
      <c r="J45" s="198"/>
      <c r="K45" s="198"/>
      <c r="L45" s="212" t="s">
        <v>1065</v>
      </c>
      <c r="M45" s="193" t="s">
        <v>748</v>
      </c>
      <c r="N45" s="688">
        <f t="shared" ref="N45:AB45" si="30">N39*LOOKUP($AD32,$AG$4:$AO$4,$AG$10:$AO$10)</f>
        <v>0</v>
      </c>
      <c r="O45" s="688">
        <f t="shared" si="30"/>
        <v>0</v>
      </c>
      <c r="P45" s="688">
        <f t="shared" si="30"/>
        <v>0</v>
      </c>
      <c r="Q45" s="688">
        <f t="shared" si="30"/>
        <v>0</v>
      </c>
      <c r="R45" s="688">
        <f t="shared" si="30"/>
        <v>0</v>
      </c>
      <c r="S45" s="688">
        <f t="shared" si="30"/>
        <v>0</v>
      </c>
      <c r="T45" s="688">
        <f t="shared" si="30"/>
        <v>0</v>
      </c>
      <c r="U45" s="688">
        <f t="shared" si="30"/>
        <v>0</v>
      </c>
      <c r="V45" s="688">
        <f t="shared" si="30"/>
        <v>0</v>
      </c>
      <c r="W45" s="688">
        <f t="shared" si="30"/>
        <v>0</v>
      </c>
      <c r="X45" s="688">
        <f t="shared" si="30"/>
        <v>0</v>
      </c>
      <c r="Y45" s="688">
        <f t="shared" si="30"/>
        <v>0</v>
      </c>
      <c r="Z45" s="688">
        <f t="shared" si="30"/>
        <v>0</v>
      </c>
      <c r="AA45" s="688">
        <f t="shared" si="30"/>
        <v>0</v>
      </c>
      <c r="AB45" s="688">
        <f t="shared" si="30"/>
        <v>0</v>
      </c>
      <c r="AC45" s="926"/>
      <c r="AD45" s="400"/>
      <c r="AE45" s="568"/>
      <c r="AV45" s="700" t="str">
        <f t="shared" si="17"/>
        <v/>
      </c>
    </row>
    <row r="46" spans="1:64" x14ac:dyDescent="0.25">
      <c r="A46" s="22"/>
      <c r="B46" s="186" t="str">
        <f>C46</f>
        <v>TCARELC100</v>
      </c>
      <c r="C46" s="186" t="s">
        <v>303</v>
      </c>
      <c r="D46" s="187" t="s">
        <v>777</v>
      </c>
      <c r="E46" s="188" t="s">
        <v>683</v>
      </c>
      <c r="F46" s="170"/>
      <c r="G46" s="213"/>
      <c r="H46" s="170"/>
      <c r="I46" s="190"/>
      <c r="J46" s="191"/>
      <c r="K46" s="191"/>
      <c r="L46" s="211" t="s">
        <v>1107</v>
      </c>
      <c r="M46" s="191" t="s">
        <v>1156</v>
      </c>
      <c r="N46" s="366">
        <f>N$32</f>
        <v>1E-3</v>
      </c>
      <c r="O46" s="366">
        <f t="shared" ref="O46:AB46" si="31">$N46</f>
        <v>1E-3</v>
      </c>
      <c r="P46" s="366">
        <f t="shared" si="31"/>
        <v>1E-3</v>
      </c>
      <c r="Q46" s="366">
        <f t="shared" si="31"/>
        <v>1E-3</v>
      </c>
      <c r="R46" s="366">
        <f t="shared" si="31"/>
        <v>1E-3</v>
      </c>
      <c r="S46" s="366">
        <f t="shared" si="31"/>
        <v>1E-3</v>
      </c>
      <c r="T46" s="366">
        <f t="shared" si="31"/>
        <v>1E-3</v>
      </c>
      <c r="U46" s="366">
        <f t="shared" si="31"/>
        <v>1E-3</v>
      </c>
      <c r="V46" s="366">
        <f t="shared" si="31"/>
        <v>1E-3</v>
      </c>
      <c r="W46" s="366">
        <f t="shared" si="31"/>
        <v>1E-3</v>
      </c>
      <c r="X46" s="366">
        <f t="shared" si="31"/>
        <v>1E-3</v>
      </c>
      <c r="Y46" s="366">
        <f t="shared" si="31"/>
        <v>1E-3</v>
      </c>
      <c r="Z46" s="366">
        <f t="shared" si="31"/>
        <v>1E-3</v>
      </c>
      <c r="AA46" s="366">
        <f t="shared" si="31"/>
        <v>1E-3</v>
      </c>
      <c r="AB46" s="366">
        <f t="shared" si="31"/>
        <v>1E-3</v>
      </c>
      <c r="AC46" s="927"/>
      <c r="AD46" s="56" t="str">
        <f>MID(D46,5,3)</f>
        <v>ELC</v>
      </c>
      <c r="AE46" s="568"/>
      <c r="AV46" s="700" t="str">
        <f t="shared" si="17"/>
        <v>TRAELC</v>
      </c>
      <c r="AW46" s="568">
        <f>SUM(AX46:BL46)</f>
        <v>79.880510702767651</v>
      </c>
      <c r="AX46" s="568">
        <f t="shared" ref="AX46:BL46" si="32">N50*N51/N47/1000</f>
        <v>79.880510702767651</v>
      </c>
      <c r="AY46" s="568">
        <f t="shared" si="32"/>
        <v>0</v>
      </c>
      <c r="AZ46" s="568">
        <f t="shared" si="32"/>
        <v>0</v>
      </c>
      <c r="BA46" s="568">
        <f t="shared" si="32"/>
        <v>0</v>
      </c>
      <c r="BB46" s="568">
        <f t="shared" si="32"/>
        <v>0</v>
      </c>
      <c r="BC46" s="568">
        <f t="shared" si="32"/>
        <v>0</v>
      </c>
      <c r="BD46" s="568">
        <f t="shared" si="32"/>
        <v>0</v>
      </c>
      <c r="BE46" s="568">
        <f t="shared" si="32"/>
        <v>0</v>
      </c>
      <c r="BF46" s="568">
        <f t="shared" si="32"/>
        <v>0</v>
      </c>
      <c r="BG46" s="568">
        <f t="shared" si="32"/>
        <v>0</v>
      </c>
      <c r="BH46" s="568">
        <f t="shared" si="32"/>
        <v>0</v>
      </c>
      <c r="BI46" s="568">
        <f t="shared" si="32"/>
        <v>0</v>
      </c>
      <c r="BJ46" s="568">
        <f t="shared" si="32"/>
        <v>0</v>
      </c>
      <c r="BK46" s="568">
        <f t="shared" si="32"/>
        <v>0</v>
      </c>
      <c r="BL46" s="568">
        <f t="shared" si="32"/>
        <v>0</v>
      </c>
    </row>
    <row r="47" spans="1:64" x14ac:dyDescent="0.25">
      <c r="A47" s="22"/>
      <c r="B47" s="186" t="str">
        <f>B46</f>
        <v>TCARELC100</v>
      </c>
      <c r="C47" s="186"/>
      <c r="D47" s="187"/>
      <c r="E47" s="186"/>
      <c r="F47" s="170"/>
      <c r="G47" s="214" t="s">
        <v>402</v>
      </c>
      <c r="H47" s="170"/>
      <c r="I47" s="190"/>
      <c r="J47" s="191"/>
      <c r="K47" s="191"/>
      <c r="L47" s="191" t="s">
        <v>1126</v>
      </c>
      <c r="M47" s="186" t="s">
        <v>678</v>
      </c>
      <c r="N47" s="673">
        <f>T_CEFF!H56</f>
        <v>1.0389600000000001</v>
      </c>
      <c r="O47" s="673">
        <f>T_CEFF!I56</f>
        <v>1.0389600000000001</v>
      </c>
      <c r="P47" s="673">
        <f>T_CEFF!J56</f>
        <v>1.0389600000000001</v>
      </c>
      <c r="Q47" s="673">
        <f>T_CEFF!K56</f>
        <v>1.0389600000000001</v>
      </c>
      <c r="R47" s="673">
        <f>T_CEFF!L56</f>
        <v>1.0389600000000001</v>
      </c>
      <c r="S47" s="673">
        <f>T_CEFF!M56</f>
        <v>1.0389600000000001</v>
      </c>
      <c r="T47" s="673">
        <f>T_CEFF!N56</f>
        <v>1.0389600000000001</v>
      </c>
      <c r="U47" s="673">
        <f>T_CEFF!O56</f>
        <v>1.0389600000000001</v>
      </c>
      <c r="V47" s="673">
        <f>T_CEFF!P56</f>
        <v>1.0389600000000001</v>
      </c>
      <c r="W47" s="673">
        <f>T_CEFF!Q56</f>
        <v>1.0389600000000001</v>
      </c>
      <c r="X47" s="673">
        <f>T_CEFF!R56</f>
        <v>1.0389600000000001</v>
      </c>
      <c r="Y47" s="673">
        <f>T_CEFF!S56</f>
        <v>1.0389600000000001</v>
      </c>
      <c r="Z47" s="673">
        <f>T_CEFF!T56</f>
        <v>1.0389600000000001</v>
      </c>
      <c r="AA47" s="673">
        <f>T_CEFF!U56</f>
        <v>1.0389600000000001</v>
      </c>
      <c r="AB47" s="673">
        <f>T_CEFF!V56</f>
        <v>1.0389600000000001</v>
      </c>
      <c r="AC47" s="928"/>
      <c r="AD47" s="66" t="str">
        <f>IF(COUNTIF($AG$4:$AP$4,AD46)=1,"ok","MISSING")</f>
        <v>ok</v>
      </c>
      <c r="AE47" s="568"/>
      <c r="AV47" s="700" t="str">
        <f t="shared" si="17"/>
        <v/>
      </c>
    </row>
    <row r="48" spans="1:64" x14ac:dyDescent="0.25">
      <c r="A48" s="22"/>
      <c r="B48" s="186" t="str">
        <f t="shared" ref="B48:B57" si="33">B47</f>
        <v>TCARELC100</v>
      </c>
      <c r="C48" s="186"/>
      <c r="D48" s="187"/>
      <c r="E48" s="186"/>
      <c r="F48" s="170"/>
      <c r="G48" s="214" t="s">
        <v>404</v>
      </c>
      <c r="H48" s="170"/>
      <c r="I48" s="190"/>
      <c r="J48" s="191"/>
      <c r="K48" s="191"/>
      <c r="L48" s="191" t="s">
        <v>1126</v>
      </c>
      <c r="M48" s="186" t="s">
        <v>678</v>
      </c>
      <c r="N48" s="673">
        <f>T_CEFF!H57</f>
        <v>1.2903199999999999</v>
      </c>
      <c r="O48" s="673">
        <f>T_CEFF!I57</f>
        <v>1.2903199999999999</v>
      </c>
      <c r="P48" s="673">
        <f>T_CEFF!J57</f>
        <v>1.2903199999999999</v>
      </c>
      <c r="Q48" s="673">
        <f>T_CEFF!K57</f>
        <v>1.2903199999999999</v>
      </c>
      <c r="R48" s="673">
        <f>T_CEFF!L57</f>
        <v>1.2903199999999999</v>
      </c>
      <c r="S48" s="673">
        <f>T_CEFF!M57</f>
        <v>1.2903199999999999</v>
      </c>
      <c r="T48" s="673">
        <f>T_CEFF!N57</f>
        <v>1.2903199999999999</v>
      </c>
      <c r="U48" s="673">
        <f>T_CEFF!O57</f>
        <v>1.2903199999999999</v>
      </c>
      <c r="V48" s="673">
        <f>T_CEFF!P57</f>
        <v>1.2903199999999999</v>
      </c>
      <c r="W48" s="673">
        <f>T_CEFF!Q57</f>
        <v>1.2903199999999999</v>
      </c>
      <c r="X48" s="673">
        <f>T_CEFF!R57</f>
        <v>1.2903199999999999</v>
      </c>
      <c r="Y48" s="673">
        <f>T_CEFF!S57</f>
        <v>1.2903199999999999</v>
      </c>
      <c r="Z48" s="673">
        <f>T_CEFF!T57</f>
        <v>1.2903199999999999</v>
      </c>
      <c r="AA48" s="673">
        <f>T_CEFF!U57</f>
        <v>1.2903199999999999</v>
      </c>
      <c r="AB48" s="673">
        <f>T_CEFF!V57</f>
        <v>1.2903199999999999</v>
      </c>
      <c r="AC48" s="928"/>
      <c r="AE48" s="568"/>
      <c r="AV48" s="700" t="str">
        <f t="shared" si="17"/>
        <v/>
      </c>
    </row>
    <row r="49" spans="1:64" x14ac:dyDescent="0.25">
      <c r="A49" s="22"/>
      <c r="B49" s="186" t="str">
        <f>B48</f>
        <v>TCARELC100</v>
      </c>
      <c r="C49" s="186"/>
      <c r="D49" s="187"/>
      <c r="E49" s="186"/>
      <c r="F49" s="170"/>
      <c r="G49" s="213"/>
      <c r="H49" s="170"/>
      <c r="I49" s="190"/>
      <c r="J49" s="191"/>
      <c r="K49" s="191" t="s">
        <v>749</v>
      </c>
      <c r="L49" s="191" t="s">
        <v>1128</v>
      </c>
      <c r="M49" s="186" t="s">
        <v>1159</v>
      </c>
      <c r="N49" s="368">
        <f>N$14</f>
        <v>1.2</v>
      </c>
      <c r="O49" s="368">
        <f t="shared" ref="O49:AB49" si="34">O$14</f>
        <v>0</v>
      </c>
      <c r="P49" s="368">
        <f t="shared" si="34"/>
        <v>0</v>
      </c>
      <c r="Q49" s="368">
        <f t="shared" si="34"/>
        <v>0</v>
      </c>
      <c r="R49" s="368">
        <f t="shared" si="34"/>
        <v>0</v>
      </c>
      <c r="S49" s="368">
        <f t="shared" si="34"/>
        <v>0</v>
      </c>
      <c r="T49" s="368">
        <f t="shared" si="34"/>
        <v>0</v>
      </c>
      <c r="U49" s="368">
        <f t="shared" si="34"/>
        <v>0</v>
      </c>
      <c r="V49" s="368">
        <f t="shared" si="34"/>
        <v>0</v>
      </c>
      <c r="W49" s="368">
        <f t="shared" si="34"/>
        <v>0</v>
      </c>
      <c r="X49" s="368">
        <f t="shared" si="34"/>
        <v>0</v>
      </c>
      <c r="Y49" s="368">
        <f t="shared" si="34"/>
        <v>0</v>
      </c>
      <c r="Z49" s="368">
        <f t="shared" si="34"/>
        <v>0</v>
      </c>
      <c r="AA49" s="368">
        <f t="shared" si="34"/>
        <v>0</v>
      </c>
      <c r="AB49" s="368">
        <f t="shared" si="34"/>
        <v>0</v>
      </c>
      <c r="AC49" s="920"/>
      <c r="AE49" s="568"/>
      <c r="AV49" s="700" t="str">
        <f t="shared" si="17"/>
        <v/>
      </c>
    </row>
    <row r="50" spans="1:64" x14ac:dyDescent="0.25">
      <c r="A50" s="22"/>
      <c r="B50" s="186" t="str">
        <f t="shared" si="33"/>
        <v>TCARELC100</v>
      </c>
      <c r="C50" s="186"/>
      <c r="D50" s="187"/>
      <c r="E50" s="186"/>
      <c r="F50" s="170"/>
      <c r="G50" s="213"/>
      <c r="H50" s="170"/>
      <c r="I50" s="190"/>
      <c r="J50" s="191"/>
      <c r="K50" s="191"/>
      <c r="L50" s="211" t="s">
        <v>1130</v>
      </c>
      <c r="M50" s="186" t="s">
        <v>1131</v>
      </c>
      <c r="N50" s="376">
        <f>LOOKUP($C$46, T_NCAP_AF!$C$5:$C$15, T_NCAP_AF!D$5:D$15)*(1+N26)</f>
        <v>9.6750000000000007</v>
      </c>
      <c r="O50" s="376">
        <f>LOOKUP($C$46, T_NCAP_AF!$C$5:$C$15, T_NCAP_AF!E$5:E$15)*(1+O26)</f>
        <v>0</v>
      </c>
      <c r="P50" s="376">
        <f>LOOKUP($C$46, T_NCAP_AF!$C$5:$C$15, T_NCAP_AF!F$5:F$15)*(1+P26)</f>
        <v>0</v>
      </c>
      <c r="Q50" s="376">
        <f>LOOKUP($C$46, T_NCAP_AF!$C$5:$C$15, T_NCAP_AF!G$5:G$15)*(1+Q26)</f>
        <v>0</v>
      </c>
      <c r="R50" s="376">
        <f>LOOKUP($C$46, T_NCAP_AF!$C$5:$C$15, T_NCAP_AF!H$5:H$15)*(1+R26)</f>
        <v>0</v>
      </c>
      <c r="S50" s="376">
        <f>LOOKUP($C$46, T_NCAP_AF!$C$5:$C$15, T_NCAP_AF!I$5:I$15)*(1+S26)</f>
        <v>0</v>
      </c>
      <c r="T50" s="376">
        <f>LOOKUP($C$46, T_NCAP_AF!$C$5:$C$15, T_NCAP_AF!J$5:J$15)*(1+T26)</f>
        <v>0</v>
      </c>
      <c r="U50" s="376">
        <f>LOOKUP($C$46, T_NCAP_AF!$C$5:$C$15, T_NCAP_AF!K$5:K$15)*(1+U26)</f>
        <v>0</v>
      </c>
      <c r="V50" s="376">
        <f>LOOKUP($C$46, T_NCAP_AF!$C$5:$C$15, T_NCAP_AF!L$5:L$15)*(1+V26)</f>
        <v>0</v>
      </c>
      <c r="W50" s="376">
        <f>LOOKUP($C$46, T_NCAP_AF!$C$5:$C$15, T_NCAP_AF!M$5:M$15)*(1+W26)</f>
        <v>0</v>
      </c>
      <c r="X50" s="376">
        <f>LOOKUP($C$46, T_NCAP_AF!$C$5:$C$15, T_NCAP_AF!N$5:N$15)*(1+X26)</f>
        <v>0</v>
      </c>
      <c r="Y50" s="376">
        <f>LOOKUP($C$46, T_NCAP_AF!$C$5:$C$15, T_NCAP_AF!O$5:O$15)*(1+Y26)</f>
        <v>0</v>
      </c>
      <c r="Z50" s="376">
        <f>LOOKUP($C$46, T_NCAP_AF!$C$5:$C$15, T_NCAP_AF!P$5:P$15)*(1+Z26)</f>
        <v>0</v>
      </c>
      <c r="AA50" s="376">
        <f>LOOKUP($C$46, T_NCAP_AF!$C$5:$C$15, T_NCAP_AF!Q$5:Q$15)*(1+AA26)</f>
        <v>0</v>
      </c>
      <c r="AB50" s="376">
        <f>LOOKUP($C$46, T_NCAP_AF!$C$5:$C$15, T_NCAP_AF!R$5:R$15)*(1+AB26)</f>
        <v>0</v>
      </c>
      <c r="AC50" s="132"/>
      <c r="AE50" s="568"/>
      <c r="AV50" s="700" t="str">
        <f t="shared" si="17"/>
        <v/>
      </c>
    </row>
    <row r="51" spans="1:64" x14ac:dyDescent="0.25">
      <c r="A51" s="22"/>
      <c r="B51" s="186" t="str">
        <f>B50</f>
        <v>TCARELC100</v>
      </c>
      <c r="C51" s="186"/>
      <c r="D51" s="187"/>
      <c r="E51" s="186"/>
      <c r="F51" s="170"/>
      <c r="G51" s="213"/>
      <c r="H51" s="170"/>
      <c r="I51" s="190">
        <f>$M$3</f>
        <v>2019</v>
      </c>
      <c r="J51" s="191"/>
      <c r="K51" s="191"/>
      <c r="L51" s="211" t="s">
        <v>1065</v>
      </c>
      <c r="M51" s="186" t="s">
        <v>748</v>
      </c>
      <c r="N51" s="687">
        <f>LOOKUP($C$46, T_Stock_Private!$C$10:$C$20, T_Stock_Private!D$10:D$20)*(1+N27)</f>
        <v>8578.0522376999998</v>
      </c>
      <c r="O51" s="687">
        <f>LOOKUP($C$46, T_Stock_Private!$C$10:$C$20, T_Stock_Private!E$10:E$20)*(1+O27)</f>
        <v>0</v>
      </c>
      <c r="P51" s="687">
        <f>LOOKUP($C$46, T_Stock_Private!$C$10:$C$20, T_Stock_Private!F$10:F$20)*(1+P27)</f>
        <v>0</v>
      </c>
      <c r="Q51" s="687">
        <f>LOOKUP($C$46, T_Stock_Private!$C$10:$C$20, T_Stock_Private!G$10:G$20)*(1+Q27)</f>
        <v>0</v>
      </c>
      <c r="R51" s="687">
        <f>LOOKUP($C$46, T_Stock_Private!$C$10:$C$20, T_Stock_Private!H$10:H$20)*(1+R27)</f>
        <v>0</v>
      </c>
      <c r="S51" s="687">
        <f>LOOKUP($C$46, T_Stock_Private!$C$10:$C$20, T_Stock_Private!I$10:I$20)*(1+S27)</f>
        <v>0</v>
      </c>
      <c r="T51" s="687">
        <f>LOOKUP($C$46, T_Stock_Private!$C$10:$C$20, T_Stock_Private!J$10:J$20)*(1+T27)</f>
        <v>0</v>
      </c>
      <c r="U51" s="687">
        <f>LOOKUP($C$46, T_Stock_Private!$C$10:$C$20, T_Stock_Private!K$10:K$20)*(1+U27)</f>
        <v>0</v>
      </c>
      <c r="V51" s="687">
        <f>LOOKUP($C$46, T_Stock_Private!$C$10:$C$20, T_Stock_Private!L$10:L$20)*(1+V27)</f>
        <v>0</v>
      </c>
      <c r="W51" s="687">
        <f>LOOKUP($C$46, T_Stock_Private!$C$10:$C$20, T_Stock_Private!M$10:M$20)*(1+W27)</f>
        <v>0</v>
      </c>
      <c r="X51" s="687">
        <f>LOOKUP($C$46, T_Stock_Private!$C$10:$C$20, T_Stock_Private!N$10:N$20)*(1+X27)</f>
        <v>0</v>
      </c>
      <c r="Y51" s="687">
        <f>LOOKUP($C$46, T_Stock_Private!$C$10:$C$20, T_Stock_Private!O$10:O$20)*(1+Y27)</f>
        <v>0</v>
      </c>
      <c r="Z51" s="687">
        <f>LOOKUP($C$46, T_Stock_Private!$C$10:$C$20, T_Stock_Private!P$10:P$20)*(1+Z27)</f>
        <v>0</v>
      </c>
      <c r="AA51" s="687">
        <f>LOOKUP($C$46, T_Stock_Private!$C$10:$C$20, T_Stock_Private!Q$10:Q$20)*(1+AA27)</f>
        <v>0</v>
      </c>
      <c r="AB51" s="687">
        <f>LOOKUP($C$46, T_Stock_Private!$C$10:$C$20, T_Stock_Private!R$10:R$20)*(1+AB27)</f>
        <v>0</v>
      </c>
      <c r="AC51" s="926"/>
      <c r="AE51" s="568"/>
      <c r="AV51" s="700" t="str">
        <f t="shared" si="17"/>
        <v/>
      </c>
    </row>
    <row r="52" spans="1:64" x14ac:dyDescent="0.25">
      <c r="A52" s="22"/>
      <c r="B52" s="186" t="str">
        <f t="shared" si="33"/>
        <v>TCARELC100</v>
      </c>
      <c r="C52" s="186"/>
      <c r="D52" s="187"/>
      <c r="E52" s="186"/>
      <c r="F52" s="170"/>
      <c r="G52" s="213"/>
      <c r="H52" s="170"/>
      <c r="I52" s="190">
        <f>AF$5</f>
        <v>2020</v>
      </c>
      <c r="J52" s="191"/>
      <c r="K52" s="191"/>
      <c r="L52" s="211" t="s">
        <v>1065</v>
      </c>
      <c r="M52" s="186" t="s">
        <v>748</v>
      </c>
      <c r="N52" s="687">
        <f t="shared" ref="N52:AB52" si="35">N51*LOOKUP($AD46,$AG$4:$AO$4,$AG$5:$AO$5)</f>
        <v>8492.2717153230005</v>
      </c>
      <c r="O52" s="687">
        <f t="shared" si="35"/>
        <v>0</v>
      </c>
      <c r="P52" s="687">
        <f t="shared" si="35"/>
        <v>0</v>
      </c>
      <c r="Q52" s="687">
        <f t="shared" si="35"/>
        <v>0</v>
      </c>
      <c r="R52" s="687">
        <f t="shared" si="35"/>
        <v>0</v>
      </c>
      <c r="S52" s="687">
        <f t="shared" si="35"/>
        <v>0</v>
      </c>
      <c r="T52" s="687">
        <f t="shared" si="35"/>
        <v>0</v>
      </c>
      <c r="U52" s="687">
        <f t="shared" si="35"/>
        <v>0</v>
      </c>
      <c r="V52" s="687">
        <f t="shared" si="35"/>
        <v>0</v>
      </c>
      <c r="W52" s="687">
        <f t="shared" si="35"/>
        <v>0</v>
      </c>
      <c r="X52" s="687">
        <f t="shared" si="35"/>
        <v>0</v>
      </c>
      <c r="Y52" s="687">
        <f t="shared" si="35"/>
        <v>0</v>
      </c>
      <c r="Z52" s="687">
        <f t="shared" si="35"/>
        <v>0</v>
      </c>
      <c r="AA52" s="687">
        <f t="shared" si="35"/>
        <v>0</v>
      </c>
      <c r="AB52" s="687">
        <f t="shared" si="35"/>
        <v>0</v>
      </c>
      <c r="AC52" s="926"/>
      <c r="AE52" s="569">
        <f>SUM(AF52:AT52)</f>
        <v>99.591186479697001</v>
      </c>
      <c r="AF52" s="568">
        <f t="shared" ref="AF52:AT52" si="36">N49*N50*N51/1000</f>
        <v>99.591186479697001</v>
      </c>
      <c r="AG52" s="568">
        <f t="shared" si="36"/>
        <v>0</v>
      </c>
      <c r="AH52" s="568">
        <f t="shared" si="36"/>
        <v>0</v>
      </c>
      <c r="AI52" s="568">
        <f t="shared" si="36"/>
        <v>0</v>
      </c>
      <c r="AJ52" s="568">
        <f t="shared" si="36"/>
        <v>0</v>
      </c>
      <c r="AK52" s="568">
        <f t="shared" si="36"/>
        <v>0</v>
      </c>
      <c r="AL52" s="568">
        <f t="shared" si="36"/>
        <v>0</v>
      </c>
      <c r="AM52" s="568">
        <f t="shared" si="36"/>
        <v>0</v>
      </c>
      <c r="AN52" s="568">
        <f t="shared" si="36"/>
        <v>0</v>
      </c>
      <c r="AO52" s="568">
        <f t="shared" si="36"/>
        <v>0</v>
      </c>
      <c r="AP52" s="568">
        <f t="shared" si="36"/>
        <v>0</v>
      </c>
      <c r="AQ52" s="568">
        <f t="shared" si="36"/>
        <v>0</v>
      </c>
      <c r="AR52" s="568">
        <f t="shared" si="36"/>
        <v>0</v>
      </c>
      <c r="AS52" s="568">
        <f t="shared" si="36"/>
        <v>0</v>
      </c>
      <c r="AT52" s="568">
        <f t="shared" si="36"/>
        <v>0</v>
      </c>
      <c r="AV52" s="700" t="str">
        <f t="shared" si="17"/>
        <v/>
      </c>
    </row>
    <row r="53" spans="1:64" x14ac:dyDescent="0.25">
      <c r="A53" s="22"/>
      <c r="B53" s="186" t="str">
        <f t="shared" si="33"/>
        <v>TCARELC100</v>
      </c>
      <c r="C53" s="186"/>
      <c r="D53" s="187"/>
      <c r="E53" s="186"/>
      <c r="F53" s="170"/>
      <c r="G53" s="213"/>
      <c r="H53" s="170"/>
      <c r="I53" s="190">
        <f>AF$6</f>
        <v>2025</v>
      </c>
      <c r="J53" s="191"/>
      <c r="K53" s="191"/>
      <c r="L53" s="211" t="s">
        <v>1065</v>
      </c>
      <c r="M53" s="186" t="s">
        <v>748</v>
      </c>
      <c r="N53" s="687">
        <f t="shared" ref="N53:AB53" si="37">N51*LOOKUP($AD46,$AG$4:$AO$4,$AG$6:$AO$6)</f>
        <v>6433.5391782749994</v>
      </c>
      <c r="O53" s="687">
        <f t="shared" si="37"/>
        <v>0</v>
      </c>
      <c r="P53" s="687">
        <f t="shared" si="37"/>
        <v>0</v>
      </c>
      <c r="Q53" s="687">
        <f t="shared" si="37"/>
        <v>0</v>
      </c>
      <c r="R53" s="687">
        <f t="shared" si="37"/>
        <v>0</v>
      </c>
      <c r="S53" s="687">
        <f t="shared" si="37"/>
        <v>0</v>
      </c>
      <c r="T53" s="687">
        <f t="shared" si="37"/>
        <v>0</v>
      </c>
      <c r="U53" s="687">
        <f t="shared" si="37"/>
        <v>0</v>
      </c>
      <c r="V53" s="687">
        <f t="shared" si="37"/>
        <v>0</v>
      </c>
      <c r="W53" s="687">
        <f t="shared" si="37"/>
        <v>0</v>
      </c>
      <c r="X53" s="687">
        <f t="shared" si="37"/>
        <v>0</v>
      </c>
      <c r="Y53" s="687">
        <f t="shared" si="37"/>
        <v>0</v>
      </c>
      <c r="Z53" s="687">
        <f t="shared" si="37"/>
        <v>0</v>
      </c>
      <c r="AA53" s="687">
        <f t="shared" si="37"/>
        <v>0</v>
      </c>
      <c r="AB53" s="687">
        <f t="shared" si="37"/>
        <v>0</v>
      </c>
      <c r="AC53" s="926"/>
      <c r="AE53" s="568"/>
      <c r="AV53" s="700" t="str">
        <f t="shared" si="17"/>
        <v/>
      </c>
    </row>
    <row r="54" spans="1:64" x14ac:dyDescent="0.25">
      <c r="A54" s="22"/>
      <c r="B54" s="186" t="str">
        <f t="shared" si="33"/>
        <v>TCARELC100</v>
      </c>
      <c r="C54" s="186"/>
      <c r="D54" s="187"/>
      <c r="E54" s="186"/>
      <c r="F54" s="170"/>
      <c r="G54" s="213"/>
      <c r="H54" s="170"/>
      <c r="I54" s="190">
        <f>AF$7</f>
        <v>2030</v>
      </c>
      <c r="J54" s="191"/>
      <c r="K54" s="191"/>
      <c r="L54" s="211" t="s">
        <v>1065</v>
      </c>
      <c r="M54" s="186" t="s">
        <v>748</v>
      </c>
      <c r="N54" s="687">
        <f t="shared" ref="N54:AB54" si="38">N51*LOOKUP($AD46,$AG$4:$AO$4,$AG$7:$AO$7)</f>
        <v>4289.0261188499999</v>
      </c>
      <c r="O54" s="687">
        <f t="shared" si="38"/>
        <v>0</v>
      </c>
      <c r="P54" s="687">
        <f t="shared" si="38"/>
        <v>0</v>
      </c>
      <c r="Q54" s="687">
        <f t="shared" si="38"/>
        <v>0</v>
      </c>
      <c r="R54" s="687">
        <f t="shared" si="38"/>
        <v>0</v>
      </c>
      <c r="S54" s="687">
        <f t="shared" si="38"/>
        <v>0</v>
      </c>
      <c r="T54" s="687">
        <f t="shared" si="38"/>
        <v>0</v>
      </c>
      <c r="U54" s="687">
        <f t="shared" si="38"/>
        <v>0</v>
      </c>
      <c r="V54" s="687">
        <f t="shared" si="38"/>
        <v>0</v>
      </c>
      <c r="W54" s="687">
        <f t="shared" si="38"/>
        <v>0</v>
      </c>
      <c r="X54" s="687">
        <f t="shared" si="38"/>
        <v>0</v>
      </c>
      <c r="Y54" s="687">
        <f t="shared" si="38"/>
        <v>0</v>
      </c>
      <c r="Z54" s="687">
        <f t="shared" si="38"/>
        <v>0</v>
      </c>
      <c r="AA54" s="687">
        <f t="shared" si="38"/>
        <v>0</v>
      </c>
      <c r="AB54" s="687">
        <f t="shared" si="38"/>
        <v>0</v>
      </c>
      <c r="AC54" s="926"/>
      <c r="AE54" s="568"/>
      <c r="AV54" s="700" t="str">
        <f t="shared" si="17"/>
        <v/>
      </c>
    </row>
    <row r="55" spans="1:64" x14ac:dyDescent="0.25">
      <c r="A55" s="22"/>
      <c r="B55" s="186" t="str">
        <f t="shared" si="33"/>
        <v>TCARELC100</v>
      </c>
      <c r="C55" s="186"/>
      <c r="D55" s="187"/>
      <c r="E55" s="186"/>
      <c r="F55" s="170"/>
      <c r="G55" s="213"/>
      <c r="H55" s="170"/>
      <c r="I55" s="190">
        <f>AF$8</f>
        <v>2035</v>
      </c>
      <c r="J55" s="191"/>
      <c r="K55" s="191"/>
      <c r="L55" s="211" t="s">
        <v>1065</v>
      </c>
      <c r="M55" s="186" t="s">
        <v>748</v>
      </c>
      <c r="N55" s="687">
        <f t="shared" ref="N55:AB55" si="39">N51*LOOKUP($AD46,$AG$4:$AO$4,$AG$8:$AO$8)</f>
        <v>1286.7078356549998</v>
      </c>
      <c r="O55" s="687">
        <f t="shared" si="39"/>
        <v>0</v>
      </c>
      <c r="P55" s="687">
        <f t="shared" si="39"/>
        <v>0</v>
      </c>
      <c r="Q55" s="687">
        <f t="shared" si="39"/>
        <v>0</v>
      </c>
      <c r="R55" s="687">
        <f t="shared" si="39"/>
        <v>0</v>
      </c>
      <c r="S55" s="687">
        <f t="shared" si="39"/>
        <v>0</v>
      </c>
      <c r="T55" s="687">
        <f t="shared" si="39"/>
        <v>0</v>
      </c>
      <c r="U55" s="687">
        <f t="shared" si="39"/>
        <v>0</v>
      </c>
      <c r="V55" s="687">
        <f t="shared" si="39"/>
        <v>0</v>
      </c>
      <c r="W55" s="687">
        <f t="shared" si="39"/>
        <v>0</v>
      </c>
      <c r="X55" s="687">
        <f t="shared" si="39"/>
        <v>0</v>
      </c>
      <c r="Y55" s="687">
        <f t="shared" si="39"/>
        <v>0</v>
      </c>
      <c r="Z55" s="687">
        <f t="shared" si="39"/>
        <v>0</v>
      </c>
      <c r="AA55" s="687">
        <f t="shared" si="39"/>
        <v>0</v>
      </c>
      <c r="AB55" s="687">
        <f t="shared" si="39"/>
        <v>0</v>
      </c>
      <c r="AC55" s="926"/>
      <c r="AE55" s="568"/>
      <c r="AV55" s="700" t="str">
        <f t="shared" si="17"/>
        <v/>
      </c>
    </row>
    <row r="56" spans="1:64" x14ac:dyDescent="0.25">
      <c r="A56" s="22"/>
      <c r="B56" s="186" t="str">
        <f t="shared" si="33"/>
        <v>TCARELC100</v>
      </c>
      <c r="C56" s="186"/>
      <c r="D56" s="187"/>
      <c r="E56" s="186"/>
      <c r="F56" s="170"/>
      <c r="G56" s="213"/>
      <c r="H56" s="170"/>
      <c r="I56" s="190">
        <f>AF$9</f>
        <v>2040</v>
      </c>
      <c r="J56" s="191"/>
      <c r="K56" s="191"/>
      <c r="L56" s="211" t="s">
        <v>1065</v>
      </c>
      <c r="M56" s="186" t="s">
        <v>748</v>
      </c>
      <c r="N56" s="687">
        <f t="shared" ref="N56:AB56" si="40">N51*LOOKUP($AD46,$AG$4:$AO$4,$AG$9:$AO$9)</f>
        <v>42.890261188499998</v>
      </c>
      <c r="O56" s="687">
        <f t="shared" si="40"/>
        <v>0</v>
      </c>
      <c r="P56" s="687">
        <f t="shared" si="40"/>
        <v>0</v>
      </c>
      <c r="Q56" s="687">
        <f t="shared" si="40"/>
        <v>0</v>
      </c>
      <c r="R56" s="687">
        <f t="shared" si="40"/>
        <v>0</v>
      </c>
      <c r="S56" s="687">
        <f t="shared" si="40"/>
        <v>0</v>
      </c>
      <c r="T56" s="687">
        <f t="shared" si="40"/>
        <v>0</v>
      </c>
      <c r="U56" s="687">
        <f t="shared" si="40"/>
        <v>0</v>
      </c>
      <c r="V56" s="687">
        <f t="shared" si="40"/>
        <v>0</v>
      </c>
      <c r="W56" s="687">
        <f t="shared" si="40"/>
        <v>0</v>
      </c>
      <c r="X56" s="687">
        <f t="shared" si="40"/>
        <v>0</v>
      </c>
      <c r="Y56" s="687">
        <f t="shared" si="40"/>
        <v>0</v>
      </c>
      <c r="Z56" s="687">
        <f t="shared" si="40"/>
        <v>0</v>
      </c>
      <c r="AA56" s="687">
        <f t="shared" si="40"/>
        <v>0</v>
      </c>
      <c r="AB56" s="687">
        <f t="shared" si="40"/>
        <v>0</v>
      </c>
      <c r="AC56" s="926"/>
      <c r="AE56" s="568"/>
      <c r="AV56" s="700" t="str">
        <f t="shared" si="17"/>
        <v/>
      </c>
    </row>
    <row r="57" spans="1:64" x14ac:dyDescent="0.25">
      <c r="A57" s="22"/>
      <c r="B57" s="193" t="str">
        <f t="shared" si="33"/>
        <v>TCARELC100</v>
      </c>
      <c r="C57" s="193"/>
      <c r="D57" s="194"/>
      <c r="E57" s="193"/>
      <c r="F57" s="196"/>
      <c r="G57" s="215"/>
      <c r="H57" s="196"/>
      <c r="I57" s="197">
        <f>AF$10</f>
        <v>2050</v>
      </c>
      <c r="J57" s="198"/>
      <c r="K57" s="198"/>
      <c r="L57" s="212" t="s">
        <v>1065</v>
      </c>
      <c r="M57" s="193" t="s">
        <v>748</v>
      </c>
      <c r="N57" s="688">
        <f t="shared" ref="N57:AB57" si="41">N51*LOOKUP($AD46,$AG$4:$AO$4,$AG$10:$AO$10)</f>
        <v>0</v>
      </c>
      <c r="O57" s="688">
        <f t="shared" si="41"/>
        <v>0</v>
      </c>
      <c r="P57" s="688">
        <f t="shared" si="41"/>
        <v>0</v>
      </c>
      <c r="Q57" s="688">
        <f t="shared" si="41"/>
        <v>0</v>
      </c>
      <c r="R57" s="688">
        <f t="shared" si="41"/>
        <v>0</v>
      </c>
      <c r="S57" s="688">
        <f t="shared" si="41"/>
        <v>0</v>
      </c>
      <c r="T57" s="688">
        <f t="shared" si="41"/>
        <v>0</v>
      </c>
      <c r="U57" s="688">
        <f t="shared" si="41"/>
        <v>0</v>
      </c>
      <c r="V57" s="688">
        <f t="shared" si="41"/>
        <v>0</v>
      </c>
      <c r="W57" s="688">
        <f t="shared" si="41"/>
        <v>0</v>
      </c>
      <c r="X57" s="688">
        <f t="shared" si="41"/>
        <v>0</v>
      </c>
      <c r="Y57" s="688">
        <f t="shared" si="41"/>
        <v>0</v>
      </c>
      <c r="Z57" s="688">
        <f t="shared" si="41"/>
        <v>0</v>
      </c>
      <c r="AA57" s="688">
        <f t="shared" si="41"/>
        <v>0</v>
      </c>
      <c r="AB57" s="688">
        <f t="shared" si="41"/>
        <v>0</v>
      </c>
      <c r="AC57" s="926"/>
      <c r="AE57" s="568"/>
      <c r="AV57" s="700" t="str">
        <f t="shared" si="17"/>
        <v/>
      </c>
    </row>
    <row r="58" spans="1:64" x14ac:dyDescent="0.25">
      <c r="A58" s="22"/>
      <c r="B58" s="186" t="str">
        <f>C58</f>
        <v>TCARETH100</v>
      </c>
      <c r="C58" s="186" t="s">
        <v>304</v>
      </c>
      <c r="D58" s="187" t="s">
        <v>780</v>
      </c>
      <c r="E58" s="188" t="s">
        <v>1010</v>
      </c>
      <c r="F58" s="170"/>
      <c r="G58" s="213"/>
      <c r="H58" s="170"/>
      <c r="I58" s="190"/>
      <c r="J58" s="191"/>
      <c r="K58" s="191"/>
      <c r="L58" s="211" t="s">
        <v>1107</v>
      </c>
      <c r="M58" s="191" t="s">
        <v>1156</v>
      </c>
      <c r="N58" s="366">
        <f>N$32</f>
        <v>1E-3</v>
      </c>
      <c r="O58" s="366">
        <f t="shared" ref="O58:AB58" si="42">$N58</f>
        <v>1E-3</v>
      </c>
      <c r="P58" s="366">
        <f t="shared" si="42"/>
        <v>1E-3</v>
      </c>
      <c r="Q58" s="366">
        <f t="shared" si="42"/>
        <v>1E-3</v>
      </c>
      <c r="R58" s="366">
        <f t="shared" si="42"/>
        <v>1E-3</v>
      </c>
      <c r="S58" s="366">
        <f t="shared" si="42"/>
        <v>1E-3</v>
      </c>
      <c r="T58" s="366">
        <f t="shared" si="42"/>
        <v>1E-3</v>
      </c>
      <c r="U58" s="366">
        <f t="shared" si="42"/>
        <v>1E-3</v>
      </c>
      <c r="V58" s="366">
        <f t="shared" si="42"/>
        <v>1E-3</v>
      </c>
      <c r="W58" s="366">
        <f t="shared" si="42"/>
        <v>1E-3</v>
      </c>
      <c r="X58" s="366">
        <f t="shared" si="42"/>
        <v>1E-3</v>
      </c>
      <c r="Y58" s="366">
        <f t="shared" si="42"/>
        <v>1E-3</v>
      </c>
      <c r="Z58" s="366">
        <f t="shared" si="42"/>
        <v>1E-3</v>
      </c>
      <c r="AA58" s="366">
        <f t="shared" si="42"/>
        <v>1E-3</v>
      </c>
      <c r="AB58" s="366">
        <f t="shared" si="42"/>
        <v>1E-3</v>
      </c>
      <c r="AC58" s="927"/>
      <c r="AD58" s="402" t="str">
        <f>MID(D58,5,3)</f>
        <v>ETH</v>
      </c>
      <c r="AE58" s="568"/>
      <c r="AV58" s="700" t="str">
        <f t="shared" si="17"/>
        <v>TRAETH</v>
      </c>
      <c r="AW58" s="568">
        <f t="shared" ref="AW58:AW59" si="43">SUM(AX58:BL58)</f>
        <v>689.74498251725095</v>
      </c>
      <c r="AX58" s="568">
        <f t="shared" ref="AX58:BL58" si="44">N63*N64*(1-N59)/N61/1000</f>
        <v>689.74498251725095</v>
      </c>
      <c r="AY58" s="568">
        <f t="shared" si="44"/>
        <v>0</v>
      </c>
      <c r="AZ58" s="568">
        <f t="shared" si="44"/>
        <v>0</v>
      </c>
      <c r="BA58" s="568">
        <f t="shared" si="44"/>
        <v>0</v>
      </c>
      <c r="BB58" s="568">
        <f t="shared" si="44"/>
        <v>0</v>
      </c>
      <c r="BC58" s="568">
        <f t="shared" si="44"/>
        <v>0</v>
      </c>
      <c r="BD58" s="568">
        <f t="shared" si="44"/>
        <v>0</v>
      </c>
      <c r="BE58" s="568">
        <f t="shared" si="44"/>
        <v>0</v>
      </c>
      <c r="BF58" s="568">
        <f t="shared" si="44"/>
        <v>0</v>
      </c>
      <c r="BG58" s="568">
        <f t="shared" si="44"/>
        <v>0</v>
      </c>
      <c r="BH58" s="568">
        <f t="shared" si="44"/>
        <v>0</v>
      </c>
      <c r="BI58" s="568">
        <f t="shared" si="44"/>
        <v>0</v>
      </c>
      <c r="BJ58" s="568">
        <f t="shared" si="44"/>
        <v>0</v>
      </c>
      <c r="BK58" s="568">
        <f t="shared" si="44"/>
        <v>0</v>
      </c>
      <c r="BL58" s="568">
        <f t="shared" si="44"/>
        <v>0</v>
      </c>
    </row>
    <row r="59" spans="1:64" x14ac:dyDescent="0.25">
      <c r="A59" s="22"/>
      <c r="B59" s="186" t="str">
        <f>B58</f>
        <v>TCARETH100</v>
      </c>
      <c r="C59" s="186"/>
      <c r="D59" s="186"/>
      <c r="E59" s="188" t="s">
        <v>1014</v>
      </c>
      <c r="F59" s="170"/>
      <c r="G59" s="213"/>
      <c r="H59" s="170"/>
      <c r="I59" s="190"/>
      <c r="J59" s="191" t="s">
        <v>1157</v>
      </c>
      <c r="K59" s="191"/>
      <c r="L59" s="211" t="s">
        <v>101</v>
      </c>
      <c r="M59" s="186"/>
      <c r="N59" s="377">
        <f>1-N$23</f>
        <v>0.25</v>
      </c>
      <c r="O59" s="377">
        <f t="shared" ref="O59:AB59" si="45">1-O$23</f>
        <v>0.25</v>
      </c>
      <c r="P59" s="377">
        <f t="shared" si="45"/>
        <v>0.25</v>
      </c>
      <c r="Q59" s="377">
        <f t="shared" si="45"/>
        <v>0.25</v>
      </c>
      <c r="R59" s="377">
        <f t="shared" si="45"/>
        <v>0.25</v>
      </c>
      <c r="S59" s="377">
        <f t="shared" si="45"/>
        <v>0.25</v>
      </c>
      <c r="T59" s="377">
        <f t="shared" si="45"/>
        <v>0.25</v>
      </c>
      <c r="U59" s="377">
        <f t="shared" si="45"/>
        <v>0.25</v>
      </c>
      <c r="V59" s="377">
        <f t="shared" si="45"/>
        <v>0.25</v>
      </c>
      <c r="W59" s="377">
        <f t="shared" si="45"/>
        <v>0.25</v>
      </c>
      <c r="X59" s="377">
        <f t="shared" si="45"/>
        <v>0.25</v>
      </c>
      <c r="Y59" s="377">
        <f t="shared" si="45"/>
        <v>0.25</v>
      </c>
      <c r="Z59" s="377">
        <f t="shared" si="45"/>
        <v>0.25</v>
      </c>
      <c r="AA59" s="377">
        <f t="shared" si="45"/>
        <v>0.25</v>
      </c>
      <c r="AB59" s="377">
        <f t="shared" si="45"/>
        <v>0.25</v>
      </c>
      <c r="AC59" s="925"/>
      <c r="AD59" s="66" t="str">
        <f>IF(COUNTIF($AG$4:$AP$4,AD58)=1,"ok","MISSING")</f>
        <v>ok</v>
      </c>
      <c r="AE59" s="568"/>
      <c r="AV59" s="700" t="str">
        <f t="shared" si="17"/>
        <v>TRAGSL</v>
      </c>
      <c r="AW59" s="568">
        <f t="shared" si="43"/>
        <v>229.91499417241698</v>
      </c>
      <c r="AX59" s="568">
        <f t="shared" ref="AX59:BL59" si="46">N63*N64*N59/N61/1000</f>
        <v>229.91499417241698</v>
      </c>
      <c r="AY59" s="568">
        <f t="shared" si="46"/>
        <v>0</v>
      </c>
      <c r="AZ59" s="568">
        <f t="shared" si="46"/>
        <v>0</v>
      </c>
      <c r="BA59" s="568">
        <f t="shared" si="46"/>
        <v>0</v>
      </c>
      <c r="BB59" s="568">
        <f t="shared" si="46"/>
        <v>0</v>
      </c>
      <c r="BC59" s="568">
        <f t="shared" si="46"/>
        <v>0</v>
      </c>
      <c r="BD59" s="568">
        <f t="shared" si="46"/>
        <v>0</v>
      </c>
      <c r="BE59" s="568">
        <f t="shared" si="46"/>
        <v>0</v>
      </c>
      <c r="BF59" s="568">
        <f t="shared" si="46"/>
        <v>0</v>
      </c>
      <c r="BG59" s="568">
        <f t="shared" si="46"/>
        <v>0</v>
      </c>
      <c r="BH59" s="568">
        <f t="shared" si="46"/>
        <v>0</v>
      </c>
      <c r="BI59" s="568">
        <f t="shared" si="46"/>
        <v>0</v>
      </c>
      <c r="BJ59" s="568">
        <f t="shared" si="46"/>
        <v>0</v>
      </c>
      <c r="BK59" s="568">
        <f t="shared" si="46"/>
        <v>0</v>
      </c>
      <c r="BL59" s="568">
        <f t="shared" si="46"/>
        <v>0</v>
      </c>
    </row>
    <row r="60" spans="1:64" x14ac:dyDescent="0.25">
      <c r="A60" s="22"/>
      <c r="B60" s="186" t="str">
        <f>B59</f>
        <v>TCARETH100</v>
      </c>
      <c r="C60" s="186"/>
      <c r="D60" s="187"/>
      <c r="E60" s="186"/>
      <c r="F60" s="170"/>
      <c r="G60" s="214" t="s">
        <v>402</v>
      </c>
      <c r="H60" s="170"/>
      <c r="I60" s="190"/>
      <c r="J60" s="191"/>
      <c r="K60" s="191"/>
      <c r="L60" s="191" t="s">
        <v>1126</v>
      </c>
      <c r="M60" s="186" t="s">
        <v>678</v>
      </c>
      <c r="N60" s="674">
        <f>T_CEFF!H58</f>
        <v>0.38646999999999998</v>
      </c>
      <c r="O60" s="674">
        <f>T_CEFF!I58</f>
        <v>0.38646999999999998</v>
      </c>
      <c r="P60" s="674">
        <f>T_CEFF!J58</f>
        <v>0.38646999999999998</v>
      </c>
      <c r="Q60" s="674">
        <f>T_CEFF!K58</f>
        <v>0.38646999999999998</v>
      </c>
      <c r="R60" s="674">
        <f>T_CEFF!L58</f>
        <v>0.38646999999999998</v>
      </c>
      <c r="S60" s="674">
        <f>T_CEFF!M58</f>
        <v>0.38646999999999998</v>
      </c>
      <c r="T60" s="674">
        <f>T_CEFF!N58</f>
        <v>0.38646999999999998</v>
      </c>
      <c r="U60" s="674">
        <f>T_CEFF!O58</f>
        <v>0.38646999999999998</v>
      </c>
      <c r="V60" s="674">
        <f>T_CEFF!P58</f>
        <v>0.38646999999999998</v>
      </c>
      <c r="W60" s="674">
        <f>T_CEFF!Q58</f>
        <v>0.38646999999999998</v>
      </c>
      <c r="X60" s="674">
        <f>T_CEFF!R58</f>
        <v>0.38646999999999998</v>
      </c>
      <c r="Y60" s="674">
        <f>T_CEFF!S58</f>
        <v>0.38646999999999998</v>
      </c>
      <c r="Z60" s="674">
        <f>T_CEFF!T58</f>
        <v>0.38646999999999998</v>
      </c>
      <c r="AA60" s="674">
        <f>T_CEFF!U58</f>
        <v>0.38646999999999998</v>
      </c>
      <c r="AB60" s="674">
        <f>T_CEFF!V58</f>
        <v>0.38646999999999998</v>
      </c>
      <c r="AC60" s="929"/>
      <c r="AE60" s="568"/>
      <c r="AV60" s="700" t="str">
        <f t="shared" si="17"/>
        <v/>
      </c>
    </row>
    <row r="61" spans="1:64" x14ac:dyDescent="0.25">
      <c r="A61" s="22"/>
      <c r="B61" s="186" t="str">
        <f t="shared" ref="B61:B70" si="47">B60</f>
        <v>TCARETH100</v>
      </c>
      <c r="C61" s="186"/>
      <c r="D61" s="187"/>
      <c r="E61" s="186"/>
      <c r="F61" s="170"/>
      <c r="G61" s="214" t="s">
        <v>404</v>
      </c>
      <c r="H61" s="170"/>
      <c r="I61" s="190"/>
      <c r="J61" s="191"/>
      <c r="K61" s="191"/>
      <c r="L61" s="191" t="s">
        <v>1126</v>
      </c>
      <c r="M61" s="186" t="s">
        <v>678</v>
      </c>
      <c r="N61" s="674">
        <f>T_CEFF!H59</f>
        <v>0.31873000000000001</v>
      </c>
      <c r="O61" s="674">
        <f>T_CEFF!I59</f>
        <v>0.31873000000000001</v>
      </c>
      <c r="P61" s="674">
        <f>T_CEFF!J59</f>
        <v>0.31873000000000001</v>
      </c>
      <c r="Q61" s="674">
        <f>T_CEFF!K59</f>
        <v>0.31873000000000001</v>
      </c>
      <c r="R61" s="674">
        <f>T_CEFF!L59</f>
        <v>0.31873000000000001</v>
      </c>
      <c r="S61" s="674">
        <f>T_CEFF!M59</f>
        <v>0.31873000000000001</v>
      </c>
      <c r="T61" s="674">
        <f>T_CEFF!N59</f>
        <v>0.31873000000000001</v>
      </c>
      <c r="U61" s="674">
        <f>T_CEFF!O59</f>
        <v>0.31873000000000001</v>
      </c>
      <c r="V61" s="674">
        <f>T_CEFF!P59</f>
        <v>0.31873000000000001</v>
      </c>
      <c r="W61" s="674">
        <f>T_CEFF!Q59</f>
        <v>0.31873000000000001</v>
      </c>
      <c r="X61" s="674">
        <f>T_CEFF!R59</f>
        <v>0.31873000000000001</v>
      </c>
      <c r="Y61" s="674">
        <f>T_CEFF!S59</f>
        <v>0.31873000000000001</v>
      </c>
      <c r="Z61" s="674">
        <f>T_CEFF!T59</f>
        <v>0.31873000000000001</v>
      </c>
      <c r="AA61" s="674">
        <f>T_CEFF!U59</f>
        <v>0.31873000000000001</v>
      </c>
      <c r="AB61" s="674">
        <f>T_CEFF!V59</f>
        <v>0.31873000000000001</v>
      </c>
      <c r="AC61" s="929"/>
      <c r="AE61" s="568"/>
      <c r="AV61" s="700" t="str">
        <f t="shared" si="17"/>
        <v/>
      </c>
    </row>
    <row r="62" spans="1:64" x14ac:dyDescent="0.25">
      <c r="A62" s="22"/>
      <c r="B62" s="186" t="str">
        <f>B61</f>
        <v>TCARETH100</v>
      </c>
      <c r="C62" s="186"/>
      <c r="D62" s="187"/>
      <c r="E62" s="186"/>
      <c r="F62" s="170"/>
      <c r="G62" s="213"/>
      <c r="H62" s="170"/>
      <c r="I62" s="190"/>
      <c r="J62" s="191"/>
      <c r="K62" s="191" t="s">
        <v>749</v>
      </c>
      <c r="L62" s="191" t="s">
        <v>1128</v>
      </c>
      <c r="M62" s="186" t="s">
        <v>1159</v>
      </c>
      <c r="N62" s="368">
        <f>N$14</f>
        <v>1.2</v>
      </c>
      <c r="O62" s="368">
        <f t="shared" ref="O62:AB62" si="48">O$14</f>
        <v>0</v>
      </c>
      <c r="P62" s="368">
        <f t="shared" si="48"/>
        <v>0</v>
      </c>
      <c r="Q62" s="368">
        <f t="shared" si="48"/>
        <v>0</v>
      </c>
      <c r="R62" s="368">
        <f t="shared" si="48"/>
        <v>0</v>
      </c>
      <c r="S62" s="368">
        <f t="shared" si="48"/>
        <v>0</v>
      </c>
      <c r="T62" s="368">
        <f t="shared" si="48"/>
        <v>0</v>
      </c>
      <c r="U62" s="368">
        <f t="shared" si="48"/>
        <v>0</v>
      </c>
      <c r="V62" s="368">
        <f t="shared" si="48"/>
        <v>0</v>
      </c>
      <c r="W62" s="368">
        <f t="shared" si="48"/>
        <v>0</v>
      </c>
      <c r="X62" s="368">
        <f t="shared" si="48"/>
        <v>0</v>
      </c>
      <c r="Y62" s="368">
        <f t="shared" si="48"/>
        <v>0</v>
      </c>
      <c r="Z62" s="368">
        <f t="shared" si="48"/>
        <v>0</v>
      </c>
      <c r="AA62" s="368">
        <f t="shared" si="48"/>
        <v>0</v>
      </c>
      <c r="AB62" s="368">
        <f t="shared" si="48"/>
        <v>0</v>
      </c>
      <c r="AC62" s="920"/>
      <c r="AE62" s="568"/>
      <c r="AV62" s="700" t="str">
        <f t="shared" si="17"/>
        <v/>
      </c>
    </row>
    <row r="63" spans="1:64" x14ac:dyDescent="0.25">
      <c r="A63" s="22"/>
      <c r="B63" s="186" t="str">
        <f t="shared" si="47"/>
        <v>TCARETH100</v>
      </c>
      <c r="C63" s="186"/>
      <c r="D63" s="187"/>
      <c r="E63" s="186"/>
      <c r="F63" s="170"/>
      <c r="G63" s="213"/>
      <c r="H63" s="170"/>
      <c r="I63" s="190"/>
      <c r="J63" s="191"/>
      <c r="K63" s="191"/>
      <c r="L63" s="211" t="s">
        <v>1130</v>
      </c>
      <c r="M63" s="186" t="s">
        <v>1131</v>
      </c>
      <c r="N63" s="376">
        <f>LOOKUP($C$58, T_NCAP_AF!$C$5:$C$15, T_NCAP_AF!D$5:D$15)*(1+N26)</f>
        <v>10.385999999999999</v>
      </c>
      <c r="O63" s="376">
        <f>LOOKUP($C$58, T_NCAP_AF!$C$5:$C$15, T_NCAP_AF!E$5:E$15)*(1+O26)</f>
        <v>0</v>
      </c>
      <c r="P63" s="376">
        <f>LOOKUP($C$58, T_NCAP_AF!$C$5:$C$15, T_NCAP_AF!F$5:F$15)*(1+P26)</f>
        <v>0</v>
      </c>
      <c r="Q63" s="376">
        <f>LOOKUP($C$58, T_NCAP_AF!$C$5:$C$15, T_NCAP_AF!G$5:G$15)*(1+Q26)</f>
        <v>0</v>
      </c>
      <c r="R63" s="376">
        <f>LOOKUP($C$58, T_NCAP_AF!$C$5:$C$15, T_NCAP_AF!H$5:H$15)*(1+R26)</f>
        <v>0</v>
      </c>
      <c r="S63" s="376">
        <f>LOOKUP($C$58, T_NCAP_AF!$C$5:$C$15, T_NCAP_AF!I$5:I$15)*(1+S26)</f>
        <v>0</v>
      </c>
      <c r="T63" s="376">
        <f>LOOKUP($C$58, T_NCAP_AF!$C$5:$C$15, T_NCAP_AF!J$5:J$15)*(1+T26)</f>
        <v>0</v>
      </c>
      <c r="U63" s="376">
        <f>LOOKUP($C$58, T_NCAP_AF!$C$5:$C$15, T_NCAP_AF!K$5:K$15)*(1+U26)</f>
        <v>0</v>
      </c>
      <c r="V63" s="376">
        <f>LOOKUP($C$58, T_NCAP_AF!$C$5:$C$15, T_NCAP_AF!L$5:L$15)*(1+V26)</f>
        <v>0</v>
      </c>
      <c r="W63" s="376">
        <f>LOOKUP($C$58, T_NCAP_AF!$C$5:$C$15, T_NCAP_AF!M$5:M$15)*(1+W26)</f>
        <v>0</v>
      </c>
      <c r="X63" s="376">
        <f>LOOKUP($C$58, T_NCAP_AF!$C$5:$C$15, T_NCAP_AF!N$5:N$15)*(1+X26)</f>
        <v>0</v>
      </c>
      <c r="Y63" s="376">
        <f>LOOKUP($C$58, T_NCAP_AF!$C$5:$C$15, T_NCAP_AF!O$5:O$15)*(1+Y26)</f>
        <v>0</v>
      </c>
      <c r="Z63" s="376">
        <f>LOOKUP($C$58, T_NCAP_AF!$C$5:$C$15, T_NCAP_AF!P$5:P$15)*(1+Z26)</f>
        <v>0</v>
      </c>
      <c r="AA63" s="376">
        <f>LOOKUP($C$58, T_NCAP_AF!$C$5:$C$15, T_NCAP_AF!Q$5:Q$15)*(1+AA26)</f>
        <v>0</v>
      </c>
      <c r="AB63" s="376">
        <f>LOOKUP($C$58, T_NCAP_AF!$C$5:$C$15, T_NCAP_AF!R$5:R$15)*(1+AB26)</f>
        <v>0</v>
      </c>
      <c r="AC63" s="132"/>
      <c r="AE63" s="568"/>
      <c r="AV63" s="700" t="str">
        <f t="shared" si="17"/>
        <v/>
      </c>
    </row>
    <row r="64" spans="1:64" x14ac:dyDescent="0.25">
      <c r="A64" s="22"/>
      <c r="B64" s="186" t="str">
        <f>B63</f>
        <v>TCARETH100</v>
      </c>
      <c r="C64" s="186"/>
      <c r="D64" s="187"/>
      <c r="E64" s="186"/>
      <c r="F64" s="170"/>
      <c r="G64" s="213"/>
      <c r="H64" s="170"/>
      <c r="I64" s="190">
        <f>$M$3</f>
        <v>2019</v>
      </c>
      <c r="J64" s="191"/>
      <c r="K64" s="191"/>
      <c r="L64" s="211" t="s">
        <v>1065</v>
      </c>
      <c r="M64" s="186" t="s">
        <v>748</v>
      </c>
      <c r="N64" s="687">
        <f>LOOKUP($C$58, T_Stock_Private!$C$10:$C$20, T_Stock_Private!D$10:D$20)*(1+N27)</f>
        <v>28222.917809579998</v>
      </c>
      <c r="O64" s="687">
        <f>LOOKUP($C$58, T_Stock_Private!$C$10:$C$20, T_Stock_Private!E$10:E$20)*(1+O27)</f>
        <v>0</v>
      </c>
      <c r="P64" s="687">
        <f>LOOKUP($C$58, T_Stock_Private!$C$10:$C$20, T_Stock_Private!F$10:F$20)*(1+P27)</f>
        <v>0</v>
      </c>
      <c r="Q64" s="687">
        <f>LOOKUP($C$58, T_Stock_Private!$C$10:$C$20, T_Stock_Private!G$10:G$20)*(1+Q27)</f>
        <v>0</v>
      </c>
      <c r="R64" s="687">
        <f>LOOKUP($C$58, T_Stock_Private!$C$10:$C$20, T_Stock_Private!H$10:H$20)*(1+R27)</f>
        <v>0</v>
      </c>
      <c r="S64" s="687">
        <f>LOOKUP($C$58, T_Stock_Private!$C$10:$C$20, T_Stock_Private!I$10:I$20)*(1+S27)</f>
        <v>0</v>
      </c>
      <c r="T64" s="687">
        <f>LOOKUP($C$58, T_Stock_Private!$C$10:$C$20, T_Stock_Private!J$10:J$20)*(1+T27)</f>
        <v>0</v>
      </c>
      <c r="U64" s="687">
        <f>LOOKUP($C$58, T_Stock_Private!$C$10:$C$20, T_Stock_Private!K$10:K$20)*(1+U27)</f>
        <v>0</v>
      </c>
      <c r="V64" s="687">
        <f>LOOKUP($C$58, T_Stock_Private!$C$10:$C$20, T_Stock_Private!L$10:L$20)*(1+V27)</f>
        <v>0</v>
      </c>
      <c r="W64" s="687">
        <f>LOOKUP($C$58, T_Stock_Private!$C$10:$C$20, T_Stock_Private!M$10:M$20)*(1+W27)</f>
        <v>0</v>
      </c>
      <c r="X64" s="687">
        <f>LOOKUP($C$58, T_Stock_Private!$C$10:$C$20, T_Stock_Private!N$10:N$20)*(1+X27)</f>
        <v>0</v>
      </c>
      <c r="Y64" s="687">
        <f>LOOKUP($C$58, T_Stock_Private!$C$10:$C$20, T_Stock_Private!O$10:O$20)*(1+Y27)</f>
        <v>0</v>
      </c>
      <c r="Z64" s="687">
        <f>LOOKUP($C$58, T_Stock_Private!$C$10:$C$20, T_Stock_Private!P$10:P$20)*(1+Z27)</f>
        <v>0</v>
      </c>
      <c r="AA64" s="687">
        <f>LOOKUP($C$58, T_Stock_Private!$C$10:$C$20, T_Stock_Private!Q$10:Q$20)*(1+AA27)</f>
        <v>0</v>
      </c>
      <c r="AB64" s="687">
        <f>LOOKUP($C$58, T_Stock_Private!$C$10:$C$20, T_Stock_Private!R$10:R$20)*(1+AB27)</f>
        <v>0</v>
      </c>
      <c r="AC64" s="926"/>
      <c r="AE64" s="568"/>
      <c r="AV64" s="700" t="str">
        <f t="shared" ref="AV64:AV86" si="49">MID(E64,1,7)</f>
        <v/>
      </c>
    </row>
    <row r="65" spans="1:64" x14ac:dyDescent="0.25">
      <c r="A65" s="22"/>
      <c r="B65" s="186" t="str">
        <f t="shared" si="47"/>
        <v>TCARETH100</v>
      </c>
      <c r="C65" s="186"/>
      <c r="D65" s="187"/>
      <c r="E65" s="186"/>
      <c r="F65" s="170"/>
      <c r="G65" s="213"/>
      <c r="H65" s="170"/>
      <c r="I65" s="190">
        <f>AF$5</f>
        <v>2020</v>
      </c>
      <c r="J65" s="191"/>
      <c r="K65" s="191"/>
      <c r="L65" s="211" t="s">
        <v>1065</v>
      </c>
      <c r="M65" s="186" t="s">
        <v>748</v>
      </c>
      <c r="N65" s="687">
        <f t="shared" ref="N65:AB65" si="50">N64*LOOKUP($AD58,$AG$4:$AO$4,$AG$5:$AO$5)</f>
        <v>26811.771919100996</v>
      </c>
      <c r="O65" s="687">
        <f t="shared" si="50"/>
        <v>0</v>
      </c>
      <c r="P65" s="687">
        <f t="shared" si="50"/>
        <v>0</v>
      </c>
      <c r="Q65" s="687">
        <f t="shared" si="50"/>
        <v>0</v>
      </c>
      <c r="R65" s="687">
        <f t="shared" si="50"/>
        <v>0</v>
      </c>
      <c r="S65" s="687">
        <f t="shared" si="50"/>
        <v>0</v>
      </c>
      <c r="T65" s="687">
        <f t="shared" si="50"/>
        <v>0</v>
      </c>
      <c r="U65" s="687">
        <f t="shared" si="50"/>
        <v>0</v>
      </c>
      <c r="V65" s="687">
        <f t="shared" si="50"/>
        <v>0</v>
      </c>
      <c r="W65" s="687">
        <f t="shared" si="50"/>
        <v>0</v>
      </c>
      <c r="X65" s="687">
        <f t="shared" si="50"/>
        <v>0</v>
      </c>
      <c r="Y65" s="687">
        <f t="shared" si="50"/>
        <v>0</v>
      </c>
      <c r="Z65" s="687">
        <f t="shared" si="50"/>
        <v>0</v>
      </c>
      <c r="AA65" s="687">
        <f t="shared" si="50"/>
        <v>0</v>
      </c>
      <c r="AB65" s="687">
        <f t="shared" si="50"/>
        <v>0</v>
      </c>
      <c r="AC65" s="926"/>
      <c r="AE65" s="569">
        <f>SUM(AF65:AT65)</f>
        <v>351.74786924435739</v>
      </c>
      <c r="AF65" s="568">
        <f t="shared" ref="AF65:AT65" si="51">N62*N63*N64/1000</f>
        <v>351.74786924435739</v>
      </c>
      <c r="AG65" s="568">
        <f t="shared" si="51"/>
        <v>0</v>
      </c>
      <c r="AH65" s="568">
        <f t="shared" si="51"/>
        <v>0</v>
      </c>
      <c r="AI65" s="568">
        <f t="shared" si="51"/>
        <v>0</v>
      </c>
      <c r="AJ65" s="568">
        <f t="shared" si="51"/>
        <v>0</v>
      </c>
      <c r="AK65" s="568">
        <f t="shared" si="51"/>
        <v>0</v>
      </c>
      <c r="AL65" s="568">
        <f t="shared" si="51"/>
        <v>0</v>
      </c>
      <c r="AM65" s="568">
        <f t="shared" si="51"/>
        <v>0</v>
      </c>
      <c r="AN65" s="568">
        <f t="shared" si="51"/>
        <v>0</v>
      </c>
      <c r="AO65" s="568">
        <f t="shared" si="51"/>
        <v>0</v>
      </c>
      <c r="AP65" s="568">
        <f t="shared" si="51"/>
        <v>0</v>
      </c>
      <c r="AQ65" s="568">
        <f t="shared" si="51"/>
        <v>0</v>
      </c>
      <c r="AR65" s="568">
        <f t="shared" si="51"/>
        <v>0</v>
      </c>
      <c r="AS65" s="568">
        <f t="shared" si="51"/>
        <v>0</v>
      </c>
      <c r="AT65" s="568">
        <f t="shared" si="51"/>
        <v>0</v>
      </c>
      <c r="AV65" s="700" t="str">
        <f t="shared" si="49"/>
        <v/>
      </c>
    </row>
    <row r="66" spans="1:64" x14ac:dyDescent="0.25">
      <c r="A66" s="22"/>
      <c r="B66" s="186" t="str">
        <f t="shared" si="47"/>
        <v>TCARETH100</v>
      </c>
      <c r="C66" s="186"/>
      <c r="D66" s="187"/>
      <c r="E66" s="186"/>
      <c r="F66" s="170"/>
      <c r="G66" s="213"/>
      <c r="H66" s="170"/>
      <c r="I66" s="190">
        <f>AF$6</f>
        <v>2025</v>
      </c>
      <c r="J66" s="191"/>
      <c r="K66" s="191"/>
      <c r="L66" s="211" t="s">
        <v>1065</v>
      </c>
      <c r="M66" s="186" t="s">
        <v>748</v>
      </c>
      <c r="N66" s="687">
        <f t="shared" ref="N66:AB66" si="52">N64*LOOKUP($AD58,$AG$4:$AO$4,$AG$6:$AO$6)</f>
        <v>19756.042466705996</v>
      </c>
      <c r="O66" s="687">
        <f t="shared" si="52"/>
        <v>0</v>
      </c>
      <c r="P66" s="687">
        <f t="shared" si="52"/>
        <v>0</v>
      </c>
      <c r="Q66" s="687">
        <f t="shared" si="52"/>
        <v>0</v>
      </c>
      <c r="R66" s="687">
        <f t="shared" si="52"/>
        <v>0</v>
      </c>
      <c r="S66" s="687">
        <f t="shared" si="52"/>
        <v>0</v>
      </c>
      <c r="T66" s="687">
        <f t="shared" si="52"/>
        <v>0</v>
      </c>
      <c r="U66" s="687">
        <f t="shared" si="52"/>
        <v>0</v>
      </c>
      <c r="V66" s="687">
        <f t="shared" si="52"/>
        <v>0</v>
      </c>
      <c r="W66" s="687">
        <f t="shared" si="52"/>
        <v>0</v>
      </c>
      <c r="X66" s="687">
        <f t="shared" si="52"/>
        <v>0</v>
      </c>
      <c r="Y66" s="687">
        <f t="shared" si="52"/>
        <v>0</v>
      </c>
      <c r="Z66" s="687">
        <f t="shared" si="52"/>
        <v>0</v>
      </c>
      <c r="AA66" s="687">
        <f t="shared" si="52"/>
        <v>0</v>
      </c>
      <c r="AB66" s="687">
        <f t="shared" si="52"/>
        <v>0</v>
      </c>
      <c r="AC66" s="926"/>
      <c r="AE66" s="568"/>
      <c r="AV66" s="700" t="str">
        <f t="shared" si="49"/>
        <v/>
      </c>
    </row>
    <row r="67" spans="1:64" x14ac:dyDescent="0.25">
      <c r="A67" s="22"/>
      <c r="B67" s="186" t="str">
        <f t="shared" si="47"/>
        <v>TCARETH100</v>
      </c>
      <c r="C67" s="186"/>
      <c r="D67" s="187"/>
      <c r="E67" s="186"/>
      <c r="F67" s="170"/>
      <c r="G67" s="213"/>
      <c r="H67" s="170"/>
      <c r="I67" s="190">
        <f>AF$7</f>
        <v>2030</v>
      </c>
      <c r="J67" s="191"/>
      <c r="K67" s="191"/>
      <c r="L67" s="211" t="s">
        <v>1065</v>
      </c>
      <c r="M67" s="186" t="s">
        <v>748</v>
      </c>
      <c r="N67" s="687">
        <f t="shared" ref="N67:AB67" si="53">N64*LOOKUP($AD58,$AG$4:$AO$4,$AG$7:$AO$7)</f>
        <v>11289.167123832</v>
      </c>
      <c r="O67" s="687">
        <f t="shared" si="53"/>
        <v>0</v>
      </c>
      <c r="P67" s="687">
        <f t="shared" si="53"/>
        <v>0</v>
      </c>
      <c r="Q67" s="687">
        <f t="shared" si="53"/>
        <v>0</v>
      </c>
      <c r="R67" s="687">
        <f t="shared" si="53"/>
        <v>0</v>
      </c>
      <c r="S67" s="687">
        <f t="shared" si="53"/>
        <v>0</v>
      </c>
      <c r="T67" s="687">
        <f t="shared" si="53"/>
        <v>0</v>
      </c>
      <c r="U67" s="687">
        <f t="shared" si="53"/>
        <v>0</v>
      </c>
      <c r="V67" s="687">
        <f t="shared" si="53"/>
        <v>0</v>
      </c>
      <c r="W67" s="687">
        <f t="shared" si="53"/>
        <v>0</v>
      </c>
      <c r="X67" s="687">
        <f t="shared" si="53"/>
        <v>0</v>
      </c>
      <c r="Y67" s="687">
        <f t="shared" si="53"/>
        <v>0</v>
      </c>
      <c r="Z67" s="687">
        <f t="shared" si="53"/>
        <v>0</v>
      </c>
      <c r="AA67" s="687">
        <f t="shared" si="53"/>
        <v>0</v>
      </c>
      <c r="AB67" s="687">
        <f t="shared" si="53"/>
        <v>0</v>
      </c>
      <c r="AC67" s="926"/>
      <c r="AE67" s="568"/>
      <c r="AV67" s="700" t="str">
        <f t="shared" si="49"/>
        <v/>
      </c>
    </row>
    <row r="68" spans="1:64" x14ac:dyDescent="0.25">
      <c r="A68" s="22"/>
      <c r="B68" s="186" t="str">
        <f t="shared" si="47"/>
        <v>TCARETH100</v>
      </c>
      <c r="C68" s="186"/>
      <c r="D68" s="187"/>
      <c r="E68" s="186"/>
      <c r="F68" s="170"/>
      <c r="G68" s="213"/>
      <c r="H68" s="170"/>
      <c r="I68" s="190">
        <f>AF$8</f>
        <v>2035</v>
      </c>
      <c r="J68" s="191"/>
      <c r="K68" s="191"/>
      <c r="L68" s="211" t="s">
        <v>1065</v>
      </c>
      <c r="M68" s="186" t="s">
        <v>748</v>
      </c>
      <c r="N68" s="687">
        <f t="shared" ref="N68:AB68" si="54">N64*LOOKUP($AD58,$AG$4:$AO$4,$AG$8:$AO$8)</f>
        <v>4233.4376714369992</v>
      </c>
      <c r="O68" s="687">
        <f t="shared" si="54"/>
        <v>0</v>
      </c>
      <c r="P68" s="687">
        <f t="shared" si="54"/>
        <v>0</v>
      </c>
      <c r="Q68" s="687">
        <f t="shared" si="54"/>
        <v>0</v>
      </c>
      <c r="R68" s="687">
        <f t="shared" si="54"/>
        <v>0</v>
      </c>
      <c r="S68" s="687">
        <f t="shared" si="54"/>
        <v>0</v>
      </c>
      <c r="T68" s="687">
        <f t="shared" si="54"/>
        <v>0</v>
      </c>
      <c r="U68" s="687">
        <f t="shared" si="54"/>
        <v>0</v>
      </c>
      <c r="V68" s="687">
        <f t="shared" si="54"/>
        <v>0</v>
      </c>
      <c r="W68" s="687">
        <f t="shared" si="54"/>
        <v>0</v>
      </c>
      <c r="X68" s="687">
        <f t="shared" si="54"/>
        <v>0</v>
      </c>
      <c r="Y68" s="687">
        <f t="shared" si="54"/>
        <v>0</v>
      </c>
      <c r="Z68" s="687">
        <f t="shared" si="54"/>
        <v>0</v>
      </c>
      <c r="AA68" s="687">
        <f t="shared" si="54"/>
        <v>0</v>
      </c>
      <c r="AB68" s="687">
        <f t="shared" si="54"/>
        <v>0</v>
      </c>
      <c r="AC68" s="926"/>
      <c r="AE68" s="568"/>
      <c r="AV68" s="700" t="str">
        <f t="shared" si="49"/>
        <v/>
      </c>
    </row>
    <row r="69" spans="1:64" x14ac:dyDescent="0.25">
      <c r="A69" s="22"/>
      <c r="B69" s="186" t="str">
        <f t="shared" si="47"/>
        <v>TCARETH100</v>
      </c>
      <c r="C69" s="186"/>
      <c r="D69" s="187"/>
      <c r="E69" s="186"/>
      <c r="F69" s="170"/>
      <c r="G69" s="213"/>
      <c r="H69" s="170"/>
      <c r="I69" s="190">
        <f>AF$9</f>
        <v>2040</v>
      </c>
      <c r="J69" s="191"/>
      <c r="K69" s="191"/>
      <c r="L69" s="211" t="s">
        <v>1065</v>
      </c>
      <c r="M69" s="186" t="s">
        <v>748</v>
      </c>
      <c r="N69" s="687">
        <f t="shared" ref="N69:AB69" si="55">N64*LOOKUP($AD58,$AG$4:$AO$4,$AG$9:$AO$9)</f>
        <v>141.11458904789998</v>
      </c>
      <c r="O69" s="687">
        <f t="shared" si="55"/>
        <v>0</v>
      </c>
      <c r="P69" s="687">
        <f t="shared" si="55"/>
        <v>0</v>
      </c>
      <c r="Q69" s="687">
        <f t="shared" si="55"/>
        <v>0</v>
      </c>
      <c r="R69" s="687">
        <f t="shared" si="55"/>
        <v>0</v>
      </c>
      <c r="S69" s="687">
        <f t="shared" si="55"/>
        <v>0</v>
      </c>
      <c r="T69" s="687">
        <f t="shared" si="55"/>
        <v>0</v>
      </c>
      <c r="U69" s="687">
        <f t="shared" si="55"/>
        <v>0</v>
      </c>
      <c r="V69" s="687">
        <f t="shared" si="55"/>
        <v>0</v>
      </c>
      <c r="W69" s="687">
        <f t="shared" si="55"/>
        <v>0</v>
      </c>
      <c r="X69" s="687">
        <f t="shared" si="55"/>
        <v>0</v>
      </c>
      <c r="Y69" s="687">
        <f t="shared" si="55"/>
        <v>0</v>
      </c>
      <c r="Z69" s="687">
        <f t="shared" si="55"/>
        <v>0</v>
      </c>
      <c r="AA69" s="687">
        <f t="shared" si="55"/>
        <v>0</v>
      </c>
      <c r="AB69" s="687">
        <f t="shared" si="55"/>
        <v>0</v>
      </c>
      <c r="AC69" s="926"/>
      <c r="AE69" s="568"/>
      <c r="AV69" s="700" t="str">
        <f t="shared" si="49"/>
        <v/>
      </c>
    </row>
    <row r="70" spans="1:64" x14ac:dyDescent="0.25">
      <c r="A70" s="22"/>
      <c r="B70" s="193" t="str">
        <f t="shared" si="47"/>
        <v>TCARETH100</v>
      </c>
      <c r="C70" s="193"/>
      <c r="D70" s="194"/>
      <c r="E70" s="193"/>
      <c r="F70" s="196"/>
      <c r="G70" s="215"/>
      <c r="H70" s="196"/>
      <c r="I70" s="197">
        <f>AF$10</f>
        <v>2050</v>
      </c>
      <c r="J70" s="198"/>
      <c r="K70" s="198"/>
      <c r="L70" s="212" t="s">
        <v>1065</v>
      </c>
      <c r="M70" s="193" t="s">
        <v>748</v>
      </c>
      <c r="N70" s="688">
        <f t="shared" ref="N70:AB70" si="56">N64*LOOKUP($AD58,$AG$4:$AO$4,$AG$10:$AO$10)</f>
        <v>0</v>
      </c>
      <c r="O70" s="688">
        <f t="shared" si="56"/>
        <v>0</v>
      </c>
      <c r="P70" s="688">
        <f t="shared" si="56"/>
        <v>0</v>
      </c>
      <c r="Q70" s="688">
        <f t="shared" si="56"/>
        <v>0</v>
      </c>
      <c r="R70" s="688">
        <f t="shared" si="56"/>
        <v>0</v>
      </c>
      <c r="S70" s="688">
        <f t="shared" si="56"/>
        <v>0</v>
      </c>
      <c r="T70" s="688">
        <f t="shared" si="56"/>
        <v>0</v>
      </c>
      <c r="U70" s="688">
        <f t="shared" si="56"/>
        <v>0</v>
      </c>
      <c r="V70" s="688">
        <f t="shared" si="56"/>
        <v>0</v>
      </c>
      <c r="W70" s="688">
        <f t="shared" si="56"/>
        <v>0</v>
      </c>
      <c r="X70" s="688">
        <f t="shared" si="56"/>
        <v>0</v>
      </c>
      <c r="Y70" s="688">
        <f t="shared" si="56"/>
        <v>0</v>
      </c>
      <c r="Z70" s="688">
        <f t="shared" si="56"/>
        <v>0</v>
      </c>
      <c r="AA70" s="688">
        <f t="shared" si="56"/>
        <v>0</v>
      </c>
      <c r="AB70" s="688">
        <f t="shared" si="56"/>
        <v>0</v>
      </c>
      <c r="AC70" s="926"/>
      <c r="AE70" s="568"/>
      <c r="AV70" s="700" t="str">
        <f t="shared" si="49"/>
        <v/>
      </c>
    </row>
    <row r="71" spans="1:64" x14ac:dyDescent="0.25">
      <c r="A71" s="22"/>
      <c r="B71" s="186" t="str">
        <f>C71</f>
        <v>TCARGAS100</v>
      </c>
      <c r="C71" s="186" t="s">
        <v>305</v>
      </c>
      <c r="D71" s="187" t="s">
        <v>783</v>
      </c>
      <c r="E71" s="258" t="s">
        <v>994</v>
      </c>
      <c r="F71" s="170"/>
      <c r="G71" s="213"/>
      <c r="H71" s="170"/>
      <c r="I71" s="190"/>
      <c r="J71" s="191"/>
      <c r="K71" s="191"/>
      <c r="L71" s="211" t="s">
        <v>1107</v>
      </c>
      <c r="M71" s="191" t="s">
        <v>1156</v>
      </c>
      <c r="N71" s="366">
        <f>N$32</f>
        <v>1E-3</v>
      </c>
      <c r="O71" s="366">
        <f t="shared" ref="O71:AB71" si="57">$N71</f>
        <v>1E-3</v>
      </c>
      <c r="P71" s="366">
        <f t="shared" si="57"/>
        <v>1E-3</v>
      </c>
      <c r="Q71" s="366">
        <f t="shared" si="57"/>
        <v>1E-3</v>
      </c>
      <c r="R71" s="366">
        <f t="shared" si="57"/>
        <v>1E-3</v>
      </c>
      <c r="S71" s="366">
        <f t="shared" si="57"/>
        <v>1E-3</v>
      </c>
      <c r="T71" s="366">
        <f t="shared" si="57"/>
        <v>1E-3</v>
      </c>
      <c r="U71" s="366">
        <f t="shared" si="57"/>
        <v>1E-3</v>
      </c>
      <c r="V71" s="366">
        <f t="shared" si="57"/>
        <v>1E-3</v>
      </c>
      <c r="W71" s="366">
        <f t="shared" si="57"/>
        <v>1E-3</v>
      </c>
      <c r="X71" s="366">
        <f t="shared" si="57"/>
        <v>1E-3</v>
      </c>
      <c r="Y71" s="366">
        <f t="shared" si="57"/>
        <v>1E-3</v>
      </c>
      <c r="Z71" s="366">
        <f t="shared" si="57"/>
        <v>1E-3</v>
      </c>
      <c r="AA71" s="366">
        <f t="shared" si="57"/>
        <v>1E-3</v>
      </c>
      <c r="AB71" s="366">
        <f t="shared" si="57"/>
        <v>1E-3</v>
      </c>
      <c r="AC71" s="927"/>
      <c r="AD71" s="402" t="str">
        <f>MID(D71,5,3)</f>
        <v>GAS</v>
      </c>
      <c r="AE71" s="568"/>
      <c r="AV71" s="700" t="str">
        <f t="shared" si="49"/>
        <v>TRABGS</v>
      </c>
      <c r="AW71" s="568">
        <f t="shared" ref="AW71:AW73" si="58">SUM(AX71:BL71)</f>
        <v>262.54776580343736</v>
      </c>
      <c r="AX71" s="568">
        <f t="shared" ref="AX71:BL71" si="59">N$77*N$78*0.6/N$75/1000</f>
        <v>262.54776580343736</v>
      </c>
      <c r="AY71" s="568">
        <f t="shared" si="59"/>
        <v>0</v>
      </c>
      <c r="AZ71" s="568">
        <f t="shared" si="59"/>
        <v>0</v>
      </c>
      <c r="BA71" s="568">
        <f t="shared" si="59"/>
        <v>0</v>
      </c>
      <c r="BB71" s="568">
        <f t="shared" si="59"/>
        <v>0</v>
      </c>
      <c r="BC71" s="568">
        <f t="shared" si="59"/>
        <v>0</v>
      </c>
      <c r="BD71" s="568">
        <f t="shared" si="59"/>
        <v>0</v>
      </c>
      <c r="BE71" s="568">
        <f t="shared" si="59"/>
        <v>0</v>
      </c>
      <c r="BF71" s="568">
        <f t="shared" si="59"/>
        <v>0</v>
      </c>
      <c r="BG71" s="568">
        <f t="shared" si="59"/>
        <v>0</v>
      </c>
      <c r="BH71" s="568">
        <f t="shared" si="59"/>
        <v>0</v>
      </c>
      <c r="BI71" s="568">
        <f t="shared" si="59"/>
        <v>0</v>
      </c>
      <c r="BJ71" s="568">
        <f t="shared" si="59"/>
        <v>0</v>
      </c>
      <c r="BK71" s="568">
        <f t="shared" si="59"/>
        <v>0</v>
      </c>
      <c r="BL71" s="568">
        <f t="shared" si="59"/>
        <v>0</v>
      </c>
    </row>
    <row r="72" spans="1:64" x14ac:dyDescent="0.25">
      <c r="A72" s="22"/>
      <c r="B72" s="186" t="str">
        <f>B71</f>
        <v>TCARGAS100</v>
      </c>
      <c r="C72" s="186"/>
      <c r="D72" s="187"/>
      <c r="E72" s="214" t="s">
        <v>1039</v>
      </c>
      <c r="F72" s="170"/>
      <c r="G72" s="213"/>
      <c r="H72" s="170"/>
      <c r="I72" s="190"/>
      <c r="J72" s="191" t="s">
        <v>1157</v>
      </c>
      <c r="K72" s="191"/>
      <c r="L72" s="211" t="s">
        <v>101</v>
      </c>
      <c r="M72" s="186"/>
      <c r="N72" s="377">
        <f t="shared" ref="N72:AB72" si="60">N22*0.25</f>
        <v>0.2</v>
      </c>
      <c r="O72" s="377">
        <f t="shared" si="60"/>
        <v>0.2</v>
      </c>
      <c r="P72" s="377">
        <f t="shared" si="60"/>
        <v>0.2</v>
      </c>
      <c r="Q72" s="377">
        <f t="shared" si="60"/>
        <v>0.2</v>
      </c>
      <c r="R72" s="377">
        <f t="shared" si="60"/>
        <v>0.2</v>
      </c>
      <c r="S72" s="377">
        <f t="shared" si="60"/>
        <v>0.2</v>
      </c>
      <c r="T72" s="377">
        <f t="shared" si="60"/>
        <v>0.2</v>
      </c>
      <c r="U72" s="377">
        <f t="shared" si="60"/>
        <v>0.2</v>
      </c>
      <c r="V72" s="377">
        <f t="shared" si="60"/>
        <v>0.2</v>
      </c>
      <c r="W72" s="377">
        <f t="shared" si="60"/>
        <v>0.2</v>
      </c>
      <c r="X72" s="377">
        <f t="shared" si="60"/>
        <v>0.2</v>
      </c>
      <c r="Y72" s="377">
        <f t="shared" si="60"/>
        <v>0.2</v>
      </c>
      <c r="Z72" s="377">
        <f t="shared" si="60"/>
        <v>0.2</v>
      </c>
      <c r="AA72" s="377">
        <f t="shared" si="60"/>
        <v>0.2</v>
      </c>
      <c r="AB72" s="377">
        <f t="shared" si="60"/>
        <v>0.2</v>
      </c>
      <c r="AC72" s="925"/>
      <c r="AD72" s="66" t="str">
        <f>IF(COUNTIF($AG$4:$AP$4,AD71)=1,"ok","MISSING")</f>
        <v>ok</v>
      </c>
      <c r="AE72" s="568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V72" s="700" t="str">
        <f t="shared" si="49"/>
        <v>TRANGS</v>
      </c>
      <c r="AW72" s="568">
        <f t="shared" si="58"/>
        <v>87.515921934479124</v>
      </c>
      <c r="AX72" s="568">
        <f t="shared" ref="AX72:BL73" si="61">N$77*N$78*0.2/N$75/1000</f>
        <v>87.515921934479124</v>
      </c>
      <c r="AY72" s="568">
        <f t="shared" si="61"/>
        <v>0</v>
      </c>
      <c r="AZ72" s="568">
        <f t="shared" si="61"/>
        <v>0</v>
      </c>
      <c r="BA72" s="568">
        <f t="shared" si="61"/>
        <v>0</v>
      </c>
      <c r="BB72" s="568">
        <f t="shared" si="61"/>
        <v>0</v>
      </c>
      <c r="BC72" s="568">
        <f t="shared" si="61"/>
        <v>0</v>
      </c>
      <c r="BD72" s="568">
        <f t="shared" si="61"/>
        <v>0</v>
      </c>
      <c r="BE72" s="568">
        <f t="shared" si="61"/>
        <v>0</v>
      </c>
      <c r="BF72" s="568">
        <f t="shared" si="61"/>
        <v>0</v>
      </c>
      <c r="BG72" s="568">
        <f t="shared" si="61"/>
        <v>0</v>
      </c>
      <c r="BH72" s="568">
        <f t="shared" si="61"/>
        <v>0</v>
      </c>
      <c r="BI72" s="568">
        <f t="shared" si="61"/>
        <v>0</v>
      </c>
      <c r="BJ72" s="568">
        <f t="shared" si="61"/>
        <v>0</v>
      </c>
      <c r="BK72" s="568">
        <f t="shared" si="61"/>
        <v>0</v>
      </c>
      <c r="BL72" s="568">
        <f t="shared" si="61"/>
        <v>0</v>
      </c>
    </row>
    <row r="73" spans="1:64" x14ac:dyDescent="0.25">
      <c r="A73" s="22"/>
      <c r="B73" s="186" t="str">
        <f>B72</f>
        <v>TCARGAS100</v>
      </c>
      <c r="C73" s="186"/>
      <c r="D73" s="187"/>
      <c r="E73" s="188" t="s">
        <v>1014</v>
      </c>
      <c r="F73" s="170"/>
      <c r="G73" s="213"/>
      <c r="H73" s="170"/>
      <c r="I73" s="190"/>
      <c r="J73" s="191" t="s">
        <v>1157</v>
      </c>
      <c r="K73" s="191"/>
      <c r="L73" s="211" t="s">
        <v>101</v>
      </c>
      <c r="M73" s="186"/>
      <c r="N73" s="377">
        <f t="shared" ref="N73:AB73" si="62">1-N22</f>
        <v>0.19999999999999996</v>
      </c>
      <c r="O73" s="377">
        <f t="shared" si="62"/>
        <v>0.19999999999999996</v>
      </c>
      <c r="P73" s="377">
        <f t="shared" si="62"/>
        <v>0.19999999999999996</v>
      </c>
      <c r="Q73" s="377">
        <f t="shared" si="62"/>
        <v>0.19999999999999996</v>
      </c>
      <c r="R73" s="377">
        <f t="shared" si="62"/>
        <v>0.19999999999999996</v>
      </c>
      <c r="S73" s="377">
        <f t="shared" si="62"/>
        <v>0.19999999999999996</v>
      </c>
      <c r="T73" s="377">
        <f t="shared" si="62"/>
        <v>0.19999999999999996</v>
      </c>
      <c r="U73" s="377">
        <f t="shared" si="62"/>
        <v>0.19999999999999996</v>
      </c>
      <c r="V73" s="377">
        <f t="shared" si="62"/>
        <v>0.19999999999999996</v>
      </c>
      <c r="W73" s="377">
        <f t="shared" si="62"/>
        <v>0.19999999999999996</v>
      </c>
      <c r="X73" s="377">
        <f t="shared" si="62"/>
        <v>0.19999999999999996</v>
      </c>
      <c r="Y73" s="377">
        <f t="shared" si="62"/>
        <v>0.19999999999999996</v>
      </c>
      <c r="Z73" s="377">
        <f t="shared" si="62"/>
        <v>0.19999999999999996</v>
      </c>
      <c r="AA73" s="377">
        <f t="shared" si="62"/>
        <v>0.19999999999999996</v>
      </c>
      <c r="AB73" s="377">
        <f t="shared" si="62"/>
        <v>0.19999999999999996</v>
      </c>
      <c r="AC73" s="925"/>
      <c r="AE73" s="568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V73" s="700" t="str">
        <f t="shared" si="49"/>
        <v>TRAGSL</v>
      </c>
      <c r="AW73" s="568">
        <f t="shared" si="58"/>
        <v>87.515921934479124</v>
      </c>
      <c r="AX73" s="568">
        <f t="shared" si="61"/>
        <v>87.515921934479124</v>
      </c>
      <c r="AY73" s="568">
        <f t="shared" si="61"/>
        <v>0</v>
      </c>
      <c r="AZ73" s="568">
        <f t="shared" si="61"/>
        <v>0</v>
      </c>
      <c r="BA73" s="568">
        <f t="shared" si="61"/>
        <v>0</v>
      </c>
      <c r="BB73" s="568">
        <f t="shared" si="61"/>
        <v>0</v>
      </c>
      <c r="BC73" s="568">
        <f t="shared" si="61"/>
        <v>0</v>
      </c>
      <c r="BD73" s="568">
        <f t="shared" si="61"/>
        <v>0</v>
      </c>
      <c r="BE73" s="568">
        <f t="shared" si="61"/>
        <v>0</v>
      </c>
      <c r="BF73" s="568">
        <f t="shared" si="61"/>
        <v>0</v>
      </c>
      <c r="BG73" s="568">
        <f t="shared" si="61"/>
        <v>0</v>
      </c>
      <c r="BH73" s="568">
        <f t="shared" si="61"/>
        <v>0</v>
      </c>
      <c r="BI73" s="568">
        <f t="shared" si="61"/>
        <v>0</v>
      </c>
      <c r="BJ73" s="568">
        <f t="shared" si="61"/>
        <v>0</v>
      </c>
      <c r="BK73" s="568">
        <f t="shared" si="61"/>
        <v>0</v>
      </c>
      <c r="BL73" s="568">
        <f t="shared" si="61"/>
        <v>0</v>
      </c>
    </row>
    <row r="74" spans="1:64" x14ac:dyDescent="0.25">
      <c r="A74" s="22"/>
      <c r="B74" s="186" t="str">
        <f t="shared" ref="B74:B84" si="63">B73</f>
        <v>TCARGAS100</v>
      </c>
      <c r="C74" s="186"/>
      <c r="D74" s="187"/>
      <c r="E74" s="186"/>
      <c r="F74" s="170"/>
      <c r="G74" s="214" t="s">
        <v>402</v>
      </c>
      <c r="H74" s="170"/>
      <c r="I74" s="190"/>
      <c r="J74" s="191"/>
      <c r="K74" s="191"/>
      <c r="L74" s="191" t="s">
        <v>1126</v>
      </c>
      <c r="M74" s="186" t="s">
        <v>678</v>
      </c>
      <c r="N74" s="674">
        <f>T_CEFF!H60</f>
        <v>0.38646999999999998</v>
      </c>
      <c r="O74" s="674">
        <f>T_CEFF!I60</f>
        <v>0.38646999999999998</v>
      </c>
      <c r="P74" s="674">
        <f>T_CEFF!J60</f>
        <v>0.38646999999999998</v>
      </c>
      <c r="Q74" s="674">
        <f>T_CEFF!K60</f>
        <v>0.38646999999999998</v>
      </c>
      <c r="R74" s="674">
        <f>T_CEFF!L60</f>
        <v>0.38646999999999998</v>
      </c>
      <c r="S74" s="674">
        <f>T_CEFF!M60</f>
        <v>0.38646999999999998</v>
      </c>
      <c r="T74" s="674">
        <f>T_CEFF!N60</f>
        <v>0.38646999999999998</v>
      </c>
      <c r="U74" s="674">
        <f>T_CEFF!O60</f>
        <v>0.38646999999999998</v>
      </c>
      <c r="V74" s="674">
        <f>T_CEFF!P60</f>
        <v>0.38646999999999998</v>
      </c>
      <c r="W74" s="674">
        <f>T_CEFF!Q60</f>
        <v>0.38646999999999998</v>
      </c>
      <c r="X74" s="674">
        <f>T_CEFF!R60</f>
        <v>0.38646999999999998</v>
      </c>
      <c r="Y74" s="674">
        <f>T_CEFF!S60</f>
        <v>0.38646999999999998</v>
      </c>
      <c r="Z74" s="674">
        <f>T_CEFF!T60</f>
        <v>0.38646999999999998</v>
      </c>
      <c r="AA74" s="674">
        <f>T_CEFF!U60</f>
        <v>0.38646999999999998</v>
      </c>
      <c r="AB74" s="674">
        <f>T_CEFF!V60</f>
        <v>0.38646999999999998</v>
      </c>
      <c r="AC74" s="929"/>
      <c r="AE74" s="568"/>
      <c r="AV74" s="700" t="str">
        <f t="shared" si="49"/>
        <v/>
      </c>
    </row>
    <row r="75" spans="1:64" x14ac:dyDescent="0.25">
      <c r="A75" s="22"/>
      <c r="B75" s="186" t="str">
        <f t="shared" si="63"/>
        <v>TCARGAS100</v>
      </c>
      <c r="C75" s="186"/>
      <c r="D75" s="187"/>
      <c r="E75" s="186"/>
      <c r="F75" s="170"/>
      <c r="G75" s="214" t="s">
        <v>404</v>
      </c>
      <c r="H75" s="170"/>
      <c r="I75" s="190"/>
      <c r="J75" s="191"/>
      <c r="K75" s="191"/>
      <c r="L75" s="191" t="s">
        <v>1126</v>
      </c>
      <c r="M75" s="186" t="s">
        <v>678</v>
      </c>
      <c r="N75" s="674">
        <f>T_CEFF!H61</f>
        <v>0.31873000000000001</v>
      </c>
      <c r="O75" s="674">
        <f>T_CEFF!I61</f>
        <v>0.31873000000000001</v>
      </c>
      <c r="P75" s="674">
        <f>T_CEFF!J61</f>
        <v>0.31873000000000001</v>
      </c>
      <c r="Q75" s="674">
        <f>T_CEFF!K61</f>
        <v>0.31873000000000001</v>
      </c>
      <c r="R75" s="674">
        <f>T_CEFF!L61</f>
        <v>0.31873000000000001</v>
      </c>
      <c r="S75" s="674">
        <f>T_CEFF!M61</f>
        <v>0.31873000000000001</v>
      </c>
      <c r="T75" s="674">
        <f>T_CEFF!N61</f>
        <v>0.31873000000000001</v>
      </c>
      <c r="U75" s="674">
        <f>T_CEFF!O61</f>
        <v>0.31873000000000001</v>
      </c>
      <c r="V75" s="674">
        <f>T_CEFF!P61</f>
        <v>0.31873000000000001</v>
      </c>
      <c r="W75" s="674">
        <f>T_CEFF!Q61</f>
        <v>0.31873000000000001</v>
      </c>
      <c r="X75" s="674">
        <f>T_CEFF!R61</f>
        <v>0.31873000000000001</v>
      </c>
      <c r="Y75" s="674">
        <f>T_CEFF!S61</f>
        <v>0.31873000000000001</v>
      </c>
      <c r="Z75" s="674">
        <f>T_CEFF!T61</f>
        <v>0.31873000000000001</v>
      </c>
      <c r="AA75" s="674">
        <f>T_CEFF!U61</f>
        <v>0.31873000000000001</v>
      </c>
      <c r="AB75" s="674">
        <f>T_CEFF!V61</f>
        <v>0.31873000000000001</v>
      </c>
      <c r="AC75" s="929"/>
      <c r="AE75" s="568"/>
      <c r="AV75" s="700" t="str">
        <f t="shared" si="49"/>
        <v/>
      </c>
    </row>
    <row r="76" spans="1:64" x14ac:dyDescent="0.25">
      <c r="A76" s="22"/>
      <c r="B76" s="186" t="str">
        <f t="shared" si="63"/>
        <v>TCARGAS100</v>
      </c>
      <c r="C76" s="186"/>
      <c r="D76" s="187"/>
      <c r="E76" s="186"/>
      <c r="F76" s="170"/>
      <c r="G76" s="213"/>
      <c r="H76" s="170"/>
      <c r="I76" s="190"/>
      <c r="J76" s="191"/>
      <c r="K76" s="191" t="s">
        <v>749</v>
      </c>
      <c r="L76" s="191" t="s">
        <v>1128</v>
      </c>
      <c r="M76" s="186" t="s">
        <v>1159</v>
      </c>
      <c r="N76" s="368">
        <f>N$14</f>
        <v>1.2</v>
      </c>
      <c r="O76" s="368">
        <f t="shared" ref="O76:AB76" si="64">O$14</f>
        <v>0</v>
      </c>
      <c r="P76" s="368">
        <f t="shared" si="64"/>
        <v>0</v>
      </c>
      <c r="Q76" s="368">
        <f t="shared" si="64"/>
        <v>0</v>
      </c>
      <c r="R76" s="368">
        <f t="shared" si="64"/>
        <v>0</v>
      </c>
      <c r="S76" s="368">
        <f t="shared" si="64"/>
        <v>0</v>
      </c>
      <c r="T76" s="368">
        <f t="shared" si="64"/>
        <v>0</v>
      </c>
      <c r="U76" s="368">
        <f t="shared" si="64"/>
        <v>0</v>
      </c>
      <c r="V76" s="368">
        <f t="shared" si="64"/>
        <v>0</v>
      </c>
      <c r="W76" s="368">
        <f t="shared" si="64"/>
        <v>0</v>
      </c>
      <c r="X76" s="368">
        <f t="shared" si="64"/>
        <v>0</v>
      </c>
      <c r="Y76" s="368">
        <f t="shared" si="64"/>
        <v>0</v>
      </c>
      <c r="Z76" s="368">
        <f t="shared" si="64"/>
        <v>0</v>
      </c>
      <c r="AA76" s="368">
        <f t="shared" si="64"/>
        <v>0</v>
      </c>
      <c r="AB76" s="368">
        <f t="shared" si="64"/>
        <v>0</v>
      </c>
      <c r="AC76" s="920"/>
      <c r="AE76" s="568"/>
      <c r="AV76" s="700" t="str">
        <f t="shared" si="49"/>
        <v/>
      </c>
    </row>
    <row r="77" spans="1:64" x14ac:dyDescent="0.25">
      <c r="A77" s="22"/>
      <c r="B77" s="186" t="str">
        <f t="shared" si="63"/>
        <v>TCARGAS100</v>
      </c>
      <c r="C77" s="186"/>
      <c r="D77" s="187"/>
      <c r="E77" s="186"/>
      <c r="F77" s="170"/>
      <c r="G77" s="213"/>
      <c r="H77" s="170"/>
      <c r="I77" s="190"/>
      <c r="J77" s="191"/>
      <c r="K77" s="191"/>
      <c r="L77" s="211" t="s">
        <v>1130</v>
      </c>
      <c r="M77" s="186" t="s">
        <v>1131</v>
      </c>
      <c r="N77" s="376">
        <f>LOOKUP($C$71, T_NCAP_AF!$C$5:$C$15, T_NCAP_AF!D$5:D$15)*(1+N26)</f>
        <v>15.831</v>
      </c>
      <c r="O77" s="376">
        <f>LOOKUP($C$71, T_NCAP_AF!$C$5:$C$15, T_NCAP_AF!E$5:E$15)*(1+O26)</f>
        <v>0</v>
      </c>
      <c r="P77" s="376">
        <f>LOOKUP($C$71, T_NCAP_AF!$C$5:$C$15, T_NCAP_AF!F$5:F$15)*(1+P26)</f>
        <v>0</v>
      </c>
      <c r="Q77" s="376">
        <f>LOOKUP($C$71, T_NCAP_AF!$C$5:$C$15, T_NCAP_AF!G$5:G$15)*(1+Q26)</f>
        <v>0</v>
      </c>
      <c r="R77" s="376">
        <f>LOOKUP($C$71, T_NCAP_AF!$C$5:$C$15, T_NCAP_AF!H$5:H$15)*(1+R26)</f>
        <v>0</v>
      </c>
      <c r="S77" s="376">
        <f>LOOKUP($C$71, T_NCAP_AF!$C$5:$C$15, T_NCAP_AF!I$5:I$15)*(1+S26)</f>
        <v>0</v>
      </c>
      <c r="T77" s="376">
        <f>LOOKUP($C$71, T_NCAP_AF!$C$5:$C$15, T_NCAP_AF!J$5:J$15)*(1+T26)</f>
        <v>0</v>
      </c>
      <c r="U77" s="376">
        <f>LOOKUP($C$71, T_NCAP_AF!$C$5:$C$15, T_NCAP_AF!K$5:K$15)*(1+U26)</f>
        <v>0</v>
      </c>
      <c r="V77" s="376">
        <f>LOOKUP($C$71, T_NCAP_AF!$C$5:$C$15, T_NCAP_AF!L$5:L$15)*(1+V26)</f>
        <v>0</v>
      </c>
      <c r="W77" s="376">
        <f>LOOKUP($C$71, T_NCAP_AF!$C$5:$C$15, T_NCAP_AF!M$5:M$15)*(1+W26)</f>
        <v>0</v>
      </c>
      <c r="X77" s="376">
        <f>LOOKUP($C$71, T_NCAP_AF!$C$5:$C$15, T_NCAP_AF!N$5:N$15)*(1+X26)</f>
        <v>0</v>
      </c>
      <c r="Y77" s="376">
        <f>LOOKUP($C$71, T_NCAP_AF!$C$5:$C$15, T_NCAP_AF!O$5:O$15)*(1+Y26)</f>
        <v>0</v>
      </c>
      <c r="Z77" s="376">
        <f>LOOKUP($C$71, T_NCAP_AF!$C$5:$C$15, T_NCAP_AF!P$5:P$15)*(1+Z26)</f>
        <v>0</v>
      </c>
      <c r="AA77" s="376">
        <f>LOOKUP($C$71, T_NCAP_AF!$C$5:$C$15, T_NCAP_AF!Q$5:Q$15)*(1+AA26)</f>
        <v>0</v>
      </c>
      <c r="AB77" s="376">
        <f>LOOKUP($C$71, T_NCAP_AF!$C$5:$C$15, T_NCAP_AF!R$5:R$15)*(1+AB26)</f>
        <v>0</v>
      </c>
      <c r="AC77" s="132"/>
      <c r="AE77" s="568"/>
      <c r="AV77" s="700" t="str">
        <f t="shared" si="49"/>
        <v/>
      </c>
    </row>
    <row r="78" spans="1:64" x14ac:dyDescent="0.25">
      <c r="A78" s="22"/>
      <c r="B78" s="186" t="str">
        <f t="shared" si="63"/>
        <v>TCARGAS100</v>
      </c>
      <c r="C78" s="186"/>
      <c r="D78" s="187"/>
      <c r="E78" s="186"/>
      <c r="F78" s="170"/>
      <c r="G78" s="213"/>
      <c r="H78" s="170"/>
      <c r="I78" s="190">
        <f>$M$3</f>
        <v>2019</v>
      </c>
      <c r="J78" s="191"/>
      <c r="K78" s="191"/>
      <c r="L78" s="211" t="s">
        <v>1065</v>
      </c>
      <c r="M78" s="186" t="s">
        <v>748</v>
      </c>
      <c r="N78" s="687">
        <f>LOOKUP($C$71, T_Stock_Private!$C$10:$C$20, T_Stock_Private!D$10:D$20)*(1+N27)</f>
        <v>8809.9140288599992</v>
      </c>
      <c r="O78" s="687">
        <f>LOOKUP($C$71, T_Stock_Private!$C$10:$C$20, T_Stock_Private!E$10:E$20)*(1+O27)</f>
        <v>0</v>
      </c>
      <c r="P78" s="687">
        <f>LOOKUP($C$71, T_Stock_Private!$C$10:$C$20, T_Stock_Private!F$10:F$20)*(1+P27)</f>
        <v>0</v>
      </c>
      <c r="Q78" s="687">
        <f>LOOKUP($C$71, T_Stock_Private!$C$10:$C$20, T_Stock_Private!G$10:G$20)*(1+Q27)</f>
        <v>0</v>
      </c>
      <c r="R78" s="687">
        <f>LOOKUP($C$71, T_Stock_Private!$C$10:$C$20, T_Stock_Private!H$10:H$20)*(1+R27)</f>
        <v>0</v>
      </c>
      <c r="S78" s="687">
        <f>LOOKUP($C$71, T_Stock_Private!$C$10:$C$20, T_Stock_Private!I$10:I$20)*(1+S27)</f>
        <v>0</v>
      </c>
      <c r="T78" s="687">
        <f>LOOKUP($C$71, T_Stock_Private!$C$10:$C$20, T_Stock_Private!J$10:J$20)*(1+T27)</f>
        <v>0</v>
      </c>
      <c r="U78" s="687">
        <f>LOOKUP($C$71, T_Stock_Private!$C$10:$C$20, T_Stock_Private!K$10:K$20)*(1+U27)</f>
        <v>0</v>
      </c>
      <c r="V78" s="687">
        <f>LOOKUP($C$71, T_Stock_Private!$C$10:$C$20, T_Stock_Private!L$10:L$20)*(1+V27)</f>
        <v>0</v>
      </c>
      <c r="W78" s="687">
        <f>LOOKUP($C$71, T_Stock_Private!$C$10:$C$20, T_Stock_Private!M$10:M$20)*(1+W27)</f>
        <v>0</v>
      </c>
      <c r="X78" s="687">
        <f>LOOKUP($C$71, T_Stock_Private!$C$10:$C$20, T_Stock_Private!N$10:N$20)*(1+X27)</f>
        <v>0</v>
      </c>
      <c r="Y78" s="687">
        <f>LOOKUP($C$71, T_Stock_Private!$C$10:$C$20, T_Stock_Private!O$10:O$20)*(1+Y27)</f>
        <v>0</v>
      </c>
      <c r="Z78" s="687">
        <f>LOOKUP($C$71, T_Stock_Private!$C$10:$C$20, T_Stock_Private!P$10:P$20)*(1+Z27)</f>
        <v>0</v>
      </c>
      <c r="AA78" s="687">
        <f>LOOKUP($C$71, T_Stock_Private!$C$10:$C$20, T_Stock_Private!Q$10:Q$20)*(1+AA27)</f>
        <v>0</v>
      </c>
      <c r="AB78" s="687">
        <f>LOOKUP($C$71, T_Stock_Private!$C$10:$C$20, T_Stock_Private!R$10:R$20)*(1+AB27)</f>
        <v>0</v>
      </c>
      <c r="AC78" s="926"/>
      <c r="AE78" s="568"/>
      <c r="AV78" s="700" t="str">
        <f t="shared" si="49"/>
        <v/>
      </c>
    </row>
    <row r="79" spans="1:64" x14ac:dyDescent="0.25">
      <c r="A79" s="22"/>
      <c r="B79" s="186" t="str">
        <f t="shared" si="63"/>
        <v>TCARGAS100</v>
      </c>
      <c r="C79" s="186"/>
      <c r="D79" s="187"/>
      <c r="E79" s="186"/>
      <c r="F79" s="170"/>
      <c r="G79" s="213"/>
      <c r="H79" s="170"/>
      <c r="I79" s="190">
        <f>AF$5</f>
        <v>2020</v>
      </c>
      <c r="J79" s="191"/>
      <c r="K79" s="191"/>
      <c r="L79" s="211" t="s">
        <v>1065</v>
      </c>
      <c r="M79" s="186" t="s">
        <v>748</v>
      </c>
      <c r="N79" s="687">
        <f t="shared" ref="N79:AB79" si="65">N78*LOOKUP($AD71,$AG$4:$AO$4,$AG$5:$AO$5)</f>
        <v>8369.4183274169991</v>
      </c>
      <c r="O79" s="687">
        <f t="shared" si="65"/>
        <v>0</v>
      </c>
      <c r="P79" s="687">
        <f t="shared" si="65"/>
        <v>0</v>
      </c>
      <c r="Q79" s="687">
        <f t="shared" si="65"/>
        <v>0</v>
      </c>
      <c r="R79" s="687">
        <f t="shared" si="65"/>
        <v>0</v>
      </c>
      <c r="S79" s="687">
        <f t="shared" si="65"/>
        <v>0</v>
      </c>
      <c r="T79" s="687">
        <f t="shared" si="65"/>
        <v>0</v>
      </c>
      <c r="U79" s="687">
        <f t="shared" si="65"/>
        <v>0</v>
      </c>
      <c r="V79" s="687">
        <f t="shared" si="65"/>
        <v>0</v>
      </c>
      <c r="W79" s="687">
        <f t="shared" si="65"/>
        <v>0</v>
      </c>
      <c r="X79" s="687">
        <f t="shared" si="65"/>
        <v>0</v>
      </c>
      <c r="Y79" s="687">
        <f t="shared" si="65"/>
        <v>0</v>
      </c>
      <c r="Z79" s="687">
        <f t="shared" si="65"/>
        <v>0</v>
      </c>
      <c r="AA79" s="687">
        <f t="shared" si="65"/>
        <v>0</v>
      </c>
      <c r="AB79" s="687">
        <f t="shared" si="65"/>
        <v>0</v>
      </c>
      <c r="AC79" s="926"/>
      <c r="AE79" s="569">
        <f>SUM(AF79:AT79)</f>
        <v>167.36369878905919</v>
      </c>
      <c r="AF79" s="568">
        <f t="shared" ref="AF79:AT79" si="66">N76*N77*N78/1000</f>
        <v>167.36369878905919</v>
      </c>
      <c r="AG79" s="568">
        <f t="shared" si="66"/>
        <v>0</v>
      </c>
      <c r="AH79" s="568">
        <f t="shared" si="66"/>
        <v>0</v>
      </c>
      <c r="AI79" s="568">
        <f t="shared" si="66"/>
        <v>0</v>
      </c>
      <c r="AJ79" s="568">
        <f t="shared" si="66"/>
        <v>0</v>
      </c>
      <c r="AK79" s="568">
        <f t="shared" si="66"/>
        <v>0</v>
      </c>
      <c r="AL79" s="568">
        <f t="shared" si="66"/>
        <v>0</v>
      </c>
      <c r="AM79" s="568">
        <f t="shared" si="66"/>
        <v>0</v>
      </c>
      <c r="AN79" s="568">
        <f t="shared" si="66"/>
        <v>0</v>
      </c>
      <c r="AO79" s="568">
        <f t="shared" si="66"/>
        <v>0</v>
      </c>
      <c r="AP79" s="568">
        <f t="shared" si="66"/>
        <v>0</v>
      </c>
      <c r="AQ79" s="568">
        <f t="shared" si="66"/>
        <v>0</v>
      </c>
      <c r="AR79" s="568">
        <f t="shared" si="66"/>
        <v>0</v>
      </c>
      <c r="AS79" s="568">
        <f t="shared" si="66"/>
        <v>0</v>
      </c>
      <c r="AT79" s="568">
        <f t="shared" si="66"/>
        <v>0</v>
      </c>
      <c r="AV79" s="700" t="str">
        <f t="shared" si="49"/>
        <v/>
      </c>
    </row>
    <row r="80" spans="1:64" x14ac:dyDescent="0.25">
      <c r="A80" s="22"/>
      <c r="B80" s="186" t="str">
        <f t="shared" si="63"/>
        <v>TCARGAS100</v>
      </c>
      <c r="C80" s="186"/>
      <c r="D80" s="187"/>
      <c r="E80" s="186"/>
      <c r="F80" s="170"/>
      <c r="G80" s="213"/>
      <c r="H80" s="170"/>
      <c r="I80" s="190">
        <f>AF$6</f>
        <v>2025</v>
      </c>
      <c r="J80" s="191"/>
      <c r="K80" s="191"/>
      <c r="L80" s="211" t="s">
        <v>1065</v>
      </c>
      <c r="M80" s="186" t="s">
        <v>748</v>
      </c>
      <c r="N80" s="687">
        <f t="shared" ref="N80:AB80" si="67">N78*LOOKUP($AD71,$AG$4:$AO$4,$AG$6:$AO$6)</f>
        <v>6166.9398202019993</v>
      </c>
      <c r="O80" s="687">
        <f t="shared" si="67"/>
        <v>0</v>
      </c>
      <c r="P80" s="687">
        <f t="shared" si="67"/>
        <v>0</v>
      </c>
      <c r="Q80" s="687">
        <f t="shared" si="67"/>
        <v>0</v>
      </c>
      <c r="R80" s="687">
        <f t="shared" si="67"/>
        <v>0</v>
      </c>
      <c r="S80" s="687">
        <f t="shared" si="67"/>
        <v>0</v>
      </c>
      <c r="T80" s="687">
        <f t="shared" si="67"/>
        <v>0</v>
      </c>
      <c r="U80" s="687">
        <f t="shared" si="67"/>
        <v>0</v>
      </c>
      <c r="V80" s="687">
        <f t="shared" si="67"/>
        <v>0</v>
      </c>
      <c r="W80" s="687">
        <f t="shared" si="67"/>
        <v>0</v>
      </c>
      <c r="X80" s="687">
        <f t="shared" si="67"/>
        <v>0</v>
      </c>
      <c r="Y80" s="687">
        <f t="shared" si="67"/>
        <v>0</v>
      </c>
      <c r="Z80" s="687">
        <f t="shared" si="67"/>
        <v>0</v>
      </c>
      <c r="AA80" s="687">
        <f t="shared" si="67"/>
        <v>0</v>
      </c>
      <c r="AB80" s="687">
        <f t="shared" si="67"/>
        <v>0</v>
      </c>
      <c r="AC80" s="926"/>
      <c r="AE80" s="568"/>
      <c r="AV80" s="700" t="str">
        <f t="shared" si="49"/>
        <v/>
      </c>
    </row>
    <row r="81" spans="1:64" x14ac:dyDescent="0.25">
      <c r="A81" s="22"/>
      <c r="B81" s="186" t="str">
        <f t="shared" si="63"/>
        <v>TCARGAS100</v>
      </c>
      <c r="C81" s="186"/>
      <c r="D81" s="187"/>
      <c r="E81" s="186"/>
      <c r="F81" s="170"/>
      <c r="G81" s="213"/>
      <c r="H81" s="170"/>
      <c r="I81" s="190">
        <f>AF$7</f>
        <v>2030</v>
      </c>
      <c r="J81" s="191"/>
      <c r="K81" s="191"/>
      <c r="L81" s="211" t="s">
        <v>1065</v>
      </c>
      <c r="M81" s="186" t="s">
        <v>748</v>
      </c>
      <c r="N81" s="687">
        <f t="shared" ref="N81:AB81" si="68">N78*LOOKUP($AD71,$AG$4:$AO$4,$AG$7:$AO$7)</f>
        <v>3523.9656115439998</v>
      </c>
      <c r="O81" s="687">
        <f t="shared" si="68"/>
        <v>0</v>
      </c>
      <c r="P81" s="687">
        <f t="shared" si="68"/>
        <v>0</v>
      </c>
      <c r="Q81" s="687">
        <f t="shared" si="68"/>
        <v>0</v>
      </c>
      <c r="R81" s="687">
        <f t="shared" si="68"/>
        <v>0</v>
      </c>
      <c r="S81" s="687">
        <f t="shared" si="68"/>
        <v>0</v>
      </c>
      <c r="T81" s="687">
        <f t="shared" si="68"/>
        <v>0</v>
      </c>
      <c r="U81" s="687">
        <f t="shared" si="68"/>
        <v>0</v>
      </c>
      <c r="V81" s="687">
        <f t="shared" si="68"/>
        <v>0</v>
      </c>
      <c r="W81" s="687">
        <f t="shared" si="68"/>
        <v>0</v>
      </c>
      <c r="X81" s="687">
        <f t="shared" si="68"/>
        <v>0</v>
      </c>
      <c r="Y81" s="687">
        <f t="shared" si="68"/>
        <v>0</v>
      </c>
      <c r="Z81" s="687">
        <f t="shared" si="68"/>
        <v>0</v>
      </c>
      <c r="AA81" s="687">
        <f t="shared" si="68"/>
        <v>0</v>
      </c>
      <c r="AB81" s="687">
        <f t="shared" si="68"/>
        <v>0</v>
      </c>
      <c r="AC81" s="926"/>
      <c r="AE81" s="568"/>
      <c r="AV81" s="700" t="str">
        <f t="shared" si="49"/>
        <v/>
      </c>
    </row>
    <row r="82" spans="1:64" x14ac:dyDescent="0.25">
      <c r="A82" s="22"/>
      <c r="B82" s="186" t="str">
        <f t="shared" si="63"/>
        <v>TCARGAS100</v>
      </c>
      <c r="C82" s="186"/>
      <c r="D82" s="187"/>
      <c r="E82" s="186"/>
      <c r="F82" s="170"/>
      <c r="G82" s="213"/>
      <c r="H82" s="170"/>
      <c r="I82" s="190">
        <f>AF$8</f>
        <v>2035</v>
      </c>
      <c r="J82" s="191"/>
      <c r="K82" s="191"/>
      <c r="L82" s="211" t="s">
        <v>1065</v>
      </c>
      <c r="M82" s="186" t="s">
        <v>748</v>
      </c>
      <c r="N82" s="687">
        <f t="shared" ref="N82:AB82" si="69">N78*LOOKUP($AD71,$AG$4:$AO$4,$AG$8:$AO$8)</f>
        <v>1321.4871043289997</v>
      </c>
      <c r="O82" s="687">
        <f t="shared" si="69"/>
        <v>0</v>
      </c>
      <c r="P82" s="687">
        <f t="shared" si="69"/>
        <v>0</v>
      </c>
      <c r="Q82" s="687">
        <f t="shared" si="69"/>
        <v>0</v>
      </c>
      <c r="R82" s="687">
        <f t="shared" si="69"/>
        <v>0</v>
      </c>
      <c r="S82" s="687">
        <f t="shared" si="69"/>
        <v>0</v>
      </c>
      <c r="T82" s="687">
        <f t="shared" si="69"/>
        <v>0</v>
      </c>
      <c r="U82" s="687">
        <f t="shared" si="69"/>
        <v>0</v>
      </c>
      <c r="V82" s="687">
        <f t="shared" si="69"/>
        <v>0</v>
      </c>
      <c r="W82" s="687">
        <f t="shared" si="69"/>
        <v>0</v>
      </c>
      <c r="X82" s="687">
        <f t="shared" si="69"/>
        <v>0</v>
      </c>
      <c r="Y82" s="687">
        <f t="shared" si="69"/>
        <v>0</v>
      </c>
      <c r="Z82" s="687">
        <f t="shared" si="69"/>
        <v>0</v>
      </c>
      <c r="AA82" s="687">
        <f t="shared" si="69"/>
        <v>0</v>
      </c>
      <c r="AB82" s="687">
        <f t="shared" si="69"/>
        <v>0</v>
      </c>
      <c r="AC82" s="926"/>
      <c r="AE82" s="568"/>
      <c r="AV82" s="700" t="str">
        <f t="shared" si="49"/>
        <v/>
      </c>
    </row>
    <row r="83" spans="1:64" x14ac:dyDescent="0.25">
      <c r="A83" s="22"/>
      <c r="B83" s="186" t="str">
        <f t="shared" si="63"/>
        <v>TCARGAS100</v>
      </c>
      <c r="C83" s="186"/>
      <c r="D83" s="187"/>
      <c r="E83" s="186"/>
      <c r="F83" s="170"/>
      <c r="G83" s="213"/>
      <c r="H83" s="170"/>
      <c r="I83" s="190">
        <f>AF$9</f>
        <v>2040</v>
      </c>
      <c r="J83" s="191"/>
      <c r="K83" s="191"/>
      <c r="L83" s="211" t="s">
        <v>1065</v>
      </c>
      <c r="M83" s="186" t="s">
        <v>748</v>
      </c>
      <c r="N83" s="687">
        <f t="shared" ref="N83:AB83" si="70">N78*LOOKUP($AD71,$AG$4:$AO$4,$AG$9:$AO$9)</f>
        <v>44.049570144299999</v>
      </c>
      <c r="O83" s="687">
        <f t="shared" si="70"/>
        <v>0</v>
      </c>
      <c r="P83" s="687">
        <f t="shared" si="70"/>
        <v>0</v>
      </c>
      <c r="Q83" s="687">
        <f t="shared" si="70"/>
        <v>0</v>
      </c>
      <c r="R83" s="687">
        <f t="shared" si="70"/>
        <v>0</v>
      </c>
      <c r="S83" s="687">
        <f t="shared" si="70"/>
        <v>0</v>
      </c>
      <c r="T83" s="687">
        <f t="shared" si="70"/>
        <v>0</v>
      </c>
      <c r="U83" s="687">
        <f t="shared" si="70"/>
        <v>0</v>
      </c>
      <c r="V83" s="687">
        <f t="shared" si="70"/>
        <v>0</v>
      </c>
      <c r="W83" s="687">
        <f t="shared" si="70"/>
        <v>0</v>
      </c>
      <c r="X83" s="687">
        <f t="shared" si="70"/>
        <v>0</v>
      </c>
      <c r="Y83" s="687">
        <f t="shared" si="70"/>
        <v>0</v>
      </c>
      <c r="Z83" s="687">
        <f t="shared" si="70"/>
        <v>0</v>
      </c>
      <c r="AA83" s="687">
        <f t="shared" si="70"/>
        <v>0</v>
      </c>
      <c r="AB83" s="687">
        <f t="shared" si="70"/>
        <v>0</v>
      </c>
      <c r="AC83" s="926"/>
      <c r="AE83" s="568"/>
      <c r="AV83" s="700" t="str">
        <f t="shared" si="49"/>
        <v/>
      </c>
    </row>
    <row r="84" spans="1:64" x14ac:dyDescent="0.25">
      <c r="A84" s="22"/>
      <c r="B84" s="193" t="str">
        <f t="shared" si="63"/>
        <v>TCARGAS100</v>
      </c>
      <c r="C84" s="193"/>
      <c r="D84" s="194"/>
      <c r="E84" s="193"/>
      <c r="F84" s="196"/>
      <c r="G84" s="215"/>
      <c r="H84" s="196"/>
      <c r="I84" s="197">
        <f>AF$10</f>
        <v>2050</v>
      </c>
      <c r="J84" s="198"/>
      <c r="K84" s="198"/>
      <c r="L84" s="212" t="s">
        <v>1065</v>
      </c>
      <c r="M84" s="193" t="s">
        <v>748</v>
      </c>
      <c r="N84" s="688">
        <f t="shared" ref="N84:AB84" si="71">N78*LOOKUP($AD71,$AG$4:$AO$4,$AG$10:$AO$10)</f>
        <v>0</v>
      </c>
      <c r="O84" s="688">
        <f t="shared" si="71"/>
        <v>0</v>
      </c>
      <c r="P84" s="688">
        <f t="shared" si="71"/>
        <v>0</v>
      </c>
      <c r="Q84" s="688">
        <f t="shared" si="71"/>
        <v>0</v>
      </c>
      <c r="R84" s="688">
        <f t="shared" si="71"/>
        <v>0</v>
      </c>
      <c r="S84" s="688">
        <f t="shared" si="71"/>
        <v>0</v>
      </c>
      <c r="T84" s="688">
        <f t="shared" si="71"/>
        <v>0</v>
      </c>
      <c r="U84" s="688">
        <f t="shared" si="71"/>
        <v>0</v>
      </c>
      <c r="V84" s="688">
        <f t="shared" si="71"/>
        <v>0</v>
      </c>
      <c r="W84" s="688">
        <f t="shared" si="71"/>
        <v>0</v>
      </c>
      <c r="X84" s="688">
        <f t="shared" si="71"/>
        <v>0</v>
      </c>
      <c r="Y84" s="688">
        <f t="shared" si="71"/>
        <v>0</v>
      </c>
      <c r="Z84" s="688">
        <f t="shared" si="71"/>
        <v>0</v>
      </c>
      <c r="AA84" s="688">
        <f t="shared" si="71"/>
        <v>0</v>
      </c>
      <c r="AB84" s="688">
        <f t="shared" si="71"/>
        <v>0</v>
      </c>
      <c r="AC84" s="926"/>
      <c r="AE84" s="568"/>
      <c r="AV84" s="700" t="str">
        <f t="shared" si="49"/>
        <v/>
      </c>
    </row>
    <row r="85" spans="1:64" x14ac:dyDescent="0.25">
      <c r="A85" s="22"/>
      <c r="B85" s="186" t="str">
        <f>C85</f>
        <v>TCARGSL100</v>
      </c>
      <c r="C85" s="186" t="s">
        <v>306</v>
      </c>
      <c r="D85" s="187" t="s">
        <v>786</v>
      </c>
      <c r="E85" s="258" t="s">
        <v>1014</v>
      </c>
      <c r="F85" s="170"/>
      <c r="G85" s="213"/>
      <c r="H85" s="170"/>
      <c r="I85" s="190"/>
      <c r="J85" s="191"/>
      <c r="K85" s="191"/>
      <c r="L85" s="211" t="s">
        <v>1107</v>
      </c>
      <c r="M85" s="191" t="s">
        <v>1156</v>
      </c>
      <c r="N85" s="366">
        <f>N$32</f>
        <v>1E-3</v>
      </c>
      <c r="O85" s="366">
        <f t="shared" ref="O85:AB85" si="72">$N85</f>
        <v>1E-3</v>
      </c>
      <c r="P85" s="366">
        <f t="shared" si="72"/>
        <v>1E-3</v>
      </c>
      <c r="Q85" s="366">
        <f t="shared" si="72"/>
        <v>1E-3</v>
      </c>
      <c r="R85" s="366">
        <f t="shared" si="72"/>
        <v>1E-3</v>
      </c>
      <c r="S85" s="366">
        <f t="shared" si="72"/>
        <v>1E-3</v>
      </c>
      <c r="T85" s="366">
        <f t="shared" si="72"/>
        <v>1E-3</v>
      </c>
      <c r="U85" s="366">
        <f t="shared" si="72"/>
        <v>1E-3</v>
      </c>
      <c r="V85" s="366">
        <f t="shared" si="72"/>
        <v>1E-3</v>
      </c>
      <c r="W85" s="366">
        <f t="shared" si="72"/>
        <v>1E-3</v>
      </c>
      <c r="X85" s="366">
        <f t="shared" si="72"/>
        <v>1E-3</v>
      </c>
      <c r="Y85" s="366">
        <f t="shared" si="72"/>
        <v>1E-3</v>
      </c>
      <c r="Z85" s="366">
        <f t="shared" si="72"/>
        <v>1E-3</v>
      </c>
      <c r="AA85" s="366">
        <f t="shared" si="72"/>
        <v>1E-3</v>
      </c>
      <c r="AB85" s="366">
        <f t="shared" si="72"/>
        <v>1E-3</v>
      </c>
      <c r="AC85" s="927"/>
      <c r="AD85" s="402" t="str">
        <f>MID(D85,5,3)</f>
        <v>GSL</v>
      </c>
      <c r="AE85" s="568"/>
      <c r="AV85" s="700" t="str">
        <f t="shared" si="49"/>
        <v>TRAGSL</v>
      </c>
      <c r="AW85" s="568">
        <f t="shared" ref="AW85:AW86" si="73">SUM(AX85:BL85)</f>
        <v>7568.3957217431471</v>
      </c>
      <c r="AX85" s="568">
        <f t="shared" ref="AX85:BL85" si="74">N$91*N$92*(1-N86)/N$89/1000</f>
        <v>7568.3957217431471</v>
      </c>
      <c r="AY85" s="568">
        <f t="shared" si="74"/>
        <v>0</v>
      </c>
      <c r="AZ85" s="568">
        <f t="shared" si="74"/>
        <v>0</v>
      </c>
      <c r="BA85" s="568">
        <f t="shared" si="74"/>
        <v>0</v>
      </c>
      <c r="BB85" s="568">
        <f t="shared" si="74"/>
        <v>0</v>
      </c>
      <c r="BC85" s="568">
        <f t="shared" si="74"/>
        <v>0</v>
      </c>
      <c r="BD85" s="568">
        <f t="shared" si="74"/>
        <v>0</v>
      </c>
      <c r="BE85" s="568">
        <f t="shared" si="74"/>
        <v>0</v>
      </c>
      <c r="BF85" s="568">
        <f t="shared" si="74"/>
        <v>0</v>
      </c>
      <c r="BG85" s="568">
        <f t="shared" si="74"/>
        <v>0</v>
      </c>
      <c r="BH85" s="568">
        <f t="shared" si="74"/>
        <v>0</v>
      </c>
      <c r="BI85" s="568">
        <f t="shared" si="74"/>
        <v>0</v>
      </c>
      <c r="BJ85" s="568">
        <f t="shared" si="74"/>
        <v>0</v>
      </c>
      <c r="BK85" s="568">
        <f t="shared" si="74"/>
        <v>0</v>
      </c>
      <c r="BL85" s="568">
        <f t="shared" si="74"/>
        <v>0</v>
      </c>
    </row>
    <row r="86" spans="1:64" x14ac:dyDescent="0.25">
      <c r="A86" s="22"/>
      <c r="B86" s="186" t="str">
        <f>B85</f>
        <v>TCARGSL100</v>
      </c>
      <c r="C86" s="186"/>
      <c r="D86" s="187"/>
      <c r="E86" s="258" t="s">
        <v>1012</v>
      </c>
      <c r="F86" s="170"/>
      <c r="G86" s="213"/>
      <c r="H86" s="170"/>
      <c r="I86" s="190"/>
      <c r="J86" s="191" t="s">
        <v>1127</v>
      </c>
      <c r="K86" s="191"/>
      <c r="L86" s="211" t="s">
        <v>101</v>
      </c>
      <c r="M86" s="186"/>
      <c r="N86" s="377">
        <f>N$19</f>
        <v>0.03</v>
      </c>
      <c r="O86" s="377">
        <f t="shared" ref="O86:AB86" si="75">O$19</f>
        <v>0.03</v>
      </c>
      <c r="P86" s="377">
        <f t="shared" si="75"/>
        <v>0.03</v>
      </c>
      <c r="Q86" s="377">
        <f t="shared" si="75"/>
        <v>0.03</v>
      </c>
      <c r="R86" s="377">
        <f t="shared" si="75"/>
        <v>0.03</v>
      </c>
      <c r="S86" s="377">
        <f t="shared" si="75"/>
        <v>0.03</v>
      </c>
      <c r="T86" s="377">
        <f t="shared" si="75"/>
        <v>0.03</v>
      </c>
      <c r="U86" s="377">
        <f t="shared" si="75"/>
        <v>0.03</v>
      </c>
      <c r="V86" s="377">
        <f t="shared" si="75"/>
        <v>0.03</v>
      </c>
      <c r="W86" s="377">
        <f t="shared" si="75"/>
        <v>0.03</v>
      </c>
      <c r="X86" s="377">
        <f t="shared" si="75"/>
        <v>0.03</v>
      </c>
      <c r="Y86" s="377">
        <f t="shared" si="75"/>
        <v>0.03</v>
      </c>
      <c r="Z86" s="377">
        <f t="shared" si="75"/>
        <v>0.03</v>
      </c>
      <c r="AA86" s="377">
        <f t="shared" si="75"/>
        <v>0.03</v>
      </c>
      <c r="AB86" s="377">
        <f t="shared" si="75"/>
        <v>0.03</v>
      </c>
      <c r="AC86" s="925"/>
      <c r="AD86" s="66" t="str">
        <f>IF(COUNTIF($AG$4:$AP$4,AD85)=1,"ok","MISSING")</f>
        <v>ok</v>
      </c>
      <c r="AE86" s="568"/>
      <c r="AV86" s="700" t="str">
        <f t="shared" si="49"/>
        <v>TRAETHM</v>
      </c>
      <c r="AW86" s="568">
        <f t="shared" si="73"/>
        <v>234.07409448690149</v>
      </c>
      <c r="AX86" s="568">
        <f t="shared" ref="AX86:BL87" si="76">N$91*N$92*N86/N$89/1000</f>
        <v>234.07409448690149</v>
      </c>
      <c r="AY86" s="568">
        <f t="shared" si="76"/>
        <v>0</v>
      </c>
      <c r="AZ86" s="568">
        <f t="shared" si="76"/>
        <v>0</v>
      </c>
      <c r="BA86" s="568">
        <f t="shared" si="76"/>
        <v>0</v>
      </c>
      <c r="BB86" s="568">
        <f t="shared" si="76"/>
        <v>0</v>
      </c>
      <c r="BC86" s="568">
        <f t="shared" si="76"/>
        <v>0</v>
      </c>
      <c r="BD86" s="568">
        <f t="shared" si="76"/>
        <v>0</v>
      </c>
      <c r="BE86" s="568">
        <f t="shared" si="76"/>
        <v>0</v>
      </c>
      <c r="BF86" s="568">
        <f t="shared" si="76"/>
        <v>0</v>
      </c>
      <c r="BG86" s="568">
        <f t="shared" si="76"/>
        <v>0</v>
      </c>
      <c r="BH86" s="568">
        <f t="shared" si="76"/>
        <v>0</v>
      </c>
      <c r="BI86" s="568">
        <f t="shared" si="76"/>
        <v>0</v>
      </c>
      <c r="BJ86" s="568">
        <f t="shared" si="76"/>
        <v>0</v>
      </c>
      <c r="BK86" s="568">
        <f t="shared" si="76"/>
        <v>0</v>
      </c>
      <c r="BL86" s="568">
        <f t="shared" si="76"/>
        <v>0</v>
      </c>
    </row>
    <row r="87" spans="1:64" x14ac:dyDescent="0.25">
      <c r="A87" s="22"/>
      <c r="B87" s="186" t="str">
        <f t="shared" ref="B87:B98" si="77">B86</f>
        <v>TCARGSL100</v>
      </c>
      <c r="C87" s="186"/>
      <c r="D87" s="187"/>
      <c r="E87" s="258" t="s">
        <v>996</v>
      </c>
      <c r="F87" s="170"/>
      <c r="G87" s="213"/>
      <c r="H87" s="170"/>
      <c r="I87" s="190"/>
      <c r="J87" s="191" t="s">
        <v>1157</v>
      </c>
      <c r="K87" s="191"/>
      <c r="L87" s="211" t="s">
        <v>101</v>
      </c>
      <c r="M87" s="186"/>
      <c r="N87" s="377">
        <f>N$20</f>
        <v>0</v>
      </c>
      <c r="O87" s="377">
        <f t="shared" ref="O87:AB87" si="78">O$20</f>
        <v>0</v>
      </c>
      <c r="P87" s="377">
        <f t="shared" si="78"/>
        <v>0</v>
      </c>
      <c r="Q87" s="377">
        <f t="shared" si="78"/>
        <v>0</v>
      </c>
      <c r="R87" s="377">
        <f t="shared" si="78"/>
        <v>0</v>
      </c>
      <c r="S87" s="377">
        <f t="shared" si="78"/>
        <v>0</v>
      </c>
      <c r="T87" s="377">
        <f t="shared" si="78"/>
        <v>0</v>
      </c>
      <c r="U87" s="377">
        <f t="shared" si="78"/>
        <v>0</v>
      </c>
      <c r="V87" s="377">
        <f t="shared" si="78"/>
        <v>0</v>
      </c>
      <c r="W87" s="377">
        <f t="shared" si="78"/>
        <v>0</v>
      </c>
      <c r="X87" s="377">
        <f t="shared" si="78"/>
        <v>0</v>
      </c>
      <c r="Y87" s="377">
        <f t="shared" si="78"/>
        <v>0</v>
      </c>
      <c r="Z87" s="377">
        <f t="shared" si="78"/>
        <v>0</v>
      </c>
      <c r="AA87" s="377">
        <f t="shared" si="78"/>
        <v>0</v>
      </c>
      <c r="AB87" s="377">
        <f t="shared" si="78"/>
        <v>0</v>
      </c>
      <c r="AC87" s="925"/>
      <c r="AD87" s="66"/>
      <c r="AE87" s="568"/>
      <c r="AV87" s="700" t="str">
        <f>MID(E87,1,8)</f>
        <v>TRABGSLM</v>
      </c>
      <c r="AW87" s="568">
        <f t="shared" ref="AW87" si="79">SUM(AX87:BL87)</f>
        <v>0</v>
      </c>
      <c r="AX87" s="568">
        <f t="shared" si="76"/>
        <v>0</v>
      </c>
      <c r="AY87" s="568">
        <f t="shared" si="76"/>
        <v>0</v>
      </c>
      <c r="AZ87" s="568">
        <f t="shared" si="76"/>
        <v>0</v>
      </c>
      <c r="BA87" s="568">
        <f t="shared" si="76"/>
        <v>0</v>
      </c>
      <c r="BB87" s="568">
        <f t="shared" si="76"/>
        <v>0</v>
      </c>
      <c r="BC87" s="568">
        <f t="shared" si="76"/>
        <v>0</v>
      </c>
      <c r="BD87" s="568">
        <f t="shared" si="76"/>
        <v>0</v>
      </c>
      <c r="BE87" s="568">
        <f t="shared" si="76"/>
        <v>0</v>
      </c>
      <c r="BF87" s="568">
        <f t="shared" si="76"/>
        <v>0</v>
      </c>
      <c r="BG87" s="568">
        <f t="shared" si="76"/>
        <v>0</v>
      </c>
      <c r="BH87" s="568">
        <f t="shared" si="76"/>
        <v>0</v>
      </c>
      <c r="BI87" s="568">
        <f t="shared" si="76"/>
        <v>0</v>
      </c>
      <c r="BJ87" s="568">
        <f t="shared" si="76"/>
        <v>0</v>
      </c>
      <c r="BK87" s="568">
        <f t="shared" si="76"/>
        <v>0</v>
      </c>
      <c r="BL87" s="568">
        <f t="shared" si="76"/>
        <v>0</v>
      </c>
    </row>
    <row r="88" spans="1:64" x14ac:dyDescent="0.25">
      <c r="A88" s="22"/>
      <c r="B88" s="186" t="str">
        <f t="shared" si="77"/>
        <v>TCARGSL100</v>
      </c>
      <c r="C88" s="186"/>
      <c r="D88" s="187"/>
      <c r="E88" s="186"/>
      <c r="F88" s="170"/>
      <c r="G88" s="214" t="s">
        <v>402</v>
      </c>
      <c r="H88" s="170"/>
      <c r="I88" s="190"/>
      <c r="J88" s="191"/>
      <c r="K88" s="191"/>
      <c r="L88" s="191" t="s">
        <v>1126</v>
      </c>
      <c r="M88" s="186" t="s">
        <v>678</v>
      </c>
      <c r="N88" s="674">
        <f>T_CEFF!H42</f>
        <v>0.37208999999999998</v>
      </c>
      <c r="O88" s="674">
        <f>T_CEFF!I42</f>
        <v>0.37208999999999998</v>
      </c>
      <c r="P88" s="674">
        <f>T_CEFF!J42</f>
        <v>0.37208999999999998</v>
      </c>
      <c r="Q88" s="674">
        <f>T_CEFF!K42</f>
        <v>0.37208999999999998</v>
      </c>
      <c r="R88" s="674">
        <f>T_CEFF!L42</f>
        <v>0.37208999999999998</v>
      </c>
      <c r="S88" s="674">
        <f>T_CEFF!M42</f>
        <v>0.37208999999999998</v>
      </c>
      <c r="T88" s="674">
        <f>T_CEFF!N42</f>
        <v>0.37208999999999998</v>
      </c>
      <c r="U88" s="674">
        <f>T_CEFF!O42</f>
        <v>0.37208999999999998</v>
      </c>
      <c r="V88" s="674">
        <f>T_CEFF!P42</f>
        <v>0.37208999999999998</v>
      </c>
      <c r="W88" s="674">
        <f>T_CEFF!Q42</f>
        <v>0.37208999999999998</v>
      </c>
      <c r="X88" s="674">
        <f>T_CEFF!R42</f>
        <v>0.37208999999999998</v>
      </c>
      <c r="Y88" s="674">
        <f>T_CEFF!S42</f>
        <v>0.37208999999999998</v>
      </c>
      <c r="Z88" s="674">
        <f>T_CEFF!T42</f>
        <v>0.37208999999999998</v>
      </c>
      <c r="AA88" s="674">
        <f>T_CEFF!U42</f>
        <v>0.37208999999999998</v>
      </c>
      <c r="AB88" s="674">
        <f>T_CEFF!V42</f>
        <v>0.37208999999999998</v>
      </c>
      <c r="AC88" s="929"/>
      <c r="AE88" s="568"/>
      <c r="AV88" s="700" t="str">
        <f t="shared" ref="AV88:AV114" si="80">MID(E88,1,7)</f>
        <v/>
      </c>
    </row>
    <row r="89" spans="1:64" x14ac:dyDescent="0.25">
      <c r="A89" s="22"/>
      <c r="B89" s="186" t="str">
        <f t="shared" si="77"/>
        <v>TCARGSL100</v>
      </c>
      <c r="C89" s="186"/>
      <c r="D89" s="187"/>
      <c r="E89" s="186"/>
      <c r="F89" s="170"/>
      <c r="G89" s="214" t="s">
        <v>404</v>
      </c>
      <c r="H89" s="170"/>
      <c r="I89" s="190"/>
      <c r="J89" s="191"/>
      <c r="K89" s="191"/>
      <c r="L89" s="191" t="s">
        <v>1126</v>
      </c>
      <c r="M89" s="186" t="s">
        <v>678</v>
      </c>
      <c r="N89" s="674">
        <f>T_CEFF!H43</f>
        <v>0.30188999999999999</v>
      </c>
      <c r="O89" s="674">
        <f>T_CEFF!I43</f>
        <v>0.30188999999999999</v>
      </c>
      <c r="P89" s="674">
        <f>T_CEFF!J43</f>
        <v>0.30188999999999999</v>
      </c>
      <c r="Q89" s="674">
        <f>T_CEFF!K43</f>
        <v>0.30188999999999999</v>
      </c>
      <c r="R89" s="674">
        <f>T_CEFF!L43</f>
        <v>0.30188999999999999</v>
      </c>
      <c r="S89" s="674">
        <f>T_CEFF!M43</f>
        <v>0.30188999999999999</v>
      </c>
      <c r="T89" s="674">
        <f>T_CEFF!N43</f>
        <v>0.30188999999999999</v>
      </c>
      <c r="U89" s="674">
        <f>T_CEFF!O43</f>
        <v>0.30188999999999999</v>
      </c>
      <c r="V89" s="674">
        <f>T_CEFF!P43</f>
        <v>0.30188999999999999</v>
      </c>
      <c r="W89" s="674">
        <f>T_CEFF!Q43</f>
        <v>0.30188999999999999</v>
      </c>
      <c r="X89" s="674">
        <f>T_CEFF!R43</f>
        <v>0.30188999999999999</v>
      </c>
      <c r="Y89" s="674">
        <f>T_CEFF!S43</f>
        <v>0.30188999999999999</v>
      </c>
      <c r="Z89" s="674">
        <f>T_CEFF!T43</f>
        <v>0.30188999999999999</v>
      </c>
      <c r="AA89" s="674">
        <f>T_CEFF!U43</f>
        <v>0.30188999999999999</v>
      </c>
      <c r="AB89" s="674">
        <f>T_CEFF!V43</f>
        <v>0.30188999999999999</v>
      </c>
      <c r="AC89" s="929"/>
      <c r="AE89" s="568"/>
      <c r="AV89" s="700" t="str">
        <f t="shared" si="80"/>
        <v/>
      </c>
    </row>
    <row r="90" spans="1:64" x14ac:dyDescent="0.25">
      <c r="A90" s="22"/>
      <c r="B90" s="186" t="str">
        <f t="shared" si="77"/>
        <v>TCARGSL100</v>
      </c>
      <c r="C90" s="186"/>
      <c r="D90" s="187"/>
      <c r="E90" s="186"/>
      <c r="F90" s="170"/>
      <c r="G90" s="213"/>
      <c r="H90" s="170"/>
      <c r="I90" s="190"/>
      <c r="J90" s="191"/>
      <c r="K90" s="191" t="s">
        <v>749</v>
      </c>
      <c r="L90" s="191" t="s">
        <v>1128</v>
      </c>
      <c r="M90" s="186" t="s">
        <v>1159</v>
      </c>
      <c r="N90" s="368">
        <f>N$14</f>
        <v>1.2</v>
      </c>
      <c r="O90" s="368">
        <f t="shared" ref="O90:AB90" si="81">O$14</f>
        <v>0</v>
      </c>
      <c r="P90" s="368">
        <f t="shared" si="81"/>
        <v>0</v>
      </c>
      <c r="Q90" s="368">
        <f t="shared" si="81"/>
        <v>0</v>
      </c>
      <c r="R90" s="368">
        <f t="shared" si="81"/>
        <v>0</v>
      </c>
      <c r="S90" s="368">
        <f t="shared" si="81"/>
        <v>0</v>
      </c>
      <c r="T90" s="368">
        <f t="shared" si="81"/>
        <v>0</v>
      </c>
      <c r="U90" s="368">
        <f t="shared" si="81"/>
        <v>0</v>
      </c>
      <c r="V90" s="368">
        <f t="shared" si="81"/>
        <v>0</v>
      </c>
      <c r="W90" s="368">
        <f t="shared" si="81"/>
        <v>0</v>
      </c>
      <c r="X90" s="368">
        <f t="shared" si="81"/>
        <v>0</v>
      </c>
      <c r="Y90" s="368">
        <f t="shared" si="81"/>
        <v>0</v>
      </c>
      <c r="Z90" s="368">
        <f t="shared" si="81"/>
        <v>0</v>
      </c>
      <c r="AA90" s="368">
        <f t="shared" si="81"/>
        <v>0</v>
      </c>
      <c r="AB90" s="368">
        <f t="shared" si="81"/>
        <v>0</v>
      </c>
      <c r="AC90" s="920"/>
      <c r="AE90" s="568"/>
      <c r="AV90" s="700" t="str">
        <f t="shared" si="80"/>
        <v/>
      </c>
    </row>
    <row r="91" spans="1:64" x14ac:dyDescent="0.25">
      <c r="A91" s="22"/>
      <c r="B91" s="186" t="str">
        <f t="shared" si="77"/>
        <v>TCARGSL100</v>
      </c>
      <c r="C91" s="186"/>
      <c r="D91" s="187"/>
      <c r="E91" s="186"/>
      <c r="F91" s="170"/>
      <c r="G91" s="213"/>
      <c r="H91" s="170"/>
      <c r="I91" s="190"/>
      <c r="J91" s="191"/>
      <c r="K91" s="191"/>
      <c r="L91" s="211" t="s">
        <v>1130</v>
      </c>
      <c r="M91" s="186" t="s">
        <v>1131</v>
      </c>
      <c r="N91" s="376">
        <f>LOOKUP($C$85, T_NCAP_AF!$C$5:$C$15, T_NCAP_AF!D$5:D$15)*(1+N26)</f>
        <v>7.9019999999999992</v>
      </c>
      <c r="O91" s="376">
        <f>LOOKUP($C$85, T_NCAP_AF!$C$5:$C$15, T_NCAP_AF!E$5:E$15)*(1+O26)</f>
        <v>0</v>
      </c>
      <c r="P91" s="376">
        <f>LOOKUP($C$85, T_NCAP_AF!$C$5:$C$15, T_NCAP_AF!F$5:F$15)*(1+P26)</f>
        <v>0</v>
      </c>
      <c r="Q91" s="376">
        <f>LOOKUP($C$85, T_NCAP_AF!$C$5:$C$15, T_NCAP_AF!G$5:G$15)*(1+Q26)</f>
        <v>0</v>
      </c>
      <c r="R91" s="376">
        <f>LOOKUP($C$85, T_NCAP_AF!$C$5:$C$15, T_NCAP_AF!H$5:H$15)*(1+R26)</f>
        <v>0</v>
      </c>
      <c r="S91" s="376">
        <f>LOOKUP($C$85, T_NCAP_AF!$C$5:$C$15, T_NCAP_AF!I$5:I$15)*(1+S26)</f>
        <v>0</v>
      </c>
      <c r="T91" s="376">
        <f>LOOKUP($C$85, T_NCAP_AF!$C$5:$C$15, T_NCAP_AF!J$5:J$15)*(1+T26)</f>
        <v>0</v>
      </c>
      <c r="U91" s="376">
        <f>LOOKUP($C$85, T_NCAP_AF!$C$5:$C$15, T_NCAP_AF!K$5:K$15)*(1+U26)</f>
        <v>0</v>
      </c>
      <c r="V91" s="376">
        <f>LOOKUP($C$85, T_NCAP_AF!$C$5:$C$15, T_NCAP_AF!L$5:L$15)*(1+V26)</f>
        <v>0</v>
      </c>
      <c r="W91" s="376">
        <f>LOOKUP($C$85, T_NCAP_AF!$C$5:$C$15, T_NCAP_AF!M$5:M$15)*(1+W26)</f>
        <v>0</v>
      </c>
      <c r="X91" s="376">
        <f>LOOKUP($C$85, T_NCAP_AF!$C$5:$C$15, T_NCAP_AF!N$5:N$15)*(1+X26)</f>
        <v>0</v>
      </c>
      <c r="Y91" s="376">
        <f>LOOKUP($C$85, T_NCAP_AF!$C$5:$C$15, T_NCAP_AF!O$5:O$15)*(1+Y26)</f>
        <v>0</v>
      </c>
      <c r="Z91" s="376">
        <f>LOOKUP($C$85, T_NCAP_AF!$C$5:$C$15, T_NCAP_AF!P$5:P$15)*(1+Z26)</f>
        <v>0</v>
      </c>
      <c r="AA91" s="376">
        <f>LOOKUP($C$85, T_NCAP_AF!$C$5:$C$15, T_NCAP_AF!Q$5:Q$15)*(1+AA26)</f>
        <v>0</v>
      </c>
      <c r="AB91" s="376">
        <f>LOOKUP($C$85, T_NCAP_AF!$C$5:$C$15, T_NCAP_AF!R$5:R$15)*(1+AB26)</f>
        <v>0</v>
      </c>
      <c r="AC91" s="132"/>
      <c r="AE91" s="568"/>
      <c r="AV91" s="700" t="str">
        <f t="shared" si="80"/>
        <v/>
      </c>
    </row>
    <row r="92" spans="1:64" x14ac:dyDescent="0.25">
      <c r="A92" s="22"/>
      <c r="B92" s="186" t="str">
        <f t="shared" si="77"/>
        <v>TCARGSL100</v>
      </c>
      <c r="C92" s="186"/>
      <c r="D92" s="187"/>
      <c r="E92" s="186"/>
      <c r="F92" s="170"/>
      <c r="G92" s="213"/>
      <c r="H92" s="170"/>
      <c r="I92" s="190">
        <f>$M$3</f>
        <v>2019</v>
      </c>
      <c r="J92" s="191"/>
      <c r="K92" s="191"/>
      <c r="L92" s="211" t="s">
        <v>1065</v>
      </c>
      <c r="M92" s="186" t="s">
        <v>748</v>
      </c>
      <c r="N92" s="687">
        <f>LOOKUP($C$85, T_Stock_Private!$C$10:$C$20, T_Stock_Private!D$10:D$20)*(1+N27)</f>
        <v>298087.52376888</v>
      </c>
      <c r="O92" s="687">
        <f>LOOKUP($C$85, T_Stock_Private!$C$10:$C$20, T_Stock_Private!E$10:E$20)*(1+O27)</f>
        <v>0</v>
      </c>
      <c r="P92" s="687">
        <f>LOOKUP($C$85, T_Stock_Private!$C$10:$C$20, T_Stock_Private!F$10:F$20)*(1+P27)</f>
        <v>0</v>
      </c>
      <c r="Q92" s="687">
        <f>LOOKUP($C$85, T_Stock_Private!$C$10:$C$20, T_Stock_Private!G$10:G$20)*(1+Q27)</f>
        <v>0</v>
      </c>
      <c r="R92" s="687">
        <f>LOOKUP($C$85, T_Stock_Private!$C$10:$C$20, T_Stock_Private!H$10:H$20)*(1+R27)</f>
        <v>0</v>
      </c>
      <c r="S92" s="687">
        <f>LOOKUP($C$85, T_Stock_Private!$C$10:$C$20, T_Stock_Private!I$10:I$20)*(1+S27)</f>
        <v>0</v>
      </c>
      <c r="T92" s="687">
        <f>LOOKUP($C$85, T_Stock_Private!$C$10:$C$20, T_Stock_Private!J$10:J$20)*(1+T27)</f>
        <v>0</v>
      </c>
      <c r="U92" s="687">
        <f>LOOKUP($C$85, T_Stock_Private!$C$10:$C$20, T_Stock_Private!K$10:K$20)*(1+U27)</f>
        <v>0</v>
      </c>
      <c r="V92" s="687">
        <f>LOOKUP($C$85, T_Stock_Private!$C$10:$C$20, T_Stock_Private!L$10:L$20)*(1+V27)</f>
        <v>0</v>
      </c>
      <c r="W92" s="687">
        <f>LOOKUP($C$85, T_Stock_Private!$C$10:$C$20, T_Stock_Private!M$10:M$20)*(1+W27)</f>
        <v>0</v>
      </c>
      <c r="X92" s="687">
        <f>LOOKUP($C$85, T_Stock_Private!$C$10:$C$20, T_Stock_Private!N$10:N$20)*(1+X27)</f>
        <v>0</v>
      </c>
      <c r="Y92" s="687">
        <f>LOOKUP($C$85, T_Stock_Private!$C$10:$C$20, T_Stock_Private!O$10:O$20)*(1+Y27)</f>
        <v>0</v>
      </c>
      <c r="Z92" s="687">
        <f>LOOKUP($C$85, T_Stock_Private!$C$10:$C$20, T_Stock_Private!P$10:P$20)*(1+Z27)</f>
        <v>0</v>
      </c>
      <c r="AA92" s="687">
        <f>LOOKUP($C$85, T_Stock_Private!$C$10:$C$20, T_Stock_Private!Q$10:Q$20)*(1+AA27)</f>
        <v>0</v>
      </c>
      <c r="AB92" s="687">
        <f>LOOKUP($C$85, T_Stock_Private!$C$10:$C$20, T_Stock_Private!R$10:R$20)*(1+AB27)</f>
        <v>0</v>
      </c>
      <c r="AC92" s="926"/>
      <c r="AE92" s="568"/>
      <c r="AV92" s="700" t="str">
        <f t="shared" si="80"/>
        <v/>
      </c>
    </row>
    <row r="93" spans="1:64" x14ac:dyDescent="0.25">
      <c r="A93" s="22"/>
      <c r="B93" s="186" t="str">
        <f t="shared" si="77"/>
        <v>TCARGSL100</v>
      </c>
      <c r="C93" s="186"/>
      <c r="D93" s="187"/>
      <c r="E93" s="186"/>
      <c r="F93" s="170"/>
      <c r="G93" s="213"/>
      <c r="H93" s="170"/>
      <c r="I93" s="190">
        <f>AF$5</f>
        <v>2020</v>
      </c>
      <c r="J93" s="191"/>
      <c r="K93" s="191"/>
      <c r="L93" s="211" t="s">
        <v>1065</v>
      </c>
      <c r="M93" s="186" t="s">
        <v>748</v>
      </c>
      <c r="N93" s="687">
        <f t="shared" ref="N93:AB93" si="82">N92*LOOKUP($AD85,$AG$4:$AO$4,$AG$5:$AO$5)</f>
        <v>283183.14758043597</v>
      </c>
      <c r="O93" s="687">
        <f t="shared" si="82"/>
        <v>0</v>
      </c>
      <c r="P93" s="687">
        <f t="shared" si="82"/>
        <v>0</v>
      </c>
      <c r="Q93" s="687">
        <f t="shared" si="82"/>
        <v>0</v>
      </c>
      <c r="R93" s="687">
        <f t="shared" si="82"/>
        <v>0</v>
      </c>
      <c r="S93" s="687">
        <f t="shared" si="82"/>
        <v>0</v>
      </c>
      <c r="T93" s="687">
        <f t="shared" si="82"/>
        <v>0</v>
      </c>
      <c r="U93" s="687">
        <f t="shared" si="82"/>
        <v>0</v>
      </c>
      <c r="V93" s="687">
        <f t="shared" si="82"/>
        <v>0</v>
      </c>
      <c r="W93" s="687">
        <f t="shared" si="82"/>
        <v>0</v>
      </c>
      <c r="X93" s="687">
        <f t="shared" si="82"/>
        <v>0</v>
      </c>
      <c r="Y93" s="687">
        <f t="shared" si="82"/>
        <v>0</v>
      </c>
      <c r="Z93" s="687">
        <f t="shared" si="82"/>
        <v>0</v>
      </c>
      <c r="AA93" s="687">
        <f t="shared" si="82"/>
        <v>0</v>
      </c>
      <c r="AB93" s="687">
        <f t="shared" si="82"/>
        <v>0</v>
      </c>
      <c r="AC93" s="926"/>
      <c r="AE93" s="569">
        <f>SUM(AF93:AT93)</f>
        <v>2826.5851353860276</v>
      </c>
      <c r="AF93" s="568">
        <f t="shared" ref="AF93:AT93" si="83">N90*N91*N92/1000</f>
        <v>2826.5851353860276</v>
      </c>
      <c r="AG93" s="568">
        <f t="shared" si="83"/>
        <v>0</v>
      </c>
      <c r="AH93" s="568">
        <f t="shared" si="83"/>
        <v>0</v>
      </c>
      <c r="AI93" s="568">
        <f t="shared" si="83"/>
        <v>0</v>
      </c>
      <c r="AJ93" s="568">
        <f t="shared" si="83"/>
        <v>0</v>
      </c>
      <c r="AK93" s="568">
        <f t="shared" si="83"/>
        <v>0</v>
      </c>
      <c r="AL93" s="568">
        <f t="shared" si="83"/>
        <v>0</v>
      </c>
      <c r="AM93" s="568">
        <f t="shared" si="83"/>
        <v>0</v>
      </c>
      <c r="AN93" s="568">
        <f t="shared" si="83"/>
        <v>0</v>
      </c>
      <c r="AO93" s="568">
        <f t="shared" si="83"/>
        <v>0</v>
      </c>
      <c r="AP93" s="568">
        <f t="shared" si="83"/>
        <v>0</v>
      </c>
      <c r="AQ93" s="568">
        <f t="shared" si="83"/>
        <v>0</v>
      </c>
      <c r="AR93" s="568">
        <f t="shared" si="83"/>
        <v>0</v>
      </c>
      <c r="AS93" s="568">
        <f t="shared" si="83"/>
        <v>0</v>
      </c>
      <c r="AT93" s="568">
        <f t="shared" si="83"/>
        <v>0</v>
      </c>
      <c r="AV93" s="700" t="str">
        <f t="shared" si="80"/>
        <v/>
      </c>
    </row>
    <row r="94" spans="1:64" x14ac:dyDescent="0.25">
      <c r="A94" s="22"/>
      <c r="B94" s="186" t="str">
        <f t="shared" si="77"/>
        <v>TCARGSL100</v>
      </c>
      <c r="C94" s="186"/>
      <c r="D94" s="187"/>
      <c r="E94" s="186"/>
      <c r="F94" s="170"/>
      <c r="G94" s="213"/>
      <c r="H94" s="170"/>
      <c r="I94" s="190">
        <f>AF$6</f>
        <v>2025</v>
      </c>
      <c r="J94" s="191"/>
      <c r="K94" s="191"/>
      <c r="L94" s="211" t="s">
        <v>1065</v>
      </c>
      <c r="M94" s="186" t="s">
        <v>748</v>
      </c>
      <c r="N94" s="687">
        <f t="shared" ref="N94:AB94" si="84">N92*LOOKUP($AD85,$AG$4:$AO$4,$AG$6:$AO$6)</f>
        <v>208661.26663821598</v>
      </c>
      <c r="O94" s="687">
        <f t="shared" si="84"/>
        <v>0</v>
      </c>
      <c r="P94" s="687">
        <f t="shared" si="84"/>
        <v>0</v>
      </c>
      <c r="Q94" s="687">
        <f t="shared" si="84"/>
        <v>0</v>
      </c>
      <c r="R94" s="687">
        <f t="shared" si="84"/>
        <v>0</v>
      </c>
      <c r="S94" s="687">
        <f t="shared" si="84"/>
        <v>0</v>
      </c>
      <c r="T94" s="687">
        <f t="shared" si="84"/>
        <v>0</v>
      </c>
      <c r="U94" s="687">
        <f t="shared" si="84"/>
        <v>0</v>
      </c>
      <c r="V94" s="687">
        <f t="shared" si="84"/>
        <v>0</v>
      </c>
      <c r="W94" s="687">
        <f t="shared" si="84"/>
        <v>0</v>
      </c>
      <c r="X94" s="687">
        <f t="shared" si="84"/>
        <v>0</v>
      </c>
      <c r="Y94" s="687">
        <f t="shared" si="84"/>
        <v>0</v>
      </c>
      <c r="Z94" s="687">
        <f t="shared" si="84"/>
        <v>0</v>
      </c>
      <c r="AA94" s="687">
        <f t="shared" si="84"/>
        <v>0</v>
      </c>
      <c r="AB94" s="687">
        <f t="shared" si="84"/>
        <v>0</v>
      </c>
      <c r="AC94" s="926"/>
      <c r="AE94" s="568"/>
      <c r="AV94" s="700" t="str">
        <f t="shared" si="80"/>
        <v/>
      </c>
    </row>
    <row r="95" spans="1:64" x14ac:dyDescent="0.25">
      <c r="A95" s="22"/>
      <c r="B95" s="186" t="str">
        <f t="shared" si="77"/>
        <v>TCARGSL100</v>
      </c>
      <c r="C95" s="186"/>
      <c r="D95" s="187"/>
      <c r="E95" s="186"/>
      <c r="F95" s="170"/>
      <c r="G95" s="213"/>
      <c r="H95" s="170"/>
      <c r="I95" s="190">
        <f>AF$7</f>
        <v>2030</v>
      </c>
      <c r="J95" s="191"/>
      <c r="K95" s="191"/>
      <c r="L95" s="211" t="s">
        <v>1065</v>
      </c>
      <c r="M95" s="186" t="s">
        <v>748</v>
      </c>
      <c r="N95" s="687">
        <f t="shared" ref="N95:AB95" si="85">N92*LOOKUP($AD85,$AG$4:$AO$4,$AG$7:$AO$7)</f>
        <v>119235.00950755201</v>
      </c>
      <c r="O95" s="687">
        <f t="shared" si="85"/>
        <v>0</v>
      </c>
      <c r="P95" s="687">
        <f t="shared" si="85"/>
        <v>0</v>
      </c>
      <c r="Q95" s="687">
        <f t="shared" si="85"/>
        <v>0</v>
      </c>
      <c r="R95" s="687">
        <f t="shared" si="85"/>
        <v>0</v>
      </c>
      <c r="S95" s="687">
        <f t="shared" si="85"/>
        <v>0</v>
      </c>
      <c r="T95" s="687">
        <f t="shared" si="85"/>
        <v>0</v>
      </c>
      <c r="U95" s="687">
        <f t="shared" si="85"/>
        <v>0</v>
      </c>
      <c r="V95" s="687">
        <f t="shared" si="85"/>
        <v>0</v>
      </c>
      <c r="W95" s="687">
        <f t="shared" si="85"/>
        <v>0</v>
      </c>
      <c r="X95" s="687">
        <f t="shared" si="85"/>
        <v>0</v>
      </c>
      <c r="Y95" s="687">
        <f t="shared" si="85"/>
        <v>0</v>
      </c>
      <c r="Z95" s="687">
        <f t="shared" si="85"/>
        <v>0</v>
      </c>
      <c r="AA95" s="687">
        <f t="shared" si="85"/>
        <v>0</v>
      </c>
      <c r="AB95" s="687">
        <f t="shared" si="85"/>
        <v>0</v>
      </c>
      <c r="AC95" s="926"/>
      <c r="AE95" s="568"/>
      <c r="AV95" s="700" t="str">
        <f t="shared" si="80"/>
        <v/>
      </c>
    </row>
    <row r="96" spans="1:64" x14ac:dyDescent="0.25">
      <c r="A96" s="22"/>
      <c r="B96" s="186" t="str">
        <f t="shared" si="77"/>
        <v>TCARGSL100</v>
      </c>
      <c r="C96" s="186"/>
      <c r="D96" s="187"/>
      <c r="E96" s="186"/>
      <c r="F96" s="170"/>
      <c r="G96" s="213"/>
      <c r="H96" s="170"/>
      <c r="I96" s="190">
        <f>AF$8</f>
        <v>2035</v>
      </c>
      <c r="J96" s="191"/>
      <c r="K96" s="191"/>
      <c r="L96" s="211" t="s">
        <v>1065</v>
      </c>
      <c r="M96" s="186" t="s">
        <v>748</v>
      </c>
      <c r="N96" s="687">
        <f t="shared" ref="N96:AB96" si="86">N92*LOOKUP($AD85,$AG$4:$AO$4,$AG$8:$AO$8)</f>
        <v>44713.128565332001</v>
      </c>
      <c r="O96" s="687">
        <f t="shared" si="86"/>
        <v>0</v>
      </c>
      <c r="P96" s="687">
        <f t="shared" si="86"/>
        <v>0</v>
      </c>
      <c r="Q96" s="687">
        <f t="shared" si="86"/>
        <v>0</v>
      </c>
      <c r="R96" s="687">
        <f t="shared" si="86"/>
        <v>0</v>
      </c>
      <c r="S96" s="687">
        <f t="shared" si="86"/>
        <v>0</v>
      </c>
      <c r="T96" s="687">
        <f t="shared" si="86"/>
        <v>0</v>
      </c>
      <c r="U96" s="687">
        <f t="shared" si="86"/>
        <v>0</v>
      </c>
      <c r="V96" s="687">
        <f t="shared" si="86"/>
        <v>0</v>
      </c>
      <c r="W96" s="687">
        <f t="shared" si="86"/>
        <v>0</v>
      </c>
      <c r="X96" s="687">
        <f t="shared" si="86"/>
        <v>0</v>
      </c>
      <c r="Y96" s="687">
        <f t="shared" si="86"/>
        <v>0</v>
      </c>
      <c r="Z96" s="687">
        <f t="shared" si="86"/>
        <v>0</v>
      </c>
      <c r="AA96" s="687">
        <f t="shared" si="86"/>
        <v>0</v>
      </c>
      <c r="AB96" s="687">
        <f t="shared" si="86"/>
        <v>0</v>
      </c>
      <c r="AC96" s="926"/>
      <c r="AE96" s="568"/>
      <c r="AV96" s="700" t="str">
        <f t="shared" si="80"/>
        <v/>
      </c>
    </row>
    <row r="97" spans="1:64" x14ac:dyDescent="0.25">
      <c r="A97" s="22"/>
      <c r="B97" s="186" t="str">
        <f t="shared" si="77"/>
        <v>TCARGSL100</v>
      </c>
      <c r="C97" s="186"/>
      <c r="D97" s="187"/>
      <c r="E97" s="186"/>
      <c r="F97" s="170"/>
      <c r="G97" s="213"/>
      <c r="H97" s="170"/>
      <c r="I97" s="190">
        <f>AF$9</f>
        <v>2040</v>
      </c>
      <c r="J97" s="191"/>
      <c r="K97" s="191"/>
      <c r="L97" s="211" t="s">
        <v>1065</v>
      </c>
      <c r="M97" s="186" t="s">
        <v>748</v>
      </c>
      <c r="N97" s="687">
        <f t="shared" ref="N97:AB97" si="87">N92*LOOKUP($AD85,$AG$4:$AO$4,$AG$9:$AO$9)</f>
        <v>1490.4376188444</v>
      </c>
      <c r="O97" s="687">
        <f t="shared" si="87"/>
        <v>0</v>
      </c>
      <c r="P97" s="687">
        <f t="shared" si="87"/>
        <v>0</v>
      </c>
      <c r="Q97" s="687">
        <f t="shared" si="87"/>
        <v>0</v>
      </c>
      <c r="R97" s="687">
        <f t="shared" si="87"/>
        <v>0</v>
      </c>
      <c r="S97" s="687">
        <f t="shared" si="87"/>
        <v>0</v>
      </c>
      <c r="T97" s="687">
        <f t="shared" si="87"/>
        <v>0</v>
      </c>
      <c r="U97" s="687">
        <f t="shared" si="87"/>
        <v>0</v>
      </c>
      <c r="V97" s="687">
        <f t="shared" si="87"/>
        <v>0</v>
      </c>
      <c r="W97" s="687">
        <f t="shared" si="87"/>
        <v>0</v>
      </c>
      <c r="X97" s="687">
        <f t="shared" si="87"/>
        <v>0</v>
      </c>
      <c r="Y97" s="687">
        <f t="shared" si="87"/>
        <v>0</v>
      </c>
      <c r="Z97" s="687">
        <f t="shared" si="87"/>
        <v>0</v>
      </c>
      <c r="AA97" s="687">
        <f t="shared" si="87"/>
        <v>0</v>
      </c>
      <c r="AB97" s="687">
        <f t="shared" si="87"/>
        <v>0</v>
      </c>
      <c r="AC97" s="926"/>
      <c r="AE97" s="568"/>
      <c r="AV97" s="700" t="str">
        <f t="shared" si="80"/>
        <v/>
      </c>
    </row>
    <row r="98" spans="1:64" x14ac:dyDescent="0.25">
      <c r="A98" s="22"/>
      <c r="B98" s="193" t="str">
        <f t="shared" si="77"/>
        <v>TCARGSL100</v>
      </c>
      <c r="C98" s="193"/>
      <c r="D98" s="194"/>
      <c r="E98" s="193"/>
      <c r="F98" s="196"/>
      <c r="G98" s="215"/>
      <c r="H98" s="196"/>
      <c r="I98" s="197">
        <f>AF$10</f>
        <v>2050</v>
      </c>
      <c r="J98" s="198"/>
      <c r="K98" s="198"/>
      <c r="L98" s="212" t="s">
        <v>1065</v>
      </c>
      <c r="M98" s="193" t="s">
        <v>748</v>
      </c>
      <c r="N98" s="688">
        <f t="shared" ref="N98:AB98" si="88">N92*LOOKUP($AD85,$AG$4:$AO$4,$AG$10:$AO$10)</f>
        <v>0</v>
      </c>
      <c r="O98" s="688">
        <f t="shared" si="88"/>
        <v>0</v>
      </c>
      <c r="P98" s="688">
        <f t="shared" si="88"/>
        <v>0</v>
      </c>
      <c r="Q98" s="688">
        <f t="shared" si="88"/>
        <v>0</v>
      </c>
      <c r="R98" s="688">
        <f t="shared" si="88"/>
        <v>0</v>
      </c>
      <c r="S98" s="688">
        <f t="shared" si="88"/>
        <v>0</v>
      </c>
      <c r="T98" s="688">
        <f t="shared" si="88"/>
        <v>0</v>
      </c>
      <c r="U98" s="688">
        <f t="shared" si="88"/>
        <v>0</v>
      </c>
      <c r="V98" s="688">
        <f t="shared" si="88"/>
        <v>0</v>
      </c>
      <c r="W98" s="688">
        <f t="shared" si="88"/>
        <v>0</v>
      </c>
      <c r="X98" s="688">
        <f t="shared" si="88"/>
        <v>0</v>
      </c>
      <c r="Y98" s="688">
        <f t="shared" si="88"/>
        <v>0</v>
      </c>
      <c r="Z98" s="688">
        <f t="shared" si="88"/>
        <v>0</v>
      </c>
      <c r="AA98" s="688">
        <f t="shared" si="88"/>
        <v>0</v>
      </c>
      <c r="AB98" s="688">
        <f t="shared" si="88"/>
        <v>0</v>
      </c>
      <c r="AC98" s="926"/>
      <c r="AE98" s="568"/>
      <c r="AV98" s="700" t="str">
        <f t="shared" si="80"/>
        <v/>
      </c>
    </row>
    <row r="99" spans="1:64" s="83" customFormat="1" x14ac:dyDescent="0.25">
      <c r="A99" s="82"/>
      <c r="B99" s="178" t="str">
        <f>C99</f>
        <v>TCARHYD100</v>
      </c>
      <c r="C99" s="178" t="s">
        <v>307</v>
      </c>
      <c r="D99" s="179" t="s">
        <v>789</v>
      </c>
      <c r="E99" s="407" t="s">
        <v>988</v>
      </c>
      <c r="F99" s="182"/>
      <c r="G99" s="326"/>
      <c r="H99" s="182"/>
      <c r="I99" s="183"/>
      <c r="J99" s="184"/>
      <c r="K99" s="184"/>
      <c r="L99" s="203" t="s">
        <v>1107</v>
      </c>
      <c r="M99" s="191" t="s">
        <v>1156</v>
      </c>
      <c r="N99" s="378">
        <f>N$32</f>
        <v>1E-3</v>
      </c>
      <c r="O99" s="378">
        <f t="shared" ref="O99:AB99" si="89">$N99</f>
        <v>1E-3</v>
      </c>
      <c r="P99" s="378">
        <f t="shared" si="89"/>
        <v>1E-3</v>
      </c>
      <c r="Q99" s="378">
        <f t="shared" si="89"/>
        <v>1E-3</v>
      </c>
      <c r="R99" s="378">
        <f t="shared" si="89"/>
        <v>1E-3</v>
      </c>
      <c r="S99" s="378">
        <f t="shared" si="89"/>
        <v>1E-3</v>
      </c>
      <c r="T99" s="378">
        <f t="shared" si="89"/>
        <v>1E-3</v>
      </c>
      <c r="U99" s="378">
        <f t="shared" si="89"/>
        <v>1E-3</v>
      </c>
      <c r="V99" s="378">
        <f t="shared" si="89"/>
        <v>1E-3</v>
      </c>
      <c r="W99" s="378">
        <f t="shared" si="89"/>
        <v>1E-3</v>
      </c>
      <c r="X99" s="378">
        <f t="shared" si="89"/>
        <v>1E-3</v>
      </c>
      <c r="Y99" s="378">
        <f t="shared" si="89"/>
        <v>1E-3</v>
      </c>
      <c r="Z99" s="378">
        <f t="shared" si="89"/>
        <v>1E-3</v>
      </c>
      <c r="AA99" s="378">
        <f t="shared" si="89"/>
        <v>1E-3</v>
      </c>
      <c r="AB99" s="378">
        <f t="shared" si="89"/>
        <v>1E-3</v>
      </c>
      <c r="AC99" s="930"/>
      <c r="AD99" s="402" t="str">
        <f>MID(C99,5,3)</f>
        <v>HYD</v>
      </c>
      <c r="AE99" s="568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V99" s="700" t="str">
        <f t="shared" si="80"/>
        <v>TRABDL</v>
      </c>
      <c r="AW99" s="568">
        <f t="shared" ref="AW99:AW100" si="90">SUM(AX99:BL99)</f>
        <v>0</v>
      </c>
      <c r="AX99" s="568">
        <f t="shared" ref="AX99:BL99" si="91">N$105*N$106*(1-N100)/N$103/1000</f>
        <v>0</v>
      </c>
      <c r="AY99" s="568">
        <f t="shared" si="91"/>
        <v>0</v>
      </c>
      <c r="AZ99" s="568">
        <f t="shared" si="91"/>
        <v>0</v>
      </c>
      <c r="BA99" s="568">
        <f t="shared" si="91"/>
        <v>0</v>
      </c>
      <c r="BB99" s="568">
        <f t="shared" si="91"/>
        <v>0</v>
      </c>
      <c r="BC99" s="568">
        <f t="shared" si="91"/>
        <v>0</v>
      </c>
      <c r="BD99" s="568">
        <f t="shared" si="91"/>
        <v>0</v>
      </c>
      <c r="BE99" s="568">
        <f t="shared" si="91"/>
        <v>0</v>
      </c>
      <c r="BF99" s="568">
        <f t="shared" si="91"/>
        <v>0</v>
      </c>
      <c r="BG99" s="568">
        <f t="shared" si="91"/>
        <v>0</v>
      </c>
      <c r="BH99" s="568">
        <f t="shared" si="91"/>
        <v>0</v>
      </c>
      <c r="BI99" s="568">
        <f t="shared" si="91"/>
        <v>0</v>
      </c>
      <c r="BJ99" s="568">
        <f t="shared" si="91"/>
        <v>0</v>
      </c>
      <c r="BK99" s="568">
        <f t="shared" si="91"/>
        <v>0</v>
      </c>
      <c r="BL99" s="568">
        <f t="shared" si="91"/>
        <v>0</v>
      </c>
    </row>
    <row r="100" spans="1:64" x14ac:dyDescent="0.25">
      <c r="A100" s="22"/>
      <c r="B100" s="186" t="str">
        <f>B99</f>
        <v>TCARHYD100</v>
      </c>
      <c r="C100" s="186"/>
      <c r="D100" s="187"/>
      <c r="E100" s="188" t="s">
        <v>185</v>
      </c>
      <c r="F100" s="170"/>
      <c r="G100" s="213"/>
      <c r="H100" s="170"/>
      <c r="I100" s="190"/>
      <c r="J100" s="191" t="str">
        <f>$J$33</f>
        <v>UP</v>
      </c>
      <c r="K100" s="191"/>
      <c r="L100" s="211" t="s">
        <v>101</v>
      </c>
      <c r="M100" s="186"/>
      <c r="N100" s="377">
        <f>1-(N$17+N$18)</f>
        <v>0.78</v>
      </c>
      <c r="O100" s="377">
        <f t="shared" ref="O100:AB100" si="92">1-(O$17+O$18)</f>
        <v>0.78</v>
      </c>
      <c r="P100" s="377">
        <f t="shared" si="92"/>
        <v>0.78</v>
      </c>
      <c r="Q100" s="377">
        <f t="shared" si="92"/>
        <v>0.78</v>
      </c>
      <c r="R100" s="377">
        <f t="shared" si="92"/>
        <v>0.78</v>
      </c>
      <c r="S100" s="377">
        <f t="shared" si="92"/>
        <v>0.78</v>
      </c>
      <c r="T100" s="377">
        <f t="shared" si="92"/>
        <v>0.78</v>
      </c>
      <c r="U100" s="377">
        <f t="shared" si="92"/>
        <v>0.78</v>
      </c>
      <c r="V100" s="377">
        <f t="shared" si="92"/>
        <v>0.78</v>
      </c>
      <c r="W100" s="377">
        <f t="shared" si="92"/>
        <v>0.78</v>
      </c>
      <c r="X100" s="377">
        <f t="shared" si="92"/>
        <v>0.78</v>
      </c>
      <c r="Y100" s="377">
        <f t="shared" si="92"/>
        <v>0.78</v>
      </c>
      <c r="Z100" s="377">
        <f t="shared" si="92"/>
        <v>0.78</v>
      </c>
      <c r="AA100" s="377">
        <f t="shared" si="92"/>
        <v>0.78</v>
      </c>
      <c r="AB100" s="377">
        <f t="shared" si="92"/>
        <v>0.78</v>
      </c>
      <c r="AC100" s="925"/>
      <c r="AD100" s="66" t="str">
        <f>IF(COUNTIF($AG$4:$AP$4,AD99)=1,"ok","MISSING")</f>
        <v>ok</v>
      </c>
      <c r="AE100" s="570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V100" s="700" t="str">
        <f t="shared" si="80"/>
        <v>TRADST</v>
      </c>
      <c r="AW100" s="568">
        <f t="shared" si="90"/>
        <v>0</v>
      </c>
      <c r="AX100" s="568">
        <f t="shared" ref="AX100:BL101" si="93">N$105*N$106*N100/N$103/1000</f>
        <v>0</v>
      </c>
      <c r="AY100" s="568">
        <f t="shared" si="93"/>
        <v>0</v>
      </c>
      <c r="AZ100" s="568">
        <f t="shared" si="93"/>
        <v>0</v>
      </c>
      <c r="BA100" s="568">
        <f t="shared" si="93"/>
        <v>0</v>
      </c>
      <c r="BB100" s="568">
        <f t="shared" si="93"/>
        <v>0</v>
      </c>
      <c r="BC100" s="568">
        <f t="shared" si="93"/>
        <v>0</v>
      </c>
      <c r="BD100" s="568">
        <f t="shared" si="93"/>
        <v>0</v>
      </c>
      <c r="BE100" s="568">
        <f t="shared" si="93"/>
        <v>0</v>
      </c>
      <c r="BF100" s="568">
        <f t="shared" si="93"/>
        <v>0</v>
      </c>
      <c r="BG100" s="568">
        <f t="shared" si="93"/>
        <v>0</v>
      </c>
      <c r="BH100" s="568">
        <f t="shared" si="93"/>
        <v>0</v>
      </c>
      <c r="BI100" s="568">
        <f t="shared" si="93"/>
        <v>0</v>
      </c>
      <c r="BJ100" s="568">
        <f t="shared" si="93"/>
        <v>0</v>
      </c>
      <c r="BK100" s="568">
        <f t="shared" si="93"/>
        <v>0</v>
      </c>
      <c r="BL100" s="568">
        <f t="shared" si="93"/>
        <v>0</v>
      </c>
    </row>
    <row r="101" spans="1:64" x14ac:dyDescent="0.25">
      <c r="A101" s="22"/>
      <c r="B101" s="186" t="str">
        <f t="shared" ref="B101:B112" si="94">B100</f>
        <v>TCARHYD100</v>
      </c>
      <c r="C101" s="186"/>
      <c r="D101" s="187"/>
      <c r="E101" s="188" t="s">
        <v>990</v>
      </c>
      <c r="F101" s="170"/>
      <c r="G101" s="213"/>
      <c r="H101" s="170"/>
      <c r="I101" s="190"/>
      <c r="J101" s="191" t="s">
        <v>1157</v>
      </c>
      <c r="K101" s="191"/>
      <c r="L101" s="211" t="s">
        <v>101</v>
      </c>
      <c r="M101" s="186"/>
      <c r="N101" s="377">
        <f>N$17</f>
        <v>7.0000000000000007E-2</v>
      </c>
      <c r="O101" s="377">
        <f t="shared" ref="O101:AB101" si="95">O$17</f>
        <v>7.0000000000000007E-2</v>
      </c>
      <c r="P101" s="377">
        <f t="shared" si="95"/>
        <v>7.0000000000000007E-2</v>
      </c>
      <c r="Q101" s="377">
        <f t="shared" si="95"/>
        <v>7.0000000000000007E-2</v>
      </c>
      <c r="R101" s="377">
        <f t="shared" si="95"/>
        <v>7.0000000000000007E-2</v>
      </c>
      <c r="S101" s="377">
        <f t="shared" si="95"/>
        <v>7.0000000000000007E-2</v>
      </c>
      <c r="T101" s="377">
        <f t="shared" si="95"/>
        <v>7.0000000000000007E-2</v>
      </c>
      <c r="U101" s="377">
        <f t="shared" si="95"/>
        <v>7.0000000000000007E-2</v>
      </c>
      <c r="V101" s="377">
        <f t="shared" si="95"/>
        <v>7.0000000000000007E-2</v>
      </c>
      <c r="W101" s="377">
        <f t="shared" si="95"/>
        <v>7.0000000000000007E-2</v>
      </c>
      <c r="X101" s="377">
        <f t="shared" si="95"/>
        <v>7.0000000000000007E-2</v>
      </c>
      <c r="Y101" s="377">
        <f t="shared" si="95"/>
        <v>7.0000000000000007E-2</v>
      </c>
      <c r="Z101" s="377">
        <f t="shared" si="95"/>
        <v>7.0000000000000007E-2</v>
      </c>
      <c r="AA101" s="377">
        <f t="shared" si="95"/>
        <v>7.0000000000000007E-2</v>
      </c>
      <c r="AB101" s="377">
        <f t="shared" si="95"/>
        <v>7.0000000000000007E-2</v>
      </c>
      <c r="AC101" s="925"/>
      <c r="AD101" s="66"/>
      <c r="AE101" s="570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V101" s="700" t="str">
        <f t="shared" si="80"/>
        <v>TRABDLM</v>
      </c>
      <c r="AW101" s="568">
        <f t="shared" ref="AW101" si="96">SUM(AX101:BL101)</f>
        <v>0</v>
      </c>
      <c r="AX101" s="568">
        <f t="shared" si="93"/>
        <v>0</v>
      </c>
      <c r="AY101" s="568">
        <f t="shared" si="93"/>
        <v>0</v>
      </c>
      <c r="AZ101" s="568">
        <f t="shared" si="93"/>
        <v>0</v>
      </c>
      <c r="BA101" s="568">
        <f t="shared" si="93"/>
        <v>0</v>
      </c>
      <c r="BB101" s="568">
        <f t="shared" si="93"/>
        <v>0</v>
      </c>
      <c r="BC101" s="568">
        <f t="shared" si="93"/>
        <v>0</v>
      </c>
      <c r="BD101" s="568">
        <f t="shared" si="93"/>
        <v>0</v>
      </c>
      <c r="BE101" s="568">
        <f t="shared" si="93"/>
        <v>0</v>
      </c>
      <c r="BF101" s="568">
        <f t="shared" si="93"/>
        <v>0</v>
      </c>
      <c r="BG101" s="568">
        <f t="shared" si="93"/>
        <v>0</v>
      </c>
      <c r="BH101" s="568">
        <f t="shared" si="93"/>
        <v>0</v>
      </c>
      <c r="BI101" s="568">
        <f t="shared" si="93"/>
        <v>0</v>
      </c>
      <c r="BJ101" s="568">
        <f t="shared" si="93"/>
        <v>0</v>
      </c>
      <c r="BK101" s="568">
        <f t="shared" si="93"/>
        <v>0</v>
      </c>
      <c r="BL101" s="568">
        <f t="shared" si="93"/>
        <v>0</v>
      </c>
    </row>
    <row r="102" spans="1:64" x14ac:dyDescent="0.25">
      <c r="A102" s="22"/>
      <c r="B102" s="186" t="str">
        <f t="shared" si="94"/>
        <v>TCARHYD100</v>
      </c>
      <c r="C102" s="186"/>
      <c r="D102" s="187"/>
      <c r="E102" s="186"/>
      <c r="F102" s="170"/>
      <c r="G102" s="214" t="s">
        <v>402</v>
      </c>
      <c r="H102" s="170"/>
      <c r="I102" s="190"/>
      <c r="J102" s="191"/>
      <c r="K102" s="191"/>
      <c r="L102" s="191" t="s">
        <v>1126</v>
      </c>
      <c r="M102" s="186" t="s">
        <v>678</v>
      </c>
      <c r="N102" s="674">
        <f>T_CEFF!H64</f>
        <v>0.53332999999999997</v>
      </c>
      <c r="O102" s="674">
        <f>T_CEFF!I64</f>
        <v>0.53332999999999997</v>
      </c>
      <c r="P102" s="674">
        <f>T_CEFF!J64</f>
        <v>0.53332999999999997</v>
      </c>
      <c r="Q102" s="674">
        <f>T_CEFF!K64</f>
        <v>0.53332999999999997</v>
      </c>
      <c r="R102" s="674">
        <f>T_CEFF!L64</f>
        <v>0.53332999999999997</v>
      </c>
      <c r="S102" s="674">
        <f>T_CEFF!M64</f>
        <v>0.53332999999999997</v>
      </c>
      <c r="T102" s="674">
        <f>T_CEFF!N64</f>
        <v>0.53332999999999997</v>
      </c>
      <c r="U102" s="674">
        <f>T_CEFF!O64</f>
        <v>0.53332999999999997</v>
      </c>
      <c r="V102" s="674">
        <f>T_CEFF!P64</f>
        <v>0.53332999999999997</v>
      </c>
      <c r="W102" s="674">
        <f>T_CEFF!Q64</f>
        <v>0.53332999999999997</v>
      </c>
      <c r="X102" s="674">
        <f>T_CEFF!R64</f>
        <v>0.53332999999999997</v>
      </c>
      <c r="Y102" s="674">
        <f>T_CEFF!S64</f>
        <v>0.53332999999999997</v>
      </c>
      <c r="Z102" s="674">
        <f>T_CEFF!T64</f>
        <v>0.53332999999999997</v>
      </c>
      <c r="AA102" s="674">
        <f>T_CEFF!U64</f>
        <v>0.53332999999999997</v>
      </c>
      <c r="AB102" s="674">
        <f>T_CEFF!V64</f>
        <v>0.53332999999999997</v>
      </c>
      <c r="AC102" s="929"/>
      <c r="AE102" s="568"/>
      <c r="AV102" s="700" t="str">
        <f t="shared" si="80"/>
        <v/>
      </c>
    </row>
    <row r="103" spans="1:64" x14ac:dyDescent="0.25">
      <c r="A103" s="22"/>
      <c r="B103" s="186" t="str">
        <f t="shared" si="94"/>
        <v>TCARHYD100</v>
      </c>
      <c r="C103" s="186"/>
      <c r="D103" s="187"/>
      <c r="E103" s="186"/>
      <c r="F103" s="170"/>
      <c r="G103" s="214" t="s">
        <v>404</v>
      </c>
      <c r="H103" s="170"/>
      <c r="I103" s="190"/>
      <c r="J103" s="191"/>
      <c r="K103" s="191"/>
      <c r="L103" s="191" t="s">
        <v>1126</v>
      </c>
      <c r="M103" s="186" t="s">
        <v>678</v>
      </c>
      <c r="N103" s="674">
        <f>T_CEFF!H65</f>
        <v>0.47059000000000001</v>
      </c>
      <c r="O103" s="674">
        <f>T_CEFF!I65</f>
        <v>0.47059000000000001</v>
      </c>
      <c r="P103" s="674">
        <f>T_CEFF!J65</f>
        <v>0.47059000000000001</v>
      </c>
      <c r="Q103" s="674">
        <f>T_CEFF!K65</f>
        <v>0.47059000000000001</v>
      </c>
      <c r="R103" s="674">
        <f>T_CEFF!L65</f>
        <v>0.47059000000000001</v>
      </c>
      <c r="S103" s="674">
        <f>T_CEFF!M65</f>
        <v>0.47059000000000001</v>
      </c>
      <c r="T103" s="674">
        <f>T_CEFF!N65</f>
        <v>0.47059000000000001</v>
      </c>
      <c r="U103" s="674">
        <f>T_CEFF!O65</f>
        <v>0.47059000000000001</v>
      </c>
      <c r="V103" s="674">
        <f>T_CEFF!P65</f>
        <v>0.47059000000000001</v>
      </c>
      <c r="W103" s="674">
        <f>T_CEFF!Q65</f>
        <v>0.47059000000000001</v>
      </c>
      <c r="X103" s="674">
        <f>T_CEFF!R65</f>
        <v>0.47059000000000001</v>
      </c>
      <c r="Y103" s="674">
        <f>T_CEFF!S65</f>
        <v>0.47059000000000001</v>
      </c>
      <c r="Z103" s="674">
        <f>T_CEFF!T65</f>
        <v>0.47059000000000001</v>
      </c>
      <c r="AA103" s="674">
        <f>T_CEFF!U65</f>
        <v>0.47059000000000001</v>
      </c>
      <c r="AB103" s="674">
        <f>T_CEFF!V65</f>
        <v>0.47059000000000001</v>
      </c>
      <c r="AC103" s="929"/>
      <c r="AE103" s="568"/>
      <c r="AV103" s="700" t="str">
        <f t="shared" si="80"/>
        <v/>
      </c>
    </row>
    <row r="104" spans="1:64" x14ac:dyDescent="0.25">
      <c r="A104" s="22"/>
      <c r="B104" s="186" t="str">
        <f t="shared" si="94"/>
        <v>TCARHYD100</v>
      </c>
      <c r="C104" s="186"/>
      <c r="D104" s="187"/>
      <c r="E104" s="186"/>
      <c r="F104" s="170"/>
      <c r="G104" s="213"/>
      <c r="H104" s="170"/>
      <c r="I104" s="190"/>
      <c r="J104" s="191"/>
      <c r="K104" s="191" t="s">
        <v>749</v>
      </c>
      <c r="L104" s="191" t="s">
        <v>1128</v>
      </c>
      <c r="M104" s="186" t="s">
        <v>1159</v>
      </c>
      <c r="N104" s="368">
        <f>N$14</f>
        <v>1.2</v>
      </c>
      <c r="O104" s="368">
        <f t="shared" ref="O104:AB104" si="97">O$14</f>
        <v>0</v>
      </c>
      <c r="P104" s="368">
        <f t="shared" si="97"/>
        <v>0</v>
      </c>
      <c r="Q104" s="368">
        <f t="shared" si="97"/>
        <v>0</v>
      </c>
      <c r="R104" s="368">
        <f t="shared" si="97"/>
        <v>0</v>
      </c>
      <c r="S104" s="368">
        <f t="shared" si="97"/>
        <v>0</v>
      </c>
      <c r="T104" s="368">
        <f t="shared" si="97"/>
        <v>0</v>
      </c>
      <c r="U104" s="368">
        <f t="shared" si="97"/>
        <v>0</v>
      </c>
      <c r="V104" s="368">
        <f t="shared" si="97"/>
        <v>0</v>
      </c>
      <c r="W104" s="368">
        <f t="shared" si="97"/>
        <v>0</v>
      </c>
      <c r="X104" s="368">
        <f t="shared" si="97"/>
        <v>0</v>
      </c>
      <c r="Y104" s="368">
        <f t="shared" si="97"/>
        <v>0</v>
      </c>
      <c r="Z104" s="368">
        <f t="shared" si="97"/>
        <v>0</v>
      </c>
      <c r="AA104" s="368">
        <f t="shared" si="97"/>
        <v>0</v>
      </c>
      <c r="AB104" s="368">
        <f t="shared" si="97"/>
        <v>0</v>
      </c>
      <c r="AC104" s="920"/>
      <c r="AE104" s="568"/>
      <c r="AV104" s="700" t="str">
        <f t="shared" si="80"/>
        <v/>
      </c>
    </row>
    <row r="105" spans="1:64" x14ac:dyDescent="0.25">
      <c r="A105" s="22"/>
      <c r="B105" s="186" t="str">
        <f t="shared" si="94"/>
        <v>TCARHYD100</v>
      </c>
      <c r="C105" s="186"/>
      <c r="D105" s="187"/>
      <c r="E105" s="186"/>
      <c r="F105" s="170"/>
      <c r="G105" s="213"/>
      <c r="H105" s="170"/>
      <c r="I105" s="190"/>
      <c r="J105" s="191"/>
      <c r="K105" s="191"/>
      <c r="L105" s="211" t="s">
        <v>1130</v>
      </c>
      <c r="M105" s="186" t="s">
        <v>1131</v>
      </c>
      <c r="N105" s="376">
        <f>LOOKUP($C$99, T_NCAP_AF!$C$5:$C$15, T_NCAP_AF!D$5:D$15)*(1+N26)</f>
        <v>11.520000000000001</v>
      </c>
      <c r="O105" s="376">
        <f>LOOKUP($C$99, T_NCAP_AF!$C$5:$C$15, T_NCAP_AF!E$5:E$15)*(1+O26)</f>
        <v>0</v>
      </c>
      <c r="P105" s="376">
        <f>LOOKUP($C$99, T_NCAP_AF!$C$5:$C$15, T_NCAP_AF!F$5:F$15)*(1+P26)</f>
        <v>0</v>
      </c>
      <c r="Q105" s="376">
        <f>LOOKUP($C$99, T_NCAP_AF!$C$5:$C$15, T_NCAP_AF!G$5:G$15)*(1+Q26)</f>
        <v>0</v>
      </c>
      <c r="R105" s="376">
        <f>LOOKUP($C$99, T_NCAP_AF!$C$5:$C$15, T_NCAP_AF!H$5:H$15)*(1+R26)</f>
        <v>0</v>
      </c>
      <c r="S105" s="376">
        <f>LOOKUP($C$99, T_NCAP_AF!$C$5:$C$15, T_NCAP_AF!I$5:I$15)*(1+S26)</f>
        <v>0</v>
      </c>
      <c r="T105" s="376">
        <f>LOOKUP($C$99, T_NCAP_AF!$C$5:$C$15, T_NCAP_AF!J$5:J$15)*(1+T26)</f>
        <v>0</v>
      </c>
      <c r="U105" s="376">
        <f>LOOKUP($C$99, T_NCAP_AF!$C$5:$C$15, T_NCAP_AF!K$5:K$15)*(1+U26)</f>
        <v>0</v>
      </c>
      <c r="V105" s="376">
        <f>LOOKUP($C$99, T_NCAP_AF!$C$5:$C$15, T_NCAP_AF!L$5:L$15)*(1+V26)</f>
        <v>0</v>
      </c>
      <c r="W105" s="376">
        <f>LOOKUP($C$99, T_NCAP_AF!$C$5:$C$15, T_NCAP_AF!M$5:M$15)*(1+W26)</f>
        <v>0</v>
      </c>
      <c r="X105" s="376">
        <f>LOOKUP($C$99, T_NCAP_AF!$C$5:$C$15, T_NCAP_AF!N$5:N$15)*(1+X26)</f>
        <v>0</v>
      </c>
      <c r="Y105" s="376">
        <f>LOOKUP($C$99, T_NCAP_AF!$C$5:$C$15, T_NCAP_AF!O$5:O$15)*(1+Y26)</f>
        <v>0</v>
      </c>
      <c r="Z105" s="376">
        <f>LOOKUP($C$99, T_NCAP_AF!$C$5:$C$15, T_NCAP_AF!P$5:P$15)*(1+Z26)</f>
        <v>0</v>
      </c>
      <c r="AA105" s="376">
        <f>LOOKUP($C$99, T_NCAP_AF!$C$5:$C$15, T_NCAP_AF!Q$5:Q$15)*(1+AA26)</f>
        <v>0</v>
      </c>
      <c r="AB105" s="376">
        <f>LOOKUP($C$99, T_NCAP_AF!$C$5:$C$15, T_NCAP_AF!R$5:R$15)*(1+AB26)</f>
        <v>0</v>
      </c>
      <c r="AC105" s="132"/>
      <c r="AE105" s="568"/>
      <c r="AV105" s="700" t="str">
        <f t="shared" si="80"/>
        <v/>
      </c>
    </row>
    <row r="106" spans="1:64" x14ac:dyDescent="0.25">
      <c r="A106" s="22"/>
      <c r="B106" s="186" t="str">
        <f t="shared" si="94"/>
        <v>TCARHYD100</v>
      </c>
      <c r="C106" s="186"/>
      <c r="D106" s="187"/>
      <c r="E106" s="186"/>
      <c r="F106" s="170"/>
      <c r="G106" s="213"/>
      <c r="H106" s="170"/>
      <c r="I106" s="190">
        <f>$M$3</f>
        <v>2019</v>
      </c>
      <c r="J106" s="191"/>
      <c r="K106" s="191"/>
      <c r="L106" s="211" t="s">
        <v>1065</v>
      </c>
      <c r="M106" s="186" t="s">
        <v>748</v>
      </c>
      <c r="N106" s="687">
        <f>LOOKUP($C$99, T_Stock_Private!$C$10:$C$20, T_Stock_Private!D$10:D$20)*(1+N27)</f>
        <v>0</v>
      </c>
      <c r="O106" s="687">
        <f>LOOKUP($C$99, T_Stock_Private!$C$10:$C$20, T_Stock_Private!E$10:E$20)*(1+O27)</f>
        <v>0</v>
      </c>
      <c r="P106" s="687">
        <f>LOOKUP($C$99, T_Stock_Private!$C$10:$C$20, T_Stock_Private!F$10:F$20)*(1+P27)</f>
        <v>0</v>
      </c>
      <c r="Q106" s="687">
        <f>LOOKUP($C$99, T_Stock_Private!$C$10:$C$20, T_Stock_Private!G$10:G$20)*(1+Q27)</f>
        <v>0</v>
      </c>
      <c r="R106" s="687">
        <f>LOOKUP($C$99, T_Stock_Private!$C$10:$C$20, T_Stock_Private!H$10:H$20)*(1+R27)</f>
        <v>0</v>
      </c>
      <c r="S106" s="687">
        <f>LOOKUP($C$99, T_Stock_Private!$C$10:$C$20, T_Stock_Private!I$10:I$20)*(1+S27)</f>
        <v>0</v>
      </c>
      <c r="T106" s="687">
        <f>LOOKUP($C$99, T_Stock_Private!$C$10:$C$20, T_Stock_Private!J$10:J$20)*(1+T27)</f>
        <v>0</v>
      </c>
      <c r="U106" s="687">
        <f>LOOKUP($C$99, T_Stock_Private!$C$10:$C$20, T_Stock_Private!K$10:K$20)*(1+U27)</f>
        <v>0</v>
      </c>
      <c r="V106" s="687">
        <f>LOOKUP($C$99, T_Stock_Private!$C$10:$C$20, T_Stock_Private!L$10:L$20)*(1+V27)</f>
        <v>0</v>
      </c>
      <c r="W106" s="687">
        <f>LOOKUP($C$99, T_Stock_Private!$C$10:$C$20, T_Stock_Private!M$10:M$20)*(1+W27)</f>
        <v>0</v>
      </c>
      <c r="X106" s="687">
        <f>LOOKUP($C$99, T_Stock_Private!$C$10:$C$20, T_Stock_Private!N$10:N$20)*(1+X27)</f>
        <v>0</v>
      </c>
      <c r="Y106" s="687">
        <f>LOOKUP($C$99, T_Stock_Private!$C$10:$C$20, T_Stock_Private!O$10:O$20)*(1+Y27)</f>
        <v>0</v>
      </c>
      <c r="Z106" s="687">
        <f>LOOKUP($C$99, T_Stock_Private!$C$10:$C$20, T_Stock_Private!P$10:P$20)*(1+Z27)</f>
        <v>0</v>
      </c>
      <c r="AA106" s="687">
        <f>LOOKUP($C$99, T_Stock_Private!$C$10:$C$20, T_Stock_Private!Q$10:Q$20)*(1+AA27)</f>
        <v>0</v>
      </c>
      <c r="AB106" s="687">
        <f>LOOKUP($C$99, T_Stock_Private!$C$10:$C$20, T_Stock_Private!R$10:R$20)*(1+AB27)</f>
        <v>0</v>
      </c>
      <c r="AC106" s="926"/>
      <c r="AE106" s="568"/>
      <c r="AV106" s="700" t="str">
        <f t="shared" si="80"/>
        <v/>
      </c>
    </row>
    <row r="107" spans="1:64" x14ac:dyDescent="0.25">
      <c r="A107" s="22"/>
      <c r="B107" s="186" t="str">
        <f t="shared" si="94"/>
        <v>TCARHYD100</v>
      </c>
      <c r="C107" s="186"/>
      <c r="D107" s="187"/>
      <c r="E107" s="186"/>
      <c r="F107" s="170"/>
      <c r="G107" s="213"/>
      <c r="H107" s="170"/>
      <c r="I107" s="190">
        <f>AF$5</f>
        <v>2020</v>
      </c>
      <c r="J107" s="191"/>
      <c r="K107" s="191"/>
      <c r="L107" s="211" t="s">
        <v>1065</v>
      </c>
      <c r="M107" s="186" t="s">
        <v>748</v>
      </c>
      <c r="N107" s="687">
        <f t="shared" ref="N107:AB107" si="98">N106*LOOKUP($AD99,$AG$4:$AO$4,$AG$5:$AO$5)</f>
        <v>0</v>
      </c>
      <c r="O107" s="687">
        <f t="shared" si="98"/>
        <v>0</v>
      </c>
      <c r="P107" s="687">
        <f t="shared" si="98"/>
        <v>0</v>
      </c>
      <c r="Q107" s="687">
        <f t="shared" si="98"/>
        <v>0</v>
      </c>
      <c r="R107" s="687">
        <f t="shared" si="98"/>
        <v>0</v>
      </c>
      <c r="S107" s="687">
        <f t="shared" si="98"/>
        <v>0</v>
      </c>
      <c r="T107" s="687">
        <f t="shared" si="98"/>
        <v>0</v>
      </c>
      <c r="U107" s="687">
        <f t="shared" si="98"/>
        <v>0</v>
      </c>
      <c r="V107" s="687">
        <f t="shared" si="98"/>
        <v>0</v>
      </c>
      <c r="W107" s="687">
        <f t="shared" si="98"/>
        <v>0</v>
      </c>
      <c r="X107" s="687">
        <f t="shared" si="98"/>
        <v>0</v>
      </c>
      <c r="Y107" s="687">
        <f t="shared" si="98"/>
        <v>0</v>
      </c>
      <c r="Z107" s="687">
        <f t="shared" si="98"/>
        <v>0</v>
      </c>
      <c r="AA107" s="687">
        <f t="shared" si="98"/>
        <v>0</v>
      </c>
      <c r="AB107" s="687">
        <f t="shared" si="98"/>
        <v>0</v>
      </c>
      <c r="AC107" s="926"/>
      <c r="AE107" s="569">
        <f>SUM(AF107:AT107)</f>
        <v>0</v>
      </c>
      <c r="AF107" s="568">
        <f t="shared" ref="AF107:AT107" si="99">N104*N105*N106/1000</f>
        <v>0</v>
      </c>
      <c r="AG107" s="568">
        <f t="shared" si="99"/>
        <v>0</v>
      </c>
      <c r="AH107" s="568">
        <f t="shared" si="99"/>
        <v>0</v>
      </c>
      <c r="AI107" s="568">
        <f t="shared" si="99"/>
        <v>0</v>
      </c>
      <c r="AJ107" s="568">
        <f t="shared" si="99"/>
        <v>0</v>
      </c>
      <c r="AK107" s="568">
        <f t="shared" si="99"/>
        <v>0</v>
      </c>
      <c r="AL107" s="568">
        <f t="shared" si="99"/>
        <v>0</v>
      </c>
      <c r="AM107" s="568">
        <f t="shared" si="99"/>
        <v>0</v>
      </c>
      <c r="AN107" s="568">
        <f t="shared" si="99"/>
        <v>0</v>
      </c>
      <c r="AO107" s="568">
        <f t="shared" si="99"/>
        <v>0</v>
      </c>
      <c r="AP107" s="568">
        <f t="shared" si="99"/>
        <v>0</v>
      </c>
      <c r="AQ107" s="568">
        <f t="shared" si="99"/>
        <v>0</v>
      </c>
      <c r="AR107" s="568">
        <f t="shared" si="99"/>
        <v>0</v>
      </c>
      <c r="AS107" s="568">
        <f t="shared" si="99"/>
        <v>0</v>
      </c>
      <c r="AT107" s="568">
        <f t="shared" si="99"/>
        <v>0</v>
      </c>
      <c r="AV107" s="700" t="str">
        <f t="shared" si="80"/>
        <v/>
      </c>
    </row>
    <row r="108" spans="1:64" x14ac:dyDescent="0.25">
      <c r="A108" s="22"/>
      <c r="B108" s="186" t="str">
        <f t="shared" si="94"/>
        <v>TCARHYD100</v>
      </c>
      <c r="C108" s="186"/>
      <c r="D108" s="187"/>
      <c r="E108" s="186"/>
      <c r="F108" s="170"/>
      <c r="G108" s="213"/>
      <c r="H108" s="170"/>
      <c r="I108" s="190">
        <f>AF$6</f>
        <v>2025</v>
      </c>
      <c r="J108" s="191"/>
      <c r="K108" s="191"/>
      <c r="L108" s="211" t="s">
        <v>1065</v>
      </c>
      <c r="M108" s="186" t="s">
        <v>748</v>
      </c>
      <c r="N108" s="687">
        <f t="shared" ref="N108:AB108" si="100">N106*LOOKUP($AD99,$AG$4:$AO$4,$AG$6:$AO$6)</f>
        <v>0</v>
      </c>
      <c r="O108" s="687">
        <f t="shared" si="100"/>
        <v>0</v>
      </c>
      <c r="P108" s="687">
        <f t="shared" si="100"/>
        <v>0</v>
      </c>
      <c r="Q108" s="687">
        <f t="shared" si="100"/>
        <v>0</v>
      </c>
      <c r="R108" s="687">
        <f t="shared" si="100"/>
        <v>0</v>
      </c>
      <c r="S108" s="687">
        <f t="shared" si="100"/>
        <v>0</v>
      </c>
      <c r="T108" s="687">
        <f t="shared" si="100"/>
        <v>0</v>
      </c>
      <c r="U108" s="687">
        <f t="shared" si="100"/>
        <v>0</v>
      </c>
      <c r="V108" s="687">
        <f t="shared" si="100"/>
        <v>0</v>
      </c>
      <c r="W108" s="687">
        <f t="shared" si="100"/>
        <v>0</v>
      </c>
      <c r="X108" s="687">
        <f t="shared" si="100"/>
        <v>0</v>
      </c>
      <c r="Y108" s="687">
        <f t="shared" si="100"/>
        <v>0</v>
      </c>
      <c r="Z108" s="687">
        <f t="shared" si="100"/>
        <v>0</v>
      </c>
      <c r="AA108" s="687">
        <f t="shared" si="100"/>
        <v>0</v>
      </c>
      <c r="AB108" s="687">
        <f t="shared" si="100"/>
        <v>0</v>
      </c>
      <c r="AC108" s="926"/>
      <c r="AE108" s="568"/>
      <c r="AV108" s="700" t="str">
        <f t="shared" si="80"/>
        <v/>
      </c>
    </row>
    <row r="109" spans="1:64" x14ac:dyDescent="0.25">
      <c r="A109" s="22"/>
      <c r="B109" s="186" t="str">
        <f t="shared" si="94"/>
        <v>TCARHYD100</v>
      </c>
      <c r="C109" s="186"/>
      <c r="D109" s="187"/>
      <c r="E109" s="186"/>
      <c r="F109" s="170"/>
      <c r="G109" s="213"/>
      <c r="H109" s="170"/>
      <c r="I109" s="190">
        <f>AF$7</f>
        <v>2030</v>
      </c>
      <c r="J109" s="191"/>
      <c r="K109" s="191"/>
      <c r="L109" s="211" t="s">
        <v>1065</v>
      </c>
      <c r="M109" s="186" t="s">
        <v>748</v>
      </c>
      <c r="N109" s="687">
        <f t="shared" ref="N109:AB109" si="101">N106*LOOKUP($AD99,$AG$4:$AO$4,$AG$7:$AO$7)</f>
        <v>0</v>
      </c>
      <c r="O109" s="687">
        <f t="shared" si="101"/>
        <v>0</v>
      </c>
      <c r="P109" s="687">
        <f t="shared" si="101"/>
        <v>0</v>
      </c>
      <c r="Q109" s="687">
        <f t="shared" si="101"/>
        <v>0</v>
      </c>
      <c r="R109" s="687">
        <f t="shared" si="101"/>
        <v>0</v>
      </c>
      <c r="S109" s="687">
        <f t="shared" si="101"/>
        <v>0</v>
      </c>
      <c r="T109" s="687">
        <f t="shared" si="101"/>
        <v>0</v>
      </c>
      <c r="U109" s="687">
        <f t="shared" si="101"/>
        <v>0</v>
      </c>
      <c r="V109" s="687">
        <f t="shared" si="101"/>
        <v>0</v>
      </c>
      <c r="W109" s="687">
        <f t="shared" si="101"/>
        <v>0</v>
      </c>
      <c r="X109" s="687">
        <f t="shared" si="101"/>
        <v>0</v>
      </c>
      <c r="Y109" s="687">
        <f t="shared" si="101"/>
        <v>0</v>
      </c>
      <c r="Z109" s="687">
        <f t="shared" si="101"/>
        <v>0</v>
      </c>
      <c r="AA109" s="687">
        <f t="shared" si="101"/>
        <v>0</v>
      </c>
      <c r="AB109" s="687">
        <f t="shared" si="101"/>
        <v>0</v>
      </c>
      <c r="AC109" s="926"/>
      <c r="AE109" s="568"/>
      <c r="AV109" s="700" t="str">
        <f t="shared" si="80"/>
        <v/>
      </c>
    </row>
    <row r="110" spans="1:64" x14ac:dyDescent="0.25">
      <c r="A110" s="22"/>
      <c r="B110" s="186" t="str">
        <f t="shared" si="94"/>
        <v>TCARHYD100</v>
      </c>
      <c r="C110" s="186"/>
      <c r="D110" s="187"/>
      <c r="E110" s="186"/>
      <c r="F110" s="170"/>
      <c r="G110" s="213"/>
      <c r="H110" s="170"/>
      <c r="I110" s="190">
        <f>AF$8</f>
        <v>2035</v>
      </c>
      <c r="J110" s="191"/>
      <c r="K110" s="191"/>
      <c r="L110" s="211" t="s">
        <v>1065</v>
      </c>
      <c r="M110" s="186" t="s">
        <v>748</v>
      </c>
      <c r="N110" s="687">
        <f t="shared" ref="N110:AB110" si="102">N106*LOOKUP($AD99,$AG$4:$AO$4,$AG$8:$AO$8)</f>
        <v>0</v>
      </c>
      <c r="O110" s="687">
        <f t="shared" si="102"/>
        <v>0</v>
      </c>
      <c r="P110" s="687">
        <f t="shared" si="102"/>
        <v>0</v>
      </c>
      <c r="Q110" s="687">
        <f t="shared" si="102"/>
        <v>0</v>
      </c>
      <c r="R110" s="687">
        <f t="shared" si="102"/>
        <v>0</v>
      </c>
      <c r="S110" s="687">
        <f t="shared" si="102"/>
        <v>0</v>
      </c>
      <c r="T110" s="687">
        <f t="shared" si="102"/>
        <v>0</v>
      </c>
      <c r="U110" s="687">
        <f t="shared" si="102"/>
        <v>0</v>
      </c>
      <c r="V110" s="687">
        <f t="shared" si="102"/>
        <v>0</v>
      </c>
      <c r="W110" s="687">
        <f t="shared" si="102"/>
        <v>0</v>
      </c>
      <c r="X110" s="687">
        <f t="shared" si="102"/>
        <v>0</v>
      </c>
      <c r="Y110" s="687">
        <f t="shared" si="102"/>
        <v>0</v>
      </c>
      <c r="Z110" s="687">
        <f t="shared" si="102"/>
        <v>0</v>
      </c>
      <c r="AA110" s="687">
        <f t="shared" si="102"/>
        <v>0</v>
      </c>
      <c r="AB110" s="687">
        <f t="shared" si="102"/>
        <v>0</v>
      </c>
      <c r="AC110" s="926"/>
      <c r="AE110" s="568"/>
      <c r="AV110" s="700" t="str">
        <f t="shared" si="80"/>
        <v/>
      </c>
    </row>
    <row r="111" spans="1:64" x14ac:dyDescent="0.25">
      <c r="A111" s="22"/>
      <c r="B111" s="186" t="str">
        <f t="shared" si="94"/>
        <v>TCARHYD100</v>
      </c>
      <c r="C111" s="186"/>
      <c r="D111" s="187"/>
      <c r="E111" s="186"/>
      <c r="F111" s="170"/>
      <c r="G111" s="213"/>
      <c r="H111" s="170"/>
      <c r="I111" s="190">
        <f>AF$9</f>
        <v>2040</v>
      </c>
      <c r="J111" s="191"/>
      <c r="K111" s="191"/>
      <c r="L111" s="211" t="s">
        <v>1065</v>
      </c>
      <c r="M111" s="186" t="s">
        <v>748</v>
      </c>
      <c r="N111" s="687">
        <f t="shared" ref="N111:AB111" si="103">N106*LOOKUP($AD99,$AG$4:$AO$4,$AG$9:$AO$9)</f>
        <v>0</v>
      </c>
      <c r="O111" s="687">
        <f t="shared" si="103"/>
        <v>0</v>
      </c>
      <c r="P111" s="687">
        <f t="shared" si="103"/>
        <v>0</v>
      </c>
      <c r="Q111" s="687">
        <f t="shared" si="103"/>
        <v>0</v>
      </c>
      <c r="R111" s="687">
        <f t="shared" si="103"/>
        <v>0</v>
      </c>
      <c r="S111" s="687">
        <f t="shared" si="103"/>
        <v>0</v>
      </c>
      <c r="T111" s="687">
        <f t="shared" si="103"/>
        <v>0</v>
      </c>
      <c r="U111" s="687">
        <f t="shared" si="103"/>
        <v>0</v>
      </c>
      <c r="V111" s="687">
        <f t="shared" si="103"/>
        <v>0</v>
      </c>
      <c r="W111" s="687">
        <f t="shared" si="103"/>
        <v>0</v>
      </c>
      <c r="X111" s="687">
        <f t="shared" si="103"/>
        <v>0</v>
      </c>
      <c r="Y111" s="687">
        <f t="shared" si="103"/>
        <v>0</v>
      </c>
      <c r="Z111" s="687">
        <f t="shared" si="103"/>
        <v>0</v>
      </c>
      <c r="AA111" s="687">
        <f t="shared" si="103"/>
        <v>0</v>
      </c>
      <c r="AB111" s="687">
        <f t="shared" si="103"/>
        <v>0</v>
      </c>
      <c r="AC111" s="926"/>
      <c r="AE111" s="568"/>
      <c r="AV111" s="700" t="str">
        <f t="shared" si="80"/>
        <v/>
      </c>
    </row>
    <row r="112" spans="1:64" x14ac:dyDescent="0.25">
      <c r="A112" s="22"/>
      <c r="B112" s="193" t="str">
        <f t="shared" si="94"/>
        <v>TCARHYD100</v>
      </c>
      <c r="C112" s="193"/>
      <c r="D112" s="194"/>
      <c r="E112" s="193"/>
      <c r="F112" s="196"/>
      <c r="G112" s="215"/>
      <c r="H112" s="196"/>
      <c r="I112" s="197">
        <f>AF$10</f>
        <v>2050</v>
      </c>
      <c r="J112" s="198"/>
      <c r="K112" s="198"/>
      <c r="L112" s="212" t="s">
        <v>1065</v>
      </c>
      <c r="M112" s="193" t="s">
        <v>748</v>
      </c>
      <c r="N112" s="688">
        <f t="shared" ref="N112:AB112" si="104">N106*LOOKUP($AD99,$AG$4:$AO$4,$AG$10:$AO$10)</f>
        <v>0</v>
      </c>
      <c r="O112" s="688">
        <f t="shared" si="104"/>
        <v>0</v>
      </c>
      <c r="P112" s="688">
        <f t="shared" si="104"/>
        <v>0</v>
      </c>
      <c r="Q112" s="688">
        <f t="shared" si="104"/>
        <v>0</v>
      </c>
      <c r="R112" s="688">
        <f t="shared" si="104"/>
        <v>0</v>
      </c>
      <c r="S112" s="688">
        <f t="shared" si="104"/>
        <v>0</v>
      </c>
      <c r="T112" s="688">
        <f t="shared" si="104"/>
        <v>0</v>
      </c>
      <c r="U112" s="688">
        <f t="shared" si="104"/>
        <v>0</v>
      </c>
      <c r="V112" s="688">
        <f t="shared" si="104"/>
        <v>0</v>
      </c>
      <c r="W112" s="688">
        <f t="shared" si="104"/>
        <v>0</v>
      </c>
      <c r="X112" s="688">
        <f t="shared" si="104"/>
        <v>0</v>
      </c>
      <c r="Y112" s="688">
        <f t="shared" si="104"/>
        <v>0</v>
      </c>
      <c r="Z112" s="688">
        <f t="shared" si="104"/>
        <v>0</v>
      </c>
      <c r="AA112" s="688">
        <f t="shared" si="104"/>
        <v>0</v>
      </c>
      <c r="AB112" s="688">
        <f t="shared" si="104"/>
        <v>0</v>
      </c>
      <c r="AC112" s="926"/>
      <c r="AE112" s="568"/>
      <c r="AV112" s="700" t="str">
        <f t="shared" si="80"/>
        <v/>
      </c>
    </row>
    <row r="113" spans="1:64" x14ac:dyDescent="0.25">
      <c r="A113" s="22"/>
      <c r="B113" s="186" t="str">
        <f>C113</f>
        <v>TCARHYG100</v>
      </c>
      <c r="C113" s="186" t="s">
        <v>308</v>
      </c>
      <c r="D113" s="187" t="s">
        <v>792</v>
      </c>
      <c r="E113" s="258" t="s">
        <v>1014</v>
      </c>
      <c r="F113" s="170"/>
      <c r="G113" s="213"/>
      <c r="H113" s="170"/>
      <c r="I113" s="190"/>
      <c r="J113" s="191"/>
      <c r="K113" s="191"/>
      <c r="L113" s="211" t="s">
        <v>1107</v>
      </c>
      <c r="M113" s="191" t="s">
        <v>1156</v>
      </c>
      <c r="N113" s="366">
        <f>N$32</f>
        <v>1E-3</v>
      </c>
      <c r="O113" s="366">
        <f t="shared" ref="O113:AB113" si="105">$N113</f>
        <v>1E-3</v>
      </c>
      <c r="P113" s="366">
        <f t="shared" si="105"/>
        <v>1E-3</v>
      </c>
      <c r="Q113" s="366">
        <f t="shared" si="105"/>
        <v>1E-3</v>
      </c>
      <c r="R113" s="366">
        <f t="shared" si="105"/>
        <v>1E-3</v>
      </c>
      <c r="S113" s="366">
        <f t="shared" si="105"/>
        <v>1E-3</v>
      </c>
      <c r="T113" s="366">
        <f t="shared" si="105"/>
        <v>1E-3</v>
      </c>
      <c r="U113" s="366">
        <f t="shared" si="105"/>
        <v>1E-3</v>
      </c>
      <c r="V113" s="366">
        <f t="shared" si="105"/>
        <v>1E-3</v>
      </c>
      <c r="W113" s="366">
        <f t="shared" si="105"/>
        <v>1E-3</v>
      </c>
      <c r="X113" s="366">
        <f t="shared" si="105"/>
        <v>1E-3</v>
      </c>
      <c r="Y113" s="366">
        <f t="shared" si="105"/>
        <v>1E-3</v>
      </c>
      <c r="Z113" s="366">
        <f t="shared" si="105"/>
        <v>1E-3</v>
      </c>
      <c r="AA113" s="366">
        <f t="shared" si="105"/>
        <v>1E-3</v>
      </c>
      <c r="AB113" s="366">
        <f t="shared" si="105"/>
        <v>1E-3</v>
      </c>
      <c r="AC113" s="927"/>
      <c r="AD113" s="402" t="str">
        <f>MID(C113,5,3)</f>
        <v>HYG</v>
      </c>
      <c r="AE113" s="568"/>
      <c r="AV113" s="700" t="str">
        <f t="shared" si="80"/>
        <v>TRAGSL</v>
      </c>
      <c r="AW113" s="568">
        <f t="shared" ref="AW113:AW114" si="106">SUM(AX113:BL113)</f>
        <v>901.13310326370527</v>
      </c>
      <c r="AX113" s="568">
        <f t="shared" ref="AX113:BL113" si="107">N$119*N$120*(1-N114)/N$117/1000</f>
        <v>901.13310326370527</v>
      </c>
      <c r="AY113" s="568">
        <f t="shared" si="107"/>
        <v>0</v>
      </c>
      <c r="AZ113" s="568">
        <f t="shared" si="107"/>
        <v>0</v>
      </c>
      <c r="BA113" s="568">
        <f t="shared" si="107"/>
        <v>0</v>
      </c>
      <c r="BB113" s="568">
        <f t="shared" si="107"/>
        <v>0</v>
      </c>
      <c r="BC113" s="568">
        <f t="shared" si="107"/>
        <v>0</v>
      </c>
      <c r="BD113" s="568">
        <f t="shared" si="107"/>
        <v>0</v>
      </c>
      <c r="BE113" s="568">
        <f t="shared" si="107"/>
        <v>0</v>
      </c>
      <c r="BF113" s="568">
        <f t="shared" si="107"/>
        <v>0</v>
      </c>
      <c r="BG113" s="568">
        <f t="shared" si="107"/>
        <v>0</v>
      </c>
      <c r="BH113" s="568">
        <f t="shared" si="107"/>
        <v>0</v>
      </c>
      <c r="BI113" s="568">
        <f t="shared" si="107"/>
        <v>0</v>
      </c>
      <c r="BJ113" s="568">
        <f t="shared" si="107"/>
        <v>0</v>
      </c>
      <c r="BK113" s="568">
        <f t="shared" si="107"/>
        <v>0</v>
      </c>
      <c r="BL113" s="568">
        <f t="shared" si="107"/>
        <v>0</v>
      </c>
    </row>
    <row r="114" spans="1:64" x14ac:dyDescent="0.25">
      <c r="A114" s="22"/>
      <c r="B114" s="186" t="str">
        <f t="shared" ref="B114:B126" si="108">B113</f>
        <v>TCARHYG100</v>
      </c>
      <c r="C114" s="186"/>
      <c r="D114" s="187"/>
      <c r="E114" s="258" t="s">
        <v>1012</v>
      </c>
      <c r="F114" s="170"/>
      <c r="G114" s="213"/>
      <c r="H114" s="170"/>
      <c r="I114" s="190"/>
      <c r="J114" s="191" t="s">
        <v>1127</v>
      </c>
      <c r="K114" s="191"/>
      <c r="L114" s="211" t="s">
        <v>101</v>
      </c>
      <c r="M114" s="186"/>
      <c r="N114" s="377">
        <f>N$19</f>
        <v>0.03</v>
      </c>
      <c r="O114" s="377">
        <f t="shared" ref="O114:AB114" si="109">O$19</f>
        <v>0.03</v>
      </c>
      <c r="P114" s="377">
        <f t="shared" si="109"/>
        <v>0.03</v>
      </c>
      <c r="Q114" s="377">
        <f t="shared" si="109"/>
        <v>0.03</v>
      </c>
      <c r="R114" s="377">
        <f t="shared" si="109"/>
        <v>0.03</v>
      </c>
      <c r="S114" s="377">
        <f t="shared" si="109"/>
        <v>0.03</v>
      </c>
      <c r="T114" s="377">
        <f t="shared" si="109"/>
        <v>0.03</v>
      </c>
      <c r="U114" s="377">
        <f t="shared" si="109"/>
        <v>0.03</v>
      </c>
      <c r="V114" s="377">
        <f t="shared" si="109"/>
        <v>0.03</v>
      </c>
      <c r="W114" s="377">
        <f t="shared" si="109"/>
        <v>0.03</v>
      </c>
      <c r="X114" s="377">
        <f t="shared" si="109"/>
        <v>0.03</v>
      </c>
      <c r="Y114" s="377">
        <f t="shared" si="109"/>
        <v>0.03</v>
      </c>
      <c r="Z114" s="377">
        <f t="shared" si="109"/>
        <v>0.03</v>
      </c>
      <c r="AA114" s="377">
        <f t="shared" si="109"/>
        <v>0.03</v>
      </c>
      <c r="AB114" s="377">
        <f t="shared" si="109"/>
        <v>0.03</v>
      </c>
      <c r="AC114" s="925"/>
      <c r="AD114" s="66" t="str">
        <f>IF(COUNTIF($AG$4:$AP$4,AD113)=1,"ok","MISSING")</f>
        <v>ok</v>
      </c>
      <c r="AE114" s="568"/>
      <c r="AV114" s="700" t="str">
        <f t="shared" si="80"/>
        <v>TRAETHM</v>
      </c>
      <c r="AW114" s="568">
        <f t="shared" si="106"/>
        <v>27.870095977227997</v>
      </c>
      <c r="AX114" s="568">
        <f t="shared" ref="AX114:BL115" si="110">N$119*N$120*N114/N$117/1000</f>
        <v>27.870095977227997</v>
      </c>
      <c r="AY114" s="568">
        <f t="shared" si="110"/>
        <v>0</v>
      </c>
      <c r="AZ114" s="568">
        <f t="shared" si="110"/>
        <v>0</v>
      </c>
      <c r="BA114" s="568">
        <f t="shared" si="110"/>
        <v>0</v>
      </c>
      <c r="BB114" s="568">
        <f t="shared" si="110"/>
        <v>0</v>
      </c>
      <c r="BC114" s="568">
        <f t="shared" si="110"/>
        <v>0</v>
      </c>
      <c r="BD114" s="568">
        <f t="shared" si="110"/>
        <v>0</v>
      </c>
      <c r="BE114" s="568">
        <f t="shared" si="110"/>
        <v>0</v>
      </c>
      <c r="BF114" s="568">
        <f t="shared" si="110"/>
        <v>0</v>
      </c>
      <c r="BG114" s="568">
        <f t="shared" si="110"/>
        <v>0</v>
      </c>
      <c r="BH114" s="568">
        <f t="shared" si="110"/>
        <v>0</v>
      </c>
      <c r="BI114" s="568">
        <f t="shared" si="110"/>
        <v>0</v>
      </c>
      <c r="BJ114" s="568">
        <f t="shared" si="110"/>
        <v>0</v>
      </c>
      <c r="BK114" s="568">
        <f t="shared" si="110"/>
        <v>0</v>
      </c>
      <c r="BL114" s="568">
        <f t="shared" si="110"/>
        <v>0</v>
      </c>
    </row>
    <row r="115" spans="1:64" x14ac:dyDescent="0.25">
      <c r="A115" s="22"/>
      <c r="B115" s="186" t="str">
        <f t="shared" si="108"/>
        <v>TCARHYG100</v>
      </c>
      <c r="C115" s="186"/>
      <c r="D115" s="187"/>
      <c r="E115" s="258" t="s">
        <v>996</v>
      </c>
      <c r="F115" s="170"/>
      <c r="G115" s="213"/>
      <c r="H115" s="170"/>
      <c r="I115" s="190"/>
      <c r="J115" s="191" t="s">
        <v>1157</v>
      </c>
      <c r="K115" s="191"/>
      <c r="L115" s="211" t="s">
        <v>101</v>
      </c>
      <c r="M115" s="186"/>
      <c r="N115" s="377">
        <f>N$20</f>
        <v>0</v>
      </c>
      <c r="O115" s="377">
        <f t="shared" ref="O115:AB115" si="111">O$20</f>
        <v>0</v>
      </c>
      <c r="P115" s="377">
        <f t="shared" si="111"/>
        <v>0</v>
      </c>
      <c r="Q115" s="377">
        <f t="shared" si="111"/>
        <v>0</v>
      </c>
      <c r="R115" s="377">
        <f t="shared" si="111"/>
        <v>0</v>
      </c>
      <c r="S115" s="377">
        <f t="shared" si="111"/>
        <v>0</v>
      </c>
      <c r="T115" s="377">
        <f t="shared" si="111"/>
        <v>0</v>
      </c>
      <c r="U115" s="377">
        <f t="shared" si="111"/>
        <v>0</v>
      </c>
      <c r="V115" s="377">
        <f t="shared" si="111"/>
        <v>0</v>
      </c>
      <c r="W115" s="377">
        <f t="shared" si="111"/>
        <v>0</v>
      </c>
      <c r="X115" s="377">
        <f t="shared" si="111"/>
        <v>0</v>
      </c>
      <c r="Y115" s="377">
        <f t="shared" si="111"/>
        <v>0</v>
      </c>
      <c r="Z115" s="377">
        <f t="shared" si="111"/>
        <v>0</v>
      </c>
      <c r="AA115" s="377">
        <f t="shared" si="111"/>
        <v>0</v>
      </c>
      <c r="AB115" s="377">
        <f t="shared" si="111"/>
        <v>0</v>
      </c>
      <c r="AC115" s="925"/>
      <c r="AD115" s="66"/>
      <c r="AE115" s="568"/>
      <c r="AV115" s="700" t="str">
        <f>MID(E115,1,8)</f>
        <v>TRABGSLM</v>
      </c>
      <c r="AW115" s="568">
        <f t="shared" ref="AW115" si="112">SUM(AX115:BL115)</f>
        <v>0</v>
      </c>
      <c r="AX115" s="568">
        <f t="shared" si="110"/>
        <v>0</v>
      </c>
      <c r="AY115" s="568">
        <f t="shared" si="110"/>
        <v>0</v>
      </c>
      <c r="AZ115" s="568">
        <f t="shared" si="110"/>
        <v>0</v>
      </c>
      <c r="BA115" s="568">
        <f t="shared" si="110"/>
        <v>0</v>
      </c>
      <c r="BB115" s="568">
        <f t="shared" si="110"/>
        <v>0</v>
      </c>
      <c r="BC115" s="568">
        <f t="shared" si="110"/>
        <v>0</v>
      </c>
      <c r="BD115" s="568">
        <f t="shared" si="110"/>
        <v>0</v>
      </c>
      <c r="BE115" s="568">
        <f t="shared" si="110"/>
        <v>0</v>
      </c>
      <c r="BF115" s="568">
        <f t="shared" si="110"/>
        <v>0</v>
      </c>
      <c r="BG115" s="568">
        <f t="shared" si="110"/>
        <v>0</v>
      </c>
      <c r="BH115" s="568">
        <f t="shared" si="110"/>
        <v>0</v>
      </c>
      <c r="BI115" s="568">
        <f t="shared" si="110"/>
        <v>0</v>
      </c>
      <c r="BJ115" s="568">
        <f t="shared" si="110"/>
        <v>0</v>
      </c>
      <c r="BK115" s="568">
        <f t="shared" si="110"/>
        <v>0</v>
      </c>
      <c r="BL115" s="568">
        <f t="shared" si="110"/>
        <v>0</v>
      </c>
    </row>
    <row r="116" spans="1:64" x14ac:dyDescent="0.25">
      <c r="A116" s="22"/>
      <c r="B116" s="186" t="str">
        <f>B114</f>
        <v>TCARHYG100</v>
      </c>
      <c r="C116" s="186"/>
      <c r="D116" s="187"/>
      <c r="E116" s="186"/>
      <c r="F116" s="170"/>
      <c r="G116" s="214" t="s">
        <v>402</v>
      </c>
      <c r="H116" s="170"/>
      <c r="I116" s="190"/>
      <c r="J116" s="191"/>
      <c r="K116" s="191"/>
      <c r="L116" s="191" t="s">
        <v>1126</v>
      </c>
      <c r="M116" s="186" t="s">
        <v>678</v>
      </c>
      <c r="N116" s="674">
        <f>T_CEFF!H66</f>
        <v>0.47904000000000002</v>
      </c>
      <c r="O116" s="674">
        <f>T_CEFF!I66</f>
        <v>0.47904000000000002</v>
      </c>
      <c r="P116" s="674">
        <f>T_CEFF!J66</f>
        <v>0.47904000000000002</v>
      </c>
      <c r="Q116" s="674">
        <f>T_CEFF!K66</f>
        <v>0.47904000000000002</v>
      </c>
      <c r="R116" s="674">
        <f>T_CEFF!L66</f>
        <v>0.47904000000000002</v>
      </c>
      <c r="S116" s="674">
        <f>T_CEFF!M66</f>
        <v>0.47904000000000002</v>
      </c>
      <c r="T116" s="674">
        <f>T_CEFF!N66</f>
        <v>0.47904000000000002</v>
      </c>
      <c r="U116" s="674">
        <f>T_CEFF!O66</f>
        <v>0.47904000000000002</v>
      </c>
      <c r="V116" s="674">
        <f>T_CEFF!P66</f>
        <v>0.47904000000000002</v>
      </c>
      <c r="W116" s="674">
        <f>T_CEFF!Q66</f>
        <v>0.47904000000000002</v>
      </c>
      <c r="X116" s="674">
        <f>T_CEFF!R66</f>
        <v>0.47904000000000002</v>
      </c>
      <c r="Y116" s="674">
        <f>T_CEFF!S66</f>
        <v>0.47904000000000002</v>
      </c>
      <c r="Z116" s="674">
        <f>T_CEFF!T66</f>
        <v>0.47904000000000002</v>
      </c>
      <c r="AA116" s="674">
        <f>T_CEFF!U66</f>
        <v>0.47904000000000002</v>
      </c>
      <c r="AB116" s="674">
        <f>T_CEFF!V66</f>
        <v>0.47904000000000002</v>
      </c>
      <c r="AC116" s="929"/>
      <c r="AE116" s="568"/>
      <c r="AV116" s="700" t="str">
        <f t="shared" ref="AV116:AV154" si="113">MID(E116,1,7)</f>
        <v/>
      </c>
    </row>
    <row r="117" spans="1:64" x14ac:dyDescent="0.25">
      <c r="A117" s="22"/>
      <c r="B117" s="186" t="str">
        <f t="shared" si="108"/>
        <v>TCARHYG100</v>
      </c>
      <c r="C117" s="186"/>
      <c r="D117" s="187"/>
      <c r="E117" s="186"/>
      <c r="F117" s="170"/>
      <c r="G117" s="214" t="s">
        <v>404</v>
      </c>
      <c r="H117" s="170"/>
      <c r="I117" s="190"/>
      <c r="J117" s="191"/>
      <c r="K117" s="191"/>
      <c r="L117" s="191" t="s">
        <v>1126</v>
      </c>
      <c r="M117" s="186" t="s">
        <v>678</v>
      </c>
      <c r="N117" s="674">
        <f>T_CEFF!H67</f>
        <v>0.39604</v>
      </c>
      <c r="O117" s="674">
        <f>T_CEFF!I67</f>
        <v>0.39604</v>
      </c>
      <c r="P117" s="674">
        <f>T_CEFF!J67</f>
        <v>0.39604</v>
      </c>
      <c r="Q117" s="674">
        <f>T_CEFF!K67</f>
        <v>0.39604</v>
      </c>
      <c r="R117" s="674">
        <f>T_CEFF!L67</f>
        <v>0.39604</v>
      </c>
      <c r="S117" s="674">
        <f>T_CEFF!M67</f>
        <v>0.39604</v>
      </c>
      <c r="T117" s="674">
        <f>T_CEFF!N67</f>
        <v>0.39604</v>
      </c>
      <c r="U117" s="674">
        <f>T_CEFF!O67</f>
        <v>0.39604</v>
      </c>
      <c r="V117" s="674">
        <f>T_CEFF!P67</f>
        <v>0.39604</v>
      </c>
      <c r="W117" s="674">
        <f>T_CEFF!Q67</f>
        <v>0.39604</v>
      </c>
      <c r="X117" s="674">
        <f>T_CEFF!R67</f>
        <v>0.39604</v>
      </c>
      <c r="Y117" s="674">
        <f>T_CEFF!S67</f>
        <v>0.39604</v>
      </c>
      <c r="Z117" s="674">
        <f>T_CEFF!T67</f>
        <v>0.39604</v>
      </c>
      <c r="AA117" s="674">
        <f>T_CEFF!U67</f>
        <v>0.39604</v>
      </c>
      <c r="AB117" s="674">
        <f>T_CEFF!V67</f>
        <v>0.39604</v>
      </c>
      <c r="AC117" s="929"/>
      <c r="AE117" s="568"/>
      <c r="AV117" s="700" t="str">
        <f t="shared" si="113"/>
        <v/>
      </c>
    </row>
    <row r="118" spans="1:64" x14ac:dyDescent="0.25">
      <c r="A118" s="22"/>
      <c r="B118" s="186" t="str">
        <f t="shared" si="108"/>
        <v>TCARHYG100</v>
      </c>
      <c r="C118" s="186"/>
      <c r="D118" s="187"/>
      <c r="E118" s="186"/>
      <c r="F118" s="170"/>
      <c r="G118" s="213"/>
      <c r="H118" s="170"/>
      <c r="I118" s="190"/>
      <c r="J118" s="191"/>
      <c r="K118" s="191" t="s">
        <v>749</v>
      </c>
      <c r="L118" s="191" t="s">
        <v>1128</v>
      </c>
      <c r="M118" s="186" t="s">
        <v>1159</v>
      </c>
      <c r="N118" s="368">
        <f>N$14</f>
        <v>1.2</v>
      </c>
      <c r="O118" s="368">
        <f t="shared" ref="O118:AB118" si="114">O$14</f>
        <v>0</v>
      </c>
      <c r="P118" s="368">
        <f t="shared" si="114"/>
        <v>0</v>
      </c>
      <c r="Q118" s="368">
        <f t="shared" si="114"/>
        <v>0</v>
      </c>
      <c r="R118" s="368">
        <f t="shared" si="114"/>
        <v>0</v>
      </c>
      <c r="S118" s="368">
        <f t="shared" si="114"/>
        <v>0</v>
      </c>
      <c r="T118" s="368">
        <f t="shared" si="114"/>
        <v>0</v>
      </c>
      <c r="U118" s="368">
        <f t="shared" si="114"/>
        <v>0</v>
      </c>
      <c r="V118" s="368">
        <f t="shared" si="114"/>
        <v>0</v>
      </c>
      <c r="W118" s="368">
        <f t="shared" si="114"/>
        <v>0</v>
      </c>
      <c r="X118" s="368">
        <f t="shared" si="114"/>
        <v>0</v>
      </c>
      <c r="Y118" s="368">
        <f t="shared" si="114"/>
        <v>0</v>
      </c>
      <c r="Z118" s="368">
        <f t="shared" si="114"/>
        <v>0</v>
      </c>
      <c r="AA118" s="368">
        <f t="shared" si="114"/>
        <v>0</v>
      </c>
      <c r="AB118" s="368">
        <f t="shared" si="114"/>
        <v>0</v>
      </c>
      <c r="AC118" s="920"/>
      <c r="AE118" s="568"/>
      <c r="AV118" s="700" t="str">
        <f t="shared" si="113"/>
        <v/>
      </c>
    </row>
    <row r="119" spans="1:64" x14ac:dyDescent="0.25">
      <c r="A119" s="22"/>
      <c r="B119" s="186" t="str">
        <f t="shared" si="108"/>
        <v>TCARHYG100</v>
      </c>
      <c r="C119" s="186"/>
      <c r="D119" s="187"/>
      <c r="E119" s="186"/>
      <c r="F119" s="170"/>
      <c r="G119" s="213"/>
      <c r="H119" s="170"/>
      <c r="I119" s="190"/>
      <c r="J119" s="191"/>
      <c r="K119" s="191"/>
      <c r="L119" s="211" t="s">
        <v>1130</v>
      </c>
      <c r="M119" s="186" t="s">
        <v>1131</v>
      </c>
      <c r="N119" s="376">
        <f>LOOKUP($C$113, T_NCAP_AF!$C$5:$C$15, T_NCAP_AF!D$5:D$15)*(1+N26)</f>
        <v>11.520000000000001</v>
      </c>
      <c r="O119" s="376">
        <f>LOOKUP($C$113, T_NCAP_AF!$C$5:$C$15, T_NCAP_AF!E$5:E$15)*(1+O26)</f>
        <v>0</v>
      </c>
      <c r="P119" s="376">
        <f>LOOKUP($C$113, T_NCAP_AF!$C$5:$C$15, T_NCAP_AF!F$5:F$15)*(1+P26)</f>
        <v>0</v>
      </c>
      <c r="Q119" s="376">
        <f>LOOKUP($C$113, T_NCAP_AF!$C$5:$C$15, T_NCAP_AF!G$5:G$15)*(1+Q26)</f>
        <v>0</v>
      </c>
      <c r="R119" s="376">
        <f>LOOKUP($C$113, T_NCAP_AF!$C$5:$C$15, T_NCAP_AF!H$5:H$15)*(1+R26)</f>
        <v>0</v>
      </c>
      <c r="S119" s="376">
        <f>LOOKUP($C$113, T_NCAP_AF!$C$5:$C$15, T_NCAP_AF!I$5:I$15)*(1+S26)</f>
        <v>0</v>
      </c>
      <c r="T119" s="376">
        <f>LOOKUP($C$113, T_NCAP_AF!$C$5:$C$15, T_NCAP_AF!J$5:J$15)*(1+T26)</f>
        <v>0</v>
      </c>
      <c r="U119" s="376">
        <f>LOOKUP($C$113, T_NCAP_AF!$C$5:$C$15, T_NCAP_AF!K$5:K$15)*(1+U26)</f>
        <v>0</v>
      </c>
      <c r="V119" s="376">
        <f>LOOKUP($C$113, T_NCAP_AF!$C$5:$C$15, T_NCAP_AF!L$5:L$15)*(1+V26)</f>
        <v>0</v>
      </c>
      <c r="W119" s="376">
        <f>LOOKUP($C$113, T_NCAP_AF!$C$5:$C$15, T_NCAP_AF!M$5:M$15)*(1+W26)</f>
        <v>0</v>
      </c>
      <c r="X119" s="376">
        <f>LOOKUP($C$113, T_NCAP_AF!$C$5:$C$15, T_NCAP_AF!N$5:N$15)*(1+X26)</f>
        <v>0</v>
      </c>
      <c r="Y119" s="376">
        <f>LOOKUP($C$113, T_NCAP_AF!$C$5:$C$15, T_NCAP_AF!O$5:O$15)*(1+Y26)</f>
        <v>0</v>
      </c>
      <c r="Z119" s="376">
        <f>LOOKUP($C$113, T_NCAP_AF!$C$5:$C$15, T_NCAP_AF!P$5:P$15)*(1+Z26)</f>
        <v>0</v>
      </c>
      <c r="AA119" s="376">
        <f>LOOKUP($C$113, T_NCAP_AF!$C$5:$C$15, T_NCAP_AF!Q$5:Q$15)*(1+AA26)</f>
        <v>0</v>
      </c>
      <c r="AB119" s="376">
        <f>LOOKUP($C$113, T_NCAP_AF!$C$5:$C$15, T_NCAP_AF!R$5:R$15)*(1+AB26)</f>
        <v>0</v>
      </c>
      <c r="AC119" s="132"/>
      <c r="AE119" s="568"/>
      <c r="AV119" s="700" t="str">
        <f t="shared" si="113"/>
        <v/>
      </c>
    </row>
    <row r="120" spans="1:64" x14ac:dyDescent="0.25">
      <c r="A120" s="22"/>
      <c r="B120" s="186" t="str">
        <f t="shared" si="108"/>
        <v>TCARHYG100</v>
      </c>
      <c r="C120" s="186"/>
      <c r="D120" s="187"/>
      <c r="E120" s="186"/>
      <c r="F120" s="170"/>
      <c r="G120" s="213"/>
      <c r="H120" s="170"/>
      <c r="I120" s="190">
        <f>$M$3</f>
        <v>2019</v>
      </c>
      <c r="J120" s="191"/>
      <c r="K120" s="191"/>
      <c r="L120" s="211" t="s">
        <v>1065</v>
      </c>
      <c r="M120" s="186" t="s">
        <v>748</v>
      </c>
      <c r="N120" s="687">
        <f>LOOKUP($C$113, T_Stock_Private!$C$10:$C$20, T_Stock_Private!D$10:D$20)*(1+N27)</f>
        <v>31937.71067946</v>
      </c>
      <c r="O120" s="687">
        <f>LOOKUP($C$113, T_Stock_Private!$C$10:$C$20, T_Stock_Private!E$10:E$20)*(1+O27)</f>
        <v>0</v>
      </c>
      <c r="P120" s="687">
        <f>LOOKUP($C$113, T_Stock_Private!$C$10:$C$20, T_Stock_Private!F$10:F$20)*(1+P27)</f>
        <v>0</v>
      </c>
      <c r="Q120" s="687">
        <f>LOOKUP($C$113, T_Stock_Private!$C$10:$C$20, T_Stock_Private!G$10:G$20)*(1+Q27)</f>
        <v>0</v>
      </c>
      <c r="R120" s="687">
        <f>LOOKUP($C$113, T_Stock_Private!$C$10:$C$20, T_Stock_Private!H$10:H$20)*(1+R27)</f>
        <v>0</v>
      </c>
      <c r="S120" s="687">
        <f>LOOKUP($C$113, T_Stock_Private!$C$10:$C$20, T_Stock_Private!I$10:I$20)*(1+S27)</f>
        <v>0</v>
      </c>
      <c r="T120" s="687">
        <f>LOOKUP($C$113, T_Stock_Private!$C$10:$C$20, T_Stock_Private!J$10:J$20)*(1+T27)</f>
        <v>0</v>
      </c>
      <c r="U120" s="687">
        <f>LOOKUP($C$113, T_Stock_Private!$C$10:$C$20, T_Stock_Private!K$10:K$20)*(1+U27)</f>
        <v>0</v>
      </c>
      <c r="V120" s="687">
        <f>LOOKUP($C$113, T_Stock_Private!$C$10:$C$20, T_Stock_Private!L$10:L$20)*(1+V27)</f>
        <v>0</v>
      </c>
      <c r="W120" s="687">
        <f>LOOKUP($C$113, T_Stock_Private!$C$10:$C$20, T_Stock_Private!M$10:M$20)*(1+W27)</f>
        <v>0</v>
      </c>
      <c r="X120" s="687">
        <f>LOOKUP($C$113, T_Stock_Private!$C$10:$C$20, T_Stock_Private!N$10:N$20)*(1+X27)</f>
        <v>0</v>
      </c>
      <c r="Y120" s="687">
        <f>LOOKUP($C$113, T_Stock_Private!$C$10:$C$20, T_Stock_Private!O$10:O$20)*(1+Y27)</f>
        <v>0</v>
      </c>
      <c r="Z120" s="687">
        <f>LOOKUP($C$113, T_Stock_Private!$C$10:$C$20, T_Stock_Private!P$10:P$20)*(1+Z27)</f>
        <v>0</v>
      </c>
      <c r="AA120" s="687">
        <f>LOOKUP($C$113, T_Stock_Private!$C$10:$C$20, T_Stock_Private!Q$10:Q$20)*(1+AA27)</f>
        <v>0</v>
      </c>
      <c r="AB120" s="687">
        <f>LOOKUP($C$113, T_Stock_Private!$C$10:$C$20, T_Stock_Private!R$10:R$20)*(1+AB27)</f>
        <v>0</v>
      </c>
      <c r="AC120" s="926"/>
      <c r="AE120" s="568"/>
      <c r="AV120" s="700" t="str">
        <f t="shared" si="113"/>
        <v/>
      </c>
    </row>
    <row r="121" spans="1:64" x14ac:dyDescent="0.25">
      <c r="A121" s="22"/>
      <c r="B121" s="186" t="str">
        <f t="shared" si="108"/>
        <v>TCARHYG100</v>
      </c>
      <c r="C121" s="186"/>
      <c r="D121" s="187"/>
      <c r="E121" s="186"/>
      <c r="F121" s="170"/>
      <c r="G121" s="213"/>
      <c r="H121" s="170"/>
      <c r="I121" s="190">
        <f>AF$5</f>
        <v>2020</v>
      </c>
      <c r="J121" s="191"/>
      <c r="K121" s="191"/>
      <c r="L121" s="211" t="s">
        <v>1065</v>
      </c>
      <c r="M121" s="186" t="s">
        <v>748</v>
      </c>
      <c r="N121" s="687">
        <f t="shared" ref="N121:AB121" si="115">N120*LOOKUP($AD113,$AG$4:$AO$4,$AG$5:$AO$5)</f>
        <v>31618.3335726654</v>
      </c>
      <c r="O121" s="687">
        <f t="shared" si="115"/>
        <v>0</v>
      </c>
      <c r="P121" s="687">
        <f t="shared" si="115"/>
        <v>0</v>
      </c>
      <c r="Q121" s="687">
        <f t="shared" si="115"/>
        <v>0</v>
      </c>
      <c r="R121" s="687">
        <f t="shared" si="115"/>
        <v>0</v>
      </c>
      <c r="S121" s="687">
        <f t="shared" si="115"/>
        <v>0</v>
      </c>
      <c r="T121" s="687">
        <f t="shared" si="115"/>
        <v>0</v>
      </c>
      <c r="U121" s="687">
        <f t="shared" si="115"/>
        <v>0</v>
      </c>
      <c r="V121" s="687">
        <f t="shared" si="115"/>
        <v>0</v>
      </c>
      <c r="W121" s="687">
        <f t="shared" si="115"/>
        <v>0</v>
      </c>
      <c r="X121" s="687">
        <f t="shared" si="115"/>
        <v>0</v>
      </c>
      <c r="Y121" s="687">
        <f t="shared" si="115"/>
        <v>0</v>
      </c>
      <c r="Z121" s="687">
        <f t="shared" si="115"/>
        <v>0</v>
      </c>
      <c r="AA121" s="687">
        <f t="shared" si="115"/>
        <v>0</v>
      </c>
      <c r="AB121" s="687">
        <f t="shared" si="115"/>
        <v>0</v>
      </c>
      <c r="AC121" s="926"/>
      <c r="AE121" s="569">
        <f>SUM(AF121:AT121)</f>
        <v>441.50691243285513</v>
      </c>
      <c r="AF121" s="568">
        <f t="shared" ref="AF121:AT121" si="116">N118*N119*N120/1000</f>
        <v>441.50691243285513</v>
      </c>
      <c r="AG121" s="568">
        <f t="shared" si="116"/>
        <v>0</v>
      </c>
      <c r="AH121" s="568">
        <f t="shared" si="116"/>
        <v>0</v>
      </c>
      <c r="AI121" s="568">
        <f t="shared" si="116"/>
        <v>0</v>
      </c>
      <c r="AJ121" s="568">
        <f t="shared" si="116"/>
        <v>0</v>
      </c>
      <c r="AK121" s="568">
        <f t="shared" si="116"/>
        <v>0</v>
      </c>
      <c r="AL121" s="568">
        <f t="shared" si="116"/>
        <v>0</v>
      </c>
      <c r="AM121" s="568">
        <f t="shared" si="116"/>
        <v>0</v>
      </c>
      <c r="AN121" s="568">
        <f t="shared" si="116"/>
        <v>0</v>
      </c>
      <c r="AO121" s="568">
        <f t="shared" si="116"/>
        <v>0</v>
      </c>
      <c r="AP121" s="568">
        <f t="shared" si="116"/>
        <v>0</v>
      </c>
      <c r="AQ121" s="568">
        <f t="shared" si="116"/>
        <v>0</v>
      </c>
      <c r="AR121" s="568">
        <f t="shared" si="116"/>
        <v>0</v>
      </c>
      <c r="AS121" s="568">
        <f t="shared" si="116"/>
        <v>0</v>
      </c>
      <c r="AT121" s="568">
        <f t="shared" si="116"/>
        <v>0</v>
      </c>
      <c r="AV121" s="700" t="str">
        <f t="shared" si="113"/>
        <v/>
      </c>
    </row>
    <row r="122" spans="1:64" x14ac:dyDescent="0.25">
      <c r="A122" s="22"/>
      <c r="B122" s="186" t="str">
        <f t="shared" si="108"/>
        <v>TCARHYG100</v>
      </c>
      <c r="C122" s="186"/>
      <c r="D122" s="187"/>
      <c r="E122" s="186"/>
      <c r="F122" s="170"/>
      <c r="G122" s="213"/>
      <c r="H122" s="170"/>
      <c r="I122" s="190">
        <f>AF$6</f>
        <v>2025</v>
      </c>
      <c r="J122" s="191"/>
      <c r="K122" s="191"/>
      <c r="L122" s="211" t="s">
        <v>1065</v>
      </c>
      <c r="M122" s="186" t="s">
        <v>748</v>
      </c>
      <c r="N122" s="687">
        <f t="shared" ref="N122:AB122" si="117">N120*LOOKUP($AD113,$AG$4:$AO$4,$AG$6:$AO$6)</f>
        <v>23953.283009595001</v>
      </c>
      <c r="O122" s="687">
        <f t="shared" si="117"/>
        <v>0</v>
      </c>
      <c r="P122" s="687">
        <f t="shared" si="117"/>
        <v>0</v>
      </c>
      <c r="Q122" s="687">
        <f t="shared" si="117"/>
        <v>0</v>
      </c>
      <c r="R122" s="687">
        <f t="shared" si="117"/>
        <v>0</v>
      </c>
      <c r="S122" s="687">
        <f t="shared" si="117"/>
        <v>0</v>
      </c>
      <c r="T122" s="687">
        <f t="shared" si="117"/>
        <v>0</v>
      </c>
      <c r="U122" s="687">
        <f t="shared" si="117"/>
        <v>0</v>
      </c>
      <c r="V122" s="687">
        <f t="shared" si="117"/>
        <v>0</v>
      </c>
      <c r="W122" s="687">
        <f t="shared" si="117"/>
        <v>0</v>
      </c>
      <c r="X122" s="687">
        <f t="shared" si="117"/>
        <v>0</v>
      </c>
      <c r="Y122" s="687">
        <f t="shared" si="117"/>
        <v>0</v>
      </c>
      <c r="Z122" s="687">
        <f t="shared" si="117"/>
        <v>0</v>
      </c>
      <c r="AA122" s="687">
        <f t="shared" si="117"/>
        <v>0</v>
      </c>
      <c r="AB122" s="687">
        <f t="shared" si="117"/>
        <v>0</v>
      </c>
      <c r="AC122" s="926"/>
      <c r="AE122" s="568"/>
      <c r="AV122" s="700" t="str">
        <f t="shared" si="113"/>
        <v/>
      </c>
    </row>
    <row r="123" spans="1:64" x14ac:dyDescent="0.25">
      <c r="A123" s="22"/>
      <c r="B123" s="186" t="str">
        <f t="shared" si="108"/>
        <v>TCARHYG100</v>
      </c>
      <c r="C123" s="186"/>
      <c r="D123" s="187"/>
      <c r="E123" s="186"/>
      <c r="F123" s="170"/>
      <c r="G123" s="213"/>
      <c r="H123" s="170"/>
      <c r="I123" s="190">
        <v>2025</v>
      </c>
      <c r="J123" s="191"/>
      <c r="K123" s="191"/>
      <c r="L123" s="211" t="s">
        <v>1065</v>
      </c>
      <c r="M123" s="186" t="s">
        <v>748</v>
      </c>
      <c r="N123" s="687">
        <f t="shared" ref="N123:AB123" si="118">N120*LOOKUP($AD113,$AG$4:$AO$4,$AG$7:$AO$7)</f>
        <v>15968.85533973</v>
      </c>
      <c r="O123" s="687">
        <f t="shared" si="118"/>
        <v>0</v>
      </c>
      <c r="P123" s="687">
        <f t="shared" si="118"/>
        <v>0</v>
      </c>
      <c r="Q123" s="687">
        <f t="shared" si="118"/>
        <v>0</v>
      </c>
      <c r="R123" s="687">
        <f t="shared" si="118"/>
        <v>0</v>
      </c>
      <c r="S123" s="687">
        <f t="shared" si="118"/>
        <v>0</v>
      </c>
      <c r="T123" s="687">
        <f t="shared" si="118"/>
        <v>0</v>
      </c>
      <c r="U123" s="687">
        <f t="shared" si="118"/>
        <v>0</v>
      </c>
      <c r="V123" s="687">
        <f t="shared" si="118"/>
        <v>0</v>
      </c>
      <c r="W123" s="687">
        <f t="shared" si="118"/>
        <v>0</v>
      </c>
      <c r="X123" s="687">
        <f t="shared" si="118"/>
        <v>0</v>
      </c>
      <c r="Y123" s="687">
        <f t="shared" si="118"/>
        <v>0</v>
      </c>
      <c r="Z123" s="687">
        <f t="shared" si="118"/>
        <v>0</v>
      </c>
      <c r="AA123" s="687">
        <f t="shared" si="118"/>
        <v>0</v>
      </c>
      <c r="AB123" s="687">
        <f t="shared" si="118"/>
        <v>0</v>
      </c>
      <c r="AC123" s="926"/>
      <c r="AE123" s="568"/>
      <c r="AV123" s="700" t="str">
        <f t="shared" si="113"/>
        <v/>
      </c>
    </row>
    <row r="124" spans="1:64" x14ac:dyDescent="0.25">
      <c r="A124" s="22"/>
      <c r="B124" s="186" t="str">
        <f t="shared" si="108"/>
        <v>TCARHYG100</v>
      </c>
      <c r="C124" s="186"/>
      <c r="D124" s="187"/>
      <c r="E124" s="186"/>
      <c r="F124" s="170"/>
      <c r="G124" s="213"/>
      <c r="H124" s="170"/>
      <c r="I124" s="190">
        <f>AF$8</f>
        <v>2035</v>
      </c>
      <c r="J124" s="191"/>
      <c r="K124" s="191"/>
      <c r="L124" s="211" t="s">
        <v>1065</v>
      </c>
      <c r="M124" s="186" t="s">
        <v>748</v>
      </c>
      <c r="N124" s="687">
        <f t="shared" ref="N124:AB124" si="119">N120*LOOKUP($AD113,$AG$4:$AO$4,$AG$8:$AO$8)</f>
        <v>4790.6566019189995</v>
      </c>
      <c r="O124" s="687">
        <f t="shared" si="119"/>
        <v>0</v>
      </c>
      <c r="P124" s="687">
        <f t="shared" si="119"/>
        <v>0</v>
      </c>
      <c r="Q124" s="687">
        <f t="shared" si="119"/>
        <v>0</v>
      </c>
      <c r="R124" s="687">
        <f t="shared" si="119"/>
        <v>0</v>
      </c>
      <c r="S124" s="687">
        <f t="shared" si="119"/>
        <v>0</v>
      </c>
      <c r="T124" s="687">
        <f t="shared" si="119"/>
        <v>0</v>
      </c>
      <c r="U124" s="687">
        <f t="shared" si="119"/>
        <v>0</v>
      </c>
      <c r="V124" s="687">
        <f t="shared" si="119"/>
        <v>0</v>
      </c>
      <c r="W124" s="687">
        <f t="shared" si="119"/>
        <v>0</v>
      </c>
      <c r="X124" s="687">
        <f t="shared" si="119"/>
        <v>0</v>
      </c>
      <c r="Y124" s="687">
        <f t="shared" si="119"/>
        <v>0</v>
      </c>
      <c r="Z124" s="687">
        <f t="shared" si="119"/>
        <v>0</v>
      </c>
      <c r="AA124" s="687">
        <f t="shared" si="119"/>
        <v>0</v>
      </c>
      <c r="AB124" s="687">
        <f t="shared" si="119"/>
        <v>0</v>
      </c>
      <c r="AC124" s="926"/>
      <c r="AE124" s="568"/>
      <c r="AV124" s="700" t="str">
        <f t="shared" si="113"/>
        <v/>
      </c>
    </row>
    <row r="125" spans="1:64" x14ac:dyDescent="0.25">
      <c r="A125" s="22"/>
      <c r="B125" s="186" t="str">
        <f t="shared" si="108"/>
        <v>TCARHYG100</v>
      </c>
      <c r="C125" s="186"/>
      <c r="D125" s="187"/>
      <c r="E125" s="186"/>
      <c r="F125" s="170"/>
      <c r="G125" s="213"/>
      <c r="H125" s="170"/>
      <c r="I125" s="190">
        <f>AF$9</f>
        <v>2040</v>
      </c>
      <c r="J125" s="191"/>
      <c r="K125" s="191"/>
      <c r="L125" s="211" t="s">
        <v>1065</v>
      </c>
      <c r="M125" s="186" t="s">
        <v>748</v>
      </c>
      <c r="N125" s="687">
        <f t="shared" ref="N125:AB125" si="120">N120*LOOKUP($AD113,$AG$4:$AO$4,$AG$9:$AO$9)</f>
        <v>159.68855339730001</v>
      </c>
      <c r="O125" s="687">
        <f t="shared" si="120"/>
        <v>0</v>
      </c>
      <c r="P125" s="687">
        <f t="shared" si="120"/>
        <v>0</v>
      </c>
      <c r="Q125" s="687">
        <f t="shared" si="120"/>
        <v>0</v>
      </c>
      <c r="R125" s="687">
        <f t="shared" si="120"/>
        <v>0</v>
      </c>
      <c r="S125" s="687">
        <f t="shared" si="120"/>
        <v>0</v>
      </c>
      <c r="T125" s="687">
        <f t="shared" si="120"/>
        <v>0</v>
      </c>
      <c r="U125" s="687">
        <f t="shared" si="120"/>
        <v>0</v>
      </c>
      <c r="V125" s="687">
        <f t="shared" si="120"/>
        <v>0</v>
      </c>
      <c r="W125" s="687">
        <f t="shared" si="120"/>
        <v>0</v>
      </c>
      <c r="X125" s="687">
        <f t="shared" si="120"/>
        <v>0</v>
      </c>
      <c r="Y125" s="687">
        <f t="shared" si="120"/>
        <v>0</v>
      </c>
      <c r="Z125" s="687">
        <f t="shared" si="120"/>
        <v>0</v>
      </c>
      <c r="AA125" s="687">
        <f t="shared" si="120"/>
        <v>0</v>
      </c>
      <c r="AB125" s="687">
        <f t="shared" si="120"/>
        <v>0</v>
      </c>
      <c r="AC125" s="926"/>
      <c r="AE125" s="568"/>
      <c r="AV125" s="700" t="str">
        <f t="shared" si="113"/>
        <v/>
      </c>
    </row>
    <row r="126" spans="1:64" x14ac:dyDescent="0.25">
      <c r="A126" s="22"/>
      <c r="B126" s="193" t="str">
        <f t="shared" si="108"/>
        <v>TCARHYG100</v>
      </c>
      <c r="C126" s="193"/>
      <c r="D126" s="194"/>
      <c r="E126" s="193"/>
      <c r="F126" s="196"/>
      <c r="G126" s="215"/>
      <c r="H126" s="196"/>
      <c r="I126" s="197">
        <f>AF$10</f>
        <v>2050</v>
      </c>
      <c r="J126" s="198"/>
      <c r="K126" s="198"/>
      <c r="L126" s="212" t="s">
        <v>1065</v>
      </c>
      <c r="M126" s="193" t="s">
        <v>748</v>
      </c>
      <c r="N126" s="688">
        <f t="shared" ref="N126:AB126" si="121">N120*LOOKUP($AD113,$AG$4:$AO$4,$AG$10:$AO$10)</f>
        <v>0</v>
      </c>
      <c r="O126" s="688">
        <f t="shared" si="121"/>
        <v>0</v>
      </c>
      <c r="P126" s="688">
        <f t="shared" si="121"/>
        <v>0</v>
      </c>
      <c r="Q126" s="688">
        <f t="shared" si="121"/>
        <v>0</v>
      </c>
      <c r="R126" s="688">
        <f t="shared" si="121"/>
        <v>0</v>
      </c>
      <c r="S126" s="688">
        <f t="shared" si="121"/>
        <v>0</v>
      </c>
      <c r="T126" s="688">
        <f t="shared" si="121"/>
        <v>0</v>
      </c>
      <c r="U126" s="688">
        <f t="shared" si="121"/>
        <v>0</v>
      </c>
      <c r="V126" s="688">
        <f t="shared" si="121"/>
        <v>0</v>
      </c>
      <c r="W126" s="688">
        <f t="shared" si="121"/>
        <v>0</v>
      </c>
      <c r="X126" s="688">
        <f t="shared" si="121"/>
        <v>0</v>
      </c>
      <c r="Y126" s="688">
        <f t="shared" si="121"/>
        <v>0</v>
      </c>
      <c r="Z126" s="688">
        <f t="shared" si="121"/>
        <v>0</v>
      </c>
      <c r="AA126" s="688">
        <f t="shared" si="121"/>
        <v>0</v>
      </c>
      <c r="AB126" s="688">
        <f t="shared" si="121"/>
        <v>0</v>
      </c>
      <c r="AC126" s="926"/>
      <c r="AE126" s="568"/>
      <c r="AV126" s="700" t="str">
        <f t="shared" si="113"/>
        <v/>
      </c>
    </row>
    <row r="127" spans="1:64" x14ac:dyDescent="0.25">
      <c r="A127" s="22"/>
      <c r="B127" s="186" t="str">
        <f>C127</f>
        <v>TCARLPG100</v>
      </c>
      <c r="C127" s="186" t="s">
        <v>309</v>
      </c>
      <c r="D127" s="187" t="s">
        <v>795</v>
      </c>
      <c r="E127" s="188" t="s">
        <v>1033</v>
      </c>
      <c r="F127" s="170"/>
      <c r="G127" s="213"/>
      <c r="H127" s="170"/>
      <c r="I127" s="190"/>
      <c r="J127" s="191"/>
      <c r="K127" s="191"/>
      <c r="L127" s="211" t="s">
        <v>1107</v>
      </c>
      <c r="M127" s="191" t="s">
        <v>1156</v>
      </c>
      <c r="N127" s="366">
        <f>N$32</f>
        <v>1E-3</v>
      </c>
      <c r="O127" s="366">
        <f t="shared" ref="O127:AB127" si="122">$N127</f>
        <v>1E-3</v>
      </c>
      <c r="P127" s="366">
        <f t="shared" si="122"/>
        <v>1E-3</v>
      </c>
      <c r="Q127" s="366">
        <f t="shared" si="122"/>
        <v>1E-3</v>
      </c>
      <c r="R127" s="366">
        <f t="shared" si="122"/>
        <v>1E-3</v>
      </c>
      <c r="S127" s="366">
        <f t="shared" si="122"/>
        <v>1E-3</v>
      </c>
      <c r="T127" s="366">
        <f t="shared" si="122"/>
        <v>1E-3</v>
      </c>
      <c r="U127" s="366">
        <f t="shared" si="122"/>
        <v>1E-3</v>
      </c>
      <c r="V127" s="366">
        <f t="shared" si="122"/>
        <v>1E-3</v>
      </c>
      <c r="W127" s="366">
        <f t="shared" si="122"/>
        <v>1E-3</v>
      </c>
      <c r="X127" s="366">
        <f t="shared" si="122"/>
        <v>1E-3</v>
      </c>
      <c r="Y127" s="366">
        <f t="shared" si="122"/>
        <v>1E-3</v>
      </c>
      <c r="Z127" s="366">
        <f t="shared" si="122"/>
        <v>1E-3</v>
      </c>
      <c r="AA127" s="366">
        <f t="shared" si="122"/>
        <v>1E-3</v>
      </c>
      <c r="AB127" s="366">
        <f t="shared" si="122"/>
        <v>1E-3</v>
      </c>
      <c r="AC127" s="927"/>
      <c r="AD127" s="402" t="str">
        <f>MID(D127,5,3)</f>
        <v>LPG</v>
      </c>
      <c r="AE127" s="568"/>
      <c r="AV127" s="700" t="str">
        <f t="shared" si="113"/>
        <v>TRALPG</v>
      </c>
      <c r="AW127" s="568">
        <f>SUM(AX127:BL127)</f>
        <v>0</v>
      </c>
      <c r="AX127" s="568">
        <f t="shared" ref="AX127:BL127" si="123">N$131*N$132/N$129/1000</f>
        <v>0</v>
      </c>
      <c r="AY127" s="568">
        <f t="shared" si="123"/>
        <v>0</v>
      </c>
      <c r="AZ127" s="568">
        <f t="shared" si="123"/>
        <v>0</v>
      </c>
      <c r="BA127" s="568">
        <f t="shared" si="123"/>
        <v>0</v>
      </c>
      <c r="BB127" s="568">
        <f t="shared" si="123"/>
        <v>0</v>
      </c>
      <c r="BC127" s="568">
        <f t="shared" si="123"/>
        <v>0</v>
      </c>
      <c r="BD127" s="568">
        <f t="shared" si="123"/>
        <v>0</v>
      </c>
      <c r="BE127" s="568">
        <f t="shared" si="123"/>
        <v>0</v>
      </c>
      <c r="BF127" s="568">
        <f t="shared" si="123"/>
        <v>0</v>
      </c>
      <c r="BG127" s="568">
        <f t="shared" si="123"/>
        <v>0</v>
      </c>
      <c r="BH127" s="568">
        <f t="shared" si="123"/>
        <v>0</v>
      </c>
      <c r="BI127" s="568">
        <f t="shared" si="123"/>
        <v>0</v>
      </c>
      <c r="BJ127" s="568">
        <f t="shared" si="123"/>
        <v>0</v>
      </c>
      <c r="BK127" s="568">
        <f t="shared" si="123"/>
        <v>0</v>
      </c>
      <c r="BL127" s="568">
        <f t="shared" si="123"/>
        <v>0</v>
      </c>
    </row>
    <row r="128" spans="1:64" x14ac:dyDescent="0.25">
      <c r="A128" s="22"/>
      <c r="B128" s="186" t="str">
        <f>B127</f>
        <v>TCARLPG100</v>
      </c>
      <c r="C128" s="186"/>
      <c r="D128" s="187"/>
      <c r="E128" s="186"/>
      <c r="F128" s="170"/>
      <c r="G128" s="214" t="s">
        <v>402</v>
      </c>
      <c r="H128" s="170"/>
      <c r="I128" s="190"/>
      <c r="J128" s="191"/>
      <c r="K128" s="191"/>
      <c r="L128" s="191" t="s">
        <v>1126</v>
      </c>
      <c r="M128" s="186" t="s">
        <v>678</v>
      </c>
      <c r="N128" s="674">
        <f>T_CEFF!H48</f>
        <v>0.38646999999999998</v>
      </c>
      <c r="O128" s="674">
        <f>T_CEFF!I48</f>
        <v>0.38646999999999998</v>
      </c>
      <c r="P128" s="674">
        <f>T_CEFF!J48</f>
        <v>0.38646999999999998</v>
      </c>
      <c r="Q128" s="674">
        <f>T_CEFF!K48</f>
        <v>0.38646999999999998</v>
      </c>
      <c r="R128" s="674">
        <f>T_CEFF!L48</f>
        <v>0.38646999999999998</v>
      </c>
      <c r="S128" s="674">
        <f>T_CEFF!M48</f>
        <v>0.38646999999999998</v>
      </c>
      <c r="T128" s="674">
        <f>T_CEFF!N48</f>
        <v>0.38646999999999998</v>
      </c>
      <c r="U128" s="674">
        <f>T_CEFF!O48</f>
        <v>0.38646999999999998</v>
      </c>
      <c r="V128" s="674">
        <f>T_CEFF!P48</f>
        <v>0.38646999999999998</v>
      </c>
      <c r="W128" s="674">
        <f>T_CEFF!Q48</f>
        <v>0.38646999999999998</v>
      </c>
      <c r="X128" s="674">
        <f>T_CEFF!R48</f>
        <v>0.38646999999999998</v>
      </c>
      <c r="Y128" s="674">
        <f>T_CEFF!S48</f>
        <v>0.38646999999999998</v>
      </c>
      <c r="Z128" s="674">
        <f>T_CEFF!T48</f>
        <v>0.38646999999999998</v>
      </c>
      <c r="AA128" s="674">
        <f>T_CEFF!U48</f>
        <v>0.38646999999999998</v>
      </c>
      <c r="AB128" s="674">
        <f>T_CEFF!V48</f>
        <v>0.38646999999999998</v>
      </c>
      <c r="AC128" s="929"/>
      <c r="AD128" s="66" t="str">
        <f>IF(COUNTIF($AG$4:$AP$4,AD127)=1,"ok","MISSING")</f>
        <v>ok</v>
      </c>
      <c r="AE128" s="568"/>
      <c r="AV128" s="700" t="str">
        <f t="shared" si="113"/>
        <v/>
      </c>
    </row>
    <row r="129" spans="1:64" x14ac:dyDescent="0.25">
      <c r="A129" s="22"/>
      <c r="B129" s="186" t="str">
        <f t="shared" ref="B129:B138" si="124">B128</f>
        <v>TCARLPG100</v>
      </c>
      <c r="C129" s="186"/>
      <c r="D129" s="187"/>
      <c r="E129" s="186"/>
      <c r="F129" s="170"/>
      <c r="G129" s="214" t="s">
        <v>404</v>
      </c>
      <c r="H129" s="170"/>
      <c r="I129" s="190"/>
      <c r="J129" s="191"/>
      <c r="K129" s="191"/>
      <c r="L129" s="191" t="s">
        <v>1126</v>
      </c>
      <c r="M129" s="186" t="s">
        <v>678</v>
      </c>
      <c r="N129" s="674">
        <f>T_CEFF!H49</f>
        <v>0.31873000000000001</v>
      </c>
      <c r="O129" s="674">
        <f>T_CEFF!I49</f>
        <v>0.31873000000000001</v>
      </c>
      <c r="P129" s="674">
        <f>T_CEFF!J49</f>
        <v>0.31873000000000001</v>
      </c>
      <c r="Q129" s="674">
        <f>T_CEFF!K49</f>
        <v>0.31873000000000001</v>
      </c>
      <c r="R129" s="674">
        <f>T_CEFF!L49</f>
        <v>0.31873000000000001</v>
      </c>
      <c r="S129" s="674">
        <f>T_CEFF!M49</f>
        <v>0.31873000000000001</v>
      </c>
      <c r="T129" s="674">
        <f>T_CEFF!N49</f>
        <v>0.31873000000000001</v>
      </c>
      <c r="U129" s="674">
        <f>T_CEFF!O49</f>
        <v>0.31873000000000001</v>
      </c>
      <c r="V129" s="674">
        <f>T_CEFF!P49</f>
        <v>0.31873000000000001</v>
      </c>
      <c r="W129" s="674">
        <f>T_CEFF!Q49</f>
        <v>0.31873000000000001</v>
      </c>
      <c r="X129" s="674">
        <f>T_CEFF!R49</f>
        <v>0.31873000000000001</v>
      </c>
      <c r="Y129" s="674">
        <f>T_CEFF!S49</f>
        <v>0.31873000000000001</v>
      </c>
      <c r="Z129" s="674">
        <f>T_CEFF!T49</f>
        <v>0.31873000000000001</v>
      </c>
      <c r="AA129" s="674">
        <f>T_CEFF!U49</f>
        <v>0.31873000000000001</v>
      </c>
      <c r="AB129" s="674">
        <f>T_CEFF!V49</f>
        <v>0.31873000000000001</v>
      </c>
      <c r="AC129" s="929"/>
      <c r="AE129" s="568"/>
      <c r="AV129" s="700" t="str">
        <f t="shared" si="113"/>
        <v/>
      </c>
    </row>
    <row r="130" spans="1:64" x14ac:dyDescent="0.25">
      <c r="A130" s="22"/>
      <c r="B130" s="186" t="str">
        <f t="shared" si="124"/>
        <v>TCARLPG100</v>
      </c>
      <c r="C130" s="186"/>
      <c r="D130" s="187"/>
      <c r="E130" s="186"/>
      <c r="F130" s="170"/>
      <c r="G130" s="189"/>
      <c r="H130" s="170"/>
      <c r="I130" s="190"/>
      <c r="J130" s="191"/>
      <c r="K130" s="191" t="s">
        <v>749</v>
      </c>
      <c r="L130" s="191" t="s">
        <v>1128</v>
      </c>
      <c r="M130" s="186" t="s">
        <v>1159</v>
      </c>
      <c r="N130" s="368">
        <f>N$14</f>
        <v>1.2</v>
      </c>
      <c r="O130" s="368">
        <f t="shared" ref="O130:AB130" si="125">O$14</f>
        <v>0</v>
      </c>
      <c r="P130" s="368">
        <f t="shared" si="125"/>
        <v>0</v>
      </c>
      <c r="Q130" s="368">
        <f t="shared" si="125"/>
        <v>0</v>
      </c>
      <c r="R130" s="368">
        <f t="shared" si="125"/>
        <v>0</v>
      </c>
      <c r="S130" s="368">
        <f t="shared" si="125"/>
        <v>0</v>
      </c>
      <c r="T130" s="368">
        <f t="shared" si="125"/>
        <v>0</v>
      </c>
      <c r="U130" s="368">
        <f t="shared" si="125"/>
        <v>0</v>
      </c>
      <c r="V130" s="368">
        <f t="shared" si="125"/>
        <v>0</v>
      </c>
      <c r="W130" s="368">
        <f t="shared" si="125"/>
        <v>0</v>
      </c>
      <c r="X130" s="368">
        <f t="shared" si="125"/>
        <v>0</v>
      </c>
      <c r="Y130" s="368">
        <f t="shared" si="125"/>
        <v>0</v>
      </c>
      <c r="Z130" s="368">
        <f t="shared" si="125"/>
        <v>0</v>
      </c>
      <c r="AA130" s="368">
        <f t="shared" si="125"/>
        <v>0</v>
      </c>
      <c r="AB130" s="368">
        <f t="shared" si="125"/>
        <v>0</v>
      </c>
      <c r="AC130" s="920"/>
      <c r="AE130" s="568"/>
      <c r="AV130" s="700" t="str">
        <f t="shared" si="113"/>
        <v/>
      </c>
    </row>
    <row r="131" spans="1:64" x14ac:dyDescent="0.25">
      <c r="A131" s="22"/>
      <c r="B131" s="186" t="str">
        <f t="shared" si="124"/>
        <v>TCARLPG100</v>
      </c>
      <c r="C131" s="186"/>
      <c r="D131" s="187"/>
      <c r="E131" s="186"/>
      <c r="F131" s="170"/>
      <c r="G131" s="189"/>
      <c r="H131" s="170"/>
      <c r="I131" s="190"/>
      <c r="J131" s="191"/>
      <c r="K131" s="191"/>
      <c r="L131" s="211" t="s">
        <v>1130</v>
      </c>
      <c r="M131" s="186" t="s">
        <v>1131</v>
      </c>
      <c r="N131" s="376">
        <f>LOOKUP($C$127, T_NCAP_AF!$C$5:$C$15, T_NCAP_AF!D$5:D$15)*(1+N26)</f>
        <v>0</v>
      </c>
      <c r="O131" s="376">
        <f>LOOKUP($C$127, T_NCAP_AF!$C$5:$C$15, T_NCAP_AF!E$5:E$15)*(1+O26)</f>
        <v>0</v>
      </c>
      <c r="P131" s="376">
        <f>LOOKUP($C$127, T_NCAP_AF!$C$5:$C$15, T_NCAP_AF!F$5:F$15)*(1+P26)</f>
        <v>0</v>
      </c>
      <c r="Q131" s="376">
        <f>LOOKUP($C$127, T_NCAP_AF!$C$5:$C$15, T_NCAP_AF!G$5:G$15)*(1+Q26)</f>
        <v>0</v>
      </c>
      <c r="R131" s="376">
        <f>LOOKUP($C$127, T_NCAP_AF!$C$5:$C$15, T_NCAP_AF!H$5:H$15)*(1+R26)</f>
        <v>0</v>
      </c>
      <c r="S131" s="376">
        <f>LOOKUP($C$127, T_NCAP_AF!$C$5:$C$15, T_NCAP_AF!I$5:I$15)*(1+S26)</f>
        <v>0</v>
      </c>
      <c r="T131" s="376">
        <f>LOOKUP($C$127, T_NCAP_AF!$C$5:$C$15, T_NCAP_AF!J$5:J$15)*(1+T26)</f>
        <v>0</v>
      </c>
      <c r="U131" s="376">
        <f>LOOKUP($C$127, T_NCAP_AF!$C$5:$C$15, T_NCAP_AF!K$5:K$15)*(1+U26)</f>
        <v>0</v>
      </c>
      <c r="V131" s="376">
        <f>LOOKUP($C$127, T_NCAP_AF!$C$5:$C$15, T_NCAP_AF!L$5:L$15)*(1+V26)</f>
        <v>0</v>
      </c>
      <c r="W131" s="376">
        <f>LOOKUP($C$127, T_NCAP_AF!$C$5:$C$15, T_NCAP_AF!M$5:M$15)*(1+W26)</f>
        <v>0</v>
      </c>
      <c r="X131" s="376">
        <f>LOOKUP($C$127, T_NCAP_AF!$C$5:$C$15, T_NCAP_AF!N$5:N$15)*(1+X26)</f>
        <v>0</v>
      </c>
      <c r="Y131" s="376">
        <f>LOOKUP($C$127, T_NCAP_AF!$C$5:$C$15, T_NCAP_AF!O$5:O$15)*(1+Y26)</f>
        <v>0</v>
      </c>
      <c r="Z131" s="376">
        <f>LOOKUP($C$127, T_NCAP_AF!$C$5:$C$15, T_NCAP_AF!P$5:P$15)*(1+Z26)</f>
        <v>0</v>
      </c>
      <c r="AA131" s="376">
        <f>LOOKUP($C$127, T_NCAP_AF!$C$5:$C$15, T_NCAP_AF!Q$5:Q$15)*(1+AA26)</f>
        <v>0</v>
      </c>
      <c r="AB131" s="376">
        <f>LOOKUP($C$127, T_NCAP_AF!$C$5:$C$15, T_NCAP_AF!R$5:R$15)*(1+AB26)</f>
        <v>0</v>
      </c>
      <c r="AC131" s="132"/>
      <c r="AE131" s="568"/>
      <c r="AV131" s="700" t="str">
        <f t="shared" si="113"/>
        <v/>
      </c>
    </row>
    <row r="132" spans="1:64" x14ac:dyDescent="0.25">
      <c r="A132" s="22"/>
      <c r="B132" s="186" t="str">
        <f t="shared" si="124"/>
        <v>TCARLPG100</v>
      </c>
      <c r="C132" s="186"/>
      <c r="D132" s="187"/>
      <c r="E132" s="186"/>
      <c r="F132" s="170"/>
      <c r="G132" s="189"/>
      <c r="H132" s="170"/>
      <c r="I132" s="190">
        <f>$M$3</f>
        <v>2019</v>
      </c>
      <c r="J132" s="191"/>
      <c r="K132" s="191"/>
      <c r="L132" s="211" t="s">
        <v>1065</v>
      </c>
      <c r="M132" s="186" t="s">
        <v>748</v>
      </c>
      <c r="N132" s="687">
        <f>LOOKUP($C$127, T_Stock_Private!$C$10:$C$20, T_Stock_Private!D$10:D$20)*(1+N27)</f>
        <v>0</v>
      </c>
      <c r="O132" s="687">
        <f>LOOKUP($C$127, T_Stock_Private!$C$10:$C$20, T_Stock_Private!E$10:E$20)*(1+O27)</f>
        <v>0</v>
      </c>
      <c r="P132" s="687">
        <f>LOOKUP($C$127, T_Stock_Private!$C$10:$C$20, T_Stock_Private!F$10:F$20)*(1+P27)</f>
        <v>0</v>
      </c>
      <c r="Q132" s="687">
        <f>LOOKUP($C$127, T_Stock_Private!$C$10:$C$20, T_Stock_Private!G$10:G$20)*(1+Q27)</f>
        <v>0</v>
      </c>
      <c r="R132" s="687">
        <f>LOOKUP($C$127, T_Stock_Private!$C$10:$C$20, T_Stock_Private!H$10:H$20)*(1+R27)</f>
        <v>0</v>
      </c>
      <c r="S132" s="687">
        <f>LOOKUP($C$127, T_Stock_Private!$C$10:$C$20, T_Stock_Private!I$10:I$20)*(1+S27)</f>
        <v>0</v>
      </c>
      <c r="T132" s="687">
        <f>LOOKUP($C$127, T_Stock_Private!$C$10:$C$20, T_Stock_Private!J$10:J$20)*(1+T27)</f>
        <v>0</v>
      </c>
      <c r="U132" s="687">
        <f>LOOKUP($C$127, T_Stock_Private!$C$10:$C$20, T_Stock_Private!K$10:K$20)*(1+U27)</f>
        <v>0</v>
      </c>
      <c r="V132" s="687">
        <f>LOOKUP($C$127, T_Stock_Private!$C$10:$C$20, T_Stock_Private!L$10:L$20)*(1+V27)</f>
        <v>0</v>
      </c>
      <c r="W132" s="687">
        <f>LOOKUP($C$127, T_Stock_Private!$C$10:$C$20, T_Stock_Private!M$10:M$20)*(1+W27)</f>
        <v>0</v>
      </c>
      <c r="X132" s="687">
        <f>LOOKUP($C$127, T_Stock_Private!$C$10:$C$20, T_Stock_Private!N$10:N$20)*(1+X27)</f>
        <v>0</v>
      </c>
      <c r="Y132" s="687">
        <f>LOOKUP($C$127, T_Stock_Private!$C$10:$C$20, T_Stock_Private!O$10:O$20)*(1+Y27)</f>
        <v>0</v>
      </c>
      <c r="Z132" s="687">
        <f>LOOKUP($C$127, T_Stock_Private!$C$10:$C$20, T_Stock_Private!P$10:P$20)*(1+Z27)</f>
        <v>0</v>
      </c>
      <c r="AA132" s="687">
        <f>LOOKUP($C$127, T_Stock_Private!$C$10:$C$20, T_Stock_Private!Q$10:Q$20)*(1+AA27)</f>
        <v>0</v>
      </c>
      <c r="AB132" s="687">
        <f>LOOKUP($C$127, T_Stock_Private!$C$10:$C$20, T_Stock_Private!R$10:R$20)*(1+AB27)</f>
        <v>0</v>
      </c>
      <c r="AC132" s="926"/>
      <c r="AE132" s="568"/>
      <c r="AV132" s="700" t="str">
        <f t="shared" si="113"/>
        <v/>
      </c>
    </row>
    <row r="133" spans="1:64" x14ac:dyDescent="0.25">
      <c r="A133" s="22"/>
      <c r="B133" s="186" t="str">
        <f t="shared" si="124"/>
        <v>TCARLPG100</v>
      </c>
      <c r="C133" s="186"/>
      <c r="D133" s="187"/>
      <c r="E133" s="186"/>
      <c r="F133" s="170"/>
      <c r="G133" s="189"/>
      <c r="H133" s="170"/>
      <c r="I133" s="190">
        <f>AF$5</f>
        <v>2020</v>
      </c>
      <c r="J133" s="191"/>
      <c r="K133" s="191"/>
      <c r="L133" s="211" t="s">
        <v>1065</v>
      </c>
      <c r="M133" s="186" t="s">
        <v>748</v>
      </c>
      <c r="N133" s="687">
        <f t="shared" ref="N133:AB133" si="126">N132*LOOKUP($AD127,$AG$4:$AO$4,$AG$5:$AO$5)</f>
        <v>0</v>
      </c>
      <c r="O133" s="687">
        <f t="shared" si="126"/>
        <v>0</v>
      </c>
      <c r="P133" s="687">
        <f t="shared" si="126"/>
        <v>0</v>
      </c>
      <c r="Q133" s="687">
        <f t="shared" si="126"/>
        <v>0</v>
      </c>
      <c r="R133" s="687">
        <f t="shared" si="126"/>
        <v>0</v>
      </c>
      <c r="S133" s="687">
        <f t="shared" si="126"/>
        <v>0</v>
      </c>
      <c r="T133" s="687">
        <f t="shared" si="126"/>
        <v>0</v>
      </c>
      <c r="U133" s="687">
        <f t="shared" si="126"/>
        <v>0</v>
      </c>
      <c r="V133" s="687">
        <f t="shared" si="126"/>
        <v>0</v>
      </c>
      <c r="W133" s="687">
        <f t="shared" si="126"/>
        <v>0</v>
      </c>
      <c r="X133" s="687">
        <f t="shared" si="126"/>
        <v>0</v>
      </c>
      <c r="Y133" s="687">
        <f t="shared" si="126"/>
        <v>0</v>
      </c>
      <c r="Z133" s="687">
        <f t="shared" si="126"/>
        <v>0</v>
      </c>
      <c r="AA133" s="687">
        <f t="shared" si="126"/>
        <v>0</v>
      </c>
      <c r="AB133" s="687">
        <f t="shared" si="126"/>
        <v>0</v>
      </c>
      <c r="AC133" s="926"/>
      <c r="AE133" s="569">
        <f>SUM(AF133:AT133)</f>
        <v>0</v>
      </c>
      <c r="AF133" s="568">
        <f t="shared" ref="AF133:AT133" si="127">N130*N131*N132/1000</f>
        <v>0</v>
      </c>
      <c r="AG133" s="568">
        <f t="shared" si="127"/>
        <v>0</v>
      </c>
      <c r="AH133" s="568">
        <f t="shared" si="127"/>
        <v>0</v>
      </c>
      <c r="AI133" s="568">
        <f t="shared" si="127"/>
        <v>0</v>
      </c>
      <c r="AJ133" s="568">
        <f t="shared" si="127"/>
        <v>0</v>
      </c>
      <c r="AK133" s="568">
        <f t="shared" si="127"/>
        <v>0</v>
      </c>
      <c r="AL133" s="568">
        <f t="shared" si="127"/>
        <v>0</v>
      </c>
      <c r="AM133" s="568">
        <f t="shared" si="127"/>
        <v>0</v>
      </c>
      <c r="AN133" s="568">
        <f t="shared" si="127"/>
        <v>0</v>
      </c>
      <c r="AO133" s="568">
        <f t="shared" si="127"/>
        <v>0</v>
      </c>
      <c r="AP133" s="568">
        <f t="shared" si="127"/>
        <v>0</v>
      </c>
      <c r="AQ133" s="568">
        <f t="shared" si="127"/>
        <v>0</v>
      </c>
      <c r="AR133" s="568">
        <f t="shared" si="127"/>
        <v>0</v>
      </c>
      <c r="AS133" s="568">
        <f t="shared" si="127"/>
        <v>0</v>
      </c>
      <c r="AT133" s="568">
        <f t="shared" si="127"/>
        <v>0</v>
      </c>
      <c r="AV133" s="700" t="str">
        <f t="shared" si="113"/>
        <v/>
      </c>
    </row>
    <row r="134" spans="1:64" x14ac:dyDescent="0.25">
      <c r="A134" s="22"/>
      <c r="B134" s="186" t="str">
        <f t="shared" si="124"/>
        <v>TCARLPG100</v>
      </c>
      <c r="C134" s="186"/>
      <c r="D134" s="187"/>
      <c r="E134" s="186"/>
      <c r="F134" s="170"/>
      <c r="G134" s="189"/>
      <c r="H134" s="170"/>
      <c r="I134" s="190">
        <f>AF$6</f>
        <v>2025</v>
      </c>
      <c r="J134" s="191"/>
      <c r="K134" s="191"/>
      <c r="L134" s="211" t="s">
        <v>1065</v>
      </c>
      <c r="M134" s="186" t="s">
        <v>748</v>
      </c>
      <c r="N134" s="687">
        <f t="shared" ref="N134:AB134" si="128">N132*LOOKUP($AD127,$AG$4:$AO$4,$AG$6:$AO$6)</f>
        <v>0</v>
      </c>
      <c r="O134" s="687">
        <f t="shared" si="128"/>
        <v>0</v>
      </c>
      <c r="P134" s="687">
        <f t="shared" si="128"/>
        <v>0</v>
      </c>
      <c r="Q134" s="687">
        <f t="shared" si="128"/>
        <v>0</v>
      </c>
      <c r="R134" s="687">
        <f t="shared" si="128"/>
        <v>0</v>
      </c>
      <c r="S134" s="687">
        <f t="shared" si="128"/>
        <v>0</v>
      </c>
      <c r="T134" s="687">
        <f t="shared" si="128"/>
        <v>0</v>
      </c>
      <c r="U134" s="687">
        <f t="shared" si="128"/>
        <v>0</v>
      </c>
      <c r="V134" s="687">
        <f t="shared" si="128"/>
        <v>0</v>
      </c>
      <c r="W134" s="687">
        <f t="shared" si="128"/>
        <v>0</v>
      </c>
      <c r="X134" s="687">
        <f t="shared" si="128"/>
        <v>0</v>
      </c>
      <c r="Y134" s="687">
        <f t="shared" si="128"/>
        <v>0</v>
      </c>
      <c r="Z134" s="687">
        <f t="shared" si="128"/>
        <v>0</v>
      </c>
      <c r="AA134" s="687">
        <f t="shared" si="128"/>
        <v>0</v>
      </c>
      <c r="AB134" s="687">
        <f t="shared" si="128"/>
        <v>0</v>
      </c>
      <c r="AC134" s="926"/>
      <c r="AE134" s="568"/>
      <c r="AV134" s="700" t="str">
        <f t="shared" si="113"/>
        <v/>
      </c>
    </row>
    <row r="135" spans="1:64" x14ac:dyDescent="0.25">
      <c r="A135" s="22"/>
      <c r="B135" s="186" t="str">
        <f t="shared" si="124"/>
        <v>TCARLPG100</v>
      </c>
      <c r="C135" s="186"/>
      <c r="D135" s="187"/>
      <c r="E135" s="186"/>
      <c r="F135" s="170"/>
      <c r="G135" s="189"/>
      <c r="H135" s="170"/>
      <c r="I135" s="190">
        <f>AF$7</f>
        <v>2030</v>
      </c>
      <c r="J135" s="191"/>
      <c r="K135" s="191"/>
      <c r="L135" s="211" t="s">
        <v>1065</v>
      </c>
      <c r="M135" s="186" t="s">
        <v>748</v>
      </c>
      <c r="N135" s="687">
        <f t="shared" ref="N135:AB135" si="129">N132*LOOKUP($AD127,$AG$4:$AO$4,$AG$7:$AO$7)</f>
        <v>0</v>
      </c>
      <c r="O135" s="687">
        <f t="shared" si="129"/>
        <v>0</v>
      </c>
      <c r="P135" s="687">
        <f t="shared" si="129"/>
        <v>0</v>
      </c>
      <c r="Q135" s="687">
        <f t="shared" si="129"/>
        <v>0</v>
      </c>
      <c r="R135" s="687">
        <f t="shared" si="129"/>
        <v>0</v>
      </c>
      <c r="S135" s="687">
        <f t="shared" si="129"/>
        <v>0</v>
      </c>
      <c r="T135" s="687">
        <f t="shared" si="129"/>
        <v>0</v>
      </c>
      <c r="U135" s="687">
        <f t="shared" si="129"/>
        <v>0</v>
      </c>
      <c r="V135" s="687">
        <f t="shared" si="129"/>
        <v>0</v>
      </c>
      <c r="W135" s="687">
        <f t="shared" si="129"/>
        <v>0</v>
      </c>
      <c r="X135" s="687">
        <f t="shared" si="129"/>
        <v>0</v>
      </c>
      <c r="Y135" s="687">
        <f t="shared" si="129"/>
        <v>0</v>
      </c>
      <c r="Z135" s="687">
        <f t="shared" si="129"/>
        <v>0</v>
      </c>
      <c r="AA135" s="687">
        <f t="shared" si="129"/>
        <v>0</v>
      </c>
      <c r="AB135" s="687">
        <f t="shared" si="129"/>
        <v>0</v>
      </c>
      <c r="AC135" s="926"/>
      <c r="AE135" s="568"/>
      <c r="AV135" s="700" t="str">
        <f t="shared" si="113"/>
        <v/>
      </c>
    </row>
    <row r="136" spans="1:64" x14ac:dyDescent="0.25">
      <c r="A136" s="22"/>
      <c r="B136" s="186" t="str">
        <f t="shared" si="124"/>
        <v>TCARLPG100</v>
      </c>
      <c r="C136" s="186"/>
      <c r="D136" s="187"/>
      <c r="E136" s="186"/>
      <c r="F136" s="170"/>
      <c r="G136" s="189"/>
      <c r="H136" s="170"/>
      <c r="I136" s="190">
        <f>AF$8</f>
        <v>2035</v>
      </c>
      <c r="J136" s="191"/>
      <c r="K136" s="191"/>
      <c r="L136" s="211" t="s">
        <v>1065</v>
      </c>
      <c r="M136" s="186" t="s">
        <v>748</v>
      </c>
      <c r="N136" s="687">
        <f t="shared" ref="N136:AB136" si="130">N132*LOOKUP($AD127,$AG$4:$AO$4,$AG$8:$AO$8)</f>
        <v>0</v>
      </c>
      <c r="O136" s="687">
        <f t="shared" si="130"/>
        <v>0</v>
      </c>
      <c r="P136" s="687">
        <f t="shared" si="130"/>
        <v>0</v>
      </c>
      <c r="Q136" s="687">
        <f t="shared" si="130"/>
        <v>0</v>
      </c>
      <c r="R136" s="687">
        <f t="shared" si="130"/>
        <v>0</v>
      </c>
      <c r="S136" s="687">
        <f t="shared" si="130"/>
        <v>0</v>
      </c>
      <c r="T136" s="687">
        <f t="shared" si="130"/>
        <v>0</v>
      </c>
      <c r="U136" s="687">
        <f t="shared" si="130"/>
        <v>0</v>
      </c>
      <c r="V136" s="687">
        <f t="shared" si="130"/>
        <v>0</v>
      </c>
      <c r="W136" s="687">
        <f t="shared" si="130"/>
        <v>0</v>
      </c>
      <c r="X136" s="687">
        <f t="shared" si="130"/>
        <v>0</v>
      </c>
      <c r="Y136" s="687">
        <f t="shared" si="130"/>
        <v>0</v>
      </c>
      <c r="Z136" s="687">
        <f t="shared" si="130"/>
        <v>0</v>
      </c>
      <c r="AA136" s="687">
        <f t="shared" si="130"/>
        <v>0</v>
      </c>
      <c r="AB136" s="687">
        <f t="shared" si="130"/>
        <v>0</v>
      </c>
      <c r="AC136" s="926"/>
      <c r="AE136" s="568"/>
      <c r="AV136" s="700" t="str">
        <f t="shared" si="113"/>
        <v/>
      </c>
    </row>
    <row r="137" spans="1:64" x14ac:dyDescent="0.25">
      <c r="A137" s="22"/>
      <c r="B137" s="186" t="str">
        <f t="shared" si="124"/>
        <v>TCARLPG100</v>
      </c>
      <c r="C137" s="186"/>
      <c r="D137" s="187"/>
      <c r="E137" s="186"/>
      <c r="F137" s="170"/>
      <c r="G137" s="189"/>
      <c r="H137" s="170"/>
      <c r="I137" s="190">
        <f>AF$9</f>
        <v>2040</v>
      </c>
      <c r="J137" s="191"/>
      <c r="K137" s="191"/>
      <c r="L137" s="211" t="s">
        <v>1065</v>
      </c>
      <c r="M137" s="186" t="s">
        <v>748</v>
      </c>
      <c r="N137" s="687">
        <f t="shared" ref="N137:AB137" si="131">N132*LOOKUP($AD127,$AG$4:$AO$4,$AG$9:$AO$9)</f>
        <v>0</v>
      </c>
      <c r="O137" s="687">
        <f t="shared" si="131"/>
        <v>0</v>
      </c>
      <c r="P137" s="687">
        <f t="shared" si="131"/>
        <v>0</v>
      </c>
      <c r="Q137" s="687">
        <f t="shared" si="131"/>
        <v>0</v>
      </c>
      <c r="R137" s="687">
        <f t="shared" si="131"/>
        <v>0</v>
      </c>
      <c r="S137" s="687">
        <f t="shared" si="131"/>
        <v>0</v>
      </c>
      <c r="T137" s="687">
        <f t="shared" si="131"/>
        <v>0</v>
      </c>
      <c r="U137" s="687">
        <f t="shared" si="131"/>
        <v>0</v>
      </c>
      <c r="V137" s="687">
        <f t="shared" si="131"/>
        <v>0</v>
      </c>
      <c r="W137" s="687">
        <f t="shared" si="131"/>
        <v>0</v>
      </c>
      <c r="X137" s="687">
        <f t="shared" si="131"/>
        <v>0</v>
      </c>
      <c r="Y137" s="687">
        <f t="shared" si="131"/>
        <v>0</v>
      </c>
      <c r="Z137" s="687">
        <f t="shared" si="131"/>
        <v>0</v>
      </c>
      <c r="AA137" s="687">
        <f t="shared" si="131"/>
        <v>0</v>
      </c>
      <c r="AB137" s="687">
        <f t="shared" si="131"/>
        <v>0</v>
      </c>
      <c r="AC137" s="926"/>
      <c r="AE137" s="568"/>
      <c r="AV137" s="700" t="str">
        <f t="shared" si="113"/>
        <v/>
      </c>
    </row>
    <row r="138" spans="1:64" x14ac:dyDescent="0.25">
      <c r="A138" s="22"/>
      <c r="B138" s="193" t="str">
        <f t="shared" si="124"/>
        <v>TCARLPG100</v>
      </c>
      <c r="C138" s="193"/>
      <c r="D138" s="194"/>
      <c r="E138" s="193"/>
      <c r="F138" s="196"/>
      <c r="G138" s="195"/>
      <c r="H138" s="196"/>
      <c r="I138" s="197">
        <f>AF$10</f>
        <v>2050</v>
      </c>
      <c r="J138" s="198"/>
      <c r="K138" s="198"/>
      <c r="L138" s="212" t="s">
        <v>1065</v>
      </c>
      <c r="M138" s="193" t="s">
        <v>748</v>
      </c>
      <c r="N138" s="688">
        <f t="shared" ref="N138:AB138" si="132">N132*LOOKUP($AD127,$AG$4:$AO$4,$AG$10:$AO$10)</f>
        <v>0</v>
      </c>
      <c r="O138" s="688">
        <f t="shared" si="132"/>
        <v>0</v>
      </c>
      <c r="P138" s="688">
        <f t="shared" si="132"/>
        <v>0</v>
      </c>
      <c r="Q138" s="688">
        <f t="shared" si="132"/>
        <v>0</v>
      </c>
      <c r="R138" s="688">
        <f t="shared" si="132"/>
        <v>0</v>
      </c>
      <c r="S138" s="688">
        <f t="shared" si="132"/>
        <v>0</v>
      </c>
      <c r="T138" s="688">
        <f t="shared" si="132"/>
        <v>0</v>
      </c>
      <c r="U138" s="688">
        <f t="shared" si="132"/>
        <v>0</v>
      </c>
      <c r="V138" s="688">
        <f t="shared" si="132"/>
        <v>0</v>
      </c>
      <c r="W138" s="688">
        <f t="shared" si="132"/>
        <v>0</v>
      </c>
      <c r="X138" s="688">
        <f t="shared" si="132"/>
        <v>0</v>
      </c>
      <c r="Y138" s="688">
        <f t="shared" si="132"/>
        <v>0</v>
      </c>
      <c r="Z138" s="688">
        <f t="shared" si="132"/>
        <v>0</v>
      </c>
      <c r="AA138" s="688">
        <f t="shared" si="132"/>
        <v>0</v>
      </c>
      <c r="AB138" s="688">
        <f t="shared" si="132"/>
        <v>0</v>
      </c>
      <c r="AC138" s="926"/>
      <c r="AE138" s="568"/>
      <c r="AV138" s="700" t="str">
        <f t="shared" si="113"/>
        <v/>
      </c>
    </row>
    <row r="139" spans="1:64" s="83" customFormat="1" ht="15.75" customHeight="1" x14ac:dyDescent="0.25">
      <c r="A139" s="82"/>
      <c r="B139" s="178" t="str">
        <f>C139</f>
        <v>TCARPYD100</v>
      </c>
      <c r="C139" s="178" t="s">
        <v>310</v>
      </c>
      <c r="D139" s="179" t="s">
        <v>798</v>
      </c>
      <c r="E139" s="407" t="s">
        <v>988</v>
      </c>
      <c r="F139" s="182"/>
      <c r="G139" s="326"/>
      <c r="H139" s="182"/>
      <c r="I139" s="183"/>
      <c r="J139" s="184"/>
      <c r="K139" s="184"/>
      <c r="L139" s="203" t="s">
        <v>1107</v>
      </c>
      <c r="M139" s="184" t="s">
        <v>1156</v>
      </c>
      <c r="N139" s="378">
        <f>N$32</f>
        <v>1E-3</v>
      </c>
      <c r="O139" s="378">
        <f t="shared" ref="O139:AB139" si="133">$N139</f>
        <v>1E-3</v>
      </c>
      <c r="P139" s="378">
        <f t="shared" si="133"/>
        <v>1E-3</v>
      </c>
      <c r="Q139" s="378">
        <f t="shared" si="133"/>
        <v>1E-3</v>
      </c>
      <c r="R139" s="378">
        <f t="shared" si="133"/>
        <v>1E-3</v>
      </c>
      <c r="S139" s="378">
        <f t="shared" si="133"/>
        <v>1E-3</v>
      </c>
      <c r="T139" s="378">
        <f t="shared" si="133"/>
        <v>1E-3</v>
      </c>
      <c r="U139" s="378">
        <f t="shared" si="133"/>
        <v>1E-3</v>
      </c>
      <c r="V139" s="378">
        <f t="shared" si="133"/>
        <v>1E-3</v>
      </c>
      <c r="W139" s="378">
        <f t="shared" si="133"/>
        <v>1E-3</v>
      </c>
      <c r="X139" s="378">
        <f t="shared" si="133"/>
        <v>1E-3</v>
      </c>
      <c r="Y139" s="378">
        <f t="shared" si="133"/>
        <v>1E-3</v>
      </c>
      <c r="Z139" s="378">
        <f t="shared" si="133"/>
        <v>1E-3</v>
      </c>
      <c r="AA139" s="378">
        <f t="shared" si="133"/>
        <v>1E-3</v>
      </c>
      <c r="AB139" s="378">
        <f t="shared" si="133"/>
        <v>1E-3</v>
      </c>
      <c r="AC139" s="930"/>
      <c r="AD139" s="410" t="str">
        <f>MID(C139,5,3)</f>
        <v>PYD</v>
      </c>
      <c r="AE139" s="570"/>
      <c r="AV139" s="714" t="str">
        <f t="shared" si="113"/>
        <v>TRABDL</v>
      </c>
      <c r="AW139" s="570">
        <f t="shared" ref="AW139:AW141" si="134">SUM(AX139:BL139)</f>
        <v>0</v>
      </c>
      <c r="AX139" s="570">
        <f t="shared" ref="AX139:BL139" si="135">N$145*N$146*(1-N140)/N$142/1000</f>
        <v>0</v>
      </c>
      <c r="AY139" s="570">
        <f t="shared" si="135"/>
        <v>0</v>
      </c>
      <c r="AZ139" s="570">
        <f t="shared" si="135"/>
        <v>0</v>
      </c>
      <c r="BA139" s="570">
        <f t="shared" si="135"/>
        <v>0</v>
      </c>
      <c r="BB139" s="570">
        <f t="shared" si="135"/>
        <v>0</v>
      </c>
      <c r="BC139" s="570">
        <f t="shared" si="135"/>
        <v>0</v>
      </c>
      <c r="BD139" s="570">
        <f t="shared" si="135"/>
        <v>0</v>
      </c>
      <c r="BE139" s="570">
        <f t="shared" si="135"/>
        <v>0</v>
      </c>
      <c r="BF139" s="570">
        <f t="shared" si="135"/>
        <v>0</v>
      </c>
      <c r="BG139" s="570">
        <f t="shared" si="135"/>
        <v>0</v>
      </c>
      <c r="BH139" s="570">
        <f t="shared" si="135"/>
        <v>0</v>
      </c>
      <c r="BI139" s="570">
        <f t="shared" si="135"/>
        <v>0</v>
      </c>
      <c r="BJ139" s="570">
        <f t="shared" si="135"/>
        <v>0</v>
      </c>
      <c r="BK139" s="570">
        <f t="shared" si="135"/>
        <v>0</v>
      </c>
      <c r="BL139" s="570">
        <f t="shared" si="135"/>
        <v>0</v>
      </c>
    </row>
    <row r="140" spans="1:64" x14ac:dyDescent="0.25">
      <c r="A140" s="22"/>
      <c r="B140" s="186" t="str">
        <f>B139</f>
        <v>TCARPYD100</v>
      </c>
      <c r="C140" s="186"/>
      <c r="D140" s="187"/>
      <c r="E140" s="188" t="s">
        <v>185</v>
      </c>
      <c r="F140" s="170"/>
      <c r="G140" s="213"/>
      <c r="H140" s="170"/>
      <c r="I140" s="190"/>
      <c r="J140" s="191" t="str">
        <f>$J$33</f>
        <v>UP</v>
      </c>
      <c r="K140" s="191"/>
      <c r="L140" s="211" t="s">
        <v>101</v>
      </c>
      <c r="M140" s="186"/>
      <c r="N140" s="377">
        <f>1-(N$17+N$18)</f>
        <v>0.78</v>
      </c>
      <c r="O140" s="377">
        <f t="shared" ref="O140:AB140" si="136">1-(O$17+O$18)</f>
        <v>0.78</v>
      </c>
      <c r="P140" s="377">
        <f t="shared" si="136"/>
        <v>0.78</v>
      </c>
      <c r="Q140" s="377">
        <f t="shared" si="136"/>
        <v>0.78</v>
      </c>
      <c r="R140" s="377">
        <f t="shared" si="136"/>
        <v>0.78</v>
      </c>
      <c r="S140" s="377">
        <f t="shared" si="136"/>
        <v>0.78</v>
      </c>
      <c r="T140" s="377">
        <f t="shared" si="136"/>
        <v>0.78</v>
      </c>
      <c r="U140" s="377">
        <f t="shared" si="136"/>
        <v>0.78</v>
      </c>
      <c r="V140" s="377">
        <f t="shared" si="136"/>
        <v>0.78</v>
      </c>
      <c r="W140" s="377">
        <f t="shared" si="136"/>
        <v>0.78</v>
      </c>
      <c r="X140" s="377">
        <f t="shared" si="136"/>
        <v>0.78</v>
      </c>
      <c r="Y140" s="377">
        <f t="shared" si="136"/>
        <v>0.78</v>
      </c>
      <c r="Z140" s="377">
        <f t="shared" si="136"/>
        <v>0.78</v>
      </c>
      <c r="AA140" s="377">
        <f t="shared" si="136"/>
        <v>0.78</v>
      </c>
      <c r="AB140" s="377">
        <f t="shared" si="136"/>
        <v>0.78</v>
      </c>
      <c r="AC140" s="925"/>
      <c r="AD140" s="66" t="str">
        <f>IF(COUNTIF($AG$4:$AP$4,AD139)=1,"ok","MISSING")</f>
        <v>ok</v>
      </c>
      <c r="AE140" s="570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V140" s="700" t="str">
        <f t="shared" si="113"/>
        <v>TRADST</v>
      </c>
      <c r="AW140" s="568">
        <f t="shared" si="134"/>
        <v>0</v>
      </c>
      <c r="AX140" s="570">
        <f t="shared" ref="AX140:BL141" si="137">N$145*N$146*N140/N$142/1000</f>
        <v>0</v>
      </c>
      <c r="AY140" s="570">
        <f t="shared" si="137"/>
        <v>0</v>
      </c>
      <c r="AZ140" s="570">
        <f t="shared" si="137"/>
        <v>0</v>
      </c>
      <c r="BA140" s="570">
        <f t="shared" si="137"/>
        <v>0</v>
      </c>
      <c r="BB140" s="570">
        <f t="shared" si="137"/>
        <v>0</v>
      </c>
      <c r="BC140" s="570">
        <f t="shared" si="137"/>
        <v>0</v>
      </c>
      <c r="BD140" s="570">
        <f t="shared" si="137"/>
        <v>0</v>
      </c>
      <c r="BE140" s="570">
        <f t="shared" si="137"/>
        <v>0</v>
      </c>
      <c r="BF140" s="570">
        <f t="shared" si="137"/>
        <v>0</v>
      </c>
      <c r="BG140" s="570">
        <f t="shared" si="137"/>
        <v>0</v>
      </c>
      <c r="BH140" s="570">
        <f t="shared" si="137"/>
        <v>0</v>
      </c>
      <c r="BI140" s="570">
        <f t="shared" si="137"/>
        <v>0</v>
      </c>
      <c r="BJ140" s="570">
        <f t="shared" si="137"/>
        <v>0</v>
      </c>
      <c r="BK140" s="570">
        <f t="shared" si="137"/>
        <v>0</v>
      </c>
      <c r="BL140" s="570">
        <f t="shared" si="137"/>
        <v>0</v>
      </c>
    </row>
    <row r="141" spans="1:64" x14ac:dyDescent="0.25">
      <c r="A141" s="22"/>
      <c r="B141" s="186" t="str">
        <f t="shared" ref="B141" si="138">B140</f>
        <v>TCARPYD100</v>
      </c>
      <c r="C141" s="186"/>
      <c r="D141" s="187"/>
      <c r="E141" s="188" t="s">
        <v>990</v>
      </c>
      <c r="F141" s="170"/>
      <c r="G141" s="213"/>
      <c r="H141" s="170"/>
      <c r="I141" s="190"/>
      <c r="J141" s="191" t="s">
        <v>1157</v>
      </c>
      <c r="K141" s="191"/>
      <c r="L141" s="211" t="s">
        <v>101</v>
      </c>
      <c r="M141" s="186"/>
      <c r="N141" s="377">
        <f>N$17</f>
        <v>7.0000000000000007E-2</v>
      </c>
      <c r="O141" s="377">
        <f t="shared" ref="O141:AB141" si="139">O$17</f>
        <v>7.0000000000000007E-2</v>
      </c>
      <c r="P141" s="377">
        <f t="shared" si="139"/>
        <v>7.0000000000000007E-2</v>
      </c>
      <c r="Q141" s="377">
        <f t="shared" si="139"/>
        <v>7.0000000000000007E-2</v>
      </c>
      <c r="R141" s="377">
        <f t="shared" si="139"/>
        <v>7.0000000000000007E-2</v>
      </c>
      <c r="S141" s="377">
        <f t="shared" si="139"/>
        <v>7.0000000000000007E-2</v>
      </c>
      <c r="T141" s="377">
        <f t="shared" si="139"/>
        <v>7.0000000000000007E-2</v>
      </c>
      <c r="U141" s="377">
        <f t="shared" si="139"/>
        <v>7.0000000000000007E-2</v>
      </c>
      <c r="V141" s="377">
        <f t="shared" si="139"/>
        <v>7.0000000000000007E-2</v>
      </c>
      <c r="W141" s="377">
        <f t="shared" si="139"/>
        <v>7.0000000000000007E-2</v>
      </c>
      <c r="X141" s="377">
        <f t="shared" si="139"/>
        <v>7.0000000000000007E-2</v>
      </c>
      <c r="Y141" s="377">
        <f t="shared" si="139"/>
        <v>7.0000000000000007E-2</v>
      </c>
      <c r="Z141" s="377">
        <f t="shared" si="139"/>
        <v>7.0000000000000007E-2</v>
      </c>
      <c r="AA141" s="377">
        <f t="shared" si="139"/>
        <v>7.0000000000000007E-2</v>
      </c>
      <c r="AB141" s="377">
        <f t="shared" si="139"/>
        <v>7.0000000000000007E-2</v>
      </c>
      <c r="AC141" s="925"/>
      <c r="AD141" s="66"/>
      <c r="AE141" s="570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V141" s="700" t="str">
        <f t="shared" si="113"/>
        <v>TRABDLM</v>
      </c>
      <c r="AW141" s="568">
        <f t="shared" si="134"/>
        <v>0</v>
      </c>
      <c r="AX141" s="570">
        <f t="shared" si="137"/>
        <v>0</v>
      </c>
      <c r="AY141" s="570">
        <f t="shared" si="137"/>
        <v>0</v>
      </c>
      <c r="AZ141" s="570">
        <f t="shared" si="137"/>
        <v>0</v>
      </c>
      <c r="BA141" s="570">
        <f t="shared" si="137"/>
        <v>0</v>
      </c>
      <c r="BB141" s="570">
        <f t="shared" si="137"/>
        <v>0</v>
      </c>
      <c r="BC141" s="570">
        <f t="shared" si="137"/>
        <v>0</v>
      </c>
      <c r="BD141" s="570">
        <f t="shared" si="137"/>
        <v>0</v>
      </c>
      <c r="BE141" s="570">
        <f t="shared" si="137"/>
        <v>0</v>
      </c>
      <c r="BF141" s="570">
        <f t="shared" si="137"/>
        <v>0</v>
      </c>
      <c r="BG141" s="570">
        <f t="shared" si="137"/>
        <v>0</v>
      </c>
      <c r="BH141" s="570">
        <f t="shared" si="137"/>
        <v>0</v>
      </c>
      <c r="BI141" s="570">
        <f t="shared" si="137"/>
        <v>0</v>
      </c>
      <c r="BJ141" s="570">
        <f t="shared" si="137"/>
        <v>0</v>
      </c>
      <c r="BK141" s="570">
        <f t="shared" si="137"/>
        <v>0</v>
      </c>
      <c r="BL141" s="570">
        <f t="shared" si="137"/>
        <v>0</v>
      </c>
    </row>
    <row r="142" spans="1:64" x14ac:dyDescent="0.25">
      <c r="A142" s="22"/>
      <c r="B142" s="186" t="str">
        <f>B140</f>
        <v>TCARPYD100</v>
      </c>
      <c r="C142" s="186"/>
      <c r="D142" s="187"/>
      <c r="E142" s="186"/>
      <c r="F142" s="170"/>
      <c r="G142" s="214" t="s">
        <v>402</v>
      </c>
      <c r="H142" s="170"/>
      <c r="I142" s="190"/>
      <c r="J142" s="191"/>
      <c r="K142" s="191"/>
      <c r="L142" s="191" t="s">
        <v>1126</v>
      </c>
      <c r="M142" s="186" t="s">
        <v>678</v>
      </c>
      <c r="N142" s="674">
        <f>T_CEFF!H70</f>
        <v>0.68376000000000003</v>
      </c>
      <c r="O142" s="674">
        <f>T_CEFF!I70</f>
        <v>0.68376000000000003</v>
      </c>
      <c r="P142" s="674">
        <f>T_CEFF!J70</f>
        <v>0.68376000000000003</v>
      </c>
      <c r="Q142" s="674">
        <f>T_CEFF!K70</f>
        <v>0.68376000000000003</v>
      </c>
      <c r="R142" s="674">
        <f>T_CEFF!L70</f>
        <v>0.68376000000000003</v>
      </c>
      <c r="S142" s="674">
        <f>T_CEFF!M70</f>
        <v>0.68376000000000003</v>
      </c>
      <c r="T142" s="674">
        <f>T_CEFF!N70</f>
        <v>0.68376000000000003</v>
      </c>
      <c r="U142" s="674">
        <f>T_CEFF!O70</f>
        <v>0.68376000000000003</v>
      </c>
      <c r="V142" s="674">
        <f>T_CEFF!P70</f>
        <v>0.68376000000000003</v>
      </c>
      <c r="W142" s="674">
        <f>T_CEFF!Q70</f>
        <v>0.68376000000000003</v>
      </c>
      <c r="X142" s="674">
        <f>T_CEFF!R70</f>
        <v>0.68376000000000003</v>
      </c>
      <c r="Y142" s="674">
        <f>T_CEFF!S70</f>
        <v>0.68376000000000003</v>
      </c>
      <c r="Z142" s="674">
        <f>T_CEFF!T70</f>
        <v>0.68376000000000003</v>
      </c>
      <c r="AA142" s="674">
        <f>T_CEFF!U70</f>
        <v>0.68376000000000003</v>
      </c>
      <c r="AB142" s="674">
        <f>T_CEFF!V70</f>
        <v>0.68376000000000003</v>
      </c>
      <c r="AC142" s="929"/>
      <c r="AE142" s="568"/>
      <c r="AV142" s="700" t="str">
        <f t="shared" si="113"/>
        <v/>
      </c>
    </row>
    <row r="143" spans="1:64" x14ac:dyDescent="0.25">
      <c r="A143" s="22"/>
      <c r="B143" s="186" t="str">
        <f>B142</f>
        <v>TCARPYD100</v>
      </c>
      <c r="C143" s="186"/>
      <c r="D143" s="187"/>
      <c r="E143" s="186"/>
      <c r="F143" s="170"/>
      <c r="G143" s="214" t="s">
        <v>404</v>
      </c>
      <c r="H143" s="170"/>
      <c r="I143" s="190"/>
      <c r="J143" s="191"/>
      <c r="K143" s="191"/>
      <c r="L143" s="191" t="s">
        <v>1126</v>
      </c>
      <c r="M143" s="186" t="s">
        <v>678</v>
      </c>
      <c r="N143" s="674">
        <f>T_CEFF!H71</f>
        <v>0.87912000000000001</v>
      </c>
      <c r="O143" s="674">
        <f>T_CEFF!I71</f>
        <v>0.87912000000000001</v>
      </c>
      <c r="P143" s="674">
        <f>T_CEFF!J71</f>
        <v>0.87912000000000001</v>
      </c>
      <c r="Q143" s="674">
        <f>T_CEFF!K71</f>
        <v>0.87912000000000001</v>
      </c>
      <c r="R143" s="674">
        <f>T_CEFF!L71</f>
        <v>0.87912000000000001</v>
      </c>
      <c r="S143" s="674">
        <f>T_CEFF!M71</f>
        <v>0.87912000000000001</v>
      </c>
      <c r="T143" s="674">
        <f>T_CEFF!N71</f>
        <v>0.87912000000000001</v>
      </c>
      <c r="U143" s="674">
        <f>T_CEFF!O71</f>
        <v>0.87912000000000001</v>
      </c>
      <c r="V143" s="674">
        <f>T_CEFF!P71</f>
        <v>0.87912000000000001</v>
      </c>
      <c r="W143" s="674">
        <f>T_CEFF!Q71</f>
        <v>0.87912000000000001</v>
      </c>
      <c r="X143" s="674">
        <f>T_CEFF!R71</f>
        <v>0.87912000000000001</v>
      </c>
      <c r="Y143" s="674">
        <f>T_CEFF!S71</f>
        <v>0.87912000000000001</v>
      </c>
      <c r="Z143" s="674">
        <f>T_CEFF!T71</f>
        <v>0.87912000000000001</v>
      </c>
      <c r="AA143" s="674">
        <f>T_CEFF!U71</f>
        <v>0.87912000000000001</v>
      </c>
      <c r="AB143" s="674">
        <f>T_CEFF!V71</f>
        <v>0.87912000000000001</v>
      </c>
      <c r="AC143" s="929"/>
      <c r="AE143" s="568"/>
      <c r="AV143" s="700" t="str">
        <f t="shared" si="113"/>
        <v/>
      </c>
    </row>
    <row r="144" spans="1:64" x14ac:dyDescent="0.25">
      <c r="A144" s="22"/>
      <c r="B144" s="186" t="str">
        <f t="shared" ref="B144:B152" si="140">B143</f>
        <v>TCARPYD100</v>
      </c>
      <c r="C144" s="186"/>
      <c r="D144" s="187"/>
      <c r="E144" s="186"/>
      <c r="F144" s="170"/>
      <c r="G144" s="213"/>
      <c r="H144" s="170"/>
      <c r="I144" s="190"/>
      <c r="J144" s="191"/>
      <c r="K144" s="191" t="s">
        <v>749</v>
      </c>
      <c r="L144" s="191" t="s">
        <v>1128</v>
      </c>
      <c r="M144" s="186" t="s">
        <v>1159</v>
      </c>
      <c r="N144" s="368">
        <f>N$14</f>
        <v>1.2</v>
      </c>
      <c r="O144" s="368">
        <f t="shared" ref="O144:AB144" si="141">O$14</f>
        <v>0</v>
      </c>
      <c r="P144" s="368">
        <f t="shared" si="141"/>
        <v>0</v>
      </c>
      <c r="Q144" s="368">
        <f t="shared" si="141"/>
        <v>0</v>
      </c>
      <c r="R144" s="368">
        <f t="shared" si="141"/>
        <v>0</v>
      </c>
      <c r="S144" s="368">
        <f t="shared" si="141"/>
        <v>0</v>
      </c>
      <c r="T144" s="368">
        <f t="shared" si="141"/>
        <v>0</v>
      </c>
      <c r="U144" s="368">
        <f t="shared" si="141"/>
        <v>0</v>
      </c>
      <c r="V144" s="368">
        <f t="shared" si="141"/>
        <v>0</v>
      </c>
      <c r="W144" s="368">
        <f t="shared" si="141"/>
        <v>0</v>
      </c>
      <c r="X144" s="368">
        <f t="shared" si="141"/>
        <v>0</v>
      </c>
      <c r="Y144" s="368">
        <f t="shared" si="141"/>
        <v>0</v>
      </c>
      <c r="Z144" s="368">
        <f t="shared" si="141"/>
        <v>0</v>
      </c>
      <c r="AA144" s="368">
        <f t="shared" si="141"/>
        <v>0</v>
      </c>
      <c r="AB144" s="368">
        <f t="shared" si="141"/>
        <v>0</v>
      </c>
      <c r="AC144" s="920"/>
      <c r="AE144" s="568"/>
      <c r="AV144" s="700" t="str">
        <f t="shared" si="113"/>
        <v/>
      </c>
    </row>
    <row r="145" spans="1:64" x14ac:dyDescent="0.25">
      <c r="A145" s="22"/>
      <c r="B145" s="186" t="str">
        <f t="shared" si="140"/>
        <v>TCARPYD100</v>
      </c>
      <c r="C145" s="186"/>
      <c r="D145" s="187"/>
      <c r="E145" s="186"/>
      <c r="F145" s="170"/>
      <c r="G145" s="213"/>
      <c r="H145" s="170"/>
      <c r="I145" s="190"/>
      <c r="J145" s="191"/>
      <c r="K145" s="191"/>
      <c r="L145" s="211" t="s">
        <v>1130</v>
      </c>
      <c r="M145" s="186" t="s">
        <v>1131</v>
      </c>
      <c r="N145" s="376">
        <f>LOOKUP($C$139, T_NCAP_AF!$C$5:$C$15, T_NCAP_AF!D$5:D$15)*(1+N26)</f>
        <v>11.835000000000001</v>
      </c>
      <c r="O145" s="376">
        <f>LOOKUP($C$139, T_NCAP_AF!$C$5:$C$15, T_NCAP_AF!E$5:E$15)*(1+O26)</f>
        <v>0</v>
      </c>
      <c r="P145" s="376">
        <f>LOOKUP($C$139, T_NCAP_AF!$C$5:$C$15, T_NCAP_AF!F$5:F$15)*(1+P26)</f>
        <v>0</v>
      </c>
      <c r="Q145" s="376">
        <f>LOOKUP($C$139, T_NCAP_AF!$C$5:$C$15, T_NCAP_AF!G$5:G$15)*(1+Q26)</f>
        <v>0</v>
      </c>
      <c r="R145" s="376">
        <f>LOOKUP($C$139, T_NCAP_AF!$C$5:$C$15, T_NCAP_AF!H$5:H$15)*(1+R26)</f>
        <v>0</v>
      </c>
      <c r="S145" s="376">
        <f>LOOKUP($C$139, T_NCAP_AF!$C$5:$C$15, T_NCAP_AF!I$5:I$15)*(1+S26)</f>
        <v>0</v>
      </c>
      <c r="T145" s="376">
        <f>LOOKUP($C$139, T_NCAP_AF!$C$5:$C$15, T_NCAP_AF!J$5:J$15)*(1+T26)</f>
        <v>0</v>
      </c>
      <c r="U145" s="376">
        <f>LOOKUP($C$139, T_NCAP_AF!$C$5:$C$15, T_NCAP_AF!K$5:K$15)*(1+U26)</f>
        <v>0</v>
      </c>
      <c r="V145" s="376">
        <f>LOOKUP($C$139, T_NCAP_AF!$C$5:$C$15, T_NCAP_AF!L$5:L$15)*(1+V26)</f>
        <v>0</v>
      </c>
      <c r="W145" s="376">
        <f>LOOKUP($C$139, T_NCAP_AF!$C$5:$C$15, T_NCAP_AF!M$5:M$15)*(1+W26)</f>
        <v>0</v>
      </c>
      <c r="X145" s="376">
        <f>LOOKUP($C$139, T_NCAP_AF!$C$5:$C$15, T_NCAP_AF!N$5:N$15)*(1+X26)</f>
        <v>0</v>
      </c>
      <c r="Y145" s="376">
        <f>LOOKUP($C$139, T_NCAP_AF!$C$5:$C$15, T_NCAP_AF!O$5:O$15)*(1+Y26)</f>
        <v>0</v>
      </c>
      <c r="Z145" s="376">
        <f>LOOKUP($C$139, T_NCAP_AF!$C$5:$C$15, T_NCAP_AF!P$5:P$15)*(1+Z26)</f>
        <v>0</v>
      </c>
      <c r="AA145" s="376">
        <f>LOOKUP($C$139, T_NCAP_AF!$C$5:$C$15, T_NCAP_AF!Q$5:Q$15)*(1+AA26)</f>
        <v>0</v>
      </c>
      <c r="AB145" s="376">
        <f>LOOKUP($C$139, T_NCAP_AF!$C$5:$C$15, T_NCAP_AF!R$5:R$15)*(1+AB26)</f>
        <v>0</v>
      </c>
      <c r="AC145" s="132"/>
      <c r="AE145" s="568"/>
      <c r="AV145" s="700" t="str">
        <f t="shared" si="113"/>
        <v/>
      </c>
    </row>
    <row r="146" spans="1:64" x14ac:dyDescent="0.25">
      <c r="A146" s="22"/>
      <c r="B146" s="186" t="str">
        <f t="shared" si="140"/>
        <v>TCARPYD100</v>
      </c>
      <c r="C146" s="186"/>
      <c r="D146" s="187"/>
      <c r="E146" s="186"/>
      <c r="F146" s="170"/>
      <c r="G146" s="213"/>
      <c r="H146" s="170"/>
      <c r="I146" s="190">
        <f>$M$3</f>
        <v>2019</v>
      </c>
      <c r="J146" s="191"/>
      <c r="K146" s="191"/>
      <c r="L146" s="211" t="s">
        <v>1065</v>
      </c>
      <c r="M146" s="186" t="s">
        <v>748</v>
      </c>
      <c r="N146" s="687">
        <f>LOOKUP($C$139, T_Stock_Private!$C$10:$C$20, T_Stock_Private!D$10:D$20)*(1+N27)</f>
        <v>0</v>
      </c>
      <c r="O146" s="687">
        <f>LOOKUP($C$139, T_Stock_Private!$C$10:$C$20, T_Stock_Private!E$10:E$20)*(1+O27)</f>
        <v>0</v>
      </c>
      <c r="P146" s="687">
        <f>LOOKUP($C$139, T_Stock_Private!$C$10:$C$20, T_Stock_Private!F$10:F$20)*(1+P27)</f>
        <v>0</v>
      </c>
      <c r="Q146" s="687">
        <f>LOOKUP($C$139, T_Stock_Private!$C$10:$C$20, T_Stock_Private!G$10:G$20)*(1+Q27)</f>
        <v>0</v>
      </c>
      <c r="R146" s="687">
        <f>LOOKUP($C$139, T_Stock_Private!$C$10:$C$20, T_Stock_Private!H$10:H$20)*(1+R27)</f>
        <v>0</v>
      </c>
      <c r="S146" s="687">
        <f>LOOKUP($C$139, T_Stock_Private!$C$10:$C$20, T_Stock_Private!I$10:I$20)*(1+S27)</f>
        <v>0</v>
      </c>
      <c r="T146" s="687">
        <f>LOOKUP($C$139, T_Stock_Private!$C$10:$C$20, T_Stock_Private!J$10:J$20)*(1+T27)</f>
        <v>0</v>
      </c>
      <c r="U146" s="687">
        <f>LOOKUP($C$139, T_Stock_Private!$C$10:$C$20, T_Stock_Private!K$10:K$20)*(1+U27)</f>
        <v>0</v>
      </c>
      <c r="V146" s="687">
        <f>LOOKUP($C$139, T_Stock_Private!$C$10:$C$20, T_Stock_Private!L$10:L$20)*(1+V27)</f>
        <v>0</v>
      </c>
      <c r="W146" s="687">
        <f>LOOKUP($C$139, T_Stock_Private!$C$10:$C$20, T_Stock_Private!M$10:M$20)*(1+W27)</f>
        <v>0</v>
      </c>
      <c r="X146" s="687">
        <f>LOOKUP($C$139, T_Stock_Private!$C$10:$C$20, T_Stock_Private!N$10:N$20)*(1+X27)</f>
        <v>0</v>
      </c>
      <c r="Y146" s="687">
        <f>LOOKUP($C$139, T_Stock_Private!$C$10:$C$20, T_Stock_Private!O$10:O$20)*(1+Y27)</f>
        <v>0</v>
      </c>
      <c r="Z146" s="687">
        <f>LOOKUP($C$139, T_Stock_Private!$C$10:$C$20, T_Stock_Private!P$10:P$20)*(1+Z27)</f>
        <v>0</v>
      </c>
      <c r="AA146" s="687">
        <f>LOOKUP($C$139, T_Stock_Private!$C$10:$C$20, T_Stock_Private!Q$10:Q$20)*(1+AA27)</f>
        <v>0</v>
      </c>
      <c r="AB146" s="687">
        <f>LOOKUP($C$139, T_Stock_Private!$C$10:$C$20, T_Stock_Private!R$10:R$20)*(1+AB27)</f>
        <v>0</v>
      </c>
      <c r="AC146" s="926"/>
      <c r="AE146" s="568"/>
      <c r="AV146" s="700" t="str">
        <f t="shared" si="113"/>
        <v/>
      </c>
    </row>
    <row r="147" spans="1:64" x14ac:dyDescent="0.25">
      <c r="A147" s="22"/>
      <c r="B147" s="186" t="str">
        <f t="shared" si="140"/>
        <v>TCARPYD100</v>
      </c>
      <c r="C147" s="186"/>
      <c r="D147" s="187"/>
      <c r="E147" s="186"/>
      <c r="F147" s="170"/>
      <c r="G147" s="213"/>
      <c r="H147" s="170"/>
      <c r="I147" s="190">
        <f>AF$5</f>
        <v>2020</v>
      </c>
      <c r="J147" s="191"/>
      <c r="K147" s="191"/>
      <c r="L147" s="211" t="s">
        <v>1065</v>
      </c>
      <c r="M147" s="186" t="s">
        <v>748</v>
      </c>
      <c r="N147" s="687">
        <f t="shared" ref="N147:AB147" si="142">N146*LOOKUP($AD139,$AG$4:$AO$4,$AG$5:$AO$5)</f>
        <v>0</v>
      </c>
      <c r="O147" s="687">
        <f t="shared" si="142"/>
        <v>0</v>
      </c>
      <c r="P147" s="687">
        <f t="shared" si="142"/>
        <v>0</v>
      </c>
      <c r="Q147" s="687">
        <f t="shared" si="142"/>
        <v>0</v>
      </c>
      <c r="R147" s="687">
        <f t="shared" si="142"/>
        <v>0</v>
      </c>
      <c r="S147" s="687">
        <f t="shared" si="142"/>
        <v>0</v>
      </c>
      <c r="T147" s="687">
        <f t="shared" si="142"/>
        <v>0</v>
      </c>
      <c r="U147" s="687">
        <f t="shared" si="142"/>
        <v>0</v>
      </c>
      <c r="V147" s="687">
        <f t="shared" si="142"/>
        <v>0</v>
      </c>
      <c r="W147" s="687">
        <f t="shared" si="142"/>
        <v>0</v>
      </c>
      <c r="X147" s="687">
        <f t="shared" si="142"/>
        <v>0</v>
      </c>
      <c r="Y147" s="687">
        <f t="shared" si="142"/>
        <v>0</v>
      </c>
      <c r="Z147" s="687">
        <f t="shared" si="142"/>
        <v>0</v>
      </c>
      <c r="AA147" s="687">
        <f t="shared" si="142"/>
        <v>0</v>
      </c>
      <c r="AB147" s="687">
        <f t="shared" si="142"/>
        <v>0</v>
      </c>
      <c r="AC147" s="926"/>
      <c r="AE147" s="569">
        <f>SUM(AF147:AT147)</f>
        <v>0</v>
      </c>
      <c r="AF147" s="568">
        <f t="shared" ref="AF147:AT147" si="143">N144*N145*N146/1000</f>
        <v>0</v>
      </c>
      <c r="AG147" s="568">
        <f t="shared" si="143"/>
        <v>0</v>
      </c>
      <c r="AH147" s="568">
        <f t="shared" si="143"/>
        <v>0</v>
      </c>
      <c r="AI147" s="568">
        <f t="shared" si="143"/>
        <v>0</v>
      </c>
      <c r="AJ147" s="568">
        <f t="shared" si="143"/>
        <v>0</v>
      </c>
      <c r="AK147" s="568">
        <f t="shared" si="143"/>
        <v>0</v>
      </c>
      <c r="AL147" s="568">
        <f t="shared" si="143"/>
        <v>0</v>
      </c>
      <c r="AM147" s="568">
        <f t="shared" si="143"/>
        <v>0</v>
      </c>
      <c r="AN147" s="568">
        <f t="shared" si="143"/>
        <v>0</v>
      </c>
      <c r="AO147" s="568">
        <f t="shared" si="143"/>
        <v>0</v>
      </c>
      <c r="AP147" s="568">
        <f t="shared" si="143"/>
        <v>0</v>
      </c>
      <c r="AQ147" s="568">
        <f t="shared" si="143"/>
        <v>0</v>
      </c>
      <c r="AR147" s="568">
        <f t="shared" si="143"/>
        <v>0</v>
      </c>
      <c r="AS147" s="568">
        <f t="shared" si="143"/>
        <v>0</v>
      </c>
      <c r="AT147" s="568">
        <f t="shared" si="143"/>
        <v>0</v>
      </c>
      <c r="AV147" s="700" t="str">
        <f t="shared" si="113"/>
        <v/>
      </c>
    </row>
    <row r="148" spans="1:64" x14ac:dyDescent="0.25">
      <c r="A148" s="22"/>
      <c r="B148" s="186" t="str">
        <f t="shared" si="140"/>
        <v>TCARPYD100</v>
      </c>
      <c r="C148" s="186"/>
      <c r="D148" s="187"/>
      <c r="E148" s="186"/>
      <c r="F148" s="170"/>
      <c r="G148" s="213"/>
      <c r="H148" s="170"/>
      <c r="I148" s="190">
        <f>AF$6</f>
        <v>2025</v>
      </c>
      <c r="J148" s="191"/>
      <c r="K148" s="191"/>
      <c r="L148" s="211" t="s">
        <v>1065</v>
      </c>
      <c r="M148" s="186" t="s">
        <v>748</v>
      </c>
      <c r="N148" s="687">
        <f t="shared" ref="N148:AB148" si="144">N146*LOOKUP($AD139,$AG$4:$AO$4,$AG$6:$AO$6)</f>
        <v>0</v>
      </c>
      <c r="O148" s="687">
        <f t="shared" si="144"/>
        <v>0</v>
      </c>
      <c r="P148" s="687">
        <f t="shared" si="144"/>
        <v>0</v>
      </c>
      <c r="Q148" s="687">
        <f t="shared" si="144"/>
        <v>0</v>
      </c>
      <c r="R148" s="687">
        <f t="shared" si="144"/>
        <v>0</v>
      </c>
      <c r="S148" s="687">
        <f t="shared" si="144"/>
        <v>0</v>
      </c>
      <c r="T148" s="687">
        <f t="shared" si="144"/>
        <v>0</v>
      </c>
      <c r="U148" s="687">
        <f t="shared" si="144"/>
        <v>0</v>
      </c>
      <c r="V148" s="687">
        <f t="shared" si="144"/>
        <v>0</v>
      </c>
      <c r="W148" s="687">
        <f t="shared" si="144"/>
        <v>0</v>
      </c>
      <c r="X148" s="687">
        <f t="shared" si="144"/>
        <v>0</v>
      </c>
      <c r="Y148" s="687">
        <f t="shared" si="144"/>
        <v>0</v>
      </c>
      <c r="Z148" s="687">
        <f t="shared" si="144"/>
        <v>0</v>
      </c>
      <c r="AA148" s="687">
        <f t="shared" si="144"/>
        <v>0</v>
      </c>
      <c r="AB148" s="687">
        <f t="shared" si="144"/>
        <v>0</v>
      </c>
      <c r="AC148" s="926"/>
      <c r="AE148" s="568"/>
      <c r="AV148" s="700" t="str">
        <f t="shared" si="113"/>
        <v/>
      </c>
    </row>
    <row r="149" spans="1:64" x14ac:dyDescent="0.25">
      <c r="A149" s="22"/>
      <c r="B149" s="186" t="str">
        <f t="shared" si="140"/>
        <v>TCARPYD100</v>
      </c>
      <c r="C149" s="186"/>
      <c r="D149" s="187"/>
      <c r="E149" s="186"/>
      <c r="F149" s="170"/>
      <c r="G149" s="213"/>
      <c r="H149" s="170"/>
      <c r="I149" s="190">
        <f>AF$7</f>
        <v>2030</v>
      </c>
      <c r="J149" s="191"/>
      <c r="K149" s="191"/>
      <c r="L149" s="211" t="s">
        <v>1065</v>
      </c>
      <c r="M149" s="186" t="s">
        <v>748</v>
      </c>
      <c r="N149" s="687">
        <f t="shared" ref="N149:AB149" si="145">N146*LOOKUP($AD139,$AG$4:$AO$4,$AG$7:$AO$7)</f>
        <v>0</v>
      </c>
      <c r="O149" s="687">
        <f t="shared" si="145"/>
        <v>0</v>
      </c>
      <c r="P149" s="687">
        <f t="shared" si="145"/>
        <v>0</v>
      </c>
      <c r="Q149" s="687">
        <f t="shared" si="145"/>
        <v>0</v>
      </c>
      <c r="R149" s="687">
        <f t="shared" si="145"/>
        <v>0</v>
      </c>
      <c r="S149" s="687">
        <f t="shared" si="145"/>
        <v>0</v>
      </c>
      <c r="T149" s="687">
        <f t="shared" si="145"/>
        <v>0</v>
      </c>
      <c r="U149" s="687">
        <f t="shared" si="145"/>
        <v>0</v>
      </c>
      <c r="V149" s="687">
        <f t="shared" si="145"/>
        <v>0</v>
      </c>
      <c r="W149" s="687">
        <f t="shared" si="145"/>
        <v>0</v>
      </c>
      <c r="X149" s="687">
        <f t="shared" si="145"/>
        <v>0</v>
      </c>
      <c r="Y149" s="687">
        <f t="shared" si="145"/>
        <v>0</v>
      </c>
      <c r="Z149" s="687">
        <f t="shared" si="145"/>
        <v>0</v>
      </c>
      <c r="AA149" s="687">
        <f t="shared" si="145"/>
        <v>0</v>
      </c>
      <c r="AB149" s="687">
        <f t="shared" si="145"/>
        <v>0</v>
      </c>
      <c r="AC149" s="926"/>
      <c r="AE149" s="568"/>
      <c r="AV149" s="700" t="str">
        <f t="shared" si="113"/>
        <v/>
      </c>
    </row>
    <row r="150" spans="1:64" x14ac:dyDescent="0.25">
      <c r="A150" s="22"/>
      <c r="B150" s="186" t="str">
        <f t="shared" si="140"/>
        <v>TCARPYD100</v>
      </c>
      <c r="C150" s="186"/>
      <c r="D150" s="187"/>
      <c r="E150" s="186"/>
      <c r="F150" s="170"/>
      <c r="G150" s="213"/>
      <c r="H150" s="170"/>
      <c r="I150" s="190">
        <f>AF$8</f>
        <v>2035</v>
      </c>
      <c r="J150" s="191"/>
      <c r="K150" s="191"/>
      <c r="L150" s="211" t="s">
        <v>1065</v>
      </c>
      <c r="M150" s="186" t="s">
        <v>748</v>
      </c>
      <c r="N150" s="687">
        <f t="shared" ref="N150:AB150" si="146">N146*LOOKUP($AD139,$AG$4:$AO$4,$AG$8:$AO$8)</f>
        <v>0</v>
      </c>
      <c r="O150" s="687">
        <f t="shared" si="146"/>
        <v>0</v>
      </c>
      <c r="P150" s="687">
        <f t="shared" si="146"/>
        <v>0</v>
      </c>
      <c r="Q150" s="687">
        <f t="shared" si="146"/>
        <v>0</v>
      </c>
      <c r="R150" s="687">
        <f t="shared" si="146"/>
        <v>0</v>
      </c>
      <c r="S150" s="687">
        <f t="shared" si="146"/>
        <v>0</v>
      </c>
      <c r="T150" s="687">
        <f t="shared" si="146"/>
        <v>0</v>
      </c>
      <c r="U150" s="687">
        <f t="shared" si="146"/>
        <v>0</v>
      </c>
      <c r="V150" s="687">
        <f t="shared" si="146"/>
        <v>0</v>
      </c>
      <c r="W150" s="687">
        <f t="shared" si="146"/>
        <v>0</v>
      </c>
      <c r="X150" s="687">
        <f t="shared" si="146"/>
        <v>0</v>
      </c>
      <c r="Y150" s="687">
        <f t="shared" si="146"/>
        <v>0</v>
      </c>
      <c r="Z150" s="687">
        <f t="shared" si="146"/>
        <v>0</v>
      </c>
      <c r="AA150" s="687">
        <f t="shared" si="146"/>
        <v>0</v>
      </c>
      <c r="AB150" s="687">
        <f t="shared" si="146"/>
        <v>0</v>
      </c>
      <c r="AC150" s="926"/>
      <c r="AE150" s="568"/>
      <c r="AV150" s="700" t="str">
        <f t="shared" si="113"/>
        <v/>
      </c>
    </row>
    <row r="151" spans="1:64" x14ac:dyDescent="0.25">
      <c r="A151" s="22"/>
      <c r="B151" s="186" t="str">
        <f t="shared" si="140"/>
        <v>TCARPYD100</v>
      </c>
      <c r="C151" s="186"/>
      <c r="D151" s="187"/>
      <c r="E151" s="186"/>
      <c r="F151" s="170"/>
      <c r="G151" s="213"/>
      <c r="H151" s="170"/>
      <c r="I151" s="190">
        <f>AF$9</f>
        <v>2040</v>
      </c>
      <c r="J151" s="191"/>
      <c r="K151" s="191"/>
      <c r="L151" s="211" t="s">
        <v>1065</v>
      </c>
      <c r="M151" s="186" t="s">
        <v>748</v>
      </c>
      <c r="N151" s="687">
        <f t="shared" ref="N151:AB151" si="147">N146*LOOKUP($AD139,$AG$4:$AO$4,$AG$9:$AO$9)</f>
        <v>0</v>
      </c>
      <c r="O151" s="687">
        <f t="shared" si="147"/>
        <v>0</v>
      </c>
      <c r="P151" s="687">
        <f t="shared" si="147"/>
        <v>0</v>
      </c>
      <c r="Q151" s="687">
        <f t="shared" si="147"/>
        <v>0</v>
      </c>
      <c r="R151" s="687">
        <f t="shared" si="147"/>
        <v>0</v>
      </c>
      <c r="S151" s="687">
        <f t="shared" si="147"/>
        <v>0</v>
      </c>
      <c r="T151" s="687">
        <f t="shared" si="147"/>
        <v>0</v>
      </c>
      <c r="U151" s="687">
        <f t="shared" si="147"/>
        <v>0</v>
      </c>
      <c r="V151" s="687">
        <f t="shared" si="147"/>
        <v>0</v>
      </c>
      <c r="W151" s="687">
        <f t="shared" si="147"/>
        <v>0</v>
      </c>
      <c r="X151" s="687">
        <f t="shared" si="147"/>
        <v>0</v>
      </c>
      <c r="Y151" s="687">
        <f t="shared" si="147"/>
        <v>0</v>
      </c>
      <c r="Z151" s="687">
        <f t="shared" si="147"/>
        <v>0</v>
      </c>
      <c r="AA151" s="687">
        <f t="shared" si="147"/>
        <v>0</v>
      </c>
      <c r="AB151" s="687">
        <f t="shared" si="147"/>
        <v>0</v>
      </c>
      <c r="AC151" s="926"/>
      <c r="AE151" s="568"/>
      <c r="AV151" s="700" t="str">
        <f t="shared" si="113"/>
        <v/>
      </c>
    </row>
    <row r="152" spans="1:64" x14ac:dyDescent="0.25">
      <c r="A152" s="22"/>
      <c r="B152" s="193" t="str">
        <f t="shared" si="140"/>
        <v>TCARPYD100</v>
      </c>
      <c r="C152" s="193"/>
      <c r="D152" s="194"/>
      <c r="E152" s="193"/>
      <c r="F152" s="196"/>
      <c r="G152" s="215"/>
      <c r="H152" s="196"/>
      <c r="I152" s="197">
        <f>AF$10</f>
        <v>2050</v>
      </c>
      <c r="J152" s="198"/>
      <c r="K152" s="198"/>
      <c r="L152" s="212" t="s">
        <v>1065</v>
      </c>
      <c r="M152" s="193" t="s">
        <v>748</v>
      </c>
      <c r="N152" s="688">
        <f t="shared" ref="N152:AB152" si="148">N146*LOOKUP($AD139,$AG$4:$AO$4,$AG$10:$AO$10)</f>
        <v>0</v>
      </c>
      <c r="O152" s="688">
        <f t="shared" si="148"/>
        <v>0</v>
      </c>
      <c r="P152" s="688">
        <f t="shared" si="148"/>
        <v>0</v>
      </c>
      <c r="Q152" s="688">
        <f t="shared" si="148"/>
        <v>0</v>
      </c>
      <c r="R152" s="688">
        <f t="shared" si="148"/>
        <v>0</v>
      </c>
      <c r="S152" s="688">
        <f t="shared" si="148"/>
        <v>0</v>
      </c>
      <c r="T152" s="688">
        <f t="shared" si="148"/>
        <v>0</v>
      </c>
      <c r="U152" s="688">
        <f t="shared" si="148"/>
        <v>0</v>
      </c>
      <c r="V152" s="688">
        <f t="shared" si="148"/>
        <v>0</v>
      </c>
      <c r="W152" s="688">
        <f t="shared" si="148"/>
        <v>0</v>
      </c>
      <c r="X152" s="688">
        <f t="shared" si="148"/>
        <v>0</v>
      </c>
      <c r="Y152" s="688">
        <f t="shared" si="148"/>
        <v>0</v>
      </c>
      <c r="Z152" s="688">
        <f t="shared" si="148"/>
        <v>0</v>
      </c>
      <c r="AA152" s="688">
        <f t="shared" si="148"/>
        <v>0</v>
      </c>
      <c r="AB152" s="688">
        <f t="shared" si="148"/>
        <v>0</v>
      </c>
      <c r="AC152" s="926"/>
      <c r="AE152" s="568"/>
      <c r="AV152" s="700" t="str">
        <f t="shared" si="113"/>
        <v/>
      </c>
    </row>
    <row r="153" spans="1:64" s="83" customFormat="1" ht="15" customHeight="1" x14ac:dyDescent="0.25">
      <c r="A153" s="82"/>
      <c r="B153" s="178" t="str">
        <f>C153</f>
        <v>TCARPYG100</v>
      </c>
      <c r="C153" s="178" t="s">
        <v>311</v>
      </c>
      <c r="D153" s="179" t="s">
        <v>801</v>
      </c>
      <c r="E153" s="407" t="s">
        <v>1014</v>
      </c>
      <c r="F153" s="182"/>
      <c r="G153" s="326"/>
      <c r="H153" s="182"/>
      <c r="I153" s="183"/>
      <c r="J153" s="184"/>
      <c r="K153" s="184"/>
      <c r="L153" s="203" t="s">
        <v>1107</v>
      </c>
      <c r="M153" s="184" t="s">
        <v>1156</v>
      </c>
      <c r="N153" s="378">
        <f>N$32</f>
        <v>1E-3</v>
      </c>
      <c r="O153" s="378">
        <f t="shared" ref="O153:AB153" si="149">$N153</f>
        <v>1E-3</v>
      </c>
      <c r="P153" s="378">
        <f t="shared" si="149"/>
        <v>1E-3</v>
      </c>
      <c r="Q153" s="378">
        <f t="shared" si="149"/>
        <v>1E-3</v>
      </c>
      <c r="R153" s="378">
        <f t="shared" si="149"/>
        <v>1E-3</v>
      </c>
      <c r="S153" s="378">
        <f t="shared" si="149"/>
        <v>1E-3</v>
      </c>
      <c r="T153" s="378">
        <f t="shared" si="149"/>
        <v>1E-3</v>
      </c>
      <c r="U153" s="378">
        <f t="shared" si="149"/>
        <v>1E-3</v>
      </c>
      <c r="V153" s="378">
        <f t="shared" si="149"/>
        <v>1E-3</v>
      </c>
      <c r="W153" s="378">
        <f t="shared" si="149"/>
        <v>1E-3</v>
      </c>
      <c r="X153" s="378">
        <f t="shared" si="149"/>
        <v>1E-3</v>
      </c>
      <c r="Y153" s="378">
        <f t="shared" si="149"/>
        <v>1E-3</v>
      </c>
      <c r="Z153" s="378">
        <f t="shared" si="149"/>
        <v>1E-3</v>
      </c>
      <c r="AA153" s="378">
        <f t="shared" si="149"/>
        <v>1E-3</v>
      </c>
      <c r="AB153" s="378">
        <f t="shared" si="149"/>
        <v>1E-3</v>
      </c>
      <c r="AC153" s="930"/>
      <c r="AD153" s="410" t="str">
        <f>MID(C153,5,3)</f>
        <v>PYG</v>
      </c>
      <c r="AE153" s="570"/>
      <c r="AV153" s="714" t="str">
        <f t="shared" si="113"/>
        <v>TRAGSL</v>
      </c>
      <c r="AW153" s="570">
        <f t="shared" ref="AW153:AW154" si="150">SUM(AX153:BL153)</f>
        <v>458.15028161425232</v>
      </c>
      <c r="AX153" s="570">
        <f t="shared" ref="AX153:BL153" si="151">N$159*N$160*(1-N154)/N$156/1000</f>
        <v>458.15028161425232</v>
      </c>
      <c r="AY153" s="570">
        <f t="shared" si="151"/>
        <v>0</v>
      </c>
      <c r="AZ153" s="570">
        <f t="shared" si="151"/>
        <v>0</v>
      </c>
      <c r="BA153" s="570">
        <f t="shared" si="151"/>
        <v>0</v>
      </c>
      <c r="BB153" s="570">
        <f t="shared" si="151"/>
        <v>0</v>
      </c>
      <c r="BC153" s="570">
        <f t="shared" si="151"/>
        <v>0</v>
      </c>
      <c r="BD153" s="570">
        <f t="shared" si="151"/>
        <v>0</v>
      </c>
      <c r="BE153" s="570">
        <f t="shared" si="151"/>
        <v>0</v>
      </c>
      <c r="BF153" s="570">
        <f t="shared" si="151"/>
        <v>0</v>
      </c>
      <c r="BG153" s="570">
        <f t="shared" si="151"/>
        <v>0</v>
      </c>
      <c r="BH153" s="570">
        <f t="shared" si="151"/>
        <v>0</v>
      </c>
      <c r="BI153" s="570">
        <f t="shared" si="151"/>
        <v>0</v>
      </c>
      <c r="BJ153" s="570">
        <f t="shared" si="151"/>
        <v>0</v>
      </c>
      <c r="BK153" s="570">
        <f t="shared" si="151"/>
        <v>0</v>
      </c>
      <c r="BL153" s="570">
        <f t="shared" si="151"/>
        <v>0</v>
      </c>
    </row>
    <row r="154" spans="1:64" ht="15" customHeight="1" x14ac:dyDescent="0.25">
      <c r="A154" s="22"/>
      <c r="B154" s="186" t="str">
        <f>B153</f>
        <v>TCARPYG100</v>
      </c>
      <c r="C154" s="186"/>
      <c r="D154" s="187"/>
      <c r="E154" s="258" t="s">
        <v>1012</v>
      </c>
      <c r="F154" s="170"/>
      <c r="G154" s="213"/>
      <c r="H154" s="170"/>
      <c r="I154" s="190"/>
      <c r="J154" s="191" t="s">
        <v>1127</v>
      </c>
      <c r="K154" s="191"/>
      <c r="L154" s="211" t="s">
        <v>101</v>
      </c>
      <c r="M154" s="186"/>
      <c r="N154" s="377">
        <f>N$19</f>
        <v>0.03</v>
      </c>
      <c r="O154" s="377">
        <f t="shared" ref="O154:AB154" si="152">O$19</f>
        <v>0.03</v>
      </c>
      <c r="P154" s="377">
        <f t="shared" si="152"/>
        <v>0.03</v>
      </c>
      <c r="Q154" s="377">
        <f t="shared" si="152"/>
        <v>0.03</v>
      </c>
      <c r="R154" s="377">
        <f t="shared" si="152"/>
        <v>0.03</v>
      </c>
      <c r="S154" s="377">
        <f t="shared" si="152"/>
        <v>0.03</v>
      </c>
      <c r="T154" s="377">
        <f t="shared" si="152"/>
        <v>0.03</v>
      </c>
      <c r="U154" s="377">
        <f t="shared" si="152"/>
        <v>0.03</v>
      </c>
      <c r="V154" s="377">
        <f t="shared" si="152"/>
        <v>0.03</v>
      </c>
      <c r="W154" s="377">
        <f t="shared" si="152"/>
        <v>0.03</v>
      </c>
      <c r="X154" s="377">
        <f t="shared" si="152"/>
        <v>0.03</v>
      </c>
      <c r="Y154" s="377">
        <f t="shared" si="152"/>
        <v>0.03</v>
      </c>
      <c r="Z154" s="377">
        <f t="shared" si="152"/>
        <v>0.03</v>
      </c>
      <c r="AA154" s="377">
        <f t="shared" si="152"/>
        <v>0.03</v>
      </c>
      <c r="AB154" s="377">
        <f t="shared" si="152"/>
        <v>0.03</v>
      </c>
      <c r="AC154" s="925"/>
      <c r="AD154" s="66" t="str">
        <f>IF(COUNTIF($AG$4:$AP$4,AD153)=1,"ok","MISSING")</f>
        <v>ok</v>
      </c>
      <c r="AE154" s="570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13"/>
        <v>TRAETHM</v>
      </c>
      <c r="AW154" s="568">
        <f t="shared" si="150"/>
        <v>14.169596338585121</v>
      </c>
      <c r="AX154" s="568">
        <f t="shared" ref="AX154:BL154" si="153">N$159*N$160*N154/N$156/1000</f>
        <v>14.169596338585121</v>
      </c>
      <c r="AY154" s="568">
        <f t="shared" si="153"/>
        <v>0</v>
      </c>
      <c r="AZ154" s="568">
        <f t="shared" si="153"/>
        <v>0</v>
      </c>
      <c r="BA154" s="568">
        <f t="shared" si="153"/>
        <v>0</v>
      </c>
      <c r="BB154" s="568">
        <f t="shared" si="153"/>
        <v>0</v>
      </c>
      <c r="BC154" s="568">
        <f t="shared" si="153"/>
        <v>0</v>
      </c>
      <c r="BD154" s="568">
        <f t="shared" si="153"/>
        <v>0</v>
      </c>
      <c r="BE154" s="568">
        <f t="shared" si="153"/>
        <v>0</v>
      </c>
      <c r="BF154" s="568">
        <f t="shared" si="153"/>
        <v>0</v>
      </c>
      <c r="BG154" s="568">
        <f t="shared" si="153"/>
        <v>0</v>
      </c>
      <c r="BH154" s="568">
        <f t="shared" si="153"/>
        <v>0</v>
      </c>
      <c r="BI154" s="568">
        <f t="shared" si="153"/>
        <v>0</v>
      </c>
      <c r="BJ154" s="568">
        <f t="shared" si="153"/>
        <v>0</v>
      </c>
      <c r="BK154" s="568">
        <f t="shared" si="153"/>
        <v>0</v>
      </c>
      <c r="BL154" s="568">
        <f t="shared" si="153"/>
        <v>0</v>
      </c>
    </row>
    <row r="155" spans="1:64" x14ac:dyDescent="0.25">
      <c r="A155" s="22"/>
      <c r="B155" s="186" t="str">
        <f t="shared" ref="B155" si="154">B154</f>
        <v>TCARPYG100</v>
      </c>
      <c r="C155" s="186"/>
      <c r="D155" s="187"/>
      <c r="E155" s="258" t="s">
        <v>996</v>
      </c>
      <c r="F155" s="170"/>
      <c r="G155" s="213"/>
      <c r="H155" s="170"/>
      <c r="I155" s="190"/>
      <c r="J155" s="191" t="s">
        <v>1157</v>
      </c>
      <c r="K155" s="191"/>
      <c r="L155" s="211" t="s">
        <v>101</v>
      </c>
      <c r="M155" s="186"/>
      <c r="N155" s="377">
        <f>N$20</f>
        <v>0</v>
      </c>
      <c r="O155" s="377">
        <f t="shared" ref="O155:AB155" si="155">O$20</f>
        <v>0</v>
      </c>
      <c r="P155" s="377">
        <f t="shared" si="155"/>
        <v>0</v>
      </c>
      <c r="Q155" s="377">
        <f t="shared" si="155"/>
        <v>0</v>
      </c>
      <c r="R155" s="377">
        <f t="shared" si="155"/>
        <v>0</v>
      </c>
      <c r="S155" s="377">
        <f t="shared" si="155"/>
        <v>0</v>
      </c>
      <c r="T155" s="377">
        <f t="shared" si="155"/>
        <v>0</v>
      </c>
      <c r="U155" s="377">
        <f t="shared" si="155"/>
        <v>0</v>
      </c>
      <c r="V155" s="377">
        <f t="shared" si="155"/>
        <v>0</v>
      </c>
      <c r="W155" s="377">
        <f t="shared" si="155"/>
        <v>0</v>
      </c>
      <c r="X155" s="377">
        <f t="shared" si="155"/>
        <v>0</v>
      </c>
      <c r="Y155" s="377">
        <f t="shared" si="155"/>
        <v>0</v>
      </c>
      <c r="Z155" s="377">
        <f t="shared" si="155"/>
        <v>0</v>
      </c>
      <c r="AA155" s="377">
        <f t="shared" si="155"/>
        <v>0</v>
      </c>
      <c r="AB155" s="377">
        <f t="shared" si="155"/>
        <v>0</v>
      </c>
      <c r="AC155" s="925"/>
      <c r="AD155" s="66"/>
      <c r="AE155" s="568"/>
      <c r="AV155" s="700" t="str">
        <f>MID(E155,1,8)</f>
        <v>TRABGSLM</v>
      </c>
      <c r="AW155" s="568">
        <f t="shared" ref="AW155" si="156">SUM(AX155:BL155)</f>
        <v>0</v>
      </c>
      <c r="AX155" s="568">
        <f>N$159*N$160*N155/N$156/1000</f>
        <v>0</v>
      </c>
      <c r="AY155" s="568">
        <f t="shared" ref="AY155" si="157">O$159*O$160*O155/O$156/1000</f>
        <v>0</v>
      </c>
      <c r="AZ155" s="568">
        <f t="shared" ref="AZ155" si="158">P$159*P$160*P155/P$156/1000</f>
        <v>0</v>
      </c>
      <c r="BA155" s="568">
        <f t="shared" ref="BA155" si="159">Q$159*Q$160*Q155/Q$156/1000</f>
        <v>0</v>
      </c>
      <c r="BB155" s="568">
        <f t="shared" ref="BB155" si="160">R$159*R$160*R155/R$156/1000</f>
        <v>0</v>
      </c>
      <c r="BC155" s="568">
        <f t="shared" ref="BC155" si="161">S$159*S$160*S155/S$156/1000</f>
        <v>0</v>
      </c>
      <c r="BD155" s="568">
        <f t="shared" ref="BD155" si="162">T$159*T$160*T155/T$156/1000</f>
        <v>0</v>
      </c>
      <c r="BE155" s="568">
        <f t="shared" ref="BE155" si="163">U$159*U$160*U155/U$156/1000</f>
        <v>0</v>
      </c>
      <c r="BF155" s="568">
        <f t="shared" ref="BF155" si="164">V$159*V$160*V155/V$156/1000</f>
        <v>0</v>
      </c>
      <c r="BG155" s="568">
        <f t="shared" ref="BG155" si="165">W$159*W$160*W155/W$156/1000</f>
        <v>0</v>
      </c>
      <c r="BH155" s="568">
        <f t="shared" ref="BH155" si="166">X$159*X$160*X155/X$156/1000</f>
        <v>0</v>
      </c>
      <c r="BI155" s="568">
        <f t="shared" ref="BI155" si="167">Y$159*Y$160*Y155/Y$156/1000</f>
        <v>0</v>
      </c>
      <c r="BJ155" s="568">
        <f t="shared" ref="BJ155" si="168">Z$159*Z$160*Z155/Z$156/1000</f>
        <v>0</v>
      </c>
      <c r="BK155" s="568">
        <f t="shared" ref="BK155" si="169">AA$159*AA$160*AA155/AA$156/1000</f>
        <v>0</v>
      </c>
      <c r="BL155" s="568">
        <f t="shared" ref="BL155" si="170">AB$159*AB$160*AB155/AB$156/1000</f>
        <v>0</v>
      </c>
    </row>
    <row r="156" spans="1:64" x14ac:dyDescent="0.25">
      <c r="A156" s="22"/>
      <c r="B156" s="186" t="str">
        <f>B154</f>
        <v>TCARPYG100</v>
      </c>
      <c r="C156" s="186"/>
      <c r="D156" s="187"/>
      <c r="E156" s="186"/>
      <c r="F156" s="170"/>
      <c r="G156" s="214" t="s">
        <v>402</v>
      </c>
      <c r="H156" s="170"/>
      <c r="I156" s="190"/>
      <c r="J156" s="191"/>
      <c r="K156" s="191"/>
      <c r="L156" s="191" t="s">
        <v>1126</v>
      </c>
      <c r="M156" s="186" t="s">
        <v>678</v>
      </c>
      <c r="N156" s="674">
        <f>T_CEFF!H72</f>
        <v>0.72726999999999997</v>
      </c>
      <c r="O156" s="674">
        <f>T_CEFF!I72</f>
        <v>0.72726999999999997</v>
      </c>
      <c r="P156" s="674">
        <f>T_CEFF!J72</f>
        <v>0.72726999999999997</v>
      </c>
      <c r="Q156" s="674">
        <f>T_CEFF!K72</f>
        <v>0.72726999999999997</v>
      </c>
      <c r="R156" s="674">
        <f>T_CEFF!L72</f>
        <v>0.72726999999999997</v>
      </c>
      <c r="S156" s="674">
        <f>T_CEFF!M72</f>
        <v>0.72726999999999997</v>
      </c>
      <c r="T156" s="674">
        <f>T_CEFF!N72</f>
        <v>0.72726999999999997</v>
      </c>
      <c r="U156" s="674">
        <f>T_CEFF!O72</f>
        <v>0.72726999999999997</v>
      </c>
      <c r="V156" s="674">
        <f>T_CEFF!P72</f>
        <v>0.72726999999999997</v>
      </c>
      <c r="W156" s="674">
        <f>T_CEFF!Q72</f>
        <v>0.72726999999999997</v>
      </c>
      <c r="X156" s="674">
        <f>T_CEFF!R72</f>
        <v>0.72726999999999997</v>
      </c>
      <c r="Y156" s="674">
        <f>T_CEFF!S72</f>
        <v>0.72726999999999997</v>
      </c>
      <c r="Z156" s="674">
        <f>T_CEFF!T72</f>
        <v>0.72726999999999997</v>
      </c>
      <c r="AA156" s="674">
        <f>T_CEFF!U72</f>
        <v>0.72726999999999997</v>
      </c>
      <c r="AB156" s="674">
        <f>T_CEFF!V72</f>
        <v>0.72726999999999997</v>
      </c>
      <c r="AC156" s="929"/>
      <c r="AE156" s="568"/>
      <c r="AV156" s="700" t="str">
        <f t="shared" ref="AV156:AV166" si="171">MID(E156,1,7)</f>
        <v/>
      </c>
    </row>
    <row r="157" spans="1:64" x14ac:dyDescent="0.25">
      <c r="A157" s="22"/>
      <c r="B157" s="186" t="str">
        <f>B156</f>
        <v>TCARPYG100</v>
      </c>
      <c r="C157" s="186"/>
      <c r="D157" s="187"/>
      <c r="E157" s="186"/>
      <c r="F157" s="170"/>
      <c r="G157" s="214" t="s">
        <v>404</v>
      </c>
      <c r="H157" s="170"/>
      <c r="I157" s="190"/>
      <c r="J157" s="191"/>
      <c r="K157" s="191"/>
      <c r="L157" s="191" t="s">
        <v>1126</v>
      </c>
      <c r="M157" s="186" t="s">
        <v>678</v>
      </c>
      <c r="N157" s="674">
        <f>T_CEFF!H73</f>
        <v>0.82474000000000003</v>
      </c>
      <c r="O157" s="674">
        <f>T_CEFF!I73</f>
        <v>0.82474000000000003</v>
      </c>
      <c r="P157" s="674">
        <f>T_CEFF!J73</f>
        <v>0.82474000000000003</v>
      </c>
      <c r="Q157" s="674">
        <f>T_CEFF!K73</f>
        <v>0.82474000000000003</v>
      </c>
      <c r="R157" s="674">
        <f>T_CEFF!L73</f>
        <v>0.82474000000000003</v>
      </c>
      <c r="S157" s="674">
        <f>T_CEFF!M73</f>
        <v>0.82474000000000003</v>
      </c>
      <c r="T157" s="674">
        <f>T_CEFF!N73</f>
        <v>0.82474000000000003</v>
      </c>
      <c r="U157" s="674">
        <f>T_CEFF!O73</f>
        <v>0.82474000000000003</v>
      </c>
      <c r="V157" s="674">
        <f>T_CEFF!P73</f>
        <v>0.82474000000000003</v>
      </c>
      <c r="W157" s="674">
        <f>T_CEFF!Q73</f>
        <v>0.82474000000000003</v>
      </c>
      <c r="X157" s="674">
        <f>T_CEFF!R73</f>
        <v>0.82474000000000003</v>
      </c>
      <c r="Y157" s="674">
        <f>T_CEFF!S73</f>
        <v>0.82474000000000003</v>
      </c>
      <c r="Z157" s="674">
        <f>T_CEFF!T73</f>
        <v>0.82474000000000003</v>
      </c>
      <c r="AA157" s="674">
        <f>T_CEFF!U73</f>
        <v>0.82474000000000003</v>
      </c>
      <c r="AB157" s="674">
        <f>T_CEFF!V73</f>
        <v>0.82474000000000003</v>
      </c>
      <c r="AC157" s="929"/>
      <c r="AE157" s="568"/>
      <c r="AV157" s="700" t="str">
        <f t="shared" si="171"/>
        <v/>
      </c>
    </row>
    <row r="158" spans="1:64" x14ac:dyDescent="0.25">
      <c r="A158" s="22"/>
      <c r="B158" s="186" t="str">
        <f t="shared" ref="B158:B166" si="172">B157</f>
        <v>TCARPYG100</v>
      </c>
      <c r="C158" s="186"/>
      <c r="D158" s="187"/>
      <c r="E158" s="186"/>
      <c r="F158" s="170"/>
      <c r="G158" s="213"/>
      <c r="H158" s="170"/>
      <c r="I158" s="190"/>
      <c r="J158" s="191"/>
      <c r="K158" s="191" t="s">
        <v>749</v>
      </c>
      <c r="L158" s="191" t="s">
        <v>1128</v>
      </c>
      <c r="M158" s="186" t="s">
        <v>1159</v>
      </c>
      <c r="N158" s="368">
        <f>N$14</f>
        <v>1.2</v>
      </c>
      <c r="O158" s="368">
        <f t="shared" ref="O158:AB158" si="173">O$14</f>
        <v>0</v>
      </c>
      <c r="P158" s="368">
        <f t="shared" si="173"/>
        <v>0</v>
      </c>
      <c r="Q158" s="368">
        <f t="shared" si="173"/>
        <v>0</v>
      </c>
      <c r="R158" s="368">
        <f t="shared" si="173"/>
        <v>0</v>
      </c>
      <c r="S158" s="368">
        <f t="shared" si="173"/>
        <v>0</v>
      </c>
      <c r="T158" s="368">
        <f t="shared" si="173"/>
        <v>0</v>
      </c>
      <c r="U158" s="368">
        <f t="shared" si="173"/>
        <v>0</v>
      </c>
      <c r="V158" s="368">
        <f t="shared" si="173"/>
        <v>0</v>
      </c>
      <c r="W158" s="368">
        <f t="shared" si="173"/>
        <v>0</v>
      </c>
      <c r="X158" s="368">
        <f t="shared" si="173"/>
        <v>0</v>
      </c>
      <c r="Y158" s="368">
        <f t="shared" si="173"/>
        <v>0</v>
      </c>
      <c r="Z158" s="368">
        <f t="shared" si="173"/>
        <v>0</v>
      </c>
      <c r="AA158" s="368">
        <f t="shared" si="173"/>
        <v>0</v>
      </c>
      <c r="AB158" s="368">
        <f t="shared" si="173"/>
        <v>0</v>
      </c>
      <c r="AC158" s="920"/>
      <c r="AE158" s="568"/>
      <c r="AV158" s="700" t="str">
        <f t="shared" si="171"/>
        <v/>
      </c>
    </row>
    <row r="159" spans="1:64" x14ac:dyDescent="0.25">
      <c r="A159" s="22"/>
      <c r="B159" s="186" t="str">
        <f t="shared" si="172"/>
        <v>TCARPYG100</v>
      </c>
      <c r="C159" s="186"/>
      <c r="D159" s="187"/>
      <c r="E159" s="186"/>
      <c r="F159" s="170"/>
      <c r="G159" s="213"/>
      <c r="H159" s="170"/>
      <c r="I159" s="190"/>
      <c r="J159" s="191"/>
      <c r="K159" s="191"/>
      <c r="L159" s="211" t="s">
        <v>1130</v>
      </c>
      <c r="M159" s="186" t="s">
        <v>1131</v>
      </c>
      <c r="N159" s="376">
        <f>LOOKUP($C$153, T_NCAP_AF!$C$5:$C$15, T_NCAP_AF!D$5:D$15)*(1+N26)</f>
        <v>11.835000000000001</v>
      </c>
      <c r="O159" s="376">
        <f>LOOKUP($C$153, T_NCAP_AF!$C$5:$C$15, T_NCAP_AF!E$5:E$15)*(1+O26)</f>
        <v>0</v>
      </c>
      <c r="P159" s="376">
        <f>LOOKUP($C$153, T_NCAP_AF!$C$5:$C$15, T_NCAP_AF!F$5:F$15)*(1+P26)</f>
        <v>0</v>
      </c>
      <c r="Q159" s="376">
        <f>LOOKUP($C$153, T_NCAP_AF!$C$5:$C$15, T_NCAP_AF!G$5:G$15)*(1+Q26)</f>
        <v>0</v>
      </c>
      <c r="R159" s="376">
        <f>LOOKUP($C$153, T_NCAP_AF!$C$5:$C$15, T_NCAP_AF!H$5:H$15)*(1+R26)</f>
        <v>0</v>
      </c>
      <c r="S159" s="376">
        <f>LOOKUP($C$153, T_NCAP_AF!$C$5:$C$15, T_NCAP_AF!I$5:I$15)*(1+S26)</f>
        <v>0</v>
      </c>
      <c r="T159" s="376">
        <f>LOOKUP($C$153, T_NCAP_AF!$C$5:$C$15, T_NCAP_AF!J$5:J$15)*(1+T26)</f>
        <v>0</v>
      </c>
      <c r="U159" s="376">
        <f>LOOKUP($C$153, T_NCAP_AF!$C$5:$C$15, T_NCAP_AF!K$5:K$15)*(1+U26)</f>
        <v>0</v>
      </c>
      <c r="V159" s="376">
        <f>LOOKUP($C$153, T_NCAP_AF!$C$5:$C$15, T_NCAP_AF!L$5:L$15)*(1+V26)</f>
        <v>0</v>
      </c>
      <c r="W159" s="376">
        <f>LOOKUP($C$153, T_NCAP_AF!$C$5:$C$15, T_NCAP_AF!M$5:M$15)*(1+W26)</f>
        <v>0</v>
      </c>
      <c r="X159" s="376">
        <f>LOOKUP($C$153, T_NCAP_AF!$C$5:$C$15, T_NCAP_AF!N$5:N$15)*(1+X26)</f>
        <v>0</v>
      </c>
      <c r="Y159" s="376">
        <f>LOOKUP($C$153, T_NCAP_AF!$C$5:$C$15, T_NCAP_AF!O$5:O$15)*(1+Y26)</f>
        <v>0</v>
      </c>
      <c r="Z159" s="376">
        <f>LOOKUP($C$153, T_NCAP_AF!$C$5:$C$15, T_NCAP_AF!P$5:P$15)*(1+Z26)</f>
        <v>0</v>
      </c>
      <c r="AA159" s="376">
        <f>LOOKUP($C$153, T_NCAP_AF!$C$5:$C$15, T_NCAP_AF!Q$5:Q$15)*(1+AA26)</f>
        <v>0</v>
      </c>
      <c r="AB159" s="376">
        <f>LOOKUP($C$153, T_NCAP_AF!$C$5:$C$15, T_NCAP_AF!R$5:R$15)*(1+AB26)</f>
        <v>0</v>
      </c>
      <c r="AC159" s="132"/>
      <c r="AE159" s="568"/>
      <c r="AV159" s="700" t="str">
        <f t="shared" si="171"/>
        <v/>
      </c>
    </row>
    <row r="160" spans="1:64" x14ac:dyDescent="0.25">
      <c r="A160" s="22"/>
      <c r="B160" s="186" t="str">
        <f t="shared" si="172"/>
        <v>TCARPYG100</v>
      </c>
      <c r="C160" s="186"/>
      <c r="D160" s="187"/>
      <c r="E160" s="186"/>
      <c r="F160" s="170"/>
      <c r="G160" s="213"/>
      <c r="H160" s="170"/>
      <c r="I160" s="190">
        <f>$M$3</f>
        <v>2019</v>
      </c>
      <c r="J160" s="191"/>
      <c r="K160" s="191"/>
      <c r="L160" s="211" t="s">
        <v>1065</v>
      </c>
      <c r="M160" s="186" t="s">
        <v>748</v>
      </c>
      <c r="N160" s="687">
        <f>LOOKUP($C$153, T_Stock_Private!$C$10:$C$20, T_Stock_Private!D$10:D$20)*(1+N27)</f>
        <v>29024.425655999999</v>
      </c>
      <c r="O160" s="687">
        <f>LOOKUP($C$153, T_Stock_Private!$C$10:$C$20, T_Stock_Private!E$10:E$20)*(1+O27)</f>
        <v>0</v>
      </c>
      <c r="P160" s="687">
        <f>LOOKUP($C$153, T_Stock_Private!$C$10:$C$20, T_Stock_Private!F$10:F$20)*(1+P27)</f>
        <v>0</v>
      </c>
      <c r="Q160" s="687">
        <f>LOOKUP($C$153, T_Stock_Private!$C$10:$C$20, T_Stock_Private!G$10:G$20)*(1+Q27)</f>
        <v>0</v>
      </c>
      <c r="R160" s="687">
        <f>LOOKUP($C$153, T_Stock_Private!$C$10:$C$20, T_Stock_Private!H$10:H$20)*(1+R27)</f>
        <v>0</v>
      </c>
      <c r="S160" s="687">
        <f>LOOKUP($C$153, T_Stock_Private!$C$10:$C$20, T_Stock_Private!I$10:I$20)*(1+S27)</f>
        <v>0</v>
      </c>
      <c r="T160" s="687">
        <f>LOOKUP($C$153, T_Stock_Private!$C$10:$C$20, T_Stock_Private!J$10:J$20)*(1+T27)</f>
        <v>0</v>
      </c>
      <c r="U160" s="687">
        <f>LOOKUP($C$153, T_Stock_Private!$C$10:$C$20, T_Stock_Private!K$10:K$20)*(1+U27)</f>
        <v>0</v>
      </c>
      <c r="V160" s="687">
        <f>LOOKUP($C$153, T_Stock_Private!$C$10:$C$20, T_Stock_Private!L$10:L$20)*(1+V27)</f>
        <v>0</v>
      </c>
      <c r="W160" s="687">
        <f>LOOKUP($C$153, T_Stock_Private!$C$10:$C$20, T_Stock_Private!M$10:M$20)*(1+W27)</f>
        <v>0</v>
      </c>
      <c r="X160" s="687">
        <f>LOOKUP($C$153, T_Stock_Private!$C$10:$C$20, T_Stock_Private!N$10:N$20)*(1+X27)</f>
        <v>0</v>
      </c>
      <c r="Y160" s="687">
        <f>LOOKUP($C$153, T_Stock_Private!$C$10:$C$20, T_Stock_Private!O$10:O$20)*(1+Y27)</f>
        <v>0</v>
      </c>
      <c r="Z160" s="687">
        <f>LOOKUP($C$153, T_Stock_Private!$C$10:$C$20, T_Stock_Private!P$10:P$20)*(1+Z27)</f>
        <v>0</v>
      </c>
      <c r="AA160" s="687">
        <f>LOOKUP($C$153, T_Stock_Private!$C$10:$C$20, T_Stock_Private!Q$10:Q$20)*(1+AA27)</f>
        <v>0</v>
      </c>
      <c r="AB160" s="687">
        <f>LOOKUP($C$153, T_Stock_Private!$C$10:$C$20, T_Stock_Private!R$10:R$20)*(1+AB27)</f>
        <v>0</v>
      </c>
      <c r="AC160" s="926"/>
      <c r="AE160" s="568"/>
      <c r="AV160" s="700" t="str">
        <f t="shared" si="171"/>
        <v/>
      </c>
    </row>
    <row r="161" spans="1:48" x14ac:dyDescent="0.25">
      <c r="A161" s="22"/>
      <c r="B161" s="186" t="str">
        <f t="shared" si="172"/>
        <v>TCARPYG100</v>
      </c>
      <c r="C161" s="186"/>
      <c r="D161" s="187"/>
      <c r="E161" s="186"/>
      <c r="F161" s="170"/>
      <c r="G161" s="213"/>
      <c r="H161" s="170"/>
      <c r="I161" s="190">
        <f>AF$5</f>
        <v>2020</v>
      </c>
      <c r="J161" s="191"/>
      <c r="K161" s="191"/>
      <c r="L161" s="211" t="s">
        <v>1065</v>
      </c>
      <c r="M161" s="186" t="s">
        <v>748</v>
      </c>
      <c r="N161" s="687">
        <f t="shared" ref="N161:AB161" si="174">N160*LOOKUP($AD153,$AG$4:$AO$4,$AG$5:$AO$5)</f>
        <v>28734.18139944</v>
      </c>
      <c r="O161" s="687">
        <f t="shared" si="174"/>
        <v>0</v>
      </c>
      <c r="P161" s="687">
        <f t="shared" si="174"/>
        <v>0</v>
      </c>
      <c r="Q161" s="687">
        <f t="shared" si="174"/>
        <v>0</v>
      </c>
      <c r="R161" s="687">
        <f t="shared" si="174"/>
        <v>0</v>
      </c>
      <c r="S161" s="687">
        <f t="shared" si="174"/>
        <v>0</v>
      </c>
      <c r="T161" s="687">
        <f t="shared" si="174"/>
        <v>0</v>
      </c>
      <c r="U161" s="687">
        <f t="shared" si="174"/>
        <v>0</v>
      </c>
      <c r="V161" s="687">
        <f t="shared" si="174"/>
        <v>0</v>
      </c>
      <c r="W161" s="687">
        <f t="shared" si="174"/>
        <v>0</v>
      </c>
      <c r="X161" s="687">
        <f t="shared" si="174"/>
        <v>0</v>
      </c>
      <c r="Y161" s="687">
        <f t="shared" si="174"/>
        <v>0</v>
      </c>
      <c r="Z161" s="687">
        <f t="shared" si="174"/>
        <v>0</v>
      </c>
      <c r="AA161" s="687">
        <f t="shared" si="174"/>
        <v>0</v>
      </c>
      <c r="AB161" s="687">
        <f t="shared" si="174"/>
        <v>0</v>
      </c>
      <c r="AC161" s="926"/>
      <c r="AE161" s="569">
        <f>SUM(AF161:AT161)</f>
        <v>412.20489316651202</v>
      </c>
      <c r="AF161" s="568">
        <f t="shared" ref="AF161:AT161" si="175">N158*N159*N160/1000</f>
        <v>412.20489316651202</v>
      </c>
      <c r="AG161" s="568">
        <f t="shared" si="175"/>
        <v>0</v>
      </c>
      <c r="AH161" s="568">
        <f t="shared" si="175"/>
        <v>0</v>
      </c>
      <c r="AI161" s="568">
        <f t="shared" si="175"/>
        <v>0</v>
      </c>
      <c r="AJ161" s="568">
        <f t="shared" si="175"/>
        <v>0</v>
      </c>
      <c r="AK161" s="568">
        <f t="shared" si="175"/>
        <v>0</v>
      </c>
      <c r="AL161" s="568">
        <f t="shared" si="175"/>
        <v>0</v>
      </c>
      <c r="AM161" s="568">
        <f t="shared" si="175"/>
        <v>0</v>
      </c>
      <c r="AN161" s="568">
        <f t="shared" si="175"/>
        <v>0</v>
      </c>
      <c r="AO161" s="568">
        <f t="shared" si="175"/>
        <v>0</v>
      </c>
      <c r="AP161" s="568">
        <f t="shared" si="175"/>
        <v>0</v>
      </c>
      <c r="AQ161" s="568">
        <f t="shared" si="175"/>
        <v>0</v>
      </c>
      <c r="AR161" s="568">
        <f t="shared" si="175"/>
        <v>0</v>
      </c>
      <c r="AS161" s="568">
        <f t="shared" si="175"/>
        <v>0</v>
      </c>
      <c r="AT161" s="568">
        <f t="shared" si="175"/>
        <v>0</v>
      </c>
      <c r="AV161" s="700" t="str">
        <f t="shared" si="171"/>
        <v/>
      </c>
    </row>
    <row r="162" spans="1:48" x14ac:dyDescent="0.25">
      <c r="A162" s="22"/>
      <c r="B162" s="186" t="str">
        <f t="shared" si="172"/>
        <v>TCARPYG100</v>
      </c>
      <c r="C162" s="186"/>
      <c r="D162" s="187"/>
      <c r="E162" s="186"/>
      <c r="F162" s="170"/>
      <c r="G162" s="213"/>
      <c r="H162" s="170"/>
      <c r="I162" s="190">
        <f>AF$6</f>
        <v>2025</v>
      </c>
      <c r="J162" s="191"/>
      <c r="K162" s="191"/>
      <c r="L162" s="211" t="s">
        <v>1065</v>
      </c>
      <c r="M162" s="186" t="s">
        <v>748</v>
      </c>
      <c r="N162" s="687">
        <f t="shared" ref="N162:AB162" si="176">N160*LOOKUP($AD153,$AG$4:$AO$4,$AG$6:$AO$6)</f>
        <v>21768.319241999998</v>
      </c>
      <c r="O162" s="687">
        <f t="shared" si="176"/>
        <v>0</v>
      </c>
      <c r="P162" s="687">
        <f t="shared" si="176"/>
        <v>0</v>
      </c>
      <c r="Q162" s="687">
        <f t="shared" si="176"/>
        <v>0</v>
      </c>
      <c r="R162" s="687">
        <f t="shared" si="176"/>
        <v>0</v>
      </c>
      <c r="S162" s="687">
        <f t="shared" si="176"/>
        <v>0</v>
      </c>
      <c r="T162" s="687">
        <f t="shared" si="176"/>
        <v>0</v>
      </c>
      <c r="U162" s="687">
        <f t="shared" si="176"/>
        <v>0</v>
      </c>
      <c r="V162" s="687">
        <f t="shared" si="176"/>
        <v>0</v>
      </c>
      <c r="W162" s="687">
        <f t="shared" si="176"/>
        <v>0</v>
      </c>
      <c r="X162" s="687">
        <f t="shared" si="176"/>
        <v>0</v>
      </c>
      <c r="Y162" s="687">
        <f t="shared" si="176"/>
        <v>0</v>
      </c>
      <c r="Z162" s="687">
        <f t="shared" si="176"/>
        <v>0</v>
      </c>
      <c r="AA162" s="687">
        <f t="shared" si="176"/>
        <v>0</v>
      </c>
      <c r="AB162" s="687">
        <f t="shared" si="176"/>
        <v>0</v>
      </c>
      <c r="AC162" s="926"/>
      <c r="AV162" s="700" t="str">
        <f t="shared" si="171"/>
        <v/>
      </c>
    </row>
    <row r="163" spans="1:48" x14ac:dyDescent="0.25">
      <c r="A163" s="22"/>
      <c r="B163" s="186" t="str">
        <f t="shared" si="172"/>
        <v>TCARPYG100</v>
      </c>
      <c r="C163" s="186"/>
      <c r="D163" s="187"/>
      <c r="E163" s="186"/>
      <c r="F163" s="170"/>
      <c r="G163" s="213"/>
      <c r="H163" s="170"/>
      <c r="I163" s="190">
        <f>AF$7</f>
        <v>2030</v>
      </c>
      <c r="J163" s="191"/>
      <c r="K163" s="191"/>
      <c r="L163" s="211" t="s">
        <v>1065</v>
      </c>
      <c r="M163" s="186" t="s">
        <v>748</v>
      </c>
      <c r="N163" s="687">
        <f t="shared" ref="N163:AB163" si="177">N160*LOOKUP($AD153,$AG$4:$AO$4,$AG$7:$AO$7)</f>
        <v>14512.212828</v>
      </c>
      <c r="O163" s="687">
        <f t="shared" si="177"/>
        <v>0</v>
      </c>
      <c r="P163" s="687">
        <f t="shared" si="177"/>
        <v>0</v>
      </c>
      <c r="Q163" s="687">
        <f t="shared" si="177"/>
        <v>0</v>
      </c>
      <c r="R163" s="687">
        <f t="shared" si="177"/>
        <v>0</v>
      </c>
      <c r="S163" s="687">
        <f t="shared" si="177"/>
        <v>0</v>
      </c>
      <c r="T163" s="687">
        <f t="shared" si="177"/>
        <v>0</v>
      </c>
      <c r="U163" s="687">
        <f t="shared" si="177"/>
        <v>0</v>
      </c>
      <c r="V163" s="687">
        <f t="shared" si="177"/>
        <v>0</v>
      </c>
      <c r="W163" s="687">
        <f t="shared" si="177"/>
        <v>0</v>
      </c>
      <c r="X163" s="687">
        <f t="shared" si="177"/>
        <v>0</v>
      </c>
      <c r="Y163" s="687">
        <f t="shared" si="177"/>
        <v>0</v>
      </c>
      <c r="Z163" s="687">
        <f t="shared" si="177"/>
        <v>0</v>
      </c>
      <c r="AA163" s="687">
        <f t="shared" si="177"/>
        <v>0</v>
      </c>
      <c r="AB163" s="687">
        <f t="shared" si="177"/>
        <v>0</v>
      </c>
      <c r="AC163" s="926"/>
      <c r="AV163" s="700" t="str">
        <f t="shared" si="171"/>
        <v/>
      </c>
    </row>
    <row r="164" spans="1:48" x14ac:dyDescent="0.25">
      <c r="A164" s="22"/>
      <c r="B164" s="186" t="str">
        <f t="shared" si="172"/>
        <v>TCARPYG100</v>
      </c>
      <c r="C164" s="186"/>
      <c r="D164" s="187"/>
      <c r="E164" s="186"/>
      <c r="F164" s="170"/>
      <c r="G164" s="213"/>
      <c r="H164" s="170"/>
      <c r="I164" s="190">
        <f>AF$8</f>
        <v>2035</v>
      </c>
      <c r="J164" s="191"/>
      <c r="K164" s="191"/>
      <c r="L164" s="211" t="s">
        <v>1065</v>
      </c>
      <c r="M164" s="186" t="s">
        <v>748</v>
      </c>
      <c r="N164" s="687">
        <f t="shared" ref="N164:AB164" si="178">N160*LOOKUP($AD153,$AG$4:$AO$4,$AG$8:$AO$8)</f>
        <v>4353.6638483999996</v>
      </c>
      <c r="O164" s="687">
        <f t="shared" si="178"/>
        <v>0</v>
      </c>
      <c r="P164" s="687">
        <f t="shared" si="178"/>
        <v>0</v>
      </c>
      <c r="Q164" s="687">
        <f t="shared" si="178"/>
        <v>0</v>
      </c>
      <c r="R164" s="687">
        <f t="shared" si="178"/>
        <v>0</v>
      </c>
      <c r="S164" s="687">
        <f t="shared" si="178"/>
        <v>0</v>
      </c>
      <c r="T164" s="687">
        <f t="shared" si="178"/>
        <v>0</v>
      </c>
      <c r="U164" s="687">
        <f t="shared" si="178"/>
        <v>0</v>
      </c>
      <c r="V164" s="687">
        <f t="shared" si="178"/>
        <v>0</v>
      </c>
      <c r="W164" s="687">
        <f t="shared" si="178"/>
        <v>0</v>
      </c>
      <c r="X164" s="687">
        <f t="shared" si="178"/>
        <v>0</v>
      </c>
      <c r="Y164" s="687">
        <f t="shared" si="178"/>
        <v>0</v>
      </c>
      <c r="Z164" s="687">
        <f t="shared" si="178"/>
        <v>0</v>
      </c>
      <c r="AA164" s="687">
        <f t="shared" si="178"/>
        <v>0</v>
      </c>
      <c r="AB164" s="687">
        <f t="shared" si="178"/>
        <v>0</v>
      </c>
      <c r="AC164" s="926"/>
      <c r="AV164" s="700" t="str">
        <f t="shared" si="171"/>
        <v/>
      </c>
    </row>
    <row r="165" spans="1:48" x14ac:dyDescent="0.25">
      <c r="A165" s="22"/>
      <c r="B165" s="186" t="str">
        <f t="shared" si="172"/>
        <v>TCARPYG100</v>
      </c>
      <c r="C165" s="186"/>
      <c r="D165" s="187"/>
      <c r="E165" s="186"/>
      <c r="F165" s="170"/>
      <c r="G165" s="213"/>
      <c r="H165" s="170"/>
      <c r="I165" s="190">
        <f>AF$9</f>
        <v>2040</v>
      </c>
      <c r="J165" s="191"/>
      <c r="K165" s="191"/>
      <c r="L165" s="211" t="s">
        <v>1065</v>
      </c>
      <c r="M165" s="186" t="s">
        <v>748</v>
      </c>
      <c r="N165" s="687">
        <f t="shared" ref="N165:AB165" si="179">N160*LOOKUP($AD153,$AG$4:$AO$4,$AG$9:$AO$9)</f>
        <v>145.12212828</v>
      </c>
      <c r="O165" s="687">
        <f t="shared" si="179"/>
        <v>0</v>
      </c>
      <c r="P165" s="687">
        <f t="shared" si="179"/>
        <v>0</v>
      </c>
      <c r="Q165" s="687">
        <f t="shared" si="179"/>
        <v>0</v>
      </c>
      <c r="R165" s="687">
        <f t="shared" si="179"/>
        <v>0</v>
      </c>
      <c r="S165" s="687">
        <f t="shared" si="179"/>
        <v>0</v>
      </c>
      <c r="T165" s="687">
        <f t="shared" si="179"/>
        <v>0</v>
      </c>
      <c r="U165" s="687">
        <f t="shared" si="179"/>
        <v>0</v>
      </c>
      <c r="V165" s="687">
        <f t="shared" si="179"/>
        <v>0</v>
      </c>
      <c r="W165" s="687">
        <f t="shared" si="179"/>
        <v>0</v>
      </c>
      <c r="X165" s="687">
        <f t="shared" si="179"/>
        <v>0</v>
      </c>
      <c r="Y165" s="687">
        <f t="shared" si="179"/>
        <v>0</v>
      </c>
      <c r="Z165" s="687">
        <f t="shared" si="179"/>
        <v>0</v>
      </c>
      <c r="AA165" s="687">
        <f t="shared" si="179"/>
        <v>0</v>
      </c>
      <c r="AB165" s="687">
        <f t="shared" si="179"/>
        <v>0</v>
      </c>
      <c r="AC165" s="926"/>
      <c r="AV165" s="700" t="str">
        <f t="shared" si="171"/>
        <v/>
      </c>
    </row>
    <row r="166" spans="1:48" x14ac:dyDescent="0.25">
      <c r="A166" s="22"/>
      <c r="B166" s="193" t="str">
        <f t="shared" si="172"/>
        <v>TCARPYG100</v>
      </c>
      <c r="C166" s="193"/>
      <c r="D166" s="194"/>
      <c r="E166" s="193"/>
      <c r="F166" s="196"/>
      <c r="G166" s="215"/>
      <c r="H166" s="196"/>
      <c r="I166" s="197">
        <f>AF$10</f>
        <v>2050</v>
      </c>
      <c r="J166" s="198"/>
      <c r="K166" s="198"/>
      <c r="L166" s="212" t="s">
        <v>1065</v>
      </c>
      <c r="M166" s="193" t="s">
        <v>748</v>
      </c>
      <c r="N166" s="688">
        <f t="shared" ref="N166:AB166" si="180">N160*LOOKUP($AD153,$AG$4:$AO$4,$AG$10:$AO$10)</f>
        <v>0</v>
      </c>
      <c r="O166" s="688">
        <f t="shared" si="180"/>
        <v>0</v>
      </c>
      <c r="P166" s="688">
        <f t="shared" si="180"/>
        <v>0</v>
      </c>
      <c r="Q166" s="688">
        <f t="shared" si="180"/>
        <v>0</v>
      </c>
      <c r="R166" s="688">
        <f t="shared" si="180"/>
        <v>0</v>
      </c>
      <c r="S166" s="688">
        <f t="shared" si="180"/>
        <v>0</v>
      </c>
      <c r="T166" s="688">
        <f t="shared" si="180"/>
        <v>0</v>
      </c>
      <c r="U166" s="688">
        <f t="shared" si="180"/>
        <v>0</v>
      </c>
      <c r="V166" s="688">
        <f t="shared" si="180"/>
        <v>0</v>
      </c>
      <c r="W166" s="688">
        <f t="shared" si="180"/>
        <v>0</v>
      </c>
      <c r="X166" s="688">
        <f t="shared" si="180"/>
        <v>0</v>
      </c>
      <c r="Y166" s="688">
        <f t="shared" si="180"/>
        <v>0</v>
      </c>
      <c r="Z166" s="688">
        <f t="shared" si="180"/>
        <v>0</v>
      </c>
      <c r="AA166" s="688">
        <f t="shared" si="180"/>
        <v>0</v>
      </c>
      <c r="AB166" s="688">
        <f t="shared" si="180"/>
        <v>0</v>
      </c>
      <c r="AC166" s="926"/>
      <c r="AV166" s="700" t="str">
        <f t="shared" si="171"/>
        <v/>
      </c>
    </row>
    <row r="167" spans="1:48" x14ac:dyDescent="0.25">
      <c r="L167" s="70"/>
      <c r="AE167" s="71"/>
    </row>
    <row r="168" spans="1:48" x14ac:dyDescent="0.25">
      <c r="L168" s="70"/>
      <c r="M168" s="69"/>
      <c r="N168" s="328"/>
    </row>
    <row r="169" spans="1:48" x14ac:dyDescent="0.25">
      <c r="L169" s="70"/>
    </row>
  </sheetData>
  <sortState xmlns:xlrd2="http://schemas.microsoft.com/office/spreadsheetml/2017/richdata2" ref="AV5:BL24">
    <sortCondition ref="AV6:AV24"/>
  </sortState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0">
    <tabColor theme="8" tint="0.79998168889431442"/>
  </sheetPr>
  <dimension ref="A1:BL326"/>
  <sheetViews>
    <sheetView topLeftCell="AF1" zoomScale="75" zoomScaleNormal="75" workbookViewId="0">
      <selection activeCell="AV6" sqref="AV6:AV24"/>
    </sheetView>
  </sheetViews>
  <sheetFormatPr defaultColWidth="9.28515625" defaultRowHeight="15" x14ac:dyDescent="0.25"/>
  <cols>
    <col min="1" max="1" width="9.28515625" style="35"/>
    <col min="2" max="2" width="21.5703125" style="35" customWidth="1"/>
    <col min="3" max="3" width="15.28515625" style="35" customWidth="1"/>
    <col min="4" max="4" width="39.28515625" style="35" customWidth="1"/>
    <col min="5" max="5" width="11.28515625" style="35" bestFit="1" customWidth="1"/>
    <col min="6" max="6" width="11.42578125" style="35" bestFit="1" customWidth="1"/>
    <col min="7" max="7" width="15.5703125" style="35" bestFit="1" customWidth="1"/>
    <col min="8" max="8" width="9.7109375" style="35" bestFit="1" customWidth="1"/>
    <col min="9" max="9" width="15.5703125" style="35" bestFit="1" customWidth="1"/>
    <col min="10" max="10" width="24" style="35" bestFit="1" customWidth="1"/>
    <col min="11" max="11" width="14.7109375" style="35" customWidth="1"/>
    <col min="12" max="13" width="20" style="35" customWidth="1"/>
    <col min="14" max="14" width="10" style="35" customWidth="1"/>
    <col min="15" max="28" width="9.28515625" style="35" customWidth="1"/>
    <col min="29" max="29" width="10.7109375" style="35" customWidth="1"/>
    <col min="30" max="30" width="21.28515625" style="35" customWidth="1"/>
    <col min="31" max="31" width="9.28515625" style="35" bestFit="1" customWidth="1"/>
    <col min="32" max="46" width="12" style="35" customWidth="1"/>
    <col min="47" max="47" width="9.28515625" style="35"/>
    <col min="48" max="48" width="9.7109375" style="35" customWidth="1"/>
    <col min="49" max="16384" width="9.28515625" style="35"/>
  </cols>
  <sheetData>
    <row r="1" spans="1:64" x14ac:dyDescent="0.25">
      <c r="M1" s="120" t="s">
        <v>1111</v>
      </c>
    </row>
    <row r="2" spans="1:64" ht="19.5" customHeight="1" x14ac:dyDescent="0.25">
      <c r="A2" s="22"/>
      <c r="B2" s="148" t="s">
        <v>1160</v>
      </c>
      <c r="C2" s="22"/>
      <c r="D2" s="22"/>
      <c r="I2" s="36"/>
      <c r="M2" s="411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25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25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1161</v>
      </c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V4" s="701" t="s">
        <v>85</v>
      </c>
      <c r="AW4" s="701" t="s">
        <v>421</v>
      </c>
      <c r="AX4" s="701" t="str">
        <f t="shared" ref="AX4:BL4" si="2">N$2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x14ac:dyDescent="0.25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M4</f>
        <v>2020</v>
      </c>
      <c r="AG5" s="67">
        <v>0.95</v>
      </c>
      <c r="AH5" s="67">
        <v>0.95</v>
      </c>
      <c r="AI5" s="67">
        <v>0.95</v>
      </c>
      <c r="AJ5" s="67">
        <v>0.95</v>
      </c>
      <c r="AK5" s="67">
        <v>0.95</v>
      </c>
      <c r="AL5" s="67">
        <v>1</v>
      </c>
      <c r="AM5" s="67">
        <v>0.95</v>
      </c>
      <c r="AN5" s="67">
        <v>0.95</v>
      </c>
      <c r="AO5" s="67">
        <v>0.95</v>
      </c>
      <c r="AP5" s="67">
        <v>0.95</v>
      </c>
      <c r="AT5" s="68"/>
      <c r="AV5" s="398" t="s">
        <v>103</v>
      </c>
      <c r="AW5" s="717">
        <f t="shared" ref="AW5:AW24" si="3">SUM(AX5:BL5)</f>
        <v>2056.1536916913969</v>
      </c>
      <c r="AX5" s="718">
        <f t="shared" ref="AX5:BL5" si="4">SUM(AX6:AX24)</f>
        <v>2056.1536916913969</v>
      </c>
      <c r="AY5" s="709">
        <f t="shared" si="4"/>
        <v>0</v>
      </c>
      <c r="AZ5" s="709">
        <f t="shared" si="4"/>
        <v>0</v>
      </c>
      <c r="BA5" s="709">
        <f t="shared" si="4"/>
        <v>0</v>
      </c>
      <c r="BB5" s="709">
        <f t="shared" si="4"/>
        <v>0</v>
      </c>
      <c r="BC5" s="709">
        <f t="shared" si="4"/>
        <v>0</v>
      </c>
      <c r="BD5" s="709">
        <f t="shared" si="4"/>
        <v>0</v>
      </c>
      <c r="BE5" s="709">
        <f t="shared" si="4"/>
        <v>0</v>
      </c>
      <c r="BF5" s="709">
        <f t="shared" si="4"/>
        <v>0</v>
      </c>
      <c r="BG5" s="709">
        <f t="shared" si="4"/>
        <v>0</v>
      </c>
      <c r="BH5" s="709">
        <f t="shared" si="4"/>
        <v>0</v>
      </c>
      <c r="BI5" s="709">
        <f t="shared" si="4"/>
        <v>0</v>
      </c>
      <c r="BJ5" s="709">
        <f t="shared" si="4"/>
        <v>0</v>
      </c>
      <c r="BK5" s="709">
        <f t="shared" si="4"/>
        <v>0</v>
      </c>
      <c r="BL5" s="709">
        <f t="shared" si="4"/>
        <v>0</v>
      </c>
    </row>
    <row r="6" spans="1:64" x14ac:dyDescent="0.25">
      <c r="I6" s="36"/>
      <c r="AF6" s="38">
        <f>AF5+5</f>
        <v>2025</v>
      </c>
      <c r="AG6" s="67">
        <v>0.6</v>
      </c>
      <c r="AH6" s="67">
        <v>0.6</v>
      </c>
      <c r="AI6" s="67">
        <v>0.6</v>
      </c>
      <c r="AJ6" s="67">
        <v>0.6</v>
      </c>
      <c r="AK6" s="67">
        <v>0.6</v>
      </c>
      <c r="AL6" s="67">
        <v>0.6</v>
      </c>
      <c r="AM6" s="67">
        <v>0.5</v>
      </c>
      <c r="AN6" s="67">
        <v>0.6</v>
      </c>
      <c r="AO6" s="67">
        <v>0.6</v>
      </c>
      <c r="AP6" s="67">
        <v>0.6</v>
      </c>
      <c r="AT6" s="68"/>
      <c r="AV6" s="725" t="s">
        <v>988</v>
      </c>
      <c r="AW6" s="935">
        <f t="shared" si="3"/>
        <v>83.462842613039797</v>
      </c>
      <c r="AX6" s="728">
        <f t="shared" ref="AX6:BL15" si="5">SUMIF($AV$32:$AV$315,$AV6,AX$32:AX$315)</f>
        <v>83.462842613039797</v>
      </c>
      <c r="AY6" s="723">
        <f t="shared" si="5"/>
        <v>0</v>
      </c>
      <c r="AZ6" s="723">
        <f t="shared" si="5"/>
        <v>0</v>
      </c>
      <c r="BA6" s="723">
        <f t="shared" si="5"/>
        <v>0</v>
      </c>
      <c r="BB6" s="723">
        <f t="shared" si="5"/>
        <v>0</v>
      </c>
      <c r="BC6" s="723">
        <f t="shared" si="5"/>
        <v>0</v>
      </c>
      <c r="BD6" s="723">
        <f t="shared" si="5"/>
        <v>0</v>
      </c>
      <c r="BE6" s="723">
        <f t="shared" si="5"/>
        <v>0</v>
      </c>
      <c r="BF6" s="723">
        <f t="shared" si="5"/>
        <v>0</v>
      </c>
      <c r="BG6" s="723">
        <f t="shared" si="5"/>
        <v>0</v>
      </c>
      <c r="BH6" s="723">
        <f t="shared" si="5"/>
        <v>0</v>
      </c>
      <c r="BI6" s="723">
        <f t="shared" si="5"/>
        <v>0</v>
      </c>
      <c r="BJ6" s="723">
        <f t="shared" si="5"/>
        <v>0</v>
      </c>
      <c r="BK6" s="723">
        <f t="shared" si="5"/>
        <v>0</v>
      </c>
      <c r="BL6" s="723">
        <f t="shared" si="5"/>
        <v>0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2030</v>
      </c>
      <c r="AG7" s="67">
        <v>0.1</v>
      </c>
      <c r="AH7" s="67">
        <v>0.1</v>
      </c>
      <c r="AI7" s="67">
        <v>0.1</v>
      </c>
      <c r="AJ7" s="67">
        <v>0.1</v>
      </c>
      <c r="AK7" s="67">
        <v>0.1</v>
      </c>
      <c r="AL7" s="67">
        <v>0.1</v>
      </c>
      <c r="AM7" s="67">
        <v>0</v>
      </c>
      <c r="AN7" s="67">
        <v>0.1</v>
      </c>
      <c r="AO7" s="67">
        <v>0.1</v>
      </c>
      <c r="AP7" s="67">
        <v>0.1</v>
      </c>
      <c r="AQ7" s="35"/>
      <c r="AR7" s="35"/>
      <c r="AS7" s="35"/>
      <c r="AT7" s="68"/>
      <c r="AV7" s="33" t="s">
        <v>990</v>
      </c>
      <c r="AW7" s="935">
        <f t="shared" si="3"/>
        <v>106.14880218359585</v>
      </c>
      <c r="AX7" s="728">
        <f t="shared" si="5"/>
        <v>106.14880218359585</v>
      </c>
      <c r="AY7" s="723">
        <f t="shared" si="5"/>
        <v>0</v>
      </c>
      <c r="AZ7" s="723">
        <f t="shared" si="5"/>
        <v>0</v>
      </c>
      <c r="BA7" s="723">
        <f t="shared" si="5"/>
        <v>0</v>
      </c>
      <c r="BB7" s="723">
        <f t="shared" si="5"/>
        <v>0</v>
      </c>
      <c r="BC7" s="723">
        <f t="shared" si="5"/>
        <v>0</v>
      </c>
      <c r="BD7" s="723">
        <f t="shared" si="5"/>
        <v>0</v>
      </c>
      <c r="BE7" s="723">
        <f t="shared" si="5"/>
        <v>0</v>
      </c>
      <c r="BF7" s="723">
        <f t="shared" si="5"/>
        <v>0</v>
      </c>
      <c r="BG7" s="723">
        <f t="shared" si="5"/>
        <v>0</v>
      </c>
      <c r="BH7" s="723">
        <f t="shared" si="5"/>
        <v>0</v>
      </c>
      <c r="BI7" s="723">
        <f t="shared" si="5"/>
        <v>0</v>
      </c>
      <c r="BJ7" s="723">
        <f t="shared" si="5"/>
        <v>0</v>
      </c>
      <c r="BK7" s="723">
        <f t="shared" si="5"/>
        <v>0</v>
      </c>
      <c r="BL7" s="723">
        <f t="shared" si="5"/>
        <v>0</v>
      </c>
    </row>
    <row r="8" spans="1:64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6">N$2</f>
        <v>Z01</v>
      </c>
      <c r="O8" s="43" t="str">
        <f t="shared" si="6"/>
        <v>Z02</v>
      </c>
      <c r="P8" s="43" t="str">
        <f t="shared" si="6"/>
        <v>Z03</v>
      </c>
      <c r="Q8" s="43" t="str">
        <f t="shared" si="6"/>
        <v>Z04</v>
      </c>
      <c r="R8" s="43" t="str">
        <f t="shared" si="6"/>
        <v>Z05</v>
      </c>
      <c r="S8" s="43" t="str">
        <f t="shared" si="6"/>
        <v>Z06</v>
      </c>
      <c r="T8" s="43" t="str">
        <f t="shared" si="6"/>
        <v>Z07</v>
      </c>
      <c r="U8" s="43" t="str">
        <f t="shared" si="6"/>
        <v>Z08</v>
      </c>
      <c r="V8" s="43" t="str">
        <f t="shared" si="6"/>
        <v>Z09</v>
      </c>
      <c r="W8" s="43" t="str">
        <f t="shared" si="6"/>
        <v>Z10</v>
      </c>
      <c r="X8" s="43" t="str">
        <f t="shared" si="6"/>
        <v>Z11</v>
      </c>
      <c r="Y8" s="43" t="str">
        <f t="shared" si="6"/>
        <v>Z12</v>
      </c>
      <c r="Z8" s="43" t="str">
        <f t="shared" si="6"/>
        <v>Z13</v>
      </c>
      <c r="AA8" s="43" t="str">
        <f t="shared" si="6"/>
        <v>Z14</v>
      </c>
      <c r="AB8" s="43" t="str">
        <f t="shared" si="6"/>
        <v>Z15</v>
      </c>
      <c r="AD8" s="382" t="s">
        <v>421</v>
      </c>
      <c r="AF8" s="38">
        <f>AF7+5</f>
        <v>2035</v>
      </c>
      <c r="AG8" s="67">
        <v>0.01</v>
      </c>
      <c r="AH8" s="67">
        <v>0.01</v>
      </c>
      <c r="AI8" s="67">
        <v>0.01</v>
      </c>
      <c r="AJ8" s="67">
        <v>0.01</v>
      </c>
      <c r="AK8" s="67">
        <v>0.01</v>
      </c>
      <c r="AL8" s="67">
        <v>0.01</v>
      </c>
      <c r="AM8" s="67">
        <v>0</v>
      </c>
      <c r="AN8" s="67">
        <v>0.01</v>
      </c>
      <c r="AO8" s="67">
        <v>0.01</v>
      </c>
      <c r="AP8" s="67">
        <v>0.01</v>
      </c>
      <c r="AQ8" s="35"/>
      <c r="AR8" s="35"/>
      <c r="AS8" s="35"/>
      <c r="AT8" s="35"/>
      <c r="AV8" s="725" t="s">
        <v>994</v>
      </c>
      <c r="AW8" s="935">
        <f t="shared" si="3"/>
        <v>313.75230011095221</v>
      </c>
      <c r="AX8" s="728">
        <f t="shared" si="5"/>
        <v>313.75230011095221</v>
      </c>
      <c r="AY8" s="723">
        <f t="shared" si="5"/>
        <v>0</v>
      </c>
      <c r="AZ8" s="723">
        <f t="shared" si="5"/>
        <v>0</v>
      </c>
      <c r="BA8" s="723">
        <f t="shared" si="5"/>
        <v>0</v>
      </c>
      <c r="BB8" s="723">
        <f t="shared" si="5"/>
        <v>0</v>
      </c>
      <c r="BC8" s="723">
        <f t="shared" si="5"/>
        <v>0</v>
      </c>
      <c r="BD8" s="723">
        <f t="shared" si="5"/>
        <v>0</v>
      </c>
      <c r="BE8" s="723">
        <f t="shared" si="5"/>
        <v>0</v>
      </c>
      <c r="BF8" s="723">
        <f t="shared" si="5"/>
        <v>0</v>
      </c>
      <c r="BG8" s="723">
        <f t="shared" si="5"/>
        <v>0</v>
      </c>
      <c r="BH8" s="723">
        <f t="shared" si="5"/>
        <v>0</v>
      </c>
      <c r="BI8" s="723">
        <f t="shared" si="5"/>
        <v>0</v>
      </c>
      <c r="BJ8" s="723">
        <f t="shared" si="5"/>
        <v>0</v>
      </c>
      <c r="BK8" s="723">
        <f t="shared" si="5"/>
        <v>0</v>
      </c>
      <c r="BL8" s="723">
        <f t="shared" si="5"/>
        <v>0</v>
      </c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AF8+5</f>
        <v>2040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35"/>
      <c r="AR9" s="35"/>
      <c r="AS9" s="35"/>
      <c r="AT9" s="35"/>
      <c r="AV9" s="725" t="s">
        <v>996</v>
      </c>
      <c r="AW9" s="935">
        <f t="shared" si="3"/>
        <v>0</v>
      </c>
      <c r="AX9" s="728">
        <f t="shared" si="5"/>
        <v>0</v>
      </c>
      <c r="AY9" s="723">
        <f t="shared" si="5"/>
        <v>0</v>
      </c>
      <c r="AZ9" s="723">
        <f t="shared" si="5"/>
        <v>0</v>
      </c>
      <c r="BA9" s="723">
        <f t="shared" si="5"/>
        <v>0</v>
      </c>
      <c r="BB9" s="723">
        <f t="shared" si="5"/>
        <v>0</v>
      </c>
      <c r="BC9" s="723">
        <f t="shared" si="5"/>
        <v>0</v>
      </c>
      <c r="BD9" s="723">
        <f t="shared" si="5"/>
        <v>0</v>
      </c>
      <c r="BE9" s="723">
        <f t="shared" si="5"/>
        <v>0</v>
      </c>
      <c r="BF9" s="723">
        <f t="shared" si="5"/>
        <v>0</v>
      </c>
      <c r="BG9" s="723">
        <f t="shared" si="5"/>
        <v>0</v>
      </c>
      <c r="BH9" s="723">
        <f t="shared" si="5"/>
        <v>0</v>
      </c>
      <c r="BI9" s="723">
        <f t="shared" si="5"/>
        <v>0</v>
      </c>
      <c r="BJ9" s="723">
        <f t="shared" si="5"/>
        <v>0</v>
      </c>
      <c r="BK9" s="723">
        <f t="shared" si="5"/>
        <v>0</v>
      </c>
      <c r="BL9" s="723">
        <f t="shared" si="5"/>
        <v>0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2" t="s">
        <v>415</v>
      </c>
      <c r="J10" s="173" t="str">
        <f>LOOKUP(I10,TRA_Comm!$C$29:$C$90,TRA_Comm!$D$29:$D$90)</f>
        <v>Road.Bus.Urban.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5">
        <f>SUM(N10:AB10)</f>
        <v>0</v>
      </c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35"/>
      <c r="AR10" s="35"/>
      <c r="AS10" s="35"/>
      <c r="AT10" s="68"/>
      <c r="AV10" s="725" t="s">
        <v>998</v>
      </c>
      <c r="AW10" s="935">
        <f t="shared" si="3"/>
        <v>0</v>
      </c>
      <c r="AX10" s="728">
        <f t="shared" si="5"/>
        <v>0</v>
      </c>
      <c r="AY10" s="723">
        <f t="shared" si="5"/>
        <v>0</v>
      </c>
      <c r="AZ10" s="723">
        <f t="shared" si="5"/>
        <v>0</v>
      </c>
      <c r="BA10" s="723">
        <f t="shared" si="5"/>
        <v>0</v>
      </c>
      <c r="BB10" s="723">
        <f t="shared" si="5"/>
        <v>0</v>
      </c>
      <c r="BC10" s="723">
        <f t="shared" si="5"/>
        <v>0</v>
      </c>
      <c r="BD10" s="723">
        <f t="shared" si="5"/>
        <v>0</v>
      </c>
      <c r="BE10" s="723">
        <f t="shared" si="5"/>
        <v>0</v>
      </c>
      <c r="BF10" s="723">
        <f t="shared" si="5"/>
        <v>0</v>
      </c>
      <c r="BG10" s="723">
        <f t="shared" si="5"/>
        <v>0</v>
      </c>
      <c r="BH10" s="723">
        <f t="shared" si="5"/>
        <v>0</v>
      </c>
      <c r="BI10" s="723">
        <f t="shared" si="5"/>
        <v>0</v>
      </c>
      <c r="BJ10" s="723">
        <f t="shared" si="5"/>
        <v>0</v>
      </c>
      <c r="BK10" s="723">
        <f t="shared" si="5"/>
        <v>0</v>
      </c>
      <c r="BL10" s="723">
        <f t="shared" si="5"/>
        <v>0</v>
      </c>
    </row>
    <row r="11" spans="1:64" s="33" customFormat="1" x14ac:dyDescent="0.25">
      <c r="A11" s="44"/>
      <c r="B11" s="44"/>
      <c r="C11" s="44"/>
      <c r="D11" s="35"/>
      <c r="E11" s="35"/>
      <c r="F11" s="44"/>
      <c r="G11" s="44"/>
      <c r="H11" s="35"/>
      <c r="I11" s="172" t="s">
        <v>593</v>
      </c>
      <c r="J11" s="173" t="str">
        <f>LOOKUP(I11,TRA_Comm!$C$29:$C$90,TRA_Comm!$D$29:$D$90)</f>
        <v>Road.Bus.Urban.City.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5">
        <f>SUM(N11:AB11)</f>
        <v>0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V11" s="727" t="s">
        <v>1000</v>
      </c>
      <c r="AW11" s="935">
        <f t="shared" si="3"/>
        <v>0</v>
      </c>
      <c r="AX11" s="728">
        <f t="shared" si="5"/>
        <v>0</v>
      </c>
      <c r="AY11" s="723">
        <f t="shared" si="5"/>
        <v>0</v>
      </c>
      <c r="AZ11" s="723">
        <f t="shared" si="5"/>
        <v>0</v>
      </c>
      <c r="BA11" s="723">
        <f t="shared" si="5"/>
        <v>0</v>
      </c>
      <c r="BB11" s="723">
        <f t="shared" si="5"/>
        <v>0</v>
      </c>
      <c r="BC11" s="723">
        <f t="shared" si="5"/>
        <v>0</v>
      </c>
      <c r="BD11" s="723">
        <f t="shared" si="5"/>
        <v>0</v>
      </c>
      <c r="BE11" s="723">
        <f t="shared" si="5"/>
        <v>0</v>
      </c>
      <c r="BF11" s="723">
        <f t="shared" si="5"/>
        <v>0</v>
      </c>
      <c r="BG11" s="723">
        <f t="shared" si="5"/>
        <v>0</v>
      </c>
      <c r="BH11" s="723">
        <f t="shared" si="5"/>
        <v>0</v>
      </c>
      <c r="BI11" s="723">
        <f t="shared" si="5"/>
        <v>0</v>
      </c>
      <c r="BJ11" s="723">
        <f t="shared" si="5"/>
        <v>0</v>
      </c>
      <c r="BK11" s="723">
        <f t="shared" si="5"/>
        <v>0</v>
      </c>
      <c r="BL11" s="723">
        <f t="shared" si="5"/>
        <v>0</v>
      </c>
    </row>
    <row r="12" spans="1:64" s="33" customFormat="1" x14ac:dyDescent="0.25">
      <c r="A12" s="44"/>
      <c r="B12" s="34"/>
      <c r="C12" s="44"/>
      <c r="D12" s="35"/>
      <c r="E12" s="35"/>
      <c r="F12" s="44"/>
      <c r="G12" s="44"/>
      <c r="H12" s="35"/>
      <c r="I12" s="172" t="s">
        <v>414</v>
      </c>
      <c r="J12" s="173" t="str">
        <f>LOOKUP(I12,TRA_Comm!$C$29:$C$90,TRA_Comm!$D$29:$D$90)</f>
        <v>Road.Bus.Intercity.</v>
      </c>
      <c r="K12" s="173"/>
      <c r="L12" s="173" t="s">
        <v>1118</v>
      </c>
      <c r="M12" s="173" t="s">
        <v>583</v>
      </c>
      <c r="N12" s="165">
        <f>SUMIF(DEMAND_Pkm_Tkm!$C$6:$C$43, $I12, DEMAND_Pkm_Tkm!G$6:G$43)</f>
        <v>2000</v>
      </c>
      <c r="O12" s="165">
        <f>SUMIF(DEMAND_Pkm_Tkm!$C$6:$C$43, $I12, DEMAND_Pkm_Tkm!H$6:H$43)</f>
        <v>0</v>
      </c>
      <c r="P12" s="165">
        <f>SUMIF(DEMAND_Pkm_Tkm!$C$6:$C$43, $I12, DEMAND_Pkm_Tkm!I$6:I$43)</f>
        <v>0</v>
      </c>
      <c r="Q12" s="165">
        <f>SUMIF(DEMAND_Pkm_Tkm!$C$6:$C$43, $I12, DEMAND_Pkm_Tkm!J$6:J$43)</f>
        <v>0</v>
      </c>
      <c r="R12" s="165">
        <f>SUMIF(DEMAND_Pkm_Tkm!$C$6:$C$43, $I12, DEMAND_Pkm_Tkm!K$6:K$43)</f>
        <v>0</v>
      </c>
      <c r="S12" s="165">
        <f>SUMIF(DEMAND_Pkm_Tkm!$C$6:$C$43, $I12, DEMAND_Pkm_Tkm!L$6:L$43)</f>
        <v>0</v>
      </c>
      <c r="T12" s="165">
        <f>SUMIF(DEMAND_Pkm_Tkm!$C$6:$C$43, $I12, DEMAND_Pkm_Tkm!M$6:M$43)</f>
        <v>0</v>
      </c>
      <c r="U12" s="165">
        <f>SUMIF(DEMAND_Pkm_Tkm!$C$6:$C$43, $I12, DEMAND_Pkm_Tkm!N$6:N$43)</f>
        <v>0</v>
      </c>
      <c r="V12" s="165">
        <f>SUMIF(DEMAND_Pkm_Tkm!$C$6:$C$43, $I12, DEMAND_Pkm_Tkm!O$6:O$43)</f>
        <v>0</v>
      </c>
      <c r="W12" s="165">
        <f>SUMIF(DEMAND_Pkm_Tkm!$C$6:$C$43, $I12, DEMAND_Pkm_Tkm!P$6:P$43)</f>
        <v>0</v>
      </c>
      <c r="X12" s="165">
        <f>SUMIF(DEMAND_Pkm_Tkm!$C$6:$C$43, $I12, DEMAND_Pkm_Tkm!Q$6:Q$43)</f>
        <v>0</v>
      </c>
      <c r="Y12" s="165">
        <f>SUMIF(DEMAND_Pkm_Tkm!$C$6:$C$43, $I12, DEMAND_Pkm_Tkm!R$6:R$43)</f>
        <v>0</v>
      </c>
      <c r="Z12" s="165">
        <f>SUMIF(DEMAND_Pkm_Tkm!$C$6:$C$43, $I12, DEMAND_Pkm_Tkm!S$6:S$43)</f>
        <v>0</v>
      </c>
      <c r="AA12" s="165">
        <f>SUMIF(DEMAND_Pkm_Tkm!$C$6:$C$43, $I12, DEMAND_Pkm_Tkm!T$6:T$43)</f>
        <v>0</v>
      </c>
      <c r="AB12" s="165">
        <f>SUMIF(DEMAND_Pkm_Tkm!$C$6:$C$43, $I12, DEMAND_Pkm_Tkm!U$6:U$43)</f>
        <v>0</v>
      </c>
      <c r="AD12" s="585">
        <f>SUM(N12:AB12)</f>
        <v>2000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P12" s="35"/>
      <c r="AQ12" s="35"/>
      <c r="AR12" s="35"/>
      <c r="AS12" s="35"/>
      <c r="AT12" s="68"/>
      <c r="AV12" s="728" t="s">
        <v>185</v>
      </c>
      <c r="AW12" s="935">
        <f t="shared" si="3"/>
        <v>1432.948617152615</v>
      </c>
      <c r="AX12" s="728">
        <f t="shared" si="5"/>
        <v>1432.948617152615</v>
      </c>
      <c r="AY12" s="723">
        <f t="shared" si="5"/>
        <v>0</v>
      </c>
      <c r="AZ12" s="723">
        <f t="shared" si="5"/>
        <v>0</v>
      </c>
      <c r="BA12" s="723">
        <f t="shared" si="5"/>
        <v>0</v>
      </c>
      <c r="BB12" s="723">
        <f t="shared" si="5"/>
        <v>0</v>
      </c>
      <c r="BC12" s="723">
        <f t="shared" si="5"/>
        <v>0</v>
      </c>
      <c r="BD12" s="723">
        <f t="shared" si="5"/>
        <v>0</v>
      </c>
      <c r="BE12" s="723">
        <f t="shared" si="5"/>
        <v>0</v>
      </c>
      <c r="BF12" s="723">
        <f t="shared" si="5"/>
        <v>0</v>
      </c>
      <c r="BG12" s="723">
        <f t="shared" si="5"/>
        <v>0</v>
      </c>
      <c r="BH12" s="723">
        <f t="shared" si="5"/>
        <v>0</v>
      </c>
      <c r="BI12" s="723">
        <f t="shared" si="5"/>
        <v>0</v>
      </c>
      <c r="BJ12" s="723">
        <f t="shared" si="5"/>
        <v>0</v>
      </c>
      <c r="BK12" s="723">
        <f t="shared" si="5"/>
        <v>0</v>
      </c>
      <c r="BL12" s="723">
        <f t="shared" si="5"/>
        <v>0</v>
      </c>
    </row>
    <row r="13" spans="1:64" s="33" customFormat="1" x14ac:dyDescent="0.25">
      <c r="A13" s="44"/>
      <c r="B13" s="45"/>
      <c r="C13" s="44"/>
      <c r="D13" s="35"/>
      <c r="E13" s="35"/>
      <c r="F13" s="44"/>
      <c r="G13" s="44"/>
      <c r="H13" s="35"/>
      <c r="I13" s="172" t="s">
        <v>590</v>
      </c>
      <c r="J13" s="173" t="str">
        <f>LOOKUP(I13,TRA_Comm!$C$29:$C$90,TRA_Comm!$D$29:$D$90)</f>
        <v>Road.Bus.Intercity.City.</v>
      </c>
      <c r="K13" s="173"/>
      <c r="L13" s="173" t="s">
        <v>1118</v>
      </c>
      <c r="M13" s="173" t="s">
        <v>583</v>
      </c>
      <c r="N13" s="165">
        <f>SUMIF(DEMAND_Pkm_Tkm!$C$6:$C$43, $I13, DEMAND_Pkm_Tkm!G$6:G$43)</f>
        <v>0</v>
      </c>
      <c r="O13" s="165">
        <f>SUMIF(DEMAND_Pkm_Tkm!$C$6:$C$43, $I13, DEMAND_Pkm_Tkm!H$6:H$43)</f>
        <v>0</v>
      </c>
      <c r="P13" s="165">
        <f>SUMIF(DEMAND_Pkm_Tkm!$C$6:$C$43, $I13, DEMAND_Pkm_Tkm!I$6:I$43)</f>
        <v>0</v>
      </c>
      <c r="Q13" s="165">
        <f>SUMIF(DEMAND_Pkm_Tkm!$C$6:$C$43, $I13, DEMAND_Pkm_Tkm!J$6:J$43)</f>
        <v>0</v>
      </c>
      <c r="R13" s="165">
        <f>SUMIF(DEMAND_Pkm_Tkm!$C$6:$C$43, $I13, DEMAND_Pkm_Tkm!K$6:K$43)</f>
        <v>0</v>
      </c>
      <c r="S13" s="165">
        <f>SUMIF(DEMAND_Pkm_Tkm!$C$6:$C$43, $I13, DEMAND_Pkm_Tkm!L$6:L$43)</f>
        <v>0</v>
      </c>
      <c r="T13" s="165">
        <f>SUMIF(DEMAND_Pkm_Tkm!$C$6:$C$43, $I13, DEMAND_Pkm_Tkm!M$6:M$43)</f>
        <v>0</v>
      </c>
      <c r="U13" s="165">
        <f>SUMIF(DEMAND_Pkm_Tkm!$C$6:$C$43, $I13, DEMAND_Pkm_Tkm!N$6:N$43)</f>
        <v>0</v>
      </c>
      <c r="V13" s="165">
        <f>SUMIF(DEMAND_Pkm_Tkm!$C$6:$C$43, $I13, DEMAND_Pkm_Tkm!O$6:O$43)</f>
        <v>0</v>
      </c>
      <c r="W13" s="165">
        <f>SUMIF(DEMAND_Pkm_Tkm!$C$6:$C$43, $I13, DEMAND_Pkm_Tkm!P$6:P$43)</f>
        <v>0</v>
      </c>
      <c r="X13" s="165">
        <f>SUMIF(DEMAND_Pkm_Tkm!$C$6:$C$43, $I13, DEMAND_Pkm_Tkm!Q$6:Q$43)</f>
        <v>0</v>
      </c>
      <c r="Y13" s="165">
        <f>SUMIF(DEMAND_Pkm_Tkm!$C$6:$C$43, $I13, DEMAND_Pkm_Tkm!R$6:R$43)</f>
        <v>0</v>
      </c>
      <c r="Z13" s="165">
        <f>SUMIF(DEMAND_Pkm_Tkm!$C$6:$C$43, $I13, DEMAND_Pkm_Tkm!S$6:S$43)</f>
        <v>0</v>
      </c>
      <c r="AA13" s="165">
        <f>SUMIF(DEMAND_Pkm_Tkm!$C$6:$C$43, $I13, DEMAND_Pkm_Tkm!T$6:T$43)</f>
        <v>0</v>
      </c>
      <c r="AB13" s="165">
        <f>SUMIF(DEMAND_Pkm_Tkm!$C$6:$C$43, $I13, DEMAND_Pkm_Tkm!U$6:U$43)</f>
        <v>0</v>
      </c>
      <c r="AD13" s="585">
        <f>SUM(N13:AB13)</f>
        <v>0</v>
      </c>
      <c r="AE13" s="35"/>
      <c r="AF13" s="35"/>
      <c r="AG13" s="35"/>
      <c r="AH13" s="35"/>
      <c r="AI13" s="35"/>
      <c r="AJ13" s="35"/>
      <c r="AK13" s="35"/>
      <c r="AL13" s="35"/>
      <c r="AM13" s="35"/>
      <c r="AP13" s="35"/>
      <c r="AQ13" s="35"/>
      <c r="AR13" s="35"/>
      <c r="AS13" s="35"/>
      <c r="AV13" s="728" t="s">
        <v>683</v>
      </c>
      <c r="AW13" s="935">
        <f t="shared" si="3"/>
        <v>5.7848551496970071</v>
      </c>
      <c r="AX13" s="728">
        <f t="shared" si="5"/>
        <v>5.7848551496970071</v>
      </c>
      <c r="AY13" s="723">
        <f t="shared" si="5"/>
        <v>0</v>
      </c>
      <c r="AZ13" s="723">
        <f t="shared" si="5"/>
        <v>0</v>
      </c>
      <c r="BA13" s="723">
        <f t="shared" si="5"/>
        <v>0</v>
      </c>
      <c r="BB13" s="723">
        <f t="shared" si="5"/>
        <v>0</v>
      </c>
      <c r="BC13" s="723">
        <f t="shared" si="5"/>
        <v>0</v>
      </c>
      <c r="BD13" s="723">
        <f t="shared" si="5"/>
        <v>0</v>
      </c>
      <c r="BE13" s="723">
        <f t="shared" si="5"/>
        <v>0</v>
      </c>
      <c r="BF13" s="723">
        <f t="shared" si="5"/>
        <v>0</v>
      </c>
      <c r="BG13" s="723">
        <f t="shared" si="5"/>
        <v>0</v>
      </c>
      <c r="BH13" s="723">
        <f t="shared" si="5"/>
        <v>0</v>
      </c>
      <c r="BI13" s="723">
        <f t="shared" si="5"/>
        <v>0</v>
      </c>
      <c r="BJ13" s="723">
        <f t="shared" si="5"/>
        <v>0</v>
      </c>
      <c r="BK13" s="723">
        <f t="shared" si="5"/>
        <v>0</v>
      </c>
      <c r="BL13" s="723">
        <f t="shared" si="5"/>
        <v>0</v>
      </c>
    </row>
    <row r="14" spans="1:64" s="33" customFormat="1" x14ac:dyDescent="0.25">
      <c r="A14" s="44"/>
      <c r="B14" s="35"/>
      <c r="C14" s="44"/>
      <c r="D14" s="35"/>
      <c r="E14" s="35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E14" s="35"/>
      <c r="AF14" s="35"/>
      <c r="AG14" s="35"/>
      <c r="AH14" s="35"/>
      <c r="AI14" s="35"/>
      <c r="AJ14" s="35"/>
      <c r="AK14" s="35"/>
      <c r="AP14" s="35"/>
      <c r="AQ14" s="35"/>
      <c r="AR14" s="35"/>
      <c r="AS14" s="35"/>
      <c r="AV14" s="728" t="s">
        <v>1010</v>
      </c>
      <c r="AW14" s="935">
        <f t="shared" si="3"/>
        <v>114.05627448149687</v>
      </c>
      <c r="AX14" s="728">
        <f t="shared" si="5"/>
        <v>114.05627448149687</v>
      </c>
      <c r="AY14" s="723">
        <f t="shared" si="5"/>
        <v>0</v>
      </c>
      <c r="AZ14" s="723">
        <f t="shared" si="5"/>
        <v>0</v>
      </c>
      <c r="BA14" s="723">
        <f t="shared" si="5"/>
        <v>0</v>
      </c>
      <c r="BB14" s="723">
        <f t="shared" si="5"/>
        <v>0</v>
      </c>
      <c r="BC14" s="723">
        <f t="shared" si="5"/>
        <v>0</v>
      </c>
      <c r="BD14" s="723">
        <f t="shared" si="5"/>
        <v>0</v>
      </c>
      <c r="BE14" s="723">
        <f t="shared" si="5"/>
        <v>0</v>
      </c>
      <c r="BF14" s="723">
        <f t="shared" si="5"/>
        <v>0</v>
      </c>
      <c r="BG14" s="723">
        <f t="shared" si="5"/>
        <v>0</v>
      </c>
      <c r="BH14" s="723">
        <f t="shared" si="5"/>
        <v>0</v>
      </c>
      <c r="BI14" s="723">
        <f t="shared" si="5"/>
        <v>0</v>
      </c>
      <c r="BJ14" s="723">
        <f t="shared" si="5"/>
        <v>0</v>
      </c>
      <c r="BK14" s="723">
        <f t="shared" si="5"/>
        <v>0</v>
      </c>
      <c r="BL14" s="723">
        <f t="shared" si="5"/>
        <v>0</v>
      </c>
    </row>
    <row r="15" spans="1:64" s="33" customFormat="1" x14ac:dyDescent="0.25">
      <c r="A15" s="44"/>
      <c r="B15" s="44"/>
      <c r="C15" s="44"/>
      <c r="D15" s="35"/>
      <c r="E15" s="35"/>
      <c r="F15" s="44"/>
      <c r="G15" s="44"/>
      <c r="H15" s="44"/>
      <c r="I15" s="44"/>
      <c r="J15" s="44"/>
      <c r="K15" s="44"/>
      <c r="L15" s="43" t="s">
        <v>461</v>
      </c>
      <c r="M15" s="43" t="s">
        <v>1119</v>
      </c>
      <c r="N15" s="43" t="str">
        <f t="shared" ref="N15:AB15" si="7">N$2</f>
        <v>Z01</v>
      </c>
      <c r="O15" s="43" t="str">
        <f t="shared" si="7"/>
        <v>Z02</v>
      </c>
      <c r="P15" s="43" t="str">
        <f t="shared" si="7"/>
        <v>Z03</v>
      </c>
      <c r="Q15" s="43" t="str">
        <f t="shared" si="7"/>
        <v>Z04</v>
      </c>
      <c r="R15" s="43" t="str">
        <f t="shared" si="7"/>
        <v>Z05</v>
      </c>
      <c r="S15" s="43" t="str">
        <f t="shared" si="7"/>
        <v>Z06</v>
      </c>
      <c r="T15" s="43" t="str">
        <f t="shared" si="7"/>
        <v>Z07</v>
      </c>
      <c r="U15" s="43" t="str">
        <f t="shared" si="7"/>
        <v>Z08</v>
      </c>
      <c r="V15" s="43" t="str">
        <f t="shared" si="7"/>
        <v>Z09</v>
      </c>
      <c r="W15" s="43" t="str">
        <f t="shared" si="7"/>
        <v>Z10</v>
      </c>
      <c r="X15" s="43" t="str">
        <f t="shared" si="7"/>
        <v>Z11</v>
      </c>
      <c r="Y15" s="43" t="str">
        <f t="shared" si="7"/>
        <v>Z12</v>
      </c>
      <c r="Z15" s="43" t="str">
        <f t="shared" si="7"/>
        <v>Z13</v>
      </c>
      <c r="AA15" s="43" t="str">
        <f t="shared" si="7"/>
        <v>Z14</v>
      </c>
      <c r="AB15" s="43" t="str">
        <f t="shared" si="7"/>
        <v>Z15</v>
      </c>
      <c r="AC15" s="44"/>
      <c r="AE15" s="35"/>
      <c r="AF15" s="35"/>
      <c r="AG15" s="35"/>
      <c r="AH15" s="35"/>
      <c r="AI15" s="35"/>
      <c r="AJ15" s="35"/>
      <c r="AK15" s="35"/>
      <c r="AP15" s="35"/>
      <c r="AQ15" s="35"/>
      <c r="AR15" s="35"/>
      <c r="AS15" s="35"/>
      <c r="AV15" s="728" t="s">
        <v>1012</v>
      </c>
      <c r="AW15" s="935">
        <f t="shared" si="3"/>
        <v>0</v>
      </c>
      <c r="AX15" s="728">
        <f t="shared" si="5"/>
        <v>0</v>
      </c>
      <c r="AY15" s="723">
        <f t="shared" si="5"/>
        <v>0</v>
      </c>
      <c r="AZ15" s="723">
        <f t="shared" si="5"/>
        <v>0</v>
      </c>
      <c r="BA15" s="723">
        <f t="shared" si="5"/>
        <v>0</v>
      </c>
      <c r="BB15" s="723">
        <f t="shared" si="5"/>
        <v>0</v>
      </c>
      <c r="BC15" s="723">
        <f t="shared" si="5"/>
        <v>0</v>
      </c>
      <c r="BD15" s="723">
        <f t="shared" si="5"/>
        <v>0</v>
      </c>
      <c r="BE15" s="723">
        <f t="shared" si="5"/>
        <v>0</v>
      </c>
      <c r="BF15" s="723">
        <f t="shared" si="5"/>
        <v>0</v>
      </c>
      <c r="BG15" s="723">
        <f t="shared" si="5"/>
        <v>0</v>
      </c>
      <c r="BH15" s="723">
        <f t="shared" si="5"/>
        <v>0</v>
      </c>
      <c r="BI15" s="723">
        <f t="shared" si="5"/>
        <v>0</v>
      </c>
      <c r="BJ15" s="723">
        <f t="shared" si="5"/>
        <v>0</v>
      </c>
      <c r="BK15" s="723">
        <f t="shared" si="5"/>
        <v>0</v>
      </c>
      <c r="BL15" s="723">
        <f t="shared" si="5"/>
        <v>0</v>
      </c>
    </row>
    <row r="16" spans="1:64" s="33" customFormat="1" x14ac:dyDescent="0.25">
      <c r="A16" s="44"/>
      <c r="B16" s="44"/>
      <c r="C16" s="44"/>
      <c r="D16" s="35"/>
      <c r="E16" s="35"/>
      <c r="F16" s="44"/>
      <c r="G16" s="44"/>
      <c r="H16" s="35"/>
      <c r="I16" s="35"/>
      <c r="J16" s="35"/>
      <c r="K16" s="35"/>
      <c r="L16" s="170"/>
      <c r="M16" s="186" t="s">
        <v>199</v>
      </c>
      <c r="N16" s="165">
        <f>T_ACTFLO!E23</f>
        <v>0</v>
      </c>
      <c r="O16" s="165">
        <f>T_ACTFLO!F23</f>
        <v>0</v>
      </c>
      <c r="P16" s="165">
        <f>T_ACTFLO!G23</f>
        <v>0</v>
      </c>
      <c r="Q16" s="165">
        <f>T_ACTFLO!H23</f>
        <v>0</v>
      </c>
      <c r="R16" s="165">
        <f>T_ACTFLO!I23</f>
        <v>0</v>
      </c>
      <c r="S16" s="165">
        <f>T_ACTFLO!J23</f>
        <v>0</v>
      </c>
      <c r="T16" s="165">
        <f>T_ACTFLO!K23</f>
        <v>0</v>
      </c>
      <c r="U16" s="165">
        <f>T_ACTFLO!L23</f>
        <v>0</v>
      </c>
      <c r="V16" s="165">
        <f>T_ACTFLO!M23</f>
        <v>0</v>
      </c>
      <c r="W16" s="165">
        <f>T_ACTFLO!N23</f>
        <v>0</v>
      </c>
      <c r="X16" s="165">
        <f>T_ACTFLO!O23</f>
        <v>0</v>
      </c>
      <c r="Y16" s="165">
        <f>T_ACTFLO!P23</f>
        <v>0</v>
      </c>
      <c r="Z16" s="165">
        <f>T_ACTFLO!Q23</f>
        <v>0</v>
      </c>
      <c r="AA16" s="165">
        <f>T_ACTFLO!R23</f>
        <v>0</v>
      </c>
      <c r="AB16" s="165">
        <f>T_ACTFLO!S23</f>
        <v>0</v>
      </c>
      <c r="AE16" s="35"/>
      <c r="AF16" s="35"/>
      <c r="AG16" s="35"/>
      <c r="AH16" s="35"/>
      <c r="AI16" s="35"/>
      <c r="AJ16" s="35"/>
      <c r="AK16" s="35"/>
      <c r="AP16" s="35"/>
      <c r="AQ16" s="35"/>
      <c r="AR16" s="35"/>
      <c r="AS16" s="35"/>
      <c r="AV16" s="728" t="s">
        <v>1014</v>
      </c>
      <c r="AW16" s="935">
        <f t="shared" si="3"/>
        <v>0</v>
      </c>
      <c r="AX16" s="728">
        <f t="shared" ref="AX16:BL24" si="8">SUMIF($AV$32:$AV$315,$AV16,AX$32:AX$315)</f>
        <v>0</v>
      </c>
      <c r="AY16" s="723">
        <f t="shared" si="8"/>
        <v>0</v>
      </c>
      <c r="AZ16" s="723">
        <f t="shared" si="8"/>
        <v>0</v>
      </c>
      <c r="BA16" s="723">
        <f t="shared" si="8"/>
        <v>0</v>
      </c>
      <c r="BB16" s="723">
        <f t="shared" si="8"/>
        <v>0</v>
      </c>
      <c r="BC16" s="723">
        <f t="shared" si="8"/>
        <v>0</v>
      </c>
      <c r="BD16" s="723">
        <f t="shared" si="8"/>
        <v>0</v>
      </c>
      <c r="BE16" s="723">
        <f t="shared" si="8"/>
        <v>0</v>
      </c>
      <c r="BF16" s="723">
        <f t="shared" si="8"/>
        <v>0</v>
      </c>
      <c r="BG16" s="723">
        <f t="shared" si="8"/>
        <v>0</v>
      </c>
      <c r="BH16" s="723">
        <f t="shared" si="8"/>
        <v>0</v>
      </c>
      <c r="BI16" s="723">
        <f t="shared" si="8"/>
        <v>0</v>
      </c>
      <c r="BJ16" s="723">
        <f t="shared" si="8"/>
        <v>0</v>
      </c>
      <c r="BK16" s="723">
        <f t="shared" si="8"/>
        <v>0</v>
      </c>
      <c r="BL16" s="723">
        <f t="shared" si="8"/>
        <v>0</v>
      </c>
    </row>
    <row r="17" spans="1:64" s="33" customFormat="1" x14ac:dyDescent="0.25">
      <c r="A17" s="44"/>
      <c r="B17" s="44"/>
      <c r="C17" s="44"/>
      <c r="D17" s="35"/>
      <c r="E17" s="35"/>
      <c r="F17" s="44"/>
      <c r="G17" s="44"/>
      <c r="H17" s="35"/>
      <c r="I17" s="35"/>
      <c r="J17" s="35"/>
      <c r="K17" s="35"/>
      <c r="L17" s="170"/>
      <c r="M17" s="186" t="s">
        <v>1165</v>
      </c>
      <c r="N17" s="165">
        <f>T_ACTFLO!E24</f>
        <v>12</v>
      </c>
      <c r="O17" s="165">
        <f>T_ACTFLO!F24</f>
        <v>0</v>
      </c>
      <c r="P17" s="165">
        <f>T_ACTFLO!G24</f>
        <v>0</v>
      </c>
      <c r="Q17" s="165">
        <f>T_ACTFLO!H24</f>
        <v>0</v>
      </c>
      <c r="R17" s="165">
        <f>T_ACTFLO!I24</f>
        <v>0</v>
      </c>
      <c r="S17" s="165">
        <f>T_ACTFLO!J24</f>
        <v>0</v>
      </c>
      <c r="T17" s="165">
        <f>T_ACTFLO!K24</f>
        <v>0</v>
      </c>
      <c r="U17" s="165">
        <f>T_ACTFLO!L24</f>
        <v>0</v>
      </c>
      <c r="V17" s="165">
        <f>T_ACTFLO!M24</f>
        <v>0</v>
      </c>
      <c r="W17" s="165">
        <f>T_ACTFLO!N24</f>
        <v>0</v>
      </c>
      <c r="X17" s="165">
        <f>T_ACTFLO!O24</f>
        <v>0</v>
      </c>
      <c r="Y17" s="165">
        <f>T_ACTFLO!P24</f>
        <v>0</v>
      </c>
      <c r="Z17" s="165">
        <f>T_ACTFLO!Q24</f>
        <v>0</v>
      </c>
      <c r="AA17" s="165">
        <f>T_ACTFLO!R24</f>
        <v>0</v>
      </c>
      <c r="AB17" s="165">
        <f>T_ACTFLO!S24</f>
        <v>0</v>
      </c>
      <c r="AE17" s="35"/>
      <c r="AF17" s="35"/>
      <c r="AG17" s="35"/>
      <c r="AH17" s="35"/>
      <c r="AI17" s="35"/>
      <c r="AJ17" s="35"/>
      <c r="AK17" s="35"/>
      <c r="AP17" s="35"/>
      <c r="AQ17" s="35"/>
      <c r="AR17" s="35"/>
      <c r="AS17" s="35"/>
      <c r="AV17" s="728" t="s">
        <v>1016</v>
      </c>
      <c r="AW17" s="935">
        <f t="shared" si="3"/>
        <v>0</v>
      </c>
      <c r="AX17" s="728">
        <f t="shared" si="8"/>
        <v>0</v>
      </c>
      <c r="AY17" s="723">
        <f t="shared" si="8"/>
        <v>0</v>
      </c>
      <c r="AZ17" s="723">
        <f t="shared" si="8"/>
        <v>0</v>
      </c>
      <c r="BA17" s="723">
        <f t="shared" si="8"/>
        <v>0</v>
      </c>
      <c r="BB17" s="723">
        <f t="shared" si="8"/>
        <v>0</v>
      </c>
      <c r="BC17" s="723">
        <f t="shared" si="8"/>
        <v>0</v>
      </c>
      <c r="BD17" s="723">
        <f t="shared" si="8"/>
        <v>0</v>
      </c>
      <c r="BE17" s="723">
        <f t="shared" si="8"/>
        <v>0</v>
      </c>
      <c r="BF17" s="723">
        <f t="shared" si="8"/>
        <v>0</v>
      </c>
      <c r="BG17" s="723">
        <f t="shared" si="8"/>
        <v>0</v>
      </c>
      <c r="BH17" s="723">
        <f t="shared" si="8"/>
        <v>0</v>
      </c>
      <c r="BI17" s="723">
        <f t="shared" si="8"/>
        <v>0</v>
      </c>
      <c r="BJ17" s="723">
        <f t="shared" si="8"/>
        <v>0</v>
      </c>
      <c r="BK17" s="723">
        <f t="shared" si="8"/>
        <v>0</v>
      </c>
      <c r="BL17" s="723">
        <f t="shared" si="8"/>
        <v>0</v>
      </c>
    </row>
    <row r="18" spans="1:64" s="33" customFormat="1" x14ac:dyDescent="0.2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D18" s="48"/>
      <c r="AE18" s="35"/>
      <c r="AF18" s="35"/>
      <c r="AG18" s="35"/>
      <c r="AH18" s="35"/>
      <c r="AI18" s="35"/>
      <c r="AJ18" s="35"/>
      <c r="AK18" s="35"/>
      <c r="AV18" s="728" t="s">
        <v>1023</v>
      </c>
      <c r="AW18" s="935">
        <f t="shared" si="3"/>
        <v>0</v>
      </c>
      <c r="AX18" s="728">
        <f t="shared" si="8"/>
        <v>0</v>
      </c>
      <c r="AY18" s="723">
        <f t="shared" si="8"/>
        <v>0</v>
      </c>
      <c r="AZ18" s="723">
        <f t="shared" si="8"/>
        <v>0</v>
      </c>
      <c r="BA18" s="723">
        <f t="shared" si="8"/>
        <v>0</v>
      </c>
      <c r="BB18" s="723">
        <f t="shared" si="8"/>
        <v>0</v>
      </c>
      <c r="BC18" s="723">
        <f t="shared" si="8"/>
        <v>0</v>
      </c>
      <c r="BD18" s="723">
        <f t="shared" si="8"/>
        <v>0</v>
      </c>
      <c r="BE18" s="723">
        <f t="shared" si="8"/>
        <v>0</v>
      </c>
      <c r="BF18" s="723">
        <f t="shared" si="8"/>
        <v>0</v>
      </c>
      <c r="BG18" s="723">
        <f t="shared" si="8"/>
        <v>0</v>
      </c>
      <c r="BH18" s="723">
        <f t="shared" si="8"/>
        <v>0</v>
      </c>
      <c r="BI18" s="723">
        <f t="shared" si="8"/>
        <v>0</v>
      </c>
      <c r="BJ18" s="723">
        <f t="shared" si="8"/>
        <v>0</v>
      </c>
      <c r="BK18" s="723">
        <f t="shared" si="8"/>
        <v>0</v>
      </c>
      <c r="BL18" s="723">
        <f t="shared" si="8"/>
        <v>0</v>
      </c>
    </row>
    <row r="19" spans="1:64" s="33" customFormat="1" x14ac:dyDescent="0.25">
      <c r="A19" s="44"/>
      <c r="B19" s="44"/>
      <c r="C19" s="44"/>
      <c r="D19" s="44"/>
      <c r="E19" s="44"/>
      <c r="F19" s="44"/>
      <c r="G19" s="44"/>
      <c r="J19" s="172"/>
      <c r="K19" s="172"/>
      <c r="L19" s="172"/>
      <c r="M19" s="175" t="str">
        <f>STAT_TRA_Shares!B7</f>
        <v>% of biogas in CNG</v>
      </c>
      <c r="N19" s="151">
        <v>1</v>
      </c>
      <c r="O19" s="151">
        <f t="shared" ref="O19:AB27" si="9">$N19</f>
        <v>1</v>
      </c>
      <c r="P19" s="151">
        <f t="shared" si="9"/>
        <v>1</v>
      </c>
      <c r="Q19" s="151">
        <f t="shared" si="9"/>
        <v>1</v>
      </c>
      <c r="R19" s="151">
        <f t="shared" si="9"/>
        <v>1</v>
      </c>
      <c r="S19" s="151">
        <f t="shared" si="9"/>
        <v>1</v>
      </c>
      <c r="T19" s="151">
        <f t="shared" si="9"/>
        <v>1</v>
      </c>
      <c r="U19" s="151">
        <f t="shared" si="9"/>
        <v>1</v>
      </c>
      <c r="V19" s="151">
        <f t="shared" si="9"/>
        <v>1</v>
      </c>
      <c r="W19" s="151">
        <f t="shared" si="9"/>
        <v>1</v>
      </c>
      <c r="X19" s="151">
        <f t="shared" si="9"/>
        <v>1</v>
      </c>
      <c r="Y19" s="151">
        <f t="shared" si="9"/>
        <v>1</v>
      </c>
      <c r="Z19" s="151">
        <f t="shared" si="9"/>
        <v>1</v>
      </c>
      <c r="AA19" s="151">
        <f t="shared" si="9"/>
        <v>1</v>
      </c>
      <c r="AB19" s="151">
        <f t="shared" si="9"/>
        <v>1</v>
      </c>
      <c r="AV19" s="725" t="s">
        <v>681</v>
      </c>
      <c r="AW19" s="935">
        <f t="shared" si="3"/>
        <v>0</v>
      </c>
      <c r="AX19" s="728">
        <f t="shared" si="8"/>
        <v>0</v>
      </c>
      <c r="AY19" s="723">
        <f t="shared" si="8"/>
        <v>0</v>
      </c>
      <c r="AZ19" s="723">
        <f t="shared" si="8"/>
        <v>0</v>
      </c>
      <c r="BA19" s="723">
        <f t="shared" si="8"/>
        <v>0</v>
      </c>
      <c r="BB19" s="723">
        <f t="shared" si="8"/>
        <v>0</v>
      </c>
      <c r="BC19" s="723">
        <f t="shared" si="8"/>
        <v>0</v>
      </c>
      <c r="BD19" s="723">
        <f t="shared" si="8"/>
        <v>0</v>
      </c>
      <c r="BE19" s="723">
        <f t="shared" si="8"/>
        <v>0</v>
      </c>
      <c r="BF19" s="723">
        <f t="shared" si="8"/>
        <v>0</v>
      </c>
      <c r="BG19" s="723">
        <f t="shared" si="8"/>
        <v>0</v>
      </c>
      <c r="BH19" s="723">
        <f t="shared" si="8"/>
        <v>0</v>
      </c>
      <c r="BI19" s="723">
        <f t="shared" si="8"/>
        <v>0</v>
      </c>
      <c r="BJ19" s="723">
        <f t="shared" si="8"/>
        <v>0</v>
      </c>
      <c r="BK19" s="723">
        <f t="shared" si="8"/>
        <v>0</v>
      </c>
      <c r="BL19" s="723">
        <f t="shared" si="8"/>
        <v>0</v>
      </c>
    </row>
    <row r="20" spans="1:64" s="33" customFormat="1" x14ac:dyDescent="0.25">
      <c r="A20" s="44"/>
      <c r="B20" s="44"/>
      <c r="C20" s="44"/>
      <c r="D20" s="44"/>
      <c r="E20" s="44"/>
      <c r="F20" s="44"/>
      <c r="G20" s="44"/>
      <c r="J20" s="172"/>
      <c r="K20" s="172"/>
      <c r="L20" s="172"/>
      <c r="M20" s="175" t="str">
        <f>STAT_TRA_Shares!B8</f>
        <v>% of FAME in diesel</v>
      </c>
      <c r="N20" s="151">
        <v>7.0000000000000007E-2</v>
      </c>
      <c r="O20" s="151">
        <v>7.0000000000000007E-2</v>
      </c>
      <c r="P20" s="151">
        <v>7.0000000000000007E-2</v>
      </c>
      <c r="Q20" s="151">
        <v>7.0000000000000007E-2</v>
      </c>
      <c r="R20" s="151">
        <v>7.0000000000000007E-2</v>
      </c>
      <c r="S20" s="151">
        <v>7.0000000000000007E-2</v>
      </c>
      <c r="T20" s="151">
        <v>7.0000000000000007E-2</v>
      </c>
      <c r="U20" s="151">
        <v>7.0000000000000007E-2</v>
      </c>
      <c r="V20" s="151">
        <v>7.0000000000000007E-2</v>
      </c>
      <c r="W20" s="151">
        <v>7.0000000000000007E-2</v>
      </c>
      <c r="X20" s="151">
        <v>7.0000000000000007E-2</v>
      </c>
      <c r="Y20" s="151">
        <v>7.0000000000000007E-2</v>
      </c>
      <c r="Z20" s="151">
        <v>7.0000000000000007E-2</v>
      </c>
      <c r="AA20" s="151">
        <v>7.0000000000000007E-2</v>
      </c>
      <c r="AB20" s="151">
        <v>7.0000000000000007E-2</v>
      </c>
      <c r="AV20" s="725" t="s">
        <v>1029</v>
      </c>
      <c r="AW20" s="935">
        <f t="shared" si="3"/>
        <v>0</v>
      </c>
      <c r="AX20" s="728">
        <f t="shared" si="8"/>
        <v>0</v>
      </c>
      <c r="AY20" s="723">
        <f t="shared" si="8"/>
        <v>0</v>
      </c>
      <c r="AZ20" s="723">
        <f t="shared" si="8"/>
        <v>0</v>
      </c>
      <c r="BA20" s="723">
        <f t="shared" si="8"/>
        <v>0</v>
      </c>
      <c r="BB20" s="723">
        <f t="shared" si="8"/>
        <v>0</v>
      </c>
      <c r="BC20" s="723">
        <f t="shared" si="8"/>
        <v>0</v>
      </c>
      <c r="BD20" s="723">
        <f t="shared" si="8"/>
        <v>0</v>
      </c>
      <c r="BE20" s="723">
        <f t="shared" si="8"/>
        <v>0</v>
      </c>
      <c r="BF20" s="723">
        <f t="shared" si="8"/>
        <v>0</v>
      </c>
      <c r="BG20" s="723">
        <f t="shared" si="8"/>
        <v>0</v>
      </c>
      <c r="BH20" s="723">
        <f t="shared" si="8"/>
        <v>0</v>
      </c>
      <c r="BI20" s="723">
        <f t="shared" si="8"/>
        <v>0</v>
      </c>
      <c r="BJ20" s="723">
        <f t="shared" si="8"/>
        <v>0</v>
      </c>
      <c r="BK20" s="723">
        <f t="shared" si="8"/>
        <v>0</v>
      </c>
      <c r="BL20" s="723">
        <f t="shared" si="8"/>
        <v>0</v>
      </c>
    </row>
    <row r="21" spans="1:64" s="33" customFormat="1" x14ac:dyDescent="0.25">
      <c r="A21" s="44"/>
      <c r="B21" s="44"/>
      <c r="C21" s="44"/>
      <c r="D21" s="44"/>
      <c r="E21" s="44"/>
      <c r="F21" s="44"/>
      <c r="G21" s="864"/>
      <c r="J21" s="172"/>
      <c r="K21" s="172"/>
      <c r="L21" s="172"/>
      <c r="M21" s="175" t="str">
        <f>STAT_TRA_Shares!B9</f>
        <v>% of HVO in diesel</v>
      </c>
      <c r="N21" s="865">
        <v>5.5039707116126733E-2</v>
      </c>
      <c r="O21" s="865">
        <f t="shared" si="9"/>
        <v>5.5039707116126733E-2</v>
      </c>
      <c r="P21" s="865">
        <f t="shared" si="9"/>
        <v>5.5039707116126733E-2</v>
      </c>
      <c r="Q21" s="865">
        <f t="shared" si="9"/>
        <v>5.5039707116126733E-2</v>
      </c>
      <c r="R21" s="865">
        <f t="shared" si="9"/>
        <v>5.5039707116126733E-2</v>
      </c>
      <c r="S21" s="865">
        <f t="shared" si="9"/>
        <v>5.5039707116126733E-2</v>
      </c>
      <c r="T21" s="865">
        <f t="shared" si="9"/>
        <v>5.5039707116126733E-2</v>
      </c>
      <c r="U21" s="865">
        <f t="shared" si="9"/>
        <v>5.5039707116126733E-2</v>
      </c>
      <c r="V21" s="865">
        <f t="shared" si="9"/>
        <v>5.5039707116126733E-2</v>
      </c>
      <c r="W21" s="865">
        <f t="shared" si="9"/>
        <v>5.5039707116126733E-2</v>
      </c>
      <c r="X21" s="865">
        <f t="shared" si="9"/>
        <v>5.5039707116126733E-2</v>
      </c>
      <c r="Y21" s="865">
        <f t="shared" si="9"/>
        <v>5.5039707116126733E-2</v>
      </c>
      <c r="Z21" s="865">
        <f t="shared" si="9"/>
        <v>5.5039707116126733E-2</v>
      </c>
      <c r="AA21" s="865">
        <f t="shared" si="9"/>
        <v>5.5039707116126733E-2</v>
      </c>
      <c r="AB21" s="865">
        <f t="shared" si="9"/>
        <v>5.5039707116126733E-2</v>
      </c>
      <c r="AD21" s="76"/>
      <c r="AV21" s="725" t="s">
        <v>1031</v>
      </c>
      <c r="AW21" s="935">
        <f t="shared" si="3"/>
        <v>0</v>
      </c>
      <c r="AX21" s="728">
        <f t="shared" si="8"/>
        <v>0</v>
      </c>
      <c r="AY21" s="723">
        <f t="shared" si="8"/>
        <v>0</v>
      </c>
      <c r="AZ21" s="723">
        <f t="shared" si="8"/>
        <v>0</v>
      </c>
      <c r="BA21" s="723">
        <f t="shared" si="8"/>
        <v>0</v>
      </c>
      <c r="BB21" s="723">
        <f t="shared" si="8"/>
        <v>0</v>
      </c>
      <c r="BC21" s="723">
        <f t="shared" si="8"/>
        <v>0</v>
      </c>
      <c r="BD21" s="723">
        <f t="shared" si="8"/>
        <v>0</v>
      </c>
      <c r="BE21" s="723">
        <f t="shared" si="8"/>
        <v>0</v>
      </c>
      <c r="BF21" s="723">
        <f t="shared" si="8"/>
        <v>0</v>
      </c>
      <c r="BG21" s="723">
        <f t="shared" si="8"/>
        <v>0</v>
      </c>
      <c r="BH21" s="723">
        <f t="shared" si="8"/>
        <v>0</v>
      </c>
      <c r="BI21" s="723">
        <f t="shared" si="8"/>
        <v>0</v>
      </c>
      <c r="BJ21" s="723">
        <f t="shared" si="8"/>
        <v>0</v>
      </c>
      <c r="BK21" s="723">
        <f t="shared" si="8"/>
        <v>0</v>
      </c>
      <c r="BL21" s="723">
        <f t="shared" si="8"/>
        <v>0</v>
      </c>
    </row>
    <row r="22" spans="1:64" s="33" customFormat="1" x14ac:dyDescent="0.25">
      <c r="A22" s="44"/>
      <c r="B22" s="44"/>
      <c r="C22" s="44"/>
      <c r="D22" s="44"/>
      <c r="E22" s="44"/>
      <c r="F22" s="44"/>
      <c r="G22" s="44"/>
      <c r="J22" s="172"/>
      <c r="K22" s="172"/>
      <c r="L22" s="172"/>
      <c r="M22" s="175" t="str">
        <f>STAT_TRA_Shares!B10</f>
        <v>% of low-blend bioethanol in gasoline</v>
      </c>
      <c r="N22" s="151">
        <f>STAT_TRA_Shares!C10</f>
        <v>0.03</v>
      </c>
      <c r="O22" s="151">
        <f t="shared" si="9"/>
        <v>0.03</v>
      </c>
      <c r="P22" s="151">
        <f t="shared" si="9"/>
        <v>0.03</v>
      </c>
      <c r="Q22" s="151">
        <f t="shared" si="9"/>
        <v>0.03</v>
      </c>
      <c r="R22" s="151">
        <f t="shared" si="9"/>
        <v>0.03</v>
      </c>
      <c r="S22" s="151">
        <f t="shared" si="9"/>
        <v>0.03</v>
      </c>
      <c r="T22" s="151">
        <f t="shared" si="9"/>
        <v>0.03</v>
      </c>
      <c r="U22" s="151">
        <f t="shared" si="9"/>
        <v>0.03</v>
      </c>
      <c r="V22" s="151">
        <f t="shared" si="9"/>
        <v>0.03</v>
      </c>
      <c r="W22" s="151">
        <f t="shared" si="9"/>
        <v>0.03</v>
      </c>
      <c r="X22" s="151">
        <f t="shared" si="9"/>
        <v>0.03</v>
      </c>
      <c r="Y22" s="151">
        <f t="shared" si="9"/>
        <v>0.03</v>
      </c>
      <c r="Z22" s="151">
        <f t="shared" si="9"/>
        <v>0.03</v>
      </c>
      <c r="AA22" s="151">
        <f t="shared" si="9"/>
        <v>0.03</v>
      </c>
      <c r="AB22" s="151">
        <f t="shared" si="9"/>
        <v>0.03</v>
      </c>
      <c r="AD22" s="76"/>
      <c r="AE22"/>
      <c r="AV22" s="725" t="s">
        <v>1033</v>
      </c>
      <c r="AW22" s="935">
        <f t="shared" si="3"/>
        <v>0</v>
      </c>
      <c r="AX22" s="728">
        <f t="shared" si="8"/>
        <v>0</v>
      </c>
      <c r="AY22" s="723">
        <f t="shared" si="8"/>
        <v>0</v>
      </c>
      <c r="AZ22" s="723">
        <f t="shared" si="8"/>
        <v>0</v>
      </c>
      <c r="BA22" s="723">
        <f t="shared" si="8"/>
        <v>0</v>
      </c>
      <c r="BB22" s="723">
        <f t="shared" si="8"/>
        <v>0</v>
      </c>
      <c r="BC22" s="723">
        <f t="shared" si="8"/>
        <v>0</v>
      </c>
      <c r="BD22" s="723">
        <f t="shared" si="8"/>
        <v>0</v>
      </c>
      <c r="BE22" s="723">
        <f t="shared" si="8"/>
        <v>0</v>
      </c>
      <c r="BF22" s="723">
        <f t="shared" si="8"/>
        <v>0</v>
      </c>
      <c r="BG22" s="723">
        <f t="shared" si="8"/>
        <v>0</v>
      </c>
      <c r="BH22" s="723">
        <f t="shared" si="8"/>
        <v>0</v>
      </c>
      <c r="BI22" s="723">
        <f t="shared" si="8"/>
        <v>0</v>
      </c>
      <c r="BJ22" s="723">
        <f t="shared" si="8"/>
        <v>0</v>
      </c>
      <c r="BK22" s="723">
        <f t="shared" si="8"/>
        <v>0</v>
      </c>
      <c r="BL22" s="723">
        <f t="shared" si="8"/>
        <v>0</v>
      </c>
    </row>
    <row r="23" spans="1:64" s="33" customFormat="1" x14ac:dyDescent="0.25">
      <c r="A23" s="44"/>
      <c r="B23" s="44"/>
      <c r="C23" s="44"/>
      <c r="D23" s="44"/>
      <c r="E23" s="44"/>
      <c r="F23" s="44"/>
      <c r="G23" s="44"/>
      <c r="J23" s="172"/>
      <c r="K23" s="172"/>
      <c r="L23" s="172"/>
      <c r="M23" s="175" t="str">
        <f>STAT_TRA_Shares!B11</f>
        <v>% of low-blend biogasoline in gasoline</v>
      </c>
      <c r="N23" s="151">
        <f>STAT_TRA_Shares!C11</f>
        <v>0</v>
      </c>
      <c r="O23" s="151">
        <f t="shared" si="9"/>
        <v>0</v>
      </c>
      <c r="P23" s="151">
        <f t="shared" si="9"/>
        <v>0</v>
      </c>
      <c r="Q23" s="151">
        <f t="shared" si="9"/>
        <v>0</v>
      </c>
      <c r="R23" s="151">
        <f t="shared" si="9"/>
        <v>0</v>
      </c>
      <c r="S23" s="151">
        <f t="shared" si="9"/>
        <v>0</v>
      </c>
      <c r="T23" s="151">
        <f t="shared" si="9"/>
        <v>0</v>
      </c>
      <c r="U23" s="151">
        <f t="shared" si="9"/>
        <v>0</v>
      </c>
      <c r="V23" s="151">
        <f t="shared" si="9"/>
        <v>0</v>
      </c>
      <c r="W23" s="151">
        <f t="shared" si="9"/>
        <v>0</v>
      </c>
      <c r="X23" s="151">
        <f t="shared" si="9"/>
        <v>0</v>
      </c>
      <c r="Y23" s="151">
        <f t="shared" si="9"/>
        <v>0</v>
      </c>
      <c r="Z23" s="151">
        <f t="shared" si="9"/>
        <v>0</v>
      </c>
      <c r="AA23" s="151">
        <f t="shared" si="9"/>
        <v>0</v>
      </c>
      <c r="AB23" s="151">
        <f t="shared" si="9"/>
        <v>0</v>
      </c>
      <c r="AD23" s="76"/>
      <c r="AE23"/>
      <c r="AV23" s="725" t="s">
        <v>1035</v>
      </c>
      <c r="AW23" s="935">
        <f t="shared" si="3"/>
        <v>0</v>
      </c>
      <c r="AX23" s="728">
        <f t="shared" si="8"/>
        <v>0</v>
      </c>
      <c r="AY23" s="723">
        <f t="shared" si="8"/>
        <v>0</v>
      </c>
      <c r="AZ23" s="723">
        <f t="shared" si="8"/>
        <v>0</v>
      </c>
      <c r="BA23" s="723">
        <f t="shared" si="8"/>
        <v>0</v>
      </c>
      <c r="BB23" s="723">
        <f t="shared" si="8"/>
        <v>0</v>
      </c>
      <c r="BC23" s="723">
        <f t="shared" si="8"/>
        <v>0</v>
      </c>
      <c r="BD23" s="723">
        <f t="shared" si="8"/>
        <v>0</v>
      </c>
      <c r="BE23" s="723">
        <f t="shared" si="8"/>
        <v>0</v>
      </c>
      <c r="BF23" s="723">
        <f t="shared" si="8"/>
        <v>0</v>
      </c>
      <c r="BG23" s="723">
        <f t="shared" si="8"/>
        <v>0</v>
      </c>
      <c r="BH23" s="723">
        <f t="shared" si="8"/>
        <v>0</v>
      </c>
      <c r="BI23" s="723">
        <f t="shared" si="8"/>
        <v>0</v>
      </c>
      <c r="BJ23" s="723">
        <f t="shared" si="8"/>
        <v>0</v>
      </c>
      <c r="BK23" s="723">
        <f t="shared" si="8"/>
        <v>0</v>
      </c>
      <c r="BL23" s="723">
        <f t="shared" si="8"/>
        <v>0</v>
      </c>
    </row>
    <row r="24" spans="1:64" s="33" customFormat="1" x14ac:dyDescent="0.25">
      <c r="A24" s="44"/>
      <c r="B24" s="44"/>
      <c r="C24" s="44"/>
      <c r="D24" s="44"/>
      <c r="E24" s="44"/>
      <c r="F24" s="44"/>
      <c r="G24" s="44"/>
      <c r="J24" s="172"/>
      <c r="K24" s="172"/>
      <c r="L24" s="172"/>
      <c r="M24" s="175" t="str">
        <f>STAT_TRA_Shares!B13</f>
        <v>% of bioethanol in ED95</v>
      </c>
      <c r="N24" s="151">
        <f>STAT_TRA_Shares!C13</f>
        <v>0.95</v>
      </c>
      <c r="O24" s="151">
        <f>$N24</f>
        <v>0.95</v>
      </c>
      <c r="P24" s="151">
        <f t="shared" si="9"/>
        <v>0.95</v>
      </c>
      <c r="Q24" s="151">
        <f t="shared" si="9"/>
        <v>0.95</v>
      </c>
      <c r="R24" s="151">
        <f t="shared" si="9"/>
        <v>0.95</v>
      </c>
      <c r="S24" s="151">
        <f t="shared" si="9"/>
        <v>0.95</v>
      </c>
      <c r="T24" s="151">
        <f t="shared" si="9"/>
        <v>0.95</v>
      </c>
      <c r="U24" s="151">
        <f t="shared" si="9"/>
        <v>0.95</v>
      </c>
      <c r="V24" s="151">
        <f t="shared" si="9"/>
        <v>0.95</v>
      </c>
      <c r="W24" s="151">
        <f t="shared" si="9"/>
        <v>0.95</v>
      </c>
      <c r="X24" s="151">
        <f t="shared" si="9"/>
        <v>0.95</v>
      </c>
      <c r="Y24" s="151">
        <f t="shared" si="9"/>
        <v>0.95</v>
      </c>
      <c r="Z24" s="151">
        <f t="shared" si="9"/>
        <v>0.95</v>
      </c>
      <c r="AA24" s="151">
        <f t="shared" si="9"/>
        <v>0.95</v>
      </c>
      <c r="AB24" s="151">
        <f t="shared" si="9"/>
        <v>0.95</v>
      </c>
      <c r="AD24" s="76"/>
      <c r="AT24" s="68"/>
      <c r="AV24" s="725" t="s">
        <v>1039</v>
      </c>
      <c r="AW24" s="935">
        <f t="shared" si="3"/>
        <v>0</v>
      </c>
      <c r="AX24" s="728">
        <f t="shared" si="8"/>
        <v>0</v>
      </c>
      <c r="AY24" s="723">
        <f t="shared" si="8"/>
        <v>0</v>
      </c>
      <c r="AZ24" s="723">
        <f t="shared" si="8"/>
        <v>0</v>
      </c>
      <c r="BA24" s="723">
        <f t="shared" si="8"/>
        <v>0</v>
      </c>
      <c r="BB24" s="723">
        <f t="shared" si="8"/>
        <v>0</v>
      </c>
      <c r="BC24" s="723">
        <f t="shared" si="8"/>
        <v>0</v>
      </c>
      <c r="BD24" s="723">
        <f t="shared" si="8"/>
        <v>0</v>
      </c>
      <c r="BE24" s="723">
        <f t="shared" si="8"/>
        <v>0</v>
      </c>
      <c r="BF24" s="723">
        <f t="shared" si="8"/>
        <v>0</v>
      </c>
      <c r="BG24" s="723">
        <f t="shared" si="8"/>
        <v>0</v>
      </c>
      <c r="BH24" s="723">
        <f t="shared" si="8"/>
        <v>0</v>
      </c>
      <c r="BI24" s="723">
        <f t="shared" si="8"/>
        <v>0</v>
      </c>
      <c r="BJ24" s="723">
        <f t="shared" si="8"/>
        <v>0</v>
      </c>
      <c r="BK24" s="723">
        <f t="shared" si="8"/>
        <v>0</v>
      </c>
      <c r="BL24" s="723">
        <f t="shared" si="8"/>
        <v>0</v>
      </c>
    </row>
    <row r="25" spans="1:64" s="33" customFormat="1" x14ac:dyDescent="0.25">
      <c r="A25" s="44"/>
      <c r="B25" s="44"/>
      <c r="C25" s="44"/>
      <c r="D25" s="44"/>
      <c r="E25" s="44"/>
      <c r="F25" s="44"/>
      <c r="G25" s="44"/>
      <c r="J25" s="172"/>
      <c r="K25" s="172"/>
      <c r="L25" s="172"/>
      <c r="M25" s="175" t="str">
        <f>STAT_TRA_Shares!B18</f>
        <v>% of CNG fuelled in flexfuel GAS vehicles (rest is GSL)</v>
      </c>
      <c r="N25" s="151">
        <f>STAT_TRA_Shares!C18</f>
        <v>0.8</v>
      </c>
      <c r="O25" s="151">
        <f t="shared" ref="O25:O27" si="10">$N25</f>
        <v>0.8</v>
      </c>
      <c r="P25" s="151">
        <f t="shared" si="9"/>
        <v>0.8</v>
      </c>
      <c r="Q25" s="151">
        <f t="shared" si="9"/>
        <v>0.8</v>
      </c>
      <c r="R25" s="151">
        <f t="shared" si="9"/>
        <v>0.8</v>
      </c>
      <c r="S25" s="151">
        <f t="shared" si="9"/>
        <v>0.8</v>
      </c>
      <c r="T25" s="151">
        <f t="shared" si="9"/>
        <v>0.8</v>
      </c>
      <c r="U25" s="151">
        <f t="shared" si="9"/>
        <v>0.8</v>
      </c>
      <c r="V25" s="151">
        <f t="shared" si="9"/>
        <v>0.8</v>
      </c>
      <c r="W25" s="151">
        <f t="shared" si="9"/>
        <v>0.8</v>
      </c>
      <c r="X25" s="151">
        <f t="shared" si="9"/>
        <v>0.8</v>
      </c>
      <c r="Y25" s="151">
        <f t="shared" si="9"/>
        <v>0.8</v>
      </c>
      <c r="Z25" s="151">
        <f t="shared" si="9"/>
        <v>0.8</v>
      </c>
      <c r="AA25" s="151">
        <f t="shared" si="9"/>
        <v>0.8</v>
      </c>
      <c r="AB25" s="151">
        <f t="shared" si="9"/>
        <v>0.8</v>
      </c>
    </row>
    <row r="26" spans="1:64" s="33" customFormat="1" x14ac:dyDescent="0.25">
      <c r="A26" s="44"/>
      <c r="B26" s="44"/>
      <c r="C26" s="44"/>
      <c r="D26" s="44"/>
      <c r="E26" s="44"/>
      <c r="F26" s="44"/>
      <c r="G26" s="44"/>
      <c r="J26" s="172"/>
      <c r="K26" s="172"/>
      <c r="L26" s="172"/>
      <c r="M26" s="175" t="str">
        <f>STAT_TRA_Shares!B19</f>
        <v>% of ethanol fuelled in E85 flexfuel vehicles (rest is GSL)</v>
      </c>
      <c r="N26" s="151">
        <f>STAT_TRA_Shares!C19</f>
        <v>0.75</v>
      </c>
      <c r="O26" s="151">
        <f t="shared" si="10"/>
        <v>0.75</v>
      </c>
      <c r="P26" s="151">
        <f t="shared" si="9"/>
        <v>0.75</v>
      </c>
      <c r="Q26" s="151">
        <f t="shared" si="9"/>
        <v>0.75</v>
      </c>
      <c r="R26" s="151">
        <f t="shared" si="9"/>
        <v>0.75</v>
      </c>
      <c r="S26" s="151">
        <f t="shared" si="9"/>
        <v>0.75</v>
      </c>
      <c r="T26" s="151">
        <f t="shared" si="9"/>
        <v>0.75</v>
      </c>
      <c r="U26" s="151">
        <f t="shared" si="9"/>
        <v>0.75</v>
      </c>
      <c r="V26" s="151">
        <f t="shared" si="9"/>
        <v>0.75</v>
      </c>
      <c r="W26" s="151">
        <f t="shared" si="9"/>
        <v>0.75</v>
      </c>
      <c r="X26" s="151">
        <f t="shared" si="9"/>
        <v>0.75</v>
      </c>
      <c r="Y26" s="151">
        <f t="shared" si="9"/>
        <v>0.75</v>
      </c>
      <c r="Z26" s="151">
        <f t="shared" si="9"/>
        <v>0.75</v>
      </c>
      <c r="AA26" s="151">
        <f t="shared" si="9"/>
        <v>0.75</v>
      </c>
      <c r="AB26" s="151">
        <f t="shared" si="9"/>
        <v>0.75</v>
      </c>
      <c r="AF26" s="77"/>
      <c r="AG26" s="77"/>
      <c r="AH26" s="77"/>
      <c r="AI26" s="77"/>
      <c r="AJ26" s="77"/>
      <c r="AK26" s="77"/>
      <c r="AL26" s="77"/>
    </row>
    <row r="27" spans="1:64" s="33" customFormat="1" x14ac:dyDescent="0.25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STAT_TRA_Shares!B20</f>
        <v>% of LPG fuelled in flexfuel LPG vehicles (rest is GSL)</v>
      </c>
      <c r="N27" s="151">
        <f>STAT_TRA_Shares!C20</f>
        <v>0.8</v>
      </c>
      <c r="O27" s="151">
        <f t="shared" si="10"/>
        <v>0.8</v>
      </c>
      <c r="P27" s="151">
        <f t="shared" si="9"/>
        <v>0.8</v>
      </c>
      <c r="Q27" s="151">
        <f t="shared" si="9"/>
        <v>0.8</v>
      </c>
      <c r="R27" s="151">
        <f t="shared" si="9"/>
        <v>0.8</v>
      </c>
      <c r="S27" s="151">
        <f t="shared" si="9"/>
        <v>0.8</v>
      </c>
      <c r="T27" s="151">
        <f t="shared" si="9"/>
        <v>0.8</v>
      </c>
      <c r="U27" s="151">
        <f t="shared" si="9"/>
        <v>0.8</v>
      </c>
      <c r="V27" s="151">
        <f t="shared" si="9"/>
        <v>0.8</v>
      </c>
      <c r="W27" s="151">
        <f t="shared" si="9"/>
        <v>0.8</v>
      </c>
      <c r="X27" s="151">
        <f t="shared" si="9"/>
        <v>0.8</v>
      </c>
      <c r="Y27" s="151">
        <f t="shared" si="9"/>
        <v>0.8</v>
      </c>
      <c r="Z27" s="151">
        <f t="shared" si="9"/>
        <v>0.8</v>
      </c>
      <c r="AA27" s="151">
        <f t="shared" si="9"/>
        <v>0.8</v>
      </c>
      <c r="AB27" s="151">
        <f t="shared" si="9"/>
        <v>0.8</v>
      </c>
      <c r="AF27" s="77"/>
      <c r="AG27" s="77"/>
      <c r="AH27" s="77"/>
      <c r="AI27" s="77"/>
      <c r="AJ27" s="77"/>
      <c r="AK27" s="77"/>
      <c r="AL27" s="77"/>
    </row>
    <row r="28" spans="1:64" s="33" customFormat="1" x14ac:dyDescent="0.25">
      <c r="A28" s="44"/>
      <c r="B28" s="44"/>
      <c r="C28" s="44"/>
      <c r="D28" s="44"/>
      <c r="E28" s="44"/>
      <c r="F28" s="44"/>
      <c r="G28" s="44"/>
      <c r="M28" s="475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F28" s="77"/>
      <c r="AG28" s="77"/>
      <c r="AH28" s="77"/>
      <c r="AI28" s="77"/>
      <c r="AJ28" s="77"/>
      <c r="AK28" s="77"/>
      <c r="AL28" s="77"/>
    </row>
    <row r="29" spans="1:64" s="33" customFormat="1" x14ac:dyDescent="0.25">
      <c r="A29" s="44"/>
      <c r="B29" s="44"/>
      <c r="C29" s="44"/>
      <c r="D29" s="44"/>
      <c r="E29" s="44"/>
      <c r="F29" s="44"/>
      <c r="G29" s="44"/>
      <c r="M29" s="473" t="s">
        <v>1152</v>
      </c>
      <c r="N29" s="472">
        <v>0</v>
      </c>
      <c r="O29" s="472">
        <v>0</v>
      </c>
      <c r="P29" s="472">
        <v>0</v>
      </c>
      <c r="Q29" s="472">
        <v>0</v>
      </c>
      <c r="R29" s="472">
        <v>0</v>
      </c>
      <c r="S29" s="472">
        <v>0</v>
      </c>
      <c r="T29" s="472">
        <v>0</v>
      </c>
      <c r="U29" s="472">
        <v>0</v>
      </c>
      <c r="V29" s="472">
        <v>0</v>
      </c>
      <c r="W29" s="472">
        <v>0</v>
      </c>
      <c r="X29" s="472">
        <v>0</v>
      </c>
      <c r="Y29" s="472">
        <v>0</v>
      </c>
      <c r="Z29" s="472">
        <v>0</v>
      </c>
      <c r="AA29" s="472">
        <v>0</v>
      </c>
      <c r="AB29" s="472">
        <v>0</v>
      </c>
      <c r="AF29" s="77"/>
      <c r="AG29" s="77"/>
      <c r="AH29" s="77"/>
      <c r="AI29" s="77"/>
      <c r="AJ29" s="77"/>
      <c r="AK29" s="77"/>
      <c r="AL29" s="77"/>
    </row>
    <row r="30" spans="1:64" x14ac:dyDescent="0.25">
      <c r="B30" s="26" t="s">
        <v>1166</v>
      </c>
      <c r="C30" s="26"/>
      <c r="I30" s="36"/>
      <c r="M30" s="473" t="s">
        <v>1154</v>
      </c>
      <c r="N30" s="472">
        <v>0</v>
      </c>
      <c r="O30" s="472">
        <v>0</v>
      </c>
      <c r="P30" s="472">
        <v>0</v>
      </c>
      <c r="Q30" s="472">
        <v>0</v>
      </c>
      <c r="R30" s="472">
        <v>0</v>
      </c>
      <c r="S30" s="472">
        <v>0</v>
      </c>
      <c r="T30" s="472">
        <v>0</v>
      </c>
      <c r="U30" s="472">
        <v>0</v>
      </c>
      <c r="V30" s="472">
        <v>0</v>
      </c>
      <c r="W30" s="472">
        <v>0</v>
      </c>
      <c r="X30" s="472">
        <v>0</v>
      </c>
      <c r="Y30" s="472">
        <v>0</v>
      </c>
      <c r="Z30" s="472">
        <v>0</v>
      </c>
      <c r="AA30" s="472">
        <v>0</v>
      </c>
      <c r="AB30" s="472">
        <v>0</v>
      </c>
    </row>
    <row r="31" spans="1:64" x14ac:dyDescent="0.25">
      <c r="I31" s="36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</row>
    <row r="32" spans="1:64" s="22" customFormat="1" x14ac:dyDescent="0.25">
      <c r="A32" s="35"/>
      <c r="B32" s="35"/>
      <c r="C32" s="50"/>
      <c r="D32" s="50"/>
      <c r="E32" s="35"/>
      <c r="F32" s="35"/>
      <c r="G32" s="35"/>
      <c r="H32" s="41"/>
      <c r="I32" s="51"/>
      <c r="J32" s="41"/>
      <c r="K32" s="41"/>
      <c r="L32" s="40" t="str">
        <f>IF(SUM(N10:AB11)&gt;0,"~FI_T","Not in use")</f>
        <v>Not in use</v>
      </c>
      <c r="M32" s="40"/>
      <c r="N32" s="35"/>
      <c r="O32" s="35"/>
      <c r="P32" s="35"/>
      <c r="Q32" s="35"/>
      <c r="R32" s="41"/>
      <c r="S32" s="35"/>
      <c r="T32" s="35"/>
      <c r="U32" s="35"/>
      <c r="V32" s="41"/>
      <c r="W32" s="35"/>
      <c r="X32" s="35"/>
      <c r="Y32" s="35"/>
      <c r="Z32" s="35"/>
      <c r="AA32" s="35"/>
      <c r="AB32" s="35"/>
      <c r="AC32" s="41"/>
      <c r="AD32" s="49" t="str">
        <f>CONCATENATE("TEST: ",B30)</f>
        <v>TEST: Base-year: Bus (urban)</v>
      </c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866" t="e">
        <f>SUM(Z10:Z11)/AR35-1</f>
        <v>#DIV/0!</v>
      </c>
      <c r="AS32" s="35"/>
      <c r="AT32" s="866" t="e">
        <f>SUM(AB10:AB11)/AT35-1</f>
        <v>#DIV/0!</v>
      </c>
      <c r="AV32" s="471" t="s">
        <v>1052</v>
      </c>
    </row>
    <row r="33" spans="1:64" s="22" customFormat="1" x14ac:dyDescent="0.25">
      <c r="A33" s="35"/>
      <c r="B33" s="52" t="s">
        <v>1053</v>
      </c>
      <c r="C33" s="26" t="s">
        <v>104</v>
      </c>
      <c r="D33" s="26" t="s">
        <v>1054</v>
      </c>
      <c r="E33" s="26" t="s">
        <v>673</v>
      </c>
      <c r="F33" s="26" t="s">
        <v>1155</v>
      </c>
      <c r="G33" s="26" t="s">
        <v>674</v>
      </c>
      <c r="H33" s="26" t="s">
        <v>1055</v>
      </c>
      <c r="I33" s="53" t="s">
        <v>1056</v>
      </c>
      <c r="J33" s="26" t="s">
        <v>982</v>
      </c>
      <c r="K33" s="42" t="s">
        <v>1123</v>
      </c>
      <c r="L33" s="26" t="s">
        <v>1057</v>
      </c>
      <c r="M33" s="26" t="s">
        <v>1058</v>
      </c>
      <c r="N33" s="26" t="str">
        <f t="shared" ref="N33:AB33" si="11">N$2</f>
        <v>Z01</v>
      </c>
      <c r="O33" s="26" t="str">
        <f t="shared" si="11"/>
        <v>Z02</v>
      </c>
      <c r="P33" s="26" t="str">
        <f t="shared" si="11"/>
        <v>Z03</v>
      </c>
      <c r="Q33" s="26" t="str">
        <f t="shared" si="11"/>
        <v>Z04</v>
      </c>
      <c r="R33" s="26" t="str">
        <f t="shared" si="11"/>
        <v>Z05</v>
      </c>
      <c r="S33" s="26" t="str">
        <f t="shared" si="11"/>
        <v>Z06</v>
      </c>
      <c r="T33" s="26" t="str">
        <f t="shared" si="11"/>
        <v>Z07</v>
      </c>
      <c r="U33" s="26" t="str">
        <f t="shared" si="11"/>
        <v>Z08</v>
      </c>
      <c r="V33" s="26" t="str">
        <f t="shared" si="11"/>
        <v>Z09</v>
      </c>
      <c r="W33" s="26" t="str">
        <f t="shared" si="11"/>
        <v>Z10</v>
      </c>
      <c r="X33" s="26" t="str">
        <f t="shared" si="11"/>
        <v>Z11</v>
      </c>
      <c r="Y33" s="26" t="str">
        <f t="shared" si="11"/>
        <v>Z12</v>
      </c>
      <c r="Z33" s="26" t="str">
        <f t="shared" si="11"/>
        <v>Z13</v>
      </c>
      <c r="AA33" s="26" t="str">
        <f t="shared" si="11"/>
        <v>Z14</v>
      </c>
      <c r="AB33" s="26" t="str">
        <f t="shared" si="11"/>
        <v>Z15</v>
      </c>
      <c r="AC33" s="48"/>
      <c r="AD33" s="43"/>
      <c r="AE33" s="42" t="s">
        <v>421</v>
      </c>
      <c r="AF33" s="42" t="str">
        <f t="shared" ref="AF33:AT33" si="12">N2</f>
        <v>Z01</v>
      </c>
      <c r="AG33" s="42" t="str">
        <f t="shared" si="12"/>
        <v>Z02</v>
      </c>
      <c r="AH33" s="42" t="str">
        <f t="shared" si="12"/>
        <v>Z03</v>
      </c>
      <c r="AI33" s="42" t="str">
        <f t="shared" si="12"/>
        <v>Z04</v>
      </c>
      <c r="AJ33" s="42" t="str">
        <f t="shared" si="12"/>
        <v>Z05</v>
      </c>
      <c r="AK33" s="42" t="str">
        <f t="shared" si="12"/>
        <v>Z06</v>
      </c>
      <c r="AL33" s="42" t="str">
        <f t="shared" si="12"/>
        <v>Z07</v>
      </c>
      <c r="AM33" s="42" t="str">
        <f t="shared" si="12"/>
        <v>Z08</v>
      </c>
      <c r="AN33" s="42" t="str">
        <f t="shared" si="12"/>
        <v>Z09</v>
      </c>
      <c r="AO33" s="42" t="str">
        <f t="shared" si="12"/>
        <v>Z10</v>
      </c>
      <c r="AP33" s="42" t="str">
        <f t="shared" si="12"/>
        <v>Z11</v>
      </c>
      <c r="AQ33" s="42" t="str">
        <f t="shared" si="12"/>
        <v>Z12</v>
      </c>
      <c r="AR33" s="42" t="str">
        <f t="shared" si="12"/>
        <v>Z13</v>
      </c>
      <c r="AS33" s="42" t="str">
        <f t="shared" si="12"/>
        <v>Z14</v>
      </c>
      <c r="AT33" s="42" t="str">
        <f t="shared" si="12"/>
        <v>Z15</v>
      </c>
      <c r="AV33" s="701" t="s">
        <v>85</v>
      </c>
      <c r="AW33" s="701" t="s">
        <v>421</v>
      </c>
      <c r="AX33" s="701" t="str">
        <f t="shared" ref="AX33:BL33" si="13">N$2</f>
        <v>Z01</v>
      </c>
      <c r="AY33" s="701" t="str">
        <f t="shared" si="13"/>
        <v>Z02</v>
      </c>
      <c r="AZ33" s="701" t="str">
        <f t="shared" si="13"/>
        <v>Z03</v>
      </c>
      <c r="BA33" s="701" t="str">
        <f t="shared" si="13"/>
        <v>Z04</v>
      </c>
      <c r="BB33" s="701" t="str">
        <f t="shared" si="13"/>
        <v>Z05</v>
      </c>
      <c r="BC33" s="701" t="str">
        <f t="shared" si="13"/>
        <v>Z06</v>
      </c>
      <c r="BD33" s="701" t="str">
        <f t="shared" si="13"/>
        <v>Z07</v>
      </c>
      <c r="BE33" s="701" t="str">
        <f t="shared" si="13"/>
        <v>Z08</v>
      </c>
      <c r="BF33" s="701" t="str">
        <f t="shared" si="13"/>
        <v>Z09</v>
      </c>
      <c r="BG33" s="701" t="str">
        <f t="shared" si="13"/>
        <v>Z10</v>
      </c>
      <c r="BH33" s="701" t="str">
        <f t="shared" si="13"/>
        <v>Z11</v>
      </c>
      <c r="BI33" s="701" t="str">
        <f t="shared" si="13"/>
        <v>Z12</v>
      </c>
      <c r="BJ33" s="701" t="str">
        <f t="shared" si="13"/>
        <v>Z13</v>
      </c>
      <c r="BK33" s="701" t="str">
        <f t="shared" si="13"/>
        <v>Z14</v>
      </c>
      <c r="BL33" s="701" t="str">
        <f t="shared" si="13"/>
        <v>Z15</v>
      </c>
    </row>
    <row r="34" spans="1:64" s="22" customFormat="1" x14ac:dyDescent="0.25">
      <c r="A34" s="35"/>
      <c r="B34" s="176"/>
      <c r="C34" s="176"/>
      <c r="D34" s="176" t="s">
        <v>1062</v>
      </c>
      <c r="E34" s="176"/>
      <c r="F34" s="176"/>
      <c r="G34" s="176"/>
      <c r="H34" s="176"/>
      <c r="I34" s="177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35"/>
      <c r="AD34" s="398" t="s">
        <v>1124</v>
      </c>
      <c r="AE34" s="625" t="str">
        <f>IF(AE35-(AD10+AD11)&lt;0,"too small",IF(AE35-(AD10+AD11)&gt;0.001,"Too big","ok"))</f>
        <v>ok</v>
      </c>
      <c r="AF34" s="619" t="str">
        <f t="shared" ref="AF34:AS34" si="14">IF(AF35-(N10+N11)&lt;0,"too small",IF(AF35-(N10+N11)&gt;0.001,"Too big","ok"))</f>
        <v>ok</v>
      </c>
      <c r="AG34" s="619" t="str">
        <f t="shared" si="14"/>
        <v>ok</v>
      </c>
      <c r="AH34" s="619" t="str">
        <f t="shared" si="14"/>
        <v>ok</v>
      </c>
      <c r="AI34" s="619" t="str">
        <f t="shared" si="14"/>
        <v>ok</v>
      </c>
      <c r="AJ34" s="619" t="str">
        <f t="shared" si="14"/>
        <v>ok</v>
      </c>
      <c r="AK34" s="619" t="str">
        <f t="shared" si="14"/>
        <v>ok</v>
      </c>
      <c r="AL34" s="619" t="str">
        <f t="shared" si="14"/>
        <v>ok</v>
      </c>
      <c r="AM34" s="619" t="str">
        <f t="shared" si="14"/>
        <v>ok</v>
      </c>
      <c r="AN34" s="619" t="str">
        <f t="shared" si="14"/>
        <v>ok</v>
      </c>
      <c r="AO34" s="619" t="str">
        <f t="shared" si="14"/>
        <v>ok</v>
      </c>
      <c r="AP34" s="619" t="str">
        <f t="shared" si="14"/>
        <v>ok</v>
      </c>
      <c r="AQ34" s="619" t="str">
        <f t="shared" si="14"/>
        <v>ok</v>
      </c>
      <c r="AR34" s="619" t="str">
        <f>IF(AR35-(Z10+Z11)&lt;0,"too small",IF(AR35-(Z10+Z11)&gt;0.0005,"Too big","ok"))</f>
        <v>ok</v>
      </c>
      <c r="AS34" s="619" t="str">
        <f t="shared" si="14"/>
        <v>ok</v>
      </c>
      <c r="AT34" s="619" t="str">
        <f>IF(AT35-(AB10+AB11)&lt;0,"too small",IF(AT35-(AB10+AB11)&gt;0.0005,"Too big","ok"))</f>
        <v>ok</v>
      </c>
      <c r="AV34" s="398" t="s">
        <v>103</v>
      </c>
      <c r="AW34" s="710">
        <f>SUM(AX34:BL34)</f>
        <v>0</v>
      </c>
      <c r="AX34" s="709">
        <f t="shared" ref="AX34:BL34" si="15">SUM(AX35:AX176)</f>
        <v>0</v>
      </c>
      <c r="AY34" s="709">
        <f t="shared" si="15"/>
        <v>0</v>
      </c>
      <c r="AZ34" s="709">
        <f t="shared" si="15"/>
        <v>0</v>
      </c>
      <c r="BA34" s="709">
        <f t="shared" si="15"/>
        <v>0</v>
      </c>
      <c r="BB34" s="709">
        <f t="shared" si="15"/>
        <v>0</v>
      </c>
      <c r="BC34" s="709">
        <f t="shared" si="15"/>
        <v>0</v>
      </c>
      <c r="BD34" s="709">
        <f t="shared" si="15"/>
        <v>0</v>
      </c>
      <c r="BE34" s="709">
        <f t="shared" si="15"/>
        <v>0</v>
      </c>
      <c r="BF34" s="709">
        <f t="shared" si="15"/>
        <v>0</v>
      </c>
      <c r="BG34" s="709">
        <f t="shared" si="15"/>
        <v>0</v>
      </c>
      <c r="BH34" s="709">
        <f t="shared" si="15"/>
        <v>0</v>
      </c>
      <c r="BI34" s="709">
        <f t="shared" si="15"/>
        <v>0</v>
      </c>
      <c r="BJ34" s="709">
        <f t="shared" si="15"/>
        <v>0</v>
      </c>
      <c r="BK34" s="709">
        <f t="shared" si="15"/>
        <v>0</v>
      </c>
      <c r="BL34" s="709">
        <f t="shared" si="15"/>
        <v>0</v>
      </c>
    </row>
    <row r="35" spans="1:64" s="83" customFormat="1" x14ac:dyDescent="0.25">
      <c r="A35" s="82"/>
      <c r="B35" s="178" t="str">
        <f>C35</f>
        <v>TBUSBDL100</v>
      </c>
      <c r="C35" s="178" t="s">
        <v>325</v>
      </c>
      <c r="D35" s="179" t="s">
        <v>763</v>
      </c>
      <c r="E35" s="407" t="s">
        <v>988</v>
      </c>
      <c r="F35" s="182"/>
      <c r="G35" s="181"/>
      <c r="H35" s="182"/>
      <c r="I35" s="183"/>
      <c r="J35" s="184"/>
      <c r="K35" s="184"/>
      <c r="L35" s="203" t="s">
        <v>1107</v>
      </c>
      <c r="M35" s="184" t="s">
        <v>1156</v>
      </c>
      <c r="N35" s="601">
        <f>10^-3</f>
        <v>1E-3</v>
      </c>
      <c r="O35" s="601">
        <f t="shared" ref="O35:AB35" si="16">$N35</f>
        <v>1E-3</v>
      </c>
      <c r="P35" s="601">
        <f t="shared" si="16"/>
        <v>1E-3</v>
      </c>
      <c r="Q35" s="601">
        <f t="shared" si="16"/>
        <v>1E-3</v>
      </c>
      <c r="R35" s="601">
        <f t="shared" si="16"/>
        <v>1E-3</v>
      </c>
      <c r="S35" s="601">
        <f t="shared" si="16"/>
        <v>1E-3</v>
      </c>
      <c r="T35" s="601">
        <f t="shared" si="16"/>
        <v>1E-3</v>
      </c>
      <c r="U35" s="601">
        <f t="shared" si="16"/>
        <v>1E-3</v>
      </c>
      <c r="V35" s="601">
        <f t="shared" si="16"/>
        <v>1E-3</v>
      </c>
      <c r="W35" s="601">
        <f t="shared" si="16"/>
        <v>1E-3</v>
      </c>
      <c r="X35" s="601">
        <f t="shared" si="16"/>
        <v>1E-3</v>
      </c>
      <c r="Y35" s="601">
        <f t="shared" si="16"/>
        <v>1E-3</v>
      </c>
      <c r="Z35" s="601">
        <f t="shared" si="16"/>
        <v>1E-3</v>
      </c>
      <c r="AA35" s="601">
        <f t="shared" si="16"/>
        <v>1E-3</v>
      </c>
      <c r="AB35" s="601">
        <f t="shared" si="16"/>
        <v>1E-3</v>
      </c>
      <c r="AD35" s="86" t="str">
        <f>MID(D35,11,3)</f>
        <v>BDL</v>
      </c>
      <c r="AE35" s="572">
        <f>SUM(AF35:AT35)</f>
        <v>0</v>
      </c>
      <c r="AF35" s="586">
        <f t="shared" ref="AF35:AT35" si="17">SUM(AF39:AF169)</f>
        <v>0</v>
      </c>
      <c r="AG35" s="586">
        <f t="shared" si="17"/>
        <v>0</v>
      </c>
      <c r="AH35" s="586">
        <f t="shared" si="17"/>
        <v>0</v>
      </c>
      <c r="AI35" s="586">
        <f t="shared" si="17"/>
        <v>0</v>
      </c>
      <c r="AJ35" s="586">
        <f t="shared" si="17"/>
        <v>0</v>
      </c>
      <c r="AK35" s="586">
        <f t="shared" si="17"/>
        <v>0</v>
      </c>
      <c r="AL35" s="586">
        <f t="shared" si="17"/>
        <v>0</v>
      </c>
      <c r="AM35" s="586">
        <f t="shared" si="17"/>
        <v>0</v>
      </c>
      <c r="AN35" s="586">
        <f t="shared" si="17"/>
        <v>0</v>
      </c>
      <c r="AO35" s="586">
        <f t="shared" si="17"/>
        <v>0</v>
      </c>
      <c r="AP35" s="586">
        <f t="shared" si="17"/>
        <v>0</v>
      </c>
      <c r="AQ35" s="586">
        <f t="shared" si="17"/>
        <v>0</v>
      </c>
      <c r="AR35" s="586">
        <f t="shared" si="17"/>
        <v>0</v>
      </c>
      <c r="AS35" s="586">
        <f t="shared" si="17"/>
        <v>0</v>
      </c>
      <c r="AT35" s="586">
        <f t="shared" si="17"/>
        <v>0</v>
      </c>
      <c r="AV35" s="700" t="str">
        <f>MID(E35,1,7)</f>
        <v>TRABDL</v>
      </c>
      <c r="AW35" s="568">
        <f>SUM(AX35:BL35)</f>
        <v>0</v>
      </c>
      <c r="AX35" s="568">
        <f>N$39*N$40/N$36/1000</f>
        <v>0</v>
      </c>
      <c r="AY35" s="568">
        <f t="shared" ref="AY35:BL35" si="18">O$39*O$40/O$36/1000</f>
        <v>0</v>
      </c>
      <c r="AZ35" s="568">
        <f t="shared" si="18"/>
        <v>0</v>
      </c>
      <c r="BA35" s="568">
        <f t="shared" si="18"/>
        <v>0</v>
      </c>
      <c r="BB35" s="568">
        <f t="shared" si="18"/>
        <v>0</v>
      </c>
      <c r="BC35" s="568">
        <f t="shared" si="18"/>
        <v>0</v>
      </c>
      <c r="BD35" s="568">
        <f t="shared" si="18"/>
        <v>0</v>
      </c>
      <c r="BE35" s="568">
        <f t="shared" si="18"/>
        <v>0</v>
      </c>
      <c r="BF35" s="568">
        <f t="shared" si="18"/>
        <v>0</v>
      </c>
      <c r="BG35" s="568">
        <f t="shared" si="18"/>
        <v>0</v>
      </c>
      <c r="BH35" s="568">
        <f t="shared" si="18"/>
        <v>0</v>
      </c>
      <c r="BI35" s="568">
        <f t="shared" si="18"/>
        <v>0</v>
      </c>
      <c r="BJ35" s="568">
        <f t="shared" si="18"/>
        <v>0</v>
      </c>
      <c r="BK35" s="568">
        <f t="shared" si="18"/>
        <v>0</v>
      </c>
      <c r="BL35" s="568">
        <f t="shared" si="18"/>
        <v>0</v>
      </c>
    </row>
    <row r="36" spans="1:64" s="83" customFormat="1" x14ac:dyDescent="0.25">
      <c r="B36" s="178" t="str">
        <f>B35</f>
        <v>TBUSBDL100</v>
      </c>
      <c r="C36" s="178"/>
      <c r="D36" s="179"/>
      <c r="E36" s="178"/>
      <c r="F36" s="182"/>
      <c r="G36" s="180" t="s">
        <v>415</v>
      </c>
      <c r="H36" s="182"/>
      <c r="I36" s="183"/>
      <c r="J36" s="184"/>
      <c r="K36" s="184"/>
      <c r="L36" s="184" t="s">
        <v>1126</v>
      </c>
      <c r="M36" s="178" t="s">
        <v>678</v>
      </c>
      <c r="N36" s="690">
        <f>T_CEFF!H110</f>
        <v>6.6669999999999993E-2</v>
      </c>
      <c r="O36" s="690">
        <f>T_CEFF!I110</f>
        <v>6.6669999999999993E-2</v>
      </c>
      <c r="P36" s="690">
        <f>T_CEFF!J110</f>
        <v>6.6669999999999993E-2</v>
      </c>
      <c r="Q36" s="690">
        <f>T_CEFF!K110</f>
        <v>6.6669999999999993E-2</v>
      </c>
      <c r="R36" s="690">
        <f>T_CEFF!L110</f>
        <v>6.6669999999999993E-2</v>
      </c>
      <c r="S36" s="690">
        <f>T_CEFF!M110</f>
        <v>6.6669999999999993E-2</v>
      </c>
      <c r="T36" s="690">
        <f>T_CEFF!N110</f>
        <v>6.6669999999999993E-2</v>
      </c>
      <c r="U36" s="690">
        <f>T_CEFF!O110</f>
        <v>6.6669999999999993E-2</v>
      </c>
      <c r="V36" s="690">
        <f>T_CEFF!P110</f>
        <v>6.6669999999999993E-2</v>
      </c>
      <c r="W36" s="690">
        <f>T_CEFF!Q110</f>
        <v>6.6669999999999993E-2</v>
      </c>
      <c r="X36" s="690">
        <f>T_CEFF!R110</f>
        <v>6.6669999999999993E-2</v>
      </c>
      <c r="Y36" s="690">
        <f>T_CEFF!S110</f>
        <v>6.6669999999999993E-2</v>
      </c>
      <c r="Z36" s="690">
        <f>T_CEFF!T110</f>
        <v>6.6669999999999993E-2</v>
      </c>
      <c r="AA36" s="690">
        <f>T_CEFF!U110</f>
        <v>6.6669999999999993E-2</v>
      </c>
      <c r="AB36" s="690">
        <f>T_CEFF!V110</f>
        <v>6.6669999999999993E-2</v>
      </c>
      <c r="AD36" s="408" t="str">
        <f>IF(COUNTIF($AG$4:$AP$4,AD35)=1,"ok","MISSING")</f>
        <v>ok</v>
      </c>
      <c r="AE36" s="357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V36" s="700" t="str">
        <f>MID(E36,1,7)</f>
        <v/>
      </c>
      <c r="AW36" s="568"/>
      <c r="AX36" s="568"/>
      <c r="AY36" s="568"/>
      <c r="AZ36" s="568"/>
      <c r="BA36" s="568"/>
      <c r="BB36" s="568"/>
      <c r="BC36" s="568"/>
      <c r="BD36" s="568"/>
      <c r="BE36" s="568"/>
      <c r="BF36" s="568"/>
      <c r="BG36" s="568"/>
      <c r="BH36" s="568"/>
      <c r="BI36" s="568"/>
      <c r="BJ36" s="568"/>
      <c r="BK36" s="568"/>
      <c r="BL36" s="568"/>
    </row>
    <row r="37" spans="1:64" s="83" customFormat="1" x14ac:dyDescent="0.25">
      <c r="B37" s="178" t="str">
        <f t="shared" ref="B37:B46" si="19">B36</f>
        <v>TBUSBDL100</v>
      </c>
      <c r="C37" s="178"/>
      <c r="D37" s="179"/>
      <c r="E37" s="178"/>
      <c r="F37" s="182"/>
      <c r="G37" s="180" t="s">
        <v>593</v>
      </c>
      <c r="H37" s="182"/>
      <c r="I37" s="183"/>
      <c r="J37" s="184"/>
      <c r="K37" s="184"/>
      <c r="L37" s="184" t="s">
        <v>1126</v>
      </c>
      <c r="M37" s="178" t="s">
        <v>678</v>
      </c>
      <c r="N37" s="690">
        <f>T_CEFF!H111</f>
        <v>6.6669999999999993E-2</v>
      </c>
      <c r="O37" s="690">
        <f>T_CEFF!I111</f>
        <v>6.6669999999999993E-2</v>
      </c>
      <c r="P37" s="690">
        <f>T_CEFF!J111</f>
        <v>6.6669999999999993E-2</v>
      </c>
      <c r="Q37" s="690">
        <f>T_CEFF!K111</f>
        <v>6.6669999999999993E-2</v>
      </c>
      <c r="R37" s="690">
        <f>T_CEFF!L111</f>
        <v>6.6669999999999993E-2</v>
      </c>
      <c r="S37" s="690">
        <f>T_CEFF!M111</f>
        <v>6.6669999999999993E-2</v>
      </c>
      <c r="T37" s="690">
        <f>T_CEFF!N111</f>
        <v>6.6669999999999993E-2</v>
      </c>
      <c r="U37" s="690">
        <f>T_CEFF!O111</f>
        <v>6.6669999999999993E-2</v>
      </c>
      <c r="V37" s="690">
        <f>T_CEFF!P111</f>
        <v>6.6669999999999993E-2</v>
      </c>
      <c r="W37" s="690">
        <f>T_CEFF!Q111</f>
        <v>6.6669999999999993E-2</v>
      </c>
      <c r="X37" s="690">
        <f>T_CEFF!R111</f>
        <v>6.6669999999999993E-2</v>
      </c>
      <c r="Y37" s="690">
        <f>T_CEFF!S111</f>
        <v>6.6669999999999993E-2</v>
      </c>
      <c r="Z37" s="690">
        <f>T_CEFF!T111</f>
        <v>6.6669999999999993E-2</v>
      </c>
      <c r="AA37" s="690">
        <f>T_CEFF!U111</f>
        <v>6.6669999999999993E-2</v>
      </c>
      <c r="AB37" s="690">
        <f>T_CEFF!V111</f>
        <v>6.6669999999999993E-2</v>
      </c>
      <c r="AE37" s="357"/>
      <c r="AV37" s="700" t="str">
        <f t="shared" ref="AV37:AV101" si="20">MID(E37,1,7)</f>
        <v/>
      </c>
      <c r="AW37" s="705"/>
      <c r="AX37" s="568"/>
      <c r="AY37" s="705"/>
      <c r="AZ37" s="705"/>
      <c r="BA37" s="705"/>
      <c r="BB37" s="705"/>
      <c r="BC37" s="705"/>
      <c r="BD37" s="705"/>
      <c r="BE37" s="705"/>
      <c r="BF37" s="705"/>
      <c r="BG37" s="705"/>
      <c r="BH37" s="705"/>
      <c r="BI37" s="705"/>
      <c r="BJ37" s="705"/>
      <c r="BK37" s="705"/>
      <c r="BL37" s="705"/>
    </row>
    <row r="38" spans="1:64" s="83" customFormat="1" x14ac:dyDescent="0.25">
      <c r="B38" s="178" t="str">
        <f>B37</f>
        <v>TBUSBDL100</v>
      </c>
      <c r="C38" s="178"/>
      <c r="D38" s="179"/>
      <c r="E38" s="178"/>
      <c r="F38" s="182"/>
      <c r="G38" s="181"/>
      <c r="H38" s="182"/>
      <c r="I38" s="183"/>
      <c r="J38" s="184"/>
      <c r="K38" s="184" t="s">
        <v>749</v>
      </c>
      <c r="L38" s="184" t="s">
        <v>1128</v>
      </c>
      <c r="M38" s="186" t="s">
        <v>1159</v>
      </c>
      <c r="N38" s="691">
        <f>N$16</f>
        <v>0</v>
      </c>
      <c r="O38" s="691">
        <f t="shared" ref="O38:AB38" si="21">O$16</f>
        <v>0</v>
      </c>
      <c r="P38" s="691">
        <f t="shared" si="21"/>
        <v>0</v>
      </c>
      <c r="Q38" s="691">
        <f t="shared" si="21"/>
        <v>0</v>
      </c>
      <c r="R38" s="691">
        <f t="shared" si="21"/>
        <v>0</v>
      </c>
      <c r="S38" s="691">
        <f t="shared" si="21"/>
        <v>0</v>
      </c>
      <c r="T38" s="691">
        <f t="shared" si="21"/>
        <v>0</v>
      </c>
      <c r="U38" s="691">
        <f t="shared" si="21"/>
        <v>0</v>
      </c>
      <c r="V38" s="691">
        <f t="shared" si="21"/>
        <v>0</v>
      </c>
      <c r="W38" s="691">
        <f t="shared" si="21"/>
        <v>0</v>
      </c>
      <c r="X38" s="691">
        <f t="shared" si="21"/>
        <v>0</v>
      </c>
      <c r="Y38" s="691">
        <f t="shared" si="21"/>
        <v>0</v>
      </c>
      <c r="Z38" s="691">
        <f t="shared" si="21"/>
        <v>0</v>
      </c>
      <c r="AA38" s="691">
        <f t="shared" si="21"/>
        <v>0</v>
      </c>
      <c r="AB38" s="691">
        <f t="shared" si="21"/>
        <v>0</v>
      </c>
      <c r="AE38" s="357"/>
      <c r="AV38" s="700" t="str">
        <f t="shared" si="20"/>
        <v/>
      </c>
      <c r="AW38" s="35"/>
      <c r="AX38" s="568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</row>
    <row r="39" spans="1:64" s="83" customFormat="1" x14ac:dyDescent="0.25">
      <c r="B39" s="178" t="str">
        <f t="shared" si="19"/>
        <v>TBUSBDL100</v>
      </c>
      <c r="C39" s="178"/>
      <c r="D39" s="179"/>
      <c r="E39" s="178"/>
      <c r="F39" s="182"/>
      <c r="G39" s="181"/>
      <c r="H39" s="182"/>
      <c r="I39" s="183"/>
      <c r="J39" s="184"/>
      <c r="K39" s="184"/>
      <c r="L39" s="203" t="s">
        <v>1130</v>
      </c>
      <c r="M39" s="178" t="s">
        <v>1131</v>
      </c>
      <c r="N39" s="389">
        <f>LOOKUP($C$35, T_NCAP_AF!$C$95:$C$105, T_NCAP_AF!D$95:D$105)*(1+N29)</f>
        <v>0</v>
      </c>
      <c r="O39" s="389">
        <f>LOOKUP($C$35, T_NCAP_AF!$C$95:$C$105, T_NCAP_AF!E$95:E$105)*(1+O29)</f>
        <v>0</v>
      </c>
      <c r="P39" s="389">
        <f>LOOKUP($C$35, T_NCAP_AF!$C$95:$C$105, T_NCAP_AF!F$95:F$105)*(1+P29)</f>
        <v>0</v>
      </c>
      <c r="Q39" s="389">
        <f>LOOKUP($C$35, T_NCAP_AF!$C$95:$C$105, T_NCAP_AF!G$95:G$105)*(1+Q29)</f>
        <v>0</v>
      </c>
      <c r="R39" s="389">
        <f>LOOKUP($C$35, T_NCAP_AF!$C$95:$C$105, T_NCAP_AF!H$95:H$105)*(1+R29)</f>
        <v>0</v>
      </c>
      <c r="S39" s="389">
        <f>LOOKUP($C$35, T_NCAP_AF!$C$95:$C$105, T_NCAP_AF!I$95:I$105)*(1+S29)</f>
        <v>0</v>
      </c>
      <c r="T39" s="389">
        <f>LOOKUP($C$35, T_NCAP_AF!$C$95:$C$105, T_NCAP_AF!J$95:J$105)*(1+T29)</f>
        <v>0</v>
      </c>
      <c r="U39" s="389">
        <f>LOOKUP($C$35, T_NCAP_AF!$C$95:$C$105, T_NCAP_AF!K$95:K$105)*(1+U29)</f>
        <v>0</v>
      </c>
      <c r="V39" s="389">
        <f>LOOKUP($C$35, T_NCAP_AF!$C$95:$C$105, T_NCAP_AF!L$95:L$105)*(1+V29)</f>
        <v>0</v>
      </c>
      <c r="W39" s="389">
        <f>LOOKUP($C$35, T_NCAP_AF!$C$95:$C$105, T_NCAP_AF!M$95:M$105)*(1+W29)</f>
        <v>0</v>
      </c>
      <c r="X39" s="389">
        <f>LOOKUP($C$35, T_NCAP_AF!$C$95:$C$105, T_NCAP_AF!N$95:N$105)*(1+X29)</f>
        <v>0</v>
      </c>
      <c r="Y39" s="389">
        <f>LOOKUP($C$35, T_NCAP_AF!$C$95:$C$105, T_NCAP_AF!O$95:O$105)*(1+Y29)</f>
        <v>0</v>
      </c>
      <c r="Z39" s="389">
        <f>LOOKUP($C$35, T_NCAP_AF!$C$95:$C$105, T_NCAP_AF!P$95:P$105)*(1+Z29)</f>
        <v>0</v>
      </c>
      <c r="AA39" s="389">
        <f>LOOKUP($C$35, T_NCAP_AF!$C$95:$C$105, T_NCAP_AF!Q$95:Q$105)*(1+AA29)</f>
        <v>0</v>
      </c>
      <c r="AB39" s="389">
        <f>LOOKUP($C$35, T_NCAP_AF!$C$95:$C$105, T_NCAP_AF!R$95:R$105)*(1+AB29)</f>
        <v>0</v>
      </c>
      <c r="AE39" s="572">
        <f>SUM(AF39:AT39)</f>
        <v>0</v>
      </c>
      <c r="AF39" s="85">
        <f t="shared" ref="AF39:AT39" si="22">N38*N39*N40/1000</f>
        <v>0</v>
      </c>
      <c r="AG39" s="85">
        <f t="shared" si="22"/>
        <v>0</v>
      </c>
      <c r="AH39" s="85">
        <f t="shared" si="22"/>
        <v>0</v>
      </c>
      <c r="AI39" s="85">
        <f t="shared" si="22"/>
        <v>0</v>
      </c>
      <c r="AJ39" s="85">
        <f t="shared" si="22"/>
        <v>0</v>
      </c>
      <c r="AK39" s="85">
        <f t="shared" si="22"/>
        <v>0</v>
      </c>
      <c r="AL39" s="85">
        <f t="shared" si="22"/>
        <v>0</v>
      </c>
      <c r="AM39" s="85">
        <f t="shared" si="22"/>
        <v>0</v>
      </c>
      <c r="AN39" s="85">
        <f t="shared" si="22"/>
        <v>0</v>
      </c>
      <c r="AO39" s="85">
        <f t="shared" si="22"/>
        <v>0</v>
      </c>
      <c r="AP39" s="85">
        <f t="shared" si="22"/>
        <v>0</v>
      </c>
      <c r="AQ39" s="85">
        <f t="shared" si="22"/>
        <v>0</v>
      </c>
      <c r="AR39" s="85">
        <f t="shared" si="22"/>
        <v>0</v>
      </c>
      <c r="AS39" s="85">
        <f t="shared" si="22"/>
        <v>0</v>
      </c>
      <c r="AT39" s="85">
        <f t="shared" si="22"/>
        <v>0</v>
      </c>
      <c r="AV39" s="700" t="str">
        <f t="shared" si="20"/>
        <v/>
      </c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</row>
    <row r="40" spans="1:64" s="83" customFormat="1" x14ac:dyDescent="0.25">
      <c r="B40" s="178" t="str">
        <f>B39</f>
        <v>TBUSBDL100</v>
      </c>
      <c r="C40" s="178"/>
      <c r="D40" s="179"/>
      <c r="E40" s="178"/>
      <c r="F40" s="182"/>
      <c r="G40" s="181"/>
      <c r="H40" s="182"/>
      <c r="I40" s="183">
        <f>$M$3</f>
        <v>2019</v>
      </c>
      <c r="J40" s="184"/>
      <c r="K40" s="184"/>
      <c r="L40" s="203" t="s">
        <v>1065</v>
      </c>
      <c r="M40" s="178" t="s">
        <v>748</v>
      </c>
      <c r="N40" s="687">
        <f>LOOKUP($C$35, T_Stock_Private!$C$58:$C$68, T_Stock_Private!D$58:D$68)*(1+N30)</f>
        <v>0</v>
      </c>
      <c r="O40" s="687">
        <f>LOOKUP($C$35, T_Stock_Private!$C$58:$C$68, T_Stock_Private!E$58:E$68)*(1+O30)</f>
        <v>0</v>
      </c>
      <c r="P40" s="687">
        <f>LOOKUP($C$35, T_Stock_Private!$C$58:$C$68, T_Stock_Private!F$58:F$68)*(1+P30)</f>
        <v>0</v>
      </c>
      <c r="Q40" s="687">
        <f>LOOKUP($C$35, T_Stock_Private!$C$58:$C$68, T_Stock_Private!G$58:G$68)*(1+Q30)</f>
        <v>0</v>
      </c>
      <c r="R40" s="687">
        <f>LOOKUP($C$35, T_Stock_Private!$C$58:$C$68, T_Stock_Private!H$58:H$68)*(1+R30)</f>
        <v>0</v>
      </c>
      <c r="S40" s="687">
        <f>LOOKUP($C$35, T_Stock_Private!$C$58:$C$68, T_Stock_Private!I$58:I$68)*(1+S30)</f>
        <v>0</v>
      </c>
      <c r="T40" s="687">
        <f>LOOKUP($C$35, T_Stock_Private!$C$58:$C$68, T_Stock_Private!J$58:J$68)*(1+T30)</f>
        <v>0</v>
      </c>
      <c r="U40" s="687">
        <f>LOOKUP($C$35, T_Stock_Private!$C$58:$C$68, T_Stock_Private!K$58:K$68)*(1+U30)</f>
        <v>0</v>
      </c>
      <c r="V40" s="687">
        <f>LOOKUP($C$35, T_Stock_Private!$C$58:$C$68, T_Stock_Private!L$58:L$68)*(1+V30)</f>
        <v>0</v>
      </c>
      <c r="W40" s="687">
        <f>LOOKUP($C$35, T_Stock_Private!$C$58:$C$68, T_Stock_Private!M$58:M$68)*(1+W30)</f>
        <v>0</v>
      </c>
      <c r="X40" s="687">
        <f>LOOKUP($C$35, T_Stock_Private!$C$58:$C$68, T_Stock_Private!N$58:N$68)*(1+X30)</f>
        <v>0</v>
      </c>
      <c r="Y40" s="687">
        <f>LOOKUP($C$35, T_Stock_Private!$C$58:$C$68, T_Stock_Private!O$58:O$68)*(1+Y30)</f>
        <v>0</v>
      </c>
      <c r="Z40" s="687">
        <f>LOOKUP($C$35, T_Stock_Private!$C$58:$C$68, T_Stock_Private!P$58:P$68)*(1+Z30)</f>
        <v>0</v>
      </c>
      <c r="AA40" s="687">
        <f>LOOKUP($C$35, T_Stock_Private!$C$58:$C$68, T_Stock_Private!Q$58:Q$68)*(1+AA30)</f>
        <v>0</v>
      </c>
      <c r="AB40" s="687">
        <f>LOOKUP($C$35, T_Stock_Private!$C$58:$C$68, T_Stock_Private!R$58:R$68)*(1+AB30)</f>
        <v>0</v>
      </c>
      <c r="AC40" s="89"/>
      <c r="AE40" s="357"/>
      <c r="AF40" s="89"/>
      <c r="AV40" s="700" t="str">
        <f t="shared" si="20"/>
        <v/>
      </c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</row>
    <row r="41" spans="1:64" s="83" customFormat="1" x14ac:dyDescent="0.25">
      <c r="B41" s="178" t="str">
        <f t="shared" si="19"/>
        <v>TBUSBDL100</v>
      </c>
      <c r="C41" s="178"/>
      <c r="D41" s="179"/>
      <c r="E41" s="178"/>
      <c r="F41" s="182"/>
      <c r="G41" s="181"/>
      <c r="H41" s="182"/>
      <c r="I41" s="183">
        <f>AF$5</f>
        <v>2020</v>
      </c>
      <c r="J41" s="184"/>
      <c r="K41" s="184"/>
      <c r="L41" s="203" t="s">
        <v>1065</v>
      </c>
      <c r="M41" s="178" t="s">
        <v>748</v>
      </c>
      <c r="N41" s="687">
        <f t="shared" ref="N41:AB41" si="23">N40*LOOKUP($AD35,$AG$4:$AP$4,$AG$5:$AP$5)</f>
        <v>0</v>
      </c>
      <c r="O41" s="687">
        <f t="shared" si="23"/>
        <v>0</v>
      </c>
      <c r="P41" s="687">
        <f t="shared" si="23"/>
        <v>0</v>
      </c>
      <c r="Q41" s="687">
        <f t="shared" si="23"/>
        <v>0</v>
      </c>
      <c r="R41" s="687">
        <f t="shared" si="23"/>
        <v>0</v>
      </c>
      <c r="S41" s="687">
        <f t="shared" si="23"/>
        <v>0</v>
      </c>
      <c r="T41" s="687">
        <f t="shared" si="23"/>
        <v>0</v>
      </c>
      <c r="U41" s="687">
        <f t="shared" si="23"/>
        <v>0</v>
      </c>
      <c r="V41" s="687">
        <f t="shared" si="23"/>
        <v>0</v>
      </c>
      <c r="W41" s="687">
        <f t="shared" si="23"/>
        <v>0</v>
      </c>
      <c r="X41" s="687">
        <f t="shared" si="23"/>
        <v>0</v>
      </c>
      <c r="Y41" s="687">
        <f t="shared" si="23"/>
        <v>0</v>
      </c>
      <c r="Z41" s="687">
        <f t="shared" si="23"/>
        <v>0</v>
      </c>
      <c r="AA41" s="687">
        <f t="shared" si="23"/>
        <v>0</v>
      </c>
      <c r="AB41" s="687">
        <f t="shared" si="23"/>
        <v>0</v>
      </c>
      <c r="AE41" s="357"/>
      <c r="AF41" s="89"/>
      <c r="AV41" s="700" t="str">
        <f t="shared" si="20"/>
        <v/>
      </c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</row>
    <row r="42" spans="1:64" s="83" customFormat="1" x14ac:dyDescent="0.25">
      <c r="B42" s="178" t="str">
        <f t="shared" si="19"/>
        <v>TBUSBDL100</v>
      </c>
      <c r="C42" s="178"/>
      <c r="D42" s="179"/>
      <c r="E42" s="178"/>
      <c r="F42" s="182"/>
      <c r="G42" s="181"/>
      <c r="H42" s="182"/>
      <c r="I42" s="183">
        <f>AF$6</f>
        <v>2025</v>
      </c>
      <c r="J42" s="184"/>
      <c r="K42" s="184"/>
      <c r="L42" s="203" t="s">
        <v>1065</v>
      </c>
      <c r="M42" s="178" t="s">
        <v>748</v>
      </c>
      <c r="N42" s="687">
        <f t="shared" ref="N42:AB42" si="24">N40*LOOKUP($AD35,$AG$4:$AP$4,$AG$6:$AP$6)</f>
        <v>0</v>
      </c>
      <c r="O42" s="687">
        <f t="shared" si="24"/>
        <v>0</v>
      </c>
      <c r="P42" s="687">
        <f t="shared" si="24"/>
        <v>0</v>
      </c>
      <c r="Q42" s="687">
        <f t="shared" si="24"/>
        <v>0</v>
      </c>
      <c r="R42" s="687">
        <f t="shared" si="24"/>
        <v>0</v>
      </c>
      <c r="S42" s="687">
        <f t="shared" si="24"/>
        <v>0</v>
      </c>
      <c r="T42" s="687">
        <f t="shared" si="24"/>
        <v>0</v>
      </c>
      <c r="U42" s="687">
        <f t="shared" si="24"/>
        <v>0</v>
      </c>
      <c r="V42" s="687">
        <f t="shared" si="24"/>
        <v>0</v>
      </c>
      <c r="W42" s="687">
        <f t="shared" si="24"/>
        <v>0</v>
      </c>
      <c r="X42" s="687">
        <f t="shared" si="24"/>
        <v>0</v>
      </c>
      <c r="Y42" s="687">
        <f t="shared" si="24"/>
        <v>0</v>
      </c>
      <c r="Z42" s="687">
        <f t="shared" si="24"/>
        <v>0</v>
      </c>
      <c r="AA42" s="687">
        <f t="shared" si="24"/>
        <v>0</v>
      </c>
      <c r="AB42" s="687">
        <f t="shared" si="24"/>
        <v>0</v>
      </c>
      <c r="AE42" s="357"/>
      <c r="AF42" s="89"/>
      <c r="AV42" s="700" t="str">
        <f t="shared" si="20"/>
        <v/>
      </c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</row>
    <row r="43" spans="1:64" s="83" customFormat="1" x14ac:dyDescent="0.25">
      <c r="B43" s="178" t="str">
        <f t="shared" si="19"/>
        <v>TBUSBDL100</v>
      </c>
      <c r="C43" s="178"/>
      <c r="D43" s="179"/>
      <c r="E43" s="178"/>
      <c r="F43" s="182"/>
      <c r="G43" s="181"/>
      <c r="H43" s="182"/>
      <c r="I43" s="183">
        <f>AF$7</f>
        <v>2030</v>
      </c>
      <c r="J43" s="184"/>
      <c r="K43" s="184"/>
      <c r="L43" s="203" t="s">
        <v>1065</v>
      </c>
      <c r="M43" s="178" t="s">
        <v>748</v>
      </c>
      <c r="N43" s="687">
        <f t="shared" ref="N43:AB43" si="25">N40*LOOKUP($AD35,$AG$4:$AP$4,$AG$7:$AP$7)</f>
        <v>0</v>
      </c>
      <c r="O43" s="687">
        <f t="shared" si="25"/>
        <v>0</v>
      </c>
      <c r="P43" s="687">
        <f t="shared" si="25"/>
        <v>0</v>
      </c>
      <c r="Q43" s="687">
        <f t="shared" si="25"/>
        <v>0</v>
      </c>
      <c r="R43" s="687">
        <f t="shared" si="25"/>
        <v>0</v>
      </c>
      <c r="S43" s="687">
        <f t="shared" si="25"/>
        <v>0</v>
      </c>
      <c r="T43" s="687">
        <f t="shared" si="25"/>
        <v>0</v>
      </c>
      <c r="U43" s="687">
        <f t="shared" si="25"/>
        <v>0</v>
      </c>
      <c r="V43" s="687">
        <f t="shared" si="25"/>
        <v>0</v>
      </c>
      <c r="W43" s="687">
        <f t="shared" si="25"/>
        <v>0</v>
      </c>
      <c r="X43" s="687">
        <f t="shared" si="25"/>
        <v>0</v>
      </c>
      <c r="Y43" s="687">
        <f t="shared" si="25"/>
        <v>0</v>
      </c>
      <c r="Z43" s="687">
        <f t="shared" si="25"/>
        <v>0</v>
      </c>
      <c r="AA43" s="687">
        <f t="shared" si="25"/>
        <v>0</v>
      </c>
      <c r="AB43" s="687">
        <f t="shared" si="25"/>
        <v>0</v>
      </c>
      <c r="AE43" s="357"/>
      <c r="AF43" s="89"/>
      <c r="AV43" s="700" t="str">
        <f t="shared" si="20"/>
        <v/>
      </c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</row>
    <row r="44" spans="1:64" s="83" customFormat="1" x14ac:dyDescent="0.25">
      <c r="B44" s="178" t="str">
        <f t="shared" si="19"/>
        <v>TBUSBDL100</v>
      </c>
      <c r="C44" s="178"/>
      <c r="D44" s="179"/>
      <c r="E44" s="178"/>
      <c r="F44" s="182"/>
      <c r="G44" s="181"/>
      <c r="H44" s="182"/>
      <c r="I44" s="183">
        <f>AF$8</f>
        <v>2035</v>
      </c>
      <c r="J44" s="184"/>
      <c r="K44" s="184"/>
      <c r="L44" s="203" t="s">
        <v>1065</v>
      </c>
      <c r="M44" s="178" t="s">
        <v>748</v>
      </c>
      <c r="N44" s="687">
        <f t="shared" ref="N44:AB44" si="26">N40*LOOKUP($AD35,$AG$4:$AP$4,$AG$8:$AP$8)</f>
        <v>0</v>
      </c>
      <c r="O44" s="687">
        <f t="shared" si="26"/>
        <v>0</v>
      </c>
      <c r="P44" s="687">
        <f t="shared" si="26"/>
        <v>0</v>
      </c>
      <c r="Q44" s="687">
        <f t="shared" si="26"/>
        <v>0</v>
      </c>
      <c r="R44" s="687">
        <f t="shared" si="26"/>
        <v>0</v>
      </c>
      <c r="S44" s="687">
        <f t="shared" si="26"/>
        <v>0</v>
      </c>
      <c r="T44" s="687">
        <f t="shared" si="26"/>
        <v>0</v>
      </c>
      <c r="U44" s="687">
        <f t="shared" si="26"/>
        <v>0</v>
      </c>
      <c r="V44" s="687">
        <f t="shared" si="26"/>
        <v>0</v>
      </c>
      <c r="W44" s="687">
        <f t="shared" si="26"/>
        <v>0</v>
      </c>
      <c r="X44" s="687">
        <f t="shared" si="26"/>
        <v>0</v>
      </c>
      <c r="Y44" s="687">
        <f t="shared" si="26"/>
        <v>0</v>
      </c>
      <c r="Z44" s="687">
        <f t="shared" si="26"/>
        <v>0</v>
      </c>
      <c r="AA44" s="687">
        <f t="shared" si="26"/>
        <v>0</v>
      </c>
      <c r="AB44" s="687">
        <f t="shared" si="26"/>
        <v>0</v>
      </c>
      <c r="AE44" s="357"/>
      <c r="AF44" s="89"/>
      <c r="AV44" s="700" t="str">
        <f t="shared" si="20"/>
        <v/>
      </c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</row>
    <row r="45" spans="1:64" s="83" customFormat="1" x14ac:dyDescent="0.25">
      <c r="B45" s="178" t="str">
        <f t="shared" si="19"/>
        <v>TBUSBDL100</v>
      </c>
      <c r="C45" s="178"/>
      <c r="D45" s="179"/>
      <c r="E45" s="178"/>
      <c r="F45" s="182"/>
      <c r="G45" s="181"/>
      <c r="H45" s="182"/>
      <c r="I45" s="183">
        <f>AF$9</f>
        <v>2040</v>
      </c>
      <c r="J45" s="184"/>
      <c r="K45" s="184"/>
      <c r="L45" s="203" t="s">
        <v>1065</v>
      </c>
      <c r="M45" s="178" t="s">
        <v>748</v>
      </c>
      <c r="N45" s="687">
        <f t="shared" ref="N45:AB45" si="27">N40*LOOKUP($AD35,$AG$4:$AP$4,$AG$9:$AP$9)</f>
        <v>0</v>
      </c>
      <c r="O45" s="687">
        <f t="shared" si="27"/>
        <v>0</v>
      </c>
      <c r="P45" s="687">
        <f t="shared" si="27"/>
        <v>0</v>
      </c>
      <c r="Q45" s="687">
        <f t="shared" si="27"/>
        <v>0</v>
      </c>
      <c r="R45" s="687">
        <f t="shared" si="27"/>
        <v>0</v>
      </c>
      <c r="S45" s="687">
        <f t="shared" si="27"/>
        <v>0</v>
      </c>
      <c r="T45" s="687">
        <f t="shared" si="27"/>
        <v>0</v>
      </c>
      <c r="U45" s="687">
        <f t="shared" si="27"/>
        <v>0</v>
      </c>
      <c r="V45" s="687">
        <f t="shared" si="27"/>
        <v>0</v>
      </c>
      <c r="W45" s="687">
        <f t="shared" si="27"/>
        <v>0</v>
      </c>
      <c r="X45" s="687">
        <f t="shared" si="27"/>
        <v>0</v>
      </c>
      <c r="Y45" s="687">
        <f t="shared" si="27"/>
        <v>0</v>
      </c>
      <c r="Z45" s="687">
        <f t="shared" si="27"/>
        <v>0</v>
      </c>
      <c r="AA45" s="687">
        <f t="shared" si="27"/>
        <v>0</v>
      </c>
      <c r="AB45" s="687">
        <f t="shared" si="27"/>
        <v>0</v>
      </c>
      <c r="AE45" s="357"/>
      <c r="AF45" s="89"/>
      <c r="AV45" s="700" t="str">
        <f t="shared" si="20"/>
        <v/>
      </c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</row>
    <row r="46" spans="1:64" s="83" customFormat="1" x14ac:dyDescent="0.25">
      <c r="B46" s="204" t="str">
        <f t="shared" si="19"/>
        <v>TBUSBDL100</v>
      </c>
      <c r="C46" s="204"/>
      <c r="D46" s="205"/>
      <c r="E46" s="204"/>
      <c r="F46" s="206"/>
      <c r="G46" s="207"/>
      <c r="H46" s="206"/>
      <c r="I46" s="208">
        <f>AF$10</f>
        <v>2050</v>
      </c>
      <c r="J46" s="209"/>
      <c r="K46" s="209"/>
      <c r="L46" s="210" t="s">
        <v>1065</v>
      </c>
      <c r="M46" s="204" t="s">
        <v>748</v>
      </c>
      <c r="N46" s="688">
        <f t="shared" ref="N46:AB46" si="28">N40*LOOKUP($AD35,$AG$4:$AP$4,$AG$10:$AP$10)</f>
        <v>0</v>
      </c>
      <c r="O46" s="688">
        <f t="shared" si="28"/>
        <v>0</v>
      </c>
      <c r="P46" s="688">
        <f t="shared" si="28"/>
        <v>0</v>
      </c>
      <c r="Q46" s="688">
        <f t="shared" si="28"/>
        <v>0</v>
      </c>
      <c r="R46" s="688">
        <f t="shared" si="28"/>
        <v>0</v>
      </c>
      <c r="S46" s="688">
        <f t="shared" si="28"/>
        <v>0</v>
      </c>
      <c r="T46" s="688">
        <f t="shared" si="28"/>
        <v>0</v>
      </c>
      <c r="U46" s="688">
        <f t="shared" si="28"/>
        <v>0</v>
      </c>
      <c r="V46" s="688">
        <f t="shared" si="28"/>
        <v>0</v>
      </c>
      <c r="W46" s="688">
        <f t="shared" si="28"/>
        <v>0</v>
      </c>
      <c r="X46" s="688">
        <f t="shared" si="28"/>
        <v>0</v>
      </c>
      <c r="Y46" s="688">
        <f t="shared" si="28"/>
        <v>0</v>
      </c>
      <c r="Z46" s="688">
        <f t="shared" si="28"/>
        <v>0</v>
      </c>
      <c r="AA46" s="688">
        <f t="shared" si="28"/>
        <v>0</v>
      </c>
      <c r="AB46" s="688">
        <f t="shared" si="28"/>
        <v>0</v>
      </c>
      <c r="AE46" s="357"/>
      <c r="AF46" s="89"/>
      <c r="AV46" s="700" t="str">
        <f t="shared" si="20"/>
        <v/>
      </c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</row>
    <row r="47" spans="1:64" s="83" customFormat="1" x14ac:dyDescent="0.25">
      <c r="A47" s="82"/>
      <c r="B47" s="178" t="str">
        <f>C47</f>
        <v>TBUSDST100</v>
      </c>
      <c r="C47" s="178" t="s">
        <v>326</v>
      </c>
      <c r="D47" s="179" t="s">
        <v>764</v>
      </c>
      <c r="E47" s="407" t="s">
        <v>988</v>
      </c>
      <c r="F47" s="182"/>
      <c r="G47" s="181"/>
      <c r="H47" s="182"/>
      <c r="I47" s="183"/>
      <c r="J47" s="184"/>
      <c r="K47" s="184"/>
      <c r="L47" s="203" t="s">
        <v>1107</v>
      </c>
      <c r="M47" s="184" t="s">
        <v>1156</v>
      </c>
      <c r="N47" s="692">
        <f>N$35</f>
        <v>1E-3</v>
      </c>
      <c r="O47" s="692">
        <f t="shared" ref="O47:AB47" si="29">$N47</f>
        <v>1E-3</v>
      </c>
      <c r="P47" s="692">
        <f t="shared" si="29"/>
        <v>1E-3</v>
      </c>
      <c r="Q47" s="692">
        <f t="shared" si="29"/>
        <v>1E-3</v>
      </c>
      <c r="R47" s="692">
        <f t="shared" si="29"/>
        <v>1E-3</v>
      </c>
      <c r="S47" s="692">
        <f t="shared" si="29"/>
        <v>1E-3</v>
      </c>
      <c r="T47" s="692">
        <f t="shared" si="29"/>
        <v>1E-3</v>
      </c>
      <c r="U47" s="692">
        <f t="shared" si="29"/>
        <v>1E-3</v>
      </c>
      <c r="V47" s="692">
        <f t="shared" si="29"/>
        <v>1E-3</v>
      </c>
      <c r="W47" s="692">
        <f t="shared" si="29"/>
        <v>1E-3</v>
      </c>
      <c r="X47" s="692">
        <f t="shared" si="29"/>
        <v>1E-3</v>
      </c>
      <c r="Y47" s="692">
        <f t="shared" si="29"/>
        <v>1E-3</v>
      </c>
      <c r="Z47" s="692">
        <f t="shared" si="29"/>
        <v>1E-3</v>
      </c>
      <c r="AA47" s="692">
        <f t="shared" si="29"/>
        <v>1E-3</v>
      </c>
      <c r="AB47" s="692">
        <f t="shared" si="29"/>
        <v>1E-3</v>
      </c>
      <c r="AD47" s="410" t="str">
        <f>MID(D47,11,3)</f>
        <v>DST</v>
      </c>
      <c r="AE47" s="357"/>
      <c r="AF47" s="89"/>
      <c r="AV47" s="700" t="str">
        <f t="shared" si="20"/>
        <v>TRABDL</v>
      </c>
      <c r="AW47" s="568">
        <f>SUM(AX47:BL47)</f>
        <v>0</v>
      </c>
      <c r="AX47" s="708">
        <f>N$53*N$54*(1-N48)/N$50/1000</f>
        <v>0</v>
      </c>
      <c r="AY47" s="35">
        <f t="shared" ref="AY47:BL47" si="30">O$53*O$54*(1-O48)/O$50/1000</f>
        <v>0</v>
      </c>
      <c r="AZ47" s="35">
        <f t="shared" si="30"/>
        <v>0</v>
      </c>
      <c r="BA47" s="35">
        <f t="shared" si="30"/>
        <v>0</v>
      </c>
      <c r="BB47" s="35">
        <f t="shared" si="30"/>
        <v>0</v>
      </c>
      <c r="BC47" s="35">
        <f t="shared" si="30"/>
        <v>0</v>
      </c>
      <c r="BD47" s="35">
        <f t="shared" si="30"/>
        <v>0</v>
      </c>
      <c r="BE47" s="35">
        <f t="shared" si="30"/>
        <v>0</v>
      </c>
      <c r="BF47" s="35">
        <f t="shared" si="30"/>
        <v>0</v>
      </c>
      <c r="BG47" s="35">
        <f t="shared" si="30"/>
        <v>0</v>
      </c>
      <c r="BH47" s="35">
        <f t="shared" si="30"/>
        <v>0</v>
      </c>
      <c r="BI47" s="35">
        <f t="shared" si="30"/>
        <v>0</v>
      </c>
      <c r="BJ47" s="708">
        <f t="shared" si="30"/>
        <v>0</v>
      </c>
      <c r="BK47" s="708">
        <f t="shared" si="30"/>
        <v>0</v>
      </c>
      <c r="BL47" s="708">
        <f t="shared" si="30"/>
        <v>0</v>
      </c>
    </row>
    <row r="48" spans="1:64" s="83" customFormat="1" x14ac:dyDescent="0.25">
      <c r="A48" s="82"/>
      <c r="B48" s="178" t="str">
        <f>B47</f>
        <v>TBUSDST100</v>
      </c>
      <c r="C48" s="178"/>
      <c r="D48" s="179"/>
      <c r="E48" s="407" t="s">
        <v>185</v>
      </c>
      <c r="F48" s="182"/>
      <c r="G48" s="181"/>
      <c r="H48" s="182"/>
      <c r="I48" s="183"/>
      <c r="J48" s="184" t="s">
        <v>1157</v>
      </c>
      <c r="K48" s="184"/>
      <c r="L48" s="203" t="s">
        <v>101</v>
      </c>
      <c r="M48" s="184"/>
      <c r="N48" s="690">
        <f>1-N$21</f>
        <v>0.94496029288387329</v>
      </c>
      <c r="O48" s="690">
        <f t="shared" ref="O48:AB48" si="31">1-O$21</f>
        <v>0.94496029288387329</v>
      </c>
      <c r="P48" s="690">
        <f t="shared" si="31"/>
        <v>0.94496029288387329</v>
      </c>
      <c r="Q48" s="690">
        <f t="shared" si="31"/>
        <v>0.94496029288387329</v>
      </c>
      <c r="R48" s="690">
        <f t="shared" si="31"/>
        <v>0.94496029288387329</v>
      </c>
      <c r="S48" s="690">
        <f t="shared" si="31"/>
        <v>0.94496029288387329</v>
      </c>
      <c r="T48" s="690">
        <f t="shared" si="31"/>
        <v>0.94496029288387329</v>
      </c>
      <c r="U48" s="690">
        <f t="shared" si="31"/>
        <v>0.94496029288387329</v>
      </c>
      <c r="V48" s="690">
        <f t="shared" si="31"/>
        <v>0.94496029288387329</v>
      </c>
      <c r="W48" s="690">
        <f t="shared" si="31"/>
        <v>0.94496029288387329</v>
      </c>
      <c r="X48" s="690">
        <f t="shared" si="31"/>
        <v>0.94496029288387329</v>
      </c>
      <c r="Y48" s="690">
        <f t="shared" si="31"/>
        <v>0.94496029288387329</v>
      </c>
      <c r="Z48" s="690">
        <f t="shared" si="31"/>
        <v>0.94496029288387329</v>
      </c>
      <c r="AA48" s="690">
        <f t="shared" si="31"/>
        <v>0.94496029288387329</v>
      </c>
      <c r="AB48" s="690">
        <f t="shared" si="31"/>
        <v>0.94496029288387329</v>
      </c>
      <c r="AD48" s="408" t="str">
        <f>IF(COUNTIF($AG$4:$AP$4,AD47)=1,"ok","MISSING")</f>
        <v>ok</v>
      </c>
      <c r="AE48" s="357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V48" s="700" t="str">
        <f t="shared" si="20"/>
        <v>TRADST</v>
      </c>
      <c r="AW48" s="568">
        <f>SUM(AX48:BL48)</f>
        <v>0</v>
      </c>
      <c r="AX48" s="708">
        <f>N$53*N$54*N48/N$50/1000</f>
        <v>0</v>
      </c>
      <c r="AY48" s="35">
        <f t="shared" ref="AY48:BL48" si="32">O$53*O$54*O48/O$50/1000</f>
        <v>0</v>
      </c>
      <c r="AZ48" s="35">
        <f t="shared" si="32"/>
        <v>0</v>
      </c>
      <c r="BA48" s="35">
        <f t="shared" si="32"/>
        <v>0</v>
      </c>
      <c r="BB48" s="35">
        <f t="shared" si="32"/>
        <v>0</v>
      </c>
      <c r="BC48" s="35">
        <f t="shared" si="32"/>
        <v>0</v>
      </c>
      <c r="BD48" s="35">
        <f t="shared" si="32"/>
        <v>0</v>
      </c>
      <c r="BE48" s="35">
        <f t="shared" si="32"/>
        <v>0</v>
      </c>
      <c r="BF48" s="35">
        <f t="shared" si="32"/>
        <v>0</v>
      </c>
      <c r="BG48" s="35">
        <f t="shared" si="32"/>
        <v>0</v>
      </c>
      <c r="BH48" s="35">
        <f t="shared" si="32"/>
        <v>0</v>
      </c>
      <c r="BI48" s="35">
        <f t="shared" si="32"/>
        <v>0</v>
      </c>
      <c r="BJ48" s="708">
        <f t="shared" si="32"/>
        <v>0</v>
      </c>
      <c r="BK48" s="708">
        <f t="shared" si="32"/>
        <v>0</v>
      </c>
      <c r="BL48" s="708">
        <f t="shared" si="32"/>
        <v>0</v>
      </c>
    </row>
    <row r="49" spans="1:64" s="83" customFormat="1" x14ac:dyDescent="0.25">
      <c r="A49" s="82"/>
      <c r="B49" s="178" t="str">
        <f t="shared" ref="B49:B60" si="33">B48</f>
        <v>TBUSDST100</v>
      </c>
      <c r="C49" s="178"/>
      <c r="D49" s="179"/>
      <c r="E49" s="407" t="s">
        <v>990</v>
      </c>
      <c r="F49" s="182"/>
      <c r="G49" s="181"/>
      <c r="H49" s="182"/>
      <c r="I49" s="183"/>
      <c r="J49" s="184" t="s">
        <v>1157</v>
      </c>
      <c r="K49" s="184"/>
      <c r="L49" s="203" t="s">
        <v>101</v>
      </c>
      <c r="M49" s="184"/>
      <c r="N49" s="690">
        <f>N$20</f>
        <v>7.0000000000000007E-2</v>
      </c>
      <c r="O49" s="690">
        <f t="shared" ref="O49:AB49" si="34">O$20</f>
        <v>7.0000000000000007E-2</v>
      </c>
      <c r="P49" s="690">
        <f t="shared" si="34"/>
        <v>7.0000000000000007E-2</v>
      </c>
      <c r="Q49" s="690">
        <f t="shared" si="34"/>
        <v>7.0000000000000007E-2</v>
      </c>
      <c r="R49" s="690">
        <f t="shared" si="34"/>
        <v>7.0000000000000007E-2</v>
      </c>
      <c r="S49" s="690">
        <f t="shared" si="34"/>
        <v>7.0000000000000007E-2</v>
      </c>
      <c r="T49" s="690">
        <f t="shared" si="34"/>
        <v>7.0000000000000007E-2</v>
      </c>
      <c r="U49" s="690">
        <f t="shared" si="34"/>
        <v>7.0000000000000007E-2</v>
      </c>
      <c r="V49" s="690">
        <f t="shared" si="34"/>
        <v>7.0000000000000007E-2</v>
      </c>
      <c r="W49" s="690">
        <f t="shared" si="34"/>
        <v>7.0000000000000007E-2</v>
      </c>
      <c r="X49" s="690">
        <f t="shared" si="34"/>
        <v>7.0000000000000007E-2</v>
      </c>
      <c r="Y49" s="690">
        <f t="shared" si="34"/>
        <v>7.0000000000000007E-2</v>
      </c>
      <c r="Z49" s="690">
        <f t="shared" si="34"/>
        <v>7.0000000000000007E-2</v>
      </c>
      <c r="AA49" s="690">
        <f t="shared" si="34"/>
        <v>7.0000000000000007E-2</v>
      </c>
      <c r="AB49" s="690">
        <f t="shared" si="34"/>
        <v>7.0000000000000007E-2</v>
      </c>
      <c r="AD49" s="408"/>
      <c r="AE49" s="357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V49" s="700" t="str">
        <f t="shared" ref="AV49" si="35">MID(E49,1,7)</f>
        <v>TRABDLM</v>
      </c>
      <c r="AW49" s="568">
        <f>SUM(AX49:BL49)</f>
        <v>0</v>
      </c>
      <c r="AX49" s="708">
        <f>N$53*N$54*N49/N$50/1000</f>
        <v>0</v>
      </c>
      <c r="AY49" s="35">
        <f t="shared" ref="AY49" si="36">O$53*O$54*O49/O$50/1000</f>
        <v>0</v>
      </c>
      <c r="AZ49" s="35">
        <f t="shared" ref="AZ49" si="37">P$53*P$54*P49/P$50/1000</f>
        <v>0</v>
      </c>
      <c r="BA49" s="35">
        <f t="shared" ref="BA49" si="38">Q$53*Q$54*Q49/Q$50/1000</f>
        <v>0</v>
      </c>
      <c r="BB49" s="35">
        <f t="shared" ref="BB49" si="39">R$53*R$54*R49/R$50/1000</f>
        <v>0</v>
      </c>
      <c r="BC49" s="35">
        <f t="shared" ref="BC49" si="40">S$53*S$54*S49/S$50/1000</f>
        <v>0</v>
      </c>
      <c r="BD49" s="35">
        <f t="shared" ref="BD49" si="41">T$53*T$54*T49/T$50/1000</f>
        <v>0</v>
      </c>
      <c r="BE49" s="35">
        <f t="shared" ref="BE49" si="42">U$53*U$54*U49/U$50/1000</f>
        <v>0</v>
      </c>
      <c r="BF49" s="35">
        <f t="shared" ref="BF49" si="43">V$53*V$54*V49/V$50/1000</f>
        <v>0</v>
      </c>
      <c r="BG49" s="35">
        <f t="shared" ref="BG49" si="44">W$53*W$54*W49/W$50/1000</f>
        <v>0</v>
      </c>
      <c r="BH49" s="35">
        <f t="shared" ref="BH49" si="45">X$53*X$54*X49/X$50/1000</f>
        <v>0</v>
      </c>
      <c r="BI49" s="35">
        <f t="shared" ref="BI49" si="46">Y$53*Y$54*Y49/Y$50/1000</f>
        <v>0</v>
      </c>
      <c r="BJ49" s="708">
        <f t="shared" ref="BJ49" si="47">Z$53*Z$54*Z49/Z$50/1000</f>
        <v>0</v>
      </c>
      <c r="BK49" s="708">
        <f t="shared" ref="BK49" si="48">AA$53*AA$54*AA49/AA$50/1000</f>
        <v>0</v>
      </c>
      <c r="BL49" s="708">
        <f t="shared" ref="BL49" si="49">AB$53*AB$54*AB49/AB$50/1000</f>
        <v>0</v>
      </c>
    </row>
    <row r="50" spans="1:64" s="83" customFormat="1" x14ac:dyDescent="0.25">
      <c r="B50" s="178" t="str">
        <f t="shared" si="33"/>
        <v>TBUSDST100</v>
      </c>
      <c r="C50" s="178"/>
      <c r="D50" s="179"/>
      <c r="E50" s="178"/>
      <c r="F50" s="182"/>
      <c r="G50" s="180" t="s">
        <v>415</v>
      </c>
      <c r="H50" s="182"/>
      <c r="I50" s="183"/>
      <c r="J50" s="184"/>
      <c r="K50" s="184"/>
      <c r="L50" s="184" t="s">
        <v>1126</v>
      </c>
      <c r="M50" s="178" t="s">
        <v>678</v>
      </c>
      <c r="N50" s="690">
        <f>T_CEFF!H110</f>
        <v>6.6669999999999993E-2</v>
      </c>
      <c r="O50" s="690">
        <f>T_CEFF!I110</f>
        <v>6.6669999999999993E-2</v>
      </c>
      <c r="P50" s="690">
        <f>T_CEFF!J110</f>
        <v>6.6669999999999993E-2</v>
      </c>
      <c r="Q50" s="690">
        <f>T_CEFF!K110</f>
        <v>6.6669999999999993E-2</v>
      </c>
      <c r="R50" s="690">
        <f>T_CEFF!L110</f>
        <v>6.6669999999999993E-2</v>
      </c>
      <c r="S50" s="690">
        <f>T_CEFF!M110</f>
        <v>6.6669999999999993E-2</v>
      </c>
      <c r="T50" s="690">
        <f>T_CEFF!N110</f>
        <v>6.6669999999999993E-2</v>
      </c>
      <c r="U50" s="690">
        <f>T_CEFF!O110</f>
        <v>6.6669999999999993E-2</v>
      </c>
      <c r="V50" s="690">
        <f>T_CEFF!P110</f>
        <v>6.6669999999999993E-2</v>
      </c>
      <c r="W50" s="690">
        <f>T_CEFF!Q110</f>
        <v>6.6669999999999993E-2</v>
      </c>
      <c r="X50" s="690">
        <f>T_CEFF!R110</f>
        <v>6.6669999999999993E-2</v>
      </c>
      <c r="Y50" s="690">
        <f>T_CEFF!S110</f>
        <v>6.6669999999999993E-2</v>
      </c>
      <c r="Z50" s="690">
        <f>T_CEFF!T110</f>
        <v>6.6669999999999993E-2</v>
      </c>
      <c r="AA50" s="690">
        <f>T_CEFF!U110</f>
        <v>6.6669999999999993E-2</v>
      </c>
      <c r="AB50" s="690">
        <f>T_CEFF!V110</f>
        <v>6.6669999999999993E-2</v>
      </c>
      <c r="AE50" s="357"/>
      <c r="AV50" s="700" t="str">
        <f t="shared" si="20"/>
        <v/>
      </c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</row>
    <row r="51" spans="1:64" s="83" customFormat="1" x14ac:dyDescent="0.25">
      <c r="B51" s="178" t="str">
        <f t="shared" si="33"/>
        <v>TBUSDST100</v>
      </c>
      <c r="C51" s="178"/>
      <c r="D51" s="179"/>
      <c r="E51" s="178"/>
      <c r="F51" s="182"/>
      <c r="G51" s="180" t="s">
        <v>593</v>
      </c>
      <c r="H51" s="182"/>
      <c r="I51" s="183"/>
      <c r="J51" s="184"/>
      <c r="K51" s="184"/>
      <c r="L51" s="184" t="s">
        <v>1126</v>
      </c>
      <c r="M51" s="178" t="s">
        <v>678</v>
      </c>
      <c r="N51" s="690">
        <f>T_CEFF!H111</f>
        <v>6.6669999999999993E-2</v>
      </c>
      <c r="O51" s="690">
        <f>T_CEFF!I111</f>
        <v>6.6669999999999993E-2</v>
      </c>
      <c r="P51" s="690">
        <f>T_CEFF!J111</f>
        <v>6.6669999999999993E-2</v>
      </c>
      <c r="Q51" s="690">
        <f>T_CEFF!K111</f>
        <v>6.6669999999999993E-2</v>
      </c>
      <c r="R51" s="690">
        <f>T_CEFF!L111</f>
        <v>6.6669999999999993E-2</v>
      </c>
      <c r="S51" s="690">
        <f>T_CEFF!M111</f>
        <v>6.6669999999999993E-2</v>
      </c>
      <c r="T51" s="690">
        <f>T_CEFF!N111</f>
        <v>6.6669999999999993E-2</v>
      </c>
      <c r="U51" s="690">
        <f>T_CEFF!O111</f>
        <v>6.6669999999999993E-2</v>
      </c>
      <c r="V51" s="690">
        <f>T_CEFF!P111</f>
        <v>6.6669999999999993E-2</v>
      </c>
      <c r="W51" s="690">
        <f>T_CEFF!Q111</f>
        <v>6.6669999999999993E-2</v>
      </c>
      <c r="X51" s="690">
        <f>T_CEFF!R111</f>
        <v>6.6669999999999993E-2</v>
      </c>
      <c r="Y51" s="690">
        <f>T_CEFF!S111</f>
        <v>6.6669999999999993E-2</v>
      </c>
      <c r="Z51" s="690">
        <f>T_CEFF!T111</f>
        <v>6.6669999999999993E-2</v>
      </c>
      <c r="AA51" s="690">
        <f>T_CEFF!U111</f>
        <v>6.6669999999999993E-2</v>
      </c>
      <c r="AB51" s="690">
        <f>T_CEFF!V111</f>
        <v>6.6669999999999993E-2</v>
      </c>
      <c r="AE51" s="357"/>
      <c r="AV51" s="700" t="str">
        <f t="shared" si="20"/>
        <v/>
      </c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</row>
    <row r="52" spans="1:64" s="83" customFormat="1" x14ac:dyDescent="0.25">
      <c r="B52" s="178" t="str">
        <f t="shared" si="33"/>
        <v>TBUSDST100</v>
      </c>
      <c r="C52" s="178"/>
      <c r="D52" s="179"/>
      <c r="E52" s="178"/>
      <c r="F52" s="182"/>
      <c r="G52" s="181"/>
      <c r="H52" s="182"/>
      <c r="I52" s="183"/>
      <c r="J52" s="184"/>
      <c r="K52" s="184" t="s">
        <v>749</v>
      </c>
      <c r="L52" s="184" t="s">
        <v>1128</v>
      </c>
      <c r="M52" s="186" t="s">
        <v>1159</v>
      </c>
      <c r="N52" s="691">
        <f t="shared" ref="N52:AB52" si="50">N$16</f>
        <v>0</v>
      </c>
      <c r="O52" s="691">
        <f t="shared" si="50"/>
        <v>0</v>
      </c>
      <c r="P52" s="691">
        <f t="shared" si="50"/>
        <v>0</v>
      </c>
      <c r="Q52" s="691">
        <f t="shared" si="50"/>
        <v>0</v>
      </c>
      <c r="R52" s="691">
        <f t="shared" si="50"/>
        <v>0</v>
      </c>
      <c r="S52" s="691">
        <f t="shared" si="50"/>
        <v>0</v>
      </c>
      <c r="T52" s="691">
        <f t="shared" si="50"/>
        <v>0</v>
      </c>
      <c r="U52" s="691">
        <f t="shared" si="50"/>
        <v>0</v>
      </c>
      <c r="V52" s="691">
        <f t="shared" si="50"/>
        <v>0</v>
      </c>
      <c r="W52" s="691">
        <f t="shared" si="50"/>
        <v>0</v>
      </c>
      <c r="X52" s="691">
        <f t="shared" si="50"/>
        <v>0</v>
      </c>
      <c r="Y52" s="691">
        <f t="shared" si="50"/>
        <v>0</v>
      </c>
      <c r="Z52" s="691">
        <f t="shared" si="50"/>
        <v>0</v>
      </c>
      <c r="AA52" s="691">
        <f t="shared" si="50"/>
        <v>0</v>
      </c>
      <c r="AB52" s="691">
        <f t="shared" si="50"/>
        <v>0</v>
      </c>
      <c r="AE52" s="357"/>
      <c r="AV52" s="700" t="str">
        <f t="shared" si="20"/>
        <v/>
      </c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</row>
    <row r="53" spans="1:64" s="83" customFormat="1" x14ac:dyDescent="0.25">
      <c r="B53" s="178" t="str">
        <f t="shared" si="33"/>
        <v>TBUSDST100</v>
      </c>
      <c r="C53" s="178"/>
      <c r="D53" s="179"/>
      <c r="E53" s="178"/>
      <c r="F53" s="182"/>
      <c r="G53" s="181"/>
      <c r="H53" s="182"/>
      <c r="I53" s="183"/>
      <c r="J53" s="184"/>
      <c r="K53" s="184"/>
      <c r="L53" s="203" t="s">
        <v>1130</v>
      </c>
      <c r="M53" s="178" t="s">
        <v>1131</v>
      </c>
      <c r="N53" s="389">
        <f>LOOKUP($C$47, T_NCAP_AF!$C$95:$C$105, T_NCAP_AF!D$95:D$105)*(1+N29)</f>
        <v>0</v>
      </c>
      <c r="O53" s="389">
        <f>LOOKUP($C$47, T_NCAP_AF!$C$95:$C$105, T_NCAP_AF!E$95:E$105)*(1+O29)</f>
        <v>0</v>
      </c>
      <c r="P53" s="389">
        <f>LOOKUP($C$47, T_NCAP_AF!$C$95:$C$105, T_NCAP_AF!F$95:F$105)*(1+P29)</f>
        <v>0</v>
      </c>
      <c r="Q53" s="389">
        <f>LOOKUP($C$47, T_NCAP_AF!$C$95:$C$105, T_NCAP_AF!G$95:G$105)*(1+Q29)</f>
        <v>0</v>
      </c>
      <c r="R53" s="389">
        <f>LOOKUP($C$47, T_NCAP_AF!$C$95:$C$105, T_NCAP_AF!H$95:H$105)*(1+R29)</f>
        <v>0</v>
      </c>
      <c r="S53" s="389">
        <f>LOOKUP($C$47, T_NCAP_AF!$C$95:$C$105, T_NCAP_AF!I$95:I$105)*(1+S29)</f>
        <v>0</v>
      </c>
      <c r="T53" s="389">
        <f>LOOKUP($C$47, T_NCAP_AF!$C$95:$C$105, T_NCAP_AF!J$95:J$105)*(1+T29)</f>
        <v>0</v>
      </c>
      <c r="U53" s="389">
        <f>LOOKUP($C$47, T_NCAP_AF!$C$95:$C$105, T_NCAP_AF!K$95:K$105)*(1+U29)</f>
        <v>0</v>
      </c>
      <c r="V53" s="389">
        <f>LOOKUP($C$47, T_NCAP_AF!$C$95:$C$105, T_NCAP_AF!L$95:L$105)*(1+V29)</f>
        <v>0</v>
      </c>
      <c r="W53" s="389">
        <f>LOOKUP($C$47, T_NCAP_AF!$C$95:$C$105, T_NCAP_AF!M$95:M$105)*(1+W29)</f>
        <v>0</v>
      </c>
      <c r="X53" s="389">
        <f>LOOKUP($C$47, T_NCAP_AF!$C$95:$C$105, T_NCAP_AF!N$95:N$105)*(1+X29)</f>
        <v>0</v>
      </c>
      <c r="Y53" s="389">
        <f>LOOKUP($C$47, T_NCAP_AF!$C$95:$C$105, T_NCAP_AF!O$95:O$105)*(1+Y29)</f>
        <v>0</v>
      </c>
      <c r="Z53" s="389">
        <f>LOOKUP($C$47, T_NCAP_AF!$C$95:$C$105, T_NCAP_AF!P$95:P$105)*(1+Z29)</f>
        <v>0</v>
      </c>
      <c r="AA53" s="389">
        <f>LOOKUP($C$47, T_NCAP_AF!$C$95:$C$105, T_NCAP_AF!Q$95:Q$105)*(1+AA29)</f>
        <v>0</v>
      </c>
      <c r="AB53" s="389">
        <f>LOOKUP($C$47, T_NCAP_AF!$C$95:$C$105, T_NCAP_AF!R$95:R$105)*(1+AB29)</f>
        <v>0</v>
      </c>
      <c r="AE53" s="572">
        <f>SUM(AF53:AT53)</f>
        <v>0</v>
      </c>
      <c r="AF53" s="85">
        <f t="shared" ref="AF53:AT53" si="51">N52*N53*N54/1000</f>
        <v>0</v>
      </c>
      <c r="AG53" s="85">
        <f t="shared" si="51"/>
        <v>0</v>
      </c>
      <c r="AH53" s="85">
        <f t="shared" si="51"/>
        <v>0</v>
      </c>
      <c r="AI53" s="85">
        <f t="shared" si="51"/>
        <v>0</v>
      </c>
      <c r="AJ53" s="85">
        <f t="shared" si="51"/>
        <v>0</v>
      </c>
      <c r="AK53" s="85">
        <f t="shared" si="51"/>
        <v>0</v>
      </c>
      <c r="AL53" s="85">
        <f t="shared" si="51"/>
        <v>0</v>
      </c>
      <c r="AM53" s="85">
        <f t="shared" si="51"/>
        <v>0</v>
      </c>
      <c r="AN53" s="85">
        <f t="shared" si="51"/>
        <v>0</v>
      </c>
      <c r="AO53" s="85">
        <f t="shared" si="51"/>
        <v>0</v>
      </c>
      <c r="AP53" s="85">
        <f t="shared" si="51"/>
        <v>0</v>
      </c>
      <c r="AQ53" s="85">
        <f t="shared" si="51"/>
        <v>0</v>
      </c>
      <c r="AR53" s="85">
        <f t="shared" si="51"/>
        <v>0</v>
      </c>
      <c r="AS53" s="85">
        <f t="shared" si="51"/>
        <v>0</v>
      </c>
      <c r="AT53" s="85">
        <f t="shared" si="51"/>
        <v>0</v>
      </c>
      <c r="AV53" s="700" t="str">
        <f t="shared" si="20"/>
        <v/>
      </c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</row>
    <row r="54" spans="1:64" s="83" customFormat="1" x14ac:dyDescent="0.25">
      <c r="B54" s="178" t="str">
        <f t="shared" si="33"/>
        <v>TBUSDST100</v>
      </c>
      <c r="C54" s="178"/>
      <c r="D54" s="179"/>
      <c r="E54" s="178"/>
      <c r="F54" s="182"/>
      <c r="G54" s="181"/>
      <c r="H54" s="182"/>
      <c r="I54" s="183">
        <f>$M$3</f>
        <v>2019</v>
      </c>
      <c r="J54" s="184"/>
      <c r="K54" s="184"/>
      <c r="L54" s="203" t="s">
        <v>1065</v>
      </c>
      <c r="M54" s="178" t="s">
        <v>748</v>
      </c>
      <c r="N54" s="687">
        <f>LOOKUP($C$47, T_Stock_Private!$C$58:$C$68, T_Stock_Private!D$58:D$68)*(1+N30)</f>
        <v>0</v>
      </c>
      <c r="O54" s="687">
        <f>LOOKUP($C$47, T_Stock_Private!$C$58:$C$68, T_Stock_Private!E$58:E$68)*(1+O30)</f>
        <v>0</v>
      </c>
      <c r="P54" s="687">
        <f>LOOKUP($C$47, T_Stock_Private!$C$58:$C$68, T_Stock_Private!F$58:F$68)*(1+P30)</f>
        <v>0</v>
      </c>
      <c r="Q54" s="687">
        <f>LOOKUP($C$47, T_Stock_Private!$C$58:$C$68, T_Stock_Private!G$58:G$68)*(1+Q30)</f>
        <v>0</v>
      </c>
      <c r="R54" s="687">
        <f>LOOKUP($C$47, T_Stock_Private!$C$58:$C$68, T_Stock_Private!H$58:H$68)*(1+R30)</f>
        <v>0</v>
      </c>
      <c r="S54" s="687">
        <f>LOOKUP($C$47, T_Stock_Private!$C$58:$C$68, T_Stock_Private!I$58:I$68)*(1+S30)</f>
        <v>0</v>
      </c>
      <c r="T54" s="687">
        <f>LOOKUP($C$47, T_Stock_Private!$C$58:$C$68, T_Stock_Private!J$58:J$68)*(1+T30)</f>
        <v>0</v>
      </c>
      <c r="U54" s="687">
        <f>LOOKUP($C$47, T_Stock_Private!$C$58:$C$68, T_Stock_Private!K$58:K$68)*(1+U30)</f>
        <v>0</v>
      </c>
      <c r="V54" s="687">
        <f>LOOKUP($C$47, T_Stock_Private!$C$58:$C$68, T_Stock_Private!L$58:L$68)*(1+V30)</f>
        <v>0</v>
      </c>
      <c r="W54" s="687">
        <f>LOOKUP($C$47, T_Stock_Private!$C$58:$C$68, T_Stock_Private!M$58:M$68)*(1+W30)</f>
        <v>0</v>
      </c>
      <c r="X54" s="687">
        <f>LOOKUP($C$47, T_Stock_Private!$C$58:$C$68, T_Stock_Private!N$58:N$68)*(1+X30)</f>
        <v>0</v>
      </c>
      <c r="Y54" s="687">
        <f>LOOKUP($C$47, T_Stock_Private!$C$58:$C$68, T_Stock_Private!O$58:O$68)*(1+Y30)</f>
        <v>0</v>
      </c>
      <c r="Z54" s="687">
        <f>LOOKUP($C$47, T_Stock_Private!$C$58:$C$68, T_Stock_Private!P$58:P$68)*(1+Z30)</f>
        <v>0</v>
      </c>
      <c r="AA54" s="687">
        <f>LOOKUP($C$47, T_Stock_Private!$C$58:$C$68, T_Stock_Private!Q$58:Q$68)*(1+AA30)</f>
        <v>0</v>
      </c>
      <c r="AB54" s="687">
        <f>LOOKUP($C$47, T_Stock_Private!$C$58:$C$68, T_Stock_Private!R$58:R$68)*(1+AB30)</f>
        <v>0</v>
      </c>
      <c r="AC54" s="89"/>
      <c r="AE54" s="357"/>
      <c r="AF54" s="89"/>
      <c r="AV54" s="700" t="str">
        <f t="shared" si="20"/>
        <v/>
      </c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</row>
    <row r="55" spans="1:64" s="83" customFormat="1" x14ac:dyDescent="0.25">
      <c r="B55" s="178" t="str">
        <f t="shared" si="33"/>
        <v>TBUSDST100</v>
      </c>
      <c r="C55" s="178"/>
      <c r="D55" s="179"/>
      <c r="E55" s="178"/>
      <c r="F55" s="182"/>
      <c r="G55" s="181"/>
      <c r="H55" s="182"/>
      <c r="I55" s="183">
        <f>AF$5</f>
        <v>2020</v>
      </c>
      <c r="J55" s="184"/>
      <c r="K55" s="184"/>
      <c r="L55" s="203" t="s">
        <v>1065</v>
      </c>
      <c r="M55" s="178" t="s">
        <v>748</v>
      </c>
      <c r="N55" s="687">
        <f t="shared" ref="N55:AB55" si="52">N54*LOOKUP($AD47,$AG$4:$AP$4,$AG$5:$AP$5)</f>
        <v>0</v>
      </c>
      <c r="O55" s="687">
        <f t="shared" si="52"/>
        <v>0</v>
      </c>
      <c r="P55" s="687">
        <f t="shared" si="52"/>
        <v>0</v>
      </c>
      <c r="Q55" s="687">
        <f t="shared" si="52"/>
        <v>0</v>
      </c>
      <c r="R55" s="687">
        <f t="shared" si="52"/>
        <v>0</v>
      </c>
      <c r="S55" s="687">
        <f t="shared" si="52"/>
        <v>0</v>
      </c>
      <c r="T55" s="687">
        <f t="shared" si="52"/>
        <v>0</v>
      </c>
      <c r="U55" s="687">
        <f t="shared" si="52"/>
        <v>0</v>
      </c>
      <c r="V55" s="687">
        <f t="shared" si="52"/>
        <v>0</v>
      </c>
      <c r="W55" s="687">
        <f t="shared" si="52"/>
        <v>0</v>
      </c>
      <c r="X55" s="687">
        <f t="shared" si="52"/>
        <v>0</v>
      </c>
      <c r="Y55" s="687">
        <f t="shared" si="52"/>
        <v>0</v>
      </c>
      <c r="Z55" s="687">
        <f t="shared" si="52"/>
        <v>0</v>
      </c>
      <c r="AA55" s="687">
        <f t="shared" si="52"/>
        <v>0</v>
      </c>
      <c r="AB55" s="687">
        <f t="shared" si="52"/>
        <v>0</v>
      </c>
      <c r="AE55" s="357"/>
      <c r="AF55" s="89"/>
      <c r="AV55" s="700" t="str">
        <f t="shared" si="20"/>
        <v/>
      </c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</row>
    <row r="56" spans="1:64" s="83" customFormat="1" x14ac:dyDescent="0.25">
      <c r="B56" s="178" t="str">
        <f t="shared" si="33"/>
        <v>TBUSDST100</v>
      </c>
      <c r="C56" s="178"/>
      <c r="D56" s="179"/>
      <c r="E56" s="178"/>
      <c r="F56" s="182"/>
      <c r="G56" s="181"/>
      <c r="H56" s="182"/>
      <c r="I56" s="183">
        <f>AF$6</f>
        <v>2025</v>
      </c>
      <c r="J56" s="184"/>
      <c r="K56" s="184"/>
      <c r="L56" s="203" t="s">
        <v>1065</v>
      </c>
      <c r="M56" s="178" t="s">
        <v>748</v>
      </c>
      <c r="N56" s="687">
        <f t="shared" ref="N56:AB56" si="53">N54*LOOKUP($AD47,$AG$4:$AP$4,$AG$6:$AP$6)</f>
        <v>0</v>
      </c>
      <c r="O56" s="687">
        <f t="shared" si="53"/>
        <v>0</v>
      </c>
      <c r="P56" s="687">
        <f t="shared" si="53"/>
        <v>0</v>
      </c>
      <c r="Q56" s="687">
        <f t="shared" si="53"/>
        <v>0</v>
      </c>
      <c r="R56" s="687">
        <f t="shared" si="53"/>
        <v>0</v>
      </c>
      <c r="S56" s="687">
        <f t="shared" si="53"/>
        <v>0</v>
      </c>
      <c r="T56" s="687">
        <f t="shared" si="53"/>
        <v>0</v>
      </c>
      <c r="U56" s="687">
        <f t="shared" si="53"/>
        <v>0</v>
      </c>
      <c r="V56" s="687">
        <f t="shared" si="53"/>
        <v>0</v>
      </c>
      <c r="W56" s="687">
        <f t="shared" si="53"/>
        <v>0</v>
      </c>
      <c r="X56" s="687">
        <f t="shared" si="53"/>
        <v>0</v>
      </c>
      <c r="Y56" s="687">
        <f t="shared" si="53"/>
        <v>0</v>
      </c>
      <c r="Z56" s="687">
        <f t="shared" si="53"/>
        <v>0</v>
      </c>
      <c r="AA56" s="687">
        <f t="shared" si="53"/>
        <v>0</v>
      </c>
      <c r="AB56" s="687">
        <f t="shared" si="53"/>
        <v>0</v>
      </c>
      <c r="AE56" s="357"/>
      <c r="AF56" s="89"/>
      <c r="AV56" s="700" t="str">
        <f t="shared" si="20"/>
        <v/>
      </c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</row>
    <row r="57" spans="1:64" s="83" customFormat="1" x14ac:dyDescent="0.25">
      <c r="B57" s="178" t="str">
        <f t="shared" si="33"/>
        <v>TBUSDST100</v>
      </c>
      <c r="C57" s="178"/>
      <c r="D57" s="179"/>
      <c r="E57" s="178"/>
      <c r="F57" s="182"/>
      <c r="G57" s="181"/>
      <c r="H57" s="182"/>
      <c r="I57" s="183">
        <f>AF$7</f>
        <v>2030</v>
      </c>
      <c r="J57" s="184"/>
      <c r="K57" s="184"/>
      <c r="L57" s="203" t="s">
        <v>1065</v>
      </c>
      <c r="M57" s="178" t="s">
        <v>748</v>
      </c>
      <c r="N57" s="687">
        <f t="shared" ref="N57:AB57" si="54">N54*LOOKUP($AD47,$AG$4:$AP$4,$AG$7:$AP$7)</f>
        <v>0</v>
      </c>
      <c r="O57" s="687">
        <f t="shared" si="54"/>
        <v>0</v>
      </c>
      <c r="P57" s="687">
        <f t="shared" si="54"/>
        <v>0</v>
      </c>
      <c r="Q57" s="687">
        <f t="shared" si="54"/>
        <v>0</v>
      </c>
      <c r="R57" s="687">
        <f t="shared" si="54"/>
        <v>0</v>
      </c>
      <c r="S57" s="687">
        <f t="shared" si="54"/>
        <v>0</v>
      </c>
      <c r="T57" s="687">
        <f t="shared" si="54"/>
        <v>0</v>
      </c>
      <c r="U57" s="687">
        <f t="shared" si="54"/>
        <v>0</v>
      </c>
      <c r="V57" s="687">
        <f t="shared" si="54"/>
        <v>0</v>
      </c>
      <c r="W57" s="687">
        <f t="shared" si="54"/>
        <v>0</v>
      </c>
      <c r="X57" s="687">
        <f t="shared" si="54"/>
        <v>0</v>
      </c>
      <c r="Y57" s="687">
        <f t="shared" si="54"/>
        <v>0</v>
      </c>
      <c r="Z57" s="687">
        <f t="shared" si="54"/>
        <v>0</v>
      </c>
      <c r="AA57" s="687">
        <f t="shared" si="54"/>
        <v>0</v>
      </c>
      <c r="AB57" s="687">
        <f t="shared" si="54"/>
        <v>0</v>
      </c>
      <c r="AE57" s="357"/>
      <c r="AF57" s="89"/>
      <c r="AV57" s="700" t="str">
        <f t="shared" si="20"/>
        <v/>
      </c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</row>
    <row r="58" spans="1:64" s="83" customFormat="1" x14ac:dyDescent="0.25">
      <c r="B58" s="178" t="str">
        <f t="shared" si="33"/>
        <v>TBUSDST100</v>
      </c>
      <c r="C58" s="178"/>
      <c r="D58" s="179"/>
      <c r="E58" s="178"/>
      <c r="F58" s="182"/>
      <c r="G58" s="181"/>
      <c r="H58" s="182"/>
      <c r="I58" s="183">
        <f>AF$8</f>
        <v>2035</v>
      </c>
      <c r="J58" s="184"/>
      <c r="K58" s="184"/>
      <c r="L58" s="203" t="s">
        <v>1065</v>
      </c>
      <c r="M58" s="178" t="s">
        <v>748</v>
      </c>
      <c r="N58" s="687">
        <f t="shared" ref="N58:AB58" si="55">N54*LOOKUP($AD47,$AG$4:$AP$4,$AG$8:$AP$8)</f>
        <v>0</v>
      </c>
      <c r="O58" s="687">
        <f t="shared" si="55"/>
        <v>0</v>
      </c>
      <c r="P58" s="687">
        <f t="shared" si="55"/>
        <v>0</v>
      </c>
      <c r="Q58" s="687">
        <f t="shared" si="55"/>
        <v>0</v>
      </c>
      <c r="R58" s="687">
        <f t="shared" si="55"/>
        <v>0</v>
      </c>
      <c r="S58" s="687">
        <f t="shared" si="55"/>
        <v>0</v>
      </c>
      <c r="T58" s="687">
        <f t="shared" si="55"/>
        <v>0</v>
      </c>
      <c r="U58" s="687">
        <f t="shared" si="55"/>
        <v>0</v>
      </c>
      <c r="V58" s="687">
        <f t="shared" si="55"/>
        <v>0</v>
      </c>
      <c r="W58" s="687">
        <f t="shared" si="55"/>
        <v>0</v>
      </c>
      <c r="X58" s="687">
        <f t="shared" si="55"/>
        <v>0</v>
      </c>
      <c r="Y58" s="687">
        <f t="shared" si="55"/>
        <v>0</v>
      </c>
      <c r="Z58" s="687">
        <f t="shared" si="55"/>
        <v>0</v>
      </c>
      <c r="AA58" s="687">
        <f t="shared" si="55"/>
        <v>0</v>
      </c>
      <c r="AB58" s="687">
        <f t="shared" si="55"/>
        <v>0</v>
      </c>
      <c r="AE58" s="357"/>
      <c r="AF58" s="89"/>
      <c r="AV58" s="700" t="str">
        <f t="shared" si="20"/>
        <v/>
      </c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</row>
    <row r="59" spans="1:64" s="83" customFormat="1" x14ac:dyDescent="0.25">
      <c r="B59" s="178" t="str">
        <f t="shared" si="33"/>
        <v>TBUSDST100</v>
      </c>
      <c r="C59" s="178"/>
      <c r="D59" s="179"/>
      <c r="E59" s="178"/>
      <c r="F59" s="182"/>
      <c r="G59" s="181"/>
      <c r="H59" s="182"/>
      <c r="I59" s="183">
        <f>AF$9</f>
        <v>2040</v>
      </c>
      <c r="J59" s="184"/>
      <c r="K59" s="184"/>
      <c r="L59" s="203" t="s">
        <v>1065</v>
      </c>
      <c r="M59" s="178" t="s">
        <v>748</v>
      </c>
      <c r="N59" s="687">
        <f t="shared" ref="N59:AB59" si="56">N54*LOOKUP($AD47,$AG$4:$AP$4,$AG$9:$AP$9)</f>
        <v>0</v>
      </c>
      <c r="O59" s="687">
        <f t="shared" si="56"/>
        <v>0</v>
      </c>
      <c r="P59" s="687">
        <f t="shared" si="56"/>
        <v>0</v>
      </c>
      <c r="Q59" s="687">
        <f t="shared" si="56"/>
        <v>0</v>
      </c>
      <c r="R59" s="687">
        <f t="shared" si="56"/>
        <v>0</v>
      </c>
      <c r="S59" s="687">
        <f t="shared" si="56"/>
        <v>0</v>
      </c>
      <c r="T59" s="687">
        <f t="shared" si="56"/>
        <v>0</v>
      </c>
      <c r="U59" s="687">
        <f t="shared" si="56"/>
        <v>0</v>
      </c>
      <c r="V59" s="687">
        <f t="shared" si="56"/>
        <v>0</v>
      </c>
      <c r="W59" s="687">
        <f t="shared" si="56"/>
        <v>0</v>
      </c>
      <c r="X59" s="687">
        <f t="shared" si="56"/>
        <v>0</v>
      </c>
      <c r="Y59" s="687">
        <f t="shared" si="56"/>
        <v>0</v>
      </c>
      <c r="Z59" s="687">
        <f t="shared" si="56"/>
        <v>0</v>
      </c>
      <c r="AA59" s="687">
        <f t="shared" si="56"/>
        <v>0</v>
      </c>
      <c r="AB59" s="687">
        <f t="shared" si="56"/>
        <v>0</v>
      </c>
      <c r="AE59" s="357"/>
      <c r="AF59" s="89"/>
      <c r="AV59" s="700" t="str">
        <f t="shared" si="20"/>
        <v/>
      </c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</row>
    <row r="60" spans="1:64" s="83" customFormat="1" x14ac:dyDescent="0.25">
      <c r="B60" s="204" t="str">
        <f t="shared" si="33"/>
        <v>TBUSDST100</v>
      </c>
      <c r="C60" s="204"/>
      <c r="D60" s="205"/>
      <c r="E60" s="204"/>
      <c r="F60" s="206"/>
      <c r="G60" s="207"/>
      <c r="H60" s="206"/>
      <c r="I60" s="208">
        <f>AF$10</f>
        <v>2050</v>
      </c>
      <c r="J60" s="209"/>
      <c r="K60" s="209"/>
      <c r="L60" s="210" t="s">
        <v>1065</v>
      </c>
      <c r="M60" s="204" t="s">
        <v>748</v>
      </c>
      <c r="N60" s="688">
        <f t="shared" ref="N60:AB60" si="57">N54*LOOKUP($AD47,$AG$4:$AP$4,$AG$10:$AP$10)</f>
        <v>0</v>
      </c>
      <c r="O60" s="688">
        <f t="shared" si="57"/>
        <v>0</v>
      </c>
      <c r="P60" s="688">
        <f t="shared" si="57"/>
        <v>0</v>
      </c>
      <c r="Q60" s="688">
        <f t="shared" si="57"/>
        <v>0</v>
      </c>
      <c r="R60" s="688">
        <f t="shared" si="57"/>
        <v>0</v>
      </c>
      <c r="S60" s="688">
        <f t="shared" si="57"/>
        <v>0</v>
      </c>
      <c r="T60" s="688">
        <f t="shared" si="57"/>
        <v>0</v>
      </c>
      <c r="U60" s="688">
        <f t="shared" si="57"/>
        <v>0</v>
      </c>
      <c r="V60" s="688">
        <f t="shared" si="57"/>
        <v>0</v>
      </c>
      <c r="W60" s="688">
        <f t="shared" si="57"/>
        <v>0</v>
      </c>
      <c r="X60" s="688">
        <f t="shared" si="57"/>
        <v>0</v>
      </c>
      <c r="Y60" s="688">
        <f t="shared" si="57"/>
        <v>0</v>
      </c>
      <c r="Z60" s="688">
        <f t="shared" si="57"/>
        <v>0</v>
      </c>
      <c r="AA60" s="688">
        <f t="shared" si="57"/>
        <v>0</v>
      </c>
      <c r="AB60" s="688">
        <f t="shared" si="57"/>
        <v>0</v>
      </c>
      <c r="AD60" s="409"/>
      <c r="AE60" s="357"/>
      <c r="AF60" s="89"/>
      <c r="AV60" s="700" t="str">
        <f t="shared" si="20"/>
        <v/>
      </c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</row>
    <row r="61" spans="1:64" s="83" customFormat="1" x14ac:dyDescent="0.25">
      <c r="A61" s="82"/>
      <c r="B61" s="178" t="str">
        <f>C61</f>
        <v>TBUSELC100</v>
      </c>
      <c r="C61" s="178" t="s">
        <v>327</v>
      </c>
      <c r="D61" s="179" t="s">
        <v>765</v>
      </c>
      <c r="E61" s="407" t="s">
        <v>683</v>
      </c>
      <c r="F61" s="182"/>
      <c r="G61" s="181"/>
      <c r="H61" s="182"/>
      <c r="I61" s="183"/>
      <c r="J61" s="184"/>
      <c r="K61" s="184"/>
      <c r="L61" s="203" t="s">
        <v>1107</v>
      </c>
      <c r="M61" s="184" t="s">
        <v>1156</v>
      </c>
      <c r="N61" s="692">
        <f>N$35</f>
        <v>1E-3</v>
      </c>
      <c r="O61" s="692">
        <f t="shared" ref="O61:AB61" si="58">$N61</f>
        <v>1E-3</v>
      </c>
      <c r="P61" s="692">
        <f t="shared" si="58"/>
        <v>1E-3</v>
      </c>
      <c r="Q61" s="692">
        <f t="shared" si="58"/>
        <v>1E-3</v>
      </c>
      <c r="R61" s="692">
        <f t="shared" si="58"/>
        <v>1E-3</v>
      </c>
      <c r="S61" s="692">
        <f t="shared" si="58"/>
        <v>1E-3</v>
      </c>
      <c r="T61" s="692">
        <f t="shared" si="58"/>
        <v>1E-3</v>
      </c>
      <c r="U61" s="692">
        <f t="shared" si="58"/>
        <v>1E-3</v>
      </c>
      <c r="V61" s="692">
        <f t="shared" si="58"/>
        <v>1E-3</v>
      </c>
      <c r="W61" s="692">
        <f t="shared" si="58"/>
        <v>1E-3</v>
      </c>
      <c r="X61" s="692">
        <f t="shared" si="58"/>
        <v>1E-3</v>
      </c>
      <c r="Y61" s="692">
        <f t="shared" si="58"/>
        <v>1E-3</v>
      </c>
      <c r="Z61" s="692">
        <f t="shared" si="58"/>
        <v>1E-3</v>
      </c>
      <c r="AA61" s="692">
        <f t="shared" si="58"/>
        <v>1E-3</v>
      </c>
      <c r="AB61" s="692">
        <f t="shared" si="58"/>
        <v>1E-3</v>
      </c>
      <c r="AD61" s="86" t="str">
        <f>MID(D61,11,3)</f>
        <v>ELC</v>
      </c>
      <c r="AE61" s="357"/>
      <c r="AF61" s="89"/>
      <c r="AV61" s="700" t="str">
        <f t="shared" si="20"/>
        <v>TRAELC</v>
      </c>
      <c r="AW61" s="568">
        <f t="shared" ref="AW61" si="59">SUM(AX61:BL61)</f>
        <v>0</v>
      </c>
      <c r="AX61" s="568">
        <f>N65*N66/N62/1000</f>
        <v>0</v>
      </c>
      <c r="AY61" s="568">
        <f t="shared" ref="AY61:BL61" si="60">O65*O66/O62/1000</f>
        <v>0</v>
      </c>
      <c r="AZ61" s="568">
        <f t="shared" si="60"/>
        <v>0</v>
      </c>
      <c r="BA61" s="568">
        <f t="shared" si="60"/>
        <v>0</v>
      </c>
      <c r="BB61" s="568">
        <f t="shared" si="60"/>
        <v>0</v>
      </c>
      <c r="BC61" s="568">
        <f t="shared" si="60"/>
        <v>0</v>
      </c>
      <c r="BD61" s="568">
        <f t="shared" si="60"/>
        <v>0</v>
      </c>
      <c r="BE61" s="568">
        <f t="shared" si="60"/>
        <v>0</v>
      </c>
      <c r="BF61" s="568">
        <f t="shared" si="60"/>
        <v>0</v>
      </c>
      <c r="BG61" s="568">
        <f t="shared" si="60"/>
        <v>0</v>
      </c>
      <c r="BH61" s="568">
        <f t="shared" si="60"/>
        <v>0</v>
      </c>
      <c r="BI61" s="568">
        <f t="shared" si="60"/>
        <v>0</v>
      </c>
      <c r="BJ61" s="568">
        <f t="shared" si="60"/>
        <v>0</v>
      </c>
      <c r="BK61" s="568">
        <f t="shared" si="60"/>
        <v>0</v>
      </c>
      <c r="BL61" s="568">
        <f t="shared" si="60"/>
        <v>0</v>
      </c>
    </row>
    <row r="62" spans="1:64" s="83" customFormat="1" x14ac:dyDescent="0.25">
      <c r="B62" s="178" t="str">
        <f>B61</f>
        <v>TBUSELC100</v>
      </c>
      <c r="C62" s="178"/>
      <c r="D62" s="179"/>
      <c r="E62" s="178"/>
      <c r="F62" s="182"/>
      <c r="G62" s="180" t="s">
        <v>415</v>
      </c>
      <c r="H62" s="182"/>
      <c r="I62" s="183"/>
      <c r="J62" s="184"/>
      <c r="K62" s="184"/>
      <c r="L62" s="184" t="s">
        <v>1126</v>
      </c>
      <c r="M62" s="178" t="s">
        <v>678</v>
      </c>
      <c r="N62" s="690">
        <f>T_CEFF!H112</f>
        <v>0.16667000000000001</v>
      </c>
      <c r="O62" s="690">
        <f>T_CEFF!I112</f>
        <v>0.16667000000000001</v>
      </c>
      <c r="P62" s="690">
        <f>T_CEFF!J112</f>
        <v>0.16667000000000001</v>
      </c>
      <c r="Q62" s="690">
        <f>T_CEFF!K112</f>
        <v>0.16667000000000001</v>
      </c>
      <c r="R62" s="690">
        <f>T_CEFF!L112</f>
        <v>0.16667000000000001</v>
      </c>
      <c r="S62" s="690">
        <f>T_CEFF!M112</f>
        <v>0.16667000000000001</v>
      </c>
      <c r="T62" s="690">
        <f>T_CEFF!N112</f>
        <v>0.16667000000000001</v>
      </c>
      <c r="U62" s="690">
        <f>T_CEFF!O112</f>
        <v>0.16667000000000001</v>
      </c>
      <c r="V62" s="690">
        <f>T_CEFF!P112</f>
        <v>0.16667000000000001</v>
      </c>
      <c r="W62" s="690">
        <f>T_CEFF!Q112</f>
        <v>0.16667000000000001</v>
      </c>
      <c r="X62" s="690">
        <f>T_CEFF!R112</f>
        <v>0.16667000000000001</v>
      </c>
      <c r="Y62" s="690">
        <f>T_CEFF!S112</f>
        <v>0.16667000000000001</v>
      </c>
      <c r="Z62" s="690">
        <f>T_CEFF!T112</f>
        <v>0.16667000000000001</v>
      </c>
      <c r="AA62" s="690">
        <f>T_CEFF!U112</f>
        <v>0.16667000000000001</v>
      </c>
      <c r="AB62" s="690">
        <f>T_CEFF!V112</f>
        <v>0.16667000000000001</v>
      </c>
      <c r="AD62" s="408" t="str">
        <f>IF(COUNTIF($AG$4:$AP$4,AD61)=1,"ok","MISSING")</f>
        <v>ok</v>
      </c>
      <c r="AE62" s="357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V62" s="700" t="str">
        <f t="shared" si="20"/>
        <v/>
      </c>
      <c r="AW62" s="568"/>
      <c r="AX62" s="568"/>
      <c r="AY62" s="568"/>
      <c r="AZ62" s="568"/>
      <c r="BA62" s="568"/>
      <c r="BB62" s="568"/>
      <c r="BC62" s="568"/>
      <c r="BD62" s="568"/>
      <c r="BE62" s="568"/>
      <c r="BF62" s="568"/>
      <c r="BG62" s="568"/>
      <c r="BH62" s="568"/>
      <c r="BI62" s="568"/>
      <c r="BJ62" s="568"/>
      <c r="BK62" s="568"/>
      <c r="BL62" s="568"/>
    </row>
    <row r="63" spans="1:64" s="83" customFormat="1" x14ac:dyDescent="0.25">
      <c r="B63" s="178" t="str">
        <f t="shared" ref="B63:B72" si="61">B62</f>
        <v>TBUSELC100</v>
      </c>
      <c r="C63" s="178"/>
      <c r="D63" s="179"/>
      <c r="E63" s="178"/>
      <c r="F63" s="182"/>
      <c r="G63" s="180" t="s">
        <v>593</v>
      </c>
      <c r="H63" s="182"/>
      <c r="I63" s="183"/>
      <c r="J63" s="184"/>
      <c r="K63" s="184"/>
      <c r="L63" s="184" t="s">
        <v>1126</v>
      </c>
      <c r="M63" s="178" t="s">
        <v>678</v>
      </c>
      <c r="N63" s="690">
        <f>T_CEFF!H113</f>
        <v>0.16667000000000001</v>
      </c>
      <c r="O63" s="690">
        <f>T_CEFF!I113</f>
        <v>0.16667000000000001</v>
      </c>
      <c r="P63" s="690">
        <f>T_CEFF!J113</f>
        <v>0.16667000000000001</v>
      </c>
      <c r="Q63" s="690">
        <f>T_CEFF!K113</f>
        <v>0.16667000000000001</v>
      </c>
      <c r="R63" s="690">
        <f>T_CEFF!L113</f>
        <v>0.16667000000000001</v>
      </c>
      <c r="S63" s="690">
        <f>T_CEFF!M113</f>
        <v>0.16667000000000001</v>
      </c>
      <c r="T63" s="690">
        <f>T_CEFF!N113</f>
        <v>0.16667000000000001</v>
      </c>
      <c r="U63" s="690">
        <f>T_CEFF!O113</f>
        <v>0.16667000000000001</v>
      </c>
      <c r="V63" s="690">
        <f>T_CEFF!P113</f>
        <v>0.16667000000000001</v>
      </c>
      <c r="W63" s="690">
        <f>T_CEFF!Q113</f>
        <v>0.16667000000000001</v>
      </c>
      <c r="X63" s="690">
        <f>T_CEFF!R113</f>
        <v>0.16667000000000001</v>
      </c>
      <c r="Y63" s="690">
        <f>T_CEFF!S113</f>
        <v>0.16667000000000001</v>
      </c>
      <c r="Z63" s="690">
        <f>T_CEFF!T113</f>
        <v>0.16667000000000001</v>
      </c>
      <c r="AA63" s="690">
        <f>T_CEFF!U113</f>
        <v>0.16667000000000001</v>
      </c>
      <c r="AB63" s="690">
        <f>T_CEFF!V113</f>
        <v>0.16667000000000001</v>
      </c>
      <c r="AE63" s="357"/>
      <c r="AV63" s="700" t="str">
        <f t="shared" si="20"/>
        <v/>
      </c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</row>
    <row r="64" spans="1:64" s="83" customFormat="1" x14ac:dyDescent="0.25">
      <c r="B64" s="178" t="str">
        <f>B63</f>
        <v>TBUSELC100</v>
      </c>
      <c r="C64" s="178"/>
      <c r="D64" s="179"/>
      <c r="E64" s="178"/>
      <c r="F64" s="182"/>
      <c r="G64" s="181"/>
      <c r="H64" s="182"/>
      <c r="I64" s="183"/>
      <c r="J64" s="184"/>
      <c r="K64" s="184" t="s">
        <v>749</v>
      </c>
      <c r="L64" s="184" t="s">
        <v>1128</v>
      </c>
      <c r="M64" s="186" t="s">
        <v>1159</v>
      </c>
      <c r="N64" s="691">
        <f t="shared" ref="N64:AB64" si="62">N$16</f>
        <v>0</v>
      </c>
      <c r="O64" s="691">
        <f t="shared" si="62"/>
        <v>0</v>
      </c>
      <c r="P64" s="691">
        <f t="shared" si="62"/>
        <v>0</v>
      </c>
      <c r="Q64" s="691">
        <f t="shared" si="62"/>
        <v>0</v>
      </c>
      <c r="R64" s="691">
        <f t="shared" si="62"/>
        <v>0</v>
      </c>
      <c r="S64" s="691">
        <f t="shared" si="62"/>
        <v>0</v>
      </c>
      <c r="T64" s="691">
        <f t="shared" si="62"/>
        <v>0</v>
      </c>
      <c r="U64" s="691">
        <f t="shared" si="62"/>
        <v>0</v>
      </c>
      <c r="V64" s="691">
        <f t="shared" si="62"/>
        <v>0</v>
      </c>
      <c r="W64" s="691">
        <f t="shared" si="62"/>
        <v>0</v>
      </c>
      <c r="X64" s="691">
        <f t="shared" si="62"/>
        <v>0</v>
      </c>
      <c r="Y64" s="691">
        <f t="shared" si="62"/>
        <v>0</v>
      </c>
      <c r="Z64" s="691">
        <f t="shared" si="62"/>
        <v>0</v>
      </c>
      <c r="AA64" s="691">
        <f t="shared" si="62"/>
        <v>0</v>
      </c>
      <c r="AB64" s="691">
        <f t="shared" si="62"/>
        <v>0</v>
      </c>
      <c r="AE64" s="357"/>
      <c r="AV64" s="700" t="str">
        <f t="shared" si="20"/>
        <v/>
      </c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</row>
    <row r="65" spans="1:64" s="83" customFormat="1" x14ac:dyDescent="0.25">
      <c r="B65" s="178" t="str">
        <f t="shared" si="61"/>
        <v>TBUSELC100</v>
      </c>
      <c r="C65" s="178"/>
      <c r="D65" s="179"/>
      <c r="E65" s="178"/>
      <c r="F65" s="182"/>
      <c r="G65" s="181"/>
      <c r="H65" s="182"/>
      <c r="I65" s="183"/>
      <c r="J65" s="184"/>
      <c r="K65" s="184"/>
      <c r="L65" s="203" t="s">
        <v>1130</v>
      </c>
      <c r="M65" s="178" t="s">
        <v>1131</v>
      </c>
      <c r="N65" s="389">
        <f>LOOKUP($C$61, T_NCAP_AF!$C$95:$C$105, T_NCAP_AF!D$95:D$105)*(1+N29)</f>
        <v>0</v>
      </c>
      <c r="O65" s="389">
        <f>LOOKUP($C$61, T_NCAP_AF!$C$95:$C$105, T_NCAP_AF!E$95:E$105)*(1+O29)</f>
        <v>0</v>
      </c>
      <c r="P65" s="389">
        <f>LOOKUP($C$61, T_NCAP_AF!$C$95:$C$105, T_NCAP_AF!F$95:F$105)*(1+P29)</f>
        <v>0</v>
      </c>
      <c r="Q65" s="389">
        <f>LOOKUP($C$61, T_NCAP_AF!$C$95:$C$105, T_NCAP_AF!G$95:G$105)*(1+Q29)</f>
        <v>0</v>
      </c>
      <c r="R65" s="389">
        <f>LOOKUP($C$61, T_NCAP_AF!$C$95:$C$105, T_NCAP_AF!H$95:H$105)*(1+R29)</f>
        <v>0</v>
      </c>
      <c r="S65" s="389">
        <f>LOOKUP($C$61, T_NCAP_AF!$C$95:$C$105, T_NCAP_AF!I$95:I$105)*(1+S29)</f>
        <v>0</v>
      </c>
      <c r="T65" s="389">
        <f>LOOKUP($C$61, T_NCAP_AF!$C$95:$C$105, T_NCAP_AF!J$95:J$105)*(1+T29)</f>
        <v>0</v>
      </c>
      <c r="U65" s="389">
        <f>LOOKUP($C$61, T_NCAP_AF!$C$95:$C$105, T_NCAP_AF!K$95:K$105)*(1+U29)</f>
        <v>0</v>
      </c>
      <c r="V65" s="389">
        <f>LOOKUP($C$61, T_NCAP_AF!$C$95:$C$105, T_NCAP_AF!L$95:L$105)*(1+V29)</f>
        <v>0</v>
      </c>
      <c r="W65" s="389">
        <f>LOOKUP($C$61, T_NCAP_AF!$C$95:$C$105, T_NCAP_AF!M$95:M$105)*(1+W29)</f>
        <v>0</v>
      </c>
      <c r="X65" s="389">
        <f>LOOKUP($C$61, T_NCAP_AF!$C$95:$C$105, T_NCAP_AF!N$95:N$105)*(1+X29)</f>
        <v>0</v>
      </c>
      <c r="Y65" s="389">
        <f>LOOKUP($C$61, T_NCAP_AF!$C$95:$C$105, T_NCAP_AF!O$95:O$105)*(1+Y29)</f>
        <v>0</v>
      </c>
      <c r="Z65" s="389">
        <f>LOOKUP($C$61, T_NCAP_AF!$C$95:$C$105, T_NCAP_AF!P$95:P$105)*(1+Z29)</f>
        <v>0</v>
      </c>
      <c r="AA65" s="389">
        <f>LOOKUP($C$61, T_NCAP_AF!$C$95:$C$105, T_NCAP_AF!Q$95:Q$105)*(1+AA29)</f>
        <v>0</v>
      </c>
      <c r="AB65" s="389">
        <f>LOOKUP($C$61, T_NCAP_AF!$C$95:$C$105, T_NCAP_AF!R$95:R$105)*(1+AB29)</f>
        <v>0</v>
      </c>
      <c r="AE65" s="572">
        <f>SUM(AF65:AT65)</f>
        <v>0</v>
      </c>
      <c r="AF65" s="85">
        <f t="shared" ref="AF65:AT65" si="63">N64*N65*N66/1000</f>
        <v>0</v>
      </c>
      <c r="AG65" s="85">
        <f t="shared" si="63"/>
        <v>0</v>
      </c>
      <c r="AH65" s="85">
        <f t="shared" si="63"/>
        <v>0</v>
      </c>
      <c r="AI65" s="85">
        <f t="shared" si="63"/>
        <v>0</v>
      </c>
      <c r="AJ65" s="85">
        <f t="shared" si="63"/>
        <v>0</v>
      </c>
      <c r="AK65" s="85">
        <f t="shared" si="63"/>
        <v>0</v>
      </c>
      <c r="AL65" s="85">
        <f t="shared" si="63"/>
        <v>0</v>
      </c>
      <c r="AM65" s="85">
        <f t="shared" si="63"/>
        <v>0</v>
      </c>
      <c r="AN65" s="85">
        <f t="shared" si="63"/>
        <v>0</v>
      </c>
      <c r="AO65" s="85">
        <f t="shared" si="63"/>
        <v>0</v>
      </c>
      <c r="AP65" s="85">
        <f t="shared" si="63"/>
        <v>0</v>
      </c>
      <c r="AQ65" s="85">
        <f t="shared" si="63"/>
        <v>0</v>
      </c>
      <c r="AR65" s="85">
        <f t="shared" si="63"/>
        <v>0</v>
      </c>
      <c r="AS65" s="85">
        <f t="shared" si="63"/>
        <v>0</v>
      </c>
      <c r="AT65" s="85">
        <f t="shared" si="63"/>
        <v>0</v>
      </c>
      <c r="AV65" s="700" t="str">
        <f t="shared" si="20"/>
        <v/>
      </c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</row>
    <row r="66" spans="1:64" s="83" customFormat="1" x14ac:dyDescent="0.25">
      <c r="B66" s="178" t="str">
        <f>B65</f>
        <v>TBUSELC100</v>
      </c>
      <c r="C66" s="178"/>
      <c r="D66" s="179"/>
      <c r="E66" s="178"/>
      <c r="F66" s="182"/>
      <c r="G66" s="181"/>
      <c r="H66" s="182"/>
      <c r="I66" s="183">
        <f>$M$3</f>
        <v>2019</v>
      </c>
      <c r="J66" s="184"/>
      <c r="K66" s="184"/>
      <c r="L66" s="203" t="s">
        <v>1065</v>
      </c>
      <c r="M66" s="178" t="s">
        <v>748</v>
      </c>
      <c r="N66" s="687">
        <f>LOOKUP($C$61, T_Stock_Private!$C$58:$C$68, T_Stock_Private!D$58:D$68)*(1+N30)</f>
        <v>0</v>
      </c>
      <c r="O66" s="687">
        <f>LOOKUP($C$61, T_Stock_Private!$C$58:$C$68, T_Stock_Private!E$58:E$68)*(1+O30)</f>
        <v>0</v>
      </c>
      <c r="P66" s="687">
        <f>LOOKUP($C$61, T_Stock_Private!$C$58:$C$68, T_Stock_Private!F$58:F$68)*(1+P30)</f>
        <v>0</v>
      </c>
      <c r="Q66" s="687">
        <f>LOOKUP($C$61, T_Stock_Private!$C$58:$C$68, T_Stock_Private!G$58:G$68)*(1+Q30)</f>
        <v>0</v>
      </c>
      <c r="R66" s="687">
        <f>LOOKUP($C$61, T_Stock_Private!$C$58:$C$68, T_Stock_Private!H$58:H$68)*(1+R30)</f>
        <v>0</v>
      </c>
      <c r="S66" s="687">
        <f>LOOKUP($C$61, T_Stock_Private!$C$58:$C$68, T_Stock_Private!I$58:I$68)*(1+S30)</f>
        <v>0</v>
      </c>
      <c r="T66" s="687">
        <f>LOOKUP($C$61, T_Stock_Private!$C$58:$C$68, T_Stock_Private!J$58:J$68)*(1+T30)</f>
        <v>0</v>
      </c>
      <c r="U66" s="687">
        <f>LOOKUP($C$61, T_Stock_Private!$C$58:$C$68, T_Stock_Private!K$58:K$68)*(1+U30)</f>
        <v>0</v>
      </c>
      <c r="V66" s="687">
        <f>LOOKUP($C$61, T_Stock_Private!$C$58:$C$68, T_Stock_Private!L$58:L$68)*(1+V30)</f>
        <v>0</v>
      </c>
      <c r="W66" s="687">
        <f>LOOKUP($C$61, T_Stock_Private!$C$58:$C$68, T_Stock_Private!M$58:M$68)*(1+W30)</f>
        <v>0</v>
      </c>
      <c r="X66" s="687">
        <f>LOOKUP($C$61, T_Stock_Private!$C$58:$C$68, T_Stock_Private!N$58:N$68)*(1+X30)</f>
        <v>0</v>
      </c>
      <c r="Y66" s="687">
        <f>LOOKUP($C$61, T_Stock_Private!$C$58:$C$68, T_Stock_Private!O$58:O$68)*(1+Y30)</f>
        <v>0</v>
      </c>
      <c r="Z66" s="687">
        <f>LOOKUP($C$61, T_Stock_Private!$C$58:$C$68, T_Stock_Private!P$58:P$68)*(1+Z30)</f>
        <v>0</v>
      </c>
      <c r="AA66" s="687">
        <f>LOOKUP($C$61, T_Stock_Private!$C$58:$C$68, T_Stock_Private!Q$58:Q$68)*(1+AA30)</f>
        <v>0</v>
      </c>
      <c r="AB66" s="687">
        <f>LOOKUP($C$61, T_Stock_Private!$C$58:$C$68, T_Stock_Private!R$58:R$68)*(1+AB30)</f>
        <v>0</v>
      </c>
      <c r="AC66" s="89"/>
      <c r="AE66" s="357"/>
      <c r="AF66" s="89"/>
      <c r="AV66" s="700" t="str">
        <f t="shared" si="20"/>
        <v/>
      </c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</row>
    <row r="67" spans="1:64" s="83" customFormat="1" x14ac:dyDescent="0.25">
      <c r="B67" s="178" t="str">
        <f t="shared" si="61"/>
        <v>TBUSELC100</v>
      </c>
      <c r="C67" s="178"/>
      <c r="D67" s="179"/>
      <c r="E67" s="178"/>
      <c r="F67" s="182"/>
      <c r="G67" s="181"/>
      <c r="H67" s="182"/>
      <c r="I67" s="183">
        <f>AF$5</f>
        <v>2020</v>
      </c>
      <c r="J67" s="184"/>
      <c r="K67" s="184"/>
      <c r="L67" s="203" t="s">
        <v>1065</v>
      </c>
      <c r="M67" s="178" t="s">
        <v>748</v>
      </c>
      <c r="N67" s="687">
        <f t="shared" ref="N67:AB67" si="64">N66*LOOKUP($AD61,$AG$4:$AP$4,$AG$5:$AP$5)</f>
        <v>0</v>
      </c>
      <c r="O67" s="687">
        <f t="shared" si="64"/>
        <v>0</v>
      </c>
      <c r="P67" s="687">
        <f t="shared" si="64"/>
        <v>0</v>
      </c>
      <c r="Q67" s="687">
        <f t="shared" si="64"/>
        <v>0</v>
      </c>
      <c r="R67" s="687">
        <f t="shared" si="64"/>
        <v>0</v>
      </c>
      <c r="S67" s="687">
        <f t="shared" si="64"/>
        <v>0</v>
      </c>
      <c r="T67" s="687">
        <f t="shared" si="64"/>
        <v>0</v>
      </c>
      <c r="U67" s="687">
        <f t="shared" si="64"/>
        <v>0</v>
      </c>
      <c r="V67" s="687">
        <f t="shared" si="64"/>
        <v>0</v>
      </c>
      <c r="W67" s="687">
        <f t="shared" si="64"/>
        <v>0</v>
      </c>
      <c r="X67" s="687">
        <f t="shared" si="64"/>
        <v>0</v>
      </c>
      <c r="Y67" s="687">
        <f t="shared" si="64"/>
        <v>0</v>
      </c>
      <c r="Z67" s="687">
        <f t="shared" si="64"/>
        <v>0</v>
      </c>
      <c r="AA67" s="687">
        <f t="shared" si="64"/>
        <v>0</v>
      </c>
      <c r="AB67" s="687">
        <f t="shared" si="64"/>
        <v>0</v>
      </c>
      <c r="AE67" s="357"/>
      <c r="AF67" s="89"/>
      <c r="AV67" s="700" t="str">
        <f t="shared" si="20"/>
        <v/>
      </c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</row>
    <row r="68" spans="1:64" s="83" customFormat="1" x14ac:dyDescent="0.25">
      <c r="B68" s="178" t="str">
        <f t="shared" si="61"/>
        <v>TBUSELC100</v>
      </c>
      <c r="C68" s="178"/>
      <c r="D68" s="179"/>
      <c r="E68" s="178"/>
      <c r="F68" s="182"/>
      <c r="G68" s="181"/>
      <c r="H68" s="182"/>
      <c r="I68" s="183">
        <f>AF$6</f>
        <v>2025</v>
      </c>
      <c r="J68" s="184"/>
      <c r="K68" s="184"/>
      <c r="L68" s="203" t="s">
        <v>1065</v>
      </c>
      <c r="M68" s="178" t="s">
        <v>748</v>
      </c>
      <c r="N68" s="687">
        <f t="shared" ref="N68:AB68" si="65">N66*LOOKUP($AD61,$AG$4:$AP$4,$AG$6:$AP$6)</f>
        <v>0</v>
      </c>
      <c r="O68" s="687">
        <f t="shared" si="65"/>
        <v>0</v>
      </c>
      <c r="P68" s="687">
        <f t="shared" si="65"/>
        <v>0</v>
      </c>
      <c r="Q68" s="687">
        <f t="shared" si="65"/>
        <v>0</v>
      </c>
      <c r="R68" s="687">
        <f t="shared" si="65"/>
        <v>0</v>
      </c>
      <c r="S68" s="687">
        <f t="shared" si="65"/>
        <v>0</v>
      </c>
      <c r="T68" s="687">
        <f t="shared" si="65"/>
        <v>0</v>
      </c>
      <c r="U68" s="687">
        <f t="shared" si="65"/>
        <v>0</v>
      </c>
      <c r="V68" s="687">
        <f t="shared" si="65"/>
        <v>0</v>
      </c>
      <c r="W68" s="687">
        <f t="shared" si="65"/>
        <v>0</v>
      </c>
      <c r="X68" s="687">
        <f t="shared" si="65"/>
        <v>0</v>
      </c>
      <c r="Y68" s="687">
        <f t="shared" si="65"/>
        <v>0</v>
      </c>
      <c r="Z68" s="687">
        <f t="shared" si="65"/>
        <v>0</v>
      </c>
      <c r="AA68" s="687">
        <f t="shared" si="65"/>
        <v>0</v>
      </c>
      <c r="AB68" s="687">
        <f t="shared" si="65"/>
        <v>0</v>
      </c>
      <c r="AE68" s="357"/>
      <c r="AF68" s="89"/>
      <c r="AV68" s="700" t="str">
        <f t="shared" si="20"/>
        <v/>
      </c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</row>
    <row r="69" spans="1:64" s="83" customFormat="1" x14ac:dyDescent="0.25">
      <c r="B69" s="178" t="str">
        <f t="shared" si="61"/>
        <v>TBUSELC100</v>
      </c>
      <c r="C69" s="178"/>
      <c r="D69" s="179"/>
      <c r="E69" s="178"/>
      <c r="F69" s="182"/>
      <c r="G69" s="181"/>
      <c r="H69" s="182"/>
      <c r="I69" s="183">
        <f>AF$7</f>
        <v>2030</v>
      </c>
      <c r="J69" s="184"/>
      <c r="K69" s="184"/>
      <c r="L69" s="203" t="s">
        <v>1065</v>
      </c>
      <c r="M69" s="178" t="s">
        <v>748</v>
      </c>
      <c r="N69" s="687">
        <f t="shared" ref="N69:AB69" si="66">N66*LOOKUP($AD61,$AG$4:$AP$4,$AG$7:$AP$7)</f>
        <v>0</v>
      </c>
      <c r="O69" s="687">
        <f t="shared" si="66"/>
        <v>0</v>
      </c>
      <c r="P69" s="687">
        <f t="shared" si="66"/>
        <v>0</v>
      </c>
      <c r="Q69" s="687">
        <f t="shared" si="66"/>
        <v>0</v>
      </c>
      <c r="R69" s="687">
        <f t="shared" si="66"/>
        <v>0</v>
      </c>
      <c r="S69" s="687">
        <f t="shared" si="66"/>
        <v>0</v>
      </c>
      <c r="T69" s="687">
        <f t="shared" si="66"/>
        <v>0</v>
      </c>
      <c r="U69" s="687">
        <f t="shared" si="66"/>
        <v>0</v>
      </c>
      <c r="V69" s="687">
        <f t="shared" si="66"/>
        <v>0</v>
      </c>
      <c r="W69" s="687">
        <f t="shared" si="66"/>
        <v>0</v>
      </c>
      <c r="X69" s="687">
        <f t="shared" si="66"/>
        <v>0</v>
      </c>
      <c r="Y69" s="687">
        <f t="shared" si="66"/>
        <v>0</v>
      </c>
      <c r="Z69" s="687">
        <f t="shared" si="66"/>
        <v>0</v>
      </c>
      <c r="AA69" s="687">
        <f t="shared" si="66"/>
        <v>0</v>
      </c>
      <c r="AB69" s="687">
        <f t="shared" si="66"/>
        <v>0</v>
      </c>
      <c r="AE69" s="357"/>
      <c r="AF69" s="89"/>
      <c r="AV69" s="700" t="str">
        <f t="shared" si="20"/>
        <v/>
      </c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</row>
    <row r="70" spans="1:64" s="83" customFormat="1" x14ac:dyDescent="0.25">
      <c r="B70" s="178" t="str">
        <f t="shared" si="61"/>
        <v>TBUSELC100</v>
      </c>
      <c r="C70" s="178"/>
      <c r="D70" s="179"/>
      <c r="E70" s="178"/>
      <c r="F70" s="182"/>
      <c r="G70" s="181"/>
      <c r="H70" s="182"/>
      <c r="I70" s="183">
        <f>AF$8</f>
        <v>2035</v>
      </c>
      <c r="J70" s="184"/>
      <c r="K70" s="184"/>
      <c r="L70" s="203" t="s">
        <v>1065</v>
      </c>
      <c r="M70" s="178" t="s">
        <v>748</v>
      </c>
      <c r="N70" s="687">
        <f t="shared" ref="N70:AB70" si="67">N66*LOOKUP($AD61,$AG$4:$AP$4,$AG$8:$AP$8)</f>
        <v>0</v>
      </c>
      <c r="O70" s="687">
        <f t="shared" si="67"/>
        <v>0</v>
      </c>
      <c r="P70" s="687">
        <f t="shared" si="67"/>
        <v>0</v>
      </c>
      <c r="Q70" s="687">
        <f t="shared" si="67"/>
        <v>0</v>
      </c>
      <c r="R70" s="687">
        <f t="shared" si="67"/>
        <v>0</v>
      </c>
      <c r="S70" s="687">
        <f t="shared" si="67"/>
        <v>0</v>
      </c>
      <c r="T70" s="687">
        <f t="shared" si="67"/>
        <v>0</v>
      </c>
      <c r="U70" s="687">
        <f t="shared" si="67"/>
        <v>0</v>
      </c>
      <c r="V70" s="687">
        <f t="shared" si="67"/>
        <v>0</v>
      </c>
      <c r="W70" s="687">
        <f t="shared" si="67"/>
        <v>0</v>
      </c>
      <c r="X70" s="687">
        <f t="shared" si="67"/>
        <v>0</v>
      </c>
      <c r="Y70" s="687">
        <f t="shared" si="67"/>
        <v>0</v>
      </c>
      <c r="Z70" s="687">
        <f t="shared" si="67"/>
        <v>0</v>
      </c>
      <c r="AA70" s="687">
        <f t="shared" si="67"/>
        <v>0</v>
      </c>
      <c r="AB70" s="687">
        <f t="shared" si="67"/>
        <v>0</v>
      </c>
      <c r="AE70" s="357"/>
      <c r="AF70" s="89"/>
      <c r="AV70" s="700" t="str">
        <f t="shared" si="20"/>
        <v/>
      </c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</row>
    <row r="71" spans="1:64" s="83" customFormat="1" x14ac:dyDescent="0.25">
      <c r="B71" s="178" t="str">
        <f t="shared" si="61"/>
        <v>TBUSELC100</v>
      </c>
      <c r="C71" s="178"/>
      <c r="D71" s="179"/>
      <c r="E71" s="178"/>
      <c r="F71" s="182"/>
      <c r="G71" s="181"/>
      <c r="H71" s="182"/>
      <c r="I71" s="183">
        <f>AF$9</f>
        <v>2040</v>
      </c>
      <c r="J71" s="184"/>
      <c r="K71" s="184"/>
      <c r="L71" s="203" t="s">
        <v>1065</v>
      </c>
      <c r="M71" s="178" t="s">
        <v>748</v>
      </c>
      <c r="N71" s="687">
        <f t="shared" ref="N71:AB71" si="68">N66*LOOKUP($AD61,$AG$4:$AP$4,$AG$9:$AP$9)</f>
        <v>0</v>
      </c>
      <c r="O71" s="687">
        <f t="shared" si="68"/>
        <v>0</v>
      </c>
      <c r="P71" s="687">
        <f t="shared" si="68"/>
        <v>0</v>
      </c>
      <c r="Q71" s="687">
        <f t="shared" si="68"/>
        <v>0</v>
      </c>
      <c r="R71" s="687">
        <f t="shared" si="68"/>
        <v>0</v>
      </c>
      <c r="S71" s="687">
        <f t="shared" si="68"/>
        <v>0</v>
      </c>
      <c r="T71" s="687">
        <f t="shared" si="68"/>
        <v>0</v>
      </c>
      <c r="U71" s="687">
        <f t="shared" si="68"/>
        <v>0</v>
      </c>
      <c r="V71" s="687">
        <f t="shared" si="68"/>
        <v>0</v>
      </c>
      <c r="W71" s="687">
        <f t="shared" si="68"/>
        <v>0</v>
      </c>
      <c r="X71" s="687">
        <f t="shared" si="68"/>
        <v>0</v>
      </c>
      <c r="Y71" s="687">
        <f t="shared" si="68"/>
        <v>0</v>
      </c>
      <c r="Z71" s="687">
        <f t="shared" si="68"/>
        <v>0</v>
      </c>
      <c r="AA71" s="687">
        <f t="shared" si="68"/>
        <v>0</v>
      </c>
      <c r="AB71" s="687">
        <f t="shared" si="68"/>
        <v>0</v>
      </c>
      <c r="AE71" s="357"/>
      <c r="AF71" s="89"/>
      <c r="AV71" s="700" t="str">
        <f t="shared" si="20"/>
        <v/>
      </c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</row>
    <row r="72" spans="1:64" s="83" customFormat="1" x14ac:dyDescent="0.25">
      <c r="B72" s="204" t="str">
        <f t="shared" si="61"/>
        <v>TBUSELC100</v>
      </c>
      <c r="C72" s="204"/>
      <c r="D72" s="205"/>
      <c r="E72" s="204"/>
      <c r="F72" s="206"/>
      <c r="G72" s="207"/>
      <c r="H72" s="206"/>
      <c r="I72" s="208">
        <f>AF$10</f>
        <v>2050</v>
      </c>
      <c r="J72" s="209"/>
      <c r="K72" s="209"/>
      <c r="L72" s="210" t="s">
        <v>1065</v>
      </c>
      <c r="M72" s="204" t="s">
        <v>748</v>
      </c>
      <c r="N72" s="688">
        <f t="shared" ref="N72:AB72" si="69">N66*LOOKUP($AD61,$AG$4:$AP$4,$AG$10:$AP$10)</f>
        <v>0</v>
      </c>
      <c r="O72" s="688">
        <f t="shared" si="69"/>
        <v>0</v>
      </c>
      <c r="P72" s="688">
        <f t="shared" si="69"/>
        <v>0</v>
      </c>
      <c r="Q72" s="688">
        <f t="shared" si="69"/>
        <v>0</v>
      </c>
      <c r="R72" s="688">
        <f t="shared" si="69"/>
        <v>0</v>
      </c>
      <c r="S72" s="688">
        <f t="shared" si="69"/>
        <v>0</v>
      </c>
      <c r="T72" s="688">
        <f t="shared" si="69"/>
        <v>0</v>
      </c>
      <c r="U72" s="688">
        <f t="shared" si="69"/>
        <v>0</v>
      </c>
      <c r="V72" s="688">
        <f t="shared" si="69"/>
        <v>0</v>
      </c>
      <c r="W72" s="688">
        <f t="shared" si="69"/>
        <v>0</v>
      </c>
      <c r="X72" s="688">
        <f t="shared" si="69"/>
        <v>0</v>
      </c>
      <c r="Y72" s="688">
        <f t="shared" si="69"/>
        <v>0</v>
      </c>
      <c r="Z72" s="688">
        <f t="shared" si="69"/>
        <v>0</v>
      </c>
      <c r="AA72" s="688">
        <f t="shared" si="69"/>
        <v>0</v>
      </c>
      <c r="AB72" s="688">
        <f t="shared" si="69"/>
        <v>0</v>
      </c>
      <c r="AE72" s="357"/>
      <c r="AF72" s="89"/>
      <c r="AV72" s="700" t="str">
        <f t="shared" si="20"/>
        <v/>
      </c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1:64" s="83" customFormat="1" x14ac:dyDescent="0.25">
      <c r="A73" s="82"/>
      <c r="B73" s="178" t="str">
        <f>C73</f>
        <v>TBUSETH100</v>
      </c>
      <c r="C73" s="178" t="s">
        <v>328</v>
      </c>
      <c r="D73" s="179" t="s">
        <v>766</v>
      </c>
      <c r="E73" s="180" t="s">
        <v>1010</v>
      </c>
      <c r="F73" s="182"/>
      <c r="G73" s="181"/>
      <c r="H73" s="182"/>
      <c r="I73" s="183"/>
      <c r="J73" s="184"/>
      <c r="K73" s="184"/>
      <c r="L73" s="203" t="s">
        <v>1107</v>
      </c>
      <c r="M73" s="184" t="s">
        <v>1156</v>
      </c>
      <c r="N73" s="692">
        <f>N$47</f>
        <v>1E-3</v>
      </c>
      <c r="O73" s="692">
        <f t="shared" ref="O73:AB73" si="70">$N73</f>
        <v>1E-3</v>
      </c>
      <c r="P73" s="692">
        <f t="shared" si="70"/>
        <v>1E-3</v>
      </c>
      <c r="Q73" s="692">
        <f t="shared" si="70"/>
        <v>1E-3</v>
      </c>
      <c r="R73" s="692">
        <f t="shared" si="70"/>
        <v>1E-3</v>
      </c>
      <c r="S73" s="692">
        <f t="shared" si="70"/>
        <v>1E-3</v>
      </c>
      <c r="T73" s="692">
        <f t="shared" si="70"/>
        <v>1E-3</v>
      </c>
      <c r="U73" s="692">
        <f t="shared" si="70"/>
        <v>1E-3</v>
      </c>
      <c r="V73" s="692">
        <f t="shared" si="70"/>
        <v>1E-3</v>
      </c>
      <c r="W73" s="692">
        <f t="shared" si="70"/>
        <v>1E-3</v>
      </c>
      <c r="X73" s="692">
        <f t="shared" si="70"/>
        <v>1E-3</v>
      </c>
      <c r="Y73" s="692">
        <f t="shared" si="70"/>
        <v>1E-3</v>
      </c>
      <c r="Z73" s="692">
        <f t="shared" si="70"/>
        <v>1E-3</v>
      </c>
      <c r="AA73" s="692">
        <f t="shared" si="70"/>
        <v>1E-3</v>
      </c>
      <c r="AB73" s="692">
        <f t="shared" si="70"/>
        <v>1E-3</v>
      </c>
      <c r="AD73" s="410" t="str">
        <f>MID(D73,11,3)</f>
        <v>ETH</v>
      </c>
      <c r="AE73" s="357"/>
      <c r="AF73" s="89"/>
      <c r="AV73" s="700" t="str">
        <f t="shared" si="20"/>
        <v>TRAETH</v>
      </c>
      <c r="AW73" s="568">
        <f t="shared" ref="AW73" si="71">SUM(AX73:BL73)</f>
        <v>0</v>
      </c>
      <c r="AX73" s="568">
        <f>N77*N78/N74/1000</f>
        <v>0</v>
      </c>
      <c r="AY73" s="568">
        <f t="shared" ref="AY73:BL73" si="72">O77*O78/O74/1000</f>
        <v>0</v>
      </c>
      <c r="AZ73" s="568">
        <f t="shared" si="72"/>
        <v>0</v>
      </c>
      <c r="BA73" s="568">
        <f t="shared" si="72"/>
        <v>0</v>
      </c>
      <c r="BB73" s="568">
        <f t="shared" si="72"/>
        <v>0</v>
      </c>
      <c r="BC73" s="568">
        <f t="shared" si="72"/>
        <v>0</v>
      </c>
      <c r="BD73" s="568">
        <f t="shared" si="72"/>
        <v>0</v>
      </c>
      <c r="BE73" s="568">
        <f t="shared" si="72"/>
        <v>0</v>
      </c>
      <c r="BF73" s="568">
        <f t="shared" si="72"/>
        <v>0</v>
      </c>
      <c r="BG73" s="568">
        <f t="shared" si="72"/>
        <v>0</v>
      </c>
      <c r="BH73" s="568">
        <f t="shared" si="72"/>
        <v>0</v>
      </c>
      <c r="BI73" s="568">
        <f t="shared" si="72"/>
        <v>0</v>
      </c>
      <c r="BJ73" s="568">
        <f t="shared" si="72"/>
        <v>0</v>
      </c>
      <c r="BK73" s="568">
        <f t="shared" si="72"/>
        <v>0</v>
      </c>
      <c r="BL73" s="568">
        <f t="shared" si="72"/>
        <v>0</v>
      </c>
    </row>
    <row r="74" spans="1:64" s="83" customFormat="1" x14ac:dyDescent="0.25">
      <c r="A74" s="82"/>
      <c r="B74" s="178" t="str">
        <f>B73</f>
        <v>TBUSETH100</v>
      </c>
      <c r="C74" s="178"/>
      <c r="D74" s="179"/>
      <c r="E74" s="178"/>
      <c r="F74" s="182"/>
      <c r="G74" s="180" t="s">
        <v>415</v>
      </c>
      <c r="H74" s="182"/>
      <c r="I74" s="183"/>
      <c r="J74" s="184"/>
      <c r="K74" s="184"/>
      <c r="L74" s="184" t="s">
        <v>1126</v>
      </c>
      <c r="M74" s="178" t="s">
        <v>678</v>
      </c>
      <c r="N74" s="690">
        <f>T_CEFF!H114</f>
        <v>6.3490000000000005E-2</v>
      </c>
      <c r="O74" s="690">
        <f>T_CEFF!I114</f>
        <v>6.3490000000000005E-2</v>
      </c>
      <c r="P74" s="690">
        <f>T_CEFF!J114</f>
        <v>6.3490000000000005E-2</v>
      </c>
      <c r="Q74" s="690">
        <f>T_CEFF!K114</f>
        <v>6.3490000000000005E-2</v>
      </c>
      <c r="R74" s="690">
        <f>T_CEFF!L114</f>
        <v>6.3490000000000005E-2</v>
      </c>
      <c r="S74" s="690">
        <f>T_CEFF!M114</f>
        <v>6.3490000000000005E-2</v>
      </c>
      <c r="T74" s="690">
        <f>T_CEFF!N114</f>
        <v>6.3490000000000005E-2</v>
      </c>
      <c r="U74" s="690">
        <f>T_CEFF!O114</f>
        <v>6.3490000000000005E-2</v>
      </c>
      <c r="V74" s="690">
        <f>T_CEFF!P114</f>
        <v>6.3490000000000005E-2</v>
      </c>
      <c r="W74" s="690">
        <f>T_CEFF!Q114</f>
        <v>6.3490000000000005E-2</v>
      </c>
      <c r="X74" s="690">
        <f>T_CEFF!R114</f>
        <v>6.3490000000000005E-2</v>
      </c>
      <c r="Y74" s="690">
        <f>T_CEFF!S114</f>
        <v>6.3490000000000005E-2</v>
      </c>
      <c r="Z74" s="690">
        <f>T_CEFF!T114</f>
        <v>6.3490000000000005E-2</v>
      </c>
      <c r="AA74" s="690">
        <f>T_CEFF!U114</f>
        <v>6.3490000000000005E-2</v>
      </c>
      <c r="AB74" s="690">
        <f>T_CEFF!V114</f>
        <v>6.3490000000000005E-2</v>
      </c>
      <c r="AD74" s="408" t="str">
        <f>IF(COUNTIF($AG$4:$AP$4,AD73)=1,"ok","MISSING")</f>
        <v>ok</v>
      </c>
      <c r="AE74" s="357"/>
      <c r="AF74" s="89"/>
      <c r="AV74" s="700" t="str">
        <f t="shared" si="20"/>
        <v/>
      </c>
      <c r="AW74" s="568"/>
      <c r="AX74" s="568"/>
      <c r="AY74" s="568"/>
      <c r="AZ74" s="568"/>
      <c r="BA74" s="568"/>
      <c r="BB74" s="568"/>
      <c r="BC74" s="568"/>
      <c r="BD74" s="568"/>
      <c r="BE74" s="568"/>
      <c r="BF74" s="568"/>
      <c r="BG74" s="568"/>
      <c r="BH74" s="568"/>
      <c r="BI74" s="568"/>
      <c r="BJ74" s="568"/>
      <c r="BK74" s="568"/>
      <c r="BL74" s="568"/>
    </row>
    <row r="75" spans="1:64" s="83" customFormat="1" x14ac:dyDescent="0.25">
      <c r="A75" s="82"/>
      <c r="B75" s="178" t="str">
        <f t="shared" ref="B75:B84" si="73">B74</f>
        <v>TBUSETH100</v>
      </c>
      <c r="C75" s="178"/>
      <c r="D75" s="179"/>
      <c r="E75" s="178"/>
      <c r="F75" s="182"/>
      <c r="G75" s="180" t="s">
        <v>593</v>
      </c>
      <c r="H75" s="182"/>
      <c r="I75" s="183"/>
      <c r="J75" s="184"/>
      <c r="K75" s="184"/>
      <c r="L75" s="184" t="s">
        <v>1126</v>
      </c>
      <c r="M75" s="178" t="s">
        <v>678</v>
      </c>
      <c r="N75" s="690">
        <f>T_CEFF!H115</f>
        <v>6.3490000000000005E-2</v>
      </c>
      <c r="O75" s="690">
        <f>T_CEFF!I115</f>
        <v>6.3490000000000005E-2</v>
      </c>
      <c r="P75" s="690">
        <f>T_CEFF!J115</f>
        <v>6.3490000000000005E-2</v>
      </c>
      <c r="Q75" s="690">
        <f>T_CEFF!K115</f>
        <v>6.3490000000000005E-2</v>
      </c>
      <c r="R75" s="690">
        <f>T_CEFF!L115</f>
        <v>6.3490000000000005E-2</v>
      </c>
      <c r="S75" s="690">
        <f>T_CEFF!M115</f>
        <v>6.3490000000000005E-2</v>
      </c>
      <c r="T75" s="690">
        <f>T_CEFF!N115</f>
        <v>6.3490000000000005E-2</v>
      </c>
      <c r="U75" s="690">
        <f>T_CEFF!O115</f>
        <v>6.3490000000000005E-2</v>
      </c>
      <c r="V75" s="690">
        <f>T_CEFF!P115</f>
        <v>6.3490000000000005E-2</v>
      </c>
      <c r="W75" s="690">
        <f>T_CEFF!Q115</f>
        <v>6.3490000000000005E-2</v>
      </c>
      <c r="X75" s="690">
        <f>T_CEFF!R115</f>
        <v>6.3490000000000005E-2</v>
      </c>
      <c r="Y75" s="690">
        <f>T_CEFF!S115</f>
        <v>6.3490000000000005E-2</v>
      </c>
      <c r="Z75" s="690">
        <f>T_CEFF!T115</f>
        <v>6.3490000000000005E-2</v>
      </c>
      <c r="AA75" s="690">
        <f>T_CEFF!U115</f>
        <v>6.3490000000000005E-2</v>
      </c>
      <c r="AB75" s="690">
        <f>T_CEFF!V115</f>
        <v>6.3490000000000005E-2</v>
      </c>
      <c r="AE75" s="357"/>
      <c r="AF75" s="89"/>
      <c r="AV75" s="700" t="str">
        <f t="shared" si="20"/>
        <v/>
      </c>
      <c r="AW75" s="568"/>
      <c r="AX75" s="568"/>
      <c r="AY75" s="568"/>
      <c r="AZ75" s="568"/>
      <c r="BA75" s="568"/>
      <c r="BB75" s="568"/>
      <c r="BC75" s="568"/>
      <c r="BD75" s="568"/>
      <c r="BE75" s="568"/>
      <c r="BF75" s="568"/>
      <c r="BG75" s="568"/>
      <c r="BH75" s="568"/>
      <c r="BI75" s="568"/>
      <c r="BJ75" s="568"/>
      <c r="BK75" s="568"/>
      <c r="BL75" s="568"/>
    </row>
    <row r="76" spans="1:64" s="83" customFormat="1" x14ac:dyDescent="0.25">
      <c r="A76" s="82"/>
      <c r="B76" s="178" t="str">
        <f>B75</f>
        <v>TBUSETH100</v>
      </c>
      <c r="C76" s="178"/>
      <c r="D76" s="179"/>
      <c r="E76" s="178"/>
      <c r="F76" s="182"/>
      <c r="G76" s="181"/>
      <c r="H76" s="182"/>
      <c r="I76" s="183"/>
      <c r="J76" s="184"/>
      <c r="K76" s="184" t="s">
        <v>749</v>
      </c>
      <c r="L76" s="184" t="s">
        <v>1128</v>
      </c>
      <c r="M76" s="186" t="s">
        <v>1159</v>
      </c>
      <c r="N76" s="691">
        <f>N$16</f>
        <v>0</v>
      </c>
      <c r="O76" s="691">
        <f t="shared" ref="O76:AB76" si="74">O$16</f>
        <v>0</v>
      </c>
      <c r="P76" s="691">
        <f t="shared" si="74"/>
        <v>0</v>
      </c>
      <c r="Q76" s="691">
        <f t="shared" si="74"/>
        <v>0</v>
      </c>
      <c r="R76" s="691">
        <f t="shared" si="74"/>
        <v>0</v>
      </c>
      <c r="S76" s="691">
        <f t="shared" si="74"/>
        <v>0</v>
      </c>
      <c r="T76" s="691">
        <f t="shared" si="74"/>
        <v>0</v>
      </c>
      <c r="U76" s="691">
        <f t="shared" si="74"/>
        <v>0</v>
      </c>
      <c r="V76" s="691">
        <f t="shared" si="74"/>
        <v>0</v>
      </c>
      <c r="W76" s="691">
        <f t="shared" si="74"/>
        <v>0</v>
      </c>
      <c r="X76" s="691">
        <f t="shared" si="74"/>
        <v>0</v>
      </c>
      <c r="Y76" s="691">
        <f t="shared" si="74"/>
        <v>0</v>
      </c>
      <c r="Z76" s="691">
        <f t="shared" si="74"/>
        <v>0</v>
      </c>
      <c r="AA76" s="691">
        <f t="shared" si="74"/>
        <v>0</v>
      </c>
      <c r="AB76" s="691">
        <f t="shared" si="74"/>
        <v>0</v>
      </c>
      <c r="AE76" s="357"/>
      <c r="AF76" s="89"/>
      <c r="AV76" s="700" t="str">
        <f t="shared" si="20"/>
        <v/>
      </c>
      <c r="AW76" s="568"/>
      <c r="AX76" s="568"/>
      <c r="AY76" s="568"/>
      <c r="AZ76" s="568"/>
      <c r="BA76" s="568"/>
      <c r="BB76" s="568"/>
      <c r="BC76" s="568"/>
      <c r="BD76" s="568"/>
      <c r="BE76" s="568"/>
      <c r="BF76" s="568"/>
      <c r="BG76" s="568"/>
      <c r="BH76" s="568"/>
      <c r="BI76" s="568"/>
      <c r="BJ76" s="568"/>
      <c r="BK76" s="568"/>
      <c r="BL76" s="568"/>
    </row>
    <row r="77" spans="1:64" s="83" customFormat="1" x14ac:dyDescent="0.25">
      <c r="A77" s="82"/>
      <c r="B77" s="178" t="str">
        <f t="shared" si="73"/>
        <v>TBUSETH100</v>
      </c>
      <c r="C77" s="178"/>
      <c r="D77" s="179"/>
      <c r="E77" s="178"/>
      <c r="F77" s="182"/>
      <c r="G77" s="181"/>
      <c r="H77" s="182"/>
      <c r="I77" s="183"/>
      <c r="J77" s="184"/>
      <c r="K77" s="184"/>
      <c r="L77" s="203" t="s">
        <v>1130</v>
      </c>
      <c r="M77" s="178" t="s">
        <v>1131</v>
      </c>
      <c r="N77" s="389">
        <f>LOOKUP($C$73, T_NCAP_AF!$C$95:$C$105, T_NCAP_AF!D$95:D$105)*(1+N29)</f>
        <v>0</v>
      </c>
      <c r="O77" s="389">
        <f>LOOKUP($C$73, T_NCAP_AF!$C$95:$C$105, T_NCAP_AF!E$95:E$105)*(1+O29)</f>
        <v>0</v>
      </c>
      <c r="P77" s="389">
        <f>LOOKUP($C$73, T_NCAP_AF!$C$95:$C$105, T_NCAP_AF!F$95:F$105)*(1+P29)</f>
        <v>0</v>
      </c>
      <c r="Q77" s="389">
        <f>LOOKUP($C$73, T_NCAP_AF!$C$95:$C$105, T_NCAP_AF!G$95:G$105)*(1+Q29)</f>
        <v>0</v>
      </c>
      <c r="R77" s="389">
        <f>LOOKUP($C$73, T_NCAP_AF!$C$95:$C$105, T_NCAP_AF!H$95:H$105)*(1+R29)</f>
        <v>0</v>
      </c>
      <c r="S77" s="389">
        <f>LOOKUP($C$73, T_NCAP_AF!$C$95:$C$105, T_NCAP_AF!I$95:I$105)*(1+S29)</f>
        <v>0</v>
      </c>
      <c r="T77" s="389">
        <f>LOOKUP($C$73, T_NCAP_AF!$C$95:$C$105, T_NCAP_AF!J$95:J$105)*(1+T29)</f>
        <v>0</v>
      </c>
      <c r="U77" s="389">
        <f>LOOKUP($C$73, T_NCAP_AF!$C$95:$C$105, T_NCAP_AF!K$95:K$105)*(1+U29)</f>
        <v>0</v>
      </c>
      <c r="V77" s="389">
        <f>LOOKUP($C$73, T_NCAP_AF!$C$95:$C$105, T_NCAP_AF!L$95:L$105)*(1+V29)</f>
        <v>0</v>
      </c>
      <c r="W77" s="389">
        <f>LOOKUP($C$73, T_NCAP_AF!$C$95:$C$105, T_NCAP_AF!M$95:M$105)*(1+W29)</f>
        <v>0</v>
      </c>
      <c r="X77" s="389">
        <f>LOOKUP($C$73, T_NCAP_AF!$C$95:$C$105, T_NCAP_AF!N$95:N$105)*(1+X29)</f>
        <v>0</v>
      </c>
      <c r="Y77" s="389">
        <f>LOOKUP($C$73, T_NCAP_AF!$C$95:$C$105, T_NCAP_AF!O$95:O$105)*(1+Y29)</f>
        <v>0</v>
      </c>
      <c r="Z77" s="389">
        <f>LOOKUP($C$73, T_NCAP_AF!$C$95:$C$105, T_NCAP_AF!P$95:P$105)*(1+Z29)</f>
        <v>0</v>
      </c>
      <c r="AA77" s="389">
        <f>LOOKUP($C$73, T_NCAP_AF!$C$95:$C$105, T_NCAP_AF!Q$95:Q$105)*(1+AA29)</f>
        <v>0</v>
      </c>
      <c r="AB77" s="389">
        <f>LOOKUP($C$73, T_NCAP_AF!$C$95:$C$105, T_NCAP_AF!R$95:R$105)*(1+AB29)</f>
        <v>0</v>
      </c>
      <c r="AE77" s="572">
        <f>SUM(AF77:AT77)</f>
        <v>0</v>
      </c>
      <c r="AF77" s="85">
        <f t="shared" ref="AF77:AT77" si="75">N76*N77*N78/1000</f>
        <v>0</v>
      </c>
      <c r="AG77" s="85">
        <f t="shared" si="75"/>
        <v>0</v>
      </c>
      <c r="AH77" s="85">
        <f t="shared" si="75"/>
        <v>0</v>
      </c>
      <c r="AI77" s="85">
        <f t="shared" si="75"/>
        <v>0</v>
      </c>
      <c r="AJ77" s="85">
        <f t="shared" si="75"/>
        <v>0</v>
      </c>
      <c r="AK77" s="85">
        <f t="shared" si="75"/>
        <v>0</v>
      </c>
      <c r="AL77" s="85">
        <f t="shared" si="75"/>
        <v>0</v>
      </c>
      <c r="AM77" s="85">
        <f t="shared" si="75"/>
        <v>0</v>
      </c>
      <c r="AN77" s="85">
        <f t="shared" si="75"/>
        <v>0</v>
      </c>
      <c r="AO77" s="85">
        <f t="shared" si="75"/>
        <v>0</v>
      </c>
      <c r="AP77" s="85">
        <f t="shared" si="75"/>
        <v>0</v>
      </c>
      <c r="AQ77" s="85">
        <f t="shared" si="75"/>
        <v>0</v>
      </c>
      <c r="AR77" s="85">
        <f t="shared" si="75"/>
        <v>0</v>
      </c>
      <c r="AS77" s="85">
        <f t="shared" si="75"/>
        <v>0</v>
      </c>
      <c r="AT77" s="85">
        <f t="shared" si="75"/>
        <v>0</v>
      </c>
      <c r="AV77" s="700" t="str">
        <f t="shared" si="20"/>
        <v/>
      </c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1:64" s="83" customFormat="1" x14ac:dyDescent="0.25">
      <c r="A78" s="82"/>
      <c r="B78" s="178" t="str">
        <f>B77</f>
        <v>TBUSETH100</v>
      </c>
      <c r="C78" s="178"/>
      <c r="D78" s="179"/>
      <c r="E78" s="178"/>
      <c r="F78" s="182"/>
      <c r="G78" s="181"/>
      <c r="H78" s="182"/>
      <c r="I78" s="183">
        <f>$M$3</f>
        <v>2019</v>
      </c>
      <c r="J78" s="184"/>
      <c r="K78" s="184"/>
      <c r="L78" s="203" t="s">
        <v>1065</v>
      </c>
      <c r="M78" s="178" t="s">
        <v>748</v>
      </c>
      <c r="N78" s="687">
        <f>LOOKUP($C$73, T_Stock_Private!$C$58:$C$68, T_Stock_Private!D$58:D$68)*(1+N30)</f>
        <v>0</v>
      </c>
      <c r="O78" s="687">
        <f>LOOKUP($C$73, T_Stock_Private!$C$58:$C$68, T_Stock_Private!E$58:E$68)*(1+O30)</f>
        <v>0</v>
      </c>
      <c r="P78" s="687">
        <f>LOOKUP($C$73, T_Stock_Private!$C$58:$C$68, T_Stock_Private!F$58:F$68)*(1+P30)</f>
        <v>0</v>
      </c>
      <c r="Q78" s="687">
        <f>LOOKUP($C$73, T_Stock_Private!$C$58:$C$68, T_Stock_Private!G$58:G$68)*(1+Q30)</f>
        <v>0</v>
      </c>
      <c r="R78" s="687">
        <f>LOOKUP($C$73, T_Stock_Private!$C$58:$C$68, T_Stock_Private!H$58:H$68)*(1+R30)</f>
        <v>0</v>
      </c>
      <c r="S78" s="687">
        <f>LOOKUP($C$73, T_Stock_Private!$C$58:$C$68, T_Stock_Private!I$58:I$68)*(1+S30)</f>
        <v>0</v>
      </c>
      <c r="T78" s="687">
        <f>LOOKUP($C$73, T_Stock_Private!$C$58:$C$68, T_Stock_Private!J$58:J$68)*(1+T30)</f>
        <v>0</v>
      </c>
      <c r="U78" s="687">
        <f>LOOKUP($C$73, T_Stock_Private!$C$58:$C$68, T_Stock_Private!K$58:K$68)*(1+U30)</f>
        <v>0</v>
      </c>
      <c r="V78" s="687">
        <f>LOOKUP($C$73, T_Stock_Private!$C$58:$C$68, T_Stock_Private!L$58:L$68)*(1+V30)</f>
        <v>0</v>
      </c>
      <c r="W78" s="687">
        <f>LOOKUP($C$73, T_Stock_Private!$C$58:$C$68, T_Stock_Private!M$58:M$68)*(1+W30)</f>
        <v>0</v>
      </c>
      <c r="X78" s="687">
        <f>LOOKUP($C$73, T_Stock_Private!$C$58:$C$68, T_Stock_Private!N$58:N$68)*(1+X30)</f>
        <v>0</v>
      </c>
      <c r="Y78" s="687">
        <f>LOOKUP($C$73, T_Stock_Private!$C$58:$C$68, T_Stock_Private!O$58:O$68)*(1+Y30)</f>
        <v>0</v>
      </c>
      <c r="Z78" s="687">
        <f>LOOKUP($C$73, T_Stock_Private!$C$58:$C$68, T_Stock_Private!P$58:P$68)*(1+Z30)</f>
        <v>0</v>
      </c>
      <c r="AA78" s="687">
        <f>LOOKUP($C$73, T_Stock_Private!$C$58:$C$68, T_Stock_Private!Q$58:Q$68)*(1+AA30)</f>
        <v>0</v>
      </c>
      <c r="AB78" s="687">
        <f>LOOKUP($C$73, T_Stock_Private!$C$58:$C$68, T_Stock_Private!R$58:R$68)*(1+AB30)</f>
        <v>0</v>
      </c>
      <c r="AC78" s="89"/>
      <c r="AE78" s="357"/>
      <c r="AF78" s="89"/>
      <c r="AV78" s="700" t="str">
        <f t="shared" si="20"/>
        <v/>
      </c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</row>
    <row r="79" spans="1:64" s="83" customFormat="1" x14ac:dyDescent="0.25">
      <c r="A79" s="82"/>
      <c r="B79" s="178" t="str">
        <f t="shared" si="73"/>
        <v>TBUSETH100</v>
      </c>
      <c r="C79" s="178"/>
      <c r="D79" s="179"/>
      <c r="E79" s="178"/>
      <c r="F79" s="182"/>
      <c r="G79" s="181"/>
      <c r="H79" s="182"/>
      <c r="I79" s="183">
        <f>AF$5</f>
        <v>2020</v>
      </c>
      <c r="J79" s="184"/>
      <c r="K79" s="184"/>
      <c r="L79" s="203" t="s">
        <v>1065</v>
      </c>
      <c r="M79" s="178" t="s">
        <v>748</v>
      </c>
      <c r="N79" s="687">
        <f t="shared" ref="N79:AB79" si="76">N78*LOOKUP($AD73,$AG$4:$AP$4,$AG$5:$AP$5)</f>
        <v>0</v>
      </c>
      <c r="O79" s="687">
        <f t="shared" si="76"/>
        <v>0</v>
      </c>
      <c r="P79" s="687">
        <f t="shared" si="76"/>
        <v>0</v>
      </c>
      <c r="Q79" s="687">
        <f t="shared" si="76"/>
        <v>0</v>
      </c>
      <c r="R79" s="687">
        <f t="shared" si="76"/>
        <v>0</v>
      </c>
      <c r="S79" s="687">
        <f t="shared" si="76"/>
        <v>0</v>
      </c>
      <c r="T79" s="687">
        <f t="shared" si="76"/>
        <v>0</v>
      </c>
      <c r="U79" s="687">
        <f t="shared" si="76"/>
        <v>0</v>
      </c>
      <c r="V79" s="687">
        <f t="shared" si="76"/>
        <v>0</v>
      </c>
      <c r="W79" s="687">
        <f t="shared" si="76"/>
        <v>0</v>
      </c>
      <c r="X79" s="687">
        <f t="shared" si="76"/>
        <v>0</v>
      </c>
      <c r="Y79" s="687">
        <f t="shared" si="76"/>
        <v>0</v>
      </c>
      <c r="Z79" s="687">
        <f t="shared" si="76"/>
        <v>0</v>
      </c>
      <c r="AA79" s="687">
        <f t="shared" si="76"/>
        <v>0</v>
      </c>
      <c r="AB79" s="687">
        <f t="shared" si="76"/>
        <v>0</v>
      </c>
      <c r="AE79" s="357"/>
      <c r="AF79" s="89"/>
      <c r="AV79" s="700" t="str">
        <f t="shared" si="20"/>
        <v/>
      </c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</row>
    <row r="80" spans="1:64" s="83" customFormat="1" x14ac:dyDescent="0.25">
      <c r="A80" s="82"/>
      <c r="B80" s="178" t="str">
        <f t="shared" si="73"/>
        <v>TBUSETH100</v>
      </c>
      <c r="C80" s="178"/>
      <c r="D80" s="179"/>
      <c r="E80" s="178"/>
      <c r="F80" s="182"/>
      <c r="G80" s="181"/>
      <c r="H80" s="182"/>
      <c r="I80" s="183">
        <f>AF$6</f>
        <v>2025</v>
      </c>
      <c r="J80" s="184"/>
      <c r="K80" s="184"/>
      <c r="L80" s="203" t="s">
        <v>1065</v>
      </c>
      <c r="M80" s="178" t="s">
        <v>748</v>
      </c>
      <c r="N80" s="687">
        <f t="shared" ref="N80:AB80" si="77">N78*LOOKUP($AD73,$AG$4:$AP$4,$AG$6:$AP$6)</f>
        <v>0</v>
      </c>
      <c r="O80" s="687">
        <f t="shared" si="77"/>
        <v>0</v>
      </c>
      <c r="P80" s="687">
        <f t="shared" si="77"/>
        <v>0</v>
      </c>
      <c r="Q80" s="687">
        <f t="shared" si="77"/>
        <v>0</v>
      </c>
      <c r="R80" s="687">
        <f t="shared" si="77"/>
        <v>0</v>
      </c>
      <c r="S80" s="687">
        <f t="shared" si="77"/>
        <v>0</v>
      </c>
      <c r="T80" s="687">
        <f t="shared" si="77"/>
        <v>0</v>
      </c>
      <c r="U80" s="687">
        <f t="shared" si="77"/>
        <v>0</v>
      </c>
      <c r="V80" s="687">
        <f t="shared" si="77"/>
        <v>0</v>
      </c>
      <c r="W80" s="687">
        <f t="shared" si="77"/>
        <v>0</v>
      </c>
      <c r="X80" s="687">
        <f t="shared" si="77"/>
        <v>0</v>
      </c>
      <c r="Y80" s="687">
        <f t="shared" si="77"/>
        <v>0</v>
      </c>
      <c r="Z80" s="687">
        <f t="shared" si="77"/>
        <v>0</v>
      </c>
      <c r="AA80" s="687">
        <f t="shared" si="77"/>
        <v>0</v>
      </c>
      <c r="AB80" s="687">
        <f t="shared" si="77"/>
        <v>0</v>
      </c>
      <c r="AE80" s="357"/>
      <c r="AF80" s="89"/>
      <c r="AV80" s="700" t="str">
        <f t="shared" si="20"/>
        <v/>
      </c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</row>
    <row r="81" spans="1:64" s="83" customFormat="1" x14ac:dyDescent="0.25">
      <c r="A81" s="82"/>
      <c r="B81" s="178" t="str">
        <f t="shared" si="73"/>
        <v>TBUSETH100</v>
      </c>
      <c r="C81" s="178"/>
      <c r="D81" s="179"/>
      <c r="E81" s="178"/>
      <c r="F81" s="182"/>
      <c r="G81" s="181"/>
      <c r="H81" s="182"/>
      <c r="I81" s="183">
        <f>AF$7</f>
        <v>2030</v>
      </c>
      <c r="J81" s="184"/>
      <c r="K81" s="184"/>
      <c r="L81" s="203" t="s">
        <v>1065</v>
      </c>
      <c r="M81" s="178" t="s">
        <v>748</v>
      </c>
      <c r="N81" s="687">
        <f t="shared" ref="N81:AB81" si="78">N78*LOOKUP($AD73,$AG$4:$AP$4,$AG$7:$AP$7)</f>
        <v>0</v>
      </c>
      <c r="O81" s="687">
        <f t="shared" si="78"/>
        <v>0</v>
      </c>
      <c r="P81" s="687">
        <f t="shared" si="78"/>
        <v>0</v>
      </c>
      <c r="Q81" s="687">
        <f t="shared" si="78"/>
        <v>0</v>
      </c>
      <c r="R81" s="687">
        <f t="shared" si="78"/>
        <v>0</v>
      </c>
      <c r="S81" s="687">
        <f t="shared" si="78"/>
        <v>0</v>
      </c>
      <c r="T81" s="687">
        <f t="shared" si="78"/>
        <v>0</v>
      </c>
      <c r="U81" s="687">
        <f t="shared" si="78"/>
        <v>0</v>
      </c>
      <c r="V81" s="687">
        <f t="shared" si="78"/>
        <v>0</v>
      </c>
      <c r="W81" s="687">
        <f t="shared" si="78"/>
        <v>0</v>
      </c>
      <c r="X81" s="687">
        <f t="shared" si="78"/>
        <v>0</v>
      </c>
      <c r="Y81" s="687">
        <f t="shared" si="78"/>
        <v>0</v>
      </c>
      <c r="Z81" s="687">
        <f t="shared" si="78"/>
        <v>0</v>
      </c>
      <c r="AA81" s="687">
        <f t="shared" si="78"/>
        <v>0</v>
      </c>
      <c r="AB81" s="687">
        <f t="shared" si="78"/>
        <v>0</v>
      </c>
      <c r="AE81" s="357"/>
      <c r="AF81" s="89"/>
      <c r="AV81" s="700" t="str">
        <f t="shared" si="20"/>
        <v/>
      </c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</row>
    <row r="82" spans="1:64" s="83" customFormat="1" x14ac:dyDescent="0.25">
      <c r="A82" s="82"/>
      <c r="B82" s="178" t="str">
        <f t="shared" si="73"/>
        <v>TBUSETH100</v>
      </c>
      <c r="C82" s="178"/>
      <c r="D82" s="179"/>
      <c r="E82" s="178"/>
      <c r="F82" s="182"/>
      <c r="G82" s="181"/>
      <c r="H82" s="182"/>
      <c r="I82" s="183">
        <f>AF$8</f>
        <v>2035</v>
      </c>
      <c r="J82" s="184"/>
      <c r="K82" s="184"/>
      <c r="L82" s="203" t="s">
        <v>1065</v>
      </c>
      <c r="M82" s="178" t="s">
        <v>748</v>
      </c>
      <c r="N82" s="687">
        <f t="shared" ref="N82:AB82" si="79">N78*LOOKUP($AD73,$AG$4:$AP$4,$AG$8:$AP$8)</f>
        <v>0</v>
      </c>
      <c r="O82" s="687">
        <f t="shared" si="79"/>
        <v>0</v>
      </c>
      <c r="P82" s="687">
        <f t="shared" si="79"/>
        <v>0</v>
      </c>
      <c r="Q82" s="687">
        <f t="shared" si="79"/>
        <v>0</v>
      </c>
      <c r="R82" s="687">
        <f t="shared" si="79"/>
        <v>0</v>
      </c>
      <c r="S82" s="687">
        <f t="shared" si="79"/>
        <v>0</v>
      </c>
      <c r="T82" s="687">
        <f t="shared" si="79"/>
        <v>0</v>
      </c>
      <c r="U82" s="687">
        <f t="shared" si="79"/>
        <v>0</v>
      </c>
      <c r="V82" s="687">
        <f t="shared" si="79"/>
        <v>0</v>
      </c>
      <c r="W82" s="687">
        <f t="shared" si="79"/>
        <v>0</v>
      </c>
      <c r="X82" s="687">
        <f t="shared" si="79"/>
        <v>0</v>
      </c>
      <c r="Y82" s="687">
        <f t="shared" si="79"/>
        <v>0</v>
      </c>
      <c r="Z82" s="687">
        <f t="shared" si="79"/>
        <v>0</v>
      </c>
      <c r="AA82" s="687">
        <f t="shared" si="79"/>
        <v>0</v>
      </c>
      <c r="AB82" s="687">
        <f t="shared" si="79"/>
        <v>0</v>
      </c>
      <c r="AE82" s="357"/>
      <c r="AF82" s="89"/>
      <c r="AV82" s="700" t="str">
        <f t="shared" si="20"/>
        <v/>
      </c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</row>
    <row r="83" spans="1:64" s="83" customFormat="1" x14ac:dyDescent="0.25">
      <c r="A83" s="82"/>
      <c r="B83" s="178" t="str">
        <f t="shared" si="73"/>
        <v>TBUSETH100</v>
      </c>
      <c r="C83" s="178"/>
      <c r="D83" s="179"/>
      <c r="E83" s="178"/>
      <c r="F83" s="182"/>
      <c r="G83" s="181"/>
      <c r="H83" s="182"/>
      <c r="I83" s="183">
        <f>AF$9</f>
        <v>2040</v>
      </c>
      <c r="J83" s="184"/>
      <c r="K83" s="184"/>
      <c r="L83" s="203" t="s">
        <v>1065</v>
      </c>
      <c r="M83" s="178" t="s">
        <v>748</v>
      </c>
      <c r="N83" s="687">
        <f t="shared" ref="N83:AB83" si="80">N78*LOOKUP($AD73,$AG$4:$AP$4,$AG$9:$AP$9)</f>
        <v>0</v>
      </c>
      <c r="O83" s="687">
        <f t="shared" si="80"/>
        <v>0</v>
      </c>
      <c r="P83" s="687">
        <f t="shared" si="80"/>
        <v>0</v>
      </c>
      <c r="Q83" s="687">
        <f t="shared" si="80"/>
        <v>0</v>
      </c>
      <c r="R83" s="687">
        <f t="shared" si="80"/>
        <v>0</v>
      </c>
      <c r="S83" s="687">
        <f t="shared" si="80"/>
        <v>0</v>
      </c>
      <c r="T83" s="687">
        <f t="shared" si="80"/>
        <v>0</v>
      </c>
      <c r="U83" s="687">
        <f t="shared" si="80"/>
        <v>0</v>
      </c>
      <c r="V83" s="687">
        <f t="shared" si="80"/>
        <v>0</v>
      </c>
      <c r="W83" s="687">
        <f t="shared" si="80"/>
        <v>0</v>
      </c>
      <c r="X83" s="687">
        <f t="shared" si="80"/>
        <v>0</v>
      </c>
      <c r="Y83" s="687">
        <f t="shared" si="80"/>
        <v>0</v>
      </c>
      <c r="Z83" s="687">
        <f t="shared" si="80"/>
        <v>0</v>
      </c>
      <c r="AA83" s="687">
        <f t="shared" si="80"/>
        <v>0</v>
      </c>
      <c r="AB83" s="687">
        <f t="shared" si="80"/>
        <v>0</v>
      </c>
      <c r="AE83" s="357"/>
      <c r="AF83" s="89"/>
      <c r="AV83" s="700" t="str">
        <f t="shared" si="20"/>
        <v/>
      </c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</row>
    <row r="84" spans="1:64" s="83" customFormat="1" x14ac:dyDescent="0.25">
      <c r="A84" s="82"/>
      <c r="B84" s="204" t="str">
        <f t="shared" si="73"/>
        <v>TBUSETH100</v>
      </c>
      <c r="C84" s="204"/>
      <c r="D84" s="205"/>
      <c r="E84" s="204"/>
      <c r="F84" s="206"/>
      <c r="G84" s="207"/>
      <c r="H84" s="206"/>
      <c r="I84" s="208">
        <f>AF$10</f>
        <v>2050</v>
      </c>
      <c r="J84" s="209"/>
      <c r="K84" s="209"/>
      <c r="L84" s="210" t="s">
        <v>1065</v>
      </c>
      <c r="M84" s="204" t="s">
        <v>748</v>
      </c>
      <c r="N84" s="688">
        <f t="shared" ref="N84:AB84" si="81">N78*LOOKUP($AD73,$AG$4:$AP$4,$AG$10:$AP$10)</f>
        <v>0</v>
      </c>
      <c r="O84" s="688">
        <f t="shared" si="81"/>
        <v>0</v>
      </c>
      <c r="P84" s="688">
        <f t="shared" si="81"/>
        <v>0</v>
      </c>
      <c r="Q84" s="688">
        <f t="shared" si="81"/>
        <v>0</v>
      </c>
      <c r="R84" s="688">
        <f t="shared" si="81"/>
        <v>0</v>
      </c>
      <c r="S84" s="688">
        <f t="shared" si="81"/>
        <v>0</v>
      </c>
      <c r="T84" s="688">
        <f t="shared" si="81"/>
        <v>0</v>
      </c>
      <c r="U84" s="688">
        <f t="shared" si="81"/>
        <v>0</v>
      </c>
      <c r="V84" s="688">
        <f t="shared" si="81"/>
        <v>0</v>
      </c>
      <c r="W84" s="688">
        <f t="shared" si="81"/>
        <v>0</v>
      </c>
      <c r="X84" s="688">
        <f t="shared" si="81"/>
        <v>0</v>
      </c>
      <c r="Y84" s="688">
        <f t="shared" si="81"/>
        <v>0</v>
      </c>
      <c r="Z84" s="688">
        <f t="shared" si="81"/>
        <v>0</v>
      </c>
      <c r="AA84" s="688">
        <f t="shared" si="81"/>
        <v>0</v>
      </c>
      <c r="AB84" s="688">
        <f t="shared" si="81"/>
        <v>0</v>
      </c>
      <c r="AE84" s="357"/>
      <c r="AF84" s="89"/>
      <c r="AV84" s="700" t="str">
        <f t="shared" si="20"/>
        <v/>
      </c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1:64" s="83" customFormat="1" x14ac:dyDescent="0.25">
      <c r="A85" s="82"/>
      <c r="B85" s="178" t="str">
        <f>C85</f>
        <v>TBUSGAS100</v>
      </c>
      <c r="C85" s="178" t="s">
        <v>329</v>
      </c>
      <c r="D85" s="179" t="s">
        <v>767</v>
      </c>
      <c r="E85" s="180" t="s">
        <v>994</v>
      </c>
      <c r="F85" s="182"/>
      <c r="G85" s="181"/>
      <c r="H85" s="182"/>
      <c r="I85" s="183"/>
      <c r="J85" s="184"/>
      <c r="K85" s="184"/>
      <c r="L85" s="203" t="s">
        <v>1107</v>
      </c>
      <c r="M85" s="184" t="s">
        <v>1156</v>
      </c>
      <c r="N85" s="692">
        <f>N$47</f>
        <v>1E-3</v>
      </c>
      <c r="O85" s="692">
        <f t="shared" ref="O85:AB85" si="82">$N85</f>
        <v>1E-3</v>
      </c>
      <c r="P85" s="692">
        <f t="shared" si="82"/>
        <v>1E-3</v>
      </c>
      <c r="Q85" s="692">
        <f t="shared" si="82"/>
        <v>1E-3</v>
      </c>
      <c r="R85" s="692">
        <f t="shared" si="82"/>
        <v>1E-3</v>
      </c>
      <c r="S85" s="692">
        <f t="shared" si="82"/>
        <v>1E-3</v>
      </c>
      <c r="T85" s="692">
        <f t="shared" si="82"/>
        <v>1E-3</v>
      </c>
      <c r="U85" s="692">
        <f t="shared" si="82"/>
        <v>1E-3</v>
      </c>
      <c r="V85" s="692">
        <f t="shared" si="82"/>
        <v>1E-3</v>
      </c>
      <c r="W85" s="692">
        <f t="shared" si="82"/>
        <v>1E-3</v>
      </c>
      <c r="X85" s="692">
        <f t="shared" si="82"/>
        <v>1E-3</v>
      </c>
      <c r="Y85" s="692">
        <f t="shared" si="82"/>
        <v>1E-3</v>
      </c>
      <c r="Z85" s="692">
        <f t="shared" si="82"/>
        <v>1E-3</v>
      </c>
      <c r="AA85" s="692">
        <f t="shared" si="82"/>
        <v>1E-3</v>
      </c>
      <c r="AB85" s="692">
        <f t="shared" si="82"/>
        <v>1E-3</v>
      </c>
      <c r="AD85" s="410" t="str">
        <f>MID(D85,11,3)</f>
        <v>GAS</v>
      </c>
      <c r="AE85" s="357"/>
      <c r="AF85" s="89"/>
      <c r="AV85" s="700" t="str">
        <f t="shared" si="20"/>
        <v>TRABGS</v>
      </c>
      <c r="AW85" s="568">
        <f t="shared" ref="AW85:AW86" si="83">SUM(AX85:BL85)</f>
        <v>0</v>
      </c>
      <c r="AX85" s="708">
        <f>N$90*N$91*(1-N86)/N$87/1000</f>
        <v>0</v>
      </c>
      <c r="AY85" s="708">
        <f t="shared" ref="AY85:BL85" si="84">O$90*O$91*(1-O86)/O$87/1000</f>
        <v>0</v>
      </c>
      <c r="AZ85" s="708">
        <f t="shared" si="84"/>
        <v>0</v>
      </c>
      <c r="BA85" s="708">
        <f t="shared" si="84"/>
        <v>0</v>
      </c>
      <c r="BB85" s="708">
        <f t="shared" si="84"/>
        <v>0</v>
      </c>
      <c r="BC85" s="708">
        <f t="shared" si="84"/>
        <v>0</v>
      </c>
      <c r="BD85" s="708">
        <f t="shared" si="84"/>
        <v>0</v>
      </c>
      <c r="BE85" s="708">
        <f t="shared" si="84"/>
        <v>0</v>
      </c>
      <c r="BF85" s="708">
        <f t="shared" si="84"/>
        <v>0</v>
      </c>
      <c r="BG85" s="708">
        <f t="shared" si="84"/>
        <v>0</v>
      </c>
      <c r="BH85" s="708">
        <f t="shared" si="84"/>
        <v>0</v>
      </c>
      <c r="BI85" s="708">
        <f t="shared" si="84"/>
        <v>0</v>
      </c>
      <c r="BJ85" s="708">
        <f t="shared" si="84"/>
        <v>0</v>
      </c>
      <c r="BK85" s="708">
        <f t="shared" si="84"/>
        <v>0</v>
      </c>
      <c r="BL85" s="708">
        <f t="shared" si="84"/>
        <v>0</v>
      </c>
    </row>
    <row r="86" spans="1:64" s="83" customFormat="1" x14ac:dyDescent="0.25">
      <c r="A86" s="82"/>
      <c r="B86" s="178" t="str">
        <f>B85</f>
        <v>TBUSGAS100</v>
      </c>
      <c r="C86" s="178"/>
      <c r="D86" s="179"/>
      <c r="E86" s="180" t="s">
        <v>1039</v>
      </c>
      <c r="F86" s="182"/>
      <c r="G86" s="181"/>
      <c r="H86" s="182"/>
      <c r="I86" s="183"/>
      <c r="J86" s="184" t="s">
        <v>1157</v>
      </c>
      <c r="K86" s="184"/>
      <c r="L86" s="203" t="s">
        <v>101</v>
      </c>
      <c r="M86" s="178"/>
      <c r="N86" s="690">
        <f>(1-N19)</f>
        <v>0</v>
      </c>
      <c r="O86" s="690">
        <f t="shared" ref="O86:AB86" si="85">(1-O19)</f>
        <v>0</v>
      </c>
      <c r="P86" s="690">
        <f t="shared" si="85"/>
        <v>0</v>
      </c>
      <c r="Q86" s="690">
        <f t="shared" si="85"/>
        <v>0</v>
      </c>
      <c r="R86" s="690">
        <f t="shared" si="85"/>
        <v>0</v>
      </c>
      <c r="S86" s="690">
        <f t="shared" si="85"/>
        <v>0</v>
      </c>
      <c r="T86" s="690">
        <f t="shared" si="85"/>
        <v>0</v>
      </c>
      <c r="U86" s="690">
        <f t="shared" si="85"/>
        <v>0</v>
      </c>
      <c r="V86" s="690">
        <f t="shared" si="85"/>
        <v>0</v>
      </c>
      <c r="W86" s="690">
        <f t="shared" si="85"/>
        <v>0</v>
      </c>
      <c r="X86" s="690">
        <f t="shared" si="85"/>
        <v>0</v>
      </c>
      <c r="Y86" s="690">
        <f t="shared" si="85"/>
        <v>0</v>
      </c>
      <c r="Z86" s="690">
        <f t="shared" si="85"/>
        <v>0</v>
      </c>
      <c r="AA86" s="690">
        <f t="shared" si="85"/>
        <v>0</v>
      </c>
      <c r="AB86" s="690">
        <f t="shared" si="85"/>
        <v>0</v>
      </c>
      <c r="AD86" s="66" t="str">
        <f>IF(COUNTIF($AG$4:$AP$4,AD85)=1,"ok","MISSING")</f>
        <v>ok</v>
      </c>
      <c r="AE86" s="357"/>
      <c r="AF86" s="89"/>
      <c r="AV86" s="700" t="str">
        <f t="shared" si="20"/>
        <v>TRANGS</v>
      </c>
      <c r="AW86" s="568">
        <f t="shared" si="83"/>
        <v>0</v>
      </c>
      <c r="AX86" s="708">
        <f>N$90*N$91*N86/N$87/1000</f>
        <v>0</v>
      </c>
      <c r="AY86" s="708">
        <f t="shared" ref="AY86:BL86" si="86">O$90*O$91*O86/O$87/1000</f>
        <v>0</v>
      </c>
      <c r="AZ86" s="708">
        <f t="shared" si="86"/>
        <v>0</v>
      </c>
      <c r="BA86" s="708">
        <f t="shared" si="86"/>
        <v>0</v>
      </c>
      <c r="BB86" s="708">
        <f t="shared" si="86"/>
        <v>0</v>
      </c>
      <c r="BC86" s="708">
        <f t="shared" si="86"/>
        <v>0</v>
      </c>
      <c r="BD86" s="708">
        <f t="shared" si="86"/>
        <v>0</v>
      </c>
      <c r="BE86" s="708">
        <f t="shared" si="86"/>
        <v>0</v>
      </c>
      <c r="BF86" s="708">
        <f t="shared" si="86"/>
        <v>0</v>
      </c>
      <c r="BG86" s="708">
        <f t="shared" si="86"/>
        <v>0</v>
      </c>
      <c r="BH86" s="708">
        <f t="shared" si="86"/>
        <v>0</v>
      </c>
      <c r="BI86" s="708">
        <f t="shared" si="86"/>
        <v>0</v>
      </c>
      <c r="BJ86" s="708">
        <f t="shared" si="86"/>
        <v>0</v>
      </c>
      <c r="BK86" s="708">
        <f t="shared" si="86"/>
        <v>0</v>
      </c>
      <c r="BL86" s="708">
        <f t="shared" si="86"/>
        <v>0</v>
      </c>
    </row>
    <row r="87" spans="1:64" s="83" customFormat="1" x14ac:dyDescent="0.25">
      <c r="A87" s="82"/>
      <c r="B87" s="178" t="str">
        <f>B86</f>
        <v>TBUSGAS100</v>
      </c>
      <c r="C87" s="178"/>
      <c r="D87" s="179"/>
      <c r="E87" s="178"/>
      <c r="F87" s="182"/>
      <c r="G87" s="180" t="s">
        <v>415</v>
      </c>
      <c r="H87" s="182"/>
      <c r="I87" s="183"/>
      <c r="J87" s="184"/>
      <c r="K87" s="184"/>
      <c r="L87" s="184" t="s">
        <v>1126</v>
      </c>
      <c r="M87" s="178" t="s">
        <v>678</v>
      </c>
      <c r="N87" s="690">
        <f>T_CEFF!H116</f>
        <v>4.8079999999999998E-2</v>
      </c>
      <c r="O87" s="690">
        <f>T_CEFF!I116</f>
        <v>4.8079999999999998E-2</v>
      </c>
      <c r="P87" s="690">
        <f>T_CEFF!J116</f>
        <v>4.8079999999999998E-2</v>
      </c>
      <c r="Q87" s="690">
        <f>T_CEFF!K116</f>
        <v>4.8079999999999998E-2</v>
      </c>
      <c r="R87" s="690">
        <f>T_CEFF!L116</f>
        <v>4.8079999999999998E-2</v>
      </c>
      <c r="S87" s="690">
        <f>T_CEFF!M116</f>
        <v>4.8079999999999998E-2</v>
      </c>
      <c r="T87" s="690">
        <f>T_CEFF!N116</f>
        <v>4.8079999999999998E-2</v>
      </c>
      <c r="U87" s="690">
        <f>T_CEFF!O116</f>
        <v>4.8079999999999998E-2</v>
      </c>
      <c r="V87" s="690">
        <f>T_CEFF!P116</f>
        <v>4.8079999999999998E-2</v>
      </c>
      <c r="W87" s="690">
        <f>T_CEFF!Q116</f>
        <v>4.8079999999999998E-2</v>
      </c>
      <c r="X87" s="690">
        <f>T_CEFF!R116</f>
        <v>4.8079999999999998E-2</v>
      </c>
      <c r="Y87" s="690">
        <f>T_CEFF!S116</f>
        <v>4.8079999999999998E-2</v>
      </c>
      <c r="Z87" s="690">
        <f>T_CEFF!T116</f>
        <v>4.8079999999999998E-2</v>
      </c>
      <c r="AA87" s="690">
        <f>T_CEFF!U116</f>
        <v>4.8079999999999998E-2</v>
      </c>
      <c r="AB87" s="690">
        <f>T_CEFF!V116</f>
        <v>4.8079999999999998E-2</v>
      </c>
      <c r="AE87" s="357"/>
      <c r="AF87" s="89"/>
      <c r="AV87" s="700" t="str">
        <f t="shared" si="20"/>
        <v/>
      </c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</row>
    <row r="88" spans="1:64" s="83" customFormat="1" x14ac:dyDescent="0.25">
      <c r="A88" s="82"/>
      <c r="B88" s="178" t="str">
        <f t="shared" ref="B88:B97" si="87">B87</f>
        <v>TBUSGAS100</v>
      </c>
      <c r="C88" s="178"/>
      <c r="D88" s="179"/>
      <c r="E88" s="178"/>
      <c r="F88" s="182"/>
      <c r="G88" s="180" t="s">
        <v>593</v>
      </c>
      <c r="H88" s="182"/>
      <c r="I88" s="183"/>
      <c r="J88" s="184"/>
      <c r="K88" s="184"/>
      <c r="L88" s="184" t="s">
        <v>1126</v>
      </c>
      <c r="M88" s="178" t="s">
        <v>678</v>
      </c>
      <c r="N88" s="690">
        <f>T_CEFF!H117</f>
        <v>4.8079999999999998E-2</v>
      </c>
      <c r="O88" s="690">
        <f>T_CEFF!I117</f>
        <v>4.8079999999999998E-2</v>
      </c>
      <c r="P88" s="690">
        <f>T_CEFF!J117</f>
        <v>4.8079999999999998E-2</v>
      </c>
      <c r="Q88" s="690">
        <f>T_CEFF!K117</f>
        <v>4.8079999999999998E-2</v>
      </c>
      <c r="R88" s="690">
        <f>T_CEFF!L117</f>
        <v>4.8079999999999998E-2</v>
      </c>
      <c r="S88" s="690">
        <f>T_CEFF!M117</f>
        <v>4.8079999999999998E-2</v>
      </c>
      <c r="T88" s="690">
        <f>T_CEFF!N117</f>
        <v>4.8079999999999998E-2</v>
      </c>
      <c r="U88" s="690">
        <f>T_CEFF!O117</f>
        <v>4.8079999999999998E-2</v>
      </c>
      <c r="V88" s="690">
        <f>T_CEFF!P117</f>
        <v>4.8079999999999998E-2</v>
      </c>
      <c r="W88" s="690">
        <f>T_CEFF!Q117</f>
        <v>4.8079999999999998E-2</v>
      </c>
      <c r="X88" s="690">
        <f>T_CEFF!R117</f>
        <v>4.8079999999999998E-2</v>
      </c>
      <c r="Y88" s="690">
        <f>T_CEFF!S117</f>
        <v>4.8079999999999998E-2</v>
      </c>
      <c r="Z88" s="690">
        <f>T_CEFF!T117</f>
        <v>4.8079999999999998E-2</v>
      </c>
      <c r="AA88" s="690">
        <f>T_CEFF!U117</f>
        <v>4.8079999999999998E-2</v>
      </c>
      <c r="AB88" s="690">
        <f>T_CEFF!V117</f>
        <v>4.8079999999999998E-2</v>
      </c>
      <c r="AE88" s="357"/>
      <c r="AF88" s="89"/>
      <c r="AV88" s="700" t="str">
        <f t="shared" si="20"/>
        <v/>
      </c>
      <c r="AW88" s="568"/>
      <c r="AX88" s="568"/>
      <c r="AY88" s="568"/>
      <c r="AZ88" s="568"/>
      <c r="BA88" s="568"/>
      <c r="BB88" s="568"/>
      <c r="BC88" s="568"/>
      <c r="BD88" s="568"/>
      <c r="BE88" s="568"/>
      <c r="BF88" s="568"/>
      <c r="BG88" s="568"/>
      <c r="BH88" s="568"/>
      <c r="BI88" s="568"/>
      <c r="BJ88" s="568"/>
      <c r="BK88" s="568"/>
      <c r="BL88" s="568"/>
    </row>
    <row r="89" spans="1:64" s="83" customFormat="1" x14ac:dyDescent="0.25">
      <c r="A89" s="82"/>
      <c r="B89" s="178" t="str">
        <f t="shared" si="87"/>
        <v>TBUSGAS100</v>
      </c>
      <c r="C89" s="178"/>
      <c r="D89" s="179"/>
      <c r="E89" s="178"/>
      <c r="F89" s="182"/>
      <c r="G89" s="181"/>
      <c r="H89" s="182"/>
      <c r="I89" s="183"/>
      <c r="J89" s="184"/>
      <c r="K89" s="184" t="s">
        <v>749</v>
      </c>
      <c r="L89" s="184" t="s">
        <v>1128</v>
      </c>
      <c r="M89" s="186" t="s">
        <v>1159</v>
      </c>
      <c r="N89" s="691">
        <f t="shared" ref="N89:AB89" si="88">N$16</f>
        <v>0</v>
      </c>
      <c r="O89" s="691">
        <f t="shared" si="88"/>
        <v>0</v>
      </c>
      <c r="P89" s="691">
        <f t="shared" si="88"/>
        <v>0</v>
      </c>
      <c r="Q89" s="691">
        <f t="shared" si="88"/>
        <v>0</v>
      </c>
      <c r="R89" s="691">
        <f t="shared" si="88"/>
        <v>0</v>
      </c>
      <c r="S89" s="691">
        <f t="shared" si="88"/>
        <v>0</v>
      </c>
      <c r="T89" s="691">
        <f t="shared" si="88"/>
        <v>0</v>
      </c>
      <c r="U89" s="691">
        <f t="shared" si="88"/>
        <v>0</v>
      </c>
      <c r="V89" s="691">
        <f t="shared" si="88"/>
        <v>0</v>
      </c>
      <c r="W89" s="691">
        <f t="shared" si="88"/>
        <v>0</v>
      </c>
      <c r="X89" s="691">
        <f t="shared" si="88"/>
        <v>0</v>
      </c>
      <c r="Y89" s="691">
        <f t="shared" si="88"/>
        <v>0</v>
      </c>
      <c r="Z89" s="691">
        <f t="shared" si="88"/>
        <v>0</v>
      </c>
      <c r="AA89" s="691">
        <f t="shared" si="88"/>
        <v>0</v>
      </c>
      <c r="AB89" s="691">
        <f t="shared" si="88"/>
        <v>0</v>
      </c>
      <c r="AE89" s="357"/>
      <c r="AF89" s="89"/>
      <c r="AV89" s="700" t="str">
        <f t="shared" si="20"/>
        <v/>
      </c>
      <c r="AW89" s="568"/>
      <c r="AX89" s="568"/>
      <c r="AY89" s="568"/>
      <c r="AZ89" s="568"/>
      <c r="BA89" s="568"/>
      <c r="BB89" s="568"/>
      <c r="BC89" s="568"/>
      <c r="BD89" s="568"/>
      <c r="BE89" s="568"/>
      <c r="BF89" s="568"/>
      <c r="BG89" s="568"/>
      <c r="BH89" s="568"/>
      <c r="BI89" s="568"/>
      <c r="BJ89" s="568"/>
      <c r="BK89" s="568"/>
      <c r="BL89" s="568"/>
    </row>
    <row r="90" spans="1:64" s="83" customFormat="1" x14ac:dyDescent="0.25">
      <c r="A90" s="82"/>
      <c r="B90" s="178" t="str">
        <f t="shared" si="87"/>
        <v>TBUSGAS100</v>
      </c>
      <c r="C90" s="178"/>
      <c r="D90" s="179"/>
      <c r="E90" s="178"/>
      <c r="F90" s="182"/>
      <c r="G90" s="181"/>
      <c r="H90" s="182"/>
      <c r="I90" s="183"/>
      <c r="J90" s="184"/>
      <c r="K90" s="184"/>
      <c r="L90" s="203" t="s">
        <v>1130</v>
      </c>
      <c r="M90" s="178" t="s">
        <v>1131</v>
      </c>
      <c r="N90" s="389">
        <f>LOOKUP($C$85, T_NCAP_AF!$C$95:$C$105, T_NCAP_AF!D$95:D$105)*(1+N29)</f>
        <v>0</v>
      </c>
      <c r="O90" s="389">
        <f>LOOKUP($C$85, T_NCAP_AF!$C$95:$C$105, T_NCAP_AF!E$95:E$105)*(1+O29)</f>
        <v>0</v>
      </c>
      <c r="P90" s="389">
        <f>LOOKUP($C$85, T_NCAP_AF!$C$95:$C$105, T_NCAP_AF!F$95:F$105)*(1+P29)</f>
        <v>0</v>
      </c>
      <c r="Q90" s="389">
        <f>LOOKUP($C$85, T_NCAP_AF!$C$95:$C$105, T_NCAP_AF!G$95:G$105)*(1+Q29)</f>
        <v>0</v>
      </c>
      <c r="R90" s="389">
        <f>LOOKUP($C$85, T_NCAP_AF!$C$95:$C$105, T_NCAP_AF!H$95:H$105)*(1+R29)</f>
        <v>0</v>
      </c>
      <c r="S90" s="389">
        <f>LOOKUP($C$85, T_NCAP_AF!$C$95:$C$105, T_NCAP_AF!I$95:I$105)*(1+S29)</f>
        <v>0</v>
      </c>
      <c r="T90" s="389">
        <f>LOOKUP($C$85, T_NCAP_AF!$C$95:$C$105, T_NCAP_AF!J$95:J$105)*(1+T29)</f>
        <v>0</v>
      </c>
      <c r="U90" s="389">
        <f>LOOKUP($C$85, T_NCAP_AF!$C$95:$C$105, T_NCAP_AF!K$95:K$105)*(1+U29)</f>
        <v>0</v>
      </c>
      <c r="V90" s="389">
        <f>LOOKUP($C$85, T_NCAP_AF!$C$95:$C$105, T_NCAP_AF!L$95:L$105)*(1+V29)</f>
        <v>0</v>
      </c>
      <c r="W90" s="389">
        <f>LOOKUP($C$85, T_NCAP_AF!$C$95:$C$105, T_NCAP_AF!M$95:M$105)*(1+W29)</f>
        <v>0</v>
      </c>
      <c r="X90" s="389">
        <f>LOOKUP($C$85, T_NCAP_AF!$C$95:$C$105, T_NCAP_AF!N$95:N$105)*(1+X29)</f>
        <v>0</v>
      </c>
      <c r="Y90" s="389">
        <f>LOOKUP($C$85, T_NCAP_AF!$C$95:$C$105, T_NCAP_AF!O$95:O$105)*(1+Y29)</f>
        <v>0</v>
      </c>
      <c r="Z90" s="389">
        <f>LOOKUP($C$85, T_NCAP_AF!$C$95:$C$105, T_NCAP_AF!P$95:P$105)*(1+Z29)</f>
        <v>0</v>
      </c>
      <c r="AA90" s="389">
        <f>LOOKUP($C$85, T_NCAP_AF!$C$95:$C$105, T_NCAP_AF!Q$95:Q$105)*(1+AA29)</f>
        <v>0</v>
      </c>
      <c r="AB90" s="389">
        <f>LOOKUP($C$85, T_NCAP_AF!$C$95:$C$105, T_NCAP_AF!R$95:R$105)*(1+AB29)</f>
        <v>0</v>
      </c>
      <c r="AE90" s="572">
        <f>SUM(AF90:AT90)</f>
        <v>0</v>
      </c>
      <c r="AF90" s="85">
        <f t="shared" ref="AF90:AT90" si="89">N89*N90*N91/1000</f>
        <v>0</v>
      </c>
      <c r="AG90" s="85">
        <f t="shared" si="89"/>
        <v>0</v>
      </c>
      <c r="AH90" s="85">
        <f t="shared" si="89"/>
        <v>0</v>
      </c>
      <c r="AI90" s="85">
        <f t="shared" si="89"/>
        <v>0</v>
      </c>
      <c r="AJ90" s="85">
        <f t="shared" si="89"/>
        <v>0</v>
      </c>
      <c r="AK90" s="85">
        <f t="shared" si="89"/>
        <v>0</v>
      </c>
      <c r="AL90" s="85">
        <f t="shared" si="89"/>
        <v>0</v>
      </c>
      <c r="AM90" s="85">
        <f t="shared" si="89"/>
        <v>0</v>
      </c>
      <c r="AN90" s="85">
        <f t="shared" si="89"/>
        <v>0</v>
      </c>
      <c r="AO90" s="85">
        <f t="shared" si="89"/>
        <v>0</v>
      </c>
      <c r="AP90" s="85">
        <f t="shared" si="89"/>
        <v>0</v>
      </c>
      <c r="AQ90" s="85">
        <f t="shared" si="89"/>
        <v>0</v>
      </c>
      <c r="AR90" s="85">
        <f t="shared" si="89"/>
        <v>0</v>
      </c>
      <c r="AS90" s="85">
        <f t="shared" si="89"/>
        <v>0</v>
      </c>
      <c r="AT90" s="85">
        <f t="shared" si="89"/>
        <v>0</v>
      </c>
      <c r="AV90" s="700" t="str">
        <f t="shared" si="20"/>
        <v/>
      </c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</row>
    <row r="91" spans="1:64" s="83" customFormat="1" x14ac:dyDescent="0.25">
      <c r="A91" s="82"/>
      <c r="B91" s="178" t="str">
        <f t="shared" si="87"/>
        <v>TBUSGAS100</v>
      </c>
      <c r="C91" s="178"/>
      <c r="D91" s="179"/>
      <c r="E91" s="178"/>
      <c r="F91" s="182"/>
      <c r="G91" s="181"/>
      <c r="H91" s="182"/>
      <c r="I91" s="183">
        <f>$M$3</f>
        <v>2019</v>
      </c>
      <c r="J91" s="184"/>
      <c r="K91" s="184"/>
      <c r="L91" s="203" t="s">
        <v>1065</v>
      </c>
      <c r="M91" s="178" t="s">
        <v>748</v>
      </c>
      <c r="N91" s="687">
        <f>LOOKUP($C$85, T_Stock_Private!$C$58:$C$68, T_Stock_Private!D$58:D$68)*(1+N30)</f>
        <v>0</v>
      </c>
      <c r="O91" s="687">
        <f>LOOKUP($C$85, T_Stock_Private!$C$58:$C$68, T_Stock_Private!E$58:E$68)*(1+O30)</f>
        <v>0</v>
      </c>
      <c r="P91" s="687">
        <f>LOOKUP($C$85, T_Stock_Private!$C$58:$C$68, T_Stock_Private!F$58:F$68)*(1+P30)</f>
        <v>0</v>
      </c>
      <c r="Q91" s="687">
        <f>LOOKUP($C$85, T_Stock_Private!$C$58:$C$68, T_Stock_Private!G$58:G$68)*(1+Q30)</f>
        <v>0</v>
      </c>
      <c r="R91" s="687">
        <f>LOOKUP($C$85, T_Stock_Private!$C$58:$C$68, T_Stock_Private!H$58:H$68)*(1+R30)</f>
        <v>0</v>
      </c>
      <c r="S91" s="687">
        <f>LOOKUP($C$85, T_Stock_Private!$C$58:$C$68, T_Stock_Private!I$58:I$68)*(1+S30)</f>
        <v>0</v>
      </c>
      <c r="T91" s="687">
        <f>LOOKUP($C$85, T_Stock_Private!$C$58:$C$68, T_Stock_Private!J$58:J$68)*(1+T30)</f>
        <v>0</v>
      </c>
      <c r="U91" s="687">
        <f>LOOKUP($C$85, T_Stock_Private!$C$58:$C$68, T_Stock_Private!K$58:K$68)*(1+U30)</f>
        <v>0</v>
      </c>
      <c r="V91" s="687">
        <f>LOOKUP($C$85, T_Stock_Private!$C$58:$C$68, T_Stock_Private!L$58:L$68)*(1+V30)</f>
        <v>0</v>
      </c>
      <c r="W91" s="687">
        <f>LOOKUP($C$85, T_Stock_Private!$C$58:$C$68, T_Stock_Private!M$58:M$68)*(1+W30)</f>
        <v>0</v>
      </c>
      <c r="X91" s="687">
        <f>LOOKUP($C$85, T_Stock_Private!$C$58:$C$68, T_Stock_Private!N$58:N$68)*(1+X30)</f>
        <v>0</v>
      </c>
      <c r="Y91" s="687">
        <f>LOOKUP($C$85, T_Stock_Private!$C$58:$C$68, T_Stock_Private!O$58:O$68)*(1+Y30)</f>
        <v>0</v>
      </c>
      <c r="Z91" s="687">
        <f>LOOKUP($C$85, T_Stock_Private!$C$58:$C$68, T_Stock_Private!P$58:P$68)*(1+Z30)</f>
        <v>0</v>
      </c>
      <c r="AA91" s="687">
        <f>LOOKUP($C$85, T_Stock_Private!$C$58:$C$68, T_Stock_Private!Q$58:Q$68)*(1+AA30)</f>
        <v>0</v>
      </c>
      <c r="AB91" s="687">
        <f>LOOKUP($C$85, T_Stock_Private!$C$58:$C$68, T_Stock_Private!R$58:R$68)*(1+AB30)</f>
        <v>0</v>
      </c>
      <c r="AC91" s="89"/>
      <c r="AD91" s="35"/>
      <c r="AE91" s="357"/>
      <c r="AF91" s="89"/>
      <c r="AV91" s="700" t="str">
        <f t="shared" si="20"/>
        <v/>
      </c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</row>
    <row r="92" spans="1:64" s="83" customFormat="1" x14ac:dyDescent="0.25">
      <c r="A92" s="82"/>
      <c r="B92" s="178" t="str">
        <f t="shared" si="87"/>
        <v>TBUSGAS100</v>
      </c>
      <c r="C92" s="178"/>
      <c r="D92" s="179"/>
      <c r="E92" s="178"/>
      <c r="F92" s="182"/>
      <c r="G92" s="181"/>
      <c r="H92" s="182"/>
      <c r="I92" s="183">
        <f>AF$5</f>
        <v>2020</v>
      </c>
      <c r="J92" s="184"/>
      <c r="K92" s="184"/>
      <c r="L92" s="203" t="s">
        <v>1065</v>
      </c>
      <c r="M92" s="178" t="s">
        <v>748</v>
      </c>
      <c r="N92" s="687">
        <f t="shared" ref="N92:AB92" si="90">N91*LOOKUP($AD85,$AG$4:$AP$4,$AG$5:$AP$5)</f>
        <v>0</v>
      </c>
      <c r="O92" s="687">
        <f t="shared" si="90"/>
        <v>0</v>
      </c>
      <c r="P92" s="687">
        <f t="shared" si="90"/>
        <v>0</v>
      </c>
      <c r="Q92" s="687">
        <f t="shared" si="90"/>
        <v>0</v>
      </c>
      <c r="R92" s="687">
        <f t="shared" si="90"/>
        <v>0</v>
      </c>
      <c r="S92" s="687">
        <f t="shared" si="90"/>
        <v>0</v>
      </c>
      <c r="T92" s="687">
        <f t="shared" si="90"/>
        <v>0</v>
      </c>
      <c r="U92" s="687">
        <f t="shared" si="90"/>
        <v>0</v>
      </c>
      <c r="V92" s="687">
        <f t="shared" si="90"/>
        <v>0</v>
      </c>
      <c r="W92" s="687">
        <f t="shared" si="90"/>
        <v>0</v>
      </c>
      <c r="X92" s="687">
        <f t="shared" si="90"/>
        <v>0</v>
      </c>
      <c r="Y92" s="687">
        <f t="shared" si="90"/>
        <v>0</v>
      </c>
      <c r="Z92" s="687">
        <f t="shared" si="90"/>
        <v>0</v>
      </c>
      <c r="AA92" s="687">
        <f t="shared" si="90"/>
        <v>0</v>
      </c>
      <c r="AB92" s="687">
        <f t="shared" si="90"/>
        <v>0</v>
      </c>
      <c r="AD92" s="35"/>
      <c r="AE92" s="357"/>
      <c r="AF92" s="89"/>
      <c r="AV92" s="700" t="str">
        <f t="shared" si="20"/>
        <v/>
      </c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</row>
    <row r="93" spans="1:64" s="83" customFormat="1" x14ac:dyDescent="0.25">
      <c r="A93" s="82"/>
      <c r="B93" s="178" t="str">
        <f t="shared" si="87"/>
        <v>TBUSGAS100</v>
      </c>
      <c r="C93" s="178"/>
      <c r="D93" s="179"/>
      <c r="E93" s="178"/>
      <c r="F93" s="182"/>
      <c r="G93" s="181"/>
      <c r="H93" s="182"/>
      <c r="I93" s="183">
        <f>AF$6</f>
        <v>2025</v>
      </c>
      <c r="J93" s="184"/>
      <c r="K93" s="184"/>
      <c r="L93" s="203" t="s">
        <v>1065</v>
      </c>
      <c r="M93" s="178" t="s">
        <v>748</v>
      </c>
      <c r="N93" s="687">
        <f t="shared" ref="N93:AB93" si="91">N91*LOOKUP($AD85,$AG$4:$AP$4,$AG$6:$AP$6)</f>
        <v>0</v>
      </c>
      <c r="O93" s="687">
        <f t="shared" si="91"/>
        <v>0</v>
      </c>
      <c r="P93" s="687">
        <f t="shared" si="91"/>
        <v>0</v>
      </c>
      <c r="Q93" s="687">
        <f t="shared" si="91"/>
        <v>0</v>
      </c>
      <c r="R93" s="687">
        <f t="shared" si="91"/>
        <v>0</v>
      </c>
      <c r="S93" s="687">
        <f t="shared" si="91"/>
        <v>0</v>
      </c>
      <c r="T93" s="687">
        <f t="shared" si="91"/>
        <v>0</v>
      </c>
      <c r="U93" s="687">
        <f t="shared" si="91"/>
        <v>0</v>
      </c>
      <c r="V93" s="687">
        <f t="shared" si="91"/>
        <v>0</v>
      </c>
      <c r="W93" s="687">
        <f t="shared" si="91"/>
        <v>0</v>
      </c>
      <c r="X93" s="687">
        <f t="shared" si="91"/>
        <v>0</v>
      </c>
      <c r="Y93" s="687">
        <f t="shared" si="91"/>
        <v>0</v>
      </c>
      <c r="Z93" s="687">
        <f t="shared" si="91"/>
        <v>0</v>
      </c>
      <c r="AA93" s="687">
        <f t="shared" si="91"/>
        <v>0</v>
      </c>
      <c r="AB93" s="687">
        <f t="shared" si="91"/>
        <v>0</v>
      </c>
      <c r="AD93" s="35"/>
      <c r="AE93" s="357"/>
      <c r="AF93" s="89"/>
      <c r="AV93" s="700" t="str">
        <f t="shared" si="20"/>
        <v/>
      </c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</row>
    <row r="94" spans="1:64" s="83" customFormat="1" x14ac:dyDescent="0.25">
      <c r="A94" s="82"/>
      <c r="B94" s="178" t="str">
        <f t="shared" si="87"/>
        <v>TBUSGAS100</v>
      </c>
      <c r="C94" s="178"/>
      <c r="D94" s="179"/>
      <c r="E94" s="178"/>
      <c r="F94" s="182"/>
      <c r="G94" s="181"/>
      <c r="H94" s="182"/>
      <c r="I94" s="183">
        <f>AF$7</f>
        <v>2030</v>
      </c>
      <c r="J94" s="184"/>
      <c r="K94" s="184"/>
      <c r="L94" s="203" t="s">
        <v>1065</v>
      </c>
      <c r="M94" s="178" t="s">
        <v>748</v>
      </c>
      <c r="N94" s="687">
        <f t="shared" ref="N94:AB94" si="92">N91*LOOKUP($AD85,$AG$4:$AP$4,$AG$7:$AP$7)</f>
        <v>0</v>
      </c>
      <c r="O94" s="687">
        <f t="shared" si="92"/>
        <v>0</v>
      </c>
      <c r="P94" s="687">
        <f t="shared" si="92"/>
        <v>0</v>
      </c>
      <c r="Q94" s="687">
        <f t="shared" si="92"/>
        <v>0</v>
      </c>
      <c r="R94" s="687">
        <f t="shared" si="92"/>
        <v>0</v>
      </c>
      <c r="S94" s="687">
        <f t="shared" si="92"/>
        <v>0</v>
      </c>
      <c r="T94" s="687">
        <f t="shared" si="92"/>
        <v>0</v>
      </c>
      <c r="U94" s="687">
        <f t="shared" si="92"/>
        <v>0</v>
      </c>
      <c r="V94" s="687">
        <f t="shared" si="92"/>
        <v>0</v>
      </c>
      <c r="W94" s="687">
        <f t="shared" si="92"/>
        <v>0</v>
      </c>
      <c r="X94" s="687">
        <f t="shared" si="92"/>
        <v>0</v>
      </c>
      <c r="Y94" s="687">
        <f t="shared" si="92"/>
        <v>0</v>
      </c>
      <c r="Z94" s="687">
        <f t="shared" si="92"/>
        <v>0</v>
      </c>
      <c r="AA94" s="687">
        <f t="shared" si="92"/>
        <v>0</v>
      </c>
      <c r="AB94" s="687">
        <f t="shared" si="92"/>
        <v>0</v>
      </c>
      <c r="AD94" s="35"/>
      <c r="AE94" s="357"/>
      <c r="AF94" s="89"/>
      <c r="AV94" s="700" t="str">
        <f t="shared" si="20"/>
        <v/>
      </c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</row>
    <row r="95" spans="1:64" s="83" customFormat="1" x14ac:dyDescent="0.25">
      <c r="A95" s="82"/>
      <c r="B95" s="178" t="str">
        <f t="shared" si="87"/>
        <v>TBUSGAS100</v>
      </c>
      <c r="C95" s="178"/>
      <c r="D95" s="179"/>
      <c r="E95" s="178"/>
      <c r="F95" s="182"/>
      <c r="G95" s="181"/>
      <c r="H95" s="182"/>
      <c r="I95" s="183">
        <f>AF$8</f>
        <v>2035</v>
      </c>
      <c r="J95" s="184"/>
      <c r="K95" s="184"/>
      <c r="L95" s="203" t="s">
        <v>1065</v>
      </c>
      <c r="M95" s="178" t="s">
        <v>748</v>
      </c>
      <c r="N95" s="687">
        <f t="shared" ref="N95:AB95" si="93">N91*LOOKUP($AD85,$AG$4:$AP$4,$AG$8:$AP$8)</f>
        <v>0</v>
      </c>
      <c r="O95" s="687">
        <f t="shared" si="93"/>
        <v>0</v>
      </c>
      <c r="P95" s="687">
        <f t="shared" si="93"/>
        <v>0</v>
      </c>
      <c r="Q95" s="687">
        <f t="shared" si="93"/>
        <v>0</v>
      </c>
      <c r="R95" s="687">
        <f t="shared" si="93"/>
        <v>0</v>
      </c>
      <c r="S95" s="687">
        <f t="shared" si="93"/>
        <v>0</v>
      </c>
      <c r="T95" s="687">
        <f t="shared" si="93"/>
        <v>0</v>
      </c>
      <c r="U95" s="687">
        <f t="shared" si="93"/>
        <v>0</v>
      </c>
      <c r="V95" s="687">
        <f t="shared" si="93"/>
        <v>0</v>
      </c>
      <c r="W95" s="687">
        <f t="shared" si="93"/>
        <v>0</v>
      </c>
      <c r="X95" s="687">
        <f t="shared" si="93"/>
        <v>0</v>
      </c>
      <c r="Y95" s="687">
        <f t="shared" si="93"/>
        <v>0</v>
      </c>
      <c r="Z95" s="687">
        <f t="shared" si="93"/>
        <v>0</v>
      </c>
      <c r="AA95" s="687">
        <f t="shared" si="93"/>
        <v>0</v>
      </c>
      <c r="AB95" s="687">
        <f t="shared" si="93"/>
        <v>0</v>
      </c>
      <c r="AD95" s="35"/>
      <c r="AE95" s="357"/>
      <c r="AF95" s="89"/>
      <c r="AV95" s="700" t="str">
        <f t="shared" si="20"/>
        <v/>
      </c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</row>
    <row r="96" spans="1:64" s="83" customFormat="1" x14ac:dyDescent="0.25">
      <c r="A96" s="82"/>
      <c r="B96" s="178" t="str">
        <f t="shared" si="87"/>
        <v>TBUSGAS100</v>
      </c>
      <c r="C96" s="178"/>
      <c r="D96" s="179"/>
      <c r="E96" s="178"/>
      <c r="F96" s="182"/>
      <c r="G96" s="181"/>
      <c r="H96" s="182"/>
      <c r="I96" s="183">
        <f>AF$9</f>
        <v>2040</v>
      </c>
      <c r="J96" s="184"/>
      <c r="K96" s="184"/>
      <c r="L96" s="203" t="s">
        <v>1065</v>
      </c>
      <c r="M96" s="178" t="s">
        <v>748</v>
      </c>
      <c r="N96" s="687">
        <f t="shared" ref="N96:AB96" si="94">N91*LOOKUP($AD85,$AG$4:$AP$4,$AG$9:$AP$9)</f>
        <v>0</v>
      </c>
      <c r="O96" s="687">
        <f t="shared" si="94"/>
        <v>0</v>
      </c>
      <c r="P96" s="687">
        <f t="shared" si="94"/>
        <v>0</v>
      </c>
      <c r="Q96" s="687">
        <f t="shared" si="94"/>
        <v>0</v>
      </c>
      <c r="R96" s="687">
        <f t="shared" si="94"/>
        <v>0</v>
      </c>
      <c r="S96" s="687">
        <f t="shared" si="94"/>
        <v>0</v>
      </c>
      <c r="T96" s="687">
        <f t="shared" si="94"/>
        <v>0</v>
      </c>
      <c r="U96" s="687">
        <f t="shared" si="94"/>
        <v>0</v>
      </c>
      <c r="V96" s="687">
        <f t="shared" si="94"/>
        <v>0</v>
      </c>
      <c r="W96" s="687">
        <f t="shared" si="94"/>
        <v>0</v>
      </c>
      <c r="X96" s="687">
        <f t="shared" si="94"/>
        <v>0</v>
      </c>
      <c r="Y96" s="687">
        <f t="shared" si="94"/>
        <v>0</v>
      </c>
      <c r="Z96" s="687">
        <f t="shared" si="94"/>
        <v>0</v>
      </c>
      <c r="AA96" s="687">
        <f t="shared" si="94"/>
        <v>0</v>
      </c>
      <c r="AB96" s="687">
        <f t="shared" si="94"/>
        <v>0</v>
      </c>
      <c r="AD96" s="35"/>
      <c r="AE96" s="357"/>
      <c r="AF96" s="89"/>
      <c r="AV96" s="700" t="str">
        <f t="shared" si="20"/>
        <v/>
      </c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</row>
    <row r="97" spans="1:64" s="83" customFormat="1" x14ac:dyDescent="0.25">
      <c r="A97" s="82"/>
      <c r="B97" s="204" t="str">
        <f t="shared" si="87"/>
        <v>TBUSGAS100</v>
      </c>
      <c r="C97" s="204"/>
      <c r="D97" s="205"/>
      <c r="E97" s="204"/>
      <c r="F97" s="206"/>
      <c r="G97" s="207"/>
      <c r="H97" s="206"/>
      <c r="I97" s="208">
        <f>AF$10</f>
        <v>2050</v>
      </c>
      <c r="J97" s="209"/>
      <c r="K97" s="209"/>
      <c r="L97" s="210" t="s">
        <v>1065</v>
      </c>
      <c r="M97" s="204" t="s">
        <v>748</v>
      </c>
      <c r="N97" s="688">
        <f t="shared" ref="N97:AB97" si="95">N91*LOOKUP($AD85,$AG$4:$AP$4,$AG$10:$AP$10)</f>
        <v>0</v>
      </c>
      <c r="O97" s="688">
        <f t="shared" si="95"/>
        <v>0</v>
      </c>
      <c r="P97" s="688">
        <f t="shared" si="95"/>
        <v>0</v>
      </c>
      <c r="Q97" s="688">
        <f t="shared" si="95"/>
        <v>0</v>
      </c>
      <c r="R97" s="688">
        <f t="shared" si="95"/>
        <v>0</v>
      </c>
      <c r="S97" s="688">
        <f t="shared" si="95"/>
        <v>0</v>
      </c>
      <c r="T97" s="688">
        <f t="shared" si="95"/>
        <v>0</v>
      </c>
      <c r="U97" s="688">
        <f t="shared" si="95"/>
        <v>0</v>
      </c>
      <c r="V97" s="688">
        <f t="shared" si="95"/>
        <v>0</v>
      </c>
      <c r="W97" s="688">
        <f t="shared" si="95"/>
        <v>0</v>
      </c>
      <c r="X97" s="688">
        <f t="shared" si="95"/>
        <v>0</v>
      </c>
      <c r="Y97" s="688">
        <f t="shared" si="95"/>
        <v>0</v>
      </c>
      <c r="Z97" s="688">
        <f t="shared" si="95"/>
        <v>0</v>
      </c>
      <c r="AA97" s="688">
        <f t="shared" si="95"/>
        <v>0</v>
      </c>
      <c r="AB97" s="688">
        <f t="shared" si="95"/>
        <v>0</v>
      </c>
      <c r="AD97" s="35"/>
      <c r="AE97" s="357"/>
      <c r="AF97" s="89"/>
      <c r="AV97" s="700" t="str">
        <f t="shared" si="20"/>
        <v/>
      </c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</row>
    <row r="98" spans="1:64" s="83" customFormat="1" x14ac:dyDescent="0.25">
      <c r="A98" s="82"/>
      <c r="B98" s="178" t="str">
        <f>C98</f>
        <v>TBUSGSL100</v>
      </c>
      <c r="C98" s="178" t="s">
        <v>330</v>
      </c>
      <c r="D98" s="179" t="s">
        <v>768</v>
      </c>
      <c r="E98" s="180" t="s">
        <v>1012</v>
      </c>
      <c r="F98" s="182"/>
      <c r="G98" s="181"/>
      <c r="H98" s="182"/>
      <c r="I98" s="183"/>
      <c r="J98" s="184"/>
      <c r="K98" s="184"/>
      <c r="L98" s="203" t="s">
        <v>1107</v>
      </c>
      <c r="M98" s="184" t="s">
        <v>1156</v>
      </c>
      <c r="N98" s="692">
        <f>N$47</f>
        <v>1E-3</v>
      </c>
      <c r="O98" s="692">
        <f t="shared" ref="O98:AB98" si="96">$N98</f>
        <v>1E-3</v>
      </c>
      <c r="P98" s="692">
        <f t="shared" si="96"/>
        <v>1E-3</v>
      </c>
      <c r="Q98" s="692">
        <f t="shared" si="96"/>
        <v>1E-3</v>
      </c>
      <c r="R98" s="692">
        <f t="shared" si="96"/>
        <v>1E-3</v>
      </c>
      <c r="S98" s="692">
        <f t="shared" si="96"/>
        <v>1E-3</v>
      </c>
      <c r="T98" s="692">
        <f t="shared" si="96"/>
        <v>1E-3</v>
      </c>
      <c r="U98" s="692">
        <f t="shared" si="96"/>
        <v>1E-3</v>
      </c>
      <c r="V98" s="692">
        <f t="shared" si="96"/>
        <v>1E-3</v>
      </c>
      <c r="W98" s="692">
        <f t="shared" si="96"/>
        <v>1E-3</v>
      </c>
      <c r="X98" s="692">
        <f t="shared" si="96"/>
        <v>1E-3</v>
      </c>
      <c r="Y98" s="692">
        <f t="shared" si="96"/>
        <v>1E-3</v>
      </c>
      <c r="Z98" s="692">
        <f t="shared" si="96"/>
        <v>1E-3</v>
      </c>
      <c r="AA98" s="692">
        <f t="shared" si="96"/>
        <v>1E-3</v>
      </c>
      <c r="AB98" s="692">
        <f t="shared" si="96"/>
        <v>1E-3</v>
      </c>
      <c r="AD98" s="402" t="str">
        <f>MID(D98,11,3)</f>
        <v>GSL</v>
      </c>
      <c r="AE98" s="357"/>
      <c r="AF98" s="89"/>
      <c r="AV98" s="700" t="str">
        <f t="shared" si="20"/>
        <v>TRAETHM</v>
      </c>
      <c r="AW98" s="568">
        <f t="shared" ref="AW98:AW99" si="97">SUM(AX98:BL98)</f>
        <v>0</v>
      </c>
      <c r="AX98" s="708">
        <f>N$103*N$104*(1-N99)/N$100/1000</f>
        <v>0</v>
      </c>
      <c r="AY98" s="708">
        <f t="shared" ref="AY98:BL98" si="98">O$103*O$104*(1-O99)/O$100/1000</f>
        <v>0</v>
      </c>
      <c r="AZ98" s="708">
        <f t="shared" si="98"/>
        <v>0</v>
      </c>
      <c r="BA98" s="708">
        <f t="shared" si="98"/>
        <v>0</v>
      </c>
      <c r="BB98" s="708">
        <f t="shared" si="98"/>
        <v>0</v>
      </c>
      <c r="BC98" s="708">
        <f t="shared" si="98"/>
        <v>0</v>
      </c>
      <c r="BD98" s="708">
        <f t="shared" si="98"/>
        <v>0</v>
      </c>
      <c r="BE98" s="708">
        <f t="shared" si="98"/>
        <v>0</v>
      </c>
      <c r="BF98" s="708">
        <f t="shared" si="98"/>
        <v>0</v>
      </c>
      <c r="BG98" s="708">
        <f t="shared" si="98"/>
        <v>0</v>
      </c>
      <c r="BH98" s="708">
        <f t="shared" si="98"/>
        <v>0</v>
      </c>
      <c r="BI98" s="708">
        <f t="shared" si="98"/>
        <v>0</v>
      </c>
      <c r="BJ98" s="708">
        <f t="shared" si="98"/>
        <v>0</v>
      </c>
      <c r="BK98" s="708">
        <f t="shared" si="98"/>
        <v>0</v>
      </c>
      <c r="BL98" s="708">
        <f t="shared" si="98"/>
        <v>0</v>
      </c>
    </row>
    <row r="99" spans="1:64" x14ac:dyDescent="0.25">
      <c r="A99" s="22"/>
      <c r="B99" s="186" t="str">
        <f>B98</f>
        <v>TBUSGSL100</v>
      </c>
      <c r="C99" s="186"/>
      <c r="D99" s="187"/>
      <c r="E99" s="188" t="s">
        <v>1014</v>
      </c>
      <c r="F99" s="170"/>
      <c r="G99" s="189"/>
      <c r="H99" s="170"/>
      <c r="I99" s="190"/>
      <c r="J99" s="191" t="s">
        <v>1127</v>
      </c>
      <c r="K99" s="191"/>
      <c r="L99" s="211" t="s">
        <v>101</v>
      </c>
      <c r="M99" s="186"/>
      <c r="N99" s="675">
        <f>1-N$22</f>
        <v>0.97</v>
      </c>
      <c r="O99" s="675">
        <f t="shared" ref="O99:AB99" si="99">1-O$22</f>
        <v>0.97</v>
      </c>
      <c r="P99" s="675">
        <f t="shared" si="99"/>
        <v>0.97</v>
      </c>
      <c r="Q99" s="675">
        <f t="shared" si="99"/>
        <v>0.97</v>
      </c>
      <c r="R99" s="675">
        <f t="shared" si="99"/>
        <v>0.97</v>
      </c>
      <c r="S99" s="675">
        <f t="shared" si="99"/>
        <v>0.97</v>
      </c>
      <c r="T99" s="675">
        <f t="shared" si="99"/>
        <v>0.97</v>
      </c>
      <c r="U99" s="675">
        <f t="shared" si="99"/>
        <v>0.97</v>
      </c>
      <c r="V99" s="675">
        <f t="shared" si="99"/>
        <v>0.97</v>
      </c>
      <c r="W99" s="675">
        <f t="shared" si="99"/>
        <v>0.97</v>
      </c>
      <c r="X99" s="675">
        <f t="shared" si="99"/>
        <v>0.97</v>
      </c>
      <c r="Y99" s="675">
        <f t="shared" si="99"/>
        <v>0.97</v>
      </c>
      <c r="Z99" s="675">
        <f t="shared" si="99"/>
        <v>0.97</v>
      </c>
      <c r="AA99" s="675">
        <f t="shared" si="99"/>
        <v>0.97</v>
      </c>
      <c r="AB99" s="675">
        <f t="shared" si="99"/>
        <v>0.97</v>
      </c>
      <c r="AD99" s="66" t="str">
        <f>IF(COUNTIF($AG$4:$AP$4,AD98)=1,"ok","MISSING")</f>
        <v>ok</v>
      </c>
      <c r="AE99" s="357"/>
      <c r="AF99" s="89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V99" s="700" t="str">
        <f t="shared" si="20"/>
        <v>TRAGSL</v>
      </c>
      <c r="AW99" s="568">
        <f t="shared" si="97"/>
        <v>0</v>
      </c>
      <c r="AX99" s="708">
        <f t="shared" ref="AX99:BL99" si="100">N$103*N$104*N99/N$100/1000</f>
        <v>0</v>
      </c>
      <c r="AY99" s="708">
        <f t="shared" si="100"/>
        <v>0</v>
      </c>
      <c r="AZ99" s="708">
        <f t="shared" si="100"/>
        <v>0</v>
      </c>
      <c r="BA99" s="708">
        <f t="shared" si="100"/>
        <v>0</v>
      </c>
      <c r="BB99" s="708">
        <f t="shared" si="100"/>
        <v>0</v>
      </c>
      <c r="BC99" s="708">
        <f t="shared" si="100"/>
        <v>0</v>
      </c>
      <c r="BD99" s="708">
        <f t="shared" si="100"/>
        <v>0</v>
      </c>
      <c r="BE99" s="708">
        <f t="shared" si="100"/>
        <v>0</v>
      </c>
      <c r="BF99" s="708">
        <f t="shared" si="100"/>
        <v>0</v>
      </c>
      <c r="BG99" s="708">
        <f t="shared" si="100"/>
        <v>0</v>
      </c>
      <c r="BH99" s="708">
        <f t="shared" si="100"/>
        <v>0</v>
      </c>
      <c r="BI99" s="708">
        <f t="shared" si="100"/>
        <v>0</v>
      </c>
      <c r="BJ99" s="708">
        <f t="shared" si="100"/>
        <v>0</v>
      </c>
      <c r="BK99" s="708">
        <f t="shared" si="100"/>
        <v>0</v>
      </c>
      <c r="BL99" s="708">
        <f t="shared" si="100"/>
        <v>0</v>
      </c>
    </row>
    <row r="100" spans="1:64" x14ac:dyDescent="0.25">
      <c r="A100" s="22"/>
      <c r="B100" s="186" t="str">
        <f>B99</f>
        <v>TBUSGSL100</v>
      </c>
      <c r="C100" s="186"/>
      <c r="D100" s="187"/>
      <c r="E100" s="186"/>
      <c r="F100" s="170"/>
      <c r="G100" s="188" t="s">
        <v>415</v>
      </c>
      <c r="H100" s="170"/>
      <c r="I100" s="190"/>
      <c r="J100" s="191"/>
      <c r="K100" s="191"/>
      <c r="L100" s="191" t="s">
        <v>1126</v>
      </c>
      <c r="M100" s="186" t="s">
        <v>678</v>
      </c>
      <c r="N100" s="690">
        <f>T_CEFF!H118</f>
        <v>4.8079999999999998E-2</v>
      </c>
      <c r="O100" s="690">
        <f>T_CEFF!I118</f>
        <v>4.8079999999999998E-2</v>
      </c>
      <c r="P100" s="690">
        <f>T_CEFF!J118</f>
        <v>4.8079999999999998E-2</v>
      </c>
      <c r="Q100" s="690">
        <f>T_CEFF!K118</f>
        <v>4.8079999999999998E-2</v>
      </c>
      <c r="R100" s="690">
        <f>T_CEFF!L118</f>
        <v>4.8079999999999998E-2</v>
      </c>
      <c r="S100" s="690">
        <f>T_CEFF!M118</f>
        <v>4.8079999999999998E-2</v>
      </c>
      <c r="T100" s="690">
        <f>T_CEFF!N118</f>
        <v>4.8079999999999998E-2</v>
      </c>
      <c r="U100" s="690">
        <f>T_CEFF!O118</f>
        <v>4.8079999999999998E-2</v>
      </c>
      <c r="V100" s="690">
        <f>T_CEFF!P118</f>
        <v>4.8079999999999998E-2</v>
      </c>
      <c r="W100" s="690">
        <f>T_CEFF!Q118</f>
        <v>4.8079999999999998E-2</v>
      </c>
      <c r="X100" s="690">
        <f>T_CEFF!R118</f>
        <v>4.8079999999999998E-2</v>
      </c>
      <c r="Y100" s="690">
        <f>T_CEFF!S118</f>
        <v>4.8079999999999998E-2</v>
      </c>
      <c r="Z100" s="690">
        <f>T_CEFF!T118</f>
        <v>4.8079999999999998E-2</v>
      </c>
      <c r="AA100" s="690">
        <f>T_CEFF!U118</f>
        <v>4.8079999999999998E-2</v>
      </c>
      <c r="AB100" s="690">
        <f>T_CEFF!V118</f>
        <v>4.8079999999999998E-2</v>
      </c>
      <c r="AE100" s="36"/>
      <c r="AF100" s="68"/>
      <c r="AV100" s="700" t="str">
        <f t="shared" si="20"/>
        <v/>
      </c>
    </row>
    <row r="101" spans="1:64" x14ac:dyDescent="0.25">
      <c r="A101" s="22"/>
      <c r="B101" s="186" t="str">
        <f>B100</f>
        <v>TBUSGSL100</v>
      </c>
      <c r="C101" s="186"/>
      <c r="D101" s="187"/>
      <c r="E101" s="186"/>
      <c r="F101" s="170"/>
      <c r="G101" s="188" t="s">
        <v>593</v>
      </c>
      <c r="H101" s="170"/>
      <c r="I101" s="190"/>
      <c r="J101" s="191"/>
      <c r="K101" s="191"/>
      <c r="L101" s="191" t="s">
        <v>1126</v>
      </c>
      <c r="M101" s="186" t="s">
        <v>678</v>
      </c>
      <c r="N101" s="690">
        <f>T_CEFF!H119</f>
        <v>4.8079999999999998E-2</v>
      </c>
      <c r="O101" s="690">
        <f>T_CEFF!I119</f>
        <v>4.8079999999999998E-2</v>
      </c>
      <c r="P101" s="690">
        <f>T_CEFF!J119</f>
        <v>4.8079999999999998E-2</v>
      </c>
      <c r="Q101" s="690">
        <f>T_CEFF!K119</f>
        <v>4.8079999999999998E-2</v>
      </c>
      <c r="R101" s="690">
        <f>T_CEFF!L119</f>
        <v>4.8079999999999998E-2</v>
      </c>
      <c r="S101" s="690">
        <f>T_CEFF!M119</f>
        <v>4.8079999999999998E-2</v>
      </c>
      <c r="T101" s="690">
        <f>T_CEFF!N119</f>
        <v>4.8079999999999998E-2</v>
      </c>
      <c r="U101" s="690">
        <f>T_CEFF!O119</f>
        <v>4.8079999999999998E-2</v>
      </c>
      <c r="V101" s="690">
        <f>T_CEFF!P119</f>
        <v>4.8079999999999998E-2</v>
      </c>
      <c r="W101" s="690">
        <f>T_CEFF!Q119</f>
        <v>4.8079999999999998E-2</v>
      </c>
      <c r="X101" s="690">
        <f>T_CEFF!R119</f>
        <v>4.8079999999999998E-2</v>
      </c>
      <c r="Y101" s="690">
        <f>T_CEFF!S119</f>
        <v>4.8079999999999998E-2</v>
      </c>
      <c r="Z101" s="690">
        <f>T_CEFF!T119</f>
        <v>4.8079999999999998E-2</v>
      </c>
      <c r="AA101" s="690">
        <f>T_CEFF!U119</f>
        <v>4.8079999999999998E-2</v>
      </c>
      <c r="AB101" s="690">
        <f>T_CEFF!V119</f>
        <v>4.8079999999999998E-2</v>
      </c>
      <c r="AE101" s="36"/>
      <c r="AF101" s="68"/>
      <c r="AV101" s="700" t="str">
        <f t="shared" si="20"/>
        <v/>
      </c>
      <c r="AW101" s="568"/>
      <c r="AX101" s="568"/>
      <c r="AY101" s="568"/>
      <c r="AZ101" s="568"/>
      <c r="BA101" s="568"/>
      <c r="BB101" s="568"/>
      <c r="BC101" s="568"/>
      <c r="BD101" s="568"/>
      <c r="BE101" s="568"/>
      <c r="BF101" s="568"/>
      <c r="BG101" s="568"/>
      <c r="BH101" s="568"/>
      <c r="BI101" s="568"/>
      <c r="BJ101" s="568"/>
      <c r="BK101" s="568"/>
      <c r="BL101" s="568"/>
    </row>
    <row r="102" spans="1:64" x14ac:dyDescent="0.25">
      <c r="A102" s="22"/>
      <c r="B102" s="186" t="str">
        <f t="shared" ref="B102:B110" si="101">B101</f>
        <v>TBUSGSL100</v>
      </c>
      <c r="C102" s="186"/>
      <c r="D102" s="187"/>
      <c r="E102" s="186"/>
      <c r="F102" s="170"/>
      <c r="G102" s="189"/>
      <c r="H102" s="170"/>
      <c r="I102" s="190"/>
      <c r="J102" s="191"/>
      <c r="K102" s="191" t="s">
        <v>749</v>
      </c>
      <c r="L102" s="191" t="s">
        <v>1128</v>
      </c>
      <c r="M102" s="186" t="s">
        <v>1159</v>
      </c>
      <c r="N102" s="603">
        <f t="shared" ref="N102:AB102" si="102">N$16</f>
        <v>0</v>
      </c>
      <c r="O102" s="603">
        <f t="shared" si="102"/>
        <v>0</v>
      </c>
      <c r="P102" s="603">
        <f t="shared" si="102"/>
        <v>0</v>
      </c>
      <c r="Q102" s="603">
        <f t="shared" si="102"/>
        <v>0</v>
      </c>
      <c r="R102" s="603">
        <f t="shared" si="102"/>
        <v>0</v>
      </c>
      <c r="S102" s="603">
        <f t="shared" si="102"/>
        <v>0</v>
      </c>
      <c r="T102" s="603">
        <f t="shared" si="102"/>
        <v>0</v>
      </c>
      <c r="U102" s="603">
        <f t="shared" si="102"/>
        <v>0</v>
      </c>
      <c r="V102" s="603">
        <f t="shared" si="102"/>
        <v>0</v>
      </c>
      <c r="W102" s="603">
        <f t="shared" si="102"/>
        <v>0</v>
      </c>
      <c r="X102" s="603">
        <f t="shared" si="102"/>
        <v>0</v>
      </c>
      <c r="Y102" s="603">
        <f t="shared" si="102"/>
        <v>0</v>
      </c>
      <c r="Z102" s="603">
        <f t="shared" si="102"/>
        <v>0</v>
      </c>
      <c r="AA102" s="603">
        <f t="shared" si="102"/>
        <v>0</v>
      </c>
      <c r="AB102" s="603">
        <f t="shared" si="102"/>
        <v>0</v>
      </c>
      <c r="AE102" s="36"/>
      <c r="AF102" s="68"/>
      <c r="AV102" s="700" t="str">
        <f t="shared" ref="AV102:AV166" si="103">MID(E102,1,7)</f>
        <v/>
      </c>
      <c r="AW102" s="568"/>
      <c r="AX102" s="568"/>
      <c r="AY102" s="568"/>
      <c r="AZ102" s="568"/>
      <c r="BA102" s="568"/>
      <c r="BB102" s="568"/>
      <c r="BC102" s="568"/>
      <c r="BD102" s="568"/>
      <c r="BE102" s="568"/>
      <c r="BF102" s="568"/>
      <c r="BG102" s="568"/>
      <c r="BH102" s="568"/>
      <c r="BI102" s="568"/>
      <c r="BJ102" s="568"/>
      <c r="BK102" s="568"/>
      <c r="BL102" s="568"/>
    </row>
    <row r="103" spans="1:64" x14ac:dyDescent="0.25">
      <c r="A103" s="22"/>
      <c r="B103" s="186" t="str">
        <f t="shared" si="101"/>
        <v>TBUSGSL100</v>
      </c>
      <c r="C103" s="186"/>
      <c r="D103" s="187"/>
      <c r="E103" s="186"/>
      <c r="F103" s="170"/>
      <c r="G103" s="189"/>
      <c r="H103" s="170"/>
      <c r="I103" s="190"/>
      <c r="J103" s="191"/>
      <c r="K103" s="191"/>
      <c r="L103" s="211" t="s">
        <v>1130</v>
      </c>
      <c r="M103" s="186" t="s">
        <v>1131</v>
      </c>
      <c r="N103" s="389">
        <f>LOOKUP($C$98, T_NCAP_AF!$C$95:$C$105, T_NCAP_AF!D$95:D$105)*(1+N29)</f>
        <v>0</v>
      </c>
      <c r="O103" s="389">
        <f>LOOKUP($C$98, T_NCAP_AF!$C$95:$C$105, T_NCAP_AF!E$95:E$105)*(1+O29)</f>
        <v>0</v>
      </c>
      <c r="P103" s="389">
        <f>LOOKUP($C$98, T_NCAP_AF!$C$95:$C$105, T_NCAP_AF!F$95:F$105)*(1+P29)</f>
        <v>0</v>
      </c>
      <c r="Q103" s="389">
        <f>LOOKUP($C$98, T_NCAP_AF!$C$95:$C$105, T_NCAP_AF!G$95:G$105)*(1+Q29)</f>
        <v>0</v>
      </c>
      <c r="R103" s="389">
        <f>LOOKUP($C$98, T_NCAP_AF!$C$95:$C$105, T_NCAP_AF!H$95:H$105)*(1+R29)</f>
        <v>0</v>
      </c>
      <c r="S103" s="389">
        <f>LOOKUP($C$98, T_NCAP_AF!$C$95:$C$105, T_NCAP_AF!I$95:I$105)*(1+S29)</f>
        <v>0</v>
      </c>
      <c r="T103" s="389">
        <f>LOOKUP($C$98, T_NCAP_AF!$C$95:$C$105, T_NCAP_AF!J$95:J$105)*(1+T29)</f>
        <v>0</v>
      </c>
      <c r="U103" s="389">
        <f>LOOKUP($C$98, T_NCAP_AF!$C$95:$C$105, T_NCAP_AF!K$95:K$105)*(1+U29)</f>
        <v>0</v>
      </c>
      <c r="V103" s="389">
        <f>LOOKUP($C$98, T_NCAP_AF!$C$95:$C$105, T_NCAP_AF!L$95:L$105)*(1+V29)</f>
        <v>0</v>
      </c>
      <c r="W103" s="389">
        <f>LOOKUP($C$98, T_NCAP_AF!$C$95:$C$105, T_NCAP_AF!M$95:M$105)*(1+W29)</f>
        <v>0</v>
      </c>
      <c r="X103" s="389">
        <f>LOOKUP($C$98, T_NCAP_AF!$C$95:$C$105, T_NCAP_AF!N$95:N$105)*(1+X29)</f>
        <v>0</v>
      </c>
      <c r="Y103" s="389">
        <f>LOOKUP($C$98, T_NCAP_AF!$C$95:$C$105, T_NCAP_AF!O$95:O$105)*(1+Y29)</f>
        <v>0</v>
      </c>
      <c r="Z103" s="389">
        <f>LOOKUP($C$98, T_NCAP_AF!$C$95:$C$105, T_NCAP_AF!P$95:P$105)*(1+Z29)</f>
        <v>0</v>
      </c>
      <c r="AA103" s="389">
        <f>LOOKUP($C$98, T_NCAP_AF!$C$95:$C$105, T_NCAP_AF!Q$95:Q$105)*(1+AA29)</f>
        <v>0</v>
      </c>
      <c r="AB103" s="389">
        <f>LOOKUP($C$98, T_NCAP_AF!$C$95:$C$105, T_NCAP_AF!R$95:R$105)*(1+AB29)</f>
        <v>0</v>
      </c>
      <c r="AC103" s="83"/>
      <c r="AE103" s="572">
        <f>SUM(AF103:AT103)</f>
        <v>0</v>
      </c>
      <c r="AF103" s="85">
        <f t="shared" ref="AF103:AT103" si="104">N102*N103*N104/1000</f>
        <v>0</v>
      </c>
      <c r="AG103" s="85">
        <f t="shared" si="104"/>
        <v>0</v>
      </c>
      <c r="AH103" s="85">
        <f t="shared" si="104"/>
        <v>0</v>
      </c>
      <c r="AI103" s="85">
        <f t="shared" si="104"/>
        <v>0</v>
      </c>
      <c r="AJ103" s="85">
        <f t="shared" si="104"/>
        <v>0</v>
      </c>
      <c r="AK103" s="85">
        <f t="shared" si="104"/>
        <v>0</v>
      </c>
      <c r="AL103" s="85">
        <f t="shared" si="104"/>
        <v>0</v>
      </c>
      <c r="AM103" s="85">
        <f t="shared" si="104"/>
        <v>0</v>
      </c>
      <c r="AN103" s="85">
        <f t="shared" si="104"/>
        <v>0</v>
      </c>
      <c r="AO103" s="85">
        <f t="shared" si="104"/>
        <v>0</v>
      </c>
      <c r="AP103" s="85">
        <f t="shared" si="104"/>
        <v>0</v>
      </c>
      <c r="AQ103" s="85">
        <f t="shared" si="104"/>
        <v>0</v>
      </c>
      <c r="AR103" s="85">
        <f t="shared" si="104"/>
        <v>0</v>
      </c>
      <c r="AS103" s="85">
        <f t="shared" si="104"/>
        <v>0</v>
      </c>
      <c r="AT103" s="85">
        <f t="shared" si="104"/>
        <v>0</v>
      </c>
      <c r="AV103" s="700" t="str">
        <f t="shared" si="103"/>
        <v/>
      </c>
    </row>
    <row r="104" spans="1:64" x14ac:dyDescent="0.25">
      <c r="A104" s="22"/>
      <c r="B104" s="186" t="str">
        <f t="shared" si="101"/>
        <v>TBUSGSL100</v>
      </c>
      <c r="C104" s="186"/>
      <c r="D104" s="187"/>
      <c r="E104" s="186"/>
      <c r="F104" s="170"/>
      <c r="G104" s="189"/>
      <c r="H104" s="170"/>
      <c r="I104" s="190">
        <f>$M$3</f>
        <v>2019</v>
      </c>
      <c r="J104" s="191"/>
      <c r="K104" s="191"/>
      <c r="L104" s="211" t="s">
        <v>1065</v>
      </c>
      <c r="M104" s="186" t="s">
        <v>748</v>
      </c>
      <c r="N104" s="687">
        <f>LOOKUP($C$98, T_Stock_Private!$C$58:$C$68, T_Stock_Private!D$58:D$68)*(1+N30)</f>
        <v>0</v>
      </c>
      <c r="O104" s="687">
        <f>LOOKUP($C$98, T_Stock_Private!$C$58:$C$68, T_Stock_Private!E$58:E$68)*(1+O30)</f>
        <v>0</v>
      </c>
      <c r="P104" s="687">
        <f>LOOKUP($C$98, T_Stock_Private!$C$58:$C$68, T_Stock_Private!F$58:F$68)*(1+P30)</f>
        <v>0</v>
      </c>
      <c r="Q104" s="687">
        <f>LOOKUP($C$98, T_Stock_Private!$C$58:$C$68, T_Stock_Private!G$58:G$68)*(1+Q30)</f>
        <v>0</v>
      </c>
      <c r="R104" s="687">
        <f>LOOKUP($C$98, T_Stock_Private!$C$58:$C$68, T_Stock_Private!H$58:H$68)*(1+R30)</f>
        <v>0</v>
      </c>
      <c r="S104" s="687">
        <f>LOOKUP($C$98, T_Stock_Private!$C$58:$C$68, T_Stock_Private!I$58:I$68)*(1+S30)</f>
        <v>0</v>
      </c>
      <c r="T104" s="687">
        <f>LOOKUP($C$98, T_Stock_Private!$C$58:$C$68, T_Stock_Private!J$58:J$68)*(1+T30)</f>
        <v>0</v>
      </c>
      <c r="U104" s="687">
        <f>LOOKUP($C$98, T_Stock_Private!$C$58:$C$68, T_Stock_Private!K$58:K$68)*(1+U30)</f>
        <v>0</v>
      </c>
      <c r="V104" s="687">
        <f>LOOKUP($C$98, T_Stock_Private!$C$58:$C$68, T_Stock_Private!L$58:L$68)*(1+V30)</f>
        <v>0</v>
      </c>
      <c r="W104" s="687">
        <f>LOOKUP($C$98, T_Stock_Private!$C$58:$C$68, T_Stock_Private!M$58:M$68)*(1+W30)</f>
        <v>0</v>
      </c>
      <c r="X104" s="687">
        <f>LOOKUP($C$98, T_Stock_Private!$C$58:$C$68, T_Stock_Private!N$58:N$68)*(1+X30)</f>
        <v>0</v>
      </c>
      <c r="Y104" s="687">
        <f>LOOKUP($C$98, T_Stock_Private!$C$58:$C$68, T_Stock_Private!O$58:O$68)*(1+Y30)</f>
        <v>0</v>
      </c>
      <c r="Z104" s="687">
        <f>LOOKUP($C$98, T_Stock_Private!$C$58:$C$68, T_Stock_Private!P$58:P$68)*(1+Z30)</f>
        <v>0</v>
      </c>
      <c r="AA104" s="687">
        <f>LOOKUP($C$98, T_Stock_Private!$C$58:$C$68, T_Stock_Private!Q$58:Q$68)*(1+AA30)</f>
        <v>0</v>
      </c>
      <c r="AB104" s="687">
        <f>LOOKUP($C$98, T_Stock_Private!$C$58:$C$68, T_Stock_Private!R$58:R$68)*(1+AB30)</f>
        <v>0</v>
      </c>
      <c r="AC104" s="89"/>
      <c r="AV104" s="700" t="str">
        <f t="shared" si="103"/>
        <v/>
      </c>
    </row>
    <row r="105" spans="1:64" x14ac:dyDescent="0.25">
      <c r="A105" s="22"/>
      <c r="B105" s="186" t="str">
        <f t="shared" si="101"/>
        <v>TBUSGSL100</v>
      </c>
      <c r="C105" s="186"/>
      <c r="D105" s="187"/>
      <c r="E105" s="186"/>
      <c r="F105" s="170"/>
      <c r="G105" s="189"/>
      <c r="H105" s="170"/>
      <c r="I105" s="190">
        <f>AF$5</f>
        <v>2020</v>
      </c>
      <c r="J105" s="191"/>
      <c r="K105" s="191"/>
      <c r="L105" s="211" t="s">
        <v>1065</v>
      </c>
      <c r="M105" s="186" t="s">
        <v>748</v>
      </c>
      <c r="N105" s="687">
        <f t="shared" ref="N105:AB105" si="105">N104*LOOKUP($AD98,$AG$4:$AP$4,$AG$5:$AP$5)</f>
        <v>0</v>
      </c>
      <c r="O105" s="687">
        <f t="shared" si="105"/>
        <v>0</v>
      </c>
      <c r="P105" s="687">
        <f t="shared" si="105"/>
        <v>0</v>
      </c>
      <c r="Q105" s="687">
        <f t="shared" si="105"/>
        <v>0</v>
      </c>
      <c r="R105" s="687">
        <f t="shared" si="105"/>
        <v>0</v>
      </c>
      <c r="S105" s="687">
        <f t="shared" si="105"/>
        <v>0</v>
      </c>
      <c r="T105" s="687">
        <f t="shared" si="105"/>
        <v>0</v>
      </c>
      <c r="U105" s="687">
        <f t="shared" si="105"/>
        <v>0</v>
      </c>
      <c r="V105" s="687">
        <f t="shared" si="105"/>
        <v>0</v>
      </c>
      <c r="W105" s="687">
        <f t="shared" si="105"/>
        <v>0</v>
      </c>
      <c r="X105" s="687">
        <f t="shared" si="105"/>
        <v>0</v>
      </c>
      <c r="Y105" s="687">
        <f t="shared" si="105"/>
        <v>0</v>
      </c>
      <c r="Z105" s="687">
        <f t="shared" si="105"/>
        <v>0</v>
      </c>
      <c r="AA105" s="687">
        <f t="shared" si="105"/>
        <v>0</v>
      </c>
      <c r="AB105" s="687">
        <f t="shared" si="105"/>
        <v>0</v>
      </c>
      <c r="AV105" s="700" t="str">
        <f t="shared" si="103"/>
        <v/>
      </c>
    </row>
    <row r="106" spans="1:64" x14ac:dyDescent="0.25">
      <c r="A106" s="22"/>
      <c r="B106" s="186" t="str">
        <f t="shared" si="101"/>
        <v>TBUSGSL100</v>
      </c>
      <c r="C106" s="186"/>
      <c r="D106" s="187"/>
      <c r="E106" s="186"/>
      <c r="F106" s="170"/>
      <c r="G106" s="189"/>
      <c r="H106" s="170"/>
      <c r="I106" s="190">
        <f>AF$6</f>
        <v>2025</v>
      </c>
      <c r="J106" s="191"/>
      <c r="K106" s="191"/>
      <c r="L106" s="211" t="s">
        <v>1065</v>
      </c>
      <c r="M106" s="186" t="s">
        <v>748</v>
      </c>
      <c r="N106" s="687">
        <f t="shared" ref="N106:AB106" si="106">N104*LOOKUP($AD98,$AG$4:$AP$4,$AG$6:$AP$6)</f>
        <v>0</v>
      </c>
      <c r="O106" s="687">
        <f t="shared" si="106"/>
        <v>0</v>
      </c>
      <c r="P106" s="687">
        <f t="shared" si="106"/>
        <v>0</v>
      </c>
      <c r="Q106" s="687">
        <f t="shared" si="106"/>
        <v>0</v>
      </c>
      <c r="R106" s="687">
        <f t="shared" si="106"/>
        <v>0</v>
      </c>
      <c r="S106" s="687">
        <f t="shared" si="106"/>
        <v>0</v>
      </c>
      <c r="T106" s="687">
        <f t="shared" si="106"/>
        <v>0</v>
      </c>
      <c r="U106" s="687">
        <f t="shared" si="106"/>
        <v>0</v>
      </c>
      <c r="V106" s="687">
        <f t="shared" si="106"/>
        <v>0</v>
      </c>
      <c r="W106" s="687">
        <f t="shared" si="106"/>
        <v>0</v>
      </c>
      <c r="X106" s="687">
        <f t="shared" si="106"/>
        <v>0</v>
      </c>
      <c r="Y106" s="687">
        <f t="shared" si="106"/>
        <v>0</v>
      </c>
      <c r="Z106" s="687">
        <f t="shared" si="106"/>
        <v>0</v>
      </c>
      <c r="AA106" s="687">
        <f t="shared" si="106"/>
        <v>0</v>
      </c>
      <c r="AB106" s="687">
        <f t="shared" si="106"/>
        <v>0</v>
      </c>
      <c r="AV106" s="700" t="str">
        <f t="shared" si="103"/>
        <v/>
      </c>
    </row>
    <row r="107" spans="1:64" x14ac:dyDescent="0.25">
      <c r="A107" s="22"/>
      <c r="B107" s="186" t="str">
        <f t="shared" si="101"/>
        <v>TBUSGSL100</v>
      </c>
      <c r="C107" s="186"/>
      <c r="D107" s="187"/>
      <c r="E107" s="186"/>
      <c r="F107" s="170"/>
      <c r="G107" s="189"/>
      <c r="H107" s="170"/>
      <c r="I107" s="190">
        <f>AF$7</f>
        <v>2030</v>
      </c>
      <c r="J107" s="191"/>
      <c r="K107" s="191"/>
      <c r="L107" s="211" t="s">
        <v>1065</v>
      </c>
      <c r="M107" s="186" t="s">
        <v>748</v>
      </c>
      <c r="N107" s="687">
        <f t="shared" ref="N107:AB107" si="107">N104*LOOKUP($AD98,$AG$4:$AP$4,$AG$7:$AP$7)</f>
        <v>0</v>
      </c>
      <c r="O107" s="687">
        <f t="shared" si="107"/>
        <v>0</v>
      </c>
      <c r="P107" s="687">
        <f t="shared" si="107"/>
        <v>0</v>
      </c>
      <c r="Q107" s="687">
        <f t="shared" si="107"/>
        <v>0</v>
      </c>
      <c r="R107" s="687">
        <f t="shared" si="107"/>
        <v>0</v>
      </c>
      <c r="S107" s="687">
        <f t="shared" si="107"/>
        <v>0</v>
      </c>
      <c r="T107" s="687">
        <f t="shared" si="107"/>
        <v>0</v>
      </c>
      <c r="U107" s="687">
        <f t="shared" si="107"/>
        <v>0</v>
      </c>
      <c r="V107" s="687">
        <f t="shared" si="107"/>
        <v>0</v>
      </c>
      <c r="W107" s="687">
        <f t="shared" si="107"/>
        <v>0</v>
      </c>
      <c r="X107" s="687">
        <f t="shared" si="107"/>
        <v>0</v>
      </c>
      <c r="Y107" s="687">
        <f t="shared" si="107"/>
        <v>0</v>
      </c>
      <c r="Z107" s="687">
        <f t="shared" si="107"/>
        <v>0</v>
      </c>
      <c r="AA107" s="687">
        <f t="shared" si="107"/>
        <v>0</v>
      </c>
      <c r="AB107" s="687">
        <f t="shared" si="107"/>
        <v>0</v>
      </c>
      <c r="AV107" s="700" t="str">
        <f t="shared" si="103"/>
        <v/>
      </c>
    </row>
    <row r="108" spans="1:64" x14ac:dyDescent="0.25">
      <c r="A108" s="22"/>
      <c r="B108" s="186" t="str">
        <f t="shared" si="101"/>
        <v>TBUSGSL100</v>
      </c>
      <c r="C108" s="186"/>
      <c r="D108" s="187"/>
      <c r="E108" s="186"/>
      <c r="F108" s="170"/>
      <c r="G108" s="189"/>
      <c r="H108" s="170"/>
      <c r="I108" s="190">
        <f>AF$8</f>
        <v>2035</v>
      </c>
      <c r="J108" s="191"/>
      <c r="K108" s="191"/>
      <c r="L108" s="211" t="s">
        <v>1065</v>
      </c>
      <c r="M108" s="186" t="s">
        <v>748</v>
      </c>
      <c r="N108" s="687">
        <f t="shared" ref="N108:AB108" si="108">N104*LOOKUP($AD98,$AG$4:$AP$4,$AG$8:$AP$8)</f>
        <v>0</v>
      </c>
      <c r="O108" s="687">
        <f t="shared" si="108"/>
        <v>0</v>
      </c>
      <c r="P108" s="687">
        <f t="shared" si="108"/>
        <v>0</v>
      </c>
      <c r="Q108" s="687">
        <f t="shared" si="108"/>
        <v>0</v>
      </c>
      <c r="R108" s="687">
        <f t="shared" si="108"/>
        <v>0</v>
      </c>
      <c r="S108" s="687">
        <f t="shared" si="108"/>
        <v>0</v>
      </c>
      <c r="T108" s="687">
        <f t="shared" si="108"/>
        <v>0</v>
      </c>
      <c r="U108" s="687">
        <f t="shared" si="108"/>
        <v>0</v>
      </c>
      <c r="V108" s="687">
        <f t="shared" si="108"/>
        <v>0</v>
      </c>
      <c r="W108" s="687">
        <f t="shared" si="108"/>
        <v>0</v>
      </c>
      <c r="X108" s="687">
        <f t="shared" si="108"/>
        <v>0</v>
      </c>
      <c r="Y108" s="687">
        <f t="shared" si="108"/>
        <v>0</v>
      </c>
      <c r="Z108" s="687">
        <f t="shared" si="108"/>
        <v>0</v>
      </c>
      <c r="AA108" s="687">
        <f t="shared" si="108"/>
        <v>0</v>
      </c>
      <c r="AB108" s="687">
        <f t="shared" si="108"/>
        <v>0</v>
      </c>
      <c r="AV108" s="700" t="str">
        <f t="shared" si="103"/>
        <v/>
      </c>
    </row>
    <row r="109" spans="1:64" x14ac:dyDescent="0.25">
      <c r="A109" s="22"/>
      <c r="B109" s="186" t="str">
        <f t="shared" si="101"/>
        <v>TBUSGSL100</v>
      </c>
      <c r="C109" s="186"/>
      <c r="D109" s="187"/>
      <c r="E109" s="186"/>
      <c r="F109" s="170"/>
      <c r="G109" s="189"/>
      <c r="H109" s="170"/>
      <c r="I109" s="190">
        <f>AF$9</f>
        <v>2040</v>
      </c>
      <c r="J109" s="191"/>
      <c r="K109" s="191"/>
      <c r="L109" s="211" t="s">
        <v>1065</v>
      </c>
      <c r="M109" s="186" t="s">
        <v>748</v>
      </c>
      <c r="N109" s="687">
        <f t="shared" ref="N109:AB109" si="109">N104*LOOKUP($AD98,$AG$4:$AP$4,$AG$9:$AP$9)</f>
        <v>0</v>
      </c>
      <c r="O109" s="687">
        <f t="shared" si="109"/>
        <v>0</v>
      </c>
      <c r="P109" s="687">
        <f t="shared" si="109"/>
        <v>0</v>
      </c>
      <c r="Q109" s="687">
        <f t="shared" si="109"/>
        <v>0</v>
      </c>
      <c r="R109" s="687">
        <f t="shared" si="109"/>
        <v>0</v>
      </c>
      <c r="S109" s="687">
        <f t="shared" si="109"/>
        <v>0</v>
      </c>
      <c r="T109" s="687">
        <f t="shared" si="109"/>
        <v>0</v>
      </c>
      <c r="U109" s="687">
        <f t="shared" si="109"/>
        <v>0</v>
      </c>
      <c r="V109" s="687">
        <f t="shared" si="109"/>
        <v>0</v>
      </c>
      <c r="W109" s="687">
        <f t="shared" si="109"/>
        <v>0</v>
      </c>
      <c r="X109" s="687">
        <f t="shared" si="109"/>
        <v>0</v>
      </c>
      <c r="Y109" s="687">
        <f t="shared" si="109"/>
        <v>0</v>
      </c>
      <c r="Z109" s="687">
        <f t="shared" si="109"/>
        <v>0</v>
      </c>
      <c r="AA109" s="687">
        <f t="shared" si="109"/>
        <v>0</v>
      </c>
      <c r="AB109" s="687">
        <f t="shared" si="109"/>
        <v>0</v>
      </c>
      <c r="AV109" s="700" t="str">
        <f t="shared" si="103"/>
        <v/>
      </c>
    </row>
    <row r="110" spans="1:64" x14ac:dyDescent="0.25">
      <c r="A110" s="22"/>
      <c r="B110" s="193" t="str">
        <f t="shared" si="101"/>
        <v>TBUSGSL100</v>
      </c>
      <c r="C110" s="193"/>
      <c r="D110" s="194"/>
      <c r="E110" s="193"/>
      <c r="F110" s="196"/>
      <c r="G110" s="195"/>
      <c r="H110" s="196"/>
      <c r="I110" s="197">
        <f>AF$10</f>
        <v>2050</v>
      </c>
      <c r="J110" s="198"/>
      <c r="K110" s="198"/>
      <c r="L110" s="199" t="s">
        <v>1065</v>
      </c>
      <c r="M110" s="193" t="s">
        <v>748</v>
      </c>
      <c r="N110" s="688">
        <f t="shared" ref="N110:AB110" si="110">N104*LOOKUP($AD98,$AG$4:$AP$4,$AG$10:$AP$10)</f>
        <v>0</v>
      </c>
      <c r="O110" s="688">
        <f t="shared" si="110"/>
        <v>0</v>
      </c>
      <c r="P110" s="688">
        <f t="shared" si="110"/>
        <v>0</v>
      </c>
      <c r="Q110" s="688">
        <f t="shared" si="110"/>
        <v>0</v>
      </c>
      <c r="R110" s="688">
        <f t="shared" si="110"/>
        <v>0</v>
      </c>
      <c r="S110" s="688">
        <f t="shared" si="110"/>
        <v>0</v>
      </c>
      <c r="T110" s="688">
        <f t="shared" si="110"/>
        <v>0</v>
      </c>
      <c r="U110" s="688">
        <f t="shared" si="110"/>
        <v>0</v>
      </c>
      <c r="V110" s="688">
        <f t="shared" si="110"/>
        <v>0</v>
      </c>
      <c r="W110" s="688">
        <f t="shared" si="110"/>
        <v>0</v>
      </c>
      <c r="X110" s="688">
        <f t="shared" si="110"/>
        <v>0</v>
      </c>
      <c r="Y110" s="688">
        <f t="shared" si="110"/>
        <v>0</v>
      </c>
      <c r="Z110" s="688">
        <f t="shared" si="110"/>
        <v>0</v>
      </c>
      <c r="AA110" s="688">
        <f t="shared" si="110"/>
        <v>0</v>
      </c>
      <c r="AB110" s="688">
        <f t="shared" si="110"/>
        <v>0</v>
      </c>
      <c r="AV110" s="700" t="str">
        <f t="shared" si="103"/>
        <v/>
      </c>
    </row>
    <row r="111" spans="1:64" s="83" customFormat="1" x14ac:dyDescent="0.25">
      <c r="A111" s="82"/>
      <c r="B111" s="178" t="str">
        <f>C111</f>
        <v>TBUSHYD100</v>
      </c>
      <c r="C111" s="178" t="s">
        <v>331</v>
      </c>
      <c r="D111" s="179" t="s">
        <v>769</v>
      </c>
      <c r="E111" s="258" t="s">
        <v>988</v>
      </c>
      <c r="F111" s="182"/>
      <c r="G111" s="181"/>
      <c r="H111" s="182"/>
      <c r="I111" s="183"/>
      <c r="J111" s="184"/>
      <c r="K111" s="184"/>
      <c r="L111" s="203" t="s">
        <v>1107</v>
      </c>
      <c r="M111" s="184" t="s">
        <v>1156</v>
      </c>
      <c r="N111" s="692">
        <f>N$47</f>
        <v>1E-3</v>
      </c>
      <c r="O111" s="692">
        <f t="shared" ref="O111:AB111" si="111">$N111</f>
        <v>1E-3</v>
      </c>
      <c r="P111" s="692">
        <f t="shared" si="111"/>
        <v>1E-3</v>
      </c>
      <c r="Q111" s="692">
        <f t="shared" si="111"/>
        <v>1E-3</v>
      </c>
      <c r="R111" s="692">
        <f t="shared" si="111"/>
        <v>1E-3</v>
      </c>
      <c r="S111" s="692">
        <f t="shared" si="111"/>
        <v>1E-3</v>
      </c>
      <c r="T111" s="692">
        <f t="shared" si="111"/>
        <v>1E-3</v>
      </c>
      <c r="U111" s="692">
        <f t="shared" si="111"/>
        <v>1E-3</v>
      </c>
      <c r="V111" s="692">
        <f t="shared" si="111"/>
        <v>1E-3</v>
      </c>
      <c r="W111" s="692">
        <f t="shared" si="111"/>
        <v>1E-3</v>
      </c>
      <c r="X111" s="692">
        <f t="shared" si="111"/>
        <v>1E-3</v>
      </c>
      <c r="Y111" s="692">
        <f t="shared" si="111"/>
        <v>1E-3</v>
      </c>
      <c r="Z111" s="692">
        <f t="shared" si="111"/>
        <v>1E-3</v>
      </c>
      <c r="AA111" s="692">
        <f t="shared" si="111"/>
        <v>1E-3</v>
      </c>
      <c r="AB111" s="692">
        <f t="shared" si="111"/>
        <v>1E-3</v>
      </c>
      <c r="AD111" s="402" t="str">
        <f>MID(D111,11,3)</f>
        <v>Hyb</v>
      </c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V111" s="700" t="str">
        <f t="shared" si="103"/>
        <v>TRABDL</v>
      </c>
      <c r="AW111" s="568">
        <f t="shared" ref="AW111:AW112" si="112">SUM(AX111:BL111)</f>
        <v>0</v>
      </c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</row>
    <row r="112" spans="1:64" x14ac:dyDescent="0.25">
      <c r="A112" s="22"/>
      <c r="B112" s="186" t="str">
        <f>B111</f>
        <v>TBUSHYD100</v>
      </c>
      <c r="C112" s="186"/>
      <c r="D112" s="187"/>
      <c r="E112" s="258" t="s">
        <v>185</v>
      </c>
      <c r="F112" s="170"/>
      <c r="G112" s="189"/>
      <c r="H112" s="170"/>
      <c r="I112" s="190"/>
      <c r="J112" s="184" t="str">
        <f>$J$48</f>
        <v>UP</v>
      </c>
      <c r="K112" s="191"/>
      <c r="L112" s="211" t="s">
        <v>101</v>
      </c>
      <c r="M112" s="186"/>
      <c r="N112" s="690">
        <f>1-N$21</f>
        <v>0.94496029288387329</v>
      </c>
      <c r="O112" s="690">
        <f t="shared" ref="O112:AB112" si="113">1-O$21</f>
        <v>0.94496029288387329</v>
      </c>
      <c r="P112" s="690">
        <f t="shared" si="113"/>
        <v>0.94496029288387329</v>
      </c>
      <c r="Q112" s="690">
        <f t="shared" si="113"/>
        <v>0.94496029288387329</v>
      </c>
      <c r="R112" s="690">
        <f t="shared" si="113"/>
        <v>0.94496029288387329</v>
      </c>
      <c r="S112" s="690">
        <f t="shared" si="113"/>
        <v>0.94496029288387329</v>
      </c>
      <c r="T112" s="690">
        <f t="shared" si="113"/>
        <v>0.94496029288387329</v>
      </c>
      <c r="U112" s="690">
        <f t="shared" si="113"/>
        <v>0.94496029288387329</v>
      </c>
      <c r="V112" s="690">
        <f t="shared" si="113"/>
        <v>0.94496029288387329</v>
      </c>
      <c r="W112" s="690">
        <f t="shared" si="113"/>
        <v>0.94496029288387329</v>
      </c>
      <c r="X112" s="690">
        <f t="shared" si="113"/>
        <v>0.94496029288387329</v>
      </c>
      <c r="Y112" s="690">
        <f t="shared" si="113"/>
        <v>0.94496029288387329</v>
      </c>
      <c r="Z112" s="690">
        <f t="shared" si="113"/>
        <v>0.94496029288387329</v>
      </c>
      <c r="AA112" s="690">
        <f t="shared" si="113"/>
        <v>0.94496029288387329</v>
      </c>
      <c r="AB112" s="690">
        <f t="shared" si="113"/>
        <v>0.94496029288387329</v>
      </c>
      <c r="AD112" s="66" t="str">
        <f>IF(COUNTIF($AG$4:$AP$4,AD111)=1,"ok","MISSING")</f>
        <v>ok</v>
      </c>
      <c r="AE112" s="357"/>
      <c r="AF112" s="89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V112" s="700" t="str">
        <f t="shared" si="103"/>
        <v>TRADST</v>
      </c>
      <c r="AW112" s="568">
        <f t="shared" si="112"/>
        <v>0</v>
      </c>
    </row>
    <row r="113" spans="1:64" s="83" customFormat="1" x14ac:dyDescent="0.25">
      <c r="A113" s="82"/>
      <c r="B113" s="178" t="str">
        <f t="shared" ref="B113" si="114">B112</f>
        <v>TBUSHYD100</v>
      </c>
      <c r="C113" s="178"/>
      <c r="D113" s="179"/>
      <c r="E113" s="407" t="s">
        <v>990</v>
      </c>
      <c r="F113" s="182"/>
      <c r="G113" s="181"/>
      <c r="H113" s="182"/>
      <c r="I113" s="183"/>
      <c r="J113" s="184" t="s">
        <v>1157</v>
      </c>
      <c r="K113" s="184"/>
      <c r="L113" s="203" t="s">
        <v>101</v>
      </c>
      <c r="M113" s="184"/>
      <c r="N113" s="690">
        <f>N$20</f>
        <v>7.0000000000000007E-2</v>
      </c>
      <c r="O113" s="690">
        <f t="shared" ref="O113:AB113" si="115">O$20</f>
        <v>7.0000000000000007E-2</v>
      </c>
      <c r="P113" s="690">
        <f t="shared" si="115"/>
        <v>7.0000000000000007E-2</v>
      </c>
      <c r="Q113" s="690">
        <f t="shared" si="115"/>
        <v>7.0000000000000007E-2</v>
      </c>
      <c r="R113" s="690">
        <f t="shared" si="115"/>
        <v>7.0000000000000007E-2</v>
      </c>
      <c r="S113" s="690">
        <f t="shared" si="115"/>
        <v>7.0000000000000007E-2</v>
      </c>
      <c r="T113" s="690">
        <f t="shared" si="115"/>
        <v>7.0000000000000007E-2</v>
      </c>
      <c r="U113" s="690">
        <f t="shared" si="115"/>
        <v>7.0000000000000007E-2</v>
      </c>
      <c r="V113" s="690">
        <f t="shared" si="115"/>
        <v>7.0000000000000007E-2</v>
      </c>
      <c r="W113" s="690">
        <f t="shared" si="115"/>
        <v>7.0000000000000007E-2</v>
      </c>
      <c r="X113" s="690">
        <f t="shared" si="115"/>
        <v>7.0000000000000007E-2</v>
      </c>
      <c r="Y113" s="690">
        <f t="shared" si="115"/>
        <v>7.0000000000000007E-2</v>
      </c>
      <c r="Z113" s="690">
        <f t="shared" si="115"/>
        <v>7.0000000000000007E-2</v>
      </c>
      <c r="AA113" s="690">
        <f t="shared" si="115"/>
        <v>7.0000000000000007E-2</v>
      </c>
      <c r="AB113" s="690">
        <f t="shared" si="115"/>
        <v>7.0000000000000007E-2</v>
      </c>
      <c r="AD113" s="408"/>
      <c r="AE113" s="357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V113" s="700"/>
      <c r="AW113" s="568"/>
      <c r="AX113" s="708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</row>
    <row r="114" spans="1:64" x14ac:dyDescent="0.25">
      <c r="A114" s="22"/>
      <c r="B114" s="186" t="str">
        <f>B112</f>
        <v>TBUSHYD100</v>
      </c>
      <c r="C114" s="186"/>
      <c r="D114" s="187"/>
      <c r="E114" s="186"/>
      <c r="F114" s="170"/>
      <c r="G114" s="188" t="s">
        <v>415</v>
      </c>
      <c r="H114" s="170"/>
      <c r="I114" s="190"/>
      <c r="J114" s="191"/>
      <c r="K114" s="191"/>
      <c r="L114" s="191" t="s">
        <v>1126</v>
      </c>
      <c r="M114" s="186" t="s">
        <v>678</v>
      </c>
      <c r="N114" s="690">
        <f>T_CEFF!H120</f>
        <v>7.4069999999999997E-2</v>
      </c>
      <c r="O114" s="690">
        <f>T_CEFF!I120</f>
        <v>7.4069999999999997E-2</v>
      </c>
      <c r="P114" s="690">
        <f>T_CEFF!J120</f>
        <v>7.4069999999999997E-2</v>
      </c>
      <c r="Q114" s="690">
        <f>T_CEFF!K120</f>
        <v>7.4069999999999997E-2</v>
      </c>
      <c r="R114" s="690">
        <f>T_CEFF!L120</f>
        <v>7.4069999999999997E-2</v>
      </c>
      <c r="S114" s="690">
        <f>T_CEFF!M120</f>
        <v>7.4069999999999997E-2</v>
      </c>
      <c r="T114" s="690">
        <f>T_CEFF!N120</f>
        <v>7.4069999999999997E-2</v>
      </c>
      <c r="U114" s="690">
        <f>T_CEFF!O120</f>
        <v>7.4069999999999997E-2</v>
      </c>
      <c r="V114" s="690">
        <f>T_CEFF!P120</f>
        <v>7.4069999999999997E-2</v>
      </c>
      <c r="W114" s="690">
        <f>T_CEFF!Q120</f>
        <v>7.4069999999999997E-2</v>
      </c>
      <c r="X114" s="690">
        <f>T_CEFF!R120</f>
        <v>7.4069999999999997E-2</v>
      </c>
      <c r="Y114" s="690">
        <f>T_CEFF!S120</f>
        <v>7.4069999999999997E-2</v>
      </c>
      <c r="Z114" s="690">
        <f>T_CEFF!T120</f>
        <v>7.4069999999999997E-2</v>
      </c>
      <c r="AA114" s="690">
        <f>T_CEFF!U120</f>
        <v>7.4069999999999997E-2</v>
      </c>
      <c r="AB114" s="690">
        <f>T_CEFF!V120</f>
        <v>7.4069999999999997E-2</v>
      </c>
      <c r="AE114" s="36"/>
      <c r="AF114" s="68"/>
      <c r="AV114" s="700" t="str">
        <f t="shared" si="103"/>
        <v/>
      </c>
    </row>
    <row r="115" spans="1:64" x14ac:dyDescent="0.25">
      <c r="A115" s="22"/>
      <c r="B115" s="186" t="str">
        <f>B114</f>
        <v>TBUSHYD100</v>
      </c>
      <c r="C115" s="186"/>
      <c r="D115" s="187"/>
      <c r="E115" s="186"/>
      <c r="F115" s="170"/>
      <c r="G115" s="188" t="s">
        <v>593</v>
      </c>
      <c r="H115" s="170"/>
      <c r="I115" s="190"/>
      <c r="J115" s="191"/>
      <c r="K115" s="191"/>
      <c r="L115" s="191" t="s">
        <v>1126</v>
      </c>
      <c r="M115" s="186" t="s">
        <v>678</v>
      </c>
      <c r="N115" s="690">
        <f>T_CEFF!H121</f>
        <v>7.4069999999999997E-2</v>
      </c>
      <c r="O115" s="690">
        <f>T_CEFF!I121</f>
        <v>7.4069999999999997E-2</v>
      </c>
      <c r="P115" s="690">
        <f>T_CEFF!J121</f>
        <v>7.4069999999999997E-2</v>
      </c>
      <c r="Q115" s="690">
        <f>T_CEFF!K121</f>
        <v>7.4069999999999997E-2</v>
      </c>
      <c r="R115" s="690">
        <f>T_CEFF!L121</f>
        <v>7.4069999999999997E-2</v>
      </c>
      <c r="S115" s="690">
        <f>T_CEFF!M121</f>
        <v>7.4069999999999997E-2</v>
      </c>
      <c r="T115" s="690">
        <f>T_CEFF!N121</f>
        <v>7.4069999999999997E-2</v>
      </c>
      <c r="U115" s="690">
        <f>T_CEFF!O121</f>
        <v>7.4069999999999997E-2</v>
      </c>
      <c r="V115" s="690">
        <f>T_CEFF!P121</f>
        <v>7.4069999999999997E-2</v>
      </c>
      <c r="W115" s="690">
        <f>T_CEFF!Q121</f>
        <v>7.4069999999999997E-2</v>
      </c>
      <c r="X115" s="690">
        <f>T_CEFF!R121</f>
        <v>7.4069999999999997E-2</v>
      </c>
      <c r="Y115" s="690">
        <f>T_CEFF!S121</f>
        <v>7.4069999999999997E-2</v>
      </c>
      <c r="Z115" s="690">
        <f>T_CEFF!T121</f>
        <v>7.4069999999999997E-2</v>
      </c>
      <c r="AA115" s="690">
        <f>T_CEFF!U121</f>
        <v>7.4069999999999997E-2</v>
      </c>
      <c r="AB115" s="690">
        <f>T_CEFF!V121</f>
        <v>7.4069999999999997E-2</v>
      </c>
      <c r="AE115" s="36"/>
      <c r="AF115" s="68"/>
      <c r="AV115" s="700" t="str">
        <f t="shared" si="103"/>
        <v/>
      </c>
      <c r="AW115" s="568"/>
      <c r="AX115" s="568"/>
      <c r="AY115" s="568"/>
      <c r="AZ115" s="568"/>
      <c r="BA115" s="568"/>
      <c r="BB115" s="568"/>
      <c r="BC115" s="568"/>
      <c r="BD115" s="568"/>
      <c r="BE115" s="568"/>
      <c r="BF115" s="568"/>
      <c r="BG115" s="568"/>
      <c r="BH115" s="568"/>
      <c r="BI115" s="568"/>
      <c r="BJ115" s="568"/>
      <c r="BK115" s="568"/>
      <c r="BL115" s="568"/>
    </row>
    <row r="116" spans="1:64" x14ac:dyDescent="0.25">
      <c r="A116" s="22"/>
      <c r="B116" s="186" t="str">
        <f t="shared" ref="B116:B124" si="116">B115</f>
        <v>TBUSHYD100</v>
      </c>
      <c r="C116" s="186"/>
      <c r="D116" s="187"/>
      <c r="E116" s="186"/>
      <c r="F116" s="170"/>
      <c r="G116" s="189"/>
      <c r="H116" s="170"/>
      <c r="I116" s="190"/>
      <c r="J116" s="191"/>
      <c r="K116" s="191" t="s">
        <v>749</v>
      </c>
      <c r="L116" s="191" t="s">
        <v>1128</v>
      </c>
      <c r="M116" s="186" t="s">
        <v>1159</v>
      </c>
      <c r="N116" s="603">
        <f t="shared" ref="N116:AB116" si="117">N$16</f>
        <v>0</v>
      </c>
      <c r="O116" s="603">
        <f t="shared" si="117"/>
        <v>0</v>
      </c>
      <c r="P116" s="603">
        <f t="shared" si="117"/>
        <v>0</v>
      </c>
      <c r="Q116" s="603">
        <f t="shared" si="117"/>
        <v>0</v>
      </c>
      <c r="R116" s="603">
        <f t="shared" si="117"/>
        <v>0</v>
      </c>
      <c r="S116" s="603">
        <f t="shared" si="117"/>
        <v>0</v>
      </c>
      <c r="T116" s="603">
        <f t="shared" si="117"/>
        <v>0</v>
      </c>
      <c r="U116" s="603">
        <f t="shared" si="117"/>
        <v>0</v>
      </c>
      <c r="V116" s="603">
        <f t="shared" si="117"/>
        <v>0</v>
      </c>
      <c r="W116" s="603">
        <f t="shared" si="117"/>
        <v>0</v>
      </c>
      <c r="X116" s="603">
        <f t="shared" si="117"/>
        <v>0</v>
      </c>
      <c r="Y116" s="603">
        <f t="shared" si="117"/>
        <v>0</v>
      </c>
      <c r="Z116" s="603">
        <f t="shared" si="117"/>
        <v>0</v>
      </c>
      <c r="AA116" s="603">
        <f t="shared" si="117"/>
        <v>0</v>
      </c>
      <c r="AB116" s="603">
        <f t="shared" si="117"/>
        <v>0</v>
      </c>
      <c r="AE116" s="36"/>
      <c r="AF116" s="68"/>
      <c r="AV116" s="700" t="str">
        <f t="shared" si="103"/>
        <v/>
      </c>
      <c r="AW116" s="568"/>
      <c r="AX116" s="568"/>
      <c r="AY116" s="568"/>
      <c r="AZ116" s="568"/>
      <c r="BA116" s="568"/>
      <c r="BB116" s="568"/>
      <c r="BC116" s="568"/>
      <c r="BD116" s="568"/>
      <c r="BE116" s="568"/>
      <c r="BF116" s="568"/>
      <c r="BG116" s="568"/>
      <c r="BH116" s="568"/>
      <c r="BI116" s="568"/>
      <c r="BJ116" s="568"/>
      <c r="BK116" s="568"/>
      <c r="BL116" s="568"/>
    </row>
    <row r="117" spans="1:64" x14ac:dyDescent="0.25">
      <c r="A117" s="22"/>
      <c r="B117" s="186" t="str">
        <f t="shared" si="116"/>
        <v>TBUSHYD100</v>
      </c>
      <c r="C117" s="186"/>
      <c r="D117" s="187"/>
      <c r="E117" s="186"/>
      <c r="F117" s="170"/>
      <c r="G117" s="189"/>
      <c r="H117" s="170"/>
      <c r="I117" s="190"/>
      <c r="J117" s="191"/>
      <c r="K117" s="191"/>
      <c r="L117" s="211" t="s">
        <v>1130</v>
      </c>
      <c r="M117" s="186" t="s">
        <v>1131</v>
      </c>
      <c r="N117" s="389">
        <f>LOOKUP($C$111, T_NCAP_AF!$C$95:$C$105, T_NCAP_AF!D$95:D$105)*(1+N29)</f>
        <v>0</v>
      </c>
      <c r="O117" s="389">
        <f>LOOKUP($C$111, T_NCAP_AF!$C$95:$C$105, T_NCAP_AF!E$95:E$105)*(1+O29)</f>
        <v>0</v>
      </c>
      <c r="P117" s="389">
        <f>LOOKUP($C$111, T_NCAP_AF!$C$95:$C$105, T_NCAP_AF!F$95:F$105)*(1+P29)</f>
        <v>0</v>
      </c>
      <c r="Q117" s="389">
        <f>LOOKUP($C$111, T_NCAP_AF!$C$95:$C$105, T_NCAP_AF!G$95:G$105)*(1+Q29)</f>
        <v>0</v>
      </c>
      <c r="R117" s="389">
        <f>LOOKUP($C$111, T_NCAP_AF!$C$95:$C$105, T_NCAP_AF!H$95:H$105)*(1+R29)</f>
        <v>0</v>
      </c>
      <c r="S117" s="389">
        <f>LOOKUP($C$111, T_NCAP_AF!$C$95:$C$105, T_NCAP_AF!I$95:I$105)*(1+S29)</f>
        <v>0</v>
      </c>
      <c r="T117" s="389">
        <f>LOOKUP($C$111, T_NCAP_AF!$C$95:$C$105, T_NCAP_AF!J$95:J$105)*(1+T29)</f>
        <v>0</v>
      </c>
      <c r="U117" s="389">
        <f>LOOKUP($C$111, T_NCAP_AF!$C$95:$C$105, T_NCAP_AF!K$95:K$105)*(1+U29)</f>
        <v>0</v>
      </c>
      <c r="V117" s="389">
        <f>LOOKUP($C$111, T_NCAP_AF!$C$95:$C$105, T_NCAP_AF!L$95:L$105)*(1+V29)</f>
        <v>0</v>
      </c>
      <c r="W117" s="389">
        <f>LOOKUP($C$111, T_NCAP_AF!$C$95:$C$105, T_NCAP_AF!M$95:M$105)*(1+W29)</f>
        <v>0</v>
      </c>
      <c r="X117" s="389">
        <f>LOOKUP($C$111, T_NCAP_AF!$C$95:$C$105, T_NCAP_AF!N$95:N$105)*(1+X29)</f>
        <v>0</v>
      </c>
      <c r="Y117" s="389">
        <f>LOOKUP($C$111, T_NCAP_AF!$C$95:$C$105, T_NCAP_AF!O$95:O$105)*(1+Y29)</f>
        <v>0</v>
      </c>
      <c r="Z117" s="389">
        <f>LOOKUP($C$111, T_NCAP_AF!$C$95:$C$105, T_NCAP_AF!P$95:P$105)*(1+Z29)</f>
        <v>0</v>
      </c>
      <c r="AA117" s="389">
        <f>LOOKUP($C$111, T_NCAP_AF!$C$95:$C$105, T_NCAP_AF!Q$95:Q$105)*(1+AA29)</f>
        <v>0</v>
      </c>
      <c r="AB117" s="389">
        <f>LOOKUP($C$111, T_NCAP_AF!$C$95:$C$105, T_NCAP_AF!R$95:R$105)*(1+AB29)</f>
        <v>0</v>
      </c>
      <c r="AC117" s="83"/>
      <c r="AE117" s="572">
        <f>SUM(AF117:AT117)</f>
        <v>0</v>
      </c>
      <c r="AF117" s="85">
        <f t="shared" ref="AF117:AT117" si="118">N116*N117*N118/1000</f>
        <v>0</v>
      </c>
      <c r="AG117" s="85">
        <f t="shared" si="118"/>
        <v>0</v>
      </c>
      <c r="AH117" s="85">
        <f t="shared" si="118"/>
        <v>0</v>
      </c>
      <c r="AI117" s="85">
        <f t="shared" si="118"/>
        <v>0</v>
      </c>
      <c r="AJ117" s="85">
        <f t="shared" si="118"/>
        <v>0</v>
      </c>
      <c r="AK117" s="85">
        <f t="shared" si="118"/>
        <v>0</v>
      </c>
      <c r="AL117" s="85">
        <f t="shared" si="118"/>
        <v>0</v>
      </c>
      <c r="AM117" s="85">
        <f t="shared" si="118"/>
        <v>0</v>
      </c>
      <c r="AN117" s="85">
        <f t="shared" si="118"/>
        <v>0</v>
      </c>
      <c r="AO117" s="85">
        <f t="shared" si="118"/>
        <v>0</v>
      </c>
      <c r="AP117" s="85">
        <f t="shared" si="118"/>
        <v>0</v>
      </c>
      <c r="AQ117" s="85">
        <f t="shared" si="118"/>
        <v>0</v>
      </c>
      <c r="AR117" s="85">
        <f t="shared" si="118"/>
        <v>0</v>
      </c>
      <c r="AS117" s="85">
        <f t="shared" si="118"/>
        <v>0</v>
      </c>
      <c r="AT117" s="85">
        <f t="shared" si="118"/>
        <v>0</v>
      </c>
      <c r="AV117" s="700" t="str">
        <f t="shared" si="103"/>
        <v/>
      </c>
    </row>
    <row r="118" spans="1:64" x14ac:dyDescent="0.25">
      <c r="A118" s="22"/>
      <c r="B118" s="186" t="str">
        <f t="shared" si="116"/>
        <v>TBUSHYD100</v>
      </c>
      <c r="C118" s="186"/>
      <c r="D118" s="187"/>
      <c r="E118" s="186"/>
      <c r="F118" s="170"/>
      <c r="G118" s="189"/>
      <c r="H118" s="170"/>
      <c r="I118" s="190">
        <f>$M$3</f>
        <v>2019</v>
      </c>
      <c r="J118" s="191"/>
      <c r="K118" s="191"/>
      <c r="L118" s="211" t="s">
        <v>1065</v>
      </c>
      <c r="M118" s="186" t="s">
        <v>748</v>
      </c>
      <c r="N118" s="687">
        <f>LOOKUP($C$111, T_Stock_Private!$C$58:$C$68, T_Stock_Private!D$58:D$68)*(1+N30)</f>
        <v>0</v>
      </c>
      <c r="O118" s="687">
        <f>LOOKUP($C$111, T_Stock_Private!$C$58:$C$68, T_Stock_Private!E$58:E$68)*(1+O30)</f>
        <v>0</v>
      </c>
      <c r="P118" s="687">
        <f>LOOKUP($C$111, T_Stock_Private!$C$58:$C$68, T_Stock_Private!F$58:F$68)*(1+P30)</f>
        <v>0</v>
      </c>
      <c r="Q118" s="687">
        <f>LOOKUP($C$111, T_Stock_Private!$C$58:$C$68, T_Stock_Private!G$58:G$68)*(1+Q30)</f>
        <v>0</v>
      </c>
      <c r="R118" s="687">
        <f>LOOKUP($C$111, T_Stock_Private!$C$58:$C$68, T_Stock_Private!H$58:H$68)*(1+R30)</f>
        <v>0</v>
      </c>
      <c r="S118" s="687">
        <f>LOOKUP($C$111, T_Stock_Private!$C$58:$C$68, T_Stock_Private!I$58:I$68)*(1+S30)</f>
        <v>0</v>
      </c>
      <c r="T118" s="687">
        <f>LOOKUP($C$111, T_Stock_Private!$C$58:$C$68, T_Stock_Private!J$58:J$68)*(1+T30)</f>
        <v>0</v>
      </c>
      <c r="U118" s="687">
        <f>LOOKUP($C$111, T_Stock_Private!$C$58:$C$68, T_Stock_Private!K$58:K$68)*(1+U30)</f>
        <v>0</v>
      </c>
      <c r="V118" s="687">
        <f>LOOKUP($C$111, T_Stock_Private!$C$58:$C$68, T_Stock_Private!L$58:L$68)*(1+V30)</f>
        <v>0</v>
      </c>
      <c r="W118" s="687">
        <f>LOOKUP($C$111, T_Stock_Private!$C$58:$C$68, T_Stock_Private!M$58:M$68)*(1+W30)</f>
        <v>0</v>
      </c>
      <c r="X118" s="687">
        <f>LOOKUP($C$111, T_Stock_Private!$C$58:$C$68, T_Stock_Private!N$58:N$68)*(1+X30)</f>
        <v>0</v>
      </c>
      <c r="Y118" s="687">
        <f>LOOKUP($C$111, T_Stock_Private!$C$58:$C$68, T_Stock_Private!O$58:O$68)*(1+Y30)</f>
        <v>0</v>
      </c>
      <c r="Z118" s="687">
        <f>LOOKUP($C$111, T_Stock_Private!$C$58:$C$68, T_Stock_Private!P$58:P$68)*(1+Z30)</f>
        <v>0</v>
      </c>
      <c r="AA118" s="687">
        <f>LOOKUP($C$111, T_Stock_Private!$C$58:$C$68, T_Stock_Private!Q$58:Q$68)*(1+AA30)</f>
        <v>0</v>
      </c>
      <c r="AB118" s="687">
        <f>LOOKUP($C$111, T_Stock_Private!$C$58:$C$68, T_Stock_Private!R$58:R$68)*(1+AB30)</f>
        <v>0</v>
      </c>
      <c r="AC118" s="89"/>
      <c r="AV118" s="700" t="str">
        <f t="shared" si="103"/>
        <v/>
      </c>
    </row>
    <row r="119" spans="1:64" x14ac:dyDescent="0.25">
      <c r="A119" s="22"/>
      <c r="B119" s="186" t="str">
        <f t="shared" si="116"/>
        <v>TBUSHYD100</v>
      </c>
      <c r="C119" s="186"/>
      <c r="D119" s="187"/>
      <c r="E119" s="186"/>
      <c r="F119" s="170"/>
      <c r="G119" s="189"/>
      <c r="H119" s="170"/>
      <c r="I119" s="190">
        <f>AF$5</f>
        <v>2020</v>
      </c>
      <c r="J119" s="191"/>
      <c r="K119" s="191"/>
      <c r="L119" s="211" t="s">
        <v>1065</v>
      </c>
      <c r="M119" s="186" t="s">
        <v>748</v>
      </c>
      <c r="N119" s="687">
        <f t="shared" ref="N119:AB119" si="119">N118*LOOKUP($AD111,$AG$4:$AP$4,$AG$5:$AP$5)</f>
        <v>0</v>
      </c>
      <c r="O119" s="687">
        <f t="shared" si="119"/>
        <v>0</v>
      </c>
      <c r="P119" s="687">
        <f t="shared" si="119"/>
        <v>0</v>
      </c>
      <c r="Q119" s="687">
        <f t="shared" si="119"/>
        <v>0</v>
      </c>
      <c r="R119" s="687">
        <f t="shared" si="119"/>
        <v>0</v>
      </c>
      <c r="S119" s="687">
        <f t="shared" si="119"/>
        <v>0</v>
      </c>
      <c r="T119" s="687">
        <f t="shared" si="119"/>
        <v>0</v>
      </c>
      <c r="U119" s="687">
        <f t="shared" si="119"/>
        <v>0</v>
      </c>
      <c r="V119" s="687">
        <f t="shared" si="119"/>
        <v>0</v>
      </c>
      <c r="W119" s="687">
        <f t="shared" si="119"/>
        <v>0</v>
      </c>
      <c r="X119" s="687">
        <f t="shared" si="119"/>
        <v>0</v>
      </c>
      <c r="Y119" s="687">
        <f t="shared" si="119"/>
        <v>0</v>
      </c>
      <c r="Z119" s="687">
        <f t="shared" si="119"/>
        <v>0</v>
      </c>
      <c r="AA119" s="687">
        <f t="shared" si="119"/>
        <v>0</v>
      </c>
      <c r="AB119" s="687">
        <f t="shared" si="119"/>
        <v>0</v>
      </c>
      <c r="AV119" s="700" t="str">
        <f t="shared" si="103"/>
        <v/>
      </c>
    </row>
    <row r="120" spans="1:64" x14ac:dyDescent="0.25">
      <c r="A120" s="22"/>
      <c r="B120" s="186" t="str">
        <f t="shared" si="116"/>
        <v>TBUSHYD100</v>
      </c>
      <c r="C120" s="186"/>
      <c r="D120" s="187"/>
      <c r="E120" s="186"/>
      <c r="F120" s="170"/>
      <c r="G120" s="189"/>
      <c r="H120" s="170"/>
      <c r="I120" s="190">
        <f>AF$6</f>
        <v>2025</v>
      </c>
      <c r="J120" s="191"/>
      <c r="K120" s="191"/>
      <c r="L120" s="211" t="s">
        <v>1065</v>
      </c>
      <c r="M120" s="186" t="s">
        <v>748</v>
      </c>
      <c r="N120" s="687">
        <f t="shared" ref="N120:AB120" si="120">N118*LOOKUP($AD111,$AG$4:$AP$4,$AG$6:$AP$6)</f>
        <v>0</v>
      </c>
      <c r="O120" s="687">
        <f t="shared" si="120"/>
        <v>0</v>
      </c>
      <c r="P120" s="687">
        <f t="shared" si="120"/>
        <v>0</v>
      </c>
      <c r="Q120" s="687">
        <f t="shared" si="120"/>
        <v>0</v>
      </c>
      <c r="R120" s="687">
        <f t="shared" si="120"/>
        <v>0</v>
      </c>
      <c r="S120" s="687">
        <f t="shared" si="120"/>
        <v>0</v>
      </c>
      <c r="T120" s="687">
        <f t="shared" si="120"/>
        <v>0</v>
      </c>
      <c r="U120" s="687">
        <f t="shared" si="120"/>
        <v>0</v>
      </c>
      <c r="V120" s="687">
        <f t="shared" si="120"/>
        <v>0</v>
      </c>
      <c r="W120" s="687">
        <f t="shared" si="120"/>
        <v>0</v>
      </c>
      <c r="X120" s="687">
        <f t="shared" si="120"/>
        <v>0</v>
      </c>
      <c r="Y120" s="687">
        <f t="shared" si="120"/>
        <v>0</v>
      </c>
      <c r="Z120" s="687">
        <f t="shared" si="120"/>
        <v>0</v>
      </c>
      <c r="AA120" s="687">
        <f t="shared" si="120"/>
        <v>0</v>
      </c>
      <c r="AB120" s="687">
        <f t="shared" si="120"/>
        <v>0</v>
      </c>
      <c r="AV120" s="700" t="str">
        <f t="shared" si="103"/>
        <v/>
      </c>
    </row>
    <row r="121" spans="1:64" x14ac:dyDescent="0.25">
      <c r="A121" s="22"/>
      <c r="B121" s="186" t="str">
        <f t="shared" si="116"/>
        <v>TBUSHYD100</v>
      </c>
      <c r="C121" s="186"/>
      <c r="D121" s="187"/>
      <c r="E121" s="186"/>
      <c r="F121" s="170"/>
      <c r="G121" s="189"/>
      <c r="H121" s="170"/>
      <c r="I121" s="190">
        <f>AF$7</f>
        <v>2030</v>
      </c>
      <c r="J121" s="191"/>
      <c r="K121" s="191"/>
      <c r="L121" s="211" t="s">
        <v>1065</v>
      </c>
      <c r="M121" s="186" t="s">
        <v>748</v>
      </c>
      <c r="N121" s="687">
        <f t="shared" ref="N121:AB121" si="121">N118*LOOKUP($AD111,$AG$4:$AP$4,$AG$7:$AP$7)</f>
        <v>0</v>
      </c>
      <c r="O121" s="687">
        <f t="shared" si="121"/>
        <v>0</v>
      </c>
      <c r="P121" s="687">
        <f t="shared" si="121"/>
        <v>0</v>
      </c>
      <c r="Q121" s="687">
        <f t="shared" si="121"/>
        <v>0</v>
      </c>
      <c r="R121" s="687">
        <f t="shared" si="121"/>
        <v>0</v>
      </c>
      <c r="S121" s="687">
        <f t="shared" si="121"/>
        <v>0</v>
      </c>
      <c r="T121" s="687">
        <f t="shared" si="121"/>
        <v>0</v>
      </c>
      <c r="U121" s="687">
        <f t="shared" si="121"/>
        <v>0</v>
      </c>
      <c r="V121" s="687">
        <f t="shared" si="121"/>
        <v>0</v>
      </c>
      <c r="W121" s="687">
        <f t="shared" si="121"/>
        <v>0</v>
      </c>
      <c r="X121" s="687">
        <f t="shared" si="121"/>
        <v>0</v>
      </c>
      <c r="Y121" s="687">
        <f t="shared" si="121"/>
        <v>0</v>
      </c>
      <c r="Z121" s="687">
        <f t="shared" si="121"/>
        <v>0</v>
      </c>
      <c r="AA121" s="687">
        <f t="shared" si="121"/>
        <v>0</v>
      </c>
      <c r="AB121" s="687">
        <f t="shared" si="121"/>
        <v>0</v>
      </c>
      <c r="AV121" s="700" t="str">
        <f t="shared" si="103"/>
        <v/>
      </c>
    </row>
    <row r="122" spans="1:64" x14ac:dyDescent="0.25">
      <c r="A122" s="22"/>
      <c r="B122" s="186" t="str">
        <f t="shared" si="116"/>
        <v>TBUSHYD100</v>
      </c>
      <c r="C122" s="186"/>
      <c r="D122" s="187"/>
      <c r="E122" s="186"/>
      <c r="F122" s="170"/>
      <c r="G122" s="189"/>
      <c r="H122" s="170"/>
      <c r="I122" s="190">
        <f>AF$8</f>
        <v>2035</v>
      </c>
      <c r="J122" s="191"/>
      <c r="K122" s="191"/>
      <c r="L122" s="211" t="s">
        <v>1065</v>
      </c>
      <c r="M122" s="186" t="s">
        <v>748</v>
      </c>
      <c r="N122" s="687">
        <f t="shared" ref="N122:AB122" si="122">N118*LOOKUP($AD111,$AG$4:$AP$4,$AG$8:$AP$8)</f>
        <v>0</v>
      </c>
      <c r="O122" s="687">
        <f t="shared" si="122"/>
        <v>0</v>
      </c>
      <c r="P122" s="687">
        <f t="shared" si="122"/>
        <v>0</v>
      </c>
      <c r="Q122" s="687">
        <f t="shared" si="122"/>
        <v>0</v>
      </c>
      <c r="R122" s="687">
        <f t="shared" si="122"/>
        <v>0</v>
      </c>
      <c r="S122" s="687">
        <f t="shared" si="122"/>
        <v>0</v>
      </c>
      <c r="T122" s="687">
        <f t="shared" si="122"/>
        <v>0</v>
      </c>
      <c r="U122" s="687">
        <f t="shared" si="122"/>
        <v>0</v>
      </c>
      <c r="V122" s="687">
        <f t="shared" si="122"/>
        <v>0</v>
      </c>
      <c r="W122" s="687">
        <f t="shared" si="122"/>
        <v>0</v>
      </c>
      <c r="X122" s="687">
        <f t="shared" si="122"/>
        <v>0</v>
      </c>
      <c r="Y122" s="687">
        <f t="shared" si="122"/>
        <v>0</v>
      </c>
      <c r="Z122" s="687">
        <f t="shared" si="122"/>
        <v>0</v>
      </c>
      <c r="AA122" s="687">
        <f t="shared" si="122"/>
        <v>0</v>
      </c>
      <c r="AB122" s="687">
        <f t="shared" si="122"/>
        <v>0</v>
      </c>
      <c r="AV122" s="700" t="str">
        <f t="shared" si="103"/>
        <v/>
      </c>
    </row>
    <row r="123" spans="1:64" x14ac:dyDescent="0.25">
      <c r="A123" s="22"/>
      <c r="B123" s="186" t="str">
        <f t="shared" si="116"/>
        <v>TBUSHYD100</v>
      </c>
      <c r="C123" s="186"/>
      <c r="D123" s="187"/>
      <c r="E123" s="186"/>
      <c r="F123" s="170"/>
      <c r="G123" s="189"/>
      <c r="H123" s="170"/>
      <c r="I123" s="190">
        <f>AF$9</f>
        <v>2040</v>
      </c>
      <c r="J123" s="191"/>
      <c r="K123" s="191"/>
      <c r="L123" s="211" t="s">
        <v>1065</v>
      </c>
      <c r="M123" s="186" t="s">
        <v>748</v>
      </c>
      <c r="N123" s="687">
        <f t="shared" ref="N123:AB123" si="123">N118*LOOKUP($AD111,$AG$4:$AP$4,$AG$9:$AP$9)</f>
        <v>0</v>
      </c>
      <c r="O123" s="687">
        <f t="shared" si="123"/>
        <v>0</v>
      </c>
      <c r="P123" s="687">
        <f t="shared" si="123"/>
        <v>0</v>
      </c>
      <c r="Q123" s="687">
        <f t="shared" si="123"/>
        <v>0</v>
      </c>
      <c r="R123" s="687">
        <f t="shared" si="123"/>
        <v>0</v>
      </c>
      <c r="S123" s="687">
        <f t="shared" si="123"/>
        <v>0</v>
      </c>
      <c r="T123" s="687">
        <f t="shared" si="123"/>
        <v>0</v>
      </c>
      <c r="U123" s="687">
        <f t="shared" si="123"/>
        <v>0</v>
      </c>
      <c r="V123" s="687">
        <f t="shared" si="123"/>
        <v>0</v>
      </c>
      <c r="W123" s="687">
        <f t="shared" si="123"/>
        <v>0</v>
      </c>
      <c r="X123" s="687">
        <f t="shared" si="123"/>
        <v>0</v>
      </c>
      <c r="Y123" s="687">
        <f t="shared" si="123"/>
        <v>0</v>
      </c>
      <c r="Z123" s="687">
        <f t="shared" si="123"/>
        <v>0</v>
      </c>
      <c r="AA123" s="687">
        <f t="shared" si="123"/>
        <v>0</v>
      </c>
      <c r="AB123" s="687">
        <f t="shared" si="123"/>
        <v>0</v>
      </c>
      <c r="AV123" s="700" t="str">
        <f t="shared" si="103"/>
        <v/>
      </c>
    </row>
    <row r="124" spans="1:64" x14ac:dyDescent="0.25">
      <c r="A124" s="22"/>
      <c r="B124" s="193" t="str">
        <f t="shared" si="116"/>
        <v>TBUSHYD100</v>
      </c>
      <c r="C124" s="193"/>
      <c r="D124" s="194"/>
      <c r="E124" s="193"/>
      <c r="F124" s="196"/>
      <c r="G124" s="195"/>
      <c r="H124" s="196"/>
      <c r="I124" s="197">
        <f>AF$10</f>
        <v>2050</v>
      </c>
      <c r="J124" s="198"/>
      <c r="K124" s="198"/>
      <c r="L124" s="199" t="s">
        <v>1065</v>
      </c>
      <c r="M124" s="193" t="s">
        <v>748</v>
      </c>
      <c r="N124" s="688">
        <f t="shared" ref="N124:AB124" si="124">N118*LOOKUP($AD111,$AG$4:$AP$4,$AG$10:$AP$10)</f>
        <v>0</v>
      </c>
      <c r="O124" s="688">
        <f t="shared" si="124"/>
        <v>0</v>
      </c>
      <c r="P124" s="688">
        <f t="shared" si="124"/>
        <v>0</v>
      </c>
      <c r="Q124" s="688">
        <f t="shared" si="124"/>
        <v>0</v>
      </c>
      <c r="R124" s="688">
        <f t="shared" si="124"/>
        <v>0</v>
      </c>
      <c r="S124" s="688">
        <f t="shared" si="124"/>
        <v>0</v>
      </c>
      <c r="T124" s="688">
        <f t="shared" si="124"/>
        <v>0</v>
      </c>
      <c r="U124" s="688">
        <f t="shared" si="124"/>
        <v>0</v>
      </c>
      <c r="V124" s="688">
        <f t="shared" si="124"/>
        <v>0</v>
      </c>
      <c r="W124" s="688">
        <f t="shared" si="124"/>
        <v>0</v>
      </c>
      <c r="X124" s="688">
        <f t="shared" si="124"/>
        <v>0</v>
      </c>
      <c r="Y124" s="688">
        <f t="shared" si="124"/>
        <v>0</v>
      </c>
      <c r="Z124" s="688">
        <f t="shared" si="124"/>
        <v>0</v>
      </c>
      <c r="AA124" s="688">
        <f t="shared" si="124"/>
        <v>0</v>
      </c>
      <c r="AB124" s="688">
        <f t="shared" si="124"/>
        <v>0</v>
      </c>
      <c r="AV124" s="700" t="str">
        <f t="shared" si="103"/>
        <v/>
      </c>
    </row>
    <row r="125" spans="1:64" s="83" customFormat="1" x14ac:dyDescent="0.25">
      <c r="A125" s="82"/>
      <c r="B125" s="178" t="str">
        <f>C125</f>
        <v>TBUSHYG100</v>
      </c>
      <c r="C125" s="178" t="s">
        <v>332</v>
      </c>
      <c r="D125" s="179" t="s">
        <v>770</v>
      </c>
      <c r="E125" s="407" t="s">
        <v>1012</v>
      </c>
      <c r="F125" s="182"/>
      <c r="G125" s="181"/>
      <c r="H125" s="182"/>
      <c r="I125" s="183"/>
      <c r="J125" s="184"/>
      <c r="K125" s="184"/>
      <c r="L125" s="203" t="s">
        <v>1107</v>
      </c>
      <c r="M125" s="184" t="s">
        <v>1156</v>
      </c>
      <c r="N125" s="692">
        <f>N$47</f>
        <v>1E-3</v>
      </c>
      <c r="O125" s="692">
        <f t="shared" ref="O125:AB125" si="125">$N125</f>
        <v>1E-3</v>
      </c>
      <c r="P125" s="692">
        <f t="shared" si="125"/>
        <v>1E-3</v>
      </c>
      <c r="Q125" s="692">
        <f t="shared" si="125"/>
        <v>1E-3</v>
      </c>
      <c r="R125" s="692">
        <f t="shared" si="125"/>
        <v>1E-3</v>
      </c>
      <c r="S125" s="692">
        <f t="shared" si="125"/>
        <v>1E-3</v>
      </c>
      <c r="T125" s="692">
        <f t="shared" si="125"/>
        <v>1E-3</v>
      </c>
      <c r="U125" s="692">
        <f t="shared" si="125"/>
        <v>1E-3</v>
      </c>
      <c r="V125" s="692">
        <f t="shared" si="125"/>
        <v>1E-3</v>
      </c>
      <c r="W125" s="692">
        <f t="shared" si="125"/>
        <v>1E-3</v>
      </c>
      <c r="X125" s="692">
        <f t="shared" si="125"/>
        <v>1E-3</v>
      </c>
      <c r="Y125" s="692">
        <f t="shared" si="125"/>
        <v>1E-3</v>
      </c>
      <c r="Z125" s="692">
        <f t="shared" si="125"/>
        <v>1E-3</v>
      </c>
      <c r="AA125" s="692">
        <f t="shared" si="125"/>
        <v>1E-3</v>
      </c>
      <c r="AB125" s="692">
        <f t="shared" si="125"/>
        <v>1E-3</v>
      </c>
      <c r="AD125" s="402" t="str">
        <f>MID(D125,11,3)</f>
        <v>Hyb</v>
      </c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V125" s="700" t="str">
        <f t="shared" si="103"/>
        <v>TRAETHM</v>
      </c>
      <c r="AW125" s="568">
        <f t="shared" ref="AW125:AW126" si="126">SUM(AX125:BL125)</f>
        <v>0</v>
      </c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</row>
    <row r="126" spans="1:64" x14ac:dyDescent="0.25">
      <c r="A126" s="22"/>
      <c r="B126" s="186" t="str">
        <f>B125</f>
        <v>TBUSHYG100</v>
      </c>
      <c r="C126" s="186"/>
      <c r="D126" s="187"/>
      <c r="E126" s="258" t="s">
        <v>1014</v>
      </c>
      <c r="F126" s="170"/>
      <c r="G126" s="189"/>
      <c r="H126" s="170"/>
      <c r="I126" s="190"/>
      <c r="J126" s="191" t="s">
        <v>1127</v>
      </c>
      <c r="K126" s="191"/>
      <c r="L126" s="211" t="s">
        <v>101</v>
      </c>
      <c r="M126" s="186"/>
      <c r="N126" s="675">
        <f>1-N$22</f>
        <v>0.97</v>
      </c>
      <c r="O126" s="675">
        <f t="shared" ref="O126:AB126" si="127">1-O$22</f>
        <v>0.97</v>
      </c>
      <c r="P126" s="675">
        <f t="shared" si="127"/>
        <v>0.97</v>
      </c>
      <c r="Q126" s="675">
        <f t="shared" si="127"/>
        <v>0.97</v>
      </c>
      <c r="R126" s="675">
        <f t="shared" si="127"/>
        <v>0.97</v>
      </c>
      <c r="S126" s="675">
        <f t="shared" si="127"/>
        <v>0.97</v>
      </c>
      <c r="T126" s="675">
        <f t="shared" si="127"/>
        <v>0.97</v>
      </c>
      <c r="U126" s="675">
        <f t="shared" si="127"/>
        <v>0.97</v>
      </c>
      <c r="V126" s="675">
        <f t="shared" si="127"/>
        <v>0.97</v>
      </c>
      <c r="W126" s="675">
        <f t="shared" si="127"/>
        <v>0.97</v>
      </c>
      <c r="X126" s="675">
        <f t="shared" si="127"/>
        <v>0.97</v>
      </c>
      <c r="Y126" s="675">
        <f t="shared" si="127"/>
        <v>0.97</v>
      </c>
      <c r="Z126" s="675">
        <f t="shared" si="127"/>
        <v>0.97</v>
      </c>
      <c r="AA126" s="675">
        <f t="shared" si="127"/>
        <v>0.97</v>
      </c>
      <c r="AB126" s="675">
        <f t="shared" si="127"/>
        <v>0.97</v>
      </c>
      <c r="AD126" s="66" t="str">
        <f>IF(COUNTIF($AG$4:$AP$4,AD125)=1,"ok","MISSING")</f>
        <v>ok</v>
      </c>
      <c r="AE126" s="357"/>
      <c r="AF126" s="89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V126" s="700" t="str">
        <f t="shared" si="103"/>
        <v>TRAGSL</v>
      </c>
      <c r="AW126" s="568">
        <f t="shared" si="126"/>
        <v>0</v>
      </c>
    </row>
    <row r="127" spans="1:64" x14ac:dyDescent="0.25">
      <c r="A127" s="22"/>
      <c r="B127" s="186" t="str">
        <f>B126</f>
        <v>TBUSHYG100</v>
      </c>
      <c r="C127" s="186"/>
      <c r="D127" s="187"/>
      <c r="E127" s="186"/>
      <c r="F127" s="170"/>
      <c r="G127" s="188" t="s">
        <v>415</v>
      </c>
      <c r="H127" s="170"/>
      <c r="I127" s="190"/>
      <c r="J127" s="191"/>
      <c r="K127" s="191"/>
      <c r="L127" s="191" t="s">
        <v>1126</v>
      </c>
      <c r="M127" s="186" t="s">
        <v>678</v>
      </c>
      <c r="N127" s="690">
        <f>T_CEFF!H122</f>
        <v>5.3420000000000002E-2</v>
      </c>
      <c r="O127" s="690">
        <f>T_CEFF!I122</f>
        <v>5.3420000000000002E-2</v>
      </c>
      <c r="P127" s="690">
        <f>T_CEFF!J122</f>
        <v>5.3420000000000002E-2</v>
      </c>
      <c r="Q127" s="690">
        <f>T_CEFF!K122</f>
        <v>5.3420000000000002E-2</v>
      </c>
      <c r="R127" s="690">
        <f>T_CEFF!L122</f>
        <v>5.3420000000000002E-2</v>
      </c>
      <c r="S127" s="690">
        <f>T_CEFF!M122</f>
        <v>5.3420000000000002E-2</v>
      </c>
      <c r="T127" s="690">
        <f>T_CEFF!N122</f>
        <v>5.3420000000000002E-2</v>
      </c>
      <c r="U127" s="690">
        <f>T_CEFF!O122</f>
        <v>5.3420000000000002E-2</v>
      </c>
      <c r="V127" s="690">
        <f>T_CEFF!P122</f>
        <v>5.3420000000000002E-2</v>
      </c>
      <c r="W127" s="690">
        <f>T_CEFF!Q122</f>
        <v>5.3420000000000002E-2</v>
      </c>
      <c r="X127" s="690">
        <f>T_CEFF!R122</f>
        <v>5.3420000000000002E-2</v>
      </c>
      <c r="Y127" s="690">
        <f>T_CEFF!S122</f>
        <v>5.3420000000000002E-2</v>
      </c>
      <c r="Z127" s="690">
        <f>T_CEFF!T122</f>
        <v>5.3420000000000002E-2</v>
      </c>
      <c r="AA127" s="690">
        <f>T_CEFF!U122</f>
        <v>5.3420000000000002E-2</v>
      </c>
      <c r="AB127" s="690">
        <f>T_CEFF!V122</f>
        <v>5.3420000000000002E-2</v>
      </c>
      <c r="AE127" s="36"/>
      <c r="AF127" s="68"/>
      <c r="AV127" s="700" t="str">
        <f t="shared" si="103"/>
        <v/>
      </c>
    </row>
    <row r="128" spans="1:64" x14ac:dyDescent="0.25">
      <c r="A128" s="22"/>
      <c r="B128" s="186" t="str">
        <f>B127</f>
        <v>TBUSHYG100</v>
      </c>
      <c r="C128" s="186"/>
      <c r="D128" s="187"/>
      <c r="E128" s="186"/>
      <c r="F128" s="170"/>
      <c r="G128" s="188" t="s">
        <v>593</v>
      </c>
      <c r="H128" s="170"/>
      <c r="I128" s="190"/>
      <c r="J128" s="191"/>
      <c r="K128" s="191"/>
      <c r="L128" s="191" t="s">
        <v>1126</v>
      </c>
      <c r="M128" s="186" t="s">
        <v>678</v>
      </c>
      <c r="N128" s="690">
        <f>T_CEFF!H123</f>
        <v>5.3420000000000002E-2</v>
      </c>
      <c r="O128" s="690">
        <f>T_CEFF!I123</f>
        <v>5.3420000000000002E-2</v>
      </c>
      <c r="P128" s="690">
        <f>T_CEFF!J123</f>
        <v>5.3420000000000002E-2</v>
      </c>
      <c r="Q128" s="690">
        <f>T_CEFF!K123</f>
        <v>5.3420000000000002E-2</v>
      </c>
      <c r="R128" s="690">
        <f>T_CEFF!L123</f>
        <v>5.3420000000000002E-2</v>
      </c>
      <c r="S128" s="690">
        <f>T_CEFF!M123</f>
        <v>5.3420000000000002E-2</v>
      </c>
      <c r="T128" s="690">
        <f>T_CEFF!N123</f>
        <v>5.3420000000000002E-2</v>
      </c>
      <c r="U128" s="690">
        <f>T_CEFF!O123</f>
        <v>5.3420000000000002E-2</v>
      </c>
      <c r="V128" s="690">
        <f>T_CEFF!P123</f>
        <v>5.3420000000000002E-2</v>
      </c>
      <c r="W128" s="690">
        <f>T_CEFF!Q123</f>
        <v>5.3420000000000002E-2</v>
      </c>
      <c r="X128" s="690">
        <f>T_CEFF!R123</f>
        <v>5.3420000000000002E-2</v>
      </c>
      <c r="Y128" s="690">
        <f>T_CEFF!S123</f>
        <v>5.3420000000000002E-2</v>
      </c>
      <c r="Z128" s="690">
        <f>T_CEFF!T123</f>
        <v>5.3420000000000002E-2</v>
      </c>
      <c r="AA128" s="690">
        <f>T_CEFF!U123</f>
        <v>5.3420000000000002E-2</v>
      </c>
      <c r="AB128" s="690">
        <f>T_CEFF!V123</f>
        <v>5.3420000000000002E-2</v>
      </c>
      <c r="AE128" s="36"/>
      <c r="AF128" s="68"/>
      <c r="AV128" s="700" t="str">
        <f t="shared" si="103"/>
        <v/>
      </c>
      <c r="AW128" s="568"/>
      <c r="AX128" s="568"/>
      <c r="AY128" s="568"/>
      <c r="AZ128" s="568"/>
      <c r="BA128" s="568"/>
      <c r="BB128" s="568"/>
      <c r="BC128" s="568"/>
      <c r="BD128" s="568"/>
      <c r="BE128" s="568"/>
      <c r="BF128" s="568"/>
      <c r="BG128" s="568"/>
      <c r="BH128" s="568"/>
      <c r="BI128" s="568"/>
      <c r="BJ128" s="568"/>
      <c r="BK128" s="568"/>
      <c r="BL128" s="568"/>
    </row>
    <row r="129" spans="1:64" x14ac:dyDescent="0.25">
      <c r="A129" s="22"/>
      <c r="B129" s="186" t="str">
        <f t="shared" ref="B129:B137" si="128">B128</f>
        <v>TBUSHYG100</v>
      </c>
      <c r="C129" s="186"/>
      <c r="D129" s="187"/>
      <c r="E129" s="186"/>
      <c r="F129" s="170"/>
      <c r="G129" s="189"/>
      <c r="H129" s="170"/>
      <c r="I129" s="190"/>
      <c r="J129" s="191"/>
      <c r="K129" s="191" t="s">
        <v>749</v>
      </c>
      <c r="L129" s="191" t="s">
        <v>1128</v>
      </c>
      <c r="M129" s="186" t="s">
        <v>1159</v>
      </c>
      <c r="N129" s="603">
        <f t="shared" ref="N129:AB129" si="129">N$16</f>
        <v>0</v>
      </c>
      <c r="O129" s="603">
        <f t="shared" si="129"/>
        <v>0</v>
      </c>
      <c r="P129" s="603">
        <f t="shared" si="129"/>
        <v>0</v>
      </c>
      <c r="Q129" s="603">
        <f t="shared" si="129"/>
        <v>0</v>
      </c>
      <c r="R129" s="603">
        <f t="shared" si="129"/>
        <v>0</v>
      </c>
      <c r="S129" s="603">
        <f t="shared" si="129"/>
        <v>0</v>
      </c>
      <c r="T129" s="603">
        <f t="shared" si="129"/>
        <v>0</v>
      </c>
      <c r="U129" s="603">
        <f t="shared" si="129"/>
        <v>0</v>
      </c>
      <c r="V129" s="603">
        <f t="shared" si="129"/>
        <v>0</v>
      </c>
      <c r="W129" s="603">
        <f t="shared" si="129"/>
        <v>0</v>
      </c>
      <c r="X129" s="603">
        <f t="shared" si="129"/>
        <v>0</v>
      </c>
      <c r="Y129" s="603">
        <f t="shared" si="129"/>
        <v>0</v>
      </c>
      <c r="Z129" s="603">
        <f t="shared" si="129"/>
        <v>0</v>
      </c>
      <c r="AA129" s="603">
        <f t="shared" si="129"/>
        <v>0</v>
      </c>
      <c r="AB129" s="603">
        <f t="shared" si="129"/>
        <v>0</v>
      </c>
      <c r="AE129" s="36"/>
      <c r="AF129" s="68"/>
      <c r="AV129" s="700" t="str">
        <f t="shared" si="103"/>
        <v/>
      </c>
    </row>
    <row r="130" spans="1:64" x14ac:dyDescent="0.25">
      <c r="A130" s="22"/>
      <c r="B130" s="186" t="str">
        <f t="shared" si="128"/>
        <v>TBUSHYG100</v>
      </c>
      <c r="C130" s="186"/>
      <c r="D130" s="187"/>
      <c r="E130" s="186"/>
      <c r="F130" s="170"/>
      <c r="G130" s="189"/>
      <c r="H130" s="170"/>
      <c r="I130" s="190"/>
      <c r="J130" s="191"/>
      <c r="K130" s="191"/>
      <c r="L130" s="211" t="s">
        <v>1130</v>
      </c>
      <c r="M130" s="186" t="s">
        <v>1131</v>
      </c>
      <c r="N130" s="389">
        <f>LOOKUP($C$125, T_NCAP_AF!$C$95:$C$105, T_NCAP_AF!D$95:D$105)*(1+N29)</f>
        <v>0</v>
      </c>
      <c r="O130" s="389">
        <f>LOOKUP($C$125, T_NCAP_AF!$C$95:$C$105, T_NCAP_AF!E$95:E$105)*(1+O29)</f>
        <v>0</v>
      </c>
      <c r="P130" s="389">
        <f>LOOKUP($C$125, T_NCAP_AF!$C$95:$C$105, T_NCAP_AF!F$95:F$105)*(1+P29)</f>
        <v>0</v>
      </c>
      <c r="Q130" s="389">
        <f>LOOKUP($C$125, T_NCAP_AF!$C$95:$C$105, T_NCAP_AF!G$95:G$105)*(1+Q29)</f>
        <v>0</v>
      </c>
      <c r="R130" s="389">
        <f>LOOKUP($C$125, T_NCAP_AF!$C$95:$C$105, T_NCAP_AF!H$95:H$105)*(1+R29)</f>
        <v>0</v>
      </c>
      <c r="S130" s="389">
        <f>LOOKUP($C$125, T_NCAP_AF!$C$95:$C$105, T_NCAP_AF!I$95:I$105)*(1+S29)</f>
        <v>0</v>
      </c>
      <c r="T130" s="389">
        <f>LOOKUP($C$125, T_NCAP_AF!$C$95:$C$105, T_NCAP_AF!J$95:J$105)*(1+T29)</f>
        <v>0</v>
      </c>
      <c r="U130" s="389">
        <f>LOOKUP($C$125, T_NCAP_AF!$C$95:$C$105, T_NCAP_AF!K$95:K$105)*(1+U29)</f>
        <v>0</v>
      </c>
      <c r="V130" s="389">
        <f>LOOKUP($C$125, T_NCAP_AF!$C$95:$C$105, T_NCAP_AF!L$95:L$105)*(1+V29)</f>
        <v>0</v>
      </c>
      <c r="W130" s="389">
        <f>LOOKUP($C$125, T_NCAP_AF!$C$95:$C$105, T_NCAP_AF!M$95:M$105)*(1+W29)</f>
        <v>0</v>
      </c>
      <c r="X130" s="389">
        <f>LOOKUP($C$125, T_NCAP_AF!$C$95:$C$105, T_NCAP_AF!N$95:N$105)*(1+X29)</f>
        <v>0</v>
      </c>
      <c r="Y130" s="389">
        <f>LOOKUP($C$125, T_NCAP_AF!$C$95:$C$105, T_NCAP_AF!O$95:O$105)*(1+Y29)</f>
        <v>0</v>
      </c>
      <c r="Z130" s="389">
        <f>LOOKUP($C$125, T_NCAP_AF!$C$95:$C$105, T_NCAP_AF!P$95:P$105)*(1+Z29)</f>
        <v>0</v>
      </c>
      <c r="AA130" s="389">
        <f>LOOKUP($C$125, T_NCAP_AF!$C$95:$C$105, T_NCAP_AF!Q$95:Q$105)*(1+AA29)</f>
        <v>0</v>
      </c>
      <c r="AB130" s="389">
        <f>LOOKUP($C$125, T_NCAP_AF!$C$95:$C$105, T_NCAP_AF!R$95:R$105)*(1+AB29)</f>
        <v>0</v>
      </c>
      <c r="AC130" s="83"/>
      <c r="AE130" s="572">
        <f>SUM(AF130:AT130)</f>
        <v>0</v>
      </c>
      <c r="AF130" s="85">
        <f t="shared" ref="AF130:AT130" si="130">N129*N130*N131/1000</f>
        <v>0</v>
      </c>
      <c r="AG130" s="85">
        <f t="shared" si="130"/>
        <v>0</v>
      </c>
      <c r="AH130" s="85">
        <f t="shared" si="130"/>
        <v>0</v>
      </c>
      <c r="AI130" s="85">
        <f t="shared" si="130"/>
        <v>0</v>
      </c>
      <c r="AJ130" s="85">
        <f t="shared" si="130"/>
        <v>0</v>
      </c>
      <c r="AK130" s="85">
        <f t="shared" si="130"/>
        <v>0</v>
      </c>
      <c r="AL130" s="85">
        <f t="shared" si="130"/>
        <v>0</v>
      </c>
      <c r="AM130" s="85">
        <f t="shared" si="130"/>
        <v>0</v>
      </c>
      <c r="AN130" s="85">
        <f t="shared" si="130"/>
        <v>0</v>
      </c>
      <c r="AO130" s="85">
        <f t="shared" si="130"/>
        <v>0</v>
      </c>
      <c r="AP130" s="85">
        <f t="shared" si="130"/>
        <v>0</v>
      </c>
      <c r="AQ130" s="85">
        <f t="shared" si="130"/>
        <v>0</v>
      </c>
      <c r="AR130" s="85">
        <f t="shared" si="130"/>
        <v>0</v>
      </c>
      <c r="AS130" s="85">
        <f t="shared" si="130"/>
        <v>0</v>
      </c>
      <c r="AT130" s="85">
        <f t="shared" si="130"/>
        <v>0</v>
      </c>
      <c r="AV130" s="700" t="str">
        <f t="shared" si="103"/>
        <v/>
      </c>
    </row>
    <row r="131" spans="1:64" x14ac:dyDescent="0.25">
      <c r="A131" s="22"/>
      <c r="B131" s="186" t="str">
        <f t="shared" si="128"/>
        <v>TBUSHYG100</v>
      </c>
      <c r="C131" s="186"/>
      <c r="D131" s="187"/>
      <c r="E131" s="186"/>
      <c r="F131" s="170"/>
      <c r="G131" s="189"/>
      <c r="H131" s="170"/>
      <c r="I131" s="190">
        <f>$M$3</f>
        <v>2019</v>
      </c>
      <c r="J131" s="191"/>
      <c r="K131" s="191"/>
      <c r="L131" s="211" t="s">
        <v>1065</v>
      </c>
      <c r="M131" s="186" t="s">
        <v>748</v>
      </c>
      <c r="N131" s="687">
        <f>LOOKUP($C$125, T_Stock_Private!$C$58:$C$68, T_Stock_Private!D$58:D$68)*(1+N30)</f>
        <v>0</v>
      </c>
      <c r="O131" s="687">
        <f>LOOKUP($C$125, T_Stock_Private!$C$58:$C$68, T_Stock_Private!E$58:E$68)*(1+O30)</f>
        <v>0</v>
      </c>
      <c r="P131" s="687">
        <f>LOOKUP($C$125, T_Stock_Private!$C$58:$C$68, T_Stock_Private!F$58:F$68)*(1+P30)</f>
        <v>0</v>
      </c>
      <c r="Q131" s="687">
        <f>LOOKUP($C$125, T_Stock_Private!$C$58:$C$68, T_Stock_Private!G$58:G$68)*(1+Q30)</f>
        <v>0</v>
      </c>
      <c r="R131" s="687">
        <f>LOOKUP($C$125, T_Stock_Private!$C$58:$C$68, T_Stock_Private!H$58:H$68)*(1+R30)</f>
        <v>0</v>
      </c>
      <c r="S131" s="687">
        <f>LOOKUP($C$125, T_Stock_Private!$C$58:$C$68, T_Stock_Private!I$58:I$68)*(1+S30)</f>
        <v>0</v>
      </c>
      <c r="T131" s="687">
        <f>LOOKUP($C$125, T_Stock_Private!$C$58:$C$68, T_Stock_Private!J$58:J$68)*(1+T30)</f>
        <v>0</v>
      </c>
      <c r="U131" s="687">
        <f>LOOKUP($C$125, T_Stock_Private!$C$58:$C$68, T_Stock_Private!K$58:K$68)*(1+U30)</f>
        <v>0</v>
      </c>
      <c r="V131" s="687">
        <f>LOOKUP($C$125, T_Stock_Private!$C$58:$C$68, T_Stock_Private!L$58:L$68)*(1+V30)</f>
        <v>0</v>
      </c>
      <c r="W131" s="687">
        <f>LOOKUP($C$125, T_Stock_Private!$C$58:$C$68, T_Stock_Private!M$58:M$68)*(1+W30)</f>
        <v>0</v>
      </c>
      <c r="X131" s="687">
        <f>LOOKUP($C$125, T_Stock_Private!$C$58:$C$68, T_Stock_Private!N$58:N$68)*(1+X30)</f>
        <v>0</v>
      </c>
      <c r="Y131" s="687">
        <f>LOOKUP($C$125, T_Stock_Private!$C$58:$C$68, T_Stock_Private!O$58:O$68)*(1+Y30)</f>
        <v>0</v>
      </c>
      <c r="Z131" s="687">
        <f>LOOKUP($C$125, T_Stock_Private!$C$58:$C$68, T_Stock_Private!P$58:P$68)*(1+Z30)</f>
        <v>0</v>
      </c>
      <c r="AA131" s="687">
        <f>LOOKUP($C$125, T_Stock_Private!$C$58:$C$68, T_Stock_Private!Q$58:Q$68)*(1+AA30)</f>
        <v>0</v>
      </c>
      <c r="AB131" s="687">
        <f>LOOKUP($C$125, T_Stock_Private!$C$58:$C$68, T_Stock_Private!R$58:R$68)*(1+AB30)</f>
        <v>0</v>
      </c>
      <c r="AC131" s="89"/>
      <c r="AV131" s="700" t="str">
        <f t="shared" si="103"/>
        <v/>
      </c>
    </row>
    <row r="132" spans="1:64" x14ac:dyDescent="0.25">
      <c r="A132" s="22"/>
      <c r="B132" s="186" t="str">
        <f t="shared" si="128"/>
        <v>TBUSHYG100</v>
      </c>
      <c r="C132" s="186"/>
      <c r="D132" s="187"/>
      <c r="E132" s="186"/>
      <c r="F132" s="170"/>
      <c r="G132" s="189"/>
      <c r="H132" s="170"/>
      <c r="I132" s="190">
        <f>AF$5</f>
        <v>2020</v>
      </c>
      <c r="J132" s="191"/>
      <c r="K132" s="191"/>
      <c r="L132" s="211" t="s">
        <v>1065</v>
      </c>
      <c r="M132" s="186" t="s">
        <v>748</v>
      </c>
      <c r="N132" s="687">
        <f t="shared" ref="N132:AB132" si="131">N131*LOOKUP($AD125,$AG$4:$AP$4,$AG$5:$AP$5)</f>
        <v>0</v>
      </c>
      <c r="O132" s="687">
        <f t="shared" si="131"/>
        <v>0</v>
      </c>
      <c r="P132" s="687">
        <f t="shared" si="131"/>
        <v>0</v>
      </c>
      <c r="Q132" s="687">
        <f t="shared" si="131"/>
        <v>0</v>
      </c>
      <c r="R132" s="687">
        <f t="shared" si="131"/>
        <v>0</v>
      </c>
      <c r="S132" s="687">
        <f t="shared" si="131"/>
        <v>0</v>
      </c>
      <c r="T132" s="687">
        <f t="shared" si="131"/>
        <v>0</v>
      </c>
      <c r="U132" s="687">
        <f t="shared" si="131"/>
        <v>0</v>
      </c>
      <c r="V132" s="687">
        <f t="shared" si="131"/>
        <v>0</v>
      </c>
      <c r="W132" s="687">
        <f t="shared" si="131"/>
        <v>0</v>
      </c>
      <c r="X132" s="687">
        <f t="shared" si="131"/>
        <v>0</v>
      </c>
      <c r="Y132" s="687">
        <f t="shared" si="131"/>
        <v>0</v>
      </c>
      <c r="Z132" s="687">
        <f t="shared" si="131"/>
        <v>0</v>
      </c>
      <c r="AA132" s="687">
        <f t="shared" si="131"/>
        <v>0</v>
      </c>
      <c r="AB132" s="687">
        <f t="shared" si="131"/>
        <v>0</v>
      </c>
      <c r="AV132" s="700" t="str">
        <f t="shared" si="103"/>
        <v/>
      </c>
    </row>
    <row r="133" spans="1:64" x14ac:dyDescent="0.25">
      <c r="A133" s="22"/>
      <c r="B133" s="186" t="str">
        <f t="shared" si="128"/>
        <v>TBUSHYG100</v>
      </c>
      <c r="C133" s="186"/>
      <c r="D133" s="187"/>
      <c r="E133" s="186"/>
      <c r="F133" s="170"/>
      <c r="G133" s="189"/>
      <c r="H133" s="170"/>
      <c r="I133" s="190">
        <f>AF$6</f>
        <v>2025</v>
      </c>
      <c r="J133" s="191"/>
      <c r="K133" s="191"/>
      <c r="L133" s="211" t="s">
        <v>1065</v>
      </c>
      <c r="M133" s="186" t="s">
        <v>748</v>
      </c>
      <c r="N133" s="687">
        <f t="shared" ref="N133:AB133" si="132">N131*LOOKUP($AD125,$AG$4:$AP$4,$AG$6:$AP$6)</f>
        <v>0</v>
      </c>
      <c r="O133" s="687">
        <f t="shared" si="132"/>
        <v>0</v>
      </c>
      <c r="P133" s="687">
        <f t="shared" si="132"/>
        <v>0</v>
      </c>
      <c r="Q133" s="687">
        <f t="shared" si="132"/>
        <v>0</v>
      </c>
      <c r="R133" s="687">
        <f t="shared" si="132"/>
        <v>0</v>
      </c>
      <c r="S133" s="687">
        <f t="shared" si="132"/>
        <v>0</v>
      </c>
      <c r="T133" s="687">
        <f t="shared" si="132"/>
        <v>0</v>
      </c>
      <c r="U133" s="687">
        <f t="shared" si="132"/>
        <v>0</v>
      </c>
      <c r="V133" s="687">
        <f t="shared" si="132"/>
        <v>0</v>
      </c>
      <c r="W133" s="687">
        <f t="shared" si="132"/>
        <v>0</v>
      </c>
      <c r="X133" s="687">
        <f t="shared" si="132"/>
        <v>0</v>
      </c>
      <c r="Y133" s="687">
        <f t="shared" si="132"/>
        <v>0</v>
      </c>
      <c r="Z133" s="687">
        <f t="shared" si="132"/>
        <v>0</v>
      </c>
      <c r="AA133" s="687">
        <f t="shared" si="132"/>
        <v>0</v>
      </c>
      <c r="AB133" s="687">
        <f t="shared" si="132"/>
        <v>0</v>
      </c>
      <c r="AV133" s="700" t="str">
        <f t="shared" si="103"/>
        <v/>
      </c>
    </row>
    <row r="134" spans="1:64" x14ac:dyDescent="0.25">
      <c r="A134" s="22"/>
      <c r="B134" s="186" t="str">
        <f t="shared" si="128"/>
        <v>TBUSHYG100</v>
      </c>
      <c r="C134" s="186"/>
      <c r="D134" s="187"/>
      <c r="E134" s="186"/>
      <c r="F134" s="170"/>
      <c r="G134" s="189"/>
      <c r="H134" s="170"/>
      <c r="I134" s="190">
        <f>AF$7</f>
        <v>2030</v>
      </c>
      <c r="J134" s="191"/>
      <c r="K134" s="191"/>
      <c r="L134" s="211" t="s">
        <v>1065</v>
      </c>
      <c r="M134" s="186" t="s">
        <v>748</v>
      </c>
      <c r="N134" s="687">
        <f t="shared" ref="N134:AB134" si="133">N131*LOOKUP($AD125,$AG$4:$AP$4,$AG$7:$AP$7)</f>
        <v>0</v>
      </c>
      <c r="O134" s="687">
        <f t="shared" si="133"/>
        <v>0</v>
      </c>
      <c r="P134" s="687">
        <f t="shared" si="133"/>
        <v>0</v>
      </c>
      <c r="Q134" s="687">
        <f t="shared" si="133"/>
        <v>0</v>
      </c>
      <c r="R134" s="687">
        <f t="shared" si="133"/>
        <v>0</v>
      </c>
      <c r="S134" s="687">
        <f t="shared" si="133"/>
        <v>0</v>
      </c>
      <c r="T134" s="687">
        <f t="shared" si="133"/>
        <v>0</v>
      </c>
      <c r="U134" s="687">
        <f t="shared" si="133"/>
        <v>0</v>
      </c>
      <c r="V134" s="687">
        <f t="shared" si="133"/>
        <v>0</v>
      </c>
      <c r="W134" s="687">
        <f t="shared" si="133"/>
        <v>0</v>
      </c>
      <c r="X134" s="687">
        <f t="shared" si="133"/>
        <v>0</v>
      </c>
      <c r="Y134" s="687">
        <f t="shared" si="133"/>
        <v>0</v>
      </c>
      <c r="Z134" s="687">
        <f t="shared" si="133"/>
        <v>0</v>
      </c>
      <c r="AA134" s="687">
        <f t="shared" si="133"/>
        <v>0</v>
      </c>
      <c r="AB134" s="687">
        <f t="shared" si="133"/>
        <v>0</v>
      </c>
      <c r="AV134" s="700" t="str">
        <f t="shared" si="103"/>
        <v/>
      </c>
    </row>
    <row r="135" spans="1:64" x14ac:dyDescent="0.25">
      <c r="A135" s="22"/>
      <c r="B135" s="186" t="str">
        <f t="shared" si="128"/>
        <v>TBUSHYG100</v>
      </c>
      <c r="C135" s="186"/>
      <c r="D135" s="187"/>
      <c r="E135" s="186"/>
      <c r="F135" s="170"/>
      <c r="G135" s="189"/>
      <c r="H135" s="170"/>
      <c r="I135" s="190">
        <f>AF$8</f>
        <v>2035</v>
      </c>
      <c r="J135" s="191"/>
      <c r="K135" s="191"/>
      <c r="L135" s="211" t="s">
        <v>1065</v>
      </c>
      <c r="M135" s="186" t="s">
        <v>748</v>
      </c>
      <c r="N135" s="687">
        <f t="shared" ref="N135:AB135" si="134">N131*LOOKUP($AD125,$AG$4:$AP$4,$AG$8:$AP$8)</f>
        <v>0</v>
      </c>
      <c r="O135" s="687">
        <f t="shared" si="134"/>
        <v>0</v>
      </c>
      <c r="P135" s="687">
        <f t="shared" si="134"/>
        <v>0</v>
      </c>
      <c r="Q135" s="687">
        <f t="shared" si="134"/>
        <v>0</v>
      </c>
      <c r="R135" s="687">
        <f t="shared" si="134"/>
        <v>0</v>
      </c>
      <c r="S135" s="687">
        <f t="shared" si="134"/>
        <v>0</v>
      </c>
      <c r="T135" s="687">
        <f t="shared" si="134"/>
        <v>0</v>
      </c>
      <c r="U135" s="687">
        <f t="shared" si="134"/>
        <v>0</v>
      </c>
      <c r="V135" s="687">
        <f t="shared" si="134"/>
        <v>0</v>
      </c>
      <c r="W135" s="687">
        <f t="shared" si="134"/>
        <v>0</v>
      </c>
      <c r="X135" s="687">
        <f t="shared" si="134"/>
        <v>0</v>
      </c>
      <c r="Y135" s="687">
        <f t="shared" si="134"/>
        <v>0</v>
      </c>
      <c r="Z135" s="687">
        <f t="shared" si="134"/>
        <v>0</v>
      </c>
      <c r="AA135" s="687">
        <f t="shared" si="134"/>
        <v>0</v>
      </c>
      <c r="AB135" s="687">
        <f t="shared" si="134"/>
        <v>0</v>
      </c>
      <c r="AV135" s="700" t="str">
        <f t="shared" si="103"/>
        <v/>
      </c>
    </row>
    <row r="136" spans="1:64" x14ac:dyDescent="0.25">
      <c r="A136" s="22"/>
      <c r="B136" s="186" t="str">
        <f t="shared" si="128"/>
        <v>TBUSHYG100</v>
      </c>
      <c r="C136" s="186"/>
      <c r="D136" s="187"/>
      <c r="E136" s="186"/>
      <c r="F136" s="170"/>
      <c r="G136" s="189"/>
      <c r="H136" s="170"/>
      <c r="I136" s="190">
        <f>AF$9</f>
        <v>2040</v>
      </c>
      <c r="J136" s="191"/>
      <c r="K136" s="191"/>
      <c r="L136" s="211" t="s">
        <v>1065</v>
      </c>
      <c r="M136" s="186" t="s">
        <v>748</v>
      </c>
      <c r="N136" s="687">
        <f t="shared" ref="N136:AB136" si="135">N131*LOOKUP($AD125,$AG$4:$AP$4,$AG$9:$AP$9)</f>
        <v>0</v>
      </c>
      <c r="O136" s="687">
        <f t="shared" si="135"/>
        <v>0</v>
      </c>
      <c r="P136" s="687">
        <f t="shared" si="135"/>
        <v>0</v>
      </c>
      <c r="Q136" s="687">
        <f t="shared" si="135"/>
        <v>0</v>
      </c>
      <c r="R136" s="687">
        <f t="shared" si="135"/>
        <v>0</v>
      </c>
      <c r="S136" s="687">
        <f t="shared" si="135"/>
        <v>0</v>
      </c>
      <c r="T136" s="687">
        <f t="shared" si="135"/>
        <v>0</v>
      </c>
      <c r="U136" s="687">
        <f t="shared" si="135"/>
        <v>0</v>
      </c>
      <c r="V136" s="687">
        <f t="shared" si="135"/>
        <v>0</v>
      </c>
      <c r="W136" s="687">
        <f t="shared" si="135"/>
        <v>0</v>
      </c>
      <c r="X136" s="687">
        <f t="shared" si="135"/>
        <v>0</v>
      </c>
      <c r="Y136" s="687">
        <f t="shared" si="135"/>
        <v>0</v>
      </c>
      <c r="Z136" s="687">
        <f t="shared" si="135"/>
        <v>0</v>
      </c>
      <c r="AA136" s="687">
        <f t="shared" si="135"/>
        <v>0</v>
      </c>
      <c r="AB136" s="687">
        <f t="shared" si="135"/>
        <v>0</v>
      </c>
      <c r="AV136" s="700" t="str">
        <f t="shared" si="103"/>
        <v/>
      </c>
    </row>
    <row r="137" spans="1:64" x14ac:dyDescent="0.25">
      <c r="A137" s="22"/>
      <c r="B137" s="193" t="str">
        <f t="shared" si="128"/>
        <v>TBUSHYG100</v>
      </c>
      <c r="C137" s="193"/>
      <c r="D137" s="194"/>
      <c r="E137" s="193"/>
      <c r="F137" s="196"/>
      <c r="G137" s="195"/>
      <c r="H137" s="196"/>
      <c r="I137" s="197">
        <f>AF$10</f>
        <v>2050</v>
      </c>
      <c r="J137" s="198"/>
      <c r="K137" s="198"/>
      <c r="L137" s="199" t="s">
        <v>1065</v>
      </c>
      <c r="M137" s="193" t="s">
        <v>748</v>
      </c>
      <c r="N137" s="688">
        <f t="shared" ref="N137:AB137" si="136">N131*LOOKUP($AD125,$AG$4:$AP$4,$AG$10:$AP$10)</f>
        <v>0</v>
      </c>
      <c r="O137" s="688">
        <f t="shared" si="136"/>
        <v>0</v>
      </c>
      <c r="P137" s="688">
        <f t="shared" si="136"/>
        <v>0</v>
      </c>
      <c r="Q137" s="688">
        <f t="shared" si="136"/>
        <v>0</v>
      </c>
      <c r="R137" s="688">
        <f t="shared" si="136"/>
        <v>0</v>
      </c>
      <c r="S137" s="688">
        <f t="shared" si="136"/>
        <v>0</v>
      </c>
      <c r="T137" s="688">
        <f t="shared" si="136"/>
        <v>0</v>
      </c>
      <c r="U137" s="688">
        <f t="shared" si="136"/>
        <v>0</v>
      </c>
      <c r="V137" s="688">
        <f t="shared" si="136"/>
        <v>0</v>
      </c>
      <c r="W137" s="688">
        <f t="shared" si="136"/>
        <v>0</v>
      </c>
      <c r="X137" s="688">
        <f t="shared" si="136"/>
        <v>0</v>
      </c>
      <c r="Y137" s="688">
        <f t="shared" si="136"/>
        <v>0</v>
      </c>
      <c r="Z137" s="688">
        <f t="shared" si="136"/>
        <v>0</v>
      </c>
      <c r="AA137" s="688">
        <f t="shared" si="136"/>
        <v>0</v>
      </c>
      <c r="AB137" s="688">
        <f t="shared" si="136"/>
        <v>0</v>
      </c>
      <c r="AV137" s="700" t="str">
        <f t="shared" si="103"/>
        <v/>
      </c>
    </row>
    <row r="138" spans="1:64" s="83" customFormat="1" x14ac:dyDescent="0.25">
      <c r="A138" s="82"/>
      <c r="B138" s="178" t="str">
        <f>C138</f>
        <v>TBUSLPG100</v>
      </c>
      <c r="C138" s="178" t="s">
        <v>333</v>
      </c>
      <c r="D138" s="179" t="s">
        <v>771</v>
      </c>
      <c r="E138" s="407" t="s">
        <v>1033</v>
      </c>
      <c r="F138" s="182"/>
      <c r="G138" s="181"/>
      <c r="H138" s="182"/>
      <c r="I138" s="183"/>
      <c r="J138" s="184"/>
      <c r="K138" s="184"/>
      <c r="L138" s="203" t="s">
        <v>1107</v>
      </c>
      <c r="M138" s="184" t="s">
        <v>1156</v>
      </c>
      <c r="N138" s="692">
        <f>N$47</f>
        <v>1E-3</v>
      </c>
      <c r="O138" s="692">
        <f t="shared" ref="O138:AB138" si="137">$N138</f>
        <v>1E-3</v>
      </c>
      <c r="P138" s="692">
        <f t="shared" si="137"/>
        <v>1E-3</v>
      </c>
      <c r="Q138" s="692">
        <f t="shared" si="137"/>
        <v>1E-3</v>
      </c>
      <c r="R138" s="692">
        <f t="shared" si="137"/>
        <v>1E-3</v>
      </c>
      <c r="S138" s="692">
        <f t="shared" si="137"/>
        <v>1E-3</v>
      </c>
      <c r="T138" s="692">
        <f t="shared" si="137"/>
        <v>1E-3</v>
      </c>
      <c r="U138" s="692">
        <f t="shared" si="137"/>
        <v>1E-3</v>
      </c>
      <c r="V138" s="692">
        <f t="shared" si="137"/>
        <v>1E-3</v>
      </c>
      <c r="W138" s="692">
        <f t="shared" si="137"/>
        <v>1E-3</v>
      </c>
      <c r="X138" s="692">
        <f t="shared" si="137"/>
        <v>1E-3</v>
      </c>
      <c r="Y138" s="692">
        <f t="shared" si="137"/>
        <v>1E-3</v>
      </c>
      <c r="Z138" s="692">
        <f t="shared" si="137"/>
        <v>1E-3</v>
      </c>
      <c r="AA138" s="692">
        <f t="shared" si="137"/>
        <v>1E-3</v>
      </c>
      <c r="AB138" s="692">
        <f t="shared" si="137"/>
        <v>1E-3</v>
      </c>
      <c r="AD138" s="402" t="str">
        <f>MID(D138,11,3)</f>
        <v>LPG</v>
      </c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V138" s="700" t="str">
        <f t="shared" si="103"/>
        <v>TRALPG</v>
      </c>
      <c r="AW138" s="570">
        <f t="shared" ref="AW138" si="138">SUM(AX138:BL138)</f>
        <v>0</v>
      </c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</row>
    <row r="139" spans="1:64" x14ac:dyDescent="0.25">
      <c r="A139" s="22"/>
      <c r="B139" s="186" t="str">
        <f>B138</f>
        <v>TBUSLPG100</v>
      </c>
      <c r="C139" s="186"/>
      <c r="D139" s="187"/>
      <c r="E139" s="186"/>
      <c r="F139" s="170"/>
      <c r="G139" s="188" t="s">
        <v>415</v>
      </c>
      <c r="H139" s="170"/>
      <c r="I139" s="190"/>
      <c r="J139" s="191"/>
      <c r="K139" s="191"/>
      <c r="L139" s="191" t="s">
        <v>1126</v>
      </c>
      <c r="M139" s="186" t="s">
        <v>678</v>
      </c>
      <c r="N139" s="690">
        <f>T_CEFF!H124</f>
        <v>4.8079999999999998E-2</v>
      </c>
      <c r="O139" s="690">
        <f>T_CEFF!I124</f>
        <v>4.8079999999999998E-2</v>
      </c>
      <c r="P139" s="690">
        <f>T_CEFF!J124</f>
        <v>4.8079999999999998E-2</v>
      </c>
      <c r="Q139" s="690">
        <f>T_CEFF!K124</f>
        <v>4.8079999999999998E-2</v>
      </c>
      <c r="R139" s="690">
        <f>T_CEFF!L124</f>
        <v>4.8079999999999998E-2</v>
      </c>
      <c r="S139" s="690">
        <f>T_CEFF!M124</f>
        <v>4.8079999999999998E-2</v>
      </c>
      <c r="T139" s="690">
        <f>T_CEFF!N124</f>
        <v>4.8079999999999998E-2</v>
      </c>
      <c r="U139" s="690">
        <f>T_CEFF!O124</f>
        <v>4.8079999999999998E-2</v>
      </c>
      <c r="V139" s="690">
        <f>T_CEFF!P124</f>
        <v>4.8079999999999998E-2</v>
      </c>
      <c r="W139" s="690">
        <f>T_CEFF!Q124</f>
        <v>4.8079999999999998E-2</v>
      </c>
      <c r="X139" s="690">
        <f>T_CEFF!R124</f>
        <v>4.8079999999999998E-2</v>
      </c>
      <c r="Y139" s="690">
        <f>T_CEFF!S124</f>
        <v>4.8079999999999998E-2</v>
      </c>
      <c r="Z139" s="690">
        <f>T_CEFF!T124</f>
        <v>4.8079999999999998E-2</v>
      </c>
      <c r="AA139" s="690">
        <f>T_CEFF!U124</f>
        <v>4.8079999999999998E-2</v>
      </c>
      <c r="AB139" s="690">
        <f>T_CEFF!V124</f>
        <v>4.8079999999999998E-2</v>
      </c>
      <c r="AD139" s="66" t="str">
        <f>IF(COUNTIF($AG$4:$AP$4,AD138)=1,"ok","MISSING")</f>
        <v>ok</v>
      </c>
      <c r="AE139" s="357"/>
      <c r="AF139" s="89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V139" s="700" t="str">
        <f t="shared" si="103"/>
        <v/>
      </c>
    </row>
    <row r="140" spans="1:64" x14ac:dyDescent="0.25">
      <c r="A140" s="22"/>
      <c r="B140" s="186" t="str">
        <f>B139</f>
        <v>TBUSLPG100</v>
      </c>
      <c r="C140" s="186"/>
      <c r="D140" s="187"/>
      <c r="E140" s="186"/>
      <c r="F140" s="170"/>
      <c r="G140" s="188" t="s">
        <v>593</v>
      </c>
      <c r="H140" s="170"/>
      <c r="I140" s="190"/>
      <c r="J140" s="191"/>
      <c r="K140" s="191"/>
      <c r="L140" s="191" t="s">
        <v>1126</v>
      </c>
      <c r="M140" s="186" t="s">
        <v>678</v>
      </c>
      <c r="N140" s="690">
        <f>T_CEFF!H125</f>
        <v>4.8079999999999998E-2</v>
      </c>
      <c r="O140" s="690">
        <f>T_CEFF!I125</f>
        <v>4.8079999999999998E-2</v>
      </c>
      <c r="P140" s="690">
        <f>T_CEFF!J125</f>
        <v>4.8079999999999998E-2</v>
      </c>
      <c r="Q140" s="690">
        <f>T_CEFF!K125</f>
        <v>4.8079999999999998E-2</v>
      </c>
      <c r="R140" s="690">
        <f>T_CEFF!L125</f>
        <v>4.8079999999999998E-2</v>
      </c>
      <c r="S140" s="690">
        <f>T_CEFF!M125</f>
        <v>4.8079999999999998E-2</v>
      </c>
      <c r="T140" s="690">
        <f>T_CEFF!N125</f>
        <v>4.8079999999999998E-2</v>
      </c>
      <c r="U140" s="690">
        <f>T_CEFF!O125</f>
        <v>4.8079999999999998E-2</v>
      </c>
      <c r="V140" s="690">
        <f>T_CEFF!P125</f>
        <v>4.8079999999999998E-2</v>
      </c>
      <c r="W140" s="690">
        <f>T_CEFF!Q125</f>
        <v>4.8079999999999998E-2</v>
      </c>
      <c r="X140" s="690">
        <f>T_CEFF!R125</f>
        <v>4.8079999999999998E-2</v>
      </c>
      <c r="Y140" s="690">
        <f>T_CEFF!S125</f>
        <v>4.8079999999999998E-2</v>
      </c>
      <c r="Z140" s="690">
        <f>T_CEFF!T125</f>
        <v>4.8079999999999998E-2</v>
      </c>
      <c r="AA140" s="690">
        <f>T_CEFF!U125</f>
        <v>4.8079999999999998E-2</v>
      </c>
      <c r="AB140" s="690">
        <f>T_CEFF!V125</f>
        <v>4.8079999999999998E-2</v>
      </c>
      <c r="AE140" s="36"/>
      <c r="AF140" s="68"/>
      <c r="AV140" s="714" t="str">
        <f t="shared" si="103"/>
        <v/>
      </c>
      <c r="AW140" s="570"/>
      <c r="AX140" s="570"/>
      <c r="AY140" s="570"/>
      <c r="AZ140" s="570"/>
      <c r="BA140" s="570"/>
      <c r="BB140" s="570"/>
      <c r="BC140" s="570"/>
      <c r="BD140" s="570"/>
      <c r="BE140" s="570"/>
      <c r="BF140" s="570"/>
      <c r="BG140" s="570"/>
      <c r="BH140" s="570"/>
      <c r="BI140" s="570"/>
      <c r="BJ140" s="570"/>
      <c r="BK140" s="570"/>
      <c r="BL140" s="570"/>
    </row>
    <row r="141" spans="1:64" x14ac:dyDescent="0.25">
      <c r="A141" s="22"/>
      <c r="B141" s="186" t="str">
        <f t="shared" ref="B141:B149" si="139">B140</f>
        <v>TBUSLPG100</v>
      </c>
      <c r="C141" s="186"/>
      <c r="D141" s="187"/>
      <c r="E141" s="186"/>
      <c r="F141" s="170"/>
      <c r="G141" s="189"/>
      <c r="H141" s="170"/>
      <c r="I141" s="190"/>
      <c r="J141" s="191"/>
      <c r="K141" s="191" t="s">
        <v>749</v>
      </c>
      <c r="L141" s="191" t="s">
        <v>1128</v>
      </c>
      <c r="M141" s="186" t="s">
        <v>1159</v>
      </c>
      <c r="N141" s="603">
        <f t="shared" ref="N141:AB141" si="140">N$16</f>
        <v>0</v>
      </c>
      <c r="O141" s="603">
        <f t="shared" si="140"/>
        <v>0</v>
      </c>
      <c r="P141" s="603">
        <f t="shared" si="140"/>
        <v>0</v>
      </c>
      <c r="Q141" s="603">
        <f t="shared" si="140"/>
        <v>0</v>
      </c>
      <c r="R141" s="603">
        <f t="shared" si="140"/>
        <v>0</v>
      </c>
      <c r="S141" s="603">
        <f t="shared" si="140"/>
        <v>0</v>
      </c>
      <c r="T141" s="603">
        <f t="shared" si="140"/>
        <v>0</v>
      </c>
      <c r="U141" s="603">
        <f t="shared" si="140"/>
        <v>0</v>
      </c>
      <c r="V141" s="603">
        <f t="shared" si="140"/>
        <v>0</v>
      </c>
      <c r="W141" s="603">
        <f t="shared" si="140"/>
        <v>0</v>
      </c>
      <c r="X141" s="603">
        <f t="shared" si="140"/>
        <v>0</v>
      </c>
      <c r="Y141" s="603">
        <f t="shared" si="140"/>
        <v>0</v>
      </c>
      <c r="Z141" s="603">
        <f t="shared" si="140"/>
        <v>0</v>
      </c>
      <c r="AA141" s="603">
        <f t="shared" si="140"/>
        <v>0</v>
      </c>
      <c r="AB141" s="603">
        <f t="shared" si="140"/>
        <v>0</v>
      </c>
      <c r="AE141" s="36"/>
      <c r="AF141" s="68"/>
      <c r="AV141" s="700" t="str">
        <f t="shared" si="103"/>
        <v/>
      </c>
      <c r="AW141" s="568"/>
      <c r="AX141" s="570"/>
      <c r="AY141" s="570"/>
      <c r="AZ141" s="570"/>
      <c r="BA141" s="570"/>
      <c r="BB141" s="570"/>
      <c r="BC141" s="570"/>
      <c r="BD141" s="570"/>
      <c r="BE141" s="570"/>
      <c r="BF141" s="570"/>
      <c r="BG141" s="570"/>
      <c r="BH141" s="570"/>
      <c r="BI141" s="570"/>
      <c r="BJ141" s="570"/>
      <c r="BK141" s="570"/>
      <c r="BL141" s="570"/>
    </row>
    <row r="142" spans="1:64" x14ac:dyDescent="0.25">
      <c r="A142" s="22"/>
      <c r="B142" s="186" t="str">
        <f t="shared" si="139"/>
        <v>TBUSLPG100</v>
      </c>
      <c r="C142" s="186"/>
      <c r="D142" s="187"/>
      <c r="E142" s="186"/>
      <c r="F142" s="170"/>
      <c r="G142" s="189"/>
      <c r="H142" s="170"/>
      <c r="I142" s="190"/>
      <c r="J142" s="191"/>
      <c r="K142" s="191"/>
      <c r="L142" s="211" t="s">
        <v>1130</v>
      </c>
      <c r="M142" s="186" t="s">
        <v>1131</v>
      </c>
      <c r="N142" s="389">
        <f>LOOKUP($C$138, T_NCAP_AF!$C$95:$C$105, T_NCAP_AF!D$95:D$105)*(1+N29)</f>
        <v>0</v>
      </c>
      <c r="O142" s="389">
        <f>LOOKUP($C$138, T_NCAP_AF!$C$95:$C$105, T_NCAP_AF!E$95:E$105)*(1+O29)</f>
        <v>0</v>
      </c>
      <c r="P142" s="389">
        <f>LOOKUP($C$138, T_NCAP_AF!$C$95:$C$105, T_NCAP_AF!F$95:F$105)*(1+P29)</f>
        <v>0</v>
      </c>
      <c r="Q142" s="389">
        <f>LOOKUP($C$138, T_NCAP_AF!$C$95:$C$105, T_NCAP_AF!G$95:G$105)*(1+Q29)</f>
        <v>0</v>
      </c>
      <c r="R142" s="389">
        <f>LOOKUP($C$138, T_NCAP_AF!$C$95:$C$105, T_NCAP_AF!H$95:H$105)*(1+R29)</f>
        <v>0</v>
      </c>
      <c r="S142" s="389">
        <f>LOOKUP($C$138, T_NCAP_AF!$C$95:$C$105, T_NCAP_AF!I$95:I$105)*(1+S29)</f>
        <v>0</v>
      </c>
      <c r="T142" s="389">
        <f>LOOKUP($C$138, T_NCAP_AF!$C$95:$C$105, T_NCAP_AF!J$95:J$105)*(1+T29)</f>
        <v>0</v>
      </c>
      <c r="U142" s="389">
        <f>LOOKUP($C$138, T_NCAP_AF!$C$95:$C$105, T_NCAP_AF!K$95:K$105)*(1+U29)</f>
        <v>0</v>
      </c>
      <c r="V142" s="389">
        <f>LOOKUP($C$138, T_NCAP_AF!$C$95:$C$105, T_NCAP_AF!L$95:L$105)*(1+V29)</f>
        <v>0</v>
      </c>
      <c r="W142" s="389">
        <f>LOOKUP($C$138, T_NCAP_AF!$C$95:$C$105, T_NCAP_AF!M$95:M$105)*(1+W29)</f>
        <v>0</v>
      </c>
      <c r="X142" s="389">
        <f>LOOKUP($C$138, T_NCAP_AF!$C$95:$C$105, T_NCAP_AF!N$95:N$105)*(1+X29)</f>
        <v>0</v>
      </c>
      <c r="Y142" s="389">
        <f>LOOKUP($C$138, T_NCAP_AF!$C$95:$C$105, T_NCAP_AF!O$95:O$105)*(1+Y29)</f>
        <v>0</v>
      </c>
      <c r="Z142" s="389">
        <f>LOOKUP($C$138, T_NCAP_AF!$C$95:$C$105, T_NCAP_AF!P$95:P$105)*(1+Z29)</f>
        <v>0</v>
      </c>
      <c r="AA142" s="389">
        <f>LOOKUP($C$138, T_NCAP_AF!$C$95:$C$105, T_NCAP_AF!Q$95:Q$105)*(1+AA29)</f>
        <v>0</v>
      </c>
      <c r="AB142" s="389">
        <f>LOOKUP($C$138, T_NCAP_AF!$C$95:$C$105, T_NCAP_AF!R$95:R$105)*(1+AB29)</f>
        <v>0</v>
      </c>
      <c r="AC142" s="83"/>
      <c r="AE142" s="572">
        <f>SUM(AF142:AT142)</f>
        <v>0</v>
      </c>
      <c r="AF142" s="85">
        <f t="shared" ref="AF142:AT142" si="141">N141*N142*N143/1000</f>
        <v>0</v>
      </c>
      <c r="AG142" s="85">
        <f t="shared" si="141"/>
        <v>0</v>
      </c>
      <c r="AH142" s="85">
        <f t="shared" si="141"/>
        <v>0</v>
      </c>
      <c r="AI142" s="85">
        <f t="shared" si="141"/>
        <v>0</v>
      </c>
      <c r="AJ142" s="85">
        <f t="shared" si="141"/>
        <v>0</v>
      </c>
      <c r="AK142" s="85">
        <f t="shared" si="141"/>
        <v>0</v>
      </c>
      <c r="AL142" s="85">
        <f t="shared" si="141"/>
        <v>0</v>
      </c>
      <c r="AM142" s="85">
        <f t="shared" si="141"/>
        <v>0</v>
      </c>
      <c r="AN142" s="85">
        <f t="shared" si="141"/>
        <v>0</v>
      </c>
      <c r="AO142" s="85">
        <f t="shared" si="141"/>
        <v>0</v>
      </c>
      <c r="AP142" s="85">
        <f t="shared" si="141"/>
        <v>0</v>
      </c>
      <c r="AQ142" s="85">
        <f t="shared" si="141"/>
        <v>0</v>
      </c>
      <c r="AR142" s="85">
        <f t="shared" si="141"/>
        <v>0</v>
      </c>
      <c r="AS142" s="85">
        <f t="shared" si="141"/>
        <v>0</v>
      </c>
      <c r="AT142" s="85">
        <f t="shared" si="141"/>
        <v>0</v>
      </c>
      <c r="AV142" s="700" t="str">
        <f t="shared" si="103"/>
        <v/>
      </c>
    </row>
    <row r="143" spans="1:64" x14ac:dyDescent="0.25">
      <c r="A143" s="22"/>
      <c r="B143" s="186" t="str">
        <f t="shared" si="139"/>
        <v>TBUSLPG100</v>
      </c>
      <c r="C143" s="186"/>
      <c r="D143" s="187"/>
      <c r="E143" s="186"/>
      <c r="F143" s="170"/>
      <c r="G143" s="189"/>
      <c r="H143" s="170"/>
      <c r="I143" s="190">
        <f>$M$3</f>
        <v>2019</v>
      </c>
      <c r="J143" s="191"/>
      <c r="K143" s="191"/>
      <c r="L143" s="211" t="s">
        <v>1065</v>
      </c>
      <c r="M143" s="186" t="s">
        <v>748</v>
      </c>
      <c r="N143" s="687">
        <f>LOOKUP($C$138, T_Stock_Private!$C$58:$C$68, T_Stock_Private!D$58:D$68)*(1+N30)</f>
        <v>0</v>
      </c>
      <c r="O143" s="687">
        <f>LOOKUP($C$138, T_Stock_Private!$C$58:$C$68, T_Stock_Private!E$58:E$68)*(1+O30)</f>
        <v>0</v>
      </c>
      <c r="P143" s="687">
        <f>LOOKUP($C$138, T_Stock_Private!$C$58:$C$68, T_Stock_Private!F$58:F$68)*(1+P30)</f>
        <v>0</v>
      </c>
      <c r="Q143" s="687">
        <f>LOOKUP($C$138, T_Stock_Private!$C$58:$C$68, T_Stock_Private!G$58:G$68)*(1+Q30)</f>
        <v>0</v>
      </c>
      <c r="R143" s="687">
        <f>LOOKUP($C$138, T_Stock_Private!$C$58:$C$68, T_Stock_Private!H$58:H$68)*(1+R30)</f>
        <v>0</v>
      </c>
      <c r="S143" s="687">
        <f>LOOKUP($C$138, T_Stock_Private!$C$58:$C$68, T_Stock_Private!I$58:I$68)*(1+S30)</f>
        <v>0</v>
      </c>
      <c r="T143" s="687">
        <f>LOOKUP($C$138, T_Stock_Private!$C$58:$C$68, T_Stock_Private!J$58:J$68)*(1+T30)</f>
        <v>0</v>
      </c>
      <c r="U143" s="687">
        <f>LOOKUP($C$138, T_Stock_Private!$C$58:$C$68, T_Stock_Private!K$58:K$68)*(1+U30)</f>
        <v>0</v>
      </c>
      <c r="V143" s="687">
        <f>LOOKUP($C$138, T_Stock_Private!$C$58:$C$68, T_Stock_Private!L$58:L$68)*(1+V30)</f>
        <v>0</v>
      </c>
      <c r="W143" s="687">
        <f>LOOKUP($C$138, T_Stock_Private!$C$58:$C$68, T_Stock_Private!M$58:M$68)*(1+W30)</f>
        <v>0</v>
      </c>
      <c r="X143" s="687">
        <f>LOOKUP($C$138, T_Stock_Private!$C$58:$C$68, T_Stock_Private!N$58:N$68)*(1+X30)</f>
        <v>0</v>
      </c>
      <c r="Y143" s="687">
        <f>LOOKUP($C$138, T_Stock_Private!$C$58:$C$68, T_Stock_Private!O$58:O$68)*(1+Y30)</f>
        <v>0</v>
      </c>
      <c r="Z143" s="687">
        <f>LOOKUP($C$138, T_Stock_Private!$C$58:$C$68, T_Stock_Private!P$58:P$68)*(1+Z30)</f>
        <v>0</v>
      </c>
      <c r="AA143" s="687">
        <f>LOOKUP($C$138, T_Stock_Private!$C$58:$C$68, T_Stock_Private!Q$58:Q$68)*(1+AA30)</f>
        <v>0</v>
      </c>
      <c r="AB143" s="687">
        <f>LOOKUP($C$138, T_Stock_Private!$C$58:$C$68, T_Stock_Private!R$58:R$68)*(1+AB30)</f>
        <v>0</v>
      </c>
      <c r="AC143" s="89"/>
      <c r="AV143" s="700" t="str">
        <f t="shared" si="103"/>
        <v/>
      </c>
    </row>
    <row r="144" spans="1:64" x14ac:dyDescent="0.25">
      <c r="A144" s="22"/>
      <c r="B144" s="186" t="str">
        <f t="shared" si="139"/>
        <v>TBUSLPG100</v>
      </c>
      <c r="C144" s="186"/>
      <c r="D144" s="187"/>
      <c r="E144" s="186"/>
      <c r="F144" s="170"/>
      <c r="G144" s="189"/>
      <c r="H144" s="170"/>
      <c r="I144" s="190">
        <f>AF$5</f>
        <v>2020</v>
      </c>
      <c r="J144" s="191"/>
      <c r="K144" s="191"/>
      <c r="L144" s="211" t="s">
        <v>1065</v>
      </c>
      <c r="M144" s="186" t="s">
        <v>748</v>
      </c>
      <c r="N144" s="687">
        <f t="shared" ref="N144:AB144" si="142">N143*LOOKUP($AD138,$AG$4:$AP$4,$AG$5:$AP$5)</f>
        <v>0</v>
      </c>
      <c r="O144" s="687">
        <f t="shared" si="142"/>
        <v>0</v>
      </c>
      <c r="P144" s="687">
        <f t="shared" si="142"/>
        <v>0</v>
      </c>
      <c r="Q144" s="687">
        <f t="shared" si="142"/>
        <v>0</v>
      </c>
      <c r="R144" s="687">
        <f t="shared" si="142"/>
        <v>0</v>
      </c>
      <c r="S144" s="687">
        <f t="shared" si="142"/>
        <v>0</v>
      </c>
      <c r="T144" s="687">
        <f t="shared" si="142"/>
        <v>0</v>
      </c>
      <c r="U144" s="687">
        <f t="shared" si="142"/>
        <v>0</v>
      </c>
      <c r="V144" s="687">
        <f t="shared" si="142"/>
        <v>0</v>
      </c>
      <c r="W144" s="687">
        <f t="shared" si="142"/>
        <v>0</v>
      </c>
      <c r="X144" s="687">
        <f t="shared" si="142"/>
        <v>0</v>
      </c>
      <c r="Y144" s="687">
        <f t="shared" si="142"/>
        <v>0</v>
      </c>
      <c r="Z144" s="687">
        <f t="shared" si="142"/>
        <v>0</v>
      </c>
      <c r="AA144" s="687">
        <f t="shared" si="142"/>
        <v>0</v>
      </c>
      <c r="AB144" s="687">
        <f t="shared" si="142"/>
        <v>0</v>
      </c>
      <c r="AV144" s="700" t="str">
        <f t="shared" si="103"/>
        <v/>
      </c>
    </row>
    <row r="145" spans="1:64" x14ac:dyDescent="0.25">
      <c r="A145" s="22"/>
      <c r="B145" s="186" t="str">
        <f t="shared" si="139"/>
        <v>TBUSLPG100</v>
      </c>
      <c r="C145" s="186"/>
      <c r="D145" s="187"/>
      <c r="E145" s="186"/>
      <c r="F145" s="170"/>
      <c r="G145" s="189"/>
      <c r="H145" s="170"/>
      <c r="I145" s="190">
        <f>AF$6</f>
        <v>2025</v>
      </c>
      <c r="J145" s="191"/>
      <c r="K145" s="191"/>
      <c r="L145" s="211" t="s">
        <v>1065</v>
      </c>
      <c r="M145" s="186" t="s">
        <v>748</v>
      </c>
      <c r="N145" s="687">
        <f t="shared" ref="N145:AB145" si="143">N143*LOOKUP($AD138,$AG$4:$AP$4,$AG$6:$AP$6)</f>
        <v>0</v>
      </c>
      <c r="O145" s="687">
        <f t="shared" si="143"/>
        <v>0</v>
      </c>
      <c r="P145" s="687">
        <f t="shared" si="143"/>
        <v>0</v>
      </c>
      <c r="Q145" s="687">
        <f t="shared" si="143"/>
        <v>0</v>
      </c>
      <c r="R145" s="687">
        <f t="shared" si="143"/>
        <v>0</v>
      </c>
      <c r="S145" s="687">
        <f t="shared" si="143"/>
        <v>0</v>
      </c>
      <c r="T145" s="687">
        <f t="shared" si="143"/>
        <v>0</v>
      </c>
      <c r="U145" s="687">
        <f t="shared" si="143"/>
        <v>0</v>
      </c>
      <c r="V145" s="687">
        <f t="shared" si="143"/>
        <v>0</v>
      </c>
      <c r="W145" s="687">
        <f t="shared" si="143"/>
        <v>0</v>
      </c>
      <c r="X145" s="687">
        <f t="shared" si="143"/>
        <v>0</v>
      </c>
      <c r="Y145" s="687">
        <f t="shared" si="143"/>
        <v>0</v>
      </c>
      <c r="Z145" s="687">
        <f t="shared" si="143"/>
        <v>0</v>
      </c>
      <c r="AA145" s="687">
        <f t="shared" si="143"/>
        <v>0</v>
      </c>
      <c r="AB145" s="687">
        <f t="shared" si="143"/>
        <v>0</v>
      </c>
      <c r="AV145" s="700" t="str">
        <f t="shared" si="103"/>
        <v/>
      </c>
    </row>
    <row r="146" spans="1:64" x14ac:dyDescent="0.25">
      <c r="A146" s="22"/>
      <c r="B146" s="186" t="str">
        <f t="shared" si="139"/>
        <v>TBUSLPG100</v>
      </c>
      <c r="C146" s="186"/>
      <c r="D146" s="187"/>
      <c r="E146" s="186"/>
      <c r="F146" s="170"/>
      <c r="G146" s="189"/>
      <c r="H146" s="170"/>
      <c r="I146" s="190">
        <f>AF$7</f>
        <v>2030</v>
      </c>
      <c r="J146" s="191"/>
      <c r="K146" s="191"/>
      <c r="L146" s="211" t="s">
        <v>1065</v>
      </c>
      <c r="M146" s="186" t="s">
        <v>748</v>
      </c>
      <c r="N146" s="687">
        <f t="shared" ref="N146:AB146" si="144">N143*LOOKUP($AD138,$AG$4:$AP$4,$AG$7:$AP$7)</f>
        <v>0</v>
      </c>
      <c r="O146" s="687">
        <f t="shared" si="144"/>
        <v>0</v>
      </c>
      <c r="P146" s="687">
        <f t="shared" si="144"/>
        <v>0</v>
      </c>
      <c r="Q146" s="687">
        <f t="shared" si="144"/>
        <v>0</v>
      </c>
      <c r="R146" s="687">
        <f t="shared" si="144"/>
        <v>0</v>
      </c>
      <c r="S146" s="687">
        <f t="shared" si="144"/>
        <v>0</v>
      </c>
      <c r="T146" s="687">
        <f t="shared" si="144"/>
        <v>0</v>
      </c>
      <c r="U146" s="687">
        <f t="shared" si="144"/>
        <v>0</v>
      </c>
      <c r="V146" s="687">
        <f t="shared" si="144"/>
        <v>0</v>
      </c>
      <c r="W146" s="687">
        <f t="shared" si="144"/>
        <v>0</v>
      </c>
      <c r="X146" s="687">
        <f t="shared" si="144"/>
        <v>0</v>
      </c>
      <c r="Y146" s="687">
        <f t="shared" si="144"/>
        <v>0</v>
      </c>
      <c r="Z146" s="687">
        <f t="shared" si="144"/>
        <v>0</v>
      </c>
      <c r="AA146" s="687">
        <f t="shared" si="144"/>
        <v>0</v>
      </c>
      <c r="AB146" s="687">
        <f t="shared" si="144"/>
        <v>0</v>
      </c>
      <c r="AV146" s="700" t="str">
        <f t="shared" si="103"/>
        <v/>
      </c>
    </row>
    <row r="147" spans="1:64" x14ac:dyDescent="0.25">
      <c r="A147" s="22"/>
      <c r="B147" s="186" t="str">
        <f t="shared" si="139"/>
        <v>TBUSLPG100</v>
      </c>
      <c r="C147" s="186"/>
      <c r="D147" s="187"/>
      <c r="E147" s="186"/>
      <c r="F147" s="170"/>
      <c r="G147" s="189"/>
      <c r="H147" s="170"/>
      <c r="I147" s="190">
        <f>AF$8</f>
        <v>2035</v>
      </c>
      <c r="J147" s="191"/>
      <c r="K147" s="191"/>
      <c r="L147" s="211" t="s">
        <v>1065</v>
      </c>
      <c r="M147" s="186" t="s">
        <v>748</v>
      </c>
      <c r="N147" s="687">
        <f t="shared" ref="N147:AB147" si="145">N143*LOOKUP($AD138,$AG$4:$AP$4,$AG$8:$AP$8)</f>
        <v>0</v>
      </c>
      <c r="O147" s="687">
        <f t="shared" si="145"/>
        <v>0</v>
      </c>
      <c r="P147" s="687">
        <f t="shared" si="145"/>
        <v>0</v>
      </c>
      <c r="Q147" s="687">
        <f t="shared" si="145"/>
        <v>0</v>
      </c>
      <c r="R147" s="687">
        <f t="shared" si="145"/>
        <v>0</v>
      </c>
      <c r="S147" s="687">
        <f t="shared" si="145"/>
        <v>0</v>
      </c>
      <c r="T147" s="687">
        <f t="shared" si="145"/>
        <v>0</v>
      </c>
      <c r="U147" s="687">
        <f t="shared" si="145"/>
        <v>0</v>
      </c>
      <c r="V147" s="687">
        <f t="shared" si="145"/>
        <v>0</v>
      </c>
      <c r="W147" s="687">
        <f t="shared" si="145"/>
        <v>0</v>
      </c>
      <c r="X147" s="687">
        <f t="shared" si="145"/>
        <v>0</v>
      </c>
      <c r="Y147" s="687">
        <f t="shared" si="145"/>
        <v>0</v>
      </c>
      <c r="Z147" s="687">
        <f t="shared" si="145"/>
        <v>0</v>
      </c>
      <c r="AA147" s="687">
        <f t="shared" si="145"/>
        <v>0</v>
      </c>
      <c r="AB147" s="687">
        <f t="shared" si="145"/>
        <v>0</v>
      </c>
      <c r="AV147" s="700" t="str">
        <f t="shared" si="103"/>
        <v/>
      </c>
    </row>
    <row r="148" spans="1:64" x14ac:dyDescent="0.25">
      <c r="A148" s="22"/>
      <c r="B148" s="186" t="str">
        <f t="shared" si="139"/>
        <v>TBUSLPG100</v>
      </c>
      <c r="C148" s="186"/>
      <c r="D148" s="187"/>
      <c r="E148" s="186"/>
      <c r="F148" s="170"/>
      <c r="G148" s="189"/>
      <c r="H148" s="170"/>
      <c r="I148" s="190">
        <f>AF$9</f>
        <v>2040</v>
      </c>
      <c r="J148" s="191"/>
      <c r="K148" s="191"/>
      <c r="L148" s="211" t="s">
        <v>1065</v>
      </c>
      <c r="M148" s="186" t="s">
        <v>748</v>
      </c>
      <c r="N148" s="687">
        <f t="shared" ref="N148:AB148" si="146">N143*LOOKUP($AD138,$AG$4:$AP$4,$AG$9:$AP$9)</f>
        <v>0</v>
      </c>
      <c r="O148" s="687">
        <f t="shared" si="146"/>
        <v>0</v>
      </c>
      <c r="P148" s="687">
        <f t="shared" si="146"/>
        <v>0</v>
      </c>
      <c r="Q148" s="687">
        <f t="shared" si="146"/>
        <v>0</v>
      </c>
      <c r="R148" s="687">
        <f t="shared" si="146"/>
        <v>0</v>
      </c>
      <c r="S148" s="687">
        <f t="shared" si="146"/>
        <v>0</v>
      </c>
      <c r="T148" s="687">
        <f t="shared" si="146"/>
        <v>0</v>
      </c>
      <c r="U148" s="687">
        <f t="shared" si="146"/>
        <v>0</v>
      </c>
      <c r="V148" s="687">
        <f t="shared" si="146"/>
        <v>0</v>
      </c>
      <c r="W148" s="687">
        <f t="shared" si="146"/>
        <v>0</v>
      </c>
      <c r="X148" s="687">
        <f t="shared" si="146"/>
        <v>0</v>
      </c>
      <c r="Y148" s="687">
        <f t="shared" si="146"/>
        <v>0</v>
      </c>
      <c r="Z148" s="687">
        <f t="shared" si="146"/>
        <v>0</v>
      </c>
      <c r="AA148" s="687">
        <f t="shared" si="146"/>
        <v>0</v>
      </c>
      <c r="AB148" s="687">
        <f t="shared" si="146"/>
        <v>0</v>
      </c>
      <c r="AV148" s="700" t="str">
        <f t="shared" si="103"/>
        <v/>
      </c>
    </row>
    <row r="149" spans="1:64" x14ac:dyDescent="0.25">
      <c r="A149" s="22"/>
      <c r="B149" s="193" t="str">
        <f t="shared" si="139"/>
        <v>TBUSLPG100</v>
      </c>
      <c r="C149" s="193"/>
      <c r="D149" s="194"/>
      <c r="E149" s="193"/>
      <c r="F149" s="196"/>
      <c r="G149" s="195"/>
      <c r="H149" s="196"/>
      <c r="I149" s="197">
        <f>AF$10</f>
        <v>2050</v>
      </c>
      <c r="J149" s="198"/>
      <c r="K149" s="198"/>
      <c r="L149" s="199" t="s">
        <v>1065</v>
      </c>
      <c r="M149" s="193" t="s">
        <v>748</v>
      </c>
      <c r="N149" s="688">
        <f t="shared" ref="N149:AB149" si="147">N143*LOOKUP($AD138,$AG$4:$AP$4,$AG$10:$AP$10)</f>
        <v>0</v>
      </c>
      <c r="O149" s="688">
        <f t="shared" si="147"/>
        <v>0</v>
      </c>
      <c r="P149" s="688">
        <f t="shared" si="147"/>
        <v>0</v>
      </c>
      <c r="Q149" s="688">
        <f t="shared" si="147"/>
        <v>0</v>
      </c>
      <c r="R149" s="688">
        <f t="shared" si="147"/>
        <v>0</v>
      </c>
      <c r="S149" s="688">
        <f t="shared" si="147"/>
        <v>0</v>
      </c>
      <c r="T149" s="688">
        <f t="shared" si="147"/>
        <v>0</v>
      </c>
      <c r="U149" s="688">
        <f t="shared" si="147"/>
        <v>0</v>
      </c>
      <c r="V149" s="688">
        <f t="shared" si="147"/>
        <v>0</v>
      </c>
      <c r="W149" s="688">
        <f t="shared" si="147"/>
        <v>0</v>
      </c>
      <c r="X149" s="688">
        <f t="shared" si="147"/>
        <v>0</v>
      </c>
      <c r="Y149" s="688">
        <f t="shared" si="147"/>
        <v>0</v>
      </c>
      <c r="Z149" s="688">
        <f t="shared" si="147"/>
        <v>0</v>
      </c>
      <c r="AA149" s="688">
        <f t="shared" si="147"/>
        <v>0</v>
      </c>
      <c r="AB149" s="688">
        <f t="shared" si="147"/>
        <v>0</v>
      </c>
      <c r="AV149" s="700" t="str">
        <f t="shared" si="103"/>
        <v/>
      </c>
    </row>
    <row r="150" spans="1:64" s="83" customFormat="1" ht="17.25" customHeight="1" x14ac:dyDescent="0.25">
      <c r="A150" s="82"/>
      <c r="B150" s="178" t="str">
        <f>C150</f>
        <v>TBUSPYD100</v>
      </c>
      <c r="C150" s="178" t="s">
        <v>334</v>
      </c>
      <c r="D150" s="179" t="s">
        <v>772</v>
      </c>
      <c r="E150" s="407" t="s">
        <v>988</v>
      </c>
      <c r="F150" s="182"/>
      <c r="G150" s="181"/>
      <c r="H150" s="182"/>
      <c r="I150" s="183"/>
      <c r="J150" s="184"/>
      <c r="K150" s="184"/>
      <c r="L150" s="203" t="s">
        <v>1107</v>
      </c>
      <c r="M150" s="184" t="s">
        <v>1156</v>
      </c>
      <c r="N150" s="692">
        <f>N$47</f>
        <v>1E-3</v>
      </c>
      <c r="O150" s="692">
        <f t="shared" ref="O150:AB150" si="148">$N150</f>
        <v>1E-3</v>
      </c>
      <c r="P150" s="692">
        <f t="shared" si="148"/>
        <v>1E-3</v>
      </c>
      <c r="Q150" s="692">
        <f t="shared" si="148"/>
        <v>1E-3</v>
      </c>
      <c r="R150" s="692">
        <f t="shared" si="148"/>
        <v>1E-3</v>
      </c>
      <c r="S150" s="692">
        <f t="shared" si="148"/>
        <v>1E-3</v>
      </c>
      <c r="T150" s="692">
        <f t="shared" si="148"/>
        <v>1E-3</v>
      </c>
      <c r="U150" s="692">
        <f t="shared" si="148"/>
        <v>1E-3</v>
      </c>
      <c r="V150" s="692">
        <f t="shared" si="148"/>
        <v>1E-3</v>
      </c>
      <c r="W150" s="692">
        <f t="shared" si="148"/>
        <v>1E-3</v>
      </c>
      <c r="X150" s="692">
        <f t="shared" si="148"/>
        <v>1E-3</v>
      </c>
      <c r="Y150" s="692">
        <f t="shared" si="148"/>
        <v>1E-3</v>
      </c>
      <c r="Z150" s="692">
        <f t="shared" si="148"/>
        <v>1E-3</v>
      </c>
      <c r="AA150" s="692">
        <f t="shared" si="148"/>
        <v>1E-3</v>
      </c>
      <c r="AB150" s="692">
        <f t="shared" si="148"/>
        <v>1E-3</v>
      </c>
      <c r="AD150" s="402" t="str">
        <f>MID(D150,11,3)</f>
        <v>Plu</v>
      </c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V150" s="700" t="str">
        <f t="shared" si="103"/>
        <v>TRABDL</v>
      </c>
      <c r="AW150" s="568">
        <f t="shared" ref="AW150" si="149">SUM(AX150:BL150)</f>
        <v>0</v>
      </c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</row>
    <row r="151" spans="1:64" x14ac:dyDescent="0.25">
      <c r="A151" s="22"/>
      <c r="B151" s="186" t="str">
        <f>B150</f>
        <v>TBUSPYD100</v>
      </c>
      <c r="C151" s="186"/>
      <c r="D151" s="187"/>
      <c r="E151" s="258" t="s">
        <v>185</v>
      </c>
      <c r="F151" s="170"/>
      <c r="G151" s="189"/>
      <c r="H151" s="170"/>
      <c r="I151" s="190"/>
      <c r="J151" s="184" t="str">
        <f>$J$48</f>
        <v>UP</v>
      </c>
      <c r="K151" s="191"/>
      <c r="L151" s="211" t="s">
        <v>101</v>
      </c>
      <c r="M151" s="186"/>
      <c r="N151" s="690">
        <f>1-N$21</f>
        <v>0.94496029288387329</v>
      </c>
      <c r="O151" s="690">
        <f t="shared" ref="O151:AB151" si="150">1-O$21</f>
        <v>0.94496029288387329</v>
      </c>
      <c r="P151" s="690">
        <f t="shared" si="150"/>
        <v>0.94496029288387329</v>
      </c>
      <c r="Q151" s="690">
        <f t="shared" si="150"/>
        <v>0.94496029288387329</v>
      </c>
      <c r="R151" s="690">
        <f t="shared" si="150"/>
        <v>0.94496029288387329</v>
      </c>
      <c r="S151" s="690">
        <f t="shared" si="150"/>
        <v>0.94496029288387329</v>
      </c>
      <c r="T151" s="690">
        <f t="shared" si="150"/>
        <v>0.94496029288387329</v>
      </c>
      <c r="U151" s="690">
        <f t="shared" si="150"/>
        <v>0.94496029288387329</v>
      </c>
      <c r="V151" s="690">
        <f t="shared" si="150"/>
        <v>0.94496029288387329</v>
      </c>
      <c r="W151" s="690">
        <f t="shared" si="150"/>
        <v>0.94496029288387329</v>
      </c>
      <c r="X151" s="690">
        <f t="shared" si="150"/>
        <v>0.94496029288387329</v>
      </c>
      <c r="Y151" s="690">
        <f t="shared" si="150"/>
        <v>0.94496029288387329</v>
      </c>
      <c r="Z151" s="690">
        <f t="shared" si="150"/>
        <v>0.94496029288387329</v>
      </c>
      <c r="AA151" s="690">
        <f t="shared" si="150"/>
        <v>0.94496029288387329</v>
      </c>
      <c r="AB151" s="690">
        <f t="shared" si="150"/>
        <v>0.94496029288387329</v>
      </c>
      <c r="AD151" s="66" t="str">
        <f>IF(COUNTIF($AG$4:$AP$4,AD150)=1,"ok","MISSING")</f>
        <v>ok</v>
      </c>
      <c r="AE151" s="357"/>
      <c r="AF151" s="89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V151" s="700" t="str">
        <f t="shared" si="103"/>
        <v>TRADST</v>
      </c>
      <c r="AW151" s="568">
        <f t="shared" ref="AW151" si="151">SUM(AX151:BL151)</f>
        <v>0</v>
      </c>
    </row>
    <row r="152" spans="1:64" s="83" customFormat="1" x14ac:dyDescent="0.25">
      <c r="A152" s="82"/>
      <c r="B152" s="178" t="str">
        <f t="shared" ref="B152" si="152">B151</f>
        <v>TBUSPYD100</v>
      </c>
      <c r="C152" s="178"/>
      <c r="D152" s="179"/>
      <c r="E152" s="407" t="s">
        <v>990</v>
      </c>
      <c r="F152" s="182"/>
      <c r="G152" s="181"/>
      <c r="H152" s="182"/>
      <c r="I152" s="183"/>
      <c r="J152" s="184" t="s">
        <v>1157</v>
      </c>
      <c r="K152" s="184"/>
      <c r="L152" s="203" t="s">
        <v>101</v>
      </c>
      <c r="M152" s="184"/>
      <c r="N152" s="690">
        <f>N$20</f>
        <v>7.0000000000000007E-2</v>
      </c>
      <c r="O152" s="690">
        <f t="shared" ref="O152:AB152" si="153">O$20</f>
        <v>7.0000000000000007E-2</v>
      </c>
      <c r="P152" s="690">
        <f t="shared" si="153"/>
        <v>7.0000000000000007E-2</v>
      </c>
      <c r="Q152" s="690">
        <f t="shared" si="153"/>
        <v>7.0000000000000007E-2</v>
      </c>
      <c r="R152" s="690">
        <f t="shared" si="153"/>
        <v>7.0000000000000007E-2</v>
      </c>
      <c r="S152" s="690">
        <f t="shared" si="153"/>
        <v>7.0000000000000007E-2</v>
      </c>
      <c r="T152" s="690">
        <f t="shared" si="153"/>
        <v>7.0000000000000007E-2</v>
      </c>
      <c r="U152" s="690">
        <f t="shared" si="153"/>
        <v>7.0000000000000007E-2</v>
      </c>
      <c r="V152" s="690">
        <f t="shared" si="153"/>
        <v>7.0000000000000007E-2</v>
      </c>
      <c r="W152" s="690">
        <f t="shared" si="153"/>
        <v>7.0000000000000007E-2</v>
      </c>
      <c r="X152" s="690">
        <f t="shared" si="153"/>
        <v>7.0000000000000007E-2</v>
      </c>
      <c r="Y152" s="690">
        <f t="shared" si="153"/>
        <v>7.0000000000000007E-2</v>
      </c>
      <c r="Z152" s="690">
        <f t="shared" si="153"/>
        <v>7.0000000000000007E-2</v>
      </c>
      <c r="AA152" s="690">
        <f t="shared" si="153"/>
        <v>7.0000000000000007E-2</v>
      </c>
      <c r="AB152" s="690">
        <f t="shared" si="153"/>
        <v>7.0000000000000007E-2</v>
      </c>
      <c r="AD152" s="408"/>
      <c r="AE152" s="357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V152" s="700"/>
      <c r="AW152" s="568"/>
      <c r="AX152" s="708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</row>
    <row r="153" spans="1:64" x14ac:dyDescent="0.25">
      <c r="A153" s="22"/>
      <c r="B153" s="186" t="str">
        <f>B151</f>
        <v>TBUSPYD100</v>
      </c>
      <c r="C153" s="186"/>
      <c r="D153" s="187"/>
      <c r="E153" s="186"/>
      <c r="F153" s="170"/>
      <c r="G153" s="188" t="s">
        <v>415</v>
      </c>
      <c r="H153" s="170"/>
      <c r="I153" s="190"/>
      <c r="J153" s="191"/>
      <c r="K153" s="191"/>
      <c r="L153" s="191" t="s">
        <v>1126</v>
      </c>
      <c r="M153" s="186" t="s">
        <v>678</v>
      </c>
      <c r="N153" s="690">
        <f>T_CEFF!H126</f>
        <v>9.5240000000000005E-2</v>
      </c>
      <c r="O153" s="690">
        <f>T_CEFF!I126</f>
        <v>9.5240000000000005E-2</v>
      </c>
      <c r="P153" s="690">
        <f>T_CEFF!J126</f>
        <v>9.5240000000000005E-2</v>
      </c>
      <c r="Q153" s="690">
        <f>T_CEFF!K126</f>
        <v>9.5240000000000005E-2</v>
      </c>
      <c r="R153" s="690">
        <f>T_CEFF!L126</f>
        <v>9.5240000000000005E-2</v>
      </c>
      <c r="S153" s="690">
        <f>T_CEFF!M126</f>
        <v>9.5240000000000005E-2</v>
      </c>
      <c r="T153" s="690">
        <f>T_CEFF!N126</f>
        <v>9.5240000000000005E-2</v>
      </c>
      <c r="U153" s="690">
        <f>T_CEFF!O126</f>
        <v>9.5240000000000005E-2</v>
      </c>
      <c r="V153" s="690">
        <f>T_CEFF!P126</f>
        <v>9.5240000000000005E-2</v>
      </c>
      <c r="W153" s="690">
        <f>T_CEFF!Q126</f>
        <v>9.5240000000000005E-2</v>
      </c>
      <c r="X153" s="690">
        <f>T_CEFF!R126</f>
        <v>9.5240000000000005E-2</v>
      </c>
      <c r="Y153" s="690">
        <f>T_CEFF!S126</f>
        <v>9.5240000000000005E-2</v>
      </c>
      <c r="Z153" s="690">
        <f>T_CEFF!T126</f>
        <v>9.5240000000000005E-2</v>
      </c>
      <c r="AA153" s="690">
        <f>T_CEFF!U126</f>
        <v>9.5240000000000005E-2</v>
      </c>
      <c r="AB153" s="690">
        <f>T_CEFF!V126</f>
        <v>9.5240000000000005E-2</v>
      </c>
      <c r="AE153" s="36"/>
      <c r="AF153" s="68"/>
      <c r="AV153" s="700" t="str">
        <f t="shared" si="103"/>
        <v/>
      </c>
    </row>
    <row r="154" spans="1:64" x14ac:dyDescent="0.25">
      <c r="A154" s="22"/>
      <c r="B154" s="186" t="str">
        <f>B153</f>
        <v>TBUSPYD100</v>
      </c>
      <c r="C154" s="186"/>
      <c r="D154" s="187"/>
      <c r="E154" s="186"/>
      <c r="F154" s="170"/>
      <c r="G154" s="188" t="s">
        <v>593</v>
      </c>
      <c r="H154" s="170"/>
      <c r="I154" s="190"/>
      <c r="J154" s="191"/>
      <c r="K154" s="191"/>
      <c r="L154" s="191" t="s">
        <v>1126</v>
      </c>
      <c r="M154" s="186" t="s">
        <v>678</v>
      </c>
      <c r="N154" s="690">
        <f>T_CEFF!H127</f>
        <v>9.5240000000000005E-2</v>
      </c>
      <c r="O154" s="690">
        <f>T_CEFF!I127</f>
        <v>9.5240000000000005E-2</v>
      </c>
      <c r="P154" s="690">
        <f>T_CEFF!J127</f>
        <v>9.5240000000000005E-2</v>
      </c>
      <c r="Q154" s="690">
        <f>T_CEFF!K127</f>
        <v>9.5240000000000005E-2</v>
      </c>
      <c r="R154" s="690">
        <f>T_CEFF!L127</f>
        <v>9.5240000000000005E-2</v>
      </c>
      <c r="S154" s="690">
        <f>T_CEFF!M127</f>
        <v>9.5240000000000005E-2</v>
      </c>
      <c r="T154" s="690">
        <f>T_CEFF!N127</f>
        <v>9.5240000000000005E-2</v>
      </c>
      <c r="U154" s="690">
        <f>T_CEFF!O127</f>
        <v>9.5240000000000005E-2</v>
      </c>
      <c r="V154" s="690">
        <f>T_CEFF!P127</f>
        <v>9.5240000000000005E-2</v>
      </c>
      <c r="W154" s="690">
        <f>T_CEFF!Q127</f>
        <v>9.5240000000000005E-2</v>
      </c>
      <c r="X154" s="690">
        <f>T_CEFF!R127</f>
        <v>9.5240000000000005E-2</v>
      </c>
      <c r="Y154" s="690">
        <f>T_CEFF!S127</f>
        <v>9.5240000000000005E-2</v>
      </c>
      <c r="Z154" s="690">
        <f>T_CEFF!T127</f>
        <v>9.5240000000000005E-2</v>
      </c>
      <c r="AA154" s="690">
        <f>T_CEFF!U127</f>
        <v>9.5240000000000005E-2</v>
      </c>
      <c r="AB154" s="690">
        <f>T_CEFF!V127</f>
        <v>9.5240000000000005E-2</v>
      </c>
      <c r="AE154" s="36"/>
      <c r="AF154" s="68"/>
      <c r="AV154" s="700" t="str">
        <f t="shared" si="103"/>
        <v/>
      </c>
      <c r="AW154" s="568"/>
      <c r="AX154" s="568"/>
      <c r="AY154" s="568"/>
      <c r="AZ154" s="568"/>
      <c r="BA154" s="568"/>
      <c r="BB154" s="568"/>
      <c r="BC154" s="568"/>
      <c r="BD154" s="568"/>
      <c r="BE154" s="568"/>
      <c r="BF154" s="568"/>
      <c r="BG154" s="568"/>
      <c r="BH154" s="568"/>
      <c r="BI154" s="568"/>
      <c r="BJ154" s="568"/>
      <c r="BK154" s="568"/>
      <c r="BL154" s="568"/>
    </row>
    <row r="155" spans="1:64" x14ac:dyDescent="0.25">
      <c r="A155" s="22"/>
      <c r="B155" s="186" t="str">
        <f t="shared" ref="B155:B163" si="154">B154</f>
        <v>TBUSPYD100</v>
      </c>
      <c r="C155" s="186"/>
      <c r="D155" s="187"/>
      <c r="E155" s="186"/>
      <c r="F155" s="170"/>
      <c r="G155" s="189"/>
      <c r="H155" s="170"/>
      <c r="I155" s="190"/>
      <c r="J155" s="191"/>
      <c r="K155" s="191" t="s">
        <v>749</v>
      </c>
      <c r="L155" s="191" t="s">
        <v>1128</v>
      </c>
      <c r="M155" s="186" t="s">
        <v>1159</v>
      </c>
      <c r="N155" s="603">
        <f t="shared" ref="N155:AB155" si="155">N$16</f>
        <v>0</v>
      </c>
      <c r="O155" s="603">
        <f t="shared" si="155"/>
        <v>0</v>
      </c>
      <c r="P155" s="603">
        <f t="shared" si="155"/>
        <v>0</v>
      </c>
      <c r="Q155" s="603">
        <f t="shared" si="155"/>
        <v>0</v>
      </c>
      <c r="R155" s="603">
        <f t="shared" si="155"/>
        <v>0</v>
      </c>
      <c r="S155" s="603">
        <f t="shared" si="155"/>
        <v>0</v>
      </c>
      <c r="T155" s="603">
        <f t="shared" si="155"/>
        <v>0</v>
      </c>
      <c r="U155" s="603">
        <f t="shared" si="155"/>
        <v>0</v>
      </c>
      <c r="V155" s="603">
        <f t="shared" si="155"/>
        <v>0</v>
      </c>
      <c r="W155" s="603">
        <f t="shared" si="155"/>
        <v>0</v>
      </c>
      <c r="X155" s="603">
        <f t="shared" si="155"/>
        <v>0</v>
      </c>
      <c r="Y155" s="603">
        <f t="shared" si="155"/>
        <v>0</v>
      </c>
      <c r="Z155" s="603">
        <f t="shared" si="155"/>
        <v>0</v>
      </c>
      <c r="AA155" s="603">
        <f t="shared" si="155"/>
        <v>0</v>
      </c>
      <c r="AB155" s="603">
        <f t="shared" si="155"/>
        <v>0</v>
      </c>
      <c r="AE155" s="36"/>
      <c r="AF155" s="68"/>
      <c r="AV155" s="700" t="str">
        <f t="shared" si="103"/>
        <v/>
      </c>
      <c r="AW155" s="568"/>
      <c r="AX155" s="568"/>
      <c r="AY155" s="568"/>
      <c r="AZ155" s="568"/>
      <c r="BA155" s="568"/>
      <c r="BB155" s="568"/>
      <c r="BC155" s="568"/>
      <c r="BD155" s="568"/>
      <c r="BE155" s="568"/>
      <c r="BF155" s="568"/>
      <c r="BG155" s="568"/>
      <c r="BH155" s="568"/>
      <c r="BI155" s="568"/>
      <c r="BJ155" s="568"/>
      <c r="BK155" s="568"/>
      <c r="BL155" s="568"/>
    </row>
    <row r="156" spans="1:64" x14ac:dyDescent="0.25">
      <c r="A156" s="22"/>
      <c r="B156" s="186" t="str">
        <f t="shared" si="154"/>
        <v>TBUSPYD100</v>
      </c>
      <c r="C156" s="186"/>
      <c r="D156" s="187"/>
      <c r="E156" s="186"/>
      <c r="F156" s="170"/>
      <c r="G156" s="189"/>
      <c r="H156" s="170"/>
      <c r="I156" s="190"/>
      <c r="J156" s="191"/>
      <c r="K156" s="191"/>
      <c r="L156" s="211" t="s">
        <v>1130</v>
      </c>
      <c r="M156" s="186" t="s">
        <v>1131</v>
      </c>
      <c r="N156" s="389">
        <f>LOOKUP($C$150, T_NCAP_AF!$C$95:$C$105, T_NCAP_AF!D$95:D$105)*(1+N29)</f>
        <v>0</v>
      </c>
      <c r="O156" s="389">
        <f>LOOKUP($C$150, T_NCAP_AF!$C$95:$C$105, T_NCAP_AF!E$95:E$105)*(1+O29)</f>
        <v>0</v>
      </c>
      <c r="P156" s="389">
        <f>LOOKUP($C$150, T_NCAP_AF!$C$95:$C$105, T_NCAP_AF!F$95:F$105)*(1+P29)</f>
        <v>0</v>
      </c>
      <c r="Q156" s="389">
        <f>LOOKUP($C$150, T_NCAP_AF!$C$95:$C$105, T_NCAP_AF!G$95:G$105)*(1+Q29)</f>
        <v>0</v>
      </c>
      <c r="R156" s="389">
        <f>LOOKUP($C$150, T_NCAP_AF!$C$95:$C$105, T_NCAP_AF!H$95:H$105)*(1+R29)</f>
        <v>0</v>
      </c>
      <c r="S156" s="389">
        <f>LOOKUP($C$150, T_NCAP_AF!$C$95:$C$105, T_NCAP_AF!I$95:I$105)*(1+S29)</f>
        <v>0</v>
      </c>
      <c r="T156" s="389">
        <f>LOOKUP($C$150, T_NCAP_AF!$C$95:$C$105, T_NCAP_AF!J$95:J$105)*(1+T29)</f>
        <v>0</v>
      </c>
      <c r="U156" s="389">
        <f>LOOKUP($C$150, T_NCAP_AF!$C$95:$C$105, T_NCAP_AF!K$95:K$105)*(1+U29)</f>
        <v>0</v>
      </c>
      <c r="V156" s="389">
        <f>LOOKUP($C$150, T_NCAP_AF!$C$95:$C$105, T_NCAP_AF!L$95:L$105)*(1+V29)</f>
        <v>0</v>
      </c>
      <c r="W156" s="389">
        <f>LOOKUP($C$150, T_NCAP_AF!$C$95:$C$105, T_NCAP_AF!M$95:M$105)*(1+W29)</f>
        <v>0</v>
      </c>
      <c r="X156" s="389">
        <f>LOOKUP($C$150, T_NCAP_AF!$C$95:$C$105, T_NCAP_AF!N$95:N$105)*(1+X29)</f>
        <v>0</v>
      </c>
      <c r="Y156" s="389">
        <f>LOOKUP($C$150, T_NCAP_AF!$C$95:$C$105, T_NCAP_AF!O$95:O$105)*(1+Y29)</f>
        <v>0</v>
      </c>
      <c r="Z156" s="389">
        <f>LOOKUP($C$150, T_NCAP_AF!$C$95:$C$105, T_NCAP_AF!P$95:P$105)*(1+Z29)</f>
        <v>0</v>
      </c>
      <c r="AA156" s="389">
        <f>LOOKUP($C$150, T_NCAP_AF!$C$95:$C$105, T_NCAP_AF!Q$95:Q$105)*(1+AA29)</f>
        <v>0</v>
      </c>
      <c r="AB156" s="389">
        <f>LOOKUP($C$150, T_NCAP_AF!$C$95:$C$105, T_NCAP_AF!R$95:R$105)*(1+AB29)</f>
        <v>0</v>
      </c>
      <c r="AC156" s="83"/>
      <c r="AE156" s="572">
        <f>SUM(AF156:AT156)</f>
        <v>0</v>
      </c>
      <c r="AF156" s="85">
        <f t="shared" ref="AF156:AT156" si="156">N155*N156*N157/1000</f>
        <v>0</v>
      </c>
      <c r="AG156" s="85">
        <f t="shared" si="156"/>
        <v>0</v>
      </c>
      <c r="AH156" s="85">
        <f t="shared" si="156"/>
        <v>0</v>
      </c>
      <c r="AI156" s="85">
        <f t="shared" si="156"/>
        <v>0</v>
      </c>
      <c r="AJ156" s="85">
        <f t="shared" si="156"/>
        <v>0</v>
      </c>
      <c r="AK156" s="85">
        <f t="shared" si="156"/>
        <v>0</v>
      </c>
      <c r="AL156" s="85">
        <f t="shared" si="156"/>
        <v>0</v>
      </c>
      <c r="AM156" s="85">
        <f t="shared" si="156"/>
        <v>0</v>
      </c>
      <c r="AN156" s="85">
        <f t="shared" si="156"/>
        <v>0</v>
      </c>
      <c r="AO156" s="85">
        <f t="shared" si="156"/>
        <v>0</v>
      </c>
      <c r="AP156" s="85">
        <f t="shared" si="156"/>
        <v>0</v>
      </c>
      <c r="AQ156" s="85">
        <f t="shared" si="156"/>
        <v>0</v>
      </c>
      <c r="AR156" s="85">
        <f t="shared" si="156"/>
        <v>0</v>
      </c>
      <c r="AS156" s="85">
        <f t="shared" si="156"/>
        <v>0</v>
      </c>
      <c r="AT156" s="85">
        <f t="shared" si="156"/>
        <v>0</v>
      </c>
      <c r="AV156" s="700" t="str">
        <f t="shared" si="103"/>
        <v/>
      </c>
    </row>
    <row r="157" spans="1:64" x14ac:dyDescent="0.25">
      <c r="A157" s="22"/>
      <c r="B157" s="186" t="str">
        <f t="shared" si="154"/>
        <v>TBUSPYD100</v>
      </c>
      <c r="C157" s="186"/>
      <c r="D157" s="187"/>
      <c r="E157" s="186"/>
      <c r="F157" s="170"/>
      <c r="G157" s="189"/>
      <c r="H157" s="170"/>
      <c r="I157" s="190">
        <f>$M$3</f>
        <v>2019</v>
      </c>
      <c r="J157" s="191"/>
      <c r="K157" s="191"/>
      <c r="L157" s="211" t="s">
        <v>1065</v>
      </c>
      <c r="M157" s="186" t="s">
        <v>748</v>
      </c>
      <c r="N157" s="687">
        <f>LOOKUP($C$125, T_Stock_Private!$C$58:$C$68, T_Stock_Private!D$58:D$68)*(1+N30)</f>
        <v>0</v>
      </c>
      <c r="O157" s="687">
        <f>LOOKUP($C$125, T_Stock_Private!$C$58:$C$68, T_Stock_Private!E$58:E$68)*(1+O30)</f>
        <v>0</v>
      </c>
      <c r="P157" s="687">
        <f>LOOKUP($C$125, T_Stock_Private!$C$58:$C$68, T_Stock_Private!F$58:F$68)*(1+P30)</f>
        <v>0</v>
      </c>
      <c r="Q157" s="687">
        <f>LOOKUP($C$125, T_Stock_Private!$C$58:$C$68, T_Stock_Private!G$58:G$68)*(1+Q30)</f>
        <v>0</v>
      </c>
      <c r="R157" s="687">
        <f>LOOKUP($C$125, T_Stock_Private!$C$58:$C$68, T_Stock_Private!H$58:H$68)*(1+R30)</f>
        <v>0</v>
      </c>
      <c r="S157" s="687">
        <f>LOOKUP($C$125, T_Stock_Private!$C$58:$C$68, T_Stock_Private!I$58:I$68)*(1+S30)</f>
        <v>0</v>
      </c>
      <c r="T157" s="687">
        <f>LOOKUP($C$125, T_Stock_Private!$C$58:$C$68, T_Stock_Private!J$58:J$68)*(1+T30)</f>
        <v>0</v>
      </c>
      <c r="U157" s="687">
        <f>LOOKUP($C$125, T_Stock_Private!$C$58:$C$68, T_Stock_Private!K$58:K$68)*(1+U30)</f>
        <v>0</v>
      </c>
      <c r="V157" s="687">
        <f>LOOKUP($C$125, T_Stock_Private!$C$58:$C$68, T_Stock_Private!L$58:L$68)*(1+V30)</f>
        <v>0</v>
      </c>
      <c r="W157" s="687">
        <f>LOOKUP($C$125, T_Stock_Private!$C$58:$C$68, T_Stock_Private!M$58:M$68)*(1+W30)</f>
        <v>0</v>
      </c>
      <c r="X157" s="687">
        <f>LOOKUP($C$125, T_Stock_Private!$C$58:$C$68, T_Stock_Private!N$58:N$68)*(1+X30)</f>
        <v>0</v>
      </c>
      <c r="Y157" s="687">
        <f>LOOKUP($C$125, T_Stock_Private!$C$58:$C$68, T_Stock_Private!O$58:O$68)*(1+Y30)</f>
        <v>0</v>
      </c>
      <c r="Z157" s="687">
        <f>LOOKUP($C$125, T_Stock_Private!$C$58:$C$68, T_Stock_Private!P$58:P$68)*(1+Z30)</f>
        <v>0</v>
      </c>
      <c r="AA157" s="687">
        <f>LOOKUP($C$125, T_Stock_Private!$C$58:$C$68, T_Stock_Private!Q$58:Q$68)*(1+AA30)</f>
        <v>0</v>
      </c>
      <c r="AB157" s="687">
        <f>LOOKUP($C$125, T_Stock_Private!$C$58:$C$68, T_Stock_Private!R$58:R$68)*(1+AB30)</f>
        <v>0</v>
      </c>
      <c r="AC157" s="89"/>
      <c r="AV157" s="700" t="str">
        <f t="shared" si="103"/>
        <v/>
      </c>
    </row>
    <row r="158" spans="1:64" x14ac:dyDescent="0.25">
      <c r="A158" s="22"/>
      <c r="B158" s="186" t="str">
        <f t="shared" si="154"/>
        <v>TBUSPYD100</v>
      </c>
      <c r="C158" s="186"/>
      <c r="D158" s="187"/>
      <c r="E158" s="186"/>
      <c r="F158" s="170"/>
      <c r="G158" s="189"/>
      <c r="H158" s="170"/>
      <c r="I158" s="190">
        <f>AF$5</f>
        <v>2020</v>
      </c>
      <c r="J158" s="191"/>
      <c r="K158" s="191"/>
      <c r="L158" s="211" t="s">
        <v>1065</v>
      </c>
      <c r="M158" s="186" t="s">
        <v>748</v>
      </c>
      <c r="N158" s="687">
        <f t="shared" ref="N158:AB158" si="157">N157*LOOKUP($AD150,$AG$4:$AP$4,$AG$5:$AP$5)</f>
        <v>0</v>
      </c>
      <c r="O158" s="687">
        <f t="shared" si="157"/>
        <v>0</v>
      </c>
      <c r="P158" s="687">
        <f t="shared" si="157"/>
        <v>0</v>
      </c>
      <c r="Q158" s="687">
        <f t="shared" si="157"/>
        <v>0</v>
      </c>
      <c r="R158" s="687">
        <f t="shared" si="157"/>
        <v>0</v>
      </c>
      <c r="S158" s="687">
        <f t="shared" si="157"/>
        <v>0</v>
      </c>
      <c r="T158" s="687">
        <f t="shared" si="157"/>
        <v>0</v>
      </c>
      <c r="U158" s="687">
        <f t="shared" si="157"/>
        <v>0</v>
      </c>
      <c r="V158" s="687">
        <f t="shared" si="157"/>
        <v>0</v>
      </c>
      <c r="W158" s="687">
        <f t="shared" si="157"/>
        <v>0</v>
      </c>
      <c r="X158" s="687">
        <f t="shared" si="157"/>
        <v>0</v>
      </c>
      <c r="Y158" s="687">
        <f t="shared" si="157"/>
        <v>0</v>
      </c>
      <c r="Z158" s="687">
        <f t="shared" si="157"/>
        <v>0</v>
      </c>
      <c r="AA158" s="687">
        <f t="shared" si="157"/>
        <v>0</v>
      </c>
      <c r="AB158" s="687">
        <f t="shared" si="157"/>
        <v>0</v>
      </c>
      <c r="AV158" s="700" t="str">
        <f t="shared" si="103"/>
        <v/>
      </c>
    </row>
    <row r="159" spans="1:64" x14ac:dyDescent="0.25">
      <c r="A159" s="22"/>
      <c r="B159" s="186" t="str">
        <f t="shared" si="154"/>
        <v>TBUSPYD100</v>
      </c>
      <c r="C159" s="186"/>
      <c r="D159" s="187"/>
      <c r="E159" s="186"/>
      <c r="F159" s="170"/>
      <c r="G159" s="189"/>
      <c r="H159" s="170"/>
      <c r="I159" s="190">
        <f>AF$6</f>
        <v>2025</v>
      </c>
      <c r="J159" s="191"/>
      <c r="K159" s="191"/>
      <c r="L159" s="211" t="s">
        <v>1065</v>
      </c>
      <c r="M159" s="186" t="s">
        <v>748</v>
      </c>
      <c r="N159" s="687">
        <f t="shared" ref="N159:AB159" si="158">N157*LOOKUP($AD150,$AG$4:$AP$4,$AG$6:$AP$6)</f>
        <v>0</v>
      </c>
      <c r="O159" s="687">
        <f t="shared" si="158"/>
        <v>0</v>
      </c>
      <c r="P159" s="687">
        <f t="shared" si="158"/>
        <v>0</v>
      </c>
      <c r="Q159" s="687">
        <f t="shared" si="158"/>
        <v>0</v>
      </c>
      <c r="R159" s="687">
        <f t="shared" si="158"/>
        <v>0</v>
      </c>
      <c r="S159" s="687">
        <f t="shared" si="158"/>
        <v>0</v>
      </c>
      <c r="T159" s="687">
        <f t="shared" si="158"/>
        <v>0</v>
      </c>
      <c r="U159" s="687">
        <f t="shared" si="158"/>
        <v>0</v>
      </c>
      <c r="V159" s="687">
        <f t="shared" si="158"/>
        <v>0</v>
      </c>
      <c r="W159" s="687">
        <f t="shared" si="158"/>
        <v>0</v>
      </c>
      <c r="X159" s="687">
        <f t="shared" si="158"/>
        <v>0</v>
      </c>
      <c r="Y159" s="687">
        <f t="shared" si="158"/>
        <v>0</v>
      </c>
      <c r="Z159" s="687">
        <f t="shared" si="158"/>
        <v>0</v>
      </c>
      <c r="AA159" s="687">
        <f t="shared" si="158"/>
        <v>0</v>
      </c>
      <c r="AB159" s="687">
        <f t="shared" si="158"/>
        <v>0</v>
      </c>
      <c r="AV159" s="700" t="str">
        <f t="shared" si="103"/>
        <v/>
      </c>
    </row>
    <row r="160" spans="1:64" x14ac:dyDescent="0.25">
      <c r="A160" s="22"/>
      <c r="B160" s="186" t="str">
        <f t="shared" si="154"/>
        <v>TBUSPYD100</v>
      </c>
      <c r="C160" s="186"/>
      <c r="D160" s="187"/>
      <c r="E160" s="186"/>
      <c r="F160" s="170"/>
      <c r="G160" s="189"/>
      <c r="H160" s="170"/>
      <c r="I160" s="190">
        <f>AF$7</f>
        <v>2030</v>
      </c>
      <c r="J160" s="191"/>
      <c r="K160" s="191"/>
      <c r="L160" s="211" t="s">
        <v>1065</v>
      </c>
      <c r="M160" s="186" t="s">
        <v>748</v>
      </c>
      <c r="N160" s="687">
        <f t="shared" ref="N160:AB160" si="159">N157*LOOKUP($AD150,$AG$4:$AP$4,$AG$7:$AP$7)</f>
        <v>0</v>
      </c>
      <c r="O160" s="687">
        <f t="shared" si="159"/>
        <v>0</v>
      </c>
      <c r="P160" s="687">
        <f t="shared" si="159"/>
        <v>0</v>
      </c>
      <c r="Q160" s="687">
        <f t="shared" si="159"/>
        <v>0</v>
      </c>
      <c r="R160" s="687">
        <f t="shared" si="159"/>
        <v>0</v>
      </c>
      <c r="S160" s="687">
        <f t="shared" si="159"/>
        <v>0</v>
      </c>
      <c r="T160" s="687">
        <f t="shared" si="159"/>
        <v>0</v>
      </c>
      <c r="U160" s="687">
        <f t="shared" si="159"/>
        <v>0</v>
      </c>
      <c r="V160" s="687">
        <f t="shared" si="159"/>
        <v>0</v>
      </c>
      <c r="W160" s="687">
        <f t="shared" si="159"/>
        <v>0</v>
      </c>
      <c r="X160" s="687">
        <f t="shared" si="159"/>
        <v>0</v>
      </c>
      <c r="Y160" s="687">
        <f t="shared" si="159"/>
        <v>0</v>
      </c>
      <c r="Z160" s="687">
        <f t="shared" si="159"/>
        <v>0</v>
      </c>
      <c r="AA160" s="687">
        <f t="shared" si="159"/>
        <v>0</v>
      </c>
      <c r="AB160" s="687">
        <f t="shared" si="159"/>
        <v>0</v>
      </c>
      <c r="AV160" s="700" t="str">
        <f t="shared" si="103"/>
        <v/>
      </c>
    </row>
    <row r="161" spans="1:49" x14ac:dyDescent="0.25">
      <c r="A161" s="22"/>
      <c r="B161" s="186" t="str">
        <f t="shared" si="154"/>
        <v>TBUSPYD100</v>
      </c>
      <c r="C161" s="186"/>
      <c r="D161" s="187"/>
      <c r="E161" s="186"/>
      <c r="F161" s="170"/>
      <c r="G161" s="189"/>
      <c r="H161" s="170"/>
      <c r="I161" s="190">
        <f>AF$8</f>
        <v>2035</v>
      </c>
      <c r="J161" s="191"/>
      <c r="K161" s="191"/>
      <c r="L161" s="211" t="s">
        <v>1065</v>
      </c>
      <c r="M161" s="186" t="s">
        <v>748</v>
      </c>
      <c r="N161" s="687">
        <f t="shared" ref="N161:AB161" si="160">N157*LOOKUP($AD150,$AG$4:$AP$4,$AG$8:$AP$8)</f>
        <v>0</v>
      </c>
      <c r="O161" s="687">
        <f t="shared" si="160"/>
        <v>0</v>
      </c>
      <c r="P161" s="687">
        <f t="shared" si="160"/>
        <v>0</v>
      </c>
      <c r="Q161" s="687">
        <f t="shared" si="160"/>
        <v>0</v>
      </c>
      <c r="R161" s="687">
        <f t="shared" si="160"/>
        <v>0</v>
      </c>
      <c r="S161" s="687">
        <f t="shared" si="160"/>
        <v>0</v>
      </c>
      <c r="T161" s="687">
        <f t="shared" si="160"/>
        <v>0</v>
      </c>
      <c r="U161" s="687">
        <f t="shared" si="160"/>
        <v>0</v>
      </c>
      <c r="V161" s="687">
        <f t="shared" si="160"/>
        <v>0</v>
      </c>
      <c r="W161" s="687">
        <f t="shared" si="160"/>
        <v>0</v>
      </c>
      <c r="X161" s="687">
        <f t="shared" si="160"/>
        <v>0</v>
      </c>
      <c r="Y161" s="687">
        <f t="shared" si="160"/>
        <v>0</v>
      </c>
      <c r="Z161" s="687">
        <f t="shared" si="160"/>
        <v>0</v>
      </c>
      <c r="AA161" s="687">
        <f t="shared" si="160"/>
        <v>0</v>
      </c>
      <c r="AB161" s="687">
        <f t="shared" si="160"/>
        <v>0</v>
      </c>
      <c r="AV161" s="700" t="str">
        <f t="shared" si="103"/>
        <v/>
      </c>
    </row>
    <row r="162" spans="1:49" x14ac:dyDescent="0.25">
      <c r="A162" s="22"/>
      <c r="B162" s="186" t="str">
        <f t="shared" si="154"/>
        <v>TBUSPYD100</v>
      </c>
      <c r="C162" s="186"/>
      <c r="D162" s="187"/>
      <c r="E162" s="186"/>
      <c r="F162" s="170"/>
      <c r="G162" s="189"/>
      <c r="H162" s="170"/>
      <c r="I162" s="190">
        <f>AF$9</f>
        <v>2040</v>
      </c>
      <c r="J162" s="191"/>
      <c r="K162" s="191"/>
      <c r="L162" s="211" t="s">
        <v>1065</v>
      </c>
      <c r="M162" s="186" t="s">
        <v>748</v>
      </c>
      <c r="N162" s="687">
        <f t="shared" ref="N162:AB162" si="161">N157*LOOKUP($AD150,$AG$4:$AP$4,$AG$9:$AP$9)</f>
        <v>0</v>
      </c>
      <c r="O162" s="687">
        <f t="shared" si="161"/>
        <v>0</v>
      </c>
      <c r="P162" s="687">
        <f t="shared" si="161"/>
        <v>0</v>
      </c>
      <c r="Q162" s="687">
        <f t="shared" si="161"/>
        <v>0</v>
      </c>
      <c r="R162" s="687">
        <f t="shared" si="161"/>
        <v>0</v>
      </c>
      <c r="S162" s="687">
        <f t="shared" si="161"/>
        <v>0</v>
      </c>
      <c r="T162" s="687">
        <f t="shared" si="161"/>
        <v>0</v>
      </c>
      <c r="U162" s="687">
        <f t="shared" si="161"/>
        <v>0</v>
      </c>
      <c r="V162" s="687">
        <f t="shared" si="161"/>
        <v>0</v>
      </c>
      <c r="W162" s="687">
        <f t="shared" si="161"/>
        <v>0</v>
      </c>
      <c r="X162" s="687">
        <f t="shared" si="161"/>
        <v>0</v>
      </c>
      <c r="Y162" s="687">
        <f t="shared" si="161"/>
        <v>0</v>
      </c>
      <c r="Z162" s="687">
        <f t="shared" si="161"/>
        <v>0</v>
      </c>
      <c r="AA162" s="687">
        <f t="shared" si="161"/>
        <v>0</v>
      </c>
      <c r="AB162" s="687">
        <f t="shared" si="161"/>
        <v>0</v>
      </c>
      <c r="AV162" s="700" t="str">
        <f t="shared" si="103"/>
        <v/>
      </c>
    </row>
    <row r="163" spans="1:49" x14ac:dyDescent="0.25">
      <c r="A163" s="22"/>
      <c r="B163" s="193" t="str">
        <f t="shared" si="154"/>
        <v>TBUSPYD100</v>
      </c>
      <c r="C163" s="193"/>
      <c r="D163" s="194"/>
      <c r="E163" s="193"/>
      <c r="F163" s="196"/>
      <c r="G163" s="195"/>
      <c r="H163" s="196"/>
      <c r="I163" s="197">
        <f>AF$10</f>
        <v>2050</v>
      </c>
      <c r="J163" s="198"/>
      <c r="K163" s="198"/>
      <c r="L163" s="199" t="s">
        <v>1065</v>
      </c>
      <c r="M163" s="193" t="s">
        <v>748</v>
      </c>
      <c r="N163" s="688">
        <f t="shared" ref="N163:AB163" si="162">N157*LOOKUP($AD150,$AG$4:$AP$4,$AG$10:$AP$10)</f>
        <v>0</v>
      </c>
      <c r="O163" s="688">
        <f t="shared" si="162"/>
        <v>0</v>
      </c>
      <c r="P163" s="688">
        <f t="shared" si="162"/>
        <v>0</v>
      </c>
      <c r="Q163" s="688">
        <f t="shared" si="162"/>
        <v>0</v>
      </c>
      <c r="R163" s="688">
        <f t="shared" si="162"/>
        <v>0</v>
      </c>
      <c r="S163" s="688">
        <f t="shared" si="162"/>
        <v>0</v>
      </c>
      <c r="T163" s="688">
        <f t="shared" si="162"/>
        <v>0</v>
      </c>
      <c r="U163" s="688">
        <f t="shared" si="162"/>
        <v>0</v>
      </c>
      <c r="V163" s="688">
        <f t="shared" si="162"/>
        <v>0</v>
      </c>
      <c r="W163" s="688">
        <f t="shared" si="162"/>
        <v>0</v>
      </c>
      <c r="X163" s="688">
        <f t="shared" si="162"/>
        <v>0</v>
      </c>
      <c r="Y163" s="688">
        <f t="shared" si="162"/>
        <v>0</v>
      </c>
      <c r="Z163" s="688">
        <f t="shared" si="162"/>
        <v>0</v>
      </c>
      <c r="AA163" s="688">
        <f t="shared" si="162"/>
        <v>0</v>
      </c>
      <c r="AB163" s="688">
        <f t="shared" si="162"/>
        <v>0</v>
      </c>
      <c r="AV163" s="700" t="str">
        <f t="shared" si="103"/>
        <v/>
      </c>
    </row>
    <row r="164" spans="1:49" s="83" customFormat="1" ht="15.75" customHeight="1" x14ac:dyDescent="0.25">
      <c r="A164" s="82"/>
      <c r="B164" s="178" t="str">
        <f>C164</f>
        <v>TBUSPYG100</v>
      </c>
      <c r="C164" s="178" t="s">
        <v>335</v>
      </c>
      <c r="D164" s="179" t="s">
        <v>773</v>
      </c>
      <c r="E164" s="407" t="s">
        <v>1012</v>
      </c>
      <c r="F164" s="182"/>
      <c r="G164" s="181"/>
      <c r="H164" s="182"/>
      <c r="I164" s="183"/>
      <c r="J164" s="184"/>
      <c r="K164" s="184"/>
      <c r="L164" s="203" t="s">
        <v>1107</v>
      </c>
      <c r="M164" s="184" t="s">
        <v>1156</v>
      </c>
      <c r="N164" s="692">
        <f>N$47</f>
        <v>1E-3</v>
      </c>
      <c r="O164" s="692">
        <f t="shared" ref="O164:AB164" si="163">$N164</f>
        <v>1E-3</v>
      </c>
      <c r="P164" s="692">
        <f t="shared" si="163"/>
        <v>1E-3</v>
      </c>
      <c r="Q164" s="692">
        <f t="shared" si="163"/>
        <v>1E-3</v>
      </c>
      <c r="R164" s="692">
        <f t="shared" si="163"/>
        <v>1E-3</v>
      </c>
      <c r="S164" s="692">
        <f t="shared" si="163"/>
        <v>1E-3</v>
      </c>
      <c r="T164" s="692">
        <f t="shared" si="163"/>
        <v>1E-3</v>
      </c>
      <c r="U164" s="692">
        <f t="shared" si="163"/>
        <v>1E-3</v>
      </c>
      <c r="V164" s="692">
        <f t="shared" si="163"/>
        <v>1E-3</v>
      </c>
      <c r="W164" s="692">
        <f t="shared" si="163"/>
        <v>1E-3</v>
      </c>
      <c r="X164" s="692">
        <f t="shared" si="163"/>
        <v>1E-3</v>
      </c>
      <c r="Y164" s="692">
        <f t="shared" si="163"/>
        <v>1E-3</v>
      </c>
      <c r="Z164" s="692">
        <f t="shared" si="163"/>
        <v>1E-3</v>
      </c>
      <c r="AA164" s="692">
        <f t="shared" si="163"/>
        <v>1E-3</v>
      </c>
      <c r="AB164" s="692">
        <f t="shared" si="163"/>
        <v>1E-3</v>
      </c>
      <c r="AD164" s="410" t="str">
        <f>MID(D164,11,3)</f>
        <v>Plu</v>
      </c>
      <c r="AV164" s="714" t="str">
        <f t="shared" si="103"/>
        <v>TRAETHM</v>
      </c>
      <c r="AW164" s="570">
        <f t="shared" ref="AW164:AW165" si="164">SUM(AX164:BL164)</f>
        <v>0</v>
      </c>
    </row>
    <row r="165" spans="1:49" x14ac:dyDescent="0.25">
      <c r="A165" s="22"/>
      <c r="B165" s="186" t="str">
        <f>B164</f>
        <v>TBUSPYG100</v>
      </c>
      <c r="C165" s="186"/>
      <c r="D165" s="187"/>
      <c r="E165" s="258" t="s">
        <v>1014</v>
      </c>
      <c r="F165" s="170"/>
      <c r="G165" s="189"/>
      <c r="H165" s="170"/>
      <c r="I165" s="190"/>
      <c r="J165" s="191" t="s">
        <v>1127</v>
      </c>
      <c r="K165" s="191"/>
      <c r="L165" s="211" t="s">
        <v>101</v>
      </c>
      <c r="M165" s="186"/>
      <c r="N165" s="675">
        <f>1-N$22</f>
        <v>0.97</v>
      </c>
      <c r="O165" s="675">
        <f t="shared" ref="O165:AB165" si="165">1-O$22</f>
        <v>0.97</v>
      </c>
      <c r="P165" s="675">
        <f t="shared" si="165"/>
        <v>0.97</v>
      </c>
      <c r="Q165" s="675">
        <f t="shared" si="165"/>
        <v>0.97</v>
      </c>
      <c r="R165" s="675">
        <f t="shared" si="165"/>
        <v>0.97</v>
      </c>
      <c r="S165" s="675">
        <f t="shared" si="165"/>
        <v>0.97</v>
      </c>
      <c r="T165" s="675">
        <f t="shared" si="165"/>
        <v>0.97</v>
      </c>
      <c r="U165" s="675">
        <f t="shared" si="165"/>
        <v>0.97</v>
      </c>
      <c r="V165" s="675">
        <f t="shared" si="165"/>
        <v>0.97</v>
      </c>
      <c r="W165" s="675">
        <f t="shared" si="165"/>
        <v>0.97</v>
      </c>
      <c r="X165" s="675">
        <f t="shared" si="165"/>
        <v>0.97</v>
      </c>
      <c r="Y165" s="675">
        <f t="shared" si="165"/>
        <v>0.97</v>
      </c>
      <c r="Z165" s="675">
        <f t="shared" si="165"/>
        <v>0.97</v>
      </c>
      <c r="AA165" s="675">
        <f t="shared" si="165"/>
        <v>0.97</v>
      </c>
      <c r="AB165" s="675">
        <f t="shared" si="165"/>
        <v>0.97</v>
      </c>
      <c r="AD165" s="66" t="str">
        <f>IF(COUNTIF($AG$4:$AP$4,AD164)=1,"ok","MISSING")</f>
        <v>ok</v>
      </c>
      <c r="AE165" s="357"/>
      <c r="AF165" s="89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V165" s="700" t="str">
        <f t="shared" si="103"/>
        <v>TRAGSL</v>
      </c>
      <c r="AW165" s="568">
        <f t="shared" si="164"/>
        <v>0</v>
      </c>
    </row>
    <row r="166" spans="1:49" x14ac:dyDescent="0.25">
      <c r="A166" s="22"/>
      <c r="B166" s="186" t="str">
        <f>B165</f>
        <v>TBUSPYG100</v>
      </c>
      <c r="C166" s="186"/>
      <c r="D166" s="187"/>
      <c r="E166" s="186"/>
      <c r="F166" s="170"/>
      <c r="G166" s="188" t="s">
        <v>415</v>
      </c>
      <c r="H166" s="170"/>
      <c r="I166" s="190"/>
      <c r="J166" s="191"/>
      <c r="K166" s="191"/>
      <c r="L166" s="191" t="s">
        <v>1126</v>
      </c>
      <c r="M166" s="186" t="s">
        <v>678</v>
      </c>
      <c r="N166" s="690">
        <f>T_CEFF!H128</f>
        <v>6.8680000000000005E-2</v>
      </c>
      <c r="O166" s="690">
        <f>T_CEFF!I128</f>
        <v>6.8680000000000005E-2</v>
      </c>
      <c r="P166" s="690">
        <f>T_CEFF!J128</f>
        <v>6.8680000000000005E-2</v>
      </c>
      <c r="Q166" s="690">
        <f>T_CEFF!K128</f>
        <v>6.8680000000000005E-2</v>
      </c>
      <c r="R166" s="690">
        <f>T_CEFF!L128</f>
        <v>6.8680000000000005E-2</v>
      </c>
      <c r="S166" s="690">
        <f>T_CEFF!M128</f>
        <v>6.8680000000000005E-2</v>
      </c>
      <c r="T166" s="690">
        <f>T_CEFF!N128</f>
        <v>6.8680000000000005E-2</v>
      </c>
      <c r="U166" s="690">
        <f>T_CEFF!O128</f>
        <v>6.8680000000000005E-2</v>
      </c>
      <c r="V166" s="690">
        <f>T_CEFF!P128</f>
        <v>6.8680000000000005E-2</v>
      </c>
      <c r="W166" s="690">
        <f>T_CEFF!Q128</f>
        <v>6.8680000000000005E-2</v>
      </c>
      <c r="X166" s="690">
        <f>T_CEFF!R128</f>
        <v>6.8680000000000005E-2</v>
      </c>
      <c r="Y166" s="690">
        <f>T_CEFF!S128</f>
        <v>6.8680000000000005E-2</v>
      </c>
      <c r="Z166" s="690">
        <f>T_CEFF!T128</f>
        <v>6.8680000000000005E-2</v>
      </c>
      <c r="AA166" s="690">
        <f>T_CEFF!U128</f>
        <v>6.8680000000000005E-2</v>
      </c>
      <c r="AB166" s="690">
        <f>T_CEFF!V128</f>
        <v>6.8680000000000005E-2</v>
      </c>
      <c r="AE166" s="36"/>
      <c r="AF166" s="68"/>
      <c r="AV166" s="700" t="str">
        <f t="shared" si="103"/>
        <v/>
      </c>
    </row>
    <row r="167" spans="1:49" x14ac:dyDescent="0.25">
      <c r="A167" s="22"/>
      <c r="B167" s="186" t="str">
        <f>B166</f>
        <v>TBUSPYG100</v>
      </c>
      <c r="C167" s="186"/>
      <c r="D167" s="187"/>
      <c r="E167" s="186"/>
      <c r="F167" s="170"/>
      <c r="G167" s="188" t="s">
        <v>593</v>
      </c>
      <c r="H167" s="170"/>
      <c r="I167" s="190"/>
      <c r="J167" s="191"/>
      <c r="K167" s="191"/>
      <c r="L167" s="191" t="s">
        <v>1126</v>
      </c>
      <c r="M167" s="186" t="s">
        <v>678</v>
      </c>
      <c r="N167" s="690">
        <f>T_CEFF!H129</f>
        <v>6.8680000000000005E-2</v>
      </c>
      <c r="O167" s="690">
        <f>T_CEFF!I129</f>
        <v>6.8680000000000005E-2</v>
      </c>
      <c r="P167" s="690">
        <f>T_CEFF!J129</f>
        <v>6.8680000000000005E-2</v>
      </c>
      <c r="Q167" s="690">
        <f>T_CEFF!K129</f>
        <v>6.8680000000000005E-2</v>
      </c>
      <c r="R167" s="690">
        <f>T_CEFF!L129</f>
        <v>6.8680000000000005E-2</v>
      </c>
      <c r="S167" s="690">
        <f>T_CEFF!M129</f>
        <v>6.8680000000000005E-2</v>
      </c>
      <c r="T167" s="690">
        <f>T_CEFF!N129</f>
        <v>6.8680000000000005E-2</v>
      </c>
      <c r="U167" s="690">
        <f>T_CEFF!O129</f>
        <v>6.8680000000000005E-2</v>
      </c>
      <c r="V167" s="690">
        <f>T_CEFF!P129</f>
        <v>6.8680000000000005E-2</v>
      </c>
      <c r="W167" s="690">
        <f>T_CEFF!Q129</f>
        <v>6.8680000000000005E-2</v>
      </c>
      <c r="X167" s="690">
        <f>T_CEFF!R129</f>
        <v>6.8680000000000005E-2</v>
      </c>
      <c r="Y167" s="690">
        <f>T_CEFF!S129</f>
        <v>6.8680000000000005E-2</v>
      </c>
      <c r="Z167" s="690">
        <f>T_CEFF!T129</f>
        <v>6.8680000000000005E-2</v>
      </c>
      <c r="AA167" s="690">
        <f>T_CEFF!U129</f>
        <v>6.8680000000000005E-2</v>
      </c>
      <c r="AB167" s="690">
        <f>T_CEFF!V129</f>
        <v>6.8680000000000005E-2</v>
      </c>
      <c r="AE167" s="36"/>
      <c r="AF167" s="68"/>
    </row>
    <row r="168" spans="1:49" x14ac:dyDescent="0.25">
      <c r="A168" s="22"/>
      <c r="B168" s="186" t="str">
        <f t="shared" ref="B168:B176" si="166">B167</f>
        <v>TBUSPYG100</v>
      </c>
      <c r="C168" s="186"/>
      <c r="D168" s="187"/>
      <c r="E168" s="186"/>
      <c r="F168" s="170"/>
      <c r="G168" s="189"/>
      <c r="H168" s="170"/>
      <c r="I168" s="190"/>
      <c r="J168" s="191"/>
      <c r="K168" s="191" t="s">
        <v>749</v>
      </c>
      <c r="L168" s="191" t="s">
        <v>1128</v>
      </c>
      <c r="M168" s="186" t="s">
        <v>1159</v>
      </c>
      <c r="N168" s="603">
        <f t="shared" ref="N168:AB168" si="167">N$16</f>
        <v>0</v>
      </c>
      <c r="O168" s="603">
        <f t="shared" si="167"/>
        <v>0</v>
      </c>
      <c r="P168" s="603">
        <f t="shared" si="167"/>
        <v>0</v>
      </c>
      <c r="Q168" s="603">
        <f t="shared" si="167"/>
        <v>0</v>
      </c>
      <c r="R168" s="603">
        <f t="shared" si="167"/>
        <v>0</v>
      </c>
      <c r="S168" s="603">
        <f t="shared" si="167"/>
        <v>0</v>
      </c>
      <c r="T168" s="603">
        <f t="shared" si="167"/>
        <v>0</v>
      </c>
      <c r="U168" s="603">
        <f t="shared" si="167"/>
        <v>0</v>
      </c>
      <c r="V168" s="603">
        <f t="shared" si="167"/>
        <v>0</v>
      </c>
      <c r="W168" s="603">
        <f t="shared" si="167"/>
        <v>0</v>
      </c>
      <c r="X168" s="603">
        <f t="shared" si="167"/>
        <v>0</v>
      </c>
      <c r="Y168" s="603">
        <f t="shared" si="167"/>
        <v>0</v>
      </c>
      <c r="Z168" s="603">
        <f t="shared" si="167"/>
        <v>0</v>
      </c>
      <c r="AA168" s="603">
        <f t="shared" si="167"/>
        <v>0</v>
      </c>
      <c r="AB168" s="603">
        <f t="shared" si="167"/>
        <v>0</v>
      </c>
      <c r="AE168" s="36"/>
      <c r="AF168" s="68"/>
    </row>
    <row r="169" spans="1:49" x14ac:dyDescent="0.25">
      <c r="A169" s="22"/>
      <c r="B169" s="186" t="str">
        <f t="shared" si="166"/>
        <v>TBUSPYG100</v>
      </c>
      <c r="C169" s="186"/>
      <c r="D169" s="187"/>
      <c r="E169" s="186"/>
      <c r="F169" s="170"/>
      <c r="G169" s="189"/>
      <c r="H169" s="170"/>
      <c r="I169" s="190"/>
      <c r="J169" s="191"/>
      <c r="K169" s="191"/>
      <c r="L169" s="211" t="s">
        <v>1130</v>
      </c>
      <c r="M169" s="186" t="s">
        <v>1131</v>
      </c>
      <c r="N169" s="389">
        <f>LOOKUP($C$164, T_NCAP_AF!$C$95:$C$105, T_NCAP_AF!D$95:D$105)*(1+N29)</f>
        <v>0</v>
      </c>
      <c r="O169" s="389">
        <f>LOOKUP($C$164, T_NCAP_AF!$C$95:$C$105, T_NCAP_AF!E$95:E$105)*(1+O29)</f>
        <v>0</v>
      </c>
      <c r="P169" s="389">
        <f>LOOKUP($C$164, T_NCAP_AF!$C$95:$C$105, T_NCAP_AF!F$95:F$105)*(1+P29)</f>
        <v>0</v>
      </c>
      <c r="Q169" s="389">
        <f>LOOKUP($C$164, T_NCAP_AF!$C$95:$C$105, T_NCAP_AF!G$95:G$105)*(1+Q29)</f>
        <v>0</v>
      </c>
      <c r="R169" s="389">
        <f>LOOKUP($C$164, T_NCAP_AF!$C$95:$C$105, T_NCAP_AF!H$95:H$105)*(1+R29)</f>
        <v>0</v>
      </c>
      <c r="S169" s="389">
        <f>LOOKUP($C$164, T_NCAP_AF!$C$95:$C$105, T_NCAP_AF!I$95:I$105)*(1+S29)</f>
        <v>0</v>
      </c>
      <c r="T169" s="389">
        <f>LOOKUP($C$164, T_NCAP_AF!$C$95:$C$105, T_NCAP_AF!J$95:J$105)*(1+T29)</f>
        <v>0</v>
      </c>
      <c r="U169" s="389">
        <f>LOOKUP($C$164, T_NCAP_AF!$C$95:$C$105, T_NCAP_AF!K$95:K$105)*(1+U29)</f>
        <v>0</v>
      </c>
      <c r="V169" s="389">
        <f>LOOKUP($C$164, T_NCAP_AF!$C$95:$C$105, T_NCAP_AF!L$95:L$105)*(1+V29)</f>
        <v>0</v>
      </c>
      <c r="W169" s="389">
        <f>LOOKUP($C$164, T_NCAP_AF!$C$95:$C$105, T_NCAP_AF!M$95:M$105)*(1+W29)</f>
        <v>0</v>
      </c>
      <c r="X169" s="389">
        <f>LOOKUP($C$164, T_NCAP_AF!$C$95:$C$105, T_NCAP_AF!N$95:N$105)*(1+X29)</f>
        <v>0</v>
      </c>
      <c r="Y169" s="389">
        <f>LOOKUP($C$164, T_NCAP_AF!$C$95:$C$105, T_NCAP_AF!O$95:O$105)*(1+Y29)</f>
        <v>0</v>
      </c>
      <c r="Z169" s="389">
        <f>LOOKUP($C$164, T_NCAP_AF!$C$95:$C$105, T_NCAP_AF!P$95:P$105)*(1+Z29)</f>
        <v>0</v>
      </c>
      <c r="AA169" s="389">
        <f>LOOKUP($C$164, T_NCAP_AF!$C$95:$C$105, T_NCAP_AF!Q$95:Q$105)*(1+AA29)</f>
        <v>0</v>
      </c>
      <c r="AB169" s="389">
        <f>LOOKUP($C$164, T_NCAP_AF!$C$95:$C$105, T_NCAP_AF!R$95:R$105)*(1+AB29)</f>
        <v>0</v>
      </c>
      <c r="AC169" s="83"/>
      <c r="AE169" s="572">
        <f>SUM(AF169:AT169)</f>
        <v>0</v>
      </c>
      <c r="AF169" s="85">
        <f t="shared" ref="AF169:AT169" si="168">N168*N169*N170/1000</f>
        <v>0</v>
      </c>
      <c r="AG169" s="85">
        <f t="shared" si="168"/>
        <v>0</v>
      </c>
      <c r="AH169" s="85">
        <f t="shared" si="168"/>
        <v>0</v>
      </c>
      <c r="AI169" s="85">
        <f t="shared" si="168"/>
        <v>0</v>
      </c>
      <c r="AJ169" s="85">
        <f t="shared" si="168"/>
        <v>0</v>
      </c>
      <c r="AK169" s="85">
        <f t="shared" si="168"/>
        <v>0</v>
      </c>
      <c r="AL169" s="85">
        <f t="shared" si="168"/>
        <v>0</v>
      </c>
      <c r="AM169" s="85">
        <f t="shared" si="168"/>
        <v>0</v>
      </c>
      <c r="AN169" s="85">
        <f t="shared" si="168"/>
        <v>0</v>
      </c>
      <c r="AO169" s="85">
        <f t="shared" si="168"/>
        <v>0</v>
      </c>
      <c r="AP169" s="85">
        <f t="shared" si="168"/>
        <v>0</v>
      </c>
      <c r="AQ169" s="85">
        <f t="shared" si="168"/>
        <v>0</v>
      </c>
      <c r="AR169" s="85">
        <f t="shared" si="168"/>
        <v>0</v>
      </c>
      <c r="AS169" s="85">
        <f t="shared" si="168"/>
        <v>0</v>
      </c>
      <c r="AT169" s="85">
        <f t="shared" si="168"/>
        <v>0</v>
      </c>
    </row>
    <row r="170" spans="1:49" x14ac:dyDescent="0.25">
      <c r="A170" s="22"/>
      <c r="B170" s="186" t="str">
        <f t="shared" si="166"/>
        <v>TBUSPYG100</v>
      </c>
      <c r="C170" s="186"/>
      <c r="D170" s="187"/>
      <c r="E170" s="186"/>
      <c r="F170" s="170"/>
      <c r="G170" s="189"/>
      <c r="H170" s="170"/>
      <c r="I170" s="190">
        <f>$M$3</f>
        <v>2019</v>
      </c>
      <c r="J170" s="191"/>
      <c r="K170" s="191"/>
      <c r="L170" s="211" t="s">
        <v>1065</v>
      </c>
      <c r="M170" s="186" t="s">
        <v>748</v>
      </c>
      <c r="N170" s="687">
        <f>LOOKUP($C$125, T_Stock_Private!$C$58:$C$68, T_Stock_Private!D$58:D$68)*(1+N30)</f>
        <v>0</v>
      </c>
      <c r="O170" s="687">
        <f>LOOKUP($C$125, T_Stock_Private!$C$58:$C$68, T_Stock_Private!E$58:E$68)*(1+O30)</f>
        <v>0</v>
      </c>
      <c r="P170" s="687">
        <f>LOOKUP($C$125, T_Stock_Private!$C$58:$C$68, T_Stock_Private!F$58:F$68)*(1+P30)</f>
        <v>0</v>
      </c>
      <c r="Q170" s="687">
        <f>LOOKUP($C$125, T_Stock_Private!$C$58:$C$68, T_Stock_Private!G$58:G$68)*(1+Q30)</f>
        <v>0</v>
      </c>
      <c r="R170" s="687">
        <f>LOOKUP($C$125, T_Stock_Private!$C$58:$C$68, T_Stock_Private!H$58:H$68)*(1+R30)</f>
        <v>0</v>
      </c>
      <c r="S170" s="687">
        <f>LOOKUP($C$125, T_Stock_Private!$C$58:$C$68, T_Stock_Private!I$58:I$68)*(1+S30)</f>
        <v>0</v>
      </c>
      <c r="T170" s="687">
        <f>LOOKUP($C$125, T_Stock_Private!$C$58:$C$68, T_Stock_Private!J$58:J$68)*(1+T30)</f>
        <v>0</v>
      </c>
      <c r="U170" s="687">
        <f>LOOKUP($C$125, T_Stock_Private!$C$58:$C$68, T_Stock_Private!K$58:K$68)*(1+U30)</f>
        <v>0</v>
      </c>
      <c r="V170" s="687">
        <f>LOOKUP($C$125, T_Stock_Private!$C$58:$C$68, T_Stock_Private!L$58:L$68)*(1+V30)</f>
        <v>0</v>
      </c>
      <c r="W170" s="687">
        <f>LOOKUP($C$125, T_Stock_Private!$C$58:$C$68, T_Stock_Private!M$58:M$68)*(1+W30)</f>
        <v>0</v>
      </c>
      <c r="X170" s="687">
        <f>LOOKUP($C$125, T_Stock_Private!$C$58:$C$68, T_Stock_Private!N$58:N$68)*(1+X30)</f>
        <v>0</v>
      </c>
      <c r="Y170" s="687">
        <f>LOOKUP($C$125, T_Stock_Private!$C$58:$C$68, T_Stock_Private!O$58:O$68)*(1+Y30)</f>
        <v>0</v>
      </c>
      <c r="Z170" s="687">
        <f>LOOKUP($C$125, T_Stock_Private!$C$58:$C$68, T_Stock_Private!P$58:P$68)*(1+Z30)</f>
        <v>0</v>
      </c>
      <c r="AA170" s="687">
        <f>LOOKUP($C$125, T_Stock_Private!$C$58:$C$68, T_Stock_Private!Q$58:Q$68)*(1+AA30)</f>
        <v>0</v>
      </c>
      <c r="AB170" s="687">
        <f>LOOKUP($C$125, T_Stock_Private!$C$58:$C$68, T_Stock_Private!R$58:R$68)*(1+AB30)</f>
        <v>0</v>
      </c>
      <c r="AC170" s="89"/>
    </row>
    <row r="171" spans="1:49" x14ac:dyDescent="0.25">
      <c r="A171" s="22"/>
      <c r="B171" s="186" t="str">
        <f t="shared" si="166"/>
        <v>TBUSPYG100</v>
      </c>
      <c r="C171" s="186"/>
      <c r="D171" s="187"/>
      <c r="E171" s="186"/>
      <c r="F171" s="170"/>
      <c r="G171" s="189"/>
      <c r="H171" s="170"/>
      <c r="I171" s="190">
        <f>AF$5</f>
        <v>2020</v>
      </c>
      <c r="J171" s="191"/>
      <c r="K171" s="191"/>
      <c r="L171" s="211" t="s">
        <v>1065</v>
      </c>
      <c r="M171" s="186" t="s">
        <v>748</v>
      </c>
      <c r="N171" s="687">
        <f t="shared" ref="N171:AB171" si="169">N170*LOOKUP($AD164,$AG$4:$AP$4,$AG$5:$AP$5)</f>
        <v>0</v>
      </c>
      <c r="O171" s="687">
        <f t="shared" si="169"/>
        <v>0</v>
      </c>
      <c r="P171" s="687">
        <f t="shared" si="169"/>
        <v>0</v>
      </c>
      <c r="Q171" s="687">
        <f t="shared" si="169"/>
        <v>0</v>
      </c>
      <c r="R171" s="687">
        <f t="shared" si="169"/>
        <v>0</v>
      </c>
      <c r="S171" s="687">
        <f t="shared" si="169"/>
        <v>0</v>
      </c>
      <c r="T171" s="687">
        <f t="shared" si="169"/>
        <v>0</v>
      </c>
      <c r="U171" s="687">
        <f t="shared" si="169"/>
        <v>0</v>
      </c>
      <c r="V171" s="687">
        <f t="shared" si="169"/>
        <v>0</v>
      </c>
      <c r="W171" s="687">
        <f t="shared" si="169"/>
        <v>0</v>
      </c>
      <c r="X171" s="687">
        <f t="shared" si="169"/>
        <v>0</v>
      </c>
      <c r="Y171" s="687">
        <f t="shared" si="169"/>
        <v>0</v>
      </c>
      <c r="Z171" s="687">
        <f t="shared" si="169"/>
        <v>0</v>
      </c>
      <c r="AA171" s="687">
        <f t="shared" si="169"/>
        <v>0</v>
      </c>
      <c r="AB171" s="687">
        <f t="shared" si="169"/>
        <v>0</v>
      </c>
    </row>
    <row r="172" spans="1:49" x14ac:dyDescent="0.25">
      <c r="A172" s="22"/>
      <c r="B172" s="186" t="str">
        <f t="shared" si="166"/>
        <v>TBUSPYG100</v>
      </c>
      <c r="C172" s="186"/>
      <c r="D172" s="187"/>
      <c r="E172" s="186"/>
      <c r="F172" s="170"/>
      <c r="G172" s="189"/>
      <c r="H172" s="170"/>
      <c r="I172" s="190">
        <f>AF$6</f>
        <v>2025</v>
      </c>
      <c r="J172" s="191"/>
      <c r="K172" s="191"/>
      <c r="L172" s="211" t="s">
        <v>1065</v>
      </c>
      <c r="M172" s="186" t="s">
        <v>748</v>
      </c>
      <c r="N172" s="687">
        <f t="shared" ref="N172:AB172" si="170">N170*LOOKUP($AD164,$AG$4:$AP$4,$AG$6:$AP$6)</f>
        <v>0</v>
      </c>
      <c r="O172" s="687">
        <f t="shared" si="170"/>
        <v>0</v>
      </c>
      <c r="P172" s="687">
        <f t="shared" si="170"/>
        <v>0</v>
      </c>
      <c r="Q172" s="687">
        <f t="shared" si="170"/>
        <v>0</v>
      </c>
      <c r="R172" s="687">
        <f t="shared" si="170"/>
        <v>0</v>
      </c>
      <c r="S172" s="687">
        <f t="shared" si="170"/>
        <v>0</v>
      </c>
      <c r="T172" s="687">
        <f t="shared" si="170"/>
        <v>0</v>
      </c>
      <c r="U172" s="687">
        <f t="shared" si="170"/>
        <v>0</v>
      </c>
      <c r="V172" s="687">
        <f t="shared" si="170"/>
        <v>0</v>
      </c>
      <c r="W172" s="687">
        <f t="shared" si="170"/>
        <v>0</v>
      </c>
      <c r="X172" s="687">
        <f t="shared" si="170"/>
        <v>0</v>
      </c>
      <c r="Y172" s="687">
        <f t="shared" si="170"/>
        <v>0</v>
      </c>
      <c r="Z172" s="687">
        <f t="shared" si="170"/>
        <v>0</v>
      </c>
      <c r="AA172" s="687">
        <f t="shared" si="170"/>
        <v>0</v>
      </c>
      <c r="AB172" s="687">
        <f t="shared" si="170"/>
        <v>0</v>
      </c>
    </row>
    <row r="173" spans="1:49" x14ac:dyDescent="0.25">
      <c r="A173" s="22"/>
      <c r="B173" s="186" t="str">
        <f t="shared" si="166"/>
        <v>TBUSPYG100</v>
      </c>
      <c r="C173" s="186"/>
      <c r="D173" s="187"/>
      <c r="E173" s="186"/>
      <c r="F173" s="170"/>
      <c r="G173" s="189"/>
      <c r="H173" s="170"/>
      <c r="I173" s="190">
        <f>AF$7</f>
        <v>2030</v>
      </c>
      <c r="J173" s="191"/>
      <c r="K173" s="191"/>
      <c r="L173" s="211" t="s">
        <v>1065</v>
      </c>
      <c r="M173" s="186" t="s">
        <v>748</v>
      </c>
      <c r="N173" s="687">
        <f t="shared" ref="N173:AB173" si="171">N170*LOOKUP($AD164,$AG$4:$AP$4,$AG$7:$AP$7)</f>
        <v>0</v>
      </c>
      <c r="O173" s="687">
        <f t="shared" si="171"/>
        <v>0</v>
      </c>
      <c r="P173" s="687">
        <f t="shared" si="171"/>
        <v>0</v>
      </c>
      <c r="Q173" s="687">
        <f t="shared" si="171"/>
        <v>0</v>
      </c>
      <c r="R173" s="687">
        <f t="shared" si="171"/>
        <v>0</v>
      </c>
      <c r="S173" s="687">
        <f t="shared" si="171"/>
        <v>0</v>
      </c>
      <c r="T173" s="687">
        <f t="shared" si="171"/>
        <v>0</v>
      </c>
      <c r="U173" s="687">
        <f t="shared" si="171"/>
        <v>0</v>
      </c>
      <c r="V173" s="687">
        <f t="shared" si="171"/>
        <v>0</v>
      </c>
      <c r="W173" s="687">
        <f t="shared" si="171"/>
        <v>0</v>
      </c>
      <c r="X173" s="687">
        <f t="shared" si="171"/>
        <v>0</v>
      </c>
      <c r="Y173" s="687">
        <f t="shared" si="171"/>
        <v>0</v>
      </c>
      <c r="Z173" s="687">
        <f t="shared" si="171"/>
        <v>0</v>
      </c>
      <c r="AA173" s="687">
        <f t="shared" si="171"/>
        <v>0</v>
      </c>
      <c r="AB173" s="687">
        <f t="shared" si="171"/>
        <v>0</v>
      </c>
    </row>
    <row r="174" spans="1:49" x14ac:dyDescent="0.25">
      <c r="A174" s="22"/>
      <c r="B174" s="186" t="str">
        <f t="shared" si="166"/>
        <v>TBUSPYG100</v>
      </c>
      <c r="C174" s="186"/>
      <c r="D174" s="187"/>
      <c r="E174" s="186"/>
      <c r="F174" s="170"/>
      <c r="G174" s="189"/>
      <c r="H174" s="170"/>
      <c r="I174" s="190">
        <f>AF$8</f>
        <v>2035</v>
      </c>
      <c r="J174" s="191"/>
      <c r="K174" s="191"/>
      <c r="L174" s="211" t="s">
        <v>1065</v>
      </c>
      <c r="M174" s="186" t="s">
        <v>748</v>
      </c>
      <c r="N174" s="687">
        <f t="shared" ref="N174:AB174" si="172">N170*LOOKUP($AD164,$AG$4:$AP$4,$AG$8:$AP$8)</f>
        <v>0</v>
      </c>
      <c r="O174" s="687">
        <f t="shared" si="172"/>
        <v>0</v>
      </c>
      <c r="P174" s="687">
        <f t="shared" si="172"/>
        <v>0</v>
      </c>
      <c r="Q174" s="687">
        <f t="shared" si="172"/>
        <v>0</v>
      </c>
      <c r="R174" s="687">
        <f t="shared" si="172"/>
        <v>0</v>
      </c>
      <c r="S174" s="687">
        <f t="shared" si="172"/>
        <v>0</v>
      </c>
      <c r="T174" s="687">
        <f t="shared" si="172"/>
        <v>0</v>
      </c>
      <c r="U174" s="687">
        <f t="shared" si="172"/>
        <v>0</v>
      </c>
      <c r="V174" s="687">
        <f t="shared" si="172"/>
        <v>0</v>
      </c>
      <c r="W174" s="687">
        <f t="shared" si="172"/>
        <v>0</v>
      </c>
      <c r="X174" s="687">
        <f t="shared" si="172"/>
        <v>0</v>
      </c>
      <c r="Y174" s="687">
        <f t="shared" si="172"/>
        <v>0</v>
      </c>
      <c r="Z174" s="687">
        <f t="shared" si="172"/>
        <v>0</v>
      </c>
      <c r="AA174" s="687">
        <f t="shared" si="172"/>
        <v>0</v>
      </c>
      <c r="AB174" s="687">
        <f t="shared" si="172"/>
        <v>0</v>
      </c>
    </row>
    <row r="175" spans="1:49" x14ac:dyDescent="0.25">
      <c r="A175" s="22"/>
      <c r="B175" s="186" t="str">
        <f t="shared" si="166"/>
        <v>TBUSPYG100</v>
      </c>
      <c r="C175" s="186"/>
      <c r="D175" s="187"/>
      <c r="E175" s="186"/>
      <c r="F175" s="170"/>
      <c r="G175" s="189"/>
      <c r="H175" s="170"/>
      <c r="I175" s="190">
        <f>AF$9</f>
        <v>2040</v>
      </c>
      <c r="J175" s="191"/>
      <c r="K175" s="191"/>
      <c r="L175" s="211" t="s">
        <v>1065</v>
      </c>
      <c r="M175" s="186" t="s">
        <v>748</v>
      </c>
      <c r="N175" s="687">
        <f t="shared" ref="N175:AB175" si="173">N170*LOOKUP($AD164,$AG$4:$AP$4,$AG$9:$AP$9)</f>
        <v>0</v>
      </c>
      <c r="O175" s="687">
        <f t="shared" si="173"/>
        <v>0</v>
      </c>
      <c r="P175" s="687">
        <f t="shared" si="173"/>
        <v>0</v>
      </c>
      <c r="Q175" s="687">
        <f t="shared" si="173"/>
        <v>0</v>
      </c>
      <c r="R175" s="687">
        <f t="shared" si="173"/>
        <v>0</v>
      </c>
      <c r="S175" s="687">
        <f t="shared" si="173"/>
        <v>0</v>
      </c>
      <c r="T175" s="687">
        <f t="shared" si="173"/>
        <v>0</v>
      </c>
      <c r="U175" s="687">
        <f t="shared" si="173"/>
        <v>0</v>
      </c>
      <c r="V175" s="687">
        <f t="shared" si="173"/>
        <v>0</v>
      </c>
      <c r="W175" s="687">
        <f t="shared" si="173"/>
        <v>0</v>
      </c>
      <c r="X175" s="687">
        <f t="shared" si="173"/>
        <v>0</v>
      </c>
      <c r="Y175" s="687">
        <f t="shared" si="173"/>
        <v>0</v>
      </c>
      <c r="Z175" s="687">
        <f t="shared" si="173"/>
        <v>0</v>
      </c>
      <c r="AA175" s="687">
        <f t="shared" si="173"/>
        <v>0</v>
      </c>
      <c r="AB175" s="687">
        <f t="shared" si="173"/>
        <v>0</v>
      </c>
    </row>
    <row r="176" spans="1:49" x14ac:dyDescent="0.25">
      <c r="A176" s="22"/>
      <c r="B176" s="193" t="str">
        <f t="shared" si="166"/>
        <v>TBUSPYG100</v>
      </c>
      <c r="C176" s="193"/>
      <c r="D176" s="194"/>
      <c r="E176" s="193"/>
      <c r="F176" s="196"/>
      <c r="G176" s="195"/>
      <c r="H176" s="196"/>
      <c r="I176" s="197">
        <f>AF$10</f>
        <v>2050</v>
      </c>
      <c r="J176" s="198"/>
      <c r="K176" s="198"/>
      <c r="L176" s="199" t="s">
        <v>1065</v>
      </c>
      <c r="M176" s="193" t="s">
        <v>748</v>
      </c>
      <c r="N176" s="688">
        <f t="shared" ref="N176:AB176" si="174">N170*LOOKUP($AD164,$AG$4:$AP$4,$AG$10:$AP$10)</f>
        <v>0</v>
      </c>
      <c r="O176" s="688">
        <f t="shared" si="174"/>
        <v>0</v>
      </c>
      <c r="P176" s="688">
        <f t="shared" si="174"/>
        <v>0</v>
      </c>
      <c r="Q176" s="688">
        <f t="shared" si="174"/>
        <v>0</v>
      </c>
      <c r="R176" s="688">
        <f t="shared" si="174"/>
        <v>0</v>
      </c>
      <c r="S176" s="688">
        <f t="shared" si="174"/>
        <v>0</v>
      </c>
      <c r="T176" s="688">
        <f t="shared" si="174"/>
        <v>0</v>
      </c>
      <c r="U176" s="688">
        <f t="shared" si="174"/>
        <v>0</v>
      </c>
      <c r="V176" s="688">
        <f t="shared" si="174"/>
        <v>0</v>
      </c>
      <c r="W176" s="688">
        <f t="shared" si="174"/>
        <v>0</v>
      </c>
      <c r="X176" s="688">
        <f t="shared" si="174"/>
        <v>0</v>
      </c>
      <c r="Y176" s="688">
        <f t="shared" si="174"/>
        <v>0</v>
      </c>
      <c r="Z176" s="688">
        <f t="shared" si="174"/>
        <v>0</v>
      </c>
      <c r="AA176" s="688">
        <f t="shared" si="174"/>
        <v>0</v>
      </c>
      <c r="AB176" s="688">
        <f t="shared" si="174"/>
        <v>0</v>
      </c>
    </row>
    <row r="178" spans="1:64" x14ac:dyDescent="0.25">
      <c r="N178" s="363"/>
    </row>
    <row r="179" spans="1:64" x14ac:dyDescent="0.25">
      <c r="M179" s="473" t="s">
        <v>1152</v>
      </c>
      <c r="N179" s="472">
        <v>-5.0320799999999999E-2</v>
      </c>
      <c r="O179" s="472">
        <v>0</v>
      </c>
      <c r="P179" s="472">
        <v>0</v>
      </c>
      <c r="Q179" s="472">
        <v>0</v>
      </c>
      <c r="R179" s="472">
        <v>0</v>
      </c>
      <c r="S179" s="472">
        <v>0</v>
      </c>
      <c r="T179" s="472">
        <v>0</v>
      </c>
      <c r="U179" s="472">
        <v>0</v>
      </c>
      <c r="V179" s="472">
        <v>0</v>
      </c>
      <c r="W179" s="472">
        <v>0</v>
      </c>
      <c r="X179" s="472">
        <v>0</v>
      </c>
      <c r="Y179" s="472">
        <v>0</v>
      </c>
      <c r="Z179" s="472">
        <v>0</v>
      </c>
      <c r="AA179" s="472">
        <v>0</v>
      </c>
      <c r="AB179" s="472">
        <v>0</v>
      </c>
    </row>
    <row r="180" spans="1:64" x14ac:dyDescent="0.25">
      <c r="B180" s="26" t="s">
        <v>1167</v>
      </c>
      <c r="C180" s="26"/>
      <c r="I180" s="36"/>
      <c r="L180" s="440"/>
      <c r="M180" s="473" t="s">
        <v>1154</v>
      </c>
      <c r="N180" s="472">
        <v>0</v>
      </c>
      <c r="O180" s="472">
        <v>0</v>
      </c>
      <c r="P180" s="472">
        <v>0</v>
      </c>
      <c r="Q180" s="472">
        <v>0</v>
      </c>
      <c r="R180" s="472">
        <v>0</v>
      </c>
      <c r="S180" s="472">
        <v>0</v>
      </c>
      <c r="T180" s="472">
        <v>0</v>
      </c>
      <c r="U180" s="472">
        <v>0</v>
      </c>
      <c r="V180" s="472">
        <v>0</v>
      </c>
      <c r="W180" s="472">
        <v>0</v>
      </c>
      <c r="X180" s="472">
        <v>0</v>
      </c>
      <c r="Y180" s="472">
        <v>0</v>
      </c>
      <c r="Z180" s="472">
        <v>0</v>
      </c>
      <c r="AA180" s="472">
        <v>0</v>
      </c>
      <c r="AB180" s="472">
        <v>0</v>
      </c>
    </row>
    <row r="181" spans="1:64" x14ac:dyDescent="0.25">
      <c r="I181" s="36"/>
      <c r="L181" s="440"/>
      <c r="M181" s="473"/>
      <c r="N181" s="473"/>
      <c r="O181" s="473"/>
      <c r="P181" s="473"/>
      <c r="Q181" s="473"/>
      <c r="R181" s="473"/>
      <c r="S181" s="473"/>
      <c r="T181" s="473"/>
      <c r="U181" s="473"/>
      <c r="V181" s="473"/>
      <c r="W181" s="473"/>
      <c r="X181" s="473"/>
      <c r="Y181" s="473"/>
      <c r="Z181" s="473"/>
      <c r="AA181" s="473"/>
      <c r="AB181" s="473"/>
    </row>
    <row r="182" spans="1:64" s="22" customFormat="1" x14ac:dyDescent="0.25">
      <c r="A182" s="35"/>
      <c r="B182" s="35"/>
      <c r="C182" s="50"/>
      <c r="D182" s="50"/>
      <c r="E182" s="35"/>
      <c r="G182" s="35"/>
      <c r="H182" s="41"/>
      <c r="I182" s="51"/>
      <c r="J182" s="41"/>
      <c r="K182" s="41"/>
      <c r="L182" s="40" t="str">
        <f>IF(SUM(N12:AB13)&gt;0,"~FI_T","Not in use")</f>
        <v>~FI_T</v>
      </c>
      <c r="M182" s="40"/>
      <c r="N182" s="35"/>
      <c r="O182" s="35"/>
      <c r="P182" s="35"/>
      <c r="Q182" s="35"/>
      <c r="R182" s="41"/>
      <c r="S182" s="35"/>
      <c r="T182" s="35"/>
      <c r="U182" s="35"/>
      <c r="V182" s="41"/>
      <c r="W182" s="35"/>
      <c r="X182" s="35"/>
      <c r="Y182" s="35"/>
      <c r="Z182" s="35"/>
      <c r="AA182" s="35"/>
      <c r="AB182" s="35"/>
      <c r="AC182" s="41"/>
      <c r="AD182" s="49" t="str">
        <f>CONCATENATE("TEST: ",B180)</f>
        <v>TEST: Base-year: Bus (intercity)</v>
      </c>
      <c r="AF182" s="866">
        <f t="shared" ref="AF182:AQ182" si="175">SUM(N10:N13)/AF185-1</f>
        <v>4.1666140963963372E-2</v>
      </c>
      <c r="AG182" s="866" t="e">
        <f t="shared" si="175"/>
        <v>#DIV/0!</v>
      </c>
      <c r="AH182" s="866" t="e">
        <f t="shared" si="175"/>
        <v>#DIV/0!</v>
      </c>
      <c r="AI182" s="866" t="e">
        <f t="shared" si="175"/>
        <v>#DIV/0!</v>
      </c>
      <c r="AJ182" s="866" t="e">
        <f t="shared" si="175"/>
        <v>#DIV/0!</v>
      </c>
      <c r="AK182" s="866" t="e">
        <f t="shared" si="175"/>
        <v>#DIV/0!</v>
      </c>
      <c r="AL182" s="866" t="e">
        <f t="shared" si="175"/>
        <v>#DIV/0!</v>
      </c>
      <c r="AM182" s="866" t="e">
        <f t="shared" si="175"/>
        <v>#DIV/0!</v>
      </c>
      <c r="AN182" s="866" t="e">
        <f t="shared" si="175"/>
        <v>#DIV/0!</v>
      </c>
      <c r="AO182" s="866" t="e">
        <f t="shared" si="175"/>
        <v>#DIV/0!</v>
      </c>
      <c r="AP182" s="866" t="e">
        <f t="shared" si="175"/>
        <v>#DIV/0!</v>
      </c>
      <c r="AQ182" s="866" t="e">
        <f t="shared" si="175"/>
        <v>#DIV/0!</v>
      </c>
      <c r="AR182" s="866" t="e">
        <f>SUM(Z12:Z13)/AR185-1</f>
        <v>#DIV/0!</v>
      </c>
      <c r="AS182" s="866" t="e">
        <f>SUM(AA10:AA13)/AS185-1</f>
        <v>#DIV/0!</v>
      </c>
      <c r="AT182" s="866" t="e">
        <f>SUM(AB12:AB13)/AT185-1</f>
        <v>#DIV/0!</v>
      </c>
      <c r="AV182" s="471" t="s">
        <v>1052</v>
      </c>
    </row>
    <row r="183" spans="1:64" s="22" customFormat="1" x14ac:dyDescent="0.25">
      <c r="A183" s="35"/>
      <c r="B183" s="52" t="s">
        <v>1053</v>
      </c>
      <c r="C183" s="26" t="s">
        <v>104</v>
      </c>
      <c r="D183" s="26" t="s">
        <v>1054</v>
      </c>
      <c r="E183" s="26" t="s">
        <v>673</v>
      </c>
      <c r="F183" s="26" t="s">
        <v>1155</v>
      </c>
      <c r="G183" s="26" t="s">
        <v>674</v>
      </c>
      <c r="H183" s="26" t="s">
        <v>1055</v>
      </c>
      <c r="I183" s="53" t="s">
        <v>1056</v>
      </c>
      <c r="J183" s="26" t="s">
        <v>982</v>
      </c>
      <c r="K183" s="42" t="s">
        <v>1123</v>
      </c>
      <c r="L183" s="26" t="s">
        <v>1057</v>
      </c>
      <c r="M183" s="26" t="s">
        <v>1058</v>
      </c>
      <c r="N183" s="26" t="str">
        <f t="shared" ref="N183:AB183" si="176">N$2</f>
        <v>Z01</v>
      </c>
      <c r="O183" s="26" t="str">
        <f t="shared" si="176"/>
        <v>Z02</v>
      </c>
      <c r="P183" s="26" t="str">
        <f t="shared" si="176"/>
        <v>Z03</v>
      </c>
      <c r="Q183" s="26" t="str">
        <f t="shared" si="176"/>
        <v>Z04</v>
      </c>
      <c r="R183" s="26" t="str">
        <f t="shared" si="176"/>
        <v>Z05</v>
      </c>
      <c r="S183" s="26" t="str">
        <f t="shared" si="176"/>
        <v>Z06</v>
      </c>
      <c r="T183" s="26" t="str">
        <f t="shared" si="176"/>
        <v>Z07</v>
      </c>
      <c r="U183" s="26" t="str">
        <f t="shared" si="176"/>
        <v>Z08</v>
      </c>
      <c r="V183" s="26" t="str">
        <f t="shared" si="176"/>
        <v>Z09</v>
      </c>
      <c r="W183" s="26" t="str">
        <f t="shared" si="176"/>
        <v>Z10</v>
      </c>
      <c r="X183" s="26" t="str">
        <f t="shared" si="176"/>
        <v>Z11</v>
      </c>
      <c r="Y183" s="26" t="str">
        <f t="shared" si="176"/>
        <v>Z12</v>
      </c>
      <c r="Z183" s="26" t="str">
        <f t="shared" si="176"/>
        <v>Z13</v>
      </c>
      <c r="AA183" s="26" t="str">
        <f t="shared" si="176"/>
        <v>Z14</v>
      </c>
      <c r="AB183" s="26" t="str">
        <f t="shared" si="176"/>
        <v>Z15</v>
      </c>
      <c r="AC183" s="48"/>
      <c r="AD183" s="42"/>
      <c r="AE183" s="42" t="s">
        <v>421</v>
      </c>
      <c r="AF183" s="42" t="str">
        <f t="shared" ref="AF183:AT183" si="177">AF33</f>
        <v>Z01</v>
      </c>
      <c r="AG183" s="42" t="str">
        <f t="shared" si="177"/>
        <v>Z02</v>
      </c>
      <c r="AH183" s="42" t="str">
        <f t="shared" si="177"/>
        <v>Z03</v>
      </c>
      <c r="AI183" s="42" t="str">
        <f t="shared" si="177"/>
        <v>Z04</v>
      </c>
      <c r="AJ183" s="42" t="str">
        <f t="shared" si="177"/>
        <v>Z05</v>
      </c>
      <c r="AK183" s="42" t="str">
        <f t="shared" si="177"/>
        <v>Z06</v>
      </c>
      <c r="AL183" s="42" t="str">
        <f t="shared" si="177"/>
        <v>Z07</v>
      </c>
      <c r="AM183" s="42" t="str">
        <f t="shared" si="177"/>
        <v>Z08</v>
      </c>
      <c r="AN183" s="42" t="str">
        <f t="shared" si="177"/>
        <v>Z09</v>
      </c>
      <c r="AO183" s="42" t="str">
        <f t="shared" si="177"/>
        <v>Z10</v>
      </c>
      <c r="AP183" s="42" t="str">
        <f t="shared" si="177"/>
        <v>Z11</v>
      </c>
      <c r="AQ183" s="42" t="str">
        <f t="shared" si="177"/>
        <v>Z12</v>
      </c>
      <c r="AR183" s="42" t="str">
        <f t="shared" si="177"/>
        <v>Z13</v>
      </c>
      <c r="AS183" s="42" t="str">
        <f t="shared" si="177"/>
        <v>Z14</v>
      </c>
      <c r="AT183" s="42" t="str">
        <f t="shared" si="177"/>
        <v>Z15</v>
      </c>
      <c r="AV183" s="701" t="s">
        <v>85</v>
      </c>
      <c r="AW183" s="701" t="s">
        <v>421</v>
      </c>
      <c r="AX183" s="701" t="str">
        <f t="shared" ref="AX183:BL183" si="178">N$2</f>
        <v>Z01</v>
      </c>
      <c r="AY183" s="701" t="str">
        <f t="shared" si="178"/>
        <v>Z02</v>
      </c>
      <c r="AZ183" s="701" t="str">
        <f t="shared" si="178"/>
        <v>Z03</v>
      </c>
      <c r="BA183" s="701" t="str">
        <f t="shared" si="178"/>
        <v>Z04</v>
      </c>
      <c r="BB183" s="701" t="str">
        <f t="shared" si="178"/>
        <v>Z05</v>
      </c>
      <c r="BC183" s="701" t="str">
        <f t="shared" si="178"/>
        <v>Z06</v>
      </c>
      <c r="BD183" s="701" t="str">
        <f t="shared" si="178"/>
        <v>Z07</v>
      </c>
      <c r="BE183" s="701" t="str">
        <f t="shared" si="178"/>
        <v>Z08</v>
      </c>
      <c r="BF183" s="701" t="str">
        <f t="shared" si="178"/>
        <v>Z09</v>
      </c>
      <c r="BG183" s="701" t="str">
        <f t="shared" si="178"/>
        <v>Z10</v>
      </c>
      <c r="BH183" s="701" t="str">
        <f t="shared" si="178"/>
        <v>Z11</v>
      </c>
      <c r="BI183" s="701" t="str">
        <f t="shared" si="178"/>
        <v>Z12</v>
      </c>
      <c r="BJ183" s="701" t="str">
        <f t="shared" si="178"/>
        <v>Z13</v>
      </c>
      <c r="BK183" s="701" t="str">
        <f t="shared" si="178"/>
        <v>Z14</v>
      </c>
      <c r="BL183" s="701" t="str">
        <f t="shared" si="178"/>
        <v>Z15</v>
      </c>
    </row>
    <row r="184" spans="1:64" s="22" customFormat="1" x14ac:dyDescent="0.25">
      <c r="A184" s="35"/>
      <c r="B184" s="176"/>
      <c r="C184" s="176"/>
      <c r="D184" s="176" t="s">
        <v>1062</v>
      </c>
      <c r="E184" s="176"/>
      <c r="F184" s="176"/>
      <c r="G184" s="176"/>
      <c r="H184" s="176"/>
      <c r="I184" s="177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35"/>
      <c r="AD184" s="398" t="s">
        <v>1124</v>
      </c>
      <c r="AE184" s="625" t="str">
        <f>IF(AE185-SUM(AD12:AD13)&lt;0,"too small",IF(AE185-SUM(AD12:AD13)&gt;0.001,"Too big","ok"))</f>
        <v>too small</v>
      </c>
      <c r="AF184" s="619" t="str">
        <f t="shared" ref="AF184:AT184" si="179">IF(AF185-SUM(N12:N13)&lt;0,"too small",IF(AF185-SUM(N12:N13)&gt;0.0005,"Too big","ok"))</f>
        <v>too small</v>
      </c>
      <c r="AG184" s="619" t="str">
        <f t="shared" si="179"/>
        <v>ok</v>
      </c>
      <c r="AH184" s="619" t="str">
        <f t="shared" si="179"/>
        <v>ok</v>
      </c>
      <c r="AI184" s="619" t="str">
        <f t="shared" si="179"/>
        <v>ok</v>
      </c>
      <c r="AJ184" s="619" t="str">
        <f t="shared" si="179"/>
        <v>ok</v>
      </c>
      <c r="AK184" s="619" t="str">
        <f t="shared" si="179"/>
        <v>ok</v>
      </c>
      <c r="AL184" s="619" t="str">
        <f t="shared" si="179"/>
        <v>ok</v>
      </c>
      <c r="AM184" s="619" t="str">
        <f t="shared" si="179"/>
        <v>ok</v>
      </c>
      <c r="AN184" s="619" t="str">
        <f t="shared" si="179"/>
        <v>ok</v>
      </c>
      <c r="AO184" s="619" t="str">
        <f t="shared" si="179"/>
        <v>ok</v>
      </c>
      <c r="AP184" s="619" t="str">
        <f t="shared" si="179"/>
        <v>ok</v>
      </c>
      <c r="AQ184" s="619" t="str">
        <f t="shared" si="179"/>
        <v>ok</v>
      </c>
      <c r="AR184" s="619" t="str">
        <f t="shared" si="179"/>
        <v>ok</v>
      </c>
      <c r="AS184" s="619" t="str">
        <f t="shared" si="179"/>
        <v>ok</v>
      </c>
      <c r="AT184" s="619" t="str">
        <f t="shared" si="179"/>
        <v>ok</v>
      </c>
      <c r="AV184" s="398" t="s">
        <v>103</v>
      </c>
      <c r="AW184" s="710">
        <f>SUM(AX184:BL184)</f>
        <v>2056.1536916913965</v>
      </c>
      <c r="AX184" s="709">
        <f>SUM(AX185:AX326)</f>
        <v>2056.1536916913965</v>
      </c>
      <c r="AY184" s="709">
        <f t="shared" ref="AY184" si="180">SUM(AY185:AY326)</f>
        <v>0</v>
      </c>
      <c r="AZ184" s="709">
        <f t="shared" ref="AZ184" si="181">SUM(AZ185:AZ326)</f>
        <v>0</v>
      </c>
      <c r="BA184" s="709">
        <f t="shared" ref="BA184" si="182">SUM(BA185:BA326)</f>
        <v>0</v>
      </c>
      <c r="BB184" s="709">
        <f t="shared" ref="BB184" si="183">SUM(BB185:BB326)</f>
        <v>0</v>
      </c>
      <c r="BC184" s="709">
        <f t="shared" ref="BC184" si="184">SUM(BC185:BC326)</f>
        <v>0</v>
      </c>
      <c r="BD184" s="709">
        <f t="shared" ref="BD184" si="185">SUM(BD185:BD326)</f>
        <v>0</v>
      </c>
      <c r="BE184" s="709">
        <f t="shared" ref="BE184" si="186">SUM(BE185:BE326)</f>
        <v>0</v>
      </c>
      <c r="BF184" s="709">
        <f t="shared" ref="BF184" si="187">SUM(BF185:BF326)</f>
        <v>0</v>
      </c>
      <c r="BG184" s="709">
        <f t="shared" ref="BG184" si="188">SUM(BG185:BG326)</f>
        <v>0</v>
      </c>
      <c r="BH184" s="709">
        <f t="shared" ref="BH184" si="189">SUM(BH185:BH326)</f>
        <v>0</v>
      </c>
      <c r="BI184" s="709">
        <f t="shared" ref="BI184" si="190">SUM(BI185:BI326)</f>
        <v>0</v>
      </c>
      <c r="BJ184" s="709">
        <f t="shared" ref="BJ184" si="191">SUM(BJ185:BJ326)</f>
        <v>0</v>
      </c>
      <c r="BK184" s="709">
        <f t="shared" ref="BK184" si="192">SUM(BK185:BK326)</f>
        <v>0</v>
      </c>
      <c r="BL184" s="709">
        <f t="shared" ref="BL184" si="193">SUM(BL185:BL326)</f>
        <v>0</v>
      </c>
    </row>
    <row r="185" spans="1:64" s="83" customFormat="1" x14ac:dyDescent="0.25">
      <c r="A185" s="82"/>
      <c r="B185" s="178" t="str">
        <f>C185</f>
        <v>TBISBDL100</v>
      </c>
      <c r="C185" s="178" t="s">
        <v>336</v>
      </c>
      <c r="D185" s="179" t="s">
        <v>752</v>
      </c>
      <c r="E185" s="407" t="s">
        <v>988</v>
      </c>
      <c r="F185" s="182"/>
      <c r="G185" s="181"/>
      <c r="H185" s="182"/>
      <c r="I185" s="183"/>
      <c r="J185" s="184"/>
      <c r="K185" s="184"/>
      <c r="L185" s="203" t="s">
        <v>1107</v>
      </c>
      <c r="M185" s="184" t="s">
        <v>1156</v>
      </c>
      <c r="N185" s="692">
        <f>N$47</f>
        <v>1E-3</v>
      </c>
      <c r="O185" s="692">
        <f t="shared" ref="O185:AB185" si="194">$N185</f>
        <v>1E-3</v>
      </c>
      <c r="P185" s="692">
        <f t="shared" si="194"/>
        <v>1E-3</v>
      </c>
      <c r="Q185" s="692">
        <f t="shared" si="194"/>
        <v>1E-3</v>
      </c>
      <c r="R185" s="692">
        <f t="shared" si="194"/>
        <v>1E-3</v>
      </c>
      <c r="S185" s="692">
        <f t="shared" si="194"/>
        <v>1E-3</v>
      </c>
      <c r="T185" s="692">
        <f t="shared" si="194"/>
        <v>1E-3</v>
      </c>
      <c r="U185" s="692">
        <f t="shared" si="194"/>
        <v>1E-3</v>
      </c>
      <c r="V185" s="692">
        <f t="shared" si="194"/>
        <v>1E-3</v>
      </c>
      <c r="W185" s="692">
        <f t="shared" si="194"/>
        <v>1E-3</v>
      </c>
      <c r="X185" s="692">
        <f t="shared" si="194"/>
        <v>1E-3</v>
      </c>
      <c r="Y185" s="692">
        <f t="shared" si="194"/>
        <v>1E-3</v>
      </c>
      <c r="Z185" s="692">
        <f t="shared" si="194"/>
        <v>1E-3</v>
      </c>
      <c r="AA185" s="692">
        <f t="shared" si="194"/>
        <v>1E-3</v>
      </c>
      <c r="AB185" s="692">
        <f t="shared" si="194"/>
        <v>1E-3</v>
      </c>
      <c r="AD185" s="86" t="str">
        <f>MID(D185,15,3)</f>
        <v>BDL</v>
      </c>
      <c r="AE185" s="572">
        <f>SUM(AF185:AT185)</f>
        <v>1920.0009689757119</v>
      </c>
      <c r="AF185" s="586">
        <f t="shared" ref="AF185:AT185" si="195">SUM(AF188:AF326)</f>
        <v>1920.0009689757119</v>
      </c>
      <c r="AG185" s="586">
        <f t="shared" si="195"/>
        <v>0</v>
      </c>
      <c r="AH185" s="586">
        <f t="shared" si="195"/>
        <v>0</v>
      </c>
      <c r="AI185" s="586">
        <f t="shared" si="195"/>
        <v>0</v>
      </c>
      <c r="AJ185" s="586">
        <f t="shared" si="195"/>
        <v>0</v>
      </c>
      <c r="AK185" s="586">
        <f t="shared" si="195"/>
        <v>0</v>
      </c>
      <c r="AL185" s="586">
        <f t="shared" si="195"/>
        <v>0</v>
      </c>
      <c r="AM185" s="586">
        <f t="shared" si="195"/>
        <v>0</v>
      </c>
      <c r="AN185" s="586">
        <f t="shared" si="195"/>
        <v>0</v>
      </c>
      <c r="AO185" s="586">
        <f t="shared" si="195"/>
        <v>0</v>
      </c>
      <c r="AP185" s="586">
        <f t="shared" si="195"/>
        <v>0</v>
      </c>
      <c r="AQ185" s="586">
        <f t="shared" si="195"/>
        <v>0</v>
      </c>
      <c r="AR185" s="586">
        <f t="shared" si="195"/>
        <v>0</v>
      </c>
      <c r="AS185" s="586">
        <f t="shared" si="195"/>
        <v>0</v>
      </c>
      <c r="AT185" s="586">
        <f t="shared" si="195"/>
        <v>0</v>
      </c>
      <c r="AV185" s="700" t="str">
        <f>MID(E185,1,7)</f>
        <v>TRABDL</v>
      </c>
      <c r="AW185" s="568">
        <f>SUM(AX185:BL185)</f>
        <v>0</v>
      </c>
      <c r="AX185" s="568">
        <f>N189*N190/N186/1000</f>
        <v>0</v>
      </c>
      <c r="AY185" s="568">
        <f t="shared" ref="AY185:BL185" si="196">O189*O190/O186/1000</f>
        <v>0</v>
      </c>
      <c r="AZ185" s="568">
        <f t="shared" si="196"/>
        <v>0</v>
      </c>
      <c r="BA185" s="568">
        <f t="shared" si="196"/>
        <v>0</v>
      </c>
      <c r="BB185" s="568">
        <f t="shared" si="196"/>
        <v>0</v>
      </c>
      <c r="BC185" s="568">
        <f t="shared" si="196"/>
        <v>0</v>
      </c>
      <c r="BD185" s="568">
        <f t="shared" si="196"/>
        <v>0</v>
      </c>
      <c r="BE185" s="568">
        <f t="shared" si="196"/>
        <v>0</v>
      </c>
      <c r="BF185" s="568">
        <f t="shared" si="196"/>
        <v>0</v>
      </c>
      <c r="BG185" s="568">
        <f t="shared" si="196"/>
        <v>0</v>
      </c>
      <c r="BH185" s="568">
        <f t="shared" si="196"/>
        <v>0</v>
      </c>
      <c r="BI185" s="568">
        <f t="shared" si="196"/>
        <v>0</v>
      </c>
      <c r="BJ185" s="568">
        <f t="shared" si="196"/>
        <v>0</v>
      </c>
      <c r="BK185" s="568">
        <f t="shared" si="196"/>
        <v>0</v>
      </c>
      <c r="BL185" s="568">
        <f t="shared" si="196"/>
        <v>0</v>
      </c>
    </row>
    <row r="186" spans="1:64" s="83" customFormat="1" x14ac:dyDescent="0.25">
      <c r="B186" s="178" t="str">
        <f>B185</f>
        <v>TBISBDL100</v>
      </c>
      <c r="C186" s="178"/>
      <c r="D186" s="179"/>
      <c r="E186" s="178"/>
      <c r="F186" s="182"/>
      <c r="G186" s="180" t="s">
        <v>414</v>
      </c>
      <c r="H186" s="182"/>
      <c r="I186" s="183"/>
      <c r="J186" s="184"/>
      <c r="K186" s="184"/>
      <c r="L186" s="184" t="s">
        <v>1126</v>
      </c>
      <c r="M186" s="178" t="s">
        <v>678</v>
      </c>
      <c r="N186" s="690">
        <f>T_CEFF!H130</f>
        <v>8.3330000000000001E-2</v>
      </c>
      <c r="O186" s="690">
        <f>T_CEFF!I130</f>
        <v>8.3330000000000001E-2</v>
      </c>
      <c r="P186" s="690">
        <f>T_CEFF!J130</f>
        <v>8.3330000000000001E-2</v>
      </c>
      <c r="Q186" s="690">
        <f>T_CEFF!K130</f>
        <v>8.3330000000000001E-2</v>
      </c>
      <c r="R186" s="690">
        <f>T_CEFF!L130</f>
        <v>8.3330000000000001E-2</v>
      </c>
      <c r="S186" s="690">
        <f>T_CEFF!M130</f>
        <v>8.3330000000000001E-2</v>
      </c>
      <c r="T186" s="690">
        <f>T_CEFF!N130</f>
        <v>8.3330000000000001E-2</v>
      </c>
      <c r="U186" s="690">
        <f>T_CEFF!O130</f>
        <v>8.3330000000000001E-2</v>
      </c>
      <c r="V186" s="690">
        <f>T_CEFF!P130</f>
        <v>8.3330000000000001E-2</v>
      </c>
      <c r="W186" s="690">
        <f>T_CEFF!Q130</f>
        <v>8.3330000000000001E-2</v>
      </c>
      <c r="X186" s="690">
        <f>T_CEFF!R130</f>
        <v>8.3330000000000001E-2</v>
      </c>
      <c r="Y186" s="690">
        <f>T_CEFF!S130</f>
        <v>8.3330000000000001E-2</v>
      </c>
      <c r="Z186" s="690">
        <f>T_CEFF!T130</f>
        <v>8.3330000000000001E-2</v>
      </c>
      <c r="AA186" s="690">
        <f>T_CEFF!U130</f>
        <v>8.3330000000000001E-2</v>
      </c>
      <c r="AB186" s="690">
        <f>T_CEFF!V130</f>
        <v>8.3330000000000001E-2</v>
      </c>
      <c r="AD186" s="408" t="str">
        <f>IF(COUNTIF($AG$4:$AP$4,AD185)=1,"ok","MISSING")</f>
        <v>ok</v>
      </c>
      <c r="AE186" s="357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V186" s="700" t="str">
        <f>MID(E186,1,7)</f>
        <v/>
      </c>
      <c r="AW186" s="568"/>
      <c r="AX186" s="568"/>
      <c r="AY186" s="568"/>
      <c r="AZ186" s="568"/>
      <c r="BA186" s="568"/>
      <c r="BB186" s="568"/>
      <c r="BC186" s="568"/>
      <c r="BD186" s="568"/>
      <c r="BE186" s="568"/>
      <c r="BF186" s="568"/>
      <c r="BG186" s="568"/>
      <c r="BH186" s="568"/>
      <c r="BI186" s="568"/>
      <c r="BJ186" s="568"/>
      <c r="BK186" s="568"/>
      <c r="BL186" s="568"/>
    </row>
    <row r="187" spans="1:64" s="83" customFormat="1" x14ac:dyDescent="0.25">
      <c r="B187" s="178" t="str">
        <f t="shared" ref="B187:B196" si="197">B186</f>
        <v>TBISBDL100</v>
      </c>
      <c r="C187" s="178"/>
      <c r="D187" s="179"/>
      <c r="E187" s="178"/>
      <c r="F187" s="182"/>
      <c r="G187" s="180" t="s">
        <v>590</v>
      </c>
      <c r="H187" s="182"/>
      <c r="I187" s="183"/>
      <c r="J187" s="184"/>
      <c r="K187" s="184"/>
      <c r="L187" s="184" t="s">
        <v>1126</v>
      </c>
      <c r="M187" s="178" t="s">
        <v>678</v>
      </c>
      <c r="N187" s="690">
        <f>T_CEFF!H131</f>
        <v>8.3330000000000001E-2</v>
      </c>
      <c r="O187" s="690">
        <f>T_CEFF!I131</f>
        <v>8.3330000000000001E-2</v>
      </c>
      <c r="P187" s="690">
        <f>T_CEFF!J131</f>
        <v>8.3330000000000001E-2</v>
      </c>
      <c r="Q187" s="690">
        <f>T_CEFF!K131</f>
        <v>8.3330000000000001E-2</v>
      </c>
      <c r="R187" s="690">
        <f>T_CEFF!L131</f>
        <v>8.3330000000000001E-2</v>
      </c>
      <c r="S187" s="690">
        <f>T_CEFF!M131</f>
        <v>8.3330000000000001E-2</v>
      </c>
      <c r="T187" s="690">
        <f>T_CEFF!N131</f>
        <v>8.3330000000000001E-2</v>
      </c>
      <c r="U187" s="690">
        <f>T_CEFF!O131</f>
        <v>8.3330000000000001E-2</v>
      </c>
      <c r="V187" s="690">
        <f>T_CEFF!P131</f>
        <v>8.3330000000000001E-2</v>
      </c>
      <c r="W187" s="690">
        <f>T_CEFF!Q131</f>
        <v>8.3330000000000001E-2</v>
      </c>
      <c r="X187" s="690">
        <f>T_CEFF!R131</f>
        <v>8.3330000000000001E-2</v>
      </c>
      <c r="Y187" s="690">
        <f>T_CEFF!S131</f>
        <v>8.3330000000000001E-2</v>
      </c>
      <c r="Z187" s="690">
        <f>T_CEFF!T131</f>
        <v>8.3330000000000001E-2</v>
      </c>
      <c r="AA187" s="690">
        <f>T_CEFF!U131</f>
        <v>8.3330000000000001E-2</v>
      </c>
      <c r="AB187" s="690">
        <f>T_CEFF!V131</f>
        <v>8.3330000000000001E-2</v>
      </c>
      <c r="AE187" s="357"/>
    </row>
    <row r="188" spans="1:64" s="83" customFormat="1" x14ac:dyDescent="0.25">
      <c r="B188" s="178" t="str">
        <f>B187</f>
        <v>TBISBDL100</v>
      </c>
      <c r="C188" s="178"/>
      <c r="D188" s="179"/>
      <c r="E188" s="178"/>
      <c r="F188" s="182"/>
      <c r="G188" s="181"/>
      <c r="H188" s="182"/>
      <c r="I188" s="183"/>
      <c r="J188" s="184"/>
      <c r="K188" s="184" t="s">
        <v>749</v>
      </c>
      <c r="L188" s="184" t="s">
        <v>1128</v>
      </c>
      <c r="M188" s="178" t="s">
        <v>1119</v>
      </c>
      <c r="N188" s="691">
        <f>N$17</f>
        <v>12</v>
      </c>
      <c r="O188" s="691">
        <f t="shared" ref="O188:AB188" si="198">O$17</f>
        <v>0</v>
      </c>
      <c r="P188" s="691">
        <f t="shared" si="198"/>
        <v>0</v>
      </c>
      <c r="Q188" s="691">
        <f t="shared" si="198"/>
        <v>0</v>
      </c>
      <c r="R188" s="691">
        <f t="shared" si="198"/>
        <v>0</v>
      </c>
      <c r="S188" s="691">
        <f t="shared" si="198"/>
        <v>0</v>
      </c>
      <c r="T188" s="691">
        <f t="shared" si="198"/>
        <v>0</v>
      </c>
      <c r="U188" s="691">
        <f t="shared" si="198"/>
        <v>0</v>
      </c>
      <c r="V188" s="691">
        <f t="shared" si="198"/>
        <v>0</v>
      </c>
      <c r="W188" s="691">
        <f t="shared" si="198"/>
        <v>0</v>
      </c>
      <c r="X188" s="691">
        <f t="shared" si="198"/>
        <v>0</v>
      </c>
      <c r="Y188" s="691">
        <f t="shared" si="198"/>
        <v>0</v>
      </c>
      <c r="Z188" s="691">
        <f t="shared" si="198"/>
        <v>0</v>
      </c>
      <c r="AA188" s="691">
        <f t="shared" si="198"/>
        <v>0</v>
      </c>
      <c r="AB188" s="691">
        <f t="shared" si="198"/>
        <v>0</v>
      </c>
      <c r="AE188" s="357"/>
    </row>
    <row r="189" spans="1:64" s="83" customFormat="1" x14ac:dyDescent="0.25">
      <c r="B189" s="178" t="str">
        <f t="shared" si="197"/>
        <v>TBISBDL100</v>
      </c>
      <c r="C189" s="178"/>
      <c r="D189" s="179"/>
      <c r="E189" s="178"/>
      <c r="F189" s="182"/>
      <c r="G189" s="181"/>
      <c r="H189" s="182"/>
      <c r="I189" s="183"/>
      <c r="J189" s="184"/>
      <c r="K189" s="184"/>
      <c r="L189" s="203" t="s">
        <v>1130</v>
      </c>
      <c r="M189" s="178" t="s">
        <v>1131</v>
      </c>
      <c r="N189" s="389">
        <f>LOOKUP($C$185, T_NCAP_AF!$C$110:$C$120, T_NCAP_AF!D$110:D$120)*(1+N179)</f>
        <v>0</v>
      </c>
      <c r="O189" s="389">
        <f>LOOKUP($C$185, T_NCAP_AF!$C$110:$C$120, T_NCAP_AF!E$110:E$120)*(1+O179)</f>
        <v>0</v>
      </c>
      <c r="P189" s="389">
        <f>LOOKUP($C$185, T_NCAP_AF!$C$110:$C$120, T_NCAP_AF!F$110:F$120)*(1+P179)</f>
        <v>0</v>
      </c>
      <c r="Q189" s="389">
        <f>LOOKUP($C$185, T_NCAP_AF!$C$110:$C$120, T_NCAP_AF!G$110:G$120)*(1+Q179)</f>
        <v>0</v>
      </c>
      <c r="R189" s="389">
        <f>LOOKUP($C$185, T_NCAP_AF!$C$110:$C$120, T_NCAP_AF!H$110:H$120)*(1+R179)</f>
        <v>0</v>
      </c>
      <c r="S189" s="389">
        <f>LOOKUP($C$185, T_NCAP_AF!$C$110:$C$120, T_NCAP_AF!I$110:I$120)*(1+S179)</f>
        <v>0</v>
      </c>
      <c r="T189" s="389">
        <f>LOOKUP($C$185, T_NCAP_AF!$C$110:$C$120, T_NCAP_AF!J$110:J$120)*(1+T179)</f>
        <v>0</v>
      </c>
      <c r="U189" s="389">
        <f>LOOKUP($C$185, T_NCAP_AF!$C$110:$C$120, T_NCAP_AF!K$110:K$120)*(1+U179)</f>
        <v>0</v>
      </c>
      <c r="V189" s="389">
        <f>LOOKUP($C$185, T_NCAP_AF!$C$110:$C$120, T_NCAP_AF!L$110:L$120)*(1+V179)</f>
        <v>0</v>
      </c>
      <c r="W189" s="389">
        <f>LOOKUP($C$185, T_NCAP_AF!$C$110:$C$120, T_NCAP_AF!M$110:M$120)*(1+W179)</f>
        <v>0</v>
      </c>
      <c r="X189" s="389">
        <f>LOOKUP($C$185, T_NCAP_AF!$C$110:$C$120, T_NCAP_AF!N$110:N$120)*(1+X179)</f>
        <v>0</v>
      </c>
      <c r="Y189" s="389">
        <f>LOOKUP($C$185, T_NCAP_AF!$C$110:$C$120, T_NCAP_AF!O$110:O$120)*(1+Y179)</f>
        <v>0</v>
      </c>
      <c r="Z189" s="389">
        <f>LOOKUP($C$185, T_NCAP_AF!$C$110:$C$120, T_NCAP_AF!P$110:P$120)*(1+Z179)</f>
        <v>0</v>
      </c>
      <c r="AA189" s="389">
        <f>LOOKUP($C$185, T_NCAP_AF!$C$110:$C$120, T_NCAP_AF!Q$110:Q$120)*(1+AA179)</f>
        <v>0</v>
      </c>
      <c r="AB189" s="389">
        <f>LOOKUP($C$185, T_NCAP_AF!$C$110:$C$120, T_NCAP_AF!R$110:R$120)*(1+AB179)</f>
        <v>0</v>
      </c>
      <c r="AE189" s="572">
        <f>SUM(AF189:AT189)</f>
        <v>0</v>
      </c>
      <c r="AF189" s="85">
        <f t="shared" ref="AF189:AT189" si="199">N188*N189*N190/1000</f>
        <v>0</v>
      </c>
      <c r="AG189" s="85">
        <f t="shared" si="199"/>
        <v>0</v>
      </c>
      <c r="AH189" s="85">
        <f t="shared" si="199"/>
        <v>0</v>
      </c>
      <c r="AI189" s="85">
        <f t="shared" si="199"/>
        <v>0</v>
      </c>
      <c r="AJ189" s="85">
        <f t="shared" si="199"/>
        <v>0</v>
      </c>
      <c r="AK189" s="85">
        <f t="shared" si="199"/>
        <v>0</v>
      </c>
      <c r="AL189" s="85">
        <f t="shared" si="199"/>
        <v>0</v>
      </c>
      <c r="AM189" s="85">
        <f t="shared" si="199"/>
        <v>0</v>
      </c>
      <c r="AN189" s="85">
        <f t="shared" si="199"/>
        <v>0</v>
      </c>
      <c r="AO189" s="85">
        <f t="shared" si="199"/>
        <v>0</v>
      </c>
      <c r="AP189" s="85">
        <f t="shared" si="199"/>
        <v>0</v>
      </c>
      <c r="AQ189" s="85">
        <f t="shared" si="199"/>
        <v>0</v>
      </c>
      <c r="AR189" s="85">
        <f t="shared" si="199"/>
        <v>0</v>
      </c>
      <c r="AS189" s="85">
        <f t="shared" si="199"/>
        <v>0</v>
      </c>
      <c r="AT189" s="85">
        <f t="shared" si="199"/>
        <v>0</v>
      </c>
    </row>
    <row r="190" spans="1:64" s="83" customFormat="1" x14ac:dyDescent="0.25">
      <c r="B190" s="178" t="str">
        <f>B189</f>
        <v>TBISBDL100</v>
      </c>
      <c r="C190" s="178"/>
      <c r="D190" s="179"/>
      <c r="E190" s="178"/>
      <c r="F190" s="182"/>
      <c r="G190" s="181"/>
      <c r="H190" s="182"/>
      <c r="I190" s="183">
        <f>$M$3</f>
        <v>2019</v>
      </c>
      <c r="J190" s="184"/>
      <c r="K190" s="184"/>
      <c r="L190" s="203" t="s">
        <v>1065</v>
      </c>
      <c r="M190" s="178" t="s">
        <v>748</v>
      </c>
      <c r="N190" s="687">
        <f>LOOKUP($C$185, T_Stock_Private!$C$74:$C$84, T_Stock_Private!D$74:D$84)*(1+N180)</f>
        <v>0</v>
      </c>
      <c r="O190" s="687">
        <f>LOOKUP($C$185, T_Stock_Private!$C$74:$C$84, T_Stock_Private!E$74:E$84)*(1+O180)</f>
        <v>0</v>
      </c>
      <c r="P190" s="687">
        <f>LOOKUP($C$185, T_Stock_Private!$C$74:$C$84, T_Stock_Private!F$74:F$84)*(1+P180)</f>
        <v>0</v>
      </c>
      <c r="Q190" s="687">
        <f>LOOKUP($C$185, T_Stock_Private!$C$74:$C$84, T_Stock_Private!G$74:G$84)*(1+Q180)</f>
        <v>0</v>
      </c>
      <c r="R190" s="687">
        <f>LOOKUP($C$185, T_Stock_Private!$C$74:$C$84, T_Stock_Private!H$74:H$84)*(1+R180)</f>
        <v>0</v>
      </c>
      <c r="S190" s="687">
        <f>LOOKUP($C$185, T_Stock_Private!$C$74:$C$84, T_Stock_Private!I$74:I$84)*(1+S180)</f>
        <v>0</v>
      </c>
      <c r="T190" s="687">
        <f>LOOKUP($C$185, T_Stock_Private!$C$74:$C$84, T_Stock_Private!J$74:J$84)*(1+T180)</f>
        <v>0</v>
      </c>
      <c r="U190" s="687">
        <f>LOOKUP($C$185, T_Stock_Private!$C$74:$C$84, T_Stock_Private!K$74:K$84)*(1+U180)</f>
        <v>0</v>
      </c>
      <c r="V190" s="687">
        <f>LOOKUP($C$185, T_Stock_Private!$C$74:$C$84, T_Stock_Private!L$74:L$84)*(1+V180)</f>
        <v>0</v>
      </c>
      <c r="W190" s="687">
        <f>LOOKUP($C$185, T_Stock_Private!$C$74:$C$84, T_Stock_Private!M$74:M$84)*(1+W180)</f>
        <v>0</v>
      </c>
      <c r="X190" s="687">
        <f>LOOKUP($C$185, T_Stock_Private!$C$74:$C$84, T_Stock_Private!N$74:N$84)*(1+X180)</f>
        <v>0</v>
      </c>
      <c r="Y190" s="687">
        <f>LOOKUP($C$185, T_Stock_Private!$C$74:$C$84, T_Stock_Private!O$74:O$84)*(1+Y180)</f>
        <v>0</v>
      </c>
      <c r="Z190" s="687">
        <f>LOOKUP($C$185, T_Stock_Private!$C$74:$C$84, T_Stock_Private!P$74:P$84)*(1+Z180)</f>
        <v>0</v>
      </c>
      <c r="AA190" s="687">
        <f>LOOKUP($C$185, T_Stock_Private!$C$74:$C$84, T_Stock_Private!Q$74:Q$84)*(1+AA180)</f>
        <v>0</v>
      </c>
      <c r="AB190" s="687">
        <f>LOOKUP($C$185, T_Stock_Private!$C$74:$C$84, T_Stock_Private!R$74:R$84)*(1+AB180)</f>
        <v>0</v>
      </c>
      <c r="AC190" s="89"/>
      <c r="AD190" s="364"/>
      <c r="AE190" s="357"/>
      <c r="AG190" s="89"/>
      <c r="AH190" s="89"/>
      <c r="AI190" s="89"/>
      <c r="AJ190" s="89"/>
      <c r="AK190" s="89"/>
      <c r="AL190" s="89"/>
      <c r="AM190" s="89"/>
      <c r="AN190" s="89"/>
      <c r="AO190" s="89"/>
      <c r="AP190" s="89"/>
      <c r="AQ190" s="89"/>
      <c r="AR190" s="89"/>
      <c r="AS190" s="89"/>
      <c r="AT190" s="89"/>
    </row>
    <row r="191" spans="1:64" s="83" customFormat="1" x14ac:dyDescent="0.25">
      <c r="B191" s="178" t="str">
        <f t="shared" si="197"/>
        <v>TBISBDL100</v>
      </c>
      <c r="C191" s="178"/>
      <c r="D191" s="179"/>
      <c r="E191" s="178"/>
      <c r="F191" s="182"/>
      <c r="G191" s="181"/>
      <c r="H191" s="182"/>
      <c r="I191" s="183">
        <f>AF$5</f>
        <v>2020</v>
      </c>
      <c r="J191" s="184"/>
      <c r="K191" s="184"/>
      <c r="L191" s="203" t="s">
        <v>1065</v>
      </c>
      <c r="M191" s="178" t="s">
        <v>748</v>
      </c>
      <c r="N191" s="687">
        <f t="shared" ref="N191:AB191" si="200">N190*LOOKUP($AD185,$AG$4:$AP$4,$AG$5:$AP$5)</f>
        <v>0</v>
      </c>
      <c r="O191" s="687">
        <f t="shared" si="200"/>
        <v>0</v>
      </c>
      <c r="P191" s="687">
        <f t="shared" si="200"/>
        <v>0</v>
      </c>
      <c r="Q191" s="687">
        <f t="shared" si="200"/>
        <v>0</v>
      </c>
      <c r="R191" s="687">
        <f t="shared" si="200"/>
        <v>0</v>
      </c>
      <c r="S191" s="687">
        <f t="shared" si="200"/>
        <v>0</v>
      </c>
      <c r="T191" s="687">
        <f t="shared" si="200"/>
        <v>0</v>
      </c>
      <c r="U191" s="687">
        <f t="shared" si="200"/>
        <v>0</v>
      </c>
      <c r="V191" s="687">
        <f t="shared" si="200"/>
        <v>0</v>
      </c>
      <c r="W191" s="687">
        <f t="shared" si="200"/>
        <v>0</v>
      </c>
      <c r="X191" s="687">
        <f t="shared" si="200"/>
        <v>0</v>
      </c>
      <c r="Y191" s="687">
        <f t="shared" si="200"/>
        <v>0</v>
      </c>
      <c r="Z191" s="687">
        <f t="shared" si="200"/>
        <v>0</v>
      </c>
      <c r="AA191" s="687">
        <f t="shared" si="200"/>
        <v>0</v>
      </c>
      <c r="AB191" s="687">
        <f t="shared" si="200"/>
        <v>0</v>
      </c>
      <c r="AE191" s="357"/>
      <c r="AG191" s="89"/>
      <c r="AH191" s="89"/>
      <c r="AI191" s="89"/>
      <c r="AJ191" s="89"/>
      <c r="AK191" s="89"/>
      <c r="AL191" s="89"/>
      <c r="AM191" s="89"/>
      <c r="AN191" s="89"/>
      <c r="AO191" s="89"/>
      <c r="AP191" s="89"/>
      <c r="AQ191" s="89"/>
      <c r="AR191" s="89"/>
      <c r="AS191" s="89"/>
      <c r="AT191" s="89"/>
    </row>
    <row r="192" spans="1:64" s="83" customFormat="1" x14ac:dyDescent="0.25">
      <c r="B192" s="178" t="str">
        <f t="shared" si="197"/>
        <v>TBISBDL100</v>
      </c>
      <c r="C192" s="178"/>
      <c r="D192" s="179"/>
      <c r="E192" s="178"/>
      <c r="F192" s="182"/>
      <c r="G192" s="181"/>
      <c r="H192" s="182"/>
      <c r="I192" s="183">
        <f>AF$6</f>
        <v>2025</v>
      </c>
      <c r="J192" s="184"/>
      <c r="K192" s="184"/>
      <c r="L192" s="203" t="s">
        <v>1065</v>
      </c>
      <c r="M192" s="178" t="s">
        <v>748</v>
      </c>
      <c r="N192" s="687">
        <f t="shared" ref="N192:AB192" si="201">N190*LOOKUP($AD185,$AG$4:$AP$4,$AG$6:$AP$6)</f>
        <v>0</v>
      </c>
      <c r="O192" s="687">
        <f t="shared" si="201"/>
        <v>0</v>
      </c>
      <c r="P192" s="687">
        <f t="shared" si="201"/>
        <v>0</v>
      </c>
      <c r="Q192" s="687">
        <f t="shared" si="201"/>
        <v>0</v>
      </c>
      <c r="R192" s="687">
        <f t="shared" si="201"/>
        <v>0</v>
      </c>
      <c r="S192" s="687">
        <f t="shared" si="201"/>
        <v>0</v>
      </c>
      <c r="T192" s="687">
        <f t="shared" si="201"/>
        <v>0</v>
      </c>
      <c r="U192" s="687">
        <f t="shared" si="201"/>
        <v>0</v>
      </c>
      <c r="V192" s="687">
        <f t="shared" si="201"/>
        <v>0</v>
      </c>
      <c r="W192" s="687">
        <f t="shared" si="201"/>
        <v>0</v>
      </c>
      <c r="X192" s="687">
        <f t="shared" si="201"/>
        <v>0</v>
      </c>
      <c r="Y192" s="687">
        <f t="shared" si="201"/>
        <v>0</v>
      </c>
      <c r="Z192" s="687">
        <f t="shared" si="201"/>
        <v>0</v>
      </c>
      <c r="AA192" s="687">
        <f t="shared" si="201"/>
        <v>0</v>
      </c>
      <c r="AB192" s="687">
        <f t="shared" si="201"/>
        <v>0</v>
      </c>
      <c r="AE192" s="357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  <c r="AT192" s="89"/>
    </row>
    <row r="193" spans="1:64" s="83" customFormat="1" x14ac:dyDescent="0.25">
      <c r="B193" s="178" t="str">
        <f t="shared" si="197"/>
        <v>TBISBDL100</v>
      </c>
      <c r="C193" s="178"/>
      <c r="D193" s="179"/>
      <c r="E193" s="178"/>
      <c r="F193" s="182"/>
      <c r="G193" s="181"/>
      <c r="H193" s="182"/>
      <c r="I193" s="183">
        <f>AF$7</f>
        <v>2030</v>
      </c>
      <c r="J193" s="184"/>
      <c r="K193" s="184"/>
      <c r="L193" s="203" t="s">
        <v>1065</v>
      </c>
      <c r="M193" s="178" t="s">
        <v>748</v>
      </c>
      <c r="N193" s="687">
        <f t="shared" ref="N193:AB193" si="202">N190*LOOKUP($AD185,$AG$4:$AP$4,$AG$7:$AP$7)</f>
        <v>0</v>
      </c>
      <c r="O193" s="687">
        <f t="shared" si="202"/>
        <v>0</v>
      </c>
      <c r="P193" s="687">
        <f t="shared" si="202"/>
        <v>0</v>
      </c>
      <c r="Q193" s="687">
        <f t="shared" si="202"/>
        <v>0</v>
      </c>
      <c r="R193" s="687">
        <f t="shared" si="202"/>
        <v>0</v>
      </c>
      <c r="S193" s="687">
        <f t="shared" si="202"/>
        <v>0</v>
      </c>
      <c r="T193" s="687">
        <f t="shared" si="202"/>
        <v>0</v>
      </c>
      <c r="U193" s="687">
        <f t="shared" si="202"/>
        <v>0</v>
      </c>
      <c r="V193" s="687">
        <f t="shared" si="202"/>
        <v>0</v>
      </c>
      <c r="W193" s="687">
        <f t="shared" si="202"/>
        <v>0</v>
      </c>
      <c r="X193" s="687">
        <f t="shared" si="202"/>
        <v>0</v>
      </c>
      <c r="Y193" s="687">
        <f t="shared" si="202"/>
        <v>0</v>
      </c>
      <c r="Z193" s="687">
        <f t="shared" si="202"/>
        <v>0</v>
      </c>
      <c r="AA193" s="687">
        <f t="shared" si="202"/>
        <v>0</v>
      </c>
      <c r="AB193" s="687">
        <f t="shared" si="202"/>
        <v>0</v>
      </c>
      <c r="AE193" s="357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</row>
    <row r="194" spans="1:64" s="83" customFormat="1" x14ac:dyDescent="0.25">
      <c r="B194" s="178" t="str">
        <f t="shared" si="197"/>
        <v>TBISBDL100</v>
      </c>
      <c r="C194" s="178"/>
      <c r="D194" s="179"/>
      <c r="E194" s="178"/>
      <c r="F194" s="182"/>
      <c r="G194" s="181"/>
      <c r="H194" s="182"/>
      <c r="I194" s="183">
        <f>AF$8</f>
        <v>2035</v>
      </c>
      <c r="J194" s="184"/>
      <c r="K194" s="184"/>
      <c r="L194" s="203" t="s">
        <v>1065</v>
      </c>
      <c r="M194" s="178" t="s">
        <v>748</v>
      </c>
      <c r="N194" s="687">
        <f t="shared" ref="N194:AB194" si="203">N190*LOOKUP($AD185,$AG$4:$AP$4,$AG$8:$AP$8)</f>
        <v>0</v>
      </c>
      <c r="O194" s="687">
        <f t="shared" si="203"/>
        <v>0</v>
      </c>
      <c r="P194" s="687">
        <f t="shared" si="203"/>
        <v>0</v>
      </c>
      <c r="Q194" s="687">
        <f t="shared" si="203"/>
        <v>0</v>
      </c>
      <c r="R194" s="687">
        <f t="shared" si="203"/>
        <v>0</v>
      </c>
      <c r="S194" s="687">
        <f t="shared" si="203"/>
        <v>0</v>
      </c>
      <c r="T194" s="687">
        <f t="shared" si="203"/>
        <v>0</v>
      </c>
      <c r="U194" s="687">
        <f t="shared" si="203"/>
        <v>0</v>
      </c>
      <c r="V194" s="687">
        <f t="shared" si="203"/>
        <v>0</v>
      </c>
      <c r="W194" s="687">
        <f t="shared" si="203"/>
        <v>0</v>
      </c>
      <c r="X194" s="687">
        <f t="shared" si="203"/>
        <v>0</v>
      </c>
      <c r="Y194" s="687">
        <f t="shared" si="203"/>
        <v>0</v>
      </c>
      <c r="Z194" s="687">
        <f t="shared" si="203"/>
        <v>0</v>
      </c>
      <c r="AA194" s="687">
        <f t="shared" si="203"/>
        <v>0</v>
      </c>
      <c r="AB194" s="687">
        <f t="shared" si="203"/>
        <v>0</v>
      </c>
      <c r="AE194" s="357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</row>
    <row r="195" spans="1:64" s="83" customFormat="1" x14ac:dyDescent="0.25">
      <c r="B195" s="178" t="str">
        <f t="shared" si="197"/>
        <v>TBISBDL100</v>
      </c>
      <c r="C195" s="178"/>
      <c r="D195" s="179"/>
      <c r="E195" s="178"/>
      <c r="F195" s="182"/>
      <c r="G195" s="181"/>
      <c r="H195" s="182"/>
      <c r="I195" s="183">
        <f>AF$9</f>
        <v>2040</v>
      </c>
      <c r="J195" s="184"/>
      <c r="K195" s="184"/>
      <c r="L195" s="203" t="s">
        <v>1065</v>
      </c>
      <c r="M195" s="178" t="s">
        <v>748</v>
      </c>
      <c r="N195" s="687">
        <f t="shared" ref="N195:AB195" si="204">N190*LOOKUP($AD185,$AG$4:$AP$4,$AG$9:$AP$9)</f>
        <v>0</v>
      </c>
      <c r="O195" s="687">
        <f t="shared" si="204"/>
        <v>0</v>
      </c>
      <c r="P195" s="687">
        <f t="shared" si="204"/>
        <v>0</v>
      </c>
      <c r="Q195" s="687">
        <f t="shared" si="204"/>
        <v>0</v>
      </c>
      <c r="R195" s="687">
        <f t="shared" si="204"/>
        <v>0</v>
      </c>
      <c r="S195" s="687">
        <f t="shared" si="204"/>
        <v>0</v>
      </c>
      <c r="T195" s="687">
        <f t="shared" si="204"/>
        <v>0</v>
      </c>
      <c r="U195" s="687">
        <f t="shared" si="204"/>
        <v>0</v>
      </c>
      <c r="V195" s="687">
        <f t="shared" si="204"/>
        <v>0</v>
      </c>
      <c r="W195" s="687">
        <f t="shared" si="204"/>
        <v>0</v>
      </c>
      <c r="X195" s="687">
        <f t="shared" si="204"/>
        <v>0</v>
      </c>
      <c r="Y195" s="687">
        <f t="shared" si="204"/>
        <v>0</v>
      </c>
      <c r="Z195" s="687">
        <f t="shared" si="204"/>
        <v>0</v>
      </c>
      <c r="AA195" s="687">
        <f t="shared" si="204"/>
        <v>0</v>
      </c>
      <c r="AB195" s="687">
        <f t="shared" si="204"/>
        <v>0</v>
      </c>
      <c r="AE195" s="357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</row>
    <row r="196" spans="1:64" s="83" customFormat="1" x14ac:dyDescent="0.25">
      <c r="B196" s="204" t="str">
        <f t="shared" si="197"/>
        <v>TBISBDL100</v>
      </c>
      <c r="C196" s="204"/>
      <c r="D196" s="205"/>
      <c r="E196" s="204"/>
      <c r="F196" s="206"/>
      <c r="G196" s="207"/>
      <c r="H196" s="206"/>
      <c r="I196" s="208">
        <f>AF$10</f>
        <v>2050</v>
      </c>
      <c r="J196" s="209"/>
      <c r="K196" s="209"/>
      <c r="L196" s="210" t="s">
        <v>1065</v>
      </c>
      <c r="M196" s="204" t="s">
        <v>748</v>
      </c>
      <c r="N196" s="688">
        <f t="shared" ref="N196:AB196" si="205">N190*LOOKUP($AD185,$AG$4:$AP$4,$AG$10:$AP$10)</f>
        <v>0</v>
      </c>
      <c r="O196" s="688">
        <f t="shared" si="205"/>
        <v>0</v>
      </c>
      <c r="P196" s="688">
        <f t="shared" si="205"/>
        <v>0</v>
      </c>
      <c r="Q196" s="688">
        <f t="shared" si="205"/>
        <v>0</v>
      </c>
      <c r="R196" s="688">
        <f t="shared" si="205"/>
        <v>0</v>
      </c>
      <c r="S196" s="688">
        <f t="shared" si="205"/>
        <v>0</v>
      </c>
      <c r="T196" s="688">
        <f t="shared" si="205"/>
        <v>0</v>
      </c>
      <c r="U196" s="688">
        <f t="shared" si="205"/>
        <v>0</v>
      </c>
      <c r="V196" s="688">
        <f t="shared" si="205"/>
        <v>0</v>
      </c>
      <c r="W196" s="688">
        <f t="shared" si="205"/>
        <v>0</v>
      </c>
      <c r="X196" s="688">
        <f t="shared" si="205"/>
        <v>0</v>
      </c>
      <c r="Y196" s="688">
        <f t="shared" si="205"/>
        <v>0</v>
      </c>
      <c r="Z196" s="688">
        <f t="shared" si="205"/>
        <v>0</v>
      </c>
      <c r="AA196" s="688">
        <f t="shared" si="205"/>
        <v>0</v>
      </c>
      <c r="AB196" s="688">
        <f t="shared" si="205"/>
        <v>0</v>
      </c>
      <c r="AD196" s="409"/>
      <c r="AE196" s="357"/>
      <c r="AG196" s="89"/>
      <c r="AH196" s="89"/>
      <c r="AI196" s="89"/>
      <c r="AJ196" s="89"/>
      <c r="AK196" s="89"/>
      <c r="AL196" s="89"/>
      <c r="AM196" s="89"/>
      <c r="AN196" s="89"/>
      <c r="AO196" s="89"/>
      <c r="AP196" s="89"/>
      <c r="AQ196" s="89"/>
      <c r="AR196" s="89"/>
      <c r="AS196" s="89"/>
      <c r="AT196" s="89"/>
    </row>
    <row r="197" spans="1:64" s="83" customFormat="1" x14ac:dyDescent="0.25">
      <c r="A197" s="82"/>
      <c r="B197" s="178" t="str">
        <f>C197</f>
        <v>TBISDST100</v>
      </c>
      <c r="C197" s="178" t="s">
        <v>337</v>
      </c>
      <c r="D197" s="179" t="s">
        <v>753</v>
      </c>
      <c r="E197" s="407" t="s">
        <v>988</v>
      </c>
      <c r="F197" s="182"/>
      <c r="G197" s="181"/>
      <c r="H197" s="182"/>
      <c r="I197" s="183"/>
      <c r="J197" s="184"/>
      <c r="K197" s="184"/>
      <c r="L197" s="203" t="s">
        <v>1107</v>
      </c>
      <c r="M197" s="184" t="s">
        <v>1156</v>
      </c>
      <c r="N197" s="692">
        <v>1E-3</v>
      </c>
      <c r="O197" s="692">
        <f t="shared" ref="O197:AB197" si="206">$N197</f>
        <v>1E-3</v>
      </c>
      <c r="P197" s="692">
        <f t="shared" si="206"/>
        <v>1E-3</v>
      </c>
      <c r="Q197" s="692">
        <f t="shared" si="206"/>
        <v>1E-3</v>
      </c>
      <c r="R197" s="692">
        <f t="shared" si="206"/>
        <v>1E-3</v>
      </c>
      <c r="S197" s="692">
        <f t="shared" si="206"/>
        <v>1E-3</v>
      </c>
      <c r="T197" s="692">
        <f t="shared" si="206"/>
        <v>1E-3</v>
      </c>
      <c r="U197" s="692">
        <f t="shared" si="206"/>
        <v>1E-3</v>
      </c>
      <c r="V197" s="692">
        <f t="shared" si="206"/>
        <v>1E-3</v>
      </c>
      <c r="W197" s="692">
        <f t="shared" si="206"/>
        <v>1E-3</v>
      </c>
      <c r="X197" s="692">
        <f t="shared" si="206"/>
        <v>1E-3</v>
      </c>
      <c r="Y197" s="692">
        <f t="shared" si="206"/>
        <v>1E-3</v>
      </c>
      <c r="Z197" s="692">
        <f t="shared" si="206"/>
        <v>1E-3</v>
      </c>
      <c r="AA197" s="692">
        <f t="shared" si="206"/>
        <v>1E-3</v>
      </c>
      <c r="AB197" s="692">
        <f t="shared" si="206"/>
        <v>1E-3</v>
      </c>
      <c r="AD197" s="86" t="str">
        <f>MID(D197,15,3)</f>
        <v>DST</v>
      </c>
      <c r="AE197" s="357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V197" s="700" t="str">
        <f t="shared" ref="AV197:AV198" si="207">MID(E197,1,7)</f>
        <v>TRABDL</v>
      </c>
      <c r="AW197" s="568">
        <f t="shared" ref="AW197:AW198" si="208">SUM(AX197:BL197)</f>
        <v>83.462842613039797</v>
      </c>
      <c r="AX197" s="568">
        <f>N$203*N$204*(1-N198)/N$200/1000</f>
        <v>83.462842613039797</v>
      </c>
      <c r="AY197" s="568">
        <f t="shared" ref="AY197:BL197" si="209">O$203*O$204*(1-O198)/O$200/1000</f>
        <v>0</v>
      </c>
      <c r="AZ197" s="568">
        <f t="shared" si="209"/>
        <v>0</v>
      </c>
      <c r="BA197" s="568">
        <f t="shared" si="209"/>
        <v>0</v>
      </c>
      <c r="BB197" s="568">
        <f t="shared" si="209"/>
        <v>0</v>
      </c>
      <c r="BC197" s="568">
        <f t="shared" si="209"/>
        <v>0</v>
      </c>
      <c r="BD197" s="568">
        <f t="shared" si="209"/>
        <v>0</v>
      </c>
      <c r="BE197" s="568">
        <f t="shared" si="209"/>
        <v>0</v>
      </c>
      <c r="BF197" s="568">
        <f t="shared" si="209"/>
        <v>0</v>
      </c>
      <c r="BG197" s="568">
        <f t="shared" si="209"/>
        <v>0</v>
      </c>
      <c r="BH197" s="568">
        <f t="shared" si="209"/>
        <v>0</v>
      </c>
      <c r="BI197" s="568">
        <f t="shared" si="209"/>
        <v>0</v>
      </c>
      <c r="BJ197" s="568">
        <f t="shared" si="209"/>
        <v>0</v>
      </c>
      <c r="BK197" s="568">
        <f t="shared" si="209"/>
        <v>0</v>
      </c>
      <c r="BL197" s="568">
        <f t="shared" si="209"/>
        <v>0</v>
      </c>
    </row>
    <row r="198" spans="1:64" s="83" customFormat="1" x14ac:dyDescent="0.25">
      <c r="A198" s="82"/>
      <c r="B198" s="178" t="str">
        <f>B197</f>
        <v>TBISDST100</v>
      </c>
      <c r="C198" s="178"/>
      <c r="D198" s="179"/>
      <c r="E198" s="407" t="s">
        <v>185</v>
      </c>
      <c r="F198" s="182"/>
      <c r="G198" s="181"/>
      <c r="H198" s="182"/>
      <c r="I198" s="183"/>
      <c r="J198" s="184" t="s">
        <v>1157</v>
      </c>
      <c r="K198" s="184"/>
      <c r="L198" s="203" t="s">
        <v>101</v>
      </c>
      <c r="M198" s="184"/>
      <c r="N198" s="690">
        <f t="shared" ref="N198:AB198" si="210">1-N21</f>
        <v>0.94496029288387329</v>
      </c>
      <c r="O198" s="690">
        <f t="shared" si="210"/>
        <v>0.94496029288387329</v>
      </c>
      <c r="P198" s="690">
        <f t="shared" si="210"/>
        <v>0.94496029288387329</v>
      </c>
      <c r="Q198" s="690">
        <f t="shared" si="210"/>
        <v>0.94496029288387329</v>
      </c>
      <c r="R198" s="690">
        <f t="shared" si="210"/>
        <v>0.94496029288387329</v>
      </c>
      <c r="S198" s="690">
        <f t="shared" si="210"/>
        <v>0.94496029288387329</v>
      </c>
      <c r="T198" s="690">
        <f t="shared" si="210"/>
        <v>0.94496029288387329</v>
      </c>
      <c r="U198" s="690">
        <f t="shared" si="210"/>
        <v>0.94496029288387329</v>
      </c>
      <c r="V198" s="690">
        <f t="shared" si="210"/>
        <v>0.94496029288387329</v>
      </c>
      <c r="W198" s="690">
        <f t="shared" si="210"/>
        <v>0.94496029288387329</v>
      </c>
      <c r="X198" s="690">
        <f t="shared" si="210"/>
        <v>0.94496029288387329</v>
      </c>
      <c r="Y198" s="690">
        <f t="shared" si="210"/>
        <v>0.94496029288387329</v>
      </c>
      <c r="Z198" s="690">
        <f t="shared" si="210"/>
        <v>0.94496029288387329</v>
      </c>
      <c r="AA198" s="690">
        <f t="shared" si="210"/>
        <v>0.94496029288387329</v>
      </c>
      <c r="AB198" s="690">
        <f t="shared" si="210"/>
        <v>0.94496029288387329</v>
      </c>
      <c r="AD198" s="408" t="str">
        <f>IF(COUNTIF($AG$4:$AP$4,AD197)=1,"ok","MISSING")</f>
        <v>ok</v>
      </c>
      <c r="AE198" s="357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V198" s="700" t="str">
        <f t="shared" si="207"/>
        <v>TRADST</v>
      </c>
      <c r="AW198" s="568">
        <f t="shared" si="208"/>
        <v>1432.948617152615</v>
      </c>
      <c r="AX198" s="568">
        <f>N$203*N$204*N198/N$200/1000</f>
        <v>1432.948617152615</v>
      </c>
      <c r="AY198" s="568">
        <f t="shared" ref="AY198:BL198" si="211">O$203*O$204*O198/O$200/1000</f>
        <v>0</v>
      </c>
      <c r="AZ198" s="568">
        <f t="shared" si="211"/>
        <v>0</v>
      </c>
      <c r="BA198" s="568">
        <f t="shared" si="211"/>
        <v>0</v>
      </c>
      <c r="BB198" s="568">
        <f t="shared" si="211"/>
        <v>0</v>
      </c>
      <c r="BC198" s="568">
        <f t="shared" si="211"/>
        <v>0</v>
      </c>
      <c r="BD198" s="568">
        <f t="shared" si="211"/>
        <v>0</v>
      </c>
      <c r="BE198" s="568">
        <f t="shared" si="211"/>
        <v>0</v>
      </c>
      <c r="BF198" s="568">
        <f t="shared" si="211"/>
        <v>0</v>
      </c>
      <c r="BG198" s="568">
        <f t="shared" si="211"/>
        <v>0</v>
      </c>
      <c r="BH198" s="568">
        <f t="shared" si="211"/>
        <v>0</v>
      </c>
      <c r="BI198" s="568">
        <f t="shared" si="211"/>
        <v>0</v>
      </c>
      <c r="BJ198" s="568">
        <f t="shared" si="211"/>
        <v>0</v>
      </c>
      <c r="BK198" s="568">
        <f t="shared" si="211"/>
        <v>0</v>
      </c>
      <c r="BL198" s="568">
        <f t="shared" si="211"/>
        <v>0</v>
      </c>
    </row>
    <row r="199" spans="1:64" s="83" customFormat="1" x14ac:dyDescent="0.25">
      <c r="A199" s="82"/>
      <c r="B199" s="178" t="str">
        <f t="shared" ref="B199" si="212">B198</f>
        <v>TBISDST100</v>
      </c>
      <c r="C199" s="178"/>
      <c r="D199" s="179"/>
      <c r="E199" s="407" t="s">
        <v>990</v>
      </c>
      <c r="F199" s="182"/>
      <c r="G199" s="181"/>
      <c r="H199" s="182"/>
      <c r="I199" s="183"/>
      <c r="J199" s="184" t="s">
        <v>1157</v>
      </c>
      <c r="K199" s="184"/>
      <c r="L199" s="203" t="s">
        <v>101</v>
      </c>
      <c r="M199" s="184"/>
      <c r="N199" s="690">
        <f>N$20</f>
        <v>7.0000000000000007E-2</v>
      </c>
      <c r="O199" s="690">
        <f t="shared" ref="O199:AB199" si="213">O$20</f>
        <v>7.0000000000000007E-2</v>
      </c>
      <c r="P199" s="690">
        <f t="shared" si="213"/>
        <v>7.0000000000000007E-2</v>
      </c>
      <c r="Q199" s="690">
        <f t="shared" si="213"/>
        <v>7.0000000000000007E-2</v>
      </c>
      <c r="R199" s="690">
        <f t="shared" si="213"/>
        <v>7.0000000000000007E-2</v>
      </c>
      <c r="S199" s="690">
        <f t="shared" si="213"/>
        <v>7.0000000000000007E-2</v>
      </c>
      <c r="T199" s="690">
        <f t="shared" si="213"/>
        <v>7.0000000000000007E-2</v>
      </c>
      <c r="U199" s="690">
        <f t="shared" si="213"/>
        <v>7.0000000000000007E-2</v>
      </c>
      <c r="V199" s="690">
        <f t="shared" si="213"/>
        <v>7.0000000000000007E-2</v>
      </c>
      <c r="W199" s="690">
        <f t="shared" si="213"/>
        <v>7.0000000000000007E-2</v>
      </c>
      <c r="X199" s="690">
        <f t="shared" si="213"/>
        <v>7.0000000000000007E-2</v>
      </c>
      <c r="Y199" s="690">
        <f t="shared" si="213"/>
        <v>7.0000000000000007E-2</v>
      </c>
      <c r="Z199" s="690">
        <f t="shared" si="213"/>
        <v>7.0000000000000007E-2</v>
      </c>
      <c r="AA199" s="690">
        <f t="shared" si="213"/>
        <v>7.0000000000000007E-2</v>
      </c>
      <c r="AB199" s="690">
        <f t="shared" si="213"/>
        <v>7.0000000000000007E-2</v>
      </c>
      <c r="AD199" s="408"/>
      <c r="AE199" s="357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V199" s="700" t="str">
        <f t="shared" ref="AV199" si="214">MID(E199,1,7)</f>
        <v>TRABDLM</v>
      </c>
      <c r="AW199" s="568">
        <f t="shared" ref="AW199" si="215">SUM(AX199:BL199)</f>
        <v>106.14880218359585</v>
      </c>
      <c r="AX199" s="568">
        <f>N$203*N$204*N199/N$200/1000</f>
        <v>106.14880218359585</v>
      </c>
      <c r="AY199" s="568">
        <f t="shared" ref="AY199" si="216">O$203*O$204*O199/O$200/1000</f>
        <v>0</v>
      </c>
      <c r="AZ199" s="568">
        <f t="shared" ref="AZ199" si="217">P$203*P$204*P199/P$200/1000</f>
        <v>0</v>
      </c>
      <c r="BA199" s="568">
        <f t="shared" ref="BA199" si="218">Q$203*Q$204*Q199/Q$200/1000</f>
        <v>0</v>
      </c>
      <c r="BB199" s="568">
        <f t="shared" ref="BB199" si="219">R$203*R$204*R199/R$200/1000</f>
        <v>0</v>
      </c>
      <c r="BC199" s="568">
        <f t="shared" ref="BC199" si="220">S$203*S$204*S199/S$200/1000</f>
        <v>0</v>
      </c>
      <c r="BD199" s="568">
        <f t="shared" ref="BD199" si="221">T$203*T$204*T199/T$200/1000</f>
        <v>0</v>
      </c>
      <c r="BE199" s="568">
        <f t="shared" ref="BE199" si="222">U$203*U$204*U199/U$200/1000</f>
        <v>0</v>
      </c>
      <c r="BF199" s="568">
        <f t="shared" ref="BF199" si="223">V$203*V$204*V199/V$200/1000</f>
        <v>0</v>
      </c>
      <c r="BG199" s="568">
        <f t="shared" ref="BG199" si="224">W$203*W$204*W199/W$200/1000</f>
        <v>0</v>
      </c>
      <c r="BH199" s="568">
        <f t="shared" ref="BH199" si="225">X$203*X$204*X199/X$200/1000</f>
        <v>0</v>
      </c>
      <c r="BI199" s="568">
        <f t="shared" ref="BI199" si="226">Y$203*Y$204*Y199/Y$200/1000</f>
        <v>0</v>
      </c>
      <c r="BJ199" s="568">
        <f t="shared" ref="BJ199" si="227">Z$203*Z$204*Z199/Z$200/1000</f>
        <v>0</v>
      </c>
      <c r="BK199" s="568">
        <f t="shared" ref="BK199" si="228">AA$203*AA$204*AA199/AA$200/1000</f>
        <v>0</v>
      </c>
      <c r="BL199" s="568">
        <f t="shared" ref="BL199" si="229">AB$203*AB$204*AB199/AB$200/1000</f>
        <v>0</v>
      </c>
    </row>
    <row r="200" spans="1:64" s="83" customFormat="1" x14ac:dyDescent="0.25">
      <c r="B200" s="178" t="str">
        <f>B198</f>
        <v>TBISDST100</v>
      </c>
      <c r="C200" s="178"/>
      <c r="D200" s="179"/>
      <c r="E200" s="178"/>
      <c r="F200" s="182"/>
      <c r="G200" s="180" t="s">
        <v>414</v>
      </c>
      <c r="H200" s="182"/>
      <c r="I200" s="183"/>
      <c r="J200" s="184"/>
      <c r="K200" s="184"/>
      <c r="L200" s="184" t="s">
        <v>1126</v>
      </c>
      <c r="M200" s="178" t="s">
        <v>678</v>
      </c>
      <c r="N200" s="690">
        <f>T_CEFF!H132</f>
        <v>8.3330000000000001E-2</v>
      </c>
      <c r="O200" s="690">
        <f>T_CEFF!I132</f>
        <v>8.3330000000000001E-2</v>
      </c>
      <c r="P200" s="690">
        <f>T_CEFF!J132</f>
        <v>8.3330000000000001E-2</v>
      </c>
      <c r="Q200" s="690">
        <f>T_CEFF!K132</f>
        <v>8.3330000000000001E-2</v>
      </c>
      <c r="R200" s="690">
        <f>T_CEFF!L132</f>
        <v>8.3330000000000001E-2</v>
      </c>
      <c r="S200" s="690">
        <f>T_CEFF!M132</f>
        <v>8.3330000000000001E-2</v>
      </c>
      <c r="T200" s="690">
        <f>T_CEFF!N132</f>
        <v>8.3330000000000001E-2</v>
      </c>
      <c r="U200" s="690">
        <f>T_CEFF!O132</f>
        <v>8.3330000000000001E-2</v>
      </c>
      <c r="V200" s="690">
        <f>T_CEFF!P132</f>
        <v>8.3330000000000001E-2</v>
      </c>
      <c r="W200" s="690">
        <f>T_CEFF!Q132</f>
        <v>8.3330000000000001E-2</v>
      </c>
      <c r="X200" s="690">
        <f>T_CEFF!R132</f>
        <v>8.3330000000000001E-2</v>
      </c>
      <c r="Y200" s="690">
        <f>T_CEFF!S132</f>
        <v>8.3330000000000001E-2</v>
      </c>
      <c r="Z200" s="690">
        <f>T_CEFF!T132</f>
        <v>8.3330000000000001E-2</v>
      </c>
      <c r="AA200" s="690">
        <f>T_CEFF!U132</f>
        <v>8.3330000000000001E-2</v>
      </c>
      <c r="AB200" s="690">
        <f>T_CEFF!V132</f>
        <v>8.3330000000000001E-2</v>
      </c>
      <c r="AE200" s="357"/>
    </row>
    <row r="201" spans="1:64" s="83" customFormat="1" x14ac:dyDescent="0.25">
      <c r="B201" s="178" t="str">
        <f t="shared" ref="B201:B210" si="230">B200</f>
        <v>TBISDST100</v>
      </c>
      <c r="C201" s="178"/>
      <c r="D201" s="179"/>
      <c r="E201" s="178"/>
      <c r="F201" s="182"/>
      <c r="G201" s="180" t="s">
        <v>590</v>
      </c>
      <c r="H201" s="182"/>
      <c r="I201" s="183"/>
      <c r="J201" s="184"/>
      <c r="K201" s="184"/>
      <c r="L201" s="184" t="s">
        <v>1126</v>
      </c>
      <c r="M201" s="178" t="s">
        <v>678</v>
      </c>
      <c r="N201" s="690">
        <f>T_CEFF!H133</f>
        <v>8.3330000000000001E-2</v>
      </c>
      <c r="O201" s="690">
        <f>T_CEFF!I133</f>
        <v>8.3330000000000001E-2</v>
      </c>
      <c r="P201" s="690">
        <f>T_CEFF!J133</f>
        <v>8.3330000000000001E-2</v>
      </c>
      <c r="Q201" s="690">
        <f>T_CEFF!K133</f>
        <v>8.3330000000000001E-2</v>
      </c>
      <c r="R201" s="690">
        <f>T_CEFF!L133</f>
        <v>8.3330000000000001E-2</v>
      </c>
      <c r="S201" s="690">
        <f>T_CEFF!M133</f>
        <v>8.3330000000000001E-2</v>
      </c>
      <c r="T201" s="690">
        <f>T_CEFF!N133</f>
        <v>8.3330000000000001E-2</v>
      </c>
      <c r="U201" s="690">
        <f>T_CEFF!O133</f>
        <v>8.3330000000000001E-2</v>
      </c>
      <c r="V201" s="690">
        <f>T_CEFF!P133</f>
        <v>8.3330000000000001E-2</v>
      </c>
      <c r="W201" s="690">
        <f>T_CEFF!Q133</f>
        <v>8.3330000000000001E-2</v>
      </c>
      <c r="X201" s="690">
        <f>T_CEFF!R133</f>
        <v>8.3330000000000001E-2</v>
      </c>
      <c r="Y201" s="690">
        <f>T_CEFF!S133</f>
        <v>8.3330000000000001E-2</v>
      </c>
      <c r="Z201" s="690">
        <f>T_CEFF!T133</f>
        <v>8.3330000000000001E-2</v>
      </c>
      <c r="AA201" s="690">
        <f>T_CEFF!U133</f>
        <v>8.3330000000000001E-2</v>
      </c>
      <c r="AB201" s="690">
        <f>T_CEFF!V133</f>
        <v>8.3330000000000001E-2</v>
      </c>
      <c r="AE201" s="357"/>
    </row>
    <row r="202" spans="1:64" s="83" customFormat="1" x14ac:dyDescent="0.25">
      <c r="B202" s="178" t="str">
        <f>B201</f>
        <v>TBISDST100</v>
      </c>
      <c r="C202" s="178"/>
      <c r="D202" s="179"/>
      <c r="E202" s="178"/>
      <c r="F202" s="182"/>
      <c r="G202" s="181"/>
      <c r="H202" s="182"/>
      <c r="I202" s="183"/>
      <c r="J202" s="184"/>
      <c r="K202" s="184" t="s">
        <v>749</v>
      </c>
      <c r="L202" s="184" t="s">
        <v>1128</v>
      </c>
      <c r="M202" s="178" t="s">
        <v>1119</v>
      </c>
      <c r="N202" s="691">
        <f>N$17</f>
        <v>12</v>
      </c>
      <c r="O202" s="691">
        <f t="shared" ref="O202:AB202" si="231">O$17</f>
        <v>0</v>
      </c>
      <c r="P202" s="691">
        <f t="shared" si="231"/>
        <v>0</v>
      </c>
      <c r="Q202" s="691">
        <f t="shared" si="231"/>
        <v>0</v>
      </c>
      <c r="R202" s="691">
        <f t="shared" si="231"/>
        <v>0</v>
      </c>
      <c r="S202" s="691">
        <f t="shared" si="231"/>
        <v>0</v>
      </c>
      <c r="T202" s="691">
        <f t="shared" si="231"/>
        <v>0</v>
      </c>
      <c r="U202" s="691">
        <f t="shared" si="231"/>
        <v>0</v>
      </c>
      <c r="V202" s="691">
        <f t="shared" si="231"/>
        <v>0</v>
      </c>
      <c r="W202" s="691">
        <f t="shared" si="231"/>
        <v>0</v>
      </c>
      <c r="X202" s="691">
        <f t="shared" si="231"/>
        <v>0</v>
      </c>
      <c r="Y202" s="691">
        <f t="shared" si="231"/>
        <v>0</v>
      </c>
      <c r="Z202" s="691">
        <f t="shared" si="231"/>
        <v>0</v>
      </c>
      <c r="AA202" s="691">
        <f t="shared" si="231"/>
        <v>0</v>
      </c>
      <c r="AB202" s="691">
        <f t="shared" si="231"/>
        <v>0</v>
      </c>
      <c r="AE202" s="357"/>
    </row>
    <row r="203" spans="1:64" s="83" customFormat="1" x14ac:dyDescent="0.25">
      <c r="B203" s="178" t="str">
        <f t="shared" si="230"/>
        <v>TBISDST100</v>
      </c>
      <c r="C203" s="178"/>
      <c r="D203" s="179"/>
      <c r="E203" s="178"/>
      <c r="F203" s="182"/>
      <c r="G203" s="181"/>
      <c r="H203" s="182"/>
      <c r="I203" s="183"/>
      <c r="J203" s="184"/>
      <c r="K203" s="184"/>
      <c r="L203" s="203" t="s">
        <v>1130</v>
      </c>
      <c r="M203" s="178" t="s">
        <v>1131</v>
      </c>
      <c r="N203" s="389">
        <f>LOOKUP($C$197, T_NCAP_AF!$C$110:$C$120, T_NCAP_AF!D$110:D$120)*(1+N179)</f>
        <v>52.194368832000002</v>
      </c>
      <c r="O203" s="389">
        <f>LOOKUP($C$197, T_NCAP_AF!$C$110:$C$120, T_NCAP_AF!E$110:E$120)*(1+O179)</f>
        <v>0</v>
      </c>
      <c r="P203" s="389">
        <f>LOOKUP($C$197, T_NCAP_AF!$C$110:$C$120, T_NCAP_AF!F$110:F$120)*(1+P179)</f>
        <v>0</v>
      </c>
      <c r="Q203" s="389">
        <f>LOOKUP($C$197, T_NCAP_AF!$C$110:$C$120, T_NCAP_AF!G$110:G$120)*(1+Q179)</f>
        <v>0</v>
      </c>
      <c r="R203" s="389">
        <f>LOOKUP($C$197, T_NCAP_AF!$C$110:$C$120, T_NCAP_AF!H$110:H$120)*(1+R179)</f>
        <v>0</v>
      </c>
      <c r="S203" s="389">
        <f>LOOKUP($C$197, T_NCAP_AF!$C$110:$C$120, T_NCAP_AF!I$110:I$120)*(1+S179)</f>
        <v>0</v>
      </c>
      <c r="T203" s="389">
        <f>LOOKUP($C$197, T_NCAP_AF!$C$110:$C$120, T_NCAP_AF!J$110:J$120)*(1+T179)</f>
        <v>0</v>
      </c>
      <c r="U203" s="389">
        <f>LOOKUP($C$197, T_NCAP_AF!$C$110:$C$120, T_NCAP_AF!K$110:K$120)*(1+U179)</f>
        <v>0</v>
      </c>
      <c r="V203" s="389">
        <f>LOOKUP($C$197, T_NCAP_AF!$C$110:$C$120, T_NCAP_AF!L$110:L$120)*(1+V179)</f>
        <v>0</v>
      </c>
      <c r="W203" s="389">
        <f>LOOKUP($C$197, T_NCAP_AF!$C$110:$C$120, T_NCAP_AF!M$110:M$120)*(1+W179)</f>
        <v>0</v>
      </c>
      <c r="X203" s="389">
        <f>LOOKUP($C$197, T_NCAP_AF!$C$110:$C$120, T_NCAP_AF!N$110:N$120)*(1+X179)</f>
        <v>0</v>
      </c>
      <c r="Y203" s="389">
        <f>LOOKUP($C$197, T_NCAP_AF!$C$110:$C$120, T_NCAP_AF!O$110:O$120)*(1+Y179)</f>
        <v>0</v>
      </c>
      <c r="Z203" s="389">
        <f>LOOKUP($C$197, T_NCAP_AF!$C$110:$C$120, T_NCAP_AF!P$110:P$120)*(1+Z179)</f>
        <v>0</v>
      </c>
      <c r="AA203" s="389">
        <f>LOOKUP($C$197, T_NCAP_AF!$C$110:$C$120, T_NCAP_AF!Q$110:Q$120)*(1+AA179)</f>
        <v>0</v>
      </c>
      <c r="AB203" s="389">
        <f>LOOKUP($C$197, T_NCAP_AF!$C$110:$C$120, T_NCAP_AF!R$110:R$120)*(1+AB179)</f>
        <v>0</v>
      </c>
      <c r="AE203" s="572">
        <f>SUM(AF203:AT203)</f>
        <v>1516.350803307264</v>
      </c>
      <c r="AF203" s="85">
        <f t="shared" ref="AF203:AT203" si="232">N202*N203*N204/1000</f>
        <v>1516.350803307264</v>
      </c>
      <c r="AG203" s="85">
        <f t="shared" si="232"/>
        <v>0</v>
      </c>
      <c r="AH203" s="85">
        <f t="shared" si="232"/>
        <v>0</v>
      </c>
      <c r="AI203" s="85">
        <f t="shared" si="232"/>
        <v>0</v>
      </c>
      <c r="AJ203" s="85">
        <f t="shared" si="232"/>
        <v>0</v>
      </c>
      <c r="AK203" s="85">
        <f t="shared" si="232"/>
        <v>0</v>
      </c>
      <c r="AL203" s="85">
        <f t="shared" si="232"/>
        <v>0</v>
      </c>
      <c r="AM203" s="85">
        <f t="shared" si="232"/>
        <v>0</v>
      </c>
      <c r="AN203" s="85">
        <f t="shared" si="232"/>
        <v>0</v>
      </c>
      <c r="AO203" s="85">
        <f t="shared" si="232"/>
        <v>0</v>
      </c>
      <c r="AP203" s="85">
        <f t="shared" si="232"/>
        <v>0</v>
      </c>
      <c r="AQ203" s="85">
        <f t="shared" si="232"/>
        <v>0</v>
      </c>
      <c r="AR203" s="85">
        <f t="shared" si="232"/>
        <v>0</v>
      </c>
      <c r="AS203" s="85">
        <f t="shared" si="232"/>
        <v>0</v>
      </c>
      <c r="AT203" s="85">
        <f t="shared" si="232"/>
        <v>0</v>
      </c>
    </row>
    <row r="204" spans="1:64" s="83" customFormat="1" x14ac:dyDescent="0.25">
      <c r="B204" s="178" t="str">
        <f>B203</f>
        <v>TBISDST100</v>
      </c>
      <c r="C204" s="178"/>
      <c r="D204" s="179"/>
      <c r="E204" s="178"/>
      <c r="F204" s="182"/>
      <c r="G204" s="181"/>
      <c r="H204" s="182"/>
      <c r="I204" s="183">
        <f>$M$3</f>
        <v>2019</v>
      </c>
      <c r="J204" s="184"/>
      <c r="K204" s="184"/>
      <c r="L204" s="203" t="s">
        <v>1065</v>
      </c>
      <c r="M204" s="178" t="s">
        <v>748</v>
      </c>
      <c r="N204" s="687">
        <f>LOOKUP($C$197, T_Stock_Private!$C$74:$C$84, T_Stock_Private!D$74:D$84)*(1+N180)</f>
        <v>2421</v>
      </c>
      <c r="O204" s="687">
        <f>LOOKUP($C$197, T_Stock_Private!$C$74:$C$84, T_Stock_Private!E$74:E$84)*(1+O180)</f>
        <v>0</v>
      </c>
      <c r="P204" s="687">
        <f>LOOKUP($C$197, T_Stock_Private!$C$74:$C$84, T_Stock_Private!F$74:F$84)*(1+P180)</f>
        <v>0</v>
      </c>
      <c r="Q204" s="687">
        <f>LOOKUP($C$197, T_Stock_Private!$C$74:$C$84, T_Stock_Private!G$74:G$84)*(1+Q180)</f>
        <v>0</v>
      </c>
      <c r="R204" s="687">
        <f>LOOKUP($C$197, T_Stock_Private!$C$74:$C$84, T_Stock_Private!H$74:H$84)*(1+R180)</f>
        <v>0</v>
      </c>
      <c r="S204" s="687">
        <f>LOOKUP($C$197, T_Stock_Private!$C$74:$C$84, T_Stock_Private!I$74:I$84)*(1+S180)</f>
        <v>0</v>
      </c>
      <c r="T204" s="687">
        <f>LOOKUP($C$197, T_Stock_Private!$C$74:$C$84, T_Stock_Private!J$74:J$84)*(1+T180)</f>
        <v>0</v>
      </c>
      <c r="U204" s="687">
        <f>LOOKUP($C$197, T_Stock_Private!$C$74:$C$84, T_Stock_Private!K$74:K$84)*(1+U180)</f>
        <v>0</v>
      </c>
      <c r="V204" s="687">
        <f>LOOKUP($C$197, T_Stock_Private!$C$74:$C$84, T_Stock_Private!L$74:L$84)*(1+V180)</f>
        <v>0</v>
      </c>
      <c r="W204" s="687">
        <f>LOOKUP($C$197, T_Stock_Private!$C$74:$C$84, T_Stock_Private!M$74:M$84)*(1+W180)</f>
        <v>0</v>
      </c>
      <c r="X204" s="687">
        <f>LOOKUP($C$197, T_Stock_Private!$C$74:$C$84, T_Stock_Private!N$74:N$84)*(1+X180)</f>
        <v>0</v>
      </c>
      <c r="Y204" s="687">
        <f>LOOKUP($C$197, T_Stock_Private!$C$74:$C$84, T_Stock_Private!O$74:O$84)*(1+Y180)</f>
        <v>0</v>
      </c>
      <c r="Z204" s="687">
        <f>LOOKUP($C$197, T_Stock_Private!$C$74:$C$84, T_Stock_Private!P$74:P$84)*(1+Z180)</f>
        <v>0</v>
      </c>
      <c r="AA204" s="687">
        <f>LOOKUP($C$197, T_Stock_Private!$C$74:$C$84, T_Stock_Private!Q$74:Q$84)*(1+AA180)</f>
        <v>0</v>
      </c>
      <c r="AB204" s="687">
        <f>LOOKUP($C$197, T_Stock_Private!$C$74:$C$84, T_Stock_Private!R$74:R$84)*(1+AB180)</f>
        <v>0</v>
      </c>
      <c r="AC204" s="89"/>
      <c r="AD204" s="364"/>
      <c r="AE204" s="357"/>
      <c r="AG204" s="89"/>
      <c r="AH204" s="89"/>
      <c r="AI204" s="89"/>
      <c r="AJ204" s="89"/>
      <c r="AK204" s="89"/>
      <c r="AL204" s="89"/>
      <c r="AM204" s="89"/>
      <c r="AN204" s="89"/>
      <c r="AO204" s="89"/>
      <c r="AP204" s="89"/>
      <c r="AQ204" s="89"/>
      <c r="AR204" s="89"/>
      <c r="AS204" s="89"/>
      <c r="AT204" s="89"/>
    </row>
    <row r="205" spans="1:64" s="83" customFormat="1" x14ac:dyDescent="0.25">
      <c r="B205" s="178" t="str">
        <f t="shared" si="230"/>
        <v>TBISDST100</v>
      </c>
      <c r="C205" s="178"/>
      <c r="D205" s="179"/>
      <c r="E205" s="178"/>
      <c r="F205" s="182"/>
      <c r="G205" s="181"/>
      <c r="H205" s="182"/>
      <c r="I205" s="183">
        <f>AF$5</f>
        <v>2020</v>
      </c>
      <c r="J205" s="184"/>
      <c r="K205" s="184"/>
      <c r="L205" s="203" t="s">
        <v>1065</v>
      </c>
      <c r="M205" s="178" t="s">
        <v>748</v>
      </c>
      <c r="N205" s="687">
        <f t="shared" ref="N205:AB205" si="233">N204*LOOKUP($AD197,$AG$4:$AP$4,$AG$5:$AP$5)</f>
        <v>2299.9499999999998</v>
      </c>
      <c r="O205" s="687">
        <f t="shared" si="233"/>
        <v>0</v>
      </c>
      <c r="P205" s="687">
        <f t="shared" si="233"/>
        <v>0</v>
      </c>
      <c r="Q205" s="687">
        <f t="shared" si="233"/>
        <v>0</v>
      </c>
      <c r="R205" s="687">
        <f t="shared" si="233"/>
        <v>0</v>
      </c>
      <c r="S205" s="687">
        <f t="shared" si="233"/>
        <v>0</v>
      </c>
      <c r="T205" s="687">
        <f t="shared" si="233"/>
        <v>0</v>
      </c>
      <c r="U205" s="687">
        <f t="shared" si="233"/>
        <v>0</v>
      </c>
      <c r="V205" s="687">
        <f t="shared" si="233"/>
        <v>0</v>
      </c>
      <c r="W205" s="687">
        <f t="shared" si="233"/>
        <v>0</v>
      </c>
      <c r="X205" s="687">
        <f t="shared" si="233"/>
        <v>0</v>
      </c>
      <c r="Y205" s="687">
        <f t="shared" si="233"/>
        <v>0</v>
      </c>
      <c r="Z205" s="687">
        <f t="shared" si="233"/>
        <v>0</v>
      </c>
      <c r="AA205" s="687">
        <f t="shared" si="233"/>
        <v>0</v>
      </c>
      <c r="AB205" s="687">
        <f t="shared" si="233"/>
        <v>0</v>
      </c>
      <c r="AE205" s="357"/>
      <c r="AG205" s="89"/>
      <c r="AH205" s="89"/>
      <c r="AI205" s="89"/>
      <c r="AJ205" s="89"/>
      <c r="AK205" s="89"/>
      <c r="AL205" s="89"/>
      <c r="AM205" s="89"/>
      <c r="AN205" s="89"/>
      <c r="AO205" s="89"/>
      <c r="AP205" s="89"/>
      <c r="AQ205" s="89"/>
      <c r="AR205" s="89"/>
      <c r="AS205" s="89"/>
      <c r="AT205" s="89"/>
    </row>
    <row r="206" spans="1:64" s="83" customFormat="1" x14ac:dyDescent="0.25">
      <c r="B206" s="178" t="str">
        <f t="shared" si="230"/>
        <v>TBISDST100</v>
      </c>
      <c r="C206" s="178"/>
      <c r="D206" s="179"/>
      <c r="E206" s="178"/>
      <c r="F206" s="182"/>
      <c r="G206" s="181"/>
      <c r="H206" s="182"/>
      <c r="I206" s="183">
        <f>AF$6</f>
        <v>2025</v>
      </c>
      <c r="J206" s="184"/>
      <c r="K206" s="184"/>
      <c r="L206" s="203" t="s">
        <v>1065</v>
      </c>
      <c r="M206" s="178" t="s">
        <v>748</v>
      </c>
      <c r="N206" s="687">
        <f t="shared" ref="N206:AB206" si="234">N204*LOOKUP($AD197,$AG$4:$AP$4,$AG$6:$AP$6)</f>
        <v>1452.6</v>
      </c>
      <c r="O206" s="687">
        <f t="shared" si="234"/>
        <v>0</v>
      </c>
      <c r="P206" s="687">
        <f t="shared" si="234"/>
        <v>0</v>
      </c>
      <c r="Q206" s="687">
        <f t="shared" si="234"/>
        <v>0</v>
      </c>
      <c r="R206" s="687">
        <f t="shared" si="234"/>
        <v>0</v>
      </c>
      <c r="S206" s="687">
        <f t="shared" si="234"/>
        <v>0</v>
      </c>
      <c r="T206" s="687">
        <f t="shared" si="234"/>
        <v>0</v>
      </c>
      <c r="U206" s="687">
        <f t="shared" si="234"/>
        <v>0</v>
      </c>
      <c r="V206" s="687">
        <f t="shared" si="234"/>
        <v>0</v>
      </c>
      <c r="W206" s="687">
        <f t="shared" si="234"/>
        <v>0</v>
      </c>
      <c r="X206" s="687">
        <f t="shared" si="234"/>
        <v>0</v>
      </c>
      <c r="Y206" s="687">
        <f t="shared" si="234"/>
        <v>0</v>
      </c>
      <c r="Z206" s="687">
        <f t="shared" si="234"/>
        <v>0</v>
      </c>
      <c r="AA206" s="687">
        <f t="shared" si="234"/>
        <v>0</v>
      </c>
      <c r="AB206" s="687">
        <f t="shared" si="234"/>
        <v>0</v>
      </c>
      <c r="AE206" s="357"/>
      <c r="AG206" s="89"/>
      <c r="AH206" s="89"/>
      <c r="AI206" s="89"/>
      <c r="AJ206" s="89"/>
      <c r="AK206" s="89"/>
      <c r="AL206" s="89"/>
      <c r="AM206" s="89"/>
      <c r="AN206" s="89"/>
      <c r="AO206" s="89"/>
      <c r="AP206" s="89"/>
      <c r="AQ206" s="89"/>
      <c r="AR206" s="89"/>
      <c r="AS206" s="89"/>
      <c r="AT206" s="89"/>
    </row>
    <row r="207" spans="1:64" s="83" customFormat="1" x14ac:dyDescent="0.25">
      <c r="B207" s="178" t="str">
        <f t="shared" si="230"/>
        <v>TBISDST100</v>
      </c>
      <c r="C207" s="178"/>
      <c r="D207" s="179"/>
      <c r="E207" s="178"/>
      <c r="F207" s="182"/>
      <c r="G207" s="181"/>
      <c r="H207" s="182"/>
      <c r="I207" s="183">
        <f>AF$7</f>
        <v>2030</v>
      </c>
      <c r="J207" s="184"/>
      <c r="K207" s="184"/>
      <c r="L207" s="203" t="s">
        <v>1065</v>
      </c>
      <c r="M207" s="178" t="s">
        <v>748</v>
      </c>
      <c r="N207" s="687">
        <f t="shared" ref="N207:AB207" si="235">N204*LOOKUP($AD197,$AG$4:$AP$4,$AG$7:$AP$7)</f>
        <v>242.10000000000002</v>
      </c>
      <c r="O207" s="687">
        <f t="shared" si="235"/>
        <v>0</v>
      </c>
      <c r="P207" s="687">
        <f t="shared" si="235"/>
        <v>0</v>
      </c>
      <c r="Q207" s="687">
        <f t="shared" si="235"/>
        <v>0</v>
      </c>
      <c r="R207" s="687">
        <f t="shared" si="235"/>
        <v>0</v>
      </c>
      <c r="S207" s="687">
        <f t="shared" si="235"/>
        <v>0</v>
      </c>
      <c r="T207" s="687">
        <f t="shared" si="235"/>
        <v>0</v>
      </c>
      <c r="U207" s="687">
        <f t="shared" si="235"/>
        <v>0</v>
      </c>
      <c r="V207" s="687">
        <f t="shared" si="235"/>
        <v>0</v>
      </c>
      <c r="W207" s="687">
        <f t="shared" si="235"/>
        <v>0</v>
      </c>
      <c r="X207" s="687">
        <f t="shared" si="235"/>
        <v>0</v>
      </c>
      <c r="Y207" s="687">
        <f t="shared" si="235"/>
        <v>0</v>
      </c>
      <c r="Z207" s="687">
        <f t="shared" si="235"/>
        <v>0</v>
      </c>
      <c r="AA207" s="687">
        <f t="shared" si="235"/>
        <v>0</v>
      </c>
      <c r="AB207" s="687">
        <f t="shared" si="235"/>
        <v>0</v>
      </c>
      <c r="AE207" s="357"/>
      <c r="AG207" s="89"/>
      <c r="AH207" s="89"/>
      <c r="AI207" s="89"/>
      <c r="AJ207" s="89"/>
      <c r="AK207" s="89"/>
      <c r="AL207" s="89"/>
      <c r="AM207" s="89"/>
      <c r="AN207" s="89"/>
      <c r="AO207" s="89"/>
      <c r="AP207" s="89"/>
      <c r="AQ207" s="89"/>
      <c r="AR207" s="89"/>
      <c r="AS207" s="89"/>
      <c r="AT207" s="89"/>
    </row>
    <row r="208" spans="1:64" s="83" customFormat="1" x14ac:dyDescent="0.25">
      <c r="B208" s="178" t="str">
        <f t="shared" si="230"/>
        <v>TBISDST100</v>
      </c>
      <c r="C208" s="178"/>
      <c r="D208" s="179"/>
      <c r="E208" s="178"/>
      <c r="F208" s="182"/>
      <c r="G208" s="181"/>
      <c r="H208" s="182"/>
      <c r="I208" s="183">
        <f>AF$8</f>
        <v>2035</v>
      </c>
      <c r="J208" s="184"/>
      <c r="K208" s="184"/>
      <c r="L208" s="203" t="s">
        <v>1065</v>
      </c>
      <c r="M208" s="178" t="s">
        <v>748</v>
      </c>
      <c r="N208" s="687">
        <f t="shared" ref="N208:AB208" si="236">N204*LOOKUP($AD197,$AG$4:$AP$4,$AG$8:$AP$8)</f>
        <v>24.21</v>
      </c>
      <c r="O208" s="687">
        <f t="shared" si="236"/>
        <v>0</v>
      </c>
      <c r="P208" s="687">
        <f t="shared" si="236"/>
        <v>0</v>
      </c>
      <c r="Q208" s="687">
        <f t="shared" si="236"/>
        <v>0</v>
      </c>
      <c r="R208" s="687">
        <f t="shared" si="236"/>
        <v>0</v>
      </c>
      <c r="S208" s="687">
        <f t="shared" si="236"/>
        <v>0</v>
      </c>
      <c r="T208" s="687">
        <f t="shared" si="236"/>
        <v>0</v>
      </c>
      <c r="U208" s="687">
        <f t="shared" si="236"/>
        <v>0</v>
      </c>
      <c r="V208" s="687">
        <f t="shared" si="236"/>
        <v>0</v>
      </c>
      <c r="W208" s="687">
        <f t="shared" si="236"/>
        <v>0</v>
      </c>
      <c r="X208" s="687">
        <f t="shared" si="236"/>
        <v>0</v>
      </c>
      <c r="Y208" s="687">
        <f t="shared" si="236"/>
        <v>0</v>
      </c>
      <c r="Z208" s="687">
        <f t="shared" si="236"/>
        <v>0</v>
      </c>
      <c r="AA208" s="687">
        <f t="shared" si="236"/>
        <v>0</v>
      </c>
      <c r="AB208" s="687">
        <f t="shared" si="236"/>
        <v>0</v>
      </c>
      <c r="AE208" s="357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</row>
    <row r="209" spans="1:64" s="83" customFormat="1" x14ac:dyDescent="0.25">
      <c r="B209" s="178" t="str">
        <f t="shared" si="230"/>
        <v>TBISDST100</v>
      </c>
      <c r="C209" s="178"/>
      <c r="D209" s="179"/>
      <c r="E209" s="178"/>
      <c r="F209" s="182"/>
      <c r="G209" s="181"/>
      <c r="H209" s="182"/>
      <c r="I209" s="183">
        <f>AF$9</f>
        <v>2040</v>
      </c>
      <c r="J209" s="184"/>
      <c r="K209" s="184"/>
      <c r="L209" s="203" t="s">
        <v>1065</v>
      </c>
      <c r="M209" s="178" t="s">
        <v>748</v>
      </c>
      <c r="N209" s="687">
        <f t="shared" ref="N209:AB209" si="237">N204*LOOKUP($AD197,$AG$4:$AP$4,$AG$9:$AP$9)</f>
        <v>0</v>
      </c>
      <c r="O209" s="687">
        <f t="shared" si="237"/>
        <v>0</v>
      </c>
      <c r="P209" s="687">
        <f t="shared" si="237"/>
        <v>0</v>
      </c>
      <c r="Q209" s="687">
        <f t="shared" si="237"/>
        <v>0</v>
      </c>
      <c r="R209" s="687">
        <f t="shared" si="237"/>
        <v>0</v>
      </c>
      <c r="S209" s="687">
        <f t="shared" si="237"/>
        <v>0</v>
      </c>
      <c r="T209" s="687">
        <f t="shared" si="237"/>
        <v>0</v>
      </c>
      <c r="U209" s="687">
        <f t="shared" si="237"/>
        <v>0</v>
      </c>
      <c r="V209" s="687">
        <f t="shared" si="237"/>
        <v>0</v>
      </c>
      <c r="W209" s="687">
        <f t="shared" si="237"/>
        <v>0</v>
      </c>
      <c r="X209" s="687">
        <f t="shared" si="237"/>
        <v>0</v>
      </c>
      <c r="Y209" s="687">
        <f t="shared" si="237"/>
        <v>0</v>
      </c>
      <c r="Z209" s="687">
        <f t="shared" si="237"/>
        <v>0</v>
      </c>
      <c r="AA209" s="687">
        <f t="shared" si="237"/>
        <v>0</v>
      </c>
      <c r="AB209" s="687">
        <f t="shared" si="237"/>
        <v>0</v>
      </c>
      <c r="AE209" s="357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</row>
    <row r="210" spans="1:64" s="83" customFormat="1" x14ac:dyDescent="0.25">
      <c r="B210" s="204" t="str">
        <f t="shared" si="230"/>
        <v>TBISDST100</v>
      </c>
      <c r="C210" s="204"/>
      <c r="D210" s="205"/>
      <c r="E210" s="204"/>
      <c r="F210" s="206"/>
      <c r="G210" s="207"/>
      <c r="H210" s="206"/>
      <c r="I210" s="208">
        <f>AF$10</f>
        <v>2050</v>
      </c>
      <c r="J210" s="209"/>
      <c r="K210" s="209"/>
      <c r="L210" s="210" t="s">
        <v>1065</v>
      </c>
      <c r="M210" s="204" t="s">
        <v>748</v>
      </c>
      <c r="N210" s="688">
        <f t="shared" ref="N210:AB210" si="238">N204*LOOKUP($AD197,$AG$4:$AP$4,$AG$10:$AP$10)</f>
        <v>0</v>
      </c>
      <c r="O210" s="688">
        <f t="shared" si="238"/>
        <v>0</v>
      </c>
      <c r="P210" s="688">
        <f t="shared" si="238"/>
        <v>0</v>
      </c>
      <c r="Q210" s="688">
        <f t="shared" si="238"/>
        <v>0</v>
      </c>
      <c r="R210" s="688">
        <f t="shared" si="238"/>
        <v>0</v>
      </c>
      <c r="S210" s="688">
        <f t="shared" si="238"/>
        <v>0</v>
      </c>
      <c r="T210" s="688">
        <f t="shared" si="238"/>
        <v>0</v>
      </c>
      <c r="U210" s="688">
        <f t="shared" si="238"/>
        <v>0</v>
      </c>
      <c r="V210" s="688">
        <f t="shared" si="238"/>
        <v>0</v>
      </c>
      <c r="W210" s="688">
        <f t="shared" si="238"/>
        <v>0</v>
      </c>
      <c r="X210" s="688">
        <f t="shared" si="238"/>
        <v>0</v>
      </c>
      <c r="Y210" s="688">
        <f t="shared" si="238"/>
        <v>0</v>
      </c>
      <c r="Z210" s="688">
        <f t="shared" si="238"/>
        <v>0</v>
      </c>
      <c r="AA210" s="688">
        <f t="shared" si="238"/>
        <v>0</v>
      </c>
      <c r="AB210" s="688">
        <f t="shared" si="238"/>
        <v>0</v>
      </c>
      <c r="AD210" s="409"/>
      <c r="AE210" s="357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</row>
    <row r="211" spans="1:64" s="83" customFormat="1" x14ac:dyDescent="0.25">
      <c r="A211" s="82"/>
      <c r="B211" s="178" t="str">
        <f>C211</f>
        <v>TBISELC100</v>
      </c>
      <c r="C211" s="178" t="s">
        <v>338</v>
      </c>
      <c r="D211" s="179" t="s">
        <v>754</v>
      </c>
      <c r="E211" s="407" t="s">
        <v>683</v>
      </c>
      <c r="F211" s="182"/>
      <c r="G211" s="181"/>
      <c r="H211" s="182"/>
      <c r="I211" s="183"/>
      <c r="J211" s="184"/>
      <c r="K211" s="184"/>
      <c r="L211" s="203" t="s">
        <v>1107</v>
      </c>
      <c r="M211" s="184" t="s">
        <v>1156</v>
      </c>
      <c r="N211" s="692">
        <f>N$197</f>
        <v>1E-3</v>
      </c>
      <c r="O211" s="692">
        <f t="shared" ref="O211:AB211" si="239">$N211</f>
        <v>1E-3</v>
      </c>
      <c r="P211" s="692">
        <f t="shared" si="239"/>
        <v>1E-3</v>
      </c>
      <c r="Q211" s="692">
        <f t="shared" si="239"/>
        <v>1E-3</v>
      </c>
      <c r="R211" s="692">
        <f t="shared" si="239"/>
        <v>1E-3</v>
      </c>
      <c r="S211" s="692">
        <f t="shared" si="239"/>
        <v>1E-3</v>
      </c>
      <c r="T211" s="692">
        <f t="shared" si="239"/>
        <v>1E-3</v>
      </c>
      <c r="U211" s="692">
        <f t="shared" si="239"/>
        <v>1E-3</v>
      </c>
      <c r="V211" s="692">
        <f t="shared" si="239"/>
        <v>1E-3</v>
      </c>
      <c r="W211" s="692">
        <f t="shared" si="239"/>
        <v>1E-3</v>
      </c>
      <c r="X211" s="692">
        <f t="shared" si="239"/>
        <v>1E-3</v>
      </c>
      <c r="Y211" s="692">
        <f t="shared" si="239"/>
        <v>1E-3</v>
      </c>
      <c r="Z211" s="692">
        <f t="shared" si="239"/>
        <v>1E-3</v>
      </c>
      <c r="AA211" s="692">
        <f t="shared" si="239"/>
        <v>1E-3</v>
      </c>
      <c r="AB211" s="692">
        <f t="shared" si="239"/>
        <v>1E-3</v>
      </c>
      <c r="AD211" s="86" t="str">
        <f>MID(D211,15,3)</f>
        <v>ELC</v>
      </c>
      <c r="AE211" s="357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V211" s="700" t="str">
        <f t="shared" ref="AV211:AV212" si="240">MID(E211,1,7)</f>
        <v>TRAELC</v>
      </c>
      <c r="AW211" s="568">
        <f t="shared" ref="AW211" si="241">SUM(AX211:BL211)</f>
        <v>5.7848551496970071</v>
      </c>
      <c r="AX211" s="570">
        <f>N215*N216/N212/1000</f>
        <v>5.7848551496970071</v>
      </c>
      <c r="AY211" s="570">
        <f t="shared" ref="AY211:BL211" si="242">O215*O216/O212/1000</f>
        <v>0</v>
      </c>
      <c r="AZ211" s="570">
        <f t="shared" si="242"/>
        <v>0</v>
      </c>
      <c r="BA211" s="570">
        <f t="shared" si="242"/>
        <v>0</v>
      </c>
      <c r="BB211" s="570">
        <f t="shared" si="242"/>
        <v>0</v>
      </c>
      <c r="BC211" s="570">
        <f t="shared" si="242"/>
        <v>0</v>
      </c>
      <c r="BD211" s="570">
        <f t="shared" si="242"/>
        <v>0</v>
      </c>
      <c r="BE211" s="570">
        <f t="shared" si="242"/>
        <v>0</v>
      </c>
      <c r="BF211" s="570">
        <f t="shared" si="242"/>
        <v>0</v>
      </c>
      <c r="BG211" s="570">
        <f t="shared" si="242"/>
        <v>0</v>
      </c>
      <c r="BH211" s="570">
        <f t="shared" si="242"/>
        <v>0</v>
      </c>
      <c r="BI211" s="570">
        <f t="shared" si="242"/>
        <v>0</v>
      </c>
      <c r="BJ211" s="570">
        <f t="shared" si="242"/>
        <v>0</v>
      </c>
      <c r="BK211" s="570">
        <f t="shared" si="242"/>
        <v>0</v>
      </c>
      <c r="BL211" s="570">
        <f t="shared" si="242"/>
        <v>0</v>
      </c>
    </row>
    <row r="212" spans="1:64" s="83" customFormat="1" x14ac:dyDescent="0.25">
      <c r="B212" s="178" t="str">
        <f>B211</f>
        <v>TBISELC100</v>
      </c>
      <c r="C212" s="178"/>
      <c r="D212" s="179"/>
      <c r="E212" s="178"/>
      <c r="F212" s="182"/>
      <c r="G212" s="180" t="s">
        <v>414</v>
      </c>
      <c r="H212" s="182"/>
      <c r="I212" s="183"/>
      <c r="J212" s="184"/>
      <c r="K212" s="184"/>
      <c r="L212" s="184" t="s">
        <v>1126</v>
      </c>
      <c r="M212" s="178" t="s">
        <v>678</v>
      </c>
      <c r="N212" s="690">
        <f>T_CEFF!H134</f>
        <v>0.16667000000000001</v>
      </c>
      <c r="O212" s="690">
        <f>T_CEFF!I134</f>
        <v>0.16667000000000001</v>
      </c>
      <c r="P212" s="690">
        <f>T_CEFF!J134</f>
        <v>0.16667000000000001</v>
      </c>
      <c r="Q212" s="690">
        <f>T_CEFF!K134</f>
        <v>0.16667000000000001</v>
      </c>
      <c r="R212" s="690">
        <f>T_CEFF!L134</f>
        <v>0.16667000000000001</v>
      </c>
      <c r="S212" s="690">
        <f>T_CEFF!M134</f>
        <v>0.16667000000000001</v>
      </c>
      <c r="T212" s="690">
        <f>T_CEFF!N134</f>
        <v>0.16667000000000001</v>
      </c>
      <c r="U212" s="690">
        <f>T_CEFF!O134</f>
        <v>0.16667000000000001</v>
      </c>
      <c r="V212" s="690">
        <f>T_CEFF!P134</f>
        <v>0.16667000000000001</v>
      </c>
      <c r="W212" s="690">
        <f>T_CEFF!Q134</f>
        <v>0.16667000000000001</v>
      </c>
      <c r="X212" s="690">
        <f>T_CEFF!R134</f>
        <v>0.16667000000000001</v>
      </c>
      <c r="Y212" s="690">
        <f>T_CEFF!S134</f>
        <v>0.16667000000000001</v>
      </c>
      <c r="Z212" s="690">
        <f>T_CEFF!T134</f>
        <v>0.16667000000000001</v>
      </c>
      <c r="AA212" s="690">
        <f>T_CEFF!U134</f>
        <v>0.16667000000000001</v>
      </c>
      <c r="AB212" s="690">
        <f>T_CEFF!V134</f>
        <v>0.16667000000000001</v>
      </c>
      <c r="AD212" s="408" t="str">
        <f>IF(COUNTIF($AG$4:$AP$4,AD211)=1,"ok","MISSING")</f>
        <v>ok</v>
      </c>
      <c r="AE212" s="357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V212" s="700" t="str">
        <f t="shared" si="240"/>
        <v/>
      </c>
      <c r="AW212" s="568"/>
    </row>
    <row r="213" spans="1:64" s="83" customFormat="1" x14ac:dyDescent="0.25">
      <c r="B213" s="178" t="str">
        <f t="shared" ref="B213:B222" si="243">B212</f>
        <v>TBISELC100</v>
      </c>
      <c r="C213" s="178"/>
      <c r="D213" s="179"/>
      <c r="E213" s="178"/>
      <c r="F213" s="182"/>
      <c r="G213" s="180" t="s">
        <v>590</v>
      </c>
      <c r="H213" s="182"/>
      <c r="I213" s="183"/>
      <c r="J213" s="184"/>
      <c r="K213" s="184"/>
      <c r="L213" s="184" t="s">
        <v>1126</v>
      </c>
      <c r="M213" s="178" t="s">
        <v>678</v>
      </c>
      <c r="N213" s="690">
        <f>T_CEFF!H135</f>
        <v>0.16667000000000001</v>
      </c>
      <c r="O213" s="690">
        <f>T_CEFF!I135</f>
        <v>0.16667000000000001</v>
      </c>
      <c r="P213" s="690">
        <f>T_CEFF!J135</f>
        <v>0.16667000000000001</v>
      </c>
      <c r="Q213" s="690">
        <f>T_CEFF!K135</f>
        <v>0.16667000000000001</v>
      </c>
      <c r="R213" s="690">
        <f>T_CEFF!L135</f>
        <v>0.16667000000000001</v>
      </c>
      <c r="S213" s="690">
        <f>T_CEFF!M135</f>
        <v>0.16667000000000001</v>
      </c>
      <c r="T213" s="690">
        <f>T_CEFF!N135</f>
        <v>0.16667000000000001</v>
      </c>
      <c r="U213" s="690">
        <f>T_CEFF!O135</f>
        <v>0.16667000000000001</v>
      </c>
      <c r="V213" s="690">
        <f>T_CEFF!P135</f>
        <v>0.16667000000000001</v>
      </c>
      <c r="W213" s="690">
        <f>T_CEFF!Q135</f>
        <v>0.16667000000000001</v>
      </c>
      <c r="X213" s="690">
        <f>T_CEFF!R135</f>
        <v>0.16667000000000001</v>
      </c>
      <c r="Y213" s="690">
        <f>T_CEFF!S135</f>
        <v>0.16667000000000001</v>
      </c>
      <c r="Z213" s="690">
        <f>T_CEFF!T135</f>
        <v>0.16667000000000001</v>
      </c>
      <c r="AA213" s="690">
        <f>T_CEFF!U135</f>
        <v>0.16667000000000001</v>
      </c>
      <c r="AB213" s="690">
        <f>T_CEFF!V135</f>
        <v>0.16667000000000001</v>
      </c>
      <c r="AE213" s="357"/>
    </row>
    <row r="214" spans="1:64" s="83" customFormat="1" x14ac:dyDescent="0.25">
      <c r="B214" s="178" t="str">
        <f>B213</f>
        <v>TBISELC100</v>
      </c>
      <c r="C214" s="178"/>
      <c r="D214" s="179"/>
      <c r="E214" s="178"/>
      <c r="F214" s="182"/>
      <c r="G214" s="181"/>
      <c r="H214" s="182"/>
      <c r="I214" s="183"/>
      <c r="J214" s="184"/>
      <c r="K214" s="184" t="s">
        <v>749</v>
      </c>
      <c r="L214" s="184" t="s">
        <v>1128</v>
      </c>
      <c r="M214" s="186" t="s">
        <v>1159</v>
      </c>
      <c r="N214" s="691">
        <f>N$17</f>
        <v>12</v>
      </c>
      <c r="O214" s="691">
        <f t="shared" ref="O214:AB214" si="244">O$17</f>
        <v>0</v>
      </c>
      <c r="P214" s="691">
        <f t="shared" si="244"/>
        <v>0</v>
      </c>
      <c r="Q214" s="691">
        <f t="shared" si="244"/>
        <v>0</v>
      </c>
      <c r="R214" s="691">
        <f t="shared" si="244"/>
        <v>0</v>
      </c>
      <c r="S214" s="691">
        <f t="shared" si="244"/>
        <v>0</v>
      </c>
      <c r="T214" s="691">
        <f t="shared" si="244"/>
        <v>0</v>
      </c>
      <c r="U214" s="691">
        <f t="shared" si="244"/>
        <v>0</v>
      </c>
      <c r="V214" s="691">
        <f t="shared" si="244"/>
        <v>0</v>
      </c>
      <c r="W214" s="691">
        <f t="shared" si="244"/>
        <v>0</v>
      </c>
      <c r="X214" s="691">
        <f t="shared" si="244"/>
        <v>0</v>
      </c>
      <c r="Y214" s="691">
        <f t="shared" si="244"/>
        <v>0</v>
      </c>
      <c r="Z214" s="691">
        <f t="shared" si="244"/>
        <v>0</v>
      </c>
      <c r="AA214" s="691">
        <f t="shared" si="244"/>
        <v>0</v>
      </c>
      <c r="AB214" s="691">
        <f t="shared" si="244"/>
        <v>0</v>
      </c>
      <c r="AE214" s="357"/>
    </row>
    <row r="215" spans="1:64" s="83" customFormat="1" x14ac:dyDescent="0.25">
      <c r="B215" s="178" t="str">
        <f t="shared" si="243"/>
        <v>TBISELC100</v>
      </c>
      <c r="C215" s="178"/>
      <c r="D215" s="179"/>
      <c r="E215" s="178"/>
      <c r="F215" s="182"/>
      <c r="G215" s="181"/>
      <c r="H215" s="182"/>
      <c r="I215" s="183"/>
      <c r="J215" s="184"/>
      <c r="K215" s="184"/>
      <c r="L215" s="203" t="s">
        <v>1130</v>
      </c>
      <c r="M215" s="178" t="s">
        <v>1131</v>
      </c>
      <c r="N215" s="389">
        <f>LOOKUP($C$211, T_NCAP_AF!$C$110:$C$120, T_NCAP_AF!D$110:D$120)*(1+N179)</f>
        <v>31.101993800000002</v>
      </c>
      <c r="O215" s="389">
        <f>LOOKUP($C$211, T_NCAP_AF!$C$110:$C$120, T_NCAP_AF!E$110:E$120)*(1+O179)</f>
        <v>0</v>
      </c>
      <c r="P215" s="389">
        <f>LOOKUP($C$211, T_NCAP_AF!$C$110:$C$120, T_NCAP_AF!F$110:F$120)*(1+P179)</f>
        <v>0</v>
      </c>
      <c r="Q215" s="389">
        <f>LOOKUP($C$211, T_NCAP_AF!$C$110:$C$120, T_NCAP_AF!G$110:G$120)*(1+Q179)</f>
        <v>0</v>
      </c>
      <c r="R215" s="389">
        <f>LOOKUP($C$211, T_NCAP_AF!$C$110:$C$120, T_NCAP_AF!H$110:H$120)*(1+R179)</f>
        <v>0</v>
      </c>
      <c r="S215" s="389">
        <f>LOOKUP($C$211, T_NCAP_AF!$C$110:$C$120, T_NCAP_AF!I$110:I$120)*(1+S179)</f>
        <v>0</v>
      </c>
      <c r="T215" s="389">
        <f>LOOKUP($C$211, T_NCAP_AF!$C$110:$C$120, T_NCAP_AF!J$110:J$120)*(1+T179)</f>
        <v>0</v>
      </c>
      <c r="U215" s="389">
        <f>LOOKUP($C$211, T_NCAP_AF!$C$110:$C$120, T_NCAP_AF!K$110:K$120)*(1+U179)</f>
        <v>0</v>
      </c>
      <c r="V215" s="389">
        <f>LOOKUP($C$211, T_NCAP_AF!$C$110:$C$120, T_NCAP_AF!L$110:L$120)*(1+V179)</f>
        <v>0</v>
      </c>
      <c r="W215" s="389">
        <f>LOOKUP($C$211, T_NCAP_AF!$C$110:$C$120, T_NCAP_AF!M$110:M$120)*(1+W179)</f>
        <v>0</v>
      </c>
      <c r="X215" s="389">
        <f>LOOKUP($C$211, T_NCAP_AF!$C$110:$C$120, T_NCAP_AF!N$110:N$120)*(1+X179)</f>
        <v>0</v>
      </c>
      <c r="Y215" s="389">
        <f>LOOKUP($C$211, T_NCAP_AF!$C$110:$C$120, T_NCAP_AF!O$110:O$120)*(1+Y179)</f>
        <v>0</v>
      </c>
      <c r="Z215" s="389">
        <f>LOOKUP($C$211, T_NCAP_AF!$C$110:$C$120, T_NCAP_AF!P$110:P$120)*(1+Z179)</f>
        <v>0</v>
      </c>
      <c r="AA215" s="389">
        <f>LOOKUP($C$211, T_NCAP_AF!$C$110:$C$120, T_NCAP_AF!Q$110:Q$120)*(1+AA179)</f>
        <v>0</v>
      </c>
      <c r="AB215" s="389">
        <f>LOOKUP($C$211, T_NCAP_AF!$C$110:$C$120, T_NCAP_AF!R$110:R$120)*(1+AB179)</f>
        <v>0</v>
      </c>
      <c r="AE215" s="572">
        <f>SUM(AF215:AT215)</f>
        <v>11.569941693600002</v>
      </c>
      <c r="AF215" s="85">
        <f t="shared" ref="AF215:AT215" si="245">N214*N215*N216/1000</f>
        <v>11.569941693600002</v>
      </c>
      <c r="AG215" s="85">
        <f t="shared" si="245"/>
        <v>0</v>
      </c>
      <c r="AH215" s="85">
        <f t="shared" si="245"/>
        <v>0</v>
      </c>
      <c r="AI215" s="85">
        <f t="shared" si="245"/>
        <v>0</v>
      </c>
      <c r="AJ215" s="85">
        <f t="shared" si="245"/>
        <v>0</v>
      </c>
      <c r="AK215" s="85">
        <f t="shared" si="245"/>
        <v>0</v>
      </c>
      <c r="AL215" s="85">
        <f t="shared" si="245"/>
        <v>0</v>
      </c>
      <c r="AM215" s="85">
        <f t="shared" si="245"/>
        <v>0</v>
      </c>
      <c r="AN215" s="85">
        <f t="shared" si="245"/>
        <v>0</v>
      </c>
      <c r="AO215" s="85">
        <f t="shared" si="245"/>
        <v>0</v>
      </c>
      <c r="AP215" s="85">
        <f t="shared" si="245"/>
        <v>0</v>
      </c>
      <c r="AQ215" s="85">
        <f t="shared" si="245"/>
        <v>0</v>
      </c>
      <c r="AR215" s="85">
        <f t="shared" si="245"/>
        <v>0</v>
      </c>
      <c r="AS215" s="85">
        <f t="shared" si="245"/>
        <v>0</v>
      </c>
      <c r="AT215" s="85">
        <f t="shared" si="245"/>
        <v>0</v>
      </c>
    </row>
    <row r="216" spans="1:64" s="83" customFormat="1" x14ac:dyDescent="0.25">
      <c r="B216" s="178" t="str">
        <f>B215</f>
        <v>TBISELC100</v>
      </c>
      <c r="C216" s="178"/>
      <c r="D216" s="179"/>
      <c r="E216" s="178"/>
      <c r="F216" s="182"/>
      <c r="G216" s="181"/>
      <c r="H216" s="182"/>
      <c r="I216" s="183">
        <f>$M$3</f>
        <v>2019</v>
      </c>
      <c r="J216" s="184"/>
      <c r="K216" s="184"/>
      <c r="L216" s="203" t="s">
        <v>1065</v>
      </c>
      <c r="M216" s="178" t="s">
        <v>748</v>
      </c>
      <c r="N216" s="687">
        <f>LOOKUP($C$211, T_Stock_Private!$C$74:$C$84, T_Stock_Private!D$74:D$84)*(1+N180)</f>
        <v>31</v>
      </c>
      <c r="O216" s="687">
        <f>LOOKUP($C$211, T_Stock_Private!$C$74:$C$84, T_Stock_Private!E$74:E$84)*(1+O180)</f>
        <v>0</v>
      </c>
      <c r="P216" s="687">
        <f>LOOKUP($C$211, T_Stock_Private!$C$74:$C$84, T_Stock_Private!F$74:F$84)*(1+P180)</f>
        <v>0</v>
      </c>
      <c r="Q216" s="687">
        <f>LOOKUP($C$211, T_Stock_Private!$C$74:$C$84, T_Stock_Private!G$74:G$84)*(1+Q180)</f>
        <v>0</v>
      </c>
      <c r="R216" s="687">
        <f>LOOKUP($C$211, T_Stock_Private!$C$74:$C$84, T_Stock_Private!H$74:H$84)*(1+R180)</f>
        <v>0</v>
      </c>
      <c r="S216" s="687">
        <f>LOOKUP($C$211, T_Stock_Private!$C$74:$C$84, T_Stock_Private!I$74:I$84)*(1+S180)</f>
        <v>0</v>
      </c>
      <c r="T216" s="687">
        <f>LOOKUP($C$211, T_Stock_Private!$C$74:$C$84, T_Stock_Private!J$74:J$84)*(1+T180)</f>
        <v>0</v>
      </c>
      <c r="U216" s="687">
        <f>LOOKUP($C$211, T_Stock_Private!$C$74:$C$84, T_Stock_Private!K$74:K$84)*(1+U180)</f>
        <v>0</v>
      </c>
      <c r="V216" s="687">
        <f>LOOKUP($C$211, T_Stock_Private!$C$74:$C$84, T_Stock_Private!L$74:L$84)*(1+V180)</f>
        <v>0</v>
      </c>
      <c r="W216" s="687">
        <f>LOOKUP($C$211, T_Stock_Private!$C$74:$C$84, T_Stock_Private!M$74:M$84)*(1+W180)</f>
        <v>0</v>
      </c>
      <c r="X216" s="687">
        <f>LOOKUP($C$211, T_Stock_Private!$C$74:$C$84, T_Stock_Private!N$74:N$84)*(1+X180)</f>
        <v>0</v>
      </c>
      <c r="Y216" s="687">
        <f>LOOKUP($C$211, T_Stock_Private!$C$74:$C$84, T_Stock_Private!O$74:O$84)*(1+Y180)</f>
        <v>0</v>
      </c>
      <c r="Z216" s="687">
        <f>LOOKUP($C$211, T_Stock_Private!$C$74:$C$84, T_Stock_Private!P$74:P$84)*(1+Z180)</f>
        <v>0</v>
      </c>
      <c r="AA216" s="687">
        <f>LOOKUP($C$211, T_Stock_Private!$C$74:$C$84, T_Stock_Private!Q$74:Q$84)*(1+AA180)</f>
        <v>0</v>
      </c>
      <c r="AB216" s="687">
        <f>LOOKUP($C$211, T_Stock_Private!$C$74:$C$84, T_Stock_Private!R$74:R$84)*(1+AB180)</f>
        <v>0</v>
      </c>
      <c r="AC216" s="89"/>
      <c r="AE216" s="357"/>
      <c r="AF216" s="89"/>
    </row>
    <row r="217" spans="1:64" s="83" customFormat="1" x14ac:dyDescent="0.25">
      <c r="B217" s="178" t="str">
        <f t="shared" si="243"/>
        <v>TBISELC100</v>
      </c>
      <c r="C217" s="178"/>
      <c r="D217" s="179"/>
      <c r="E217" s="178"/>
      <c r="F217" s="182"/>
      <c r="G217" s="181"/>
      <c r="H217" s="182"/>
      <c r="I217" s="183">
        <f>AF$5</f>
        <v>2020</v>
      </c>
      <c r="J217" s="184"/>
      <c r="K217" s="184"/>
      <c r="L217" s="203" t="s">
        <v>1065</v>
      </c>
      <c r="M217" s="178" t="s">
        <v>748</v>
      </c>
      <c r="N217" s="687">
        <f t="shared" ref="N217:AB217" si="246">N216*LOOKUP($AD211,$AG$4:$AP$4,$AG$5:$AP$5)</f>
        <v>29.45</v>
      </c>
      <c r="O217" s="687">
        <f t="shared" si="246"/>
        <v>0</v>
      </c>
      <c r="P217" s="687">
        <f t="shared" si="246"/>
        <v>0</v>
      </c>
      <c r="Q217" s="687">
        <f t="shared" si="246"/>
        <v>0</v>
      </c>
      <c r="R217" s="687">
        <f t="shared" si="246"/>
        <v>0</v>
      </c>
      <c r="S217" s="687">
        <f t="shared" si="246"/>
        <v>0</v>
      </c>
      <c r="T217" s="687">
        <f t="shared" si="246"/>
        <v>0</v>
      </c>
      <c r="U217" s="687">
        <f t="shared" si="246"/>
        <v>0</v>
      </c>
      <c r="V217" s="687">
        <f t="shared" si="246"/>
        <v>0</v>
      </c>
      <c r="W217" s="687">
        <f t="shared" si="246"/>
        <v>0</v>
      </c>
      <c r="X217" s="687">
        <f t="shared" si="246"/>
        <v>0</v>
      </c>
      <c r="Y217" s="687">
        <f t="shared" si="246"/>
        <v>0</v>
      </c>
      <c r="Z217" s="687">
        <f t="shared" si="246"/>
        <v>0</v>
      </c>
      <c r="AA217" s="687">
        <f t="shared" si="246"/>
        <v>0</v>
      </c>
      <c r="AB217" s="687">
        <f t="shared" si="246"/>
        <v>0</v>
      </c>
      <c r="AE217" s="357"/>
      <c r="AF217" s="89"/>
    </row>
    <row r="218" spans="1:64" s="83" customFormat="1" x14ac:dyDescent="0.25">
      <c r="B218" s="178" t="str">
        <f t="shared" si="243"/>
        <v>TBISELC100</v>
      </c>
      <c r="C218" s="178"/>
      <c r="D218" s="179"/>
      <c r="E218" s="178"/>
      <c r="F218" s="182"/>
      <c r="G218" s="181"/>
      <c r="H218" s="182"/>
      <c r="I218" s="183">
        <f>AF$6</f>
        <v>2025</v>
      </c>
      <c r="J218" s="184"/>
      <c r="K218" s="184"/>
      <c r="L218" s="203" t="s">
        <v>1065</v>
      </c>
      <c r="M218" s="178" t="s">
        <v>748</v>
      </c>
      <c r="N218" s="687">
        <f t="shared" ref="N218:AB218" si="247">N216*LOOKUP($AD211,$AG$4:$AP$4,$AG$6:$AP$6)</f>
        <v>18.599999999999998</v>
      </c>
      <c r="O218" s="687">
        <f t="shared" si="247"/>
        <v>0</v>
      </c>
      <c r="P218" s="687">
        <f t="shared" si="247"/>
        <v>0</v>
      </c>
      <c r="Q218" s="687">
        <f t="shared" si="247"/>
        <v>0</v>
      </c>
      <c r="R218" s="687">
        <f t="shared" si="247"/>
        <v>0</v>
      </c>
      <c r="S218" s="687">
        <f t="shared" si="247"/>
        <v>0</v>
      </c>
      <c r="T218" s="687">
        <f t="shared" si="247"/>
        <v>0</v>
      </c>
      <c r="U218" s="687">
        <f t="shared" si="247"/>
        <v>0</v>
      </c>
      <c r="V218" s="687">
        <f t="shared" si="247"/>
        <v>0</v>
      </c>
      <c r="W218" s="687">
        <f t="shared" si="247"/>
        <v>0</v>
      </c>
      <c r="X218" s="687">
        <f t="shared" si="247"/>
        <v>0</v>
      </c>
      <c r="Y218" s="687">
        <f t="shared" si="247"/>
        <v>0</v>
      </c>
      <c r="Z218" s="687">
        <f t="shared" si="247"/>
        <v>0</v>
      </c>
      <c r="AA218" s="687">
        <f t="shared" si="247"/>
        <v>0</v>
      </c>
      <c r="AB218" s="687">
        <f t="shared" si="247"/>
        <v>0</v>
      </c>
      <c r="AE218" s="357"/>
      <c r="AF218" s="89"/>
    </row>
    <row r="219" spans="1:64" s="83" customFormat="1" x14ac:dyDescent="0.25">
      <c r="B219" s="178" t="str">
        <f t="shared" si="243"/>
        <v>TBISELC100</v>
      </c>
      <c r="C219" s="178"/>
      <c r="D219" s="179"/>
      <c r="E219" s="178"/>
      <c r="F219" s="182"/>
      <c r="G219" s="181"/>
      <c r="H219" s="182"/>
      <c r="I219" s="183">
        <f>AF$7</f>
        <v>2030</v>
      </c>
      <c r="J219" s="184"/>
      <c r="K219" s="184"/>
      <c r="L219" s="203" t="s">
        <v>1065</v>
      </c>
      <c r="M219" s="178" t="s">
        <v>748</v>
      </c>
      <c r="N219" s="687">
        <f t="shared" ref="N219:AB219" si="248">N216*LOOKUP($AD211,$AG$4:$AP$4,$AG$7:$AP$7)</f>
        <v>3.1</v>
      </c>
      <c r="O219" s="687">
        <f t="shared" si="248"/>
        <v>0</v>
      </c>
      <c r="P219" s="687">
        <f t="shared" si="248"/>
        <v>0</v>
      </c>
      <c r="Q219" s="687">
        <f t="shared" si="248"/>
        <v>0</v>
      </c>
      <c r="R219" s="687">
        <f t="shared" si="248"/>
        <v>0</v>
      </c>
      <c r="S219" s="687">
        <f t="shared" si="248"/>
        <v>0</v>
      </c>
      <c r="T219" s="687">
        <f t="shared" si="248"/>
        <v>0</v>
      </c>
      <c r="U219" s="687">
        <f t="shared" si="248"/>
        <v>0</v>
      </c>
      <c r="V219" s="687">
        <f t="shared" si="248"/>
        <v>0</v>
      </c>
      <c r="W219" s="687">
        <f t="shared" si="248"/>
        <v>0</v>
      </c>
      <c r="X219" s="687">
        <f t="shared" si="248"/>
        <v>0</v>
      </c>
      <c r="Y219" s="687">
        <f t="shared" si="248"/>
        <v>0</v>
      </c>
      <c r="Z219" s="687">
        <f t="shared" si="248"/>
        <v>0</v>
      </c>
      <c r="AA219" s="687">
        <f t="shared" si="248"/>
        <v>0</v>
      </c>
      <c r="AB219" s="687">
        <f t="shared" si="248"/>
        <v>0</v>
      </c>
      <c r="AE219" s="357"/>
      <c r="AF219" s="89"/>
    </row>
    <row r="220" spans="1:64" s="83" customFormat="1" x14ac:dyDescent="0.25">
      <c r="B220" s="178" t="str">
        <f t="shared" si="243"/>
        <v>TBISELC100</v>
      </c>
      <c r="C220" s="178"/>
      <c r="D220" s="179"/>
      <c r="E220" s="178"/>
      <c r="F220" s="182"/>
      <c r="G220" s="181"/>
      <c r="H220" s="182"/>
      <c r="I220" s="183">
        <f>AF$8</f>
        <v>2035</v>
      </c>
      <c r="J220" s="184"/>
      <c r="K220" s="184"/>
      <c r="L220" s="203" t="s">
        <v>1065</v>
      </c>
      <c r="M220" s="178" t="s">
        <v>748</v>
      </c>
      <c r="N220" s="687">
        <f t="shared" ref="N220:AB220" si="249">N216*LOOKUP($AD211,$AG$4:$AP$4,$AG$8:$AP$8)</f>
        <v>0.31</v>
      </c>
      <c r="O220" s="687">
        <f t="shared" si="249"/>
        <v>0</v>
      </c>
      <c r="P220" s="687">
        <f t="shared" si="249"/>
        <v>0</v>
      </c>
      <c r="Q220" s="687">
        <f t="shared" si="249"/>
        <v>0</v>
      </c>
      <c r="R220" s="687">
        <f t="shared" si="249"/>
        <v>0</v>
      </c>
      <c r="S220" s="687">
        <f t="shared" si="249"/>
        <v>0</v>
      </c>
      <c r="T220" s="687">
        <f t="shared" si="249"/>
        <v>0</v>
      </c>
      <c r="U220" s="687">
        <f t="shared" si="249"/>
        <v>0</v>
      </c>
      <c r="V220" s="687">
        <f t="shared" si="249"/>
        <v>0</v>
      </c>
      <c r="W220" s="687">
        <f t="shared" si="249"/>
        <v>0</v>
      </c>
      <c r="X220" s="687">
        <f t="shared" si="249"/>
        <v>0</v>
      </c>
      <c r="Y220" s="687">
        <f t="shared" si="249"/>
        <v>0</v>
      </c>
      <c r="Z220" s="687">
        <f t="shared" si="249"/>
        <v>0</v>
      </c>
      <c r="AA220" s="687">
        <f t="shared" si="249"/>
        <v>0</v>
      </c>
      <c r="AB220" s="687">
        <f t="shared" si="249"/>
        <v>0</v>
      </c>
      <c r="AE220" s="357"/>
      <c r="AF220" s="89"/>
    </row>
    <row r="221" spans="1:64" s="83" customFormat="1" x14ac:dyDescent="0.25">
      <c r="B221" s="178" t="str">
        <f t="shared" si="243"/>
        <v>TBISELC100</v>
      </c>
      <c r="C221" s="178"/>
      <c r="D221" s="179"/>
      <c r="E221" s="178"/>
      <c r="F221" s="182"/>
      <c r="G221" s="181"/>
      <c r="H221" s="182"/>
      <c r="I221" s="183">
        <f>AF$9</f>
        <v>2040</v>
      </c>
      <c r="J221" s="184"/>
      <c r="K221" s="184"/>
      <c r="L221" s="203" t="s">
        <v>1065</v>
      </c>
      <c r="M221" s="178" t="s">
        <v>748</v>
      </c>
      <c r="N221" s="687">
        <f t="shared" ref="N221:AB221" si="250">N216*LOOKUP($AD211,$AG$4:$AP$4,$AG$9:$AP$9)</f>
        <v>0</v>
      </c>
      <c r="O221" s="687">
        <f t="shared" si="250"/>
        <v>0</v>
      </c>
      <c r="P221" s="687">
        <f t="shared" si="250"/>
        <v>0</v>
      </c>
      <c r="Q221" s="687">
        <f t="shared" si="250"/>
        <v>0</v>
      </c>
      <c r="R221" s="687">
        <f t="shared" si="250"/>
        <v>0</v>
      </c>
      <c r="S221" s="687">
        <f t="shared" si="250"/>
        <v>0</v>
      </c>
      <c r="T221" s="687">
        <f t="shared" si="250"/>
        <v>0</v>
      </c>
      <c r="U221" s="687">
        <f t="shared" si="250"/>
        <v>0</v>
      </c>
      <c r="V221" s="687">
        <f t="shared" si="250"/>
        <v>0</v>
      </c>
      <c r="W221" s="687">
        <f t="shared" si="250"/>
        <v>0</v>
      </c>
      <c r="X221" s="687">
        <f t="shared" si="250"/>
        <v>0</v>
      </c>
      <c r="Y221" s="687">
        <f t="shared" si="250"/>
        <v>0</v>
      </c>
      <c r="Z221" s="687">
        <f t="shared" si="250"/>
        <v>0</v>
      </c>
      <c r="AA221" s="687">
        <f t="shared" si="250"/>
        <v>0</v>
      </c>
      <c r="AB221" s="687">
        <f t="shared" si="250"/>
        <v>0</v>
      </c>
      <c r="AE221" s="357"/>
      <c r="AF221" s="89"/>
    </row>
    <row r="222" spans="1:64" s="83" customFormat="1" x14ac:dyDescent="0.25">
      <c r="B222" s="204" t="str">
        <f t="shared" si="243"/>
        <v>TBISELC100</v>
      </c>
      <c r="C222" s="204"/>
      <c r="D222" s="205"/>
      <c r="E222" s="204"/>
      <c r="F222" s="206"/>
      <c r="G222" s="207"/>
      <c r="H222" s="206"/>
      <c r="I222" s="208">
        <f>AF$10</f>
        <v>2050</v>
      </c>
      <c r="J222" s="209"/>
      <c r="K222" s="209"/>
      <c r="L222" s="210" t="s">
        <v>1065</v>
      </c>
      <c r="M222" s="204" t="s">
        <v>748</v>
      </c>
      <c r="N222" s="688">
        <f t="shared" ref="N222:AB222" si="251">N216*LOOKUP($AD211,$AG$4:$AP$4,$AG$10:$AP$10)</f>
        <v>0</v>
      </c>
      <c r="O222" s="688">
        <f t="shared" si="251"/>
        <v>0</v>
      </c>
      <c r="P222" s="688">
        <f t="shared" si="251"/>
        <v>0</v>
      </c>
      <c r="Q222" s="688">
        <f t="shared" si="251"/>
        <v>0</v>
      </c>
      <c r="R222" s="688">
        <f t="shared" si="251"/>
        <v>0</v>
      </c>
      <c r="S222" s="688">
        <f t="shared" si="251"/>
        <v>0</v>
      </c>
      <c r="T222" s="688">
        <f t="shared" si="251"/>
        <v>0</v>
      </c>
      <c r="U222" s="688">
        <f t="shared" si="251"/>
        <v>0</v>
      </c>
      <c r="V222" s="688">
        <f t="shared" si="251"/>
        <v>0</v>
      </c>
      <c r="W222" s="688">
        <f t="shared" si="251"/>
        <v>0</v>
      </c>
      <c r="X222" s="688">
        <f t="shared" si="251"/>
        <v>0</v>
      </c>
      <c r="Y222" s="688">
        <f t="shared" si="251"/>
        <v>0</v>
      </c>
      <c r="Z222" s="688">
        <f t="shared" si="251"/>
        <v>0</v>
      </c>
      <c r="AA222" s="688">
        <f t="shared" si="251"/>
        <v>0</v>
      </c>
      <c r="AB222" s="688">
        <f t="shared" si="251"/>
        <v>0</v>
      </c>
      <c r="AE222" s="357"/>
      <c r="AF222" s="89"/>
    </row>
    <row r="223" spans="1:64" s="83" customFormat="1" x14ac:dyDescent="0.25">
      <c r="A223" s="82"/>
      <c r="B223" s="178" t="str">
        <f>C223</f>
        <v>TBISETH100</v>
      </c>
      <c r="C223" s="178" t="s">
        <v>339</v>
      </c>
      <c r="D223" s="179" t="s">
        <v>755</v>
      </c>
      <c r="E223" s="180" t="s">
        <v>1010</v>
      </c>
      <c r="F223" s="182"/>
      <c r="G223" s="181"/>
      <c r="H223" s="182"/>
      <c r="I223" s="183"/>
      <c r="J223" s="184"/>
      <c r="K223" s="184"/>
      <c r="L223" s="203" t="s">
        <v>1107</v>
      </c>
      <c r="M223" s="184" t="s">
        <v>1156</v>
      </c>
      <c r="N223" s="692">
        <f>N$47</f>
        <v>1E-3</v>
      </c>
      <c r="O223" s="692">
        <f t="shared" ref="O223:AB223" si="252">$N223</f>
        <v>1E-3</v>
      </c>
      <c r="P223" s="692">
        <f t="shared" si="252"/>
        <v>1E-3</v>
      </c>
      <c r="Q223" s="692">
        <f t="shared" si="252"/>
        <v>1E-3</v>
      </c>
      <c r="R223" s="692">
        <f t="shared" si="252"/>
        <v>1E-3</v>
      </c>
      <c r="S223" s="692">
        <f t="shared" si="252"/>
        <v>1E-3</v>
      </c>
      <c r="T223" s="692">
        <f t="shared" si="252"/>
        <v>1E-3</v>
      </c>
      <c r="U223" s="692">
        <f t="shared" si="252"/>
        <v>1E-3</v>
      </c>
      <c r="V223" s="692">
        <f t="shared" si="252"/>
        <v>1E-3</v>
      </c>
      <c r="W223" s="692">
        <f t="shared" si="252"/>
        <v>1E-3</v>
      </c>
      <c r="X223" s="692">
        <f t="shared" si="252"/>
        <v>1E-3</v>
      </c>
      <c r="Y223" s="692">
        <f t="shared" si="252"/>
        <v>1E-3</v>
      </c>
      <c r="Z223" s="692">
        <f t="shared" si="252"/>
        <v>1E-3</v>
      </c>
      <c r="AA223" s="692">
        <f t="shared" si="252"/>
        <v>1E-3</v>
      </c>
      <c r="AB223" s="692">
        <f t="shared" si="252"/>
        <v>1E-3</v>
      </c>
      <c r="AD223" s="410" t="str">
        <f>MID(D223,15,3)</f>
        <v>ETH</v>
      </c>
      <c r="AE223" s="357"/>
      <c r="AF223" s="89"/>
      <c r="AV223" s="700" t="str">
        <f t="shared" ref="AV223" si="253">MID(E223,1,7)</f>
        <v>TRAETH</v>
      </c>
      <c r="AW223" s="568">
        <f t="shared" ref="AW223" si="254">SUM(AX223:BL223)</f>
        <v>114.05627448149687</v>
      </c>
      <c r="AX223" s="570">
        <f>N227*N228/N224/1000</f>
        <v>114.05627448149687</v>
      </c>
      <c r="AY223" s="570">
        <f t="shared" ref="AY223:BL223" si="255">O227*O228/O224/1000</f>
        <v>0</v>
      </c>
      <c r="AZ223" s="570">
        <f t="shared" si="255"/>
        <v>0</v>
      </c>
      <c r="BA223" s="570">
        <f t="shared" si="255"/>
        <v>0</v>
      </c>
      <c r="BB223" s="570">
        <f t="shared" si="255"/>
        <v>0</v>
      </c>
      <c r="BC223" s="570">
        <f t="shared" si="255"/>
        <v>0</v>
      </c>
      <c r="BD223" s="570">
        <f t="shared" si="255"/>
        <v>0</v>
      </c>
      <c r="BE223" s="570">
        <f t="shared" si="255"/>
        <v>0</v>
      </c>
      <c r="BF223" s="570">
        <f t="shared" si="255"/>
        <v>0</v>
      </c>
      <c r="BG223" s="570">
        <f t="shared" si="255"/>
        <v>0</v>
      </c>
      <c r="BH223" s="570">
        <f t="shared" si="255"/>
        <v>0</v>
      </c>
      <c r="BI223" s="570">
        <f t="shared" si="255"/>
        <v>0</v>
      </c>
      <c r="BJ223" s="570">
        <f t="shared" si="255"/>
        <v>0</v>
      </c>
      <c r="BK223" s="570">
        <f t="shared" si="255"/>
        <v>0</v>
      </c>
      <c r="BL223" s="570">
        <f t="shared" si="255"/>
        <v>0</v>
      </c>
    </row>
    <row r="224" spans="1:64" s="83" customFormat="1" x14ac:dyDescent="0.25">
      <c r="A224" s="82"/>
      <c r="B224" s="178" t="str">
        <f>B223</f>
        <v>TBISETH100</v>
      </c>
      <c r="C224" s="178"/>
      <c r="D224" s="179"/>
      <c r="E224" s="178"/>
      <c r="F224" s="182"/>
      <c r="G224" s="180" t="s">
        <v>414</v>
      </c>
      <c r="H224" s="182"/>
      <c r="I224" s="183"/>
      <c r="J224" s="184"/>
      <c r="K224" s="184"/>
      <c r="L224" s="184" t="s">
        <v>1126</v>
      </c>
      <c r="M224" s="178" t="s">
        <v>678</v>
      </c>
      <c r="N224" s="690">
        <f>T_CEFF!H136</f>
        <v>4.3290000000000002E-2</v>
      </c>
      <c r="O224" s="690">
        <f>T_CEFF!I136</f>
        <v>4.3290000000000002E-2</v>
      </c>
      <c r="P224" s="690">
        <f>T_CEFF!J136</f>
        <v>4.3290000000000002E-2</v>
      </c>
      <c r="Q224" s="690">
        <f>T_CEFF!K136</f>
        <v>4.3290000000000002E-2</v>
      </c>
      <c r="R224" s="690">
        <f>T_CEFF!L136</f>
        <v>4.3290000000000002E-2</v>
      </c>
      <c r="S224" s="690">
        <f>T_CEFF!M136</f>
        <v>4.3290000000000002E-2</v>
      </c>
      <c r="T224" s="690">
        <f>T_CEFF!N136</f>
        <v>4.3290000000000002E-2</v>
      </c>
      <c r="U224" s="690">
        <f>T_CEFF!O136</f>
        <v>4.3290000000000002E-2</v>
      </c>
      <c r="V224" s="690">
        <f>T_CEFF!P136</f>
        <v>4.3290000000000002E-2</v>
      </c>
      <c r="W224" s="690">
        <f>T_CEFF!Q136</f>
        <v>4.3290000000000002E-2</v>
      </c>
      <c r="X224" s="690">
        <f>T_CEFF!R136</f>
        <v>4.3290000000000002E-2</v>
      </c>
      <c r="Y224" s="690">
        <f>T_CEFF!S136</f>
        <v>4.3290000000000002E-2</v>
      </c>
      <c r="Z224" s="690">
        <f>T_CEFF!T136</f>
        <v>4.3290000000000002E-2</v>
      </c>
      <c r="AA224" s="690">
        <f>T_CEFF!U136</f>
        <v>4.3290000000000002E-2</v>
      </c>
      <c r="AB224" s="690">
        <f>T_CEFF!V136</f>
        <v>4.3290000000000002E-2</v>
      </c>
      <c r="AE224" s="357"/>
      <c r="AG224" s="89"/>
      <c r="AH224" s="89"/>
      <c r="AI224" s="89"/>
      <c r="AJ224" s="89"/>
      <c r="AK224" s="89"/>
      <c r="AL224" s="89"/>
      <c r="AM224" s="89"/>
      <c r="AN224" s="89"/>
      <c r="AO224" s="89"/>
      <c r="AP224" s="89"/>
      <c r="AQ224" s="89"/>
      <c r="AR224" s="89"/>
      <c r="AS224" s="89"/>
      <c r="AT224" s="89"/>
    </row>
    <row r="225" spans="1:64" s="83" customFormat="1" x14ac:dyDescent="0.25">
      <c r="A225" s="82"/>
      <c r="B225" s="178" t="str">
        <f t="shared" ref="B225:B234" si="256">B224</f>
        <v>TBISETH100</v>
      </c>
      <c r="C225" s="178"/>
      <c r="D225" s="179"/>
      <c r="E225" s="178"/>
      <c r="F225" s="182"/>
      <c r="G225" s="180" t="s">
        <v>590</v>
      </c>
      <c r="H225" s="182"/>
      <c r="I225" s="183"/>
      <c r="J225" s="184"/>
      <c r="K225" s="184"/>
      <c r="L225" s="184" t="s">
        <v>1126</v>
      </c>
      <c r="M225" s="178" t="s">
        <v>678</v>
      </c>
      <c r="N225" s="690">
        <f>T_CEFF!H137</f>
        <v>4.3290000000000002E-2</v>
      </c>
      <c r="O225" s="690">
        <f>T_CEFF!I137</f>
        <v>4.3290000000000002E-2</v>
      </c>
      <c r="P225" s="690">
        <f>T_CEFF!J137</f>
        <v>4.3290000000000002E-2</v>
      </c>
      <c r="Q225" s="690">
        <f>T_CEFF!K137</f>
        <v>4.3290000000000002E-2</v>
      </c>
      <c r="R225" s="690">
        <f>T_CEFF!L137</f>
        <v>4.3290000000000002E-2</v>
      </c>
      <c r="S225" s="690">
        <f>T_CEFF!M137</f>
        <v>4.3290000000000002E-2</v>
      </c>
      <c r="T225" s="690">
        <f>T_CEFF!N137</f>
        <v>4.3290000000000002E-2</v>
      </c>
      <c r="U225" s="690">
        <f>T_CEFF!O137</f>
        <v>4.3290000000000002E-2</v>
      </c>
      <c r="V225" s="690">
        <f>T_CEFF!P137</f>
        <v>4.3290000000000002E-2</v>
      </c>
      <c r="W225" s="690">
        <f>T_CEFF!Q137</f>
        <v>4.3290000000000002E-2</v>
      </c>
      <c r="X225" s="690">
        <f>T_CEFF!R137</f>
        <v>4.3290000000000002E-2</v>
      </c>
      <c r="Y225" s="690">
        <f>T_CEFF!S137</f>
        <v>4.3290000000000002E-2</v>
      </c>
      <c r="Z225" s="690">
        <f>T_CEFF!T137</f>
        <v>4.3290000000000002E-2</v>
      </c>
      <c r="AA225" s="690">
        <f>T_CEFF!U137</f>
        <v>4.3290000000000002E-2</v>
      </c>
      <c r="AB225" s="690">
        <f>T_CEFF!V137</f>
        <v>4.3290000000000002E-2</v>
      </c>
      <c r="AE225" s="357"/>
      <c r="AG225" s="89"/>
      <c r="AH225" s="89"/>
      <c r="AI225" s="89"/>
      <c r="AJ225" s="89"/>
      <c r="AK225" s="89"/>
      <c r="AL225" s="89"/>
      <c r="AM225" s="89"/>
      <c r="AN225" s="89"/>
      <c r="AO225" s="89"/>
      <c r="AP225" s="89"/>
      <c r="AQ225" s="89"/>
      <c r="AR225" s="89"/>
      <c r="AS225" s="89"/>
      <c r="AT225" s="89"/>
    </row>
    <row r="226" spans="1:64" s="83" customFormat="1" x14ac:dyDescent="0.25">
      <c r="A226" s="82"/>
      <c r="B226" s="178" t="str">
        <f>B225</f>
        <v>TBISETH100</v>
      </c>
      <c r="C226" s="178"/>
      <c r="D226" s="179"/>
      <c r="E226" s="178"/>
      <c r="F226" s="182"/>
      <c r="G226" s="181"/>
      <c r="H226" s="182"/>
      <c r="I226" s="183"/>
      <c r="J226" s="184"/>
      <c r="K226" s="184" t="s">
        <v>749</v>
      </c>
      <c r="L226" s="184" t="s">
        <v>1128</v>
      </c>
      <c r="M226" s="178" t="s">
        <v>1119</v>
      </c>
      <c r="N226" s="691">
        <f>N$17</f>
        <v>12</v>
      </c>
      <c r="O226" s="691">
        <f t="shared" ref="O226:AB226" si="257">O$17</f>
        <v>0</v>
      </c>
      <c r="P226" s="691">
        <f t="shared" si="257"/>
        <v>0</v>
      </c>
      <c r="Q226" s="691">
        <f t="shared" si="257"/>
        <v>0</v>
      </c>
      <c r="R226" s="691">
        <f t="shared" si="257"/>
        <v>0</v>
      </c>
      <c r="S226" s="691">
        <f t="shared" si="257"/>
        <v>0</v>
      </c>
      <c r="T226" s="691">
        <f t="shared" si="257"/>
        <v>0</v>
      </c>
      <c r="U226" s="691">
        <f t="shared" si="257"/>
        <v>0</v>
      </c>
      <c r="V226" s="691">
        <f t="shared" si="257"/>
        <v>0</v>
      </c>
      <c r="W226" s="691">
        <f t="shared" si="257"/>
        <v>0</v>
      </c>
      <c r="X226" s="691">
        <f t="shared" si="257"/>
        <v>0</v>
      </c>
      <c r="Y226" s="691">
        <f t="shared" si="257"/>
        <v>0</v>
      </c>
      <c r="Z226" s="691">
        <f t="shared" si="257"/>
        <v>0</v>
      </c>
      <c r="AA226" s="691">
        <f t="shared" si="257"/>
        <v>0</v>
      </c>
      <c r="AB226" s="691">
        <f t="shared" si="257"/>
        <v>0</v>
      </c>
      <c r="AE226" s="357"/>
      <c r="AG226" s="89"/>
      <c r="AH226" s="89"/>
      <c r="AI226" s="89"/>
      <c r="AJ226" s="89"/>
      <c r="AK226" s="89"/>
      <c r="AL226" s="89"/>
      <c r="AM226" s="89"/>
      <c r="AN226" s="89"/>
      <c r="AO226" s="89"/>
      <c r="AP226" s="89"/>
      <c r="AQ226" s="89"/>
      <c r="AR226" s="89"/>
      <c r="AS226" s="89"/>
      <c r="AT226" s="89"/>
    </row>
    <row r="227" spans="1:64" s="83" customFormat="1" x14ac:dyDescent="0.25">
      <c r="A227" s="82"/>
      <c r="B227" s="178" t="str">
        <f t="shared" si="256"/>
        <v>TBISETH100</v>
      </c>
      <c r="C227" s="178"/>
      <c r="D227" s="179"/>
      <c r="E227" s="178"/>
      <c r="F227" s="182"/>
      <c r="G227" s="181"/>
      <c r="H227" s="182"/>
      <c r="I227" s="183"/>
      <c r="J227" s="184"/>
      <c r="K227" s="184"/>
      <c r="L227" s="203" t="s">
        <v>1130</v>
      </c>
      <c r="M227" s="178" t="s">
        <v>1131</v>
      </c>
      <c r="N227" s="389">
        <f>LOOKUP($C$223, T_NCAP_AF!$C$110:$C$120, T_NCAP_AF!D$110:D$120)*(1+N179)</f>
        <v>42.564621744</v>
      </c>
      <c r="O227" s="389">
        <f>LOOKUP($C$223, T_NCAP_AF!$C$110:$C$120, T_NCAP_AF!E$110:E$120)*(1+O179)</f>
        <v>0</v>
      </c>
      <c r="P227" s="389">
        <f>LOOKUP($C$223, T_NCAP_AF!$C$110:$C$120, T_NCAP_AF!F$110:F$120)*(1+P179)</f>
        <v>0</v>
      </c>
      <c r="Q227" s="389">
        <f>LOOKUP($C$223, T_NCAP_AF!$C$110:$C$120, T_NCAP_AF!G$110:G$120)*(1+Q179)</f>
        <v>0</v>
      </c>
      <c r="R227" s="389">
        <f>LOOKUP($C$223, T_NCAP_AF!$C$110:$C$120, T_NCAP_AF!H$110:H$120)*(1+R179)</f>
        <v>0</v>
      </c>
      <c r="S227" s="389">
        <f>LOOKUP($C$223, T_NCAP_AF!$C$110:$C$120, T_NCAP_AF!I$110:I$120)*(1+S179)</f>
        <v>0</v>
      </c>
      <c r="T227" s="389">
        <f>LOOKUP($C$223, T_NCAP_AF!$C$110:$C$120, T_NCAP_AF!J$110:J$120)*(1+T179)</f>
        <v>0</v>
      </c>
      <c r="U227" s="389">
        <f>LOOKUP($C$223, T_NCAP_AF!$C$110:$C$120, T_NCAP_AF!K$110:K$120)*(1+U179)</f>
        <v>0</v>
      </c>
      <c r="V227" s="389">
        <f>LOOKUP($C$223, T_NCAP_AF!$C$110:$C$120, T_NCAP_AF!L$110:L$120)*(1+V179)</f>
        <v>0</v>
      </c>
      <c r="W227" s="389">
        <f>LOOKUP($C$223, T_NCAP_AF!$C$110:$C$120, T_NCAP_AF!M$110:M$120)*(1+W179)</f>
        <v>0</v>
      </c>
      <c r="X227" s="389">
        <f>LOOKUP($C$223, T_NCAP_AF!$C$110:$C$120, T_NCAP_AF!N$110:N$120)*(1+X179)</f>
        <v>0</v>
      </c>
      <c r="Y227" s="389">
        <f>LOOKUP($C$223, T_NCAP_AF!$C$110:$C$120, T_NCAP_AF!O$110:O$120)*(1+Y179)</f>
        <v>0</v>
      </c>
      <c r="Z227" s="389">
        <f>LOOKUP($C$223, T_NCAP_AF!$C$110:$C$120, T_NCAP_AF!P$110:P$120)*(1+Z179)</f>
        <v>0</v>
      </c>
      <c r="AA227" s="389">
        <f>LOOKUP($C$223, T_NCAP_AF!$C$110:$C$120, T_NCAP_AF!Q$110:Q$120)*(1+AA179)</f>
        <v>0</v>
      </c>
      <c r="AB227" s="389">
        <f>LOOKUP($C$223, T_NCAP_AF!$C$110:$C$120, T_NCAP_AF!R$110:R$120)*(1+AB179)</f>
        <v>0</v>
      </c>
      <c r="AE227" s="572">
        <f>SUM(AF227:AT227)</f>
        <v>59.249953467648005</v>
      </c>
      <c r="AF227" s="85">
        <f t="shared" ref="AF227:AT227" si="258">N226*N227*N228/1000</f>
        <v>59.249953467648005</v>
      </c>
      <c r="AG227" s="85">
        <f t="shared" si="258"/>
        <v>0</v>
      </c>
      <c r="AH227" s="85">
        <f t="shared" si="258"/>
        <v>0</v>
      </c>
      <c r="AI227" s="85">
        <f t="shared" si="258"/>
        <v>0</v>
      </c>
      <c r="AJ227" s="85">
        <f t="shared" si="258"/>
        <v>0</v>
      </c>
      <c r="AK227" s="85">
        <f t="shared" si="258"/>
        <v>0</v>
      </c>
      <c r="AL227" s="85">
        <f t="shared" si="258"/>
        <v>0</v>
      </c>
      <c r="AM227" s="85">
        <f t="shared" si="258"/>
        <v>0</v>
      </c>
      <c r="AN227" s="85">
        <f t="shared" si="258"/>
        <v>0</v>
      </c>
      <c r="AO227" s="85">
        <f t="shared" si="258"/>
        <v>0</v>
      </c>
      <c r="AP227" s="85">
        <f t="shared" si="258"/>
        <v>0</v>
      </c>
      <c r="AQ227" s="85">
        <f t="shared" si="258"/>
        <v>0</v>
      </c>
      <c r="AR227" s="85">
        <f t="shared" si="258"/>
        <v>0</v>
      </c>
      <c r="AS227" s="85">
        <f t="shared" si="258"/>
        <v>0</v>
      </c>
      <c r="AT227" s="85">
        <f t="shared" si="258"/>
        <v>0</v>
      </c>
    </row>
    <row r="228" spans="1:64" s="83" customFormat="1" x14ac:dyDescent="0.25">
      <c r="A228" s="82"/>
      <c r="B228" s="178" t="str">
        <f>B227</f>
        <v>TBISETH100</v>
      </c>
      <c r="C228" s="178"/>
      <c r="D228" s="179"/>
      <c r="E228" s="178"/>
      <c r="F228" s="182"/>
      <c r="G228" s="181"/>
      <c r="H228" s="182"/>
      <c r="I228" s="183">
        <f>$M$3</f>
        <v>2019</v>
      </c>
      <c r="J228" s="184"/>
      <c r="K228" s="184"/>
      <c r="L228" s="203" t="s">
        <v>1065</v>
      </c>
      <c r="M228" s="178" t="s">
        <v>748</v>
      </c>
      <c r="N228" s="687">
        <f>LOOKUP($C$223, T_Stock_Private!$C$74:$C$84, T_Stock_Private!D$74:D$84)*(1+N180)</f>
        <v>116</v>
      </c>
      <c r="O228" s="687">
        <f>LOOKUP($C$223, T_Stock_Private!$C$74:$C$84, T_Stock_Private!E$74:E$84)*(1+O180)</f>
        <v>0</v>
      </c>
      <c r="P228" s="687">
        <f>LOOKUP($C$223, T_Stock_Private!$C$74:$C$84, T_Stock_Private!F$74:F$84)*(1+P180)</f>
        <v>0</v>
      </c>
      <c r="Q228" s="687">
        <f>LOOKUP($C$223, T_Stock_Private!$C$74:$C$84, T_Stock_Private!G$74:G$84)*(1+Q180)</f>
        <v>0</v>
      </c>
      <c r="R228" s="687">
        <f>LOOKUP($C$223, T_Stock_Private!$C$74:$C$84, T_Stock_Private!H$74:H$84)*(1+R180)</f>
        <v>0</v>
      </c>
      <c r="S228" s="687">
        <f>LOOKUP($C$223, T_Stock_Private!$C$74:$C$84, T_Stock_Private!I$74:I$84)*(1+S180)</f>
        <v>0</v>
      </c>
      <c r="T228" s="687">
        <f>LOOKUP($C$223, T_Stock_Private!$C$74:$C$84, T_Stock_Private!J$74:J$84)*(1+T180)</f>
        <v>0</v>
      </c>
      <c r="U228" s="687">
        <f>LOOKUP($C$223, T_Stock_Private!$C$74:$C$84, T_Stock_Private!K$74:K$84)*(1+U180)</f>
        <v>0</v>
      </c>
      <c r="V228" s="687">
        <f>LOOKUP($C$223, T_Stock_Private!$C$74:$C$84, T_Stock_Private!L$74:L$84)*(1+V180)</f>
        <v>0</v>
      </c>
      <c r="W228" s="687">
        <f>LOOKUP($C$223, T_Stock_Private!$C$74:$C$84, T_Stock_Private!M$74:M$84)*(1+W180)</f>
        <v>0</v>
      </c>
      <c r="X228" s="687">
        <f>LOOKUP($C$223, T_Stock_Private!$C$74:$C$84, T_Stock_Private!N$74:N$84)*(1+X180)</f>
        <v>0</v>
      </c>
      <c r="Y228" s="687">
        <f>LOOKUP($C$223, T_Stock_Private!$C$74:$C$84, T_Stock_Private!O$74:O$84)*(1+Y180)</f>
        <v>0</v>
      </c>
      <c r="Z228" s="687">
        <f>LOOKUP($C$223, T_Stock_Private!$C$74:$C$84, T_Stock_Private!P$74:P$84)*(1+Z180)</f>
        <v>0</v>
      </c>
      <c r="AA228" s="687">
        <f>LOOKUP($C$223, T_Stock_Private!$C$74:$C$84, T_Stock_Private!Q$74:Q$84)*(1+AA180)</f>
        <v>0</v>
      </c>
      <c r="AB228" s="687">
        <f>LOOKUP($C$223, T_Stock_Private!$C$74:$C$84, T_Stock_Private!R$74:R$84)*(1+AB180)</f>
        <v>0</v>
      </c>
      <c r="AC228" s="89"/>
      <c r="AE228" s="357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</row>
    <row r="229" spans="1:64" s="83" customFormat="1" x14ac:dyDescent="0.25">
      <c r="A229" s="82"/>
      <c r="B229" s="178" t="str">
        <f t="shared" si="256"/>
        <v>TBISETH100</v>
      </c>
      <c r="C229" s="178"/>
      <c r="D229" s="179"/>
      <c r="E229" s="178"/>
      <c r="F229" s="182"/>
      <c r="G229" s="181"/>
      <c r="H229" s="182"/>
      <c r="I229" s="183">
        <f>AF$5</f>
        <v>2020</v>
      </c>
      <c r="J229" s="184"/>
      <c r="K229" s="184"/>
      <c r="L229" s="203" t="s">
        <v>1065</v>
      </c>
      <c r="M229" s="178" t="s">
        <v>748</v>
      </c>
      <c r="N229" s="687">
        <f t="shared" ref="N229:AB229" si="259">N228*LOOKUP($AD223,$AG$4:$AP$4,$AG$5:$AP$5)</f>
        <v>110.19999999999999</v>
      </c>
      <c r="O229" s="687">
        <f t="shared" si="259"/>
        <v>0</v>
      </c>
      <c r="P229" s="687">
        <f t="shared" si="259"/>
        <v>0</v>
      </c>
      <c r="Q229" s="687">
        <f t="shared" si="259"/>
        <v>0</v>
      </c>
      <c r="R229" s="687">
        <f t="shared" si="259"/>
        <v>0</v>
      </c>
      <c r="S229" s="687">
        <f t="shared" si="259"/>
        <v>0</v>
      </c>
      <c r="T229" s="687">
        <f t="shared" si="259"/>
        <v>0</v>
      </c>
      <c r="U229" s="687">
        <f t="shared" si="259"/>
        <v>0</v>
      </c>
      <c r="V229" s="687">
        <f t="shared" si="259"/>
        <v>0</v>
      </c>
      <c r="W229" s="687">
        <f t="shared" si="259"/>
        <v>0</v>
      </c>
      <c r="X229" s="687">
        <f t="shared" si="259"/>
        <v>0</v>
      </c>
      <c r="Y229" s="687">
        <f t="shared" si="259"/>
        <v>0</v>
      </c>
      <c r="Z229" s="687">
        <f t="shared" si="259"/>
        <v>0</v>
      </c>
      <c r="AA229" s="687">
        <f t="shared" si="259"/>
        <v>0</v>
      </c>
      <c r="AB229" s="687">
        <f t="shared" si="259"/>
        <v>0</v>
      </c>
      <c r="AE229" s="357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</row>
    <row r="230" spans="1:64" s="83" customFormat="1" x14ac:dyDescent="0.25">
      <c r="A230" s="82"/>
      <c r="B230" s="178" t="str">
        <f t="shared" si="256"/>
        <v>TBISETH100</v>
      </c>
      <c r="C230" s="178"/>
      <c r="D230" s="179"/>
      <c r="E230" s="178"/>
      <c r="F230" s="182"/>
      <c r="G230" s="181"/>
      <c r="H230" s="182"/>
      <c r="I230" s="183">
        <f>AF$6</f>
        <v>2025</v>
      </c>
      <c r="J230" s="184"/>
      <c r="K230" s="184"/>
      <c r="L230" s="203" t="s">
        <v>1065</v>
      </c>
      <c r="M230" s="178" t="s">
        <v>748</v>
      </c>
      <c r="N230" s="687">
        <f t="shared" ref="N230:AB230" si="260">N228*LOOKUP($AD223,$AG$4:$AP$4,$AG$6:$AP$6)</f>
        <v>69.599999999999994</v>
      </c>
      <c r="O230" s="687">
        <f t="shared" si="260"/>
        <v>0</v>
      </c>
      <c r="P230" s="687">
        <f t="shared" si="260"/>
        <v>0</v>
      </c>
      <c r="Q230" s="687">
        <f t="shared" si="260"/>
        <v>0</v>
      </c>
      <c r="R230" s="687">
        <f t="shared" si="260"/>
        <v>0</v>
      </c>
      <c r="S230" s="687">
        <f t="shared" si="260"/>
        <v>0</v>
      </c>
      <c r="T230" s="687">
        <f t="shared" si="260"/>
        <v>0</v>
      </c>
      <c r="U230" s="687">
        <f t="shared" si="260"/>
        <v>0</v>
      </c>
      <c r="V230" s="687">
        <f t="shared" si="260"/>
        <v>0</v>
      </c>
      <c r="W230" s="687">
        <f t="shared" si="260"/>
        <v>0</v>
      </c>
      <c r="X230" s="687">
        <f t="shared" si="260"/>
        <v>0</v>
      </c>
      <c r="Y230" s="687">
        <f t="shared" si="260"/>
        <v>0</v>
      </c>
      <c r="Z230" s="687">
        <f t="shared" si="260"/>
        <v>0</v>
      </c>
      <c r="AA230" s="687">
        <f t="shared" si="260"/>
        <v>0</v>
      </c>
      <c r="AB230" s="687">
        <f t="shared" si="260"/>
        <v>0</v>
      </c>
      <c r="AE230" s="357"/>
      <c r="AG230" s="89"/>
      <c r="AH230" s="89"/>
      <c r="AI230" s="89"/>
      <c r="AJ230" s="89"/>
      <c r="AK230" s="89"/>
      <c r="AL230" s="89"/>
      <c r="AM230" s="89"/>
      <c r="AN230" s="89"/>
      <c r="AO230" s="89"/>
      <c r="AP230" s="89"/>
      <c r="AQ230" s="89"/>
      <c r="AR230" s="89"/>
      <c r="AS230" s="89"/>
      <c r="AT230" s="89"/>
    </row>
    <row r="231" spans="1:64" s="83" customFormat="1" x14ac:dyDescent="0.25">
      <c r="A231" s="82"/>
      <c r="B231" s="178" t="str">
        <f t="shared" si="256"/>
        <v>TBISETH100</v>
      </c>
      <c r="C231" s="178"/>
      <c r="D231" s="179"/>
      <c r="E231" s="178"/>
      <c r="F231" s="182"/>
      <c r="G231" s="181"/>
      <c r="H231" s="182"/>
      <c r="I231" s="183">
        <f>AF$7</f>
        <v>2030</v>
      </c>
      <c r="J231" s="184"/>
      <c r="K231" s="184"/>
      <c r="L231" s="203" t="s">
        <v>1065</v>
      </c>
      <c r="M231" s="178" t="s">
        <v>748</v>
      </c>
      <c r="N231" s="687">
        <f t="shared" ref="N231:AB231" si="261">N228*LOOKUP($AD223,$AG$4:$AP$4,$AG$7:$AP$7)</f>
        <v>11.600000000000001</v>
      </c>
      <c r="O231" s="687">
        <f t="shared" si="261"/>
        <v>0</v>
      </c>
      <c r="P231" s="687">
        <f t="shared" si="261"/>
        <v>0</v>
      </c>
      <c r="Q231" s="687">
        <f t="shared" si="261"/>
        <v>0</v>
      </c>
      <c r="R231" s="687">
        <f t="shared" si="261"/>
        <v>0</v>
      </c>
      <c r="S231" s="687">
        <f t="shared" si="261"/>
        <v>0</v>
      </c>
      <c r="T231" s="687">
        <f t="shared" si="261"/>
        <v>0</v>
      </c>
      <c r="U231" s="687">
        <f t="shared" si="261"/>
        <v>0</v>
      </c>
      <c r="V231" s="687">
        <f t="shared" si="261"/>
        <v>0</v>
      </c>
      <c r="W231" s="687">
        <f t="shared" si="261"/>
        <v>0</v>
      </c>
      <c r="X231" s="687">
        <f t="shared" si="261"/>
        <v>0</v>
      </c>
      <c r="Y231" s="687">
        <f t="shared" si="261"/>
        <v>0</v>
      </c>
      <c r="Z231" s="687">
        <f t="shared" si="261"/>
        <v>0</v>
      </c>
      <c r="AA231" s="687">
        <f t="shared" si="261"/>
        <v>0</v>
      </c>
      <c r="AB231" s="687">
        <f t="shared" si="261"/>
        <v>0</v>
      </c>
      <c r="AE231" s="357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</row>
    <row r="232" spans="1:64" s="83" customFormat="1" x14ac:dyDescent="0.25">
      <c r="A232" s="82"/>
      <c r="B232" s="178" t="str">
        <f t="shared" si="256"/>
        <v>TBISETH100</v>
      </c>
      <c r="C232" s="178"/>
      <c r="D232" s="179"/>
      <c r="E232" s="178"/>
      <c r="F232" s="182"/>
      <c r="G232" s="181"/>
      <c r="H232" s="182"/>
      <c r="I232" s="183">
        <f>AF$8</f>
        <v>2035</v>
      </c>
      <c r="J232" s="184"/>
      <c r="K232" s="184"/>
      <c r="L232" s="203" t="s">
        <v>1065</v>
      </c>
      <c r="M232" s="178" t="s">
        <v>748</v>
      </c>
      <c r="N232" s="687">
        <f t="shared" ref="N232:AB232" si="262">N228*LOOKUP($AD223,$AG$4:$AP$4,$AG$8:$AP$8)</f>
        <v>1.1599999999999999</v>
      </c>
      <c r="O232" s="687">
        <f t="shared" si="262"/>
        <v>0</v>
      </c>
      <c r="P232" s="687">
        <f t="shared" si="262"/>
        <v>0</v>
      </c>
      <c r="Q232" s="687">
        <f t="shared" si="262"/>
        <v>0</v>
      </c>
      <c r="R232" s="687">
        <f t="shared" si="262"/>
        <v>0</v>
      </c>
      <c r="S232" s="687">
        <f t="shared" si="262"/>
        <v>0</v>
      </c>
      <c r="T232" s="687">
        <f t="shared" si="262"/>
        <v>0</v>
      </c>
      <c r="U232" s="687">
        <f t="shared" si="262"/>
        <v>0</v>
      </c>
      <c r="V232" s="687">
        <f t="shared" si="262"/>
        <v>0</v>
      </c>
      <c r="W232" s="687">
        <f t="shared" si="262"/>
        <v>0</v>
      </c>
      <c r="X232" s="687">
        <f t="shared" si="262"/>
        <v>0</v>
      </c>
      <c r="Y232" s="687">
        <f t="shared" si="262"/>
        <v>0</v>
      </c>
      <c r="Z232" s="687">
        <f t="shared" si="262"/>
        <v>0</v>
      </c>
      <c r="AA232" s="687">
        <f t="shared" si="262"/>
        <v>0</v>
      </c>
      <c r="AB232" s="687">
        <f t="shared" si="262"/>
        <v>0</v>
      </c>
      <c r="AE232" s="357"/>
      <c r="AG232" s="89"/>
      <c r="AH232" s="89"/>
      <c r="AI232" s="89"/>
      <c r="AJ232" s="89"/>
      <c r="AK232" s="89"/>
      <c r="AL232" s="89"/>
      <c r="AM232" s="89"/>
      <c r="AN232" s="89"/>
      <c r="AO232" s="89"/>
      <c r="AP232" s="89"/>
      <c r="AQ232" s="89"/>
      <c r="AR232" s="89"/>
      <c r="AS232" s="89"/>
      <c r="AT232" s="89"/>
    </row>
    <row r="233" spans="1:64" s="83" customFormat="1" x14ac:dyDescent="0.25">
      <c r="A233" s="82"/>
      <c r="B233" s="178" t="str">
        <f t="shared" si="256"/>
        <v>TBISETH100</v>
      </c>
      <c r="C233" s="178"/>
      <c r="D233" s="179"/>
      <c r="E233" s="178"/>
      <c r="F233" s="182"/>
      <c r="G233" s="181"/>
      <c r="H233" s="182"/>
      <c r="I233" s="183">
        <f>AF$9</f>
        <v>2040</v>
      </c>
      <c r="J233" s="184"/>
      <c r="K233" s="184"/>
      <c r="L233" s="203" t="s">
        <v>1065</v>
      </c>
      <c r="M233" s="178" t="s">
        <v>748</v>
      </c>
      <c r="N233" s="687">
        <f t="shared" ref="N233:AB233" si="263">N228*LOOKUP($AD223,$AG$4:$AP$4,$AG$9:$AP$9)</f>
        <v>0</v>
      </c>
      <c r="O233" s="687">
        <f t="shared" si="263"/>
        <v>0</v>
      </c>
      <c r="P233" s="687">
        <f t="shared" si="263"/>
        <v>0</v>
      </c>
      <c r="Q233" s="687">
        <f t="shared" si="263"/>
        <v>0</v>
      </c>
      <c r="R233" s="687">
        <f t="shared" si="263"/>
        <v>0</v>
      </c>
      <c r="S233" s="687">
        <f t="shared" si="263"/>
        <v>0</v>
      </c>
      <c r="T233" s="687">
        <f t="shared" si="263"/>
        <v>0</v>
      </c>
      <c r="U233" s="687">
        <f t="shared" si="263"/>
        <v>0</v>
      </c>
      <c r="V233" s="687">
        <f t="shared" si="263"/>
        <v>0</v>
      </c>
      <c r="W233" s="687">
        <f t="shared" si="263"/>
        <v>0</v>
      </c>
      <c r="X233" s="687">
        <f t="shared" si="263"/>
        <v>0</v>
      </c>
      <c r="Y233" s="687">
        <f t="shared" si="263"/>
        <v>0</v>
      </c>
      <c r="Z233" s="687">
        <f t="shared" si="263"/>
        <v>0</v>
      </c>
      <c r="AA233" s="687">
        <f t="shared" si="263"/>
        <v>0</v>
      </c>
      <c r="AB233" s="687">
        <f t="shared" si="263"/>
        <v>0</v>
      </c>
      <c r="AD233" s="364"/>
      <c r="AE233" s="357"/>
      <c r="AG233" s="89"/>
      <c r="AH233" s="89"/>
      <c r="AI233" s="89"/>
      <c r="AJ233" s="89"/>
      <c r="AK233" s="89"/>
      <c r="AL233" s="89"/>
      <c r="AM233" s="89"/>
      <c r="AN233" s="89"/>
      <c r="AO233" s="89"/>
      <c r="AP233" s="89"/>
      <c r="AQ233" s="89"/>
      <c r="AR233" s="89"/>
      <c r="AS233" s="89"/>
      <c r="AT233" s="89"/>
    </row>
    <row r="234" spans="1:64" s="83" customFormat="1" x14ac:dyDescent="0.25">
      <c r="A234" s="82"/>
      <c r="B234" s="204" t="str">
        <f t="shared" si="256"/>
        <v>TBISETH100</v>
      </c>
      <c r="C234" s="204"/>
      <c r="D234" s="205"/>
      <c r="E234" s="204"/>
      <c r="F234" s="206"/>
      <c r="G234" s="207"/>
      <c r="H234" s="206"/>
      <c r="I234" s="208">
        <f>AF$10</f>
        <v>2050</v>
      </c>
      <c r="J234" s="209"/>
      <c r="K234" s="209"/>
      <c r="L234" s="210" t="s">
        <v>1065</v>
      </c>
      <c r="M234" s="204" t="s">
        <v>748</v>
      </c>
      <c r="N234" s="688">
        <f t="shared" ref="N234:AB234" si="264">N228*LOOKUP($AD223,$AG$4:$AP$4,$AG$10:$AP$10)</f>
        <v>0</v>
      </c>
      <c r="O234" s="688">
        <f t="shared" si="264"/>
        <v>0</v>
      </c>
      <c r="P234" s="688">
        <f t="shared" si="264"/>
        <v>0</v>
      </c>
      <c r="Q234" s="688">
        <f t="shared" si="264"/>
        <v>0</v>
      </c>
      <c r="R234" s="688">
        <f t="shared" si="264"/>
        <v>0</v>
      </c>
      <c r="S234" s="688">
        <f t="shared" si="264"/>
        <v>0</v>
      </c>
      <c r="T234" s="688">
        <f t="shared" si="264"/>
        <v>0</v>
      </c>
      <c r="U234" s="688">
        <f t="shared" si="264"/>
        <v>0</v>
      </c>
      <c r="V234" s="688">
        <f t="shared" si="264"/>
        <v>0</v>
      </c>
      <c r="W234" s="688">
        <f t="shared" si="264"/>
        <v>0</v>
      </c>
      <c r="X234" s="688">
        <f t="shared" si="264"/>
        <v>0</v>
      </c>
      <c r="Y234" s="688">
        <f t="shared" si="264"/>
        <v>0</v>
      </c>
      <c r="Z234" s="688">
        <f t="shared" si="264"/>
        <v>0</v>
      </c>
      <c r="AA234" s="688">
        <f t="shared" si="264"/>
        <v>0</v>
      </c>
      <c r="AB234" s="688">
        <f t="shared" si="264"/>
        <v>0</v>
      </c>
      <c r="AE234" s="357"/>
      <c r="AG234" s="89"/>
      <c r="AH234" s="89"/>
      <c r="AI234" s="89"/>
      <c r="AJ234" s="89"/>
      <c r="AK234" s="89"/>
      <c r="AL234" s="89"/>
      <c r="AM234" s="89"/>
      <c r="AN234" s="89"/>
      <c r="AO234" s="89"/>
      <c r="AP234" s="89"/>
      <c r="AQ234" s="89"/>
      <c r="AR234" s="89"/>
      <c r="AS234" s="89"/>
      <c r="AT234" s="89"/>
    </row>
    <row r="235" spans="1:64" s="83" customFormat="1" x14ac:dyDescent="0.25">
      <c r="A235" s="82"/>
      <c r="B235" s="178" t="str">
        <f>C235</f>
        <v>TBISGAS100</v>
      </c>
      <c r="C235" s="178" t="s">
        <v>340</v>
      </c>
      <c r="D235" s="179" t="s">
        <v>756</v>
      </c>
      <c r="E235" s="180" t="s">
        <v>994</v>
      </c>
      <c r="F235" s="182"/>
      <c r="G235" s="181"/>
      <c r="H235" s="182"/>
      <c r="I235" s="183"/>
      <c r="J235" s="184"/>
      <c r="K235" s="184"/>
      <c r="L235" s="203" t="s">
        <v>1107</v>
      </c>
      <c r="M235" s="184" t="s">
        <v>1156</v>
      </c>
      <c r="N235" s="692">
        <f>N$47</f>
        <v>1E-3</v>
      </c>
      <c r="O235" s="692">
        <f t="shared" ref="O235:AB235" si="265">$N235</f>
        <v>1E-3</v>
      </c>
      <c r="P235" s="692">
        <f t="shared" si="265"/>
        <v>1E-3</v>
      </c>
      <c r="Q235" s="692">
        <f t="shared" si="265"/>
        <v>1E-3</v>
      </c>
      <c r="R235" s="692">
        <f t="shared" si="265"/>
        <v>1E-3</v>
      </c>
      <c r="S235" s="692">
        <f t="shared" si="265"/>
        <v>1E-3</v>
      </c>
      <c r="T235" s="692">
        <f t="shared" si="265"/>
        <v>1E-3</v>
      </c>
      <c r="U235" s="692">
        <f t="shared" si="265"/>
        <v>1E-3</v>
      </c>
      <c r="V235" s="692">
        <f t="shared" si="265"/>
        <v>1E-3</v>
      </c>
      <c r="W235" s="692">
        <f t="shared" si="265"/>
        <v>1E-3</v>
      </c>
      <c r="X235" s="692">
        <f t="shared" si="265"/>
        <v>1E-3</v>
      </c>
      <c r="Y235" s="692">
        <f t="shared" si="265"/>
        <v>1E-3</v>
      </c>
      <c r="Z235" s="692">
        <f t="shared" si="265"/>
        <v>1E-3</v>
      </c>
      <c r="AA235" s="692">
        <f t="shared" si="265"/>
        <v>1E-3</v>
      </c>
      <c r="AB235" s="692">
        <f t="shared" si="265"/>
        <v>1E-3</v>
      </c>
      <c r="AD235" s="410" t="str">
        <f>MID(D235,15,3)</f>
        <v>GAS</v>
      </c>
      <c r="AE235" s="357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V235" s="700" t="str">
        <f t="shared" ref="AV235:AV236" si="266">MID(E235,1,7)</f>
        <v>TRABGS</v>
      </c>
      <c r="AW235" s="568">
        <f t="shared" ref="AW235:AW236" si="267">SUM(AX235:BL235)</f>
        <v>313.75230011095221</v>
      </c>
      <c r="AX235" s="570">
        <f>N$240*N$241*(1-N236)/N$237/1000</f>
        <v>313.75230011095221</v>
      </c>
      <c r="AY235" s="570">
        <f t="shared" ref="AY235:BI235" si="268">O$240*O$241*(1-O236)/O$237/1000</f>
        <v>0</v>
      </c>
      <c r="AZ235" s="570">
        <f t="shared" si="268"/>
        <v>0</v>
      </c>
      <c r="BA235" s="570">
        <f t="shared" si="268"/>
        <v>0</v>
      </c>
      <c r="BB235" s="570">
        <f t="shared" si="268"/>
        <v>0</v>
      </c>
      <c r="BC235" s="570">
        <f t="shared" si="268"/>
        <v>0</v>
      </c>
      <c r="BD235" s="570">
        <f t="shared" si="268"/>
        <v>0</v>
      </c>
      <c r="BE235" s="570">
        <f t="shared" si="268"/>
        <v>0</v>
      </c>
      <c r="BF235" s="570">
        <f t="shared" si="268"/>
        <v>0</v>
      </c>
      <c r="BG235" s="570">
        <f t="shared" si="268"/>
        <v>0</v>
      </c>
      <c r="BH235" s="570">
        <f t="shared" si="268"/>
        <v>0</v>
      </c>
      <c r="BI235" s="570">
        <f t="shared" si="268"/>
        <v>0</v>
      </c>
      <c r="BJ235" s="570">
        <f t="shared" ref="BJ235" si="269">Z$240*Z$241*(1-Z236)/Z$237/1000</f>
        <v>0</v>
      </c>
      <c r="BK235" s="570">
        <f t="shared" ref="BK235" si="270">AA$240*AA$241*(1-AA236)/AA$237/1000</f>
        <v>0</v>
      </c>
      <c r="BL235" s="570">
        <f t="shared" ref="BL235" si="271">AB$240*AB$241*(1-AB236)/AB$237/1000</f>
        <v>0</v>
      </c>
    </row>
    <row r="236" spans="1:64" s="83" customFormat="1" x14ac:dyDescent="0.25">
      <c r="A236" s="82"/>
      <c r="B236" s="178" t="str">
        <f>B235</f>
        <v>TBISGAS100</v>
      </c>
      <c r="C236" s="178"/>
      <c r="D236" s="179"/>
      <c r="E236" s="180" t="s">
        <v>1039</v>
      </c>
      <c r="F236" s="182"/>
      <c r="G236" s="181"/>
      <c r="H236" s="182"/>
      <c r="I236" s="183"/>
      <c r="J236" s="184" t="s">
        <v>1157</v>
      </c>
      <c r="K236" s="184"/>
      <c r="L236" s="203" t="s">
        <v>101</v>
      </c>
      <c r="M236" s="178"/>
      <c r="N236" s="691">
        <f t="shared" ref="N236:AB236" si="272">1-N19</f>
        <v>0</v>
      </c>
      <c r="O236" s="691">
        <f t="shared" si="272"/>
        <v>0</v>
      </c>
      <c r="P236" s="691">
        <f t="shared" si="272"/>
        <v>0</v>
      </c>
      <c r="Q236" s="691">
        <f t="shared" si="272"/>
        <v>0</v>
      </c>
      <c r="R236" s="691">
        <f t="shared" si="272"/>
        <v>0</v>
      </c>
      <c r="S236" s="691">
        <f t="shared" si="272"/>
        <v>0</v>
      </c>
      <c r="T236" s="691">
        <f t="shared" si="272"/>
        <v>0</v>
      </c>
      <c r="U236" s="691">
        <f t="shared" si="272"/>
        <v>0</v>
      </c>
      <c r="V236" s="691">
        <f t="shared" si="272"/>
        <v>0</v>
      </c>
      <c r="W236" s="691">
        <f t="shared" si="272"/>
        <v>0</v>
      </c>
      <c r="X236" s="691">
        <f t="shared" si="272"/>
        <v>0</v>
      </c>
      <c r="Y236" s="691">
        <f t="shared" si="272"/>
        <v>0</v>
      </c>
      <c r="Z236" s="691">
        <f t="shared" si="272"/>
        <v>0</v>
      </c>
      <c r="AA236" s="691">
        <f t="shared" si="272"/>
        <v>0</v>
      </c>
      <c r="AB236" s="691">
        <f t="shared" si="272"/>
        <v>0</v>
      </c>
      <c r="AD236" s="408" t="str">
        <f>IF(COUNTIF($AG$4:$AP$4,AD235)=1,"ok","MISSING")</f>
        <v>ok</v>
      </c>
      <c r="AE236" s="357"/>
      <c r="AG236" s="89"/>
      <c r="AH236" s="89"/>
      <c r="AI236" s="89"/>
      <c r="AJ236" s="89"/>
      <c r="AK236" s="89"/>
      <c r="AL236" s="89"/>
      <c r="AM236" s="89"/>
      <c r="AN236" s="89"/>
      <c r="AO236" s="89"/>
      <c r="AP236" s="89"/>
      <c r="AQ236" s="89"/>
      <c r="AR236" s="89"/>
      <c r="AS236" s="89"/>
      <c r="AT236" s="89"/>
      <c r="AV236" s="700" t="str">
        <f t="shared" si="266"/>
        <v>TRANGS</v>
      </c>
      <c r="AW236" s="568">
        <f t="shared" si="267"/>
        <v>0</v>
      </c>
      <c r="AX236" s="570">
        <f>N$240*N$241*N236/N$237/1000</f>
        <v>0</v>
      </c>
      <c r="AY236" s="570">
        <f t="shared" ref="AY236:BI236" si="273">O$240*O$241*O236/O$237/1000</f>
        <v>0</v>
      </c>
      <c r="AZ236" s="570">
        <f t="shared" si="273"/>
        <v>0</v>
      </c>
      <c r="BA236" s="570">
        <f t="shared" si="273"/>
        <v>0</v>
      </c>
      <c r="BB236" s="570">
        <f t="shared" si="273"/>
        <v>0</v>
      </c>
      <c r="BC236" s="570">
        <f t="shared" si="273"/>
        <v>0</v>
      </c>
      <c r="BD236" s="570">
        <f t="shared" si="273"/>
        <v>0</v>
      </c>
      <c r="BE236" s="570">
        <f t="shared" si="273"/>
        <v>0</v>
      </c>
      <c r="BF236" s="570">
        <f t="shared" si="273"/>
        <v>0</v>
      </c>
      <c r="BG236" s="570">
        <f t="shared" si="273"/>
        <v>0</v>
      </c>
      <c r="BH236" s="570">
        <f t="shared" si="273"/>
        <v>0</v>
      </c>
      <c r="BI236" s="570">
        <f t="shared" si="273"/>
        <v>0</v>
      </c>
      <c r="BJ236" s="570">
        <f t="shared" ref="BJ236" si="274">Z$240*Z$241*Z236/Z$237/1000</f>
        <v>0</v>
      </c>
      <c r="BK236" s="570">
        <f t="shared" ref="BK236" si="275">AA$240*AA$241*AA236/AA$237/1000</f>
        <v>0</v>
      </c>
      <c r="BL236" s="570">
        <f t="shared" ref="BL236" si="276">AB$240*AB$241*AB236/AB$237/1000</f>
        <v>0</v>
      </c>
    </row>
    <row r="237" spans="1:64" s="83" customFormat="1" x14ac:dyDescent="0.25">
      <c r="A237" s="82"/>
      <c r="B237" s="178" t="str">
        <f t="shared" ref="B237:B247" si="277">B236</f>
        <v>TBISGAS100</v>
      </c>
      <c r="C237" s="178"/>
      <c r="D237" s="179"/>
      <c r="E237" s="178"/>
      <c r="F237" s="182"/>
      <c r="G237" s="180" t="s">
        <v>414</v>
      </c>
      <c r="H237" s="182"/>
      <c r="I237" s="183"/>
      <c r="J237" s="184"/>
      <c r="K237" s="184"/>
      <c r="L237" s="184" t="s">
        <v>1126</v>
      </c>
      <c r="M237" s="178" t="s">
        <v>678</v>
      </c>
      <c r="N237" s="690">
        <f>T_CEFF!H138</f>
        <v>8.8109999999999994E-2</v>
      </c>
      <c r="O237" s="690">
        <f>T_CEFF!I138</f>
        <v>8.8109999999999994E-2</v>
      </c>
      <c r="P237" s="690">
        <f>T_CEFF!J138</f>
        <v>8.8109999999999994E-2</v>
      </c>
      <c r="Q237" s="690">
        <f>T_CEFF!K138</f>
        <v>8.8109999999999994E-2</v>
      </c>
      <c r="R237" s="690">
        <f>T_CEFF!L138</f>
        <v>8.8109999999999994E-2</v>
      </c>
      <c r="S237" s="690">
        <f>T_CEFF!M138</f>
        <v>8.8109999999999994E-2</v>
      </c>
      <c r="T237" s="690">
        <f>T_CEFF!N138</f>
        <v>8.8109999999999994E-2</v>
      </c>
      <c r="U237" s="690">
        <f>T_CEFF!O138</f>
        <v>8.8109999999999994E-2</v>
      </c>
      <c r="V237" s="690">
        <f>T_CEFF!P138</f>
        <v>8.8109999999999994E-2</v>
      </c>
      <c r="W237" s="690">
        <f>T_CEFF!Q138</f>
        <v>8.8109999999999994E-2</v>
      </c>
      <c r="X237" s="690">
        <f>T_CEFF!R138</f>
        <v>8.8109999999999994E-2</v>
      </c>
      <c r="Y237" s="690">
        <f>T_CEFF!S138</f>
        <v>8.8109999999999994E-2</v>
      </c>
      <c r="Z237" s="690">
        <f>T_CEFF!T138</f>
        <v>8.8109999999999994E-2</v>
      </c>
      <c r="AA237" s="690">
        <f>T_CEFF!U138</f>
        <v>8.8109999999999994E-2</v>
      </c>
      <c r="AB237" s="690">
        <f>T_CEFF!V138</f>
        <v>8.8109999999999994E-2</v>
      </c>
      <c r="AE237" s="357"/>
      <c r="AG237" s="89"/>
      <c r="AH237" s="89"/>
      <c r="AI237" s="89"/>
      <c r="AJ237" s="89"/>
      <c r="AK237" s="89"/>
      <c r="AL237" s="89"/>
      <c r="AM237" s="89"/>
      <c r="AN237" s="89"/>
      <c r="AO237" s="89"/>
      <c r="AP237" s="89"/>
      <c r="AQ237" s="89"/>
      <c r="AR237" s="89"/>
      <c r="AS237" s="89"/>
      <c r="AT237" s="89"/>
    </row>
    <row r="238" spans="1:64" s="83" customFormat="1" x14ac:dyDescent="0.25">
      <c r="A238" s="82"/>
      <c r="B238" s="178" t="str">
        <f t="shared" si="277"/>
        <v>TBISGAS100</v>
      </c>
      <c r="C238" s="178"/>
      <c r="D238" s="179"/>
      <c r="E238" s="178"/>
      <c r="F238" s="182"/>
      <c r="G238" s="180" t="s">
        <v>590</v>
      </c>
      <c r="H238" s="182"/>
      <c r="I238" s="183"/>
      <c r="J238" s="184"/>
      <c r="K238" s="184"/>
      <c r="L238" s="184" t="s">
        <v>1126</v>
      </c>
      <c r="M238" s="178" t="s">
        <v>678</v>
      </c>
      <c r="N238" s="690">
        <f>T_CEFF!H139</f>
        <v>8.8109999999999994E-2</v>
      </c>
      <c r="O238" s="690">
        <f>T_CEFF!I139</f>
        <v>8.8109999999999994E-2</v>
      </c>
      <c r="P238" s="690">
        <f>T_CEFF!J139</f>
        <v>8.8109999999999994E-2</v>
      </c>
      <c r="Q238" s="690">
        <f>T_CEFF!K139</f>
        <v>8.8109999999999994E-2</v>
      </c>
      <c r="R238" s="690">
        <f>T_CEFF!L139</f>
        <v>8.8109999999999994E-2</v>
      </c>
      <c r="S238" s="690">
        <f>T_CEFF!M139</f>
        <v>8.8109999999999994E-2</v>
      </c>
      <c r="T238" s="690">
        <f>T_CEFF!N139</f>
        <v>8.8109999999999994E-2</v>
      </c>
      <c r="U238" s="690">
        <f>T_CEFF!O139</f>
        <v>8.8109999999999994E-2</v>
      </c>
      <c r="V238" s="690">
        <f>T_CEFF!P139</f>
        <v>8.8109999999999994E-2</v>
      </c>
      <c r="W238" s="690">
        <f>T_CEFF!Q139</f>
        <v>8.8109999999999994E-2</v>
      </c>
      <c r="X238" s="690">
        <f>T_CEFF!R139</f>
        <v>8.8109999999999994E-2</v>
      </c>
      <c r="Y238" s="690">
        <f>T_CEFF!S139</f>
        <v>8.8109999999999994E-2</v>
      </c>
      <c r="Z238" s="690">
        <f>T_CEFF!T139</f>
        <v>8.8109999999999994E-2</v>
      </c>
      <c r="AA238" s="690">
        <f>T_CEFF!U139</f>
        <v>8.8109999999999994E-2</v>
      </c>
      <c r="AB238" s="690">
        <f>T_CEFF!V139</f>
        <v>8.8109999999999994E-2</v>
      </c>
      <c r="AE238" s="357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</row>
    <row r="239" spans="1:64" s="83" customFormat="1" x14ac:dyDescent="0.25">
      <c r="A239" s="82"/>
      <c r="B239" s="178" t="str">
        <f t="shared" si="277"/>
        <v>TBISGAS100</v>
      </c>
      <c r="C239" s="178"/>
      <c r="D239" s="179"/>
      <c r="E239" s="178"/>
      <c r="F239" s="182"/>
      <c r="G239" s="181"/>
      <c r="H239" s="182"/>
      <c r="I239" s="183"/>
      <c r="J239" s="184"/>
      <c r="K239" s="184" t="s">
        <v>749</v>
      </c>
      <c r="L239" s="184" t="s">
        <v>1128</v>
      </c>
      <c r="M239" s="178" t="s">
        <v>1119</v>
      </c>
      <c r="N239" s="691">
        <f>N$17</f>
        <v>12</v>
      </c>
      <c r="O239" s="691">
        <f t="shared" ref="O239:AB239" si="278">O$17</f>
        <v>0</v>
      </c>
      <c r="P239" s="691">
        <f t="shared" si="278"/>
        <v>0</v>
      </c>
      <c r="Q239" s="691">
        <f t="shared" si="278"/>
        <v>0</v>
      </c>
      <c r="R239" s="691">
        <f t="shared" si="278"/>
        <v>0</v>
      </c>
      <c r="S239" s="691">
        <f t="shared" si="278"/>
        <v>0</v>
      </c>
      <c r="T239" s="691">
        <f t="shared" si="278"/>
        <v>0</v>
      </c>
      <c r="U239" s="691">
        <f t="shared" si="278"/>
        <v>0</v>
      </c>
      <c r="V239" s="691">
        <f t="shared" si="278"/>
        <v>0</v>
      </c>
      <c r="W239" s="691">
        <f t="shared" si="278"/>
        <v>0</v>
      </c>
      <c r="X239" s="691">
        <f t="shared" si="278"/>
        <v>0</v>
      </c>
      <c r="Y239" s="691">
        <f t="shared" si="278"/>
        <v>0</v>
      </c>
      <c r="Z239" s="691">
        <f t="shared" si="278"/>
        <v>0</v>
      </c>
      <c r="AA239" s="691">
        <f t="shared" si="278"/>
        <v>0</v>
      </c>
      <c r="AB239" s="691">
        <f t="shared" si="278"/>
        <v>0</v>
      </c>
      <c r="AE239" s="357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</row>
    <row r="240" spans="1:64" s="83" customFormat="1" x14ac:dyDescent="0.25">
      <c r="A240" s="82"/>
      <c r="B240" s="178" t="str">
        <f t="shared" si="277"/>
        <v>TBISGAS100</v>
      </c>
      <c r="C240" s="178"/>
      <c r="D240" s="179"/>
      <c r="E240" s="178"/>
      <c r="F240" s="182"/>
      <c r="G240" s="181"/>
      <c r="H240" s="182"/>
      <c r="I240" s="183"/>
      <c r="J240" s="184"/>
      <c r="K240" s="184"/>
      <c r="L240" s="203" t="s">
        <v>1130</v>
      </c>
      <c r="M240" s="178" t="s">
        <v>1131</v>
      </c>
      <c r="N240" s="389">
        <f>LOOKUP($C$235, T_NCAP_AF!$C$110:$C$120, T_NCAP_AF!D$110:D$120)*(1+N179)</f>
        <v>62.403420231999995</v>
      </c>
      <c r="O240" s="389">
        <f>LOOKUP($C$235, T_NCAP_AF!$C$110:$C$120, T_NCAP_AF!E$110:E$120)*(1+O179)</f>
        <v>0</v>
      </c>
      <c r="P240" s="389">
        <f>LOOKUP($C$235, T_NCAP_AF!$C$110:$C$120, T_NCAP_AF!F$110:F$120)*(1+P179)</f>
        <v>0</v>
      </c>
      <c r="Q240" s="389">
        <f>LOOKUP($C$235, T_NCAP_AF!$C$110:$C$120, T_NCAP_AF!G$110:G$120)*(1+Q179)</f>
        <v>0</v>
      </c>
      <c r="R240" s="389">
        <f>LOOKUP($C$235, T_NCAP_AF!$C$110:$C$120, T_NCAP_AF!H$110:H$120)*(1+R179)</f>
        <v>0</v>
      </c>
      <c r="S240" s="389">
        <f>LOOKUP($C$235, T_NCAP_AF!$C$110:$C$120, T_NCAP_AF!I$110:I$120)*(1+S179)</f>
        <v>0</v>
      </c>
      <c r="T240" s="389">
        <f>LOOKUP($C$235, T_NCAP_AF!$C$110:$C$120, T_NCAP_AF!J$110:J$120)*(1+T179)</f>
        <v>0</v>
      </c>
      <c r="U240" s="389">
        <f>LOOKUP($C$235, T_NCAP_AF!$C$110:$C$120, T_NCAP_AF!K$110:K$120)*(1+U179)</f>
        <v>0</v>
      </c>
      <c r="V240" s="389">
        <f>LOOKUP($C$235, T_NCAP_AF!$C$110:$C$120, T_NCAP_AF!L$110:L$120)*(1+V179)</f>
        <v>0</v>
      </c>
      <c r="W240" s="389">
        <f>LOOKUP($C$235, T_NCAP_AF!$C$110:$C$120, T_NCAP_AF!M$110:M$120)*(1+W179)</f>
        <v>0</v>
      </c>
      <c r="X240" s="389">
        <f>LOOKUP($C$235, T_NCAP_AF!$C$110:$C$120, T_NCAP_AF!N$110:N$120)*(1+X179)</f>
        <v>0</v>
      </c>
      <c r="Y240" s="389">
        <f>LOOKUP($C$235, T_NCAP_AF!$C$110:$C$120, T_NCAP_AF!O$110:O$120)*(1+Y179)</f>
        <v>0</v>
      </c>
      <c r="Z240" s="389">
        <f>LOOKUP($C$235, T_NCAP_AF!$C$110:$C$120, T_NCAP_AF!P$110:P$120)*(1+Z179)</f>
        <v>0</v>
      </c>
      <c r="AA240" s="389">
        <f>LOOKUP($C$235, T_NCAP_AF!$C$110:$C$120, T_NCAP_AF!Q$110:Q$120)*(1+AA179)</f>
        <v>0</v>
      </c>
      <c r="AB240" s="389">
        <f>LOOKUP($C$235, T_NCAP_AF!$C$110:$C$120, T_NCAP_AF!R$110:R$120)*(1+AB179)</f>
        <v>0</v>
      </c>
      <c r="AE240" s="572">
        <f>SUM(AF240:AT240)</f>
        <v>331.736581953312</v>
      </c>
      <c r="AF240" s="85">
        <f t="shared" ref="AF240:AT240" si="279">N239*N240*N241/1000</f>
        <v>331.736581953312</v>
      </c>
      <c r="AG240" s="85">
        <f t="shared" si="279"/>
        <v>0</v>
      </c>
      <c r="AH240" s="85">
        <f t="shared" si="279"/>
        <v>0</v>
      </c>
      <c r="AI240" s="85">
        <f t="shared" si="279"/>
        <v>0</v>
      </c>
      <c r="AJ240" s="85">
        <f t="shared" si="279"/>
        <v>0</v>
      </c>
      <c r="AK240" s="85">
        <f t="shared" si="279"/>
        <v>0</v>
      </c>
      <c r="AL240" s="85">
        <f t="shared" si="279"/>
        <v>0</v>
      </c>
      <c r="AM240" s="85">
        <f t="shared" si="279"/>
        <v>0</v>
      </c>
      <c r="AN240" s="85">
        <f t="shared" si="279"/>
        <v>0</v>
      </c>
      <c r="AO240" s="85">
        <f t="shared" si="279"/>
        <v>0</v>
      </c>
      <c r="AP240" s="85">
        <f t="shared" si="279"/>
        <v>0</v>
      </c>
      <c r="AQ240" s="85">
        <f t="shared" si="279"/>
        <v>0</v>
      </c>
      <c r="AR240" s="85">
        <f t="shared" si="279"/>
        <v>0</v>
      </c>
      <c r="AS240" s="85">
        <f t="shared" si="279"/>
        <v>0</v>
      </c>
      <c r="AT240" s="85">
        <f t="shared" si="279"/>
        <v>0</v>
      </c>
    </row>
    <row r="241" spans="1:49" s="83" customFormat="1" x14ac:dyDescent="0.25">
      <c r="A241" s="82"/>
      <c r="B241" s="178" t="str">
        <f t="shared" si="277"/>
        <v>TBISGAS100</v>
      </c>
      <c r="C241" s="178"/>
      <c r="D241" s="179"/>
      <c r="E241" s="178"/>
      <c r="F241" s="182"/>
      <c r="G241" s="181"/>
      <c r="H241" s="182"/>
      <c r="I241" s="183">
        <f>$M$3</f>
        <v>2019</v>
      </c>
      <c r="J241" s="184"/>
      <c r="K241" s="184"/>
      <c r="L241" s="203" t="s">
        <v>1065</v>
      </c>
      <c r="M241" s="178" t="s">
        <v>748</v>
      </c>
      <c r="N241" s="687">
        <f>LOOKUP($C$235, T_Stock_Private!$C$74:$C$84, T_Stock_Private!D$74:D$84)*(1+N180)</f>
        <v>443</v>
      </c>
      <c r="O241" s="687">
        <f>LOOKUP($C$235, T_Stock_Private!$C$74:$C$84, T_Stock_Private!E$74:E$84)*(1+O180)</f>
        <v>0</v>
      </c>
      <c r="P241" s="687">
        <f>LOOKUP($C$235, T_Stock_Private!$C$74:$C$84, T_Stock_Private!F$74:F$84)*(1+P180)</f>
        <v>0</v>
      </c>
      <c r="Q241" s="687">
        <f>LOOKUP($C$235, T_Stock_Private!$C$74:$C$84, T_Stock_Private!G$74:G$84)*(1+Q180)</f>
        <v>0</v>
      </c>
      <c r="R241" s="687">
        <f>LOOKUP($C$235, T_Stock_Private!$C$74:$C$84, T_Stock_Private!H$74:H$84)*(1+R180)</f>
        <v>0</v>
      </c>
      <c r="S241" s="687">
        <f>LOOKUP($C$235, T_Stock_Private!$C$74:$C$84, T_Stock_Private!I$74:I$84)*(1+S180)</f>
        <v>0</v>
      </c>
      <c r="T241" s="687">
        <f>LOOKUP($C$235, T_Stock_Private!$C$74:$C$84, T_Stock_Private!J$74:J$84)*(1+T180)</f>
        <v>0</v>
      </c>
      <c r="U241" s="687">
        <f>LOOKUP($C$235, T_Stock_Private!$C$74:$C$84, T_Stock_Private!K$74:K$84)*(1+U180)</f>
        <v>0</v>
      </c>
      <c r="V241" s="687">
        <f>LOOKUP($C$235, T_Stock_Private!$C$74:$C$84, T_Stock_Private!L$74:L$84)*(1+V180)</f>
        <v>0</v>
      </c>
      <c r="W241" s="687">
        <f>LOOKUP($C$235, T_Stock_Private!$C$74:$C$84, T_Stock_Private!M$74:M$84)*(1+W180)</f>
        <v>0</v>
      </c>
      <c r="X241" s="687">
        <f>LOOKUP($C$235, T_Stock_Private!$C$74:$C$84, T_Stock_Private!N$74:N$84)*(1+X180)</f>
        <v>0</v>
      </c>
      <c r="Y241" s="687">
        <f>LOOKUP($C$235, T_Stock_Private!$C$74:$C$84, T_Stock_Private!O$74:O$84)*(1+Y180)</f>
        <v>0</v>
      </c>
      <c r="Z241" s="687">
        <f>LOOKUP($C$235, T_Stock_Private!$C$74:$C$84, T_Stock_Private!P$74:P$84)*(1+Z180)</f>
        <v>0</v>
      </c>
      <c r="AA241" s="687">
        <f>LOOKUP($C$235, T_Stock_Private!$C$74:$C$84, T_Stock_Private!Q$74:Q$84)*(1+AA180)</f>
        <v>0</v>
      </c>
      <c r="AB241" s="687">
        <f>LOOKUP($C$235, T_Stock_Private!$C$74:$C$84, T_Stock_Private!R$74:R$84)*(1+AB180)</f>
        <v>0</v>
      </c>
      <c r="AC241" s="89"/>
      <c r="AD241" s="35"/>
      <c r="AE241" s="357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</row>
    <row r="242" spans="1:49" s="83" customFormat="1" x14ac:dyDescent="0.25">
      <c r="A242" s="82"/>
      <c r="B242" s="178" t="str">
        <f t="shared" si="277"/>
        <v>TBISGAS100</v>
      </c>
      <c r="C242" s="178"/>
      <c r="D242" s="179"/>
      <c r="E242" s="178"/>
      <c r="F242" s="182"/>
      <c r="G242" s="181"/>
      <c r="H242" s="182"/>
      <c r="I242" s="183">
        <f>AF$5</f>
        <v>2020</v>
      </c>
      <c r="J242" s="184"/>
      <c r="K242" s="184"/>
      <c r="L242" s="203" t="s">
        <v>1065</v>
      </c>
      <c r="M242" s="178" t="s">
        <v>748</v>
      </c>
      <c r="N242" s="687">
        <f t="shared" ref="N242:AB242" si="280">N241*LOOKUP($AD235,$AG$4:$AP$4,$AG$5:$AP$5)</f>
        <v>443</v>
      </c>
      <c r="O242" s="687">
        <f t="shared" si="280"/>
        <v>0</v>
      </c>
      <c r="P242" s="687">
        <f t="shared" si="280"/>
        <v>0</v>
      </c>
      <c r="Q242" s="687">
        <f t="shared" si="280"/>
        <v>0</v>
      </c>
      <c r="R242" s="687">
        <f t="shared" si="280"/>
        <v>0</v>
      </c>
      <c r="S242" s="687">
        <f t="shared" si="280"/>
        <v>0</v>
      </c>
      <c r="T242" s="687">
        <f t="shared" si="280"/>
        <v>0</v>
      </c>
      <c r="U242" s="687">
        <f t="shared" si="280"/>
        <v>0</v>
      </c>
      <c r="V242" s="687">
        <f t="shared" si="280"/>
        <v>0</v>
      </c>
      <c r="W242" s="687">
        <f t="shared" si="280"/>
        <v>0</v>
      </c>
      <c r="X242" s="687">
        <f t="shared" si="280"/>
        <v>0</v>
      </c>
      <c r="Y242" s="687">
        <f t="shared" si="280"/>
        <v>0</v>
      </c>
      <c r="Z242" s="687">
        <f t="shared" si="280"/>
        <v>0</v>
      </c>
      <c r="AA242" s="687">
        <f t="shared" si="280"/>
        <v>0</v>
      </c>
      <c r="AB242" s="687">
        <f t="shared" si="280"/>
        <v>0</v>
      </c>
      <c r="AD242" s="35"/>
      <c r="AE242" s="357"/>
      <c r="AG242" s="89"/>
      <c r="AH242" s="89"/>
      <c r="AI242" s="89"/>
      <c r="AJ242" s="89"/>
      <c r="AK242" s="89"/>
      <c r="AL242" s="89"/>
      <c r="AM242" s="89"/>
      <c r="AN242" s="89"/>
      <c r="AO242" s="89"/>
      <c r="AP242" s="89"/>
      <c r="AQ242" s="89"/>
      <c r="AR242" s="89"/>
      <c r="AS242" s="89"/>
      <c r="AT242" s="89"/>
    </row>
    <row r="243" spans="1:49" s="83" customFormat="1" x14ac:dyDescent="0.25">
      <c r="A243" s="82"/>
      <c r="B243" s="178" t="str">
        <f t="shared" si="277"/>
        <v>TBISGAS100</v>
      </c>
      <c r="C243" s="178"/>
      <c r="D243" s="179"/>
      <c r="E243" s="178"/>
      <c r="F243" s="182"/>
      <c r="G243" s="181"/>
      <c r="H243" s="182"/>
      <c r="I243" s="183">
        <f>AF$6</f>
        <v>2025</v>
      </c>
      <c r="J243" s="184"/>
      <c r="K243" s="184"/>
      <c r="L243" s="203" t="s">
        <v>1065</v>
      </c>
      <c r="M243" s="178" t="s">
        <v>748</v>
      </c>
      <c r="N243" s="687">
        <f t="shared" ref="N243:AB243" si="281">N241*LOOKUP($AD235,$AG$4:$AP$4,$AG$6:$AP$6)</f>
        <v>265.8</v>
      </c>
      <c r="O243" s="687">
        <f t="shared" si="281"/>
        <v>0</v>
      </c>
      <c r="P243" s="687">
        <f t="shared" si="281"/>
        <v>0</v>
      </c>
      <c r="Q243" s="687">
        <f t="shared" si="281"/>
        <v>0</v>
      </c>
      <c r="R243" s="687">
        <f t="shared" si="281"/>
        <v>0</v>
      </c>
      <c r="S243" s="687">
        <f t="shared" si="281"/>
        <v>0</v>
      </c>
      <c r="T243" s="687">
        <f t="shared" si="281"/>
        <v>0</v>
      </c>
      <c r="U243" s="687">
        <f t="shared" si="281"/>
        <v>0</v>
      </c>
      <c r="V243" s="687">
        <f t="shared" si="281"/>
        <v>0</v>
      </c>
      <c r="W243" s="687">
        <f t="shared" si="281"/>
        <v>0</v>
      </c>
      <c r="X243" s="687">
        <f t="shared" si="281"/>
        <v>0</v>
      </c>
      <c r="Y243" s="687">
        <f t="shared" si="281"/>
        <v>0</v>
      </c>
      <c r="Z243" s="687">
        <f t="shared" si="281"/>
        <v>0</v>
      </c>
      <c r="AA243" s="687">
        <f t="shared" si="281"/>
        <v>0</v>
      </c>
      <c r="AB243" s="687">
        <f t="shared" si="281"/>
        <v>0</v>
      </c>
      <c r="AD243" s="35"/>
      <c r="AE243" s="357"/>
      <c r="AG243" s="89"/>
      <c r="AH243" s="89"/>
      <c r="AI243" s="89"/>
      <c r="AJ243" s="89"/>
      <c r="AK243" s="89"/>
      <c r="AL243" s="89"/>
      <c r="AM243" s="89"/>
      <c r="AN243" s="89"/>
      <c r="AO243" s="89"/>
      <c r="AP243" s="89"/>
      <c r="AQ243" s="89"/>
      <c r="AR243" s="89"/>
      <c r="AS243" s="89"/>
      <c r="AT243" s="89"/>
    </row>
    <row r="244" spans="1:49" s="83" customFormat="1" x14ac:dyDescent="0.25">
      <c r="A244" s="82"/>
      <c r="B244" s="178" t="str">
        <f t="shared" si="277"/>
        <v>TBISGAS100</v>
      </c>
      <c r="C244" s="178"/>
      <c r="D244" s="179"/>
      <c r="E244" s="178"/>
      <c r="F244" s="182"/>
      <c r="G244" s="181"/>
      <c r="H244" s="182"/>
      <c r="I244" s="183">
        <f>AF$7</f>
        <v>2030</v>
      </c>
      <c r="J244" s="184"/>
      <c r="K244" s="184"/>
      <c r="L244" s="203" t="s">
        <v>1065</v>
      </c>
      <c r="M244" s="178" t="s">
        <v>748</v>
      </c>
      <c r="N244" s="687">
        <f t="shared" ref="N244:AB244" si="282">N241*LOOKUP($AD235,$AG$4:$AP$4,$AG$7:$AP$7)</f>
        <v>44.300000000000004</v>
      </c>
      <c r="O244" s="687">
        <f t="shared" si="282"/>
        <v>0</v>
      </c>
      <c r="P244" s="687">
        <f t="shared" si="282"/>
        <v>0</v>
      </c>
      <c r="Q244" s="687">
        <f t="shared" si="282"/>
        <v>0</v>
      </c>
      <c r="R244" s="687">
        <f t="shared" si="282"/>
        <v>0</v>
      </c>
      <c r="S244" s="687">
        <f t="shared" si="282"/>
        <v>0</v>
      </c>
      <c r="T244" s="687">
        <f t="shared" si="282"/>
        <v>0</v>
      </c>
      <c r="U244" s="687">
        <f t="shared" si="282"/>
        <v>0</v>
      </c>
      <c r="V244" s="687">
        <f t="shared" si="282"/>
        <v>0</v>
      </c>
      <c r="W244" s="687">
        <f t="shared" si="282"/>
        <v>0</v>
      </c>
      <c r="X244" s="687">
        <f t="shared" si="282"/>
        <v>0</v>
      </c>
      <c r="Y244" s="687">
        <f t="shared" si="282"/>
        <v>0</v>
      </c>
      <c r="Z244" s="687">
        <f t="shared" si="282"/>
        <v>0</v>
      </c>
      <c r="AA244" s="687">
        <f t="shared" si="282"/>
        <v>0</v>
      </c>
      <c r="AB244" s="687">
        <f t="shared" si="282"/>
        <v>0</v>
      </c>
      <c r="AD244" s="35"/>
      <c r="AE244" s="357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</row>
    <row r="245" spans="1:49" s="83" customFormat="1" x14ac:dyDescent="0.25">
      <c r="A245" s="82"/>
      <c r="B245" s="178" t="str">
        <f t="shared" si="277"/>
        <v>TBISGAS100</v>
      </c>
      <c r="C245" s="178"/>
      <c r="D245" s="179"/>
      <c r="E245" s="178"/>
      <c r="F245" s="182"/>
      <c r="G245" s="181"/>
      <c r="H245" s="182"/>
      <c r="I245" s="183">
        <f>AF$8</f>
        <v>2035</v>
      </c>
      <c r="J245" s="184"/>
      <c r="K245" s="184"/>
      <c r="L245" s="203" t="s">
        <v>1065</v>
      </c>
      <c r="M245" s="178" t="s">
        <v>748</v>
      </c>
      <c r="N245" s="687">
        <f t="shared" ref="N245:AB245" si="283">N241*LOOKUP($AD235,$AG$4:$AP$4,$AG$8:$AP$8)</f>
        <v>4.43</v>
      </c>
      <c r="O245" s="687">
        <f t="shared" si="283"/>
        <v>0</v>
      </c>
      <c r="P245" s="687">
        <f t="shared" si="283"/>
        <v>0</v>
      </c>
      <c r="Q245" s="687">
        <f t="shared" si="283"/>
        <v>0</v>
      </c>
      <c r="R245" s="687">
        <f t="shared" si="283"/>
        <v>0</v>
      </c>
      <c r="S245" s="687">
        <f t="shared" si="283"/>
        <v>0</v>
      </c>
      <c r="T245" s="687">
        <f t="shared" si="283"/>
        <v>0</v>
      </c>
      <c r="U245" s="687">
        <f t="shared" si="283"/>
        <v>0</v>
      </c>
      <c r="V245" s="687">
        <f t="shared" si="283"/>
        <v>0</v>
      </c>
      <c r="W245" s="687">
        <f t="shared" si="283"/>
        <v>0</v>
      </c>
      <c r="X245" s="687">
        <f t="shared" si="283"/>
        <v>0</v>
      </c>
      <c r="Y245" s="687">
        <f t="shared" si="283"/>
        <v>0</v>
      </c>
      <c r="Z245" s="687">
        <f t="shared" si="283"/>
        <v>0</v>
      </c>
      <c r="AA245" s="687">
        <f t="shared" si="283"/>
        <v>0</v>
      </c>
      <c r="AB245" s="687">
        <f t="shared" si="283"/>
        <v>0</v>
      </c>
      <c r="AD245" s="35"/>
      <c r="AE245" s="357"/>
      <c r="AG245" s="89"/>
      <c r="AH245" s="89"/>
      <c r="AI245" s="89"/>
      <c r="AJ245" s="89"/>
      <c r="AK245" s="89"/>
      <c r="AL245" s="89"/>
      <c r="AM245" s="89"/>
      <c r="AN245" s="89"/>
      <c r="AO245" s="89"/>
      <c r="AP245" s="89"/>
      <c r="AQ245" s="89"/>
      <c r="AR245" s="89"/>
      <c r="AS245" s="89"/>
      <c r="AT245" s="89"/>
    </row>
    <row r="246" spans="1:49" s="83" customFormat="1" x14ac:dyDescent="0.25">
      <c r="A246" s="82"/>
      <c r="B246" s="178" t="str">
        <f t="shared" si="277"/>
        <v>TBISGAS100</v>
      </c>
      <c r="C246" s="178"/>
      <c r="D246" s="179"/>
      <c r="E246" s="178"/>
      <c r="F246" s="182"/>
      <c r="G246" s="181"/>
      <c r="H246" s="182"/>
      <c r="I246" s="183">
        <f>AF$9</f>
        <v>2040</v>
      </c>
      <c r="J246" s="184"/>
      <c r="K246" s="184"/>
      <c r="L246" s="203" t="s">
        <v>1065</v>
      </c>
      <c r="M246" s="178" t="s">
        <v>748</v>
      </c>
      <c r="N246" s="687">
        <f t="shared" ref="N246:AB246" si="284">N241*LOOKUP($AD235,$AG$4:$AP$4,$AG$9:$AP$9)</f>
        <v>0</v>
      </c>
      <c r="O246" s="687">
        <f t="shared" si="284"/>
        <v>0</v>
      </c>
      <c r="P246" s="687">
        <f t="shared" si="284"/>
        <v>0</v>
      </c>
      <c r="Q246" s="687">
        <f t="shared" si="284"/>
        <v>0</v>
      </c>
      <c r="R246" s="687">
        <f t="shared" si="284"/>
        <v>0</v>
      </c>
      <c r="S246" s="687">
        <f t="shared" si="284"/>
        <v>0</v>
      </c>
      <c r="T246" s="687">
        <f t="shared" si="284"/>
        <v>0</v>
      </c>
      <c r="U246" s="687">
        <f t="shared" si="284"/>
        <v>0</v>
      </c>
      <c r="V246" s="687">
        <f t="shared" si="284"/>
        <v>0</v>
      </c>
      <c r="W246" s="687">
        <f t="shared" si="284"/>
        <v>0</v>
      </c>
      <c r="X246" s="687">
        <f t="shared" si="284"/>
        <v>0</v>
      </c>
      <c r="Y246" s="687">
        <f t="shared" si="284"/>
        <v>0</v>
      </c>
      <c r="Z246" s="687">
        <f t="shared" si="284"/>
        <v>0</v>
      </c>
      <c r="AA246" s="687">
        <f t="shared" si="284"/>
        <v>0</v>
      </c>
      <c r="AB246" s="687">
        <f t="shared" si="284"/>
        <v>0</v>
      </c>
      <c r="AD246" s="55"/>
      <c r="AE246" s="357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</row>
    <row r="247" spans="1:49" s="83" customFormat="1" x14ac:dyDescent="0.25">
      <c r="A247" s="82"/>
      <c r="B247" s="204" t="str">
        <f t="shared" si="277"/>
        <v>TBISGAS100</v>
      </c>
      <c r="C247" s="204"/>
      <c r="D247" s="205"/>
      <c r="E247" s="204"/>
      <c r="F247" s="206"/>
      <c r="G247" s="207"/>
      <c r="H247" s="206"/>
      <c r="I247" s="208">
        <f>AF$10</f>
        <v>2050</v>
      </c>
      <c r="J247" s="209"/>
      <c r="K247" s="209"/>
      <c r="L247" s="210" t="s">
        <v>1065</v>
      </c>
      <c r="M247" s="204" t="s">
        <v>748</v>
      </c>
      <c r="N247" s="688">
        <f t="shared" ref="N247:AB247" si="285">N241*LOOKUP($AD235,$AG$4:$AP$4,$AG$10:$AP$10)</f>
        <v>0</v>
      </c>
      <c r="O247" s="688">
        <f t="shared" si="285"/>
        <v>0</v>
      </c>
      <c r="P247" s="688">
        <f t="shared" si="285"/>
        <v>0</v>
      </c>
      <c r="Q247" s="688">
        <f t="shared" si="285"/>
        <v>0</v>
      </c>
      <c r="R247" s="688">
        <f t="shared" si="285"/>
        <v>0</v>
      </c>
      <c r="S247" s="688">
        <f t="shared" si="285"/>
        <v>0</v>
      </c>
      <c r="T247" s="688">
        <f t="shared" si="285"/>
        <v>0</v>
      </c>
      <c r="U247" s="688">
        <f t="shared" si="285"/>
        <v>0</v>
      </c>
      <c r="V247" s="688">
        <f t="shared" si="285"/>
        <v>0</v>
      </c>
      <c r="W247" s="688">
        <f t="shared" si="285"/>
        <v>0</v>
      </c>
      <c r="X247" s="688">
        <f t="shared" si="285"/>
        <v>0</v>
      </c>
      <c r="Y247" s="688">
        <f t="shared" si="285"/>
        <v>0</v>
      </c>
      <c r="Z247" s="688">
        <f t="shared" si="285"/>
        <v>0</v>
      </c>
      <c r="AA247" s="688">
        <f t="shared" si="285"/>
        <v>0</v>
      </c>
      <c r="AB247" s="688">
        <f t="shared" si="285"/>
        <v>0</v>
      </c>
      <c r="AD247" s="35"/>
      <c r="AE247" s="357"/>
      <c r="AG247" s="89"/>
      <c r="AH247" s="89"/>
      <c r="AI247" s="89"/>
      <c r="AJ247" s="89"/>
      <c r="AK247" s="89"/>
      <c r="AL247" s="89"/>
      <c r="AM247" s="89"/>
      <c r="AN247" s="89"/>
      <c r="AO247" s="89"/>
      <c r="AP247" s="89"/>
      <c r="AQ247" s="89"/>
      <c r="AR247" s="89"/>
      <c r="AS247" s="89"/>
      <c r="AT247" s="89"/>
    </row>
    <row r="248" spans="1:49" s="83" customFormat="1" x14ac:dyDescent="0.25">
      <c r="A248" s="82"/>
      <c r="B248" s="178" t="str">
        <f>C248</f>
        <v>TBISGSL100</v>
      </c>
      <c r="C248" s="178" t="s">
        <v>341</v>
      </c>
      <c r="D248" s="179" t="s">
        <v>757</v>
      </c>
      <c r="E248" s="180" t="s">
        <v>1012</v>
      </c>
      <c r="F248" s="182"/>
      <c r="G248" s="181"/>
      <c r="H248" s="182"/>
      <c r="I248" s="183"/>
      <c r="J248" s="184"/>
      <c r="K248" s="184"/>
      <c r="L248" s="203" t="s">
        <v>1107</v>
      </c>
      <c r="M248" s="184" t="s">
        <v>1156</v>
      </c>
      <c r="N248" s="692">
        <f>N$47</f>
        <v>1E-3</v>
      </c>
      <c r="O248" s="692">
        <f t="shared" ref="O248:AB248" si="286">$N248</f>
        <v>1E-3</v>
      </c>
      <c r="P248" s="692">
        <f t="shared" si="286"/>
        <v>1E-3</v>
      </c>
      <c r="Q248" s="692">
        <f t="shared" si="286"/>
        <v>1E-3</v>
      </c>
      <c r="R248" s="692">
        <f t="shared" si="286"/>
        <v>1E-3</v>
      </c>
      <c r="S248" s="692">
        <f t="shared" si="286"/>
        <v>1E-3</v>
      </c>
      <c r="T248" s="692">
        <f t="shared" si="286"/>
        <v>1E-3</v>
      </c>
      <c r="U248" s="692">
        <f t="shared" si="286"/>
        <v>1E-3</v>
      </c>
      <c r="V248" s="692">
        <f t="shared" si="286"/>
        <v>1E-3</v>
      </c>
      <c r="W248" s="692">
        <f t="shared" si="286"/>
        <v>1E-3</v>
      </c>
      <c r="X248" s="692">
        <f t="shared" si="286"/>
        <v>1E-3</v>
      </c>
      <c r="Y248" s="692">
        <f t="shared" si="286"/>
        <v>1E-3</v>
      </c>
      <c r="Z248" s="692">
        <f t="shared" si="286"/>
        <v>1E-3</v>
      </c>
      <c r="AA248" s="692">
        <f t="shared" si="286"/>
        <v>1E-3</v>
      </c>
      <c r="AB248" s="692">
        <f t="shared" si="286"/>
        <v>1E-3</v>
      </c>
      <c r="AD248" s="402" t="str">
        <f>MID(D248,15,3)</f>
        <v>GSL</v>
      </c>
      <c r="AE248" s="357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V248" s="700" t="str">
        <f t="shared" ref="AV248:AV249" si="287">MID(E248,1,7)</f>
        <v>TRAETHM</v>
      </c>
      <c r="AW248" s="568">
        <f t="shared" ref="AW248:AW249" si="288">SUM(AX248:BL248)</f>
        <v>0</v>
      </c>
    </row>
    <row r="249" spans="1:49" x14ac:dyDescent="0.25">
      <c r="A249" s="22"/>
      <c r="B249" s="186" t="str">
        <f>B248</f>
        <v>TBISGSL100</v>
      </c>
      <c r="C249" s="186"/>
      <c r="D249" s="187"/>
      <c r="E249" s="188" t="s">
        <v>1014</v>
      </c>
      <c r="F249" s="170"/>
      <c r="G249" s="189"/>
      <c r="H249" s="170"/>
      <c r="I249" s="190"/>
      <c r="J249" s="191" t="s">
        <v>1127</v>
      </c>
      <c r="K249" s="191"/>
      <c r="L249" s="211" t="s">
        <v>101</v>
      </c>
      <c r="M249" s="186"/>
      <c r="N249" s="675">
        <f>1-N$22</f>
        <v>0.97</v>
      </c>
      <c r="O249" s="675">
        <f t="shared" ref="O249:AB249" si="289">1-O$22</f>
        <v>0.97</v>
      </c>
      <c r="P249" s="675">
        <f t="shared" si="289"/>
        <v>0.97</v>
      </c>
      <c r="Q249" s="675">
        <f t="shared" si="289"/>
        <v>0.97</v>
      </c>
      <c r="R249" s="675">
        <f t="shared" si="289"/>
        <v>0.97</v>
      </c>
      <c r="S249" s="675">
        <f t="shared" si="289"/>
        <v>0.97</v>
      </c>
      <c r="T249" s="675">
        <f t="shared" si="289"/>
        <v>0.97</v>
      </c>
      <c r="U249" s="675">
        <f t="shared" si="289"/>
        <v>0.97</v>
      </c>
      <c r="V249" s="675">
        <f t="shared" si="289"/>
        <v>0.97</v>
      </c>
      <c r="W249" s="675">
        <f t="shared" si="289"/>
        <v>0.97</v>
      </c>
      <c r="X249" s="675">
        <f t="shared" si="289"/>
        <v>0.97</v>
      </c>
      <c r="Y249" s="675">
        <f t="shared" si="289"/>
        <v>0.97</v>
      </c>
      <c r="Z249" s="675">
        <f t="shared" si="289"/>
        <v>0.97</v>
      </c>
      <c r="AA249" s="675">
        <f t="shared" si="289"/>
        <v>0.97</v>
      </c>
      <c r="AB249" s="675">
        <f t="shared" si="289"/>
        <v>0.97</v>
      </c>
      <c r="AD249" s="408" t="str">
        <f>IF(COUNTIF($AG$4:$AP$4,AD248)=1,"ok","MISSING")</f>
        <v>ok</v>
      </c>
      <c r="AE249" s="357"/>
      <c r="AF249" s="83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V249" s="700" t="str">
        <f t="shared" si="287"/>
        <v>TRAGSL</v>
      </c>
      <c r="AW249" s="568">
        <f t="shared" si="288"/>
        <v>0</v>
      </c>
    </row>
    <row r="250" spans="1:49" x14ac:dyDescent="0.25">
      <c r="A250" s="22"/>
      <c r="B250" s="186" t="str">
        <f>B249</f>
        <v>TBISGSL100</v>
      </c>
      <c r="C250" s="186"/>
      <c r="D250" s="187"/>
      <c r="E250" s="186"/>
      <c r="F250" s="170"/>
      <c r="G250" s="188" t="s">
        <v>414</v>
      </c>
      <c r="H250" s="170"/>
      <c r="I250" s="190"/>
      <c r="J250" s="191"/>
      <c r="K250" s="191"/>
      <c r="L250" s="191" t="s">
        <v>1126</v>
      </c>
      <c r="M250" s="186" t="s">
        <v>678</v>
      </c>
      <c r="N250" s="690">
        <f>T_CEFF!H140</f>
        <v>5.0610000000000002E-2</v>
      </c>
      <c r="O250" s="690">
        <f>T_CEFF!I140</f>
        <v>5.0610000000000002E-2</v>
      </c>
      <c r="P250" s="690">
        <f>T_CEFF!J140</f>
        <v>5.0610000000000002E-2</v>
      </c>
      <c r="Q250" s="690">
        <f>T_CEFF!K140</f>
        <v>5.0610000000000002E-2</v>
      </c>
      <c r="R250" s="690">
        <f>T_CEFF!L140</f>
        <v>5.0610000000000002E-2</v>
      </c>
      <c r="S250" s="690">
        <f>T_CEFF!M140</f>
        <v>5.0610000000000002E-2</v>
      </c>
      <c r="T250" s="690">
        <f>T_CEFF!N140</f>
        <v>5.0610000000000002E-2</v>
      </c>
      <c r="U250" s="690">
        <f>T_CEFF!O140</f>
        <v>5.0610000000000002E-2</v>
      </c>
      <c r="V250" s="690">
        <f>T_CEFF!P140</f>
        <v>5.0610000000000002E-2</v>
      </c>
      <c r="W250" s="690">
        <f>T_CEFF!Q140</f>
        <v>5.0610000000000002E-2</v>
      </c>
      <c r="X250" s="690">
        <f>T_CEFF!R140</f>
        <v>5.0610000000000002E-2</v>
      </c>
      <c r="Y250" s="690">
        <f>T_CEFF!S140</f>
        <v>5.0610000000000002E-2</v>
      </c>
      <c r="Z250" s="690">
        <f>T_CEFF!T140</f>
        <v>5.0610000000000002E-2</v>
      </c>
      <c r="AA250" s="690">
        <f>T_CEFF!U140</f>
        <v>5.0610000000000002E-2</v>
      </c>
      <c r="AB250" s="690">
        <f>T_CEFF!V140</f>
        <v>5.0610000000000002E-2</v>
      </c>
      <c r="AE250" s="36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</row>
    <row r="251" spans="1:49" x14ac:dyDescent="0.25">
      <c r="A251" s="22"/>
      <c r="B251" s="186" t="str">
        <f>B250</f>
        <v>TBISGSL100</v>
      </c>
      <c r="C251" s="186"/>
      <c r="D251" s="187"/>
      <c r="E251" s="186"/>
      <c r="F251" s="170"/>
      <c r="G251" s="188" t="s">
        <v>590</v>
      </c>
      <c r="H251" s="170"/>
      <c r="I251" s="190"/>
      <c r="J251" s="191"/>
      <c r="K251" s="191"/>
      <c r="L251" s="191" t="s">
        <v>1126</v>
      </c>
      <c r="M251" s="186" t="s">
        <v>678</v>
      </c>
      <c r="N251" s="690">
        <f>T_CEFF!H141</f>
        <v>5.0610000000000002E-2</v>
      </c>
      <c r="O251" s="690">
        <f>T_CEFF!I141</f>
        <v>5.0610000000000002E-2</v>
      </c>
      <c r="P251" s="690">
        <f>T_CEFF!J141</f>
        <v>5.0610000000000002E-2</v>
      </c>
      <c r="Q251" s="690">
        <f>T_CEFF!K141</f>
        <v>5.0610000000000002E-2</v>
      </c>
      <c r="R251" s="690">
        <f>T_CEFF!L141</f>
        <v>5.0610000000000002E-2</v>
      </c>
      <c r="S251" s="690">
        <f>T_CEFF!M141</f>
        <v>5.0610000000000002E-2</v>
      </c>
      <c r="T251" s="690">
        <f>T_CEFF!N141</f>
        <v>5.0610000000000002E-2</v>
      </c>
      <c r="U251" s="690">
        <f>T_CEFF!O141</f>
        <v>5.0610000000000002E-2</v>
      </c>
      <c r="V251" s="690">
        <f>T_CEFF!P141</f>
        <v>5.0610000000000002E-2</v>
      </c>
      <c r="W251" s="690">
        <f>T_CEFF!Q141</f>
        <v>5.0610000000000002E-2</v>
      </c>
      <c r="X251" s="690">
        <f>T_CEFF!R141</f>
        <v>5.0610000000000002E-2</v>
      </c>
      <c r="Y251" s="690">
        <f>T_CEFF!S141</f>
        <v>5.0610000000000002E-2</v>
      </c>
      <c r="Z251" s="690">
        <f>T_CEFF!T141</f>
        <v>5.0610000000000002E-2</v>
      </c>
      <c r="AA251" s="690">
        <f>T_CEFF!U141</f>
        <v>5.0610000000000002E-2</v>
      </c>
      <c r="AB251" s="690">
        <f>T_CEFF!V141</f>
        <v>5.0610000000000002E-2</v>
      </c>
      <c r="AE251" s="36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</row>
    <row r="252" spans="1:49" x14ac:dyDescent="0.25">
      <c r="A252" s="22"/>
      <c r="B252" s="186" t="str">
        <f t="shared" ref="B252:B260" si="290">B251</f>
        <v>TBISGSL100</v>
      </c>
      <c r="C252" s="186"/>
      <c r="D252" s="187"/>
      <c r="E252" s="186"/>
      <c r="F252" s="170"/>
      <c r="G252" s="189"/>
      <c r="H252" s="170"/>
      <c r="I252" s="190"/>
      <c r="J252" s="191"/>
      <c r="K252" s="191" t="s">
        <v>749</v>
      </c>
      <c r="L252" s="191" t="s">
        <v>1128</v>
      </c>
      <c r="M252" s="186" t="s">
        <v>1119</v>
      </c>
      <c r="N252" s="603">
        <f>N$17</f>
        <v>12</v>
      </c>
      <c r="O252" s="603">
        <f t="shared" ref="O252:AB252" si="291">O$17</f>
        <v>0</v>
      </c>
      <c r="P252" s="603">
        <f t="shared" si="291"/>
        <v>0</v>
      </c>
      <c r="Q252" s="603">
        <f t="shared" si="291"/>
        <v>0</v>
      </c>
      <c r="R252" s="603">
        <f t="shared" si="291"/>
        <v>0</v>
      </c>
      <c r="S252" s="603">
        <f t="shared" si="291"/>
        <v>0</v>
      </c>
      <c r="T252" s="603">
        <f t="shared" si="291"/>
        <v>0</v>
      </c>
      <c r="U252" s="603">
        <f t="shared" si="291"/>
        <v>0</v>
      </c>
      <c r="V252" s="603">
        <f t="shared" si="291"/>
        <v>0</v>
      </c>
      <c r="W252" s="603">
        <f t="shared" si="291"/>
        <v>0</v>
      </c>
      <c r="X252" s="603">
        <f t="shared" si="291"/>
        <v>0</v>
      </c>
      <c r="Y252" s="603">
        <f t="shared" si="291"/>
        <v>0</v>
      </c>
      <c r="Z252" s="603">
        <f t="shared" si="291"/>
        <v>0</v>
      </c>
      <c r="AA252" s="603">
        <f t="shared" si="291"/>
        <v>0</v>
      </c>
      <c r="AB252" s="603">
        <f t="shared" si="291"/>
        <v>0</v>
      </c>
      <c r="AE252" s="36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</row>
    <row r="253" spans="1:49" x14ac:dyDescent="0.25">
      <c r="A253" s="22"/>
      <c r="B253" s="186" t="str">
        <f t="shared" si="290"/>
        <v>TBISGSL100</v>
      </c>
      <c r="C253" s="186"/>
      <c r="D253" s="187"/>
      <c r="E253" s="186"/>
      <c r="F253" s="170"/>
      <c r="G253" s="189"/>
      <c r="H253" s="170"/>
      <c r="I253" s="190"/>
      <c r="J253" s="191"/>
      <c r="K253" s="191"/>
      <c r="L253" s="211" t="s">
        <v>1130</v>
      </c>
      <c r="M253" s="186" t="s">
        <v>1131</v>
      </c>
      <c r="N253" s="389">
        <f>LOOKUP($C$248, T_NCAP_AF!$C$110:$C$120, T_NCAP_AF!D$110:D$120)*(1+N179)</f>
        <v>13.020101832000002</v>
      </c>
      <c r="O253" s="389">
        <f>LOOKUP($C$248, T_NCAP_AF!$C$110:$C$120, T_NCAP_AF!E$110:E$120)*(1+O179)</f>
        <v>0</v>
      </c>
      <c r="P253" s="389">
        <f>LOOKUP($C$248, T_NCAP_AF!$C$110:$C$120, T_NCAP_AF!F$110:F$120)*(1+P179)</f>
        <v>0</v>
      </c>
      <c r="Q253" s="389">
        <f>LOOKUP($C$248, T_NCAP_AF!$C$110:$C$120, T_NCAP_AF!G$110:G$120)*(1+Q179)</f>
        <v>0</v>
      </c>
      <c r="R253" s="389">
        <f>LOOKUP($C$248, T_NCAP_AF!$C$110:$C$120, T_NCAP_AF!H$110:H$120)*(1+R179)</f>
        <v>0</v>
      </c>
      <c r="S253" s="389">
        <f>LOOKUP($C$248, T_NCAP_AF!$C$110:$C$120, T_NCAP_AF!I$110:I$120)*(1+S179)</f>
        <v>0</v>
      </c>
      <c r="T253" s="389">
        <f>LOOKUP($C$248, T_NCAP_AF!$C$110:$C$120, T_NCAP_AF!J$110:J$120)*(1+T179)</f>
        <v>0</v>
      </c>
      <c r="U253" s="389">
        <f>LOOKUP($C$248, T_NCAP_AF!$C$110:$C$120, T_NCAP_AF!K$110:K$120)*(1+U179)</f>
        <v>0</v>
      </c>
      <c r="V253" s="389">
        <f>LOOKUP($C$248, T_NCAP_AF!$C$110:$C$120, T_NCAP_AF!L$110:L$120)*(1+V179)</f>
        <v>0</v>
      </c>
      <c r="W253" s="389">
        <f>LOOKUP($C$248, T_NCAP_AF!$C$110:$C$120, T_NCAP_AF!M$110:M$120)*(1+W179)</f>
        <v>0</v>
      </c>
      <c r="X253" s="389">
        <f>LOOKUP($C$248, T_NCAP_AF!$C$110:$C$120, T_NCAP_AF!N$110:N$120)*(1+X179)</f>
        <v>0</v>
      </c>
      <c r="Y253" s="389">
        <f>LOOKUP($C$248, T_NCAP_AF!$C$110:$C$120, T_NCAP_AF!O$110:O$120)*(1+Y179)</f>
        <v>0</v>
      </c>
      <c r="Z253" s="389">
        <f>LOOKUP($C$248, T_NCAP_AF!$C$110:$C$120, T_NCAP_AF!P$110:P$120)*(1+Z179)</f>
        <v>0</v>
      </c>
      <c r="AA253" s="389">
        <f>LOOKUP($C$248, T_NCAP_AF!$C$110:$C$120, T_NCAP_AF!Q$110:Q$120)*(1+AA179)</f>
        <v>0</v>
      </c>
      <c r="AB253" s="389">
        <f>LOOKUP($C$248, T_NCAP_AF!$C$110:$C$120, T_NCAP_AF!R$110:R$120)*(1+AB179)</f>
        <v>0</v>
      </c>
      <c r="AC253" s="83"/>
      <c r="AE253" s="572">
        <f>SUM(AF253:AT253)</f>
        <v>1.0936885538880001</v>
      </c>
      <c r="AF253" s="85">
        <f t="shared" ref="AF253:AT253" si="292">N252*N253*N254/1000</f>
        <v>1.0936885538880001</v>
      </c>
      <c r="AG253" s="85">
        <f t="shared" si="292"/>
        <v>0</v>
      </c>
      <c r="AH253" s="85">
        <f t="shared" si="292"/>
        <v>0</v>
      </c>
      <c r="AI253" s="85">
        <f t="shared" si="292"/>
        <v>0</v>
      </c>
      <c r="AJ253" s="85">
        <f t="shared" si="292"/>
        <v>0</v>
      </c>
      <c r="AK253" s="85">
        <f t="shared" si="292"/>
        <v>0</v>
      </c>
      <c r="AL253" s="85">
        <f t="shared" si="292"/>
        <v>0</v>
      </c>
      <c r="AM253" s="85">
        <f t="shared" si="292"/>
        <v>0</v>
      </c>
      <c r="AN253" s="85">
        <f t="shared" si="292"/>
        <v>0</v>
      </c>
      <c r="AO253" s="85">
        <f t="shared" si="292"/>
        <v>0</v>
      </c>
      <c r="AP253" s="85">
        <f t="shared" si="292"/>
        <v>0</v>
      </c>
      <c r="AQ253" s="85">
        <f t="shared" si="292"/>
        <v>0</v>
      </c>
      <c r="AR253" s="85">
        <f t="shared" si="292"/>
        <v>0</v>
      </c>
      <c r="AS253" s="85">
        <f t="shared" si="292"/>
        <v>0</v>
      </c>
      <c r="AT253" s="85">
        <f t="shared" si="292"/>
        <v>0</v>
      </c>
    </row>
    <row r="254" spans="1:49" x14ac:dyDescent="0.25">
      <c r="A254" s="22"/>
      <c r="B254" s="186" t="str">
        <f t="shared" si="290"/>
        <v>TBISGSL100</v>
      </c>
      <c r="C254" s="186"/>
      <c r="D254" s="187"/>
      <c r="E254" s="186"/>
      <c r="F254" s="170"/>
      <c r="G254" s="189"/>
      <c r="H254" s="170"/>
      <c r="I254" s="190">
        <f>$M$3</f>
        <v>2019</v>
      </c>
      <c r="J254" s="191"/>
      <c r="K254" s="191"/>
      <c r="L254" s="211" t="s">
        <v>1065</v>
      </c>
      <c r="M254" s="186" t="s">
        <v>748</v>
      </c>
      <c r="N254" s="687">
        <f>LOOKUP($C$248, T_Stock_Private!$C$74:$C$84, T_Stock_Private!D$74:D$84)*(1+N180)</f>
        <v>7</v>
      </c>
      <c r="O254" s="687">
        <f>LOOKUP($C$248, T_Stock_Private!$C$74:$C$84, T_Stock_Private!E$74:E$84)*(1+O180)</f>
        <v>0</v>
      </c>
      <c r="P254" s="687">
        <f>LOOKUP($C$248, T_Stock_Private!$C$74:$C$84, T_Stock_Private!F$74:F$84)*(1+P180)</f>
        <v>0</v>
      </c>
      <c r="Q254" s="687">
        <f>LOOKUP($C$248, T_Stock_Private!$C$74:$C$84, T_Stock_Private!G$74:G$84)*(1+Q180)</f>
        <v>0</v>
      </c>
      <c r="R254" s="687">
        <f>LOOKUP($C$248, T_Stock_Private!$C$74:$C$84, T_Stock_Private!H$74:H$84)*(1+R180)</f>
        <v>0</v>
      </c>
      <c r="S254" s="687">
        <f>LOOKUP($C$248, T_Stock_Private!$C$74:$C$84, T_Stock_Private!I$74:I$84)*(1+S180)</f>
        <v>0</v>
      </c>
      <c r="T254" s="687">
        <f>LOOKUP($C$248, T_Stock_Private!$C$74:$C$84, T_Stock_Private!J$74:J$84)*(1+T180)</f>
        <v>0</v>
      </c>
      <c r="U254" s="687">
        <f>LOOKUP($C$248, T_Stock_Private!$C$74:$C$84, T_Stock_Private!K$74:K$84)*(1+U180)</f>
        <v>0</v>
      </c>
      <c r="V254" s="687">
        <f>LOOKUP($C$248, T_Stock_Private!$C$74:$C$84, T_Stock_Private!L$74:L$84)*(1+V180)</f>
        <v>0</v>
      </c>
      <c r="W254" s="687">
        <f>LOOKUP($C$248, T_Stock_Private!$C$74:$C$84, T_Stock_Private!M$74:M$84)*(1+W180)</f>
        <v>0</v>
      </c>
      <c r="X254" s="687">
        <f>LOOKUP($C$248, T_Stock_Private!$C$74:$C$84, T_Stock_Private!N$74:N$84)*(1+X180)</f>
        <v>0</v>
      </c>
      <c r="Y254" s="687">
        <f>LOOKUP($C$248, T_Stock_Private!$C$74:$C$84, T_Stock_Private!O$74:O$84)*(1+Y180)</f>
        <v>0</v>
      </c>
      <c r="Z254" s="687">
        <f>LOOKUP($C$248, T_Stock_Private!$C$74:$C$84, T_Stock_Private!P$74:P$84)*(1+Z180)</f>
        <v>0</v>
      </c>
      <c r="AA254" s="687">
        <f>LOOKUP($C$248, T_Stock_Private!$C$74:$C$84, T_Stock_Private!Q$74:Q$84)*(1+AA180)</f>
        <v>0</v>
      </c>
      <c r="AB254" s="687">
        <f>LOOKUP($C$248, T_Stock_Private!$C$74:$C$84, T_Stock_Private!R$74:R$84)*(1+AB180)</f>
        <v>0</v>
      </c>
      <c r="AC254" s="89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</row>
    <row r="255" spans="1:49" x14ac:dyDescent="0.25">
      <c r="A255" s="22"/>
      <c r="B255" s="186" t="str">
        <f t="shared" si="290"/>
        <v>TBISGSL100</v>
      </c>
      <c r="C255" s="186"/>
      <c r="D255" s="187"/>
      <c r="E255" s="186"/>
      <c r="F255" s="170"/>
      <c r="G255" s="189"/>
      <c r="H255" s="170"/>
      <c r="I255" s="190">
        <f>AF$5</f>
        <v>2020</v>
      </c>
      <c r="J255" s="191"/>
      <c r="K255" s="191"/>
      <c r="L255" s="211" t="s">
        <v>1065</v>
      </c>
      <c r="M255" s="186" t="s">
        <v>748</v>
      </c>
      <c r="N255" s="687">
        <f t="shared" ref="N255:AB255" si="293">N254*LOOKUP($AD248,$AG$4:$AP$4,$AG$5:$AP$5)</f>
        <v>6.6499999999999995</v>
      </c>
      <c r="O255" s="687">
        <f t="shared" si="293"/>
        <v>0</v>
      </c>
      <c r="P255" s="687">
        <f t="shared" si="293"/>
        <v>0</v>
      </c>
      <c r="Q255" s="687">
        <f t="shared" si="293"/>
        <v>0</v>
      </c>
      <c r="R255" s="687">
        <f t="shared" si="293"/>
        <v>0</v>
      </c>
      <c r="S255" s="687">
        <f t="shared" si="293"/>
        <v>0</v>
      </c>
      <c r="T255" s="687">
        <f t="shared" si="293"/>
        <v>0</v>
      </c>
      <c r="U255" s="687">
        <f t="shared" si="293"/>
        <v>0</v>
      </c>
      <c r="V255" s="687">
        <f t="shared" si="293"/>
        <v>0</v>
      </c>
      <c r="W255" s="687">
        <f t="shared" si="293"/>
        <v>0</v>
      </c>
      <c r="X255" s="687">
        <f t="shared" si="293"/>
        <v>0</v>
      </c>
      <c r="Y255" s="687">
        <f t="shared" si="293"/>
        <v>0</v>
      </c>
      <c r="Z255" s="687">
        <f t="shared" si="293"/>
        <v>0</v>
      </c>
      <c r="AA255" s="687">
        <f t="shared" si="293"/>
        <v>0</v>
      </c>
      <c r="AB255" s="687">
        <f t="shared" si="293"/>
        <v>0</v>
      </c>
    </row>
    <row r="256" spans="1:49" x14ac:dyDescent="0.25">
      <c r="A256" s="22"/>
      <c r="B256" s="186" t="str">
        <f t="shared" si="290"/>
        <v>TBISGSL100</v>
      </c>
      <c r="C256" s="186"/>
      <c r="D256" s="187"/>
      <c r="E256" s="186"/>
      <c r="F256" s="170"/>
      <c r="G256" s="189"/>
      <c r="H256" s="170"/>
      <c r="I256" s="190">
        <f>AF$6</f>
        <v>2025</v>
      </c>
      <c r="J256" s="191"/>
      <c r="K256" s="191"/>
      <c r="L256" s="211" t="s">
        <v>1065</v>
      </c>
      <c r="M256" s="186" t="s">
        <v>748</v>
      </c>
      <c r="N256" s="687">
        <f t="shared" ref="N256:AB256" si="294">N254*LOOKUP($AD248,$AG$4:$AP$4,$AG$6:$AP$6)</f>
        <v>3.5</v>
      </c>
      <c r="O256" s="687">
        <f t="shared" si="294"/>
        <v>0</v>
      </c>
      <c r="P256" s="687">
        <f t="shared" si="294"/>
        <v>0</v>
      </c>
      <c r="Q256" s="687">
        <f t="shared" si="294"/>
        <v>0</v>
      </c>
      <c r="R256" s="687">
        <f t="shared" si="294"/>
        <v>0</v>
      </c>
      <c r="S256" s="687">
        <f t="shared" si="294"/>
        <v>0</v>
      </c>
      <c r="T256" s="687">
        <f t="shared" si="294"/>
        <v>0</v>
      </c>
      <c r="U256" s="687">
        <f t="shared" si="294"/>
        <v>0</v>
      </c>
      <c r="V256" s="687">
        <f t="shared" si="294"/>
        <v>0</v>
      </c>
      <c r="W256" s="687">
        <f t="shared" si="294"/>
        <v>0</v>
      </c>
      <c r="X256" s="687">
        <f t="shared" si="294"/>
        <v>0</v>
      </c>
      <c r="Y256" s="687">
        <f t="shared" si="294"/>
        <v>0</v>
      </c>
      <c r="Z256" s="687">
        <f t="shared" si="294"/>
        <v>0</v>
      </c>
      <c r="AA256" s="687">
        <f t="shared" si="294"/>
        <v>0</v>
      </c>
      <c r="AB256" s="687">
        <f t="shared" si="294"/>
        <v>0</v>
      </c>
    </row>
    <row r="257" spans="1:64" x14ac:dyDescent="0.25">
      <c r="A257" s="22"/>
      <c r="B257" s="186" t="str">
        <f t="shared" si="290"/>
        <v>TBISGSL100</v>
      </c>
      <c r="C257" s="186"/>
      <c r="D257" s="187"/>
      <c r="E257" s="186"/>
      <c r="F257" s="170"/>
      <c r="G257" s="189"/>
      <c r="H257" s="170"/>
      <c r="I257" s="190">
        <f>AF$7</f>
        <v>2030</v>
      </c>
      <c r="J257" s="191"/>
      <c r="K257" s="191"/>
      <c r="L257" s="211" t="s">
        <v>1065</v>
      </c>
      <c r="M257" s="186" t="s">
        <v>748</v>
      </c>
      <c r="N257" s="687">
        <f t="shared" ref="N257:AB257" si="295">N254*LOOKUP($AD248,$AG$4:$AP$4,$AG$7:$AP$7)</f>
        <v>0</v>
      </c>
      <c r="O257" s="687">
        <f t="shared" si="295"/>
        <v>0</v>
      </c>
      <c r="P257" s="687">
        <f t="shared" si="295"/>
        <v>0</v>
      </c>
      <c r="Q257" s="687">
        <f t="shared" si="295"/>
        <v>0</v>
      </c>
      <c r="R257" s="687">
        <f t="shared" si="295"/>
        <v>0</v>
      </c>
      <c r="S257" s="687">
        <f t="shared" si="295"/>
        <v>0</v>
      </c>
      <c r="T257" s="687">
        <f t="shared" si="295"/>
        <v>0</v>
      </c>
      <c r="U257" s="687">
        <f t="shared" si="295"/>
        <v>0</v>
      </c>
      <c r="V257" s="687">
        <f t="shared" si="295"/>
        <v>0</v>
      </c>
      <c r="W257" s="687">
        <f t="shared" si="295"/>
        <v>0</v>
      </c>
      <c r="X257" s="687">
        <f t="shared" si="295"/>
        <v>0</v>
      </c>
      <c r="Y257" s="687">
        <f t="shared" si="295"/>
        <v>0</v>
      </c>
      <c r="Z257" s="687">
        <f t="shared" si="295"/>
        <v>0</v>
      </c>
      <c r="AA257" s="687">
        <f t="shared" si="295"/>
        <v>0</v>
      </c>
      <c r="AB257" s="687">
        <f t="shared" si="295"/>
        <v>0</v>
      </c>
    </row>
    <row r="258" spans="1:64" x14ac:dyDescent="0.25">
      <c r="A258" s="22"/>
      <c r="B258" s="186" t="str">
        <f t="shared" si="290"/>
        <v>TBISGSL100</v>
      </c>
      <c r="C258" s="186"/>
      <c r="D258" s="187"/>
      <c r="E258" s="186"/>
      <c r="F258" s="170"/>
      <c r="G258" s="189"/>
      <c r="H258" s="170"/>
      <c r="I258" s="190">
        <f>AF$8</f>
        <v>2035</v>
      </c>
      <c r="J258" s="191"/>
      <c r="K258" s="191"/>
      <c r="L258" s="211" t="s">
        <v>1065</v>
      </c>
      <c r="M258" s="186" t="s">
        <v>748</v>
      </c>
      <c r="N258" s="687">
        <f t="shared" ref="N258:AB258" si="296">N254*LOOKUP($AD248,$AG$4:$AP$4,$AG$8:$AP$8)</f>
        <v>0</v>
      </c>
      <c r="O258" s="687">
        <f t="shared" si="296"/>
        <v>0</v>
      </c>
      <c r="P258" s="687">
        <f t="shared" si="296"/>
        <v>0</v>
      </c>
      <c r="Q258" s="687">
        <f t="shared" si="296"/>
        <v>0</v>
      </c>
      <c r="R258" s="687">
        <f t="shared" si="296"/>
        <v>0</v>
      </c>
      <c r="S258" s="687">
        <f t="shared" si="296"/>
        <v>0</v>
      </c>
      <c r="T258" s="687">
        <f t="shared" si="296"/>
        <v>0</v>
      </c>
      <c r="U258" s="687">
        <f t="shared" si="296"/>
        <v>0</v>
      </c>
      <c r="V258" s="687">
        <f t="shared" si="296"/>
        <v>0</v>
      </c>
      <c r="W258" s="687">
        <f t="shared" si="296"/>
        <v>0</v>
      </c>
      <c r="X258" s="687">
        <f t="shared" si="296"/>
        <v>0</v>
      </c>
      <c r="Y258" s="687">
        <f t="shared" si="296"/>
        <v>0</v>
      </c>
      <c r="Z258" s="687">
        <f t="shared" si="296"/>
        <v>0</v>
      </c>
      <c r="AA258" s="687">
        <f t="shared" si="296"/>
        <v>0</v>
      </c>
      <c r="AB258" s="687">
        <f t="shared" si="296"/>
        <v>0</v>
      </c>
    </row>
    <row r="259" spans="1:64" x14ac:dyDescent="0.25">
      <c r="A259" s="22"/>
      <c r="B259" s="186" t="str">
        <f t="shared" si="290"/>
        <v>TBISGSL100</v>
      </c>
      <c r="C259" s="186"/>
      <c r="D259" s="187"/>
      <c r="E259" s="186"/>
      <c r="F259" s="170"/>
      <c r="G259" s="189"/>
      <c r="H259" s="170"/>
      <c r="I259" s="190">
        <f>AF$9</f>
        <v>2040</v>
      </c>
      <c r="J259" s="191"/>
      <c r="K259" s="191"/>
      <c r="L259" s="211" t="s">
        <v>1065</v>
      </c>
      <c r="M259" s="186" t="s">
        <v>748</v>
      </c>
      <c r="N259" s="687">
        <f t="shared" ref="N259:AB259" si="297">N254*LOOKUP($AD248,$AG$4:$AP$4,$AG$9:$AP$9)</f>
        <v>0</v>
      </c>
      <c r="O259" s="687">
        <f t="shared" si="297"/>
        <v>0</v>
      </c>
      <c r="P259" s="687">
        <f t="shared" si="297"/>
        <v>0</v>
      </c>
      <c r="Q259" s="687">
        <f t="shared" si="297"/>
        <v>0</v>
      </c>
      <c r="R259" s="687">
        <f t="shared" si="297"/>
        <v>0</v>
      </c>
      <c r="S259" s="687">
        <f t="shared" si="297"/>
        <v>0</v>
      </c>
      <c r="T259" s="687">
        <f t="shared" si="297"/>
        <v>0</v>
      </c>
      <c r="U259" s="687">
        <f t="shared" si="297"/>
        <v>0</v>
      </c>
      <c r="V259" s="687">
        <f t="shared" si="297"/>
        <v>0</v>
      </c>
      <c r="W259" s="687">
        <f t="shared" si="297"/>
        <v>0</v>
      </c>
      <c r="X259" s="687">
        <f t="shared" si="297"/>
        <v>0</v>
      </c>
      <c r="Y259" s="687">
        <f t="shared" si="297"/>
        <v>0</v>
      </c>
      <c r="Z259" s="687">
        <f t="shared" si="297"/>
        <v>0</v>
      </c>
      <c r="AA259" s="687">
        <f t="shared" si="297"/>
        <v>0</v>
      </c>
      <c r="AB259" s="687">
        <f t="shared" si="297"/>
        <v>0</v>
      </c>
    </row>
    <row r="260" spans="1:64" x14ac:dyDescent="0.25">
      <c r="A260" s="22"/>
      <c r="B260" s="193" t="str">
        <f t="shared" si="290"/>
        <v>TBISGSL100</v>
      </c>
      <c r="C260" s="193"/>
      <c r="D260" s="194"/>
      <c r="E260" s="193"/>
      <c r="F260" s="196"/>
      <c r="G260" s="195"/>
      <c r="H260" s="196"/>
      <c r="I260" s="197">
        <f>AF$10</f>
        <v>2050</v>
      </c>
      <c r="J260" s="198"/>
      <c r="K260" s="198"/>
      <c r="L260" s="212" t="s">
        <v>1065</v>
      </c>
      <c r="M260" s="193" t="s">
        <v>748</v>
      </c>
      <c r="N260" s="688">
        <f t="shared" ref="N260:AB260" si="298">N254*LOOKUP($AD248,$AG$4:$AP$4,$AG$10:$AP$10)</f>
        <v>0</v>
      </c>
      <c r="O260" s="688">
        <f t="shared" si="298"/>
        <v>0</v>
      </c>
      <c r="P260" s="688">
        <f t="shared" si="298"/>
        <v>0</v>
      </c>
      <c r="Q260" s="688">
        <f t="shared" si="298"/>
        <v>0</v>
      </c>
      <c r="R260" s="688">
        <f t="shared" si="298"/>
        <v>0</v>
      </c>
      <c r="S260" s="688">
        <f t="shared" si="298"/>
        <v>0</v>
      </c>
      <c r="T260" s="688">
        <f t="shared" si="298"/>
        <v>0</v>
      </c>
      <c r="U260" s="688">
        <f t="shared" si="298"/>
        <v>0</v>
      </c>
      <c r="V260" s="688">
        <f t="shared" si="298"/>
        <v>0</v>
      </c>
      <c r="W260" s="688">
        <f t="shared" si="298"/>
        <v>0</v>
      </c>
      <c r="X260" s="688">
        <f t="shared" si="298"/>
        <v>0</v>
      </c>
      <c r="Y260" s="688">
        <f t="shared" si="298"/>
        <v>0</v>
      </c>
      <c r="Z260" s="688">
        <f t="shared" si="298"/>
        <v>0</v>
      </c>
      <c r="AA260" s="688">
        <f t="shared" si="298"/>
        <v>0</v>
      </c>
      <c r="AB260" s="688">
        <f t="shared" si="298"/>
        <v>0</v>
      </c>
    </row>
    <row r="261" spans="1:64" s="83" customFormat="1" ht="15" customHeight="1" x14ac:dyDescent="0.25">
      <c r="A261" s="82"/>
      <c r="B261" s="178" t="str">
        <f>C261</f>
        <v>TBISHYD100</v>
      </c>
      <c r="C261" s="178" t="s">
        <v>342</v>
      </c>
      <c r="D261" s="179" t="s">
        <v>758</v>
      </c>
      <c r="E261" s="258" t="s">
        <v>988</v>
      </c>
      <c r="F261" s="182"/>
      <c r="G261" s="181"/>
      <c r="H261" s="182"/>
      <c r="I261" s="183"/>
      <c r="J261" s="184"/>
      <c r="K261" s="184"/>
      <c r="L261" s="203" t="s">
        <v>1107</v>
      </c>
      <c r="M261" s="184" t="s">
        <v>1156</v>
      </c>
      <c r="N261" s="692">
        <f>N$47</f>
        <v>1E-3</v>
      </c>
      <c r="O261" s="692">
        <f t="shared" ref="O261:AB261" si="299">$N261</f>
        <v>1E-3</v>
      </c>
      <c r="P261" s="692">
        <f t="shared" si="299"/>
        <v>1E-3</v>
      </c>
      <c r="Q261" s="692">
        <f t="shared" si="299"/>
        <v>1E-3</v>
      </c>
      <c r="R261" s="692">
        <f t="shared" si="299"/>
        <v>1E-3</v>
      </c>
      <c r="S261" s="692">
        <f t="shared" si="299"/>
        <v>1E-3</v>
      </c>
      <c r="T261" s="692">
        <f t="shared" si="299"/>
        <v>1E-3</v>
      </c>
      <c r="U261" s="692">
        <f t="shared" si="299"/>
        <v>1E-3</v>
      </c>
      <c r="V261" s="692">
        <f t="shared" si="299"/>
        <v>1E-3</v>
      </c>
      <c r="W261" s="692">
        <f t="shared" si="299"/>
        <v>1E-3</v>
      </c>
      <c r="X261" s="692">
        <f t="shared" si="299"/>
        <v>1E-3</v>
      </c>
      <c r="Y261" s="692">
        <f t="shared" si="299"/>
        <v>1E-3</v>
      </c>
      <c r="Z261" s="692">
        <f t="shared" si="299"/>
        <v>1E-3</v>
      </c>
      <c r="AA261" s="692">
        <f t="shared" si="299"/>
        <v>1E-3</v>
      </c>
      <c r="AB261" s="692">
        <f t="shared" si="299"/>
        <v>1E-3</v>
      </c>
      <c r="AD261" s="402" t="str">
        <f>MID(D261,15,3)</f>
        <v>Hyb</v>
      </c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V261" s="700" t="str">
        <f t="shared" ref="AV261:AV262" si="300">MID(E261,1,7)</f>
        <v>TRABDL</v>
      </c>
      <c r="AW261" s="568">
        <f t="shared" ref="AW261:AW262" si="301">SUM(AX261:BL261)</f>
        <v>0</v>
      </c>
    </row>
    <row r="262" spans="1:64" ht="15" customHeight="1" x14ac:dyDescent="0.25">
      <c r="A262" s="22"/>
      <c r="B262" s="186" t="str">
        <f>B261</f>
        <v>TBISHYD100</v>
      </c>
      <c r="C262" s="186"/>
      <c r="D262" s="187"/>
      <c r="E262" s="258" t="s">
        <v>185</v>
      </c>
      <c r="F262" s="170"/>
      <c r="G262" s="189"/>
      <c r="H262" s="170"/>
      <c r="I262" s="190"/>
      <c r="J262" s="191" t="str">
        <f>$J$198</f>
        <v>UP</v>
      </c>
      <c r="K262" s="191"/>
      <c r="L262" s="211" t="s">
        <v>101</v>
      </c>
      <c r="M262" s="186"/>
      <c r="N262" s="675">
        <f t="shared" ref="N262:AB262" si="302">1-N21</f>
        <v>0.94496029288387329</v>
      </c>
      <c r="O262" s="675">
        <f t="shared" si="302"/>
        <v>0.94496029288387329</v>
      </c>
      <c r="P262" s="675">
        <f t="shared" si="302"/>
        <v>0.94496029288387329</v>
      </c>
      <c r="Q262" s="675">
        <f t="shared" si="302"/>
        <v>0.94496029288387329</v>
      </c>
      <c r="R262" s="675">
        <f t="shared" si="302"/>
        <v>0.94496029288387329</v>
      </c>
      <c r="S262" s="675">
        <f t="shared" si="302"/>
        <v>0.94496029288387329</v>
      </c>
      <c r="T262" s="675">
        <f t="shared" si="302"/>
        <v>0.94496029288387329</v>
      </c>
      <c r="U262" s="675">
        <f t="shared" si="302"/>
        <v>0.94496029288387329</v>
      </c>
      <c r="V262" s="675">
        <f t="shared" si="302"/>
        <v>0.94496029288387329</v>
      </c>
      <c r="W262" s="675">
        <f t="shared" si="302"/>
        <v>0.94496029288387329</v>
      </c>
      <c r="X262" s="675">
        <f t="shared" si="302"/>
        <v>0.94496029288387329</v>
      </c>
      <c r="Y262" s="675">
        <f t="shared" si="302"/>
        <v>0.94496029288387329</v>
      </c>
      <c r="Z262" s="675">
        <f t="shared" si="302"/>
        <v>0.94496029288387329</v>
      </c>
      <c r="AA262" s="675">
        <f t="shared" si="302"/>
        <v>0.94496029288387329</v>
      </c>
      <c r="AB262" s="675">
        <f t="shared" si="302"/>
        <v>0.94496029288387329</v>
      </c>
      <c r="AD262" s="66" t="str">
        <f>IF(COUNTIF($AG$4:$AP$4,AD261)=1,"ok","MISSING")</f>
        <v>ok</v>
      </c>
      <c r="AE262" s="357"/>
      <c r="AF262" s="89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V262" s="700" t="str">
        <f t="shared" si="300"/>
        <v>TRADST</v>
      </c>
      <c r="AW262" s="568">
        <f t="shared" si="301"/>
        <v>0</v>
      </c>
    </row>
    <row r="263" spans="1:64" s="83" customFormat="1" x14ac:dyDescent="0.25">
      <c r="A263" s="82"/>
      <c r="B263" s="178" t="str">
        <f t="shared" ref="B263" si="303">B262</f>
        <v>TBISHYD100</v>
      </c>
      <c r="C263" s="178"/>
      <c r="D263" s="179"/>
      <c r="E263" s="407" t="s">
        <v>990</v>
      </c>
      <c r="F263" s="182"/>
      <c r="G263" s="181"/>
      <c r="H263" s="182"/>
      <c r="I263" s="183"/>
      <c r="J263" s="184" t="s">
        <v>1157</v>
      </c>
      <c r="K263" s="184"/>
      <c r="L263" s="203" t="s">
        <v>101</v>
      </c>
      <c r="M263" s="184"/>
      <c r="N263" s="690">
        <f>N$20</f>
        <v>7.0000000000000007E-2</v>
      </c>
      <c r="O263" s="690">
        <f t="shared" ref="O263:AB263" si="304">O$20</f>
        <v>7.0000000000000007E-2</v>
      </c>
      <c r="P263" s="690">
        <f t="shared" si="304"/>
        <v>7.0000000000000007E-2</v>
      </c>
      <c r="Q263" s="690">
        <f t="shared" si="304"/>
        <v>7.0000000000000007E-2</v>
      </c>
      <c r="R263" s="690">
        <f t="shared" si="304"/>
        <v>7.0000000000000007E-2</v>
      </c>
      <c r="S263" s="690">
        <f t="shared" si="304"/>
        <v>7.0000000000000007E-2</v>
      </c>
      <c r="T263" s="690">
        <f t="shared" si="304"/>
        <v>7.0000000000000007E-2</v>
      </c>
      <c r="U263" s="690">
        <f t="shared" si="304"/>
        <v>7.0000000000000007E-2</v>
      </c>
      <c r="V263" s="690">
        <f t="shared" si="304"/>
        <v>7.0000000000000007E-2</v>
      </c>
      <c r="W263" s="690">
        <f t="shared" si="304"/>
        <v>7.0000000000000007E-2</v>
      </c>
      <c r="X263" s="690">
        <f t="shared" si="304"/>
        <v>7.0000000000000007E-2</v>
      </c>
      <c r="Y263" s="690">
        <f t="shared" si="304"/>
        <v>7.0000000000000007E-2</v>
      </c>
      <c r="Z263" s="690">
        <f t="shared" si="304"/>
        <v>7.0000000000000007E-2</v>
      </c>
      <c r="AA263" s="690">
        <f t="shared" si="304"/>
        <v>7.0000000000000007E-2</v>
      </c>
      <c r="AB263" s="690">
        <f t="shared" si="304"/>
        <v>7.0000000000000007E-2</v>
      </c>
      <c r="AD263" s="408"/>
      <c r="AE263" s="357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V263" s="700"/>
      <c r="AW263" s="568"/>
      <c r="AX263" s="708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</row>
    <row r="264" spans="1:64" ht="15" customHeight="1" x14ac:dyDescent="0.25">
      <c r="A264" s="22"/>
      <c r="B264" s="186" t="str">
        <f>B262</f>
        <v>TBISHYD100</v>
      </c>
      <c r="C264" s="186"/>
      <c r="D264" s="187"/>
      <c r="E264" s="186"/>
      <c r="F264" s="170"/>
      <c r="G264" s="188" t="s">
        <v>414</v>
      </c>
      <c r="H264" s="170"/>
      <c r="I264" s="190"/>
      <c r="J264" s="191"/>
      <c r="K264" s="191"/>
      <c r="L264" s="191" t="s">
        <v>1126</v>
      </c>
      <c r="M264" s="186" t="s">
        <v>678</v>
      </c>
      <c r="N264" s="690">
        <f>T_CEFF!H142</f>
        <v>8.7720000000000006E-2</v>
      </c>
      <c r="O264" s="690">
        <f>T_CEFF!I142</f>
        <v>8.7720000000000006E-2</v>
      </c>
      <c r="P264" s="690">
        <f>T_CEFF!J142</f>
        <v>8.7720000000000006E-2</v>
      </c>
      <c r="Q264" s="690">
        <f>T_CEFF!K142</f>
        <v>8.7720000000000006E-2</v>
      </c>
      <c r="R264" s="690">
        <f>T_CEFF!L142</f>
        <v>8.7720000000000006E-2</v>
      </c>
      <c r="S264" s="690">
        <f>T_CEFF!M142</f>
        <v>8.7720000000000006E-2</v>
      </c>
      <c r="T264" s="690">
        <f>T_CEFF!N142</f>
        <v>8.7720000000000006E-2</v>
      </c>
      <c r="U264" s="690">
        <f>T_CEFF!O142</f>
        <v>8.7720000000000006E-2</v>
      </c>
      <c r="V264" s="690">
        <f>T_CEFF!P142</f>
        <v>8.7720000000000006E-2</v>
      </c>
      <c r="W264" s="690">
        <f>T_CEFF!Q142</f>
        <v>8.7720000000000006E-2</v>
      </c>
      <c r="X264" s="690">
        <f>T_CEFF!R142</f>
        <v>8.7720000000000006E-2</v>
      </c>
      <c r="Y264" s="690">
        <f>T_CEFF!S142</f>
        <v>8.7720000000000006E-2</v>
      </c>
      <c r="Z264" s="690">
        <f>T_CEFF!T142</f>
        <v>8.7720000000000006E-2</v>
      </c>
      <c r="AA264" s="690">
        <f>T_CEFF!U142</f>
        <v>8.7720000000000006E-2</v>
      </c>
      <c r="AB264" s="690">
        <f>T_CEFF!V142</f>
        <v>8.7720000000000006E-2</v>
      </c>
      <c r="AE264" s="36"/>
      <c r="AF264" s="68"/>
    </row>
    <row r="265" spans="1:64" ht="15" customHeight="1" x14ac:dyDescent="0.25">
      <c r="A265" s="22"/>
      <c r="B265" s="186" t="str">
        <f>B264</f>
        <v>TBISHYD100</v>
      </c>
      <c r="C265" s="186"/>
      <c r="D265" s="187"/>
      <c r="E265" s="186"/>
      <c r="F265" s="170"/>
      <c r="G265" s="188" t="s">
        <v>590</v>
      </c>
      <c r="H265" s="170"/>
      <c r="I265" s="190"/>
      <c r="J265" s="191"/>
      <c r="K265" s="191"/>
      <c r="L265" s="191" t="s">
        <v>1126</v>
      </c>
      <c r="M265" s="186" t="s">
        <v>678</v>
      </c>
      <c r="N265" s="690">
        <f>T_CEFF!H143</f>
        <v>8.7720000000000006E-2</v>
      </c>
      <c r="O265" s="690">
        <f>T_CEFF!I143</f>
        <v>8.7720000000000006E-2</v>
      </c>
      <c r="P265" s="690">
        <f>T_CEFF!J143</f>
        <v>8.7720000000000006E-2</v>
      </c>
      <c r="Q265" s="690">
        <f>T_CEFF!K143</f>
        <v>8.7720000000000006E-2</v>
      </c>
      <c r="R265" s="690">
        <f>T_CEFF!L143</f>
        <v>8.7720000000000006E-2</v>
      </c>
      <c r="S265" s="690">
        <f>T_CEFF!M143</f>
        <v>8.7720000000000006E-2</v>
      </c>
      <c r="T265" s="690">
        <f>T_CEFF!N143</f>
        <v>8.7720000000000006E-2</v>
      </c>
      <c r="U265" s="690">
        <f>T_CEFF!O143</f>
        <v>8.7720000000000006E-2</v>
      </c>
      <c r="V265" s="690">
        <f>T_CEFF!P143</f>
        <v>8.7720000000000006E-2</v>
      </c>
      <c r="W265" s="690">
        <f>T_CEFF!Q143</f>
        <v>8.7720000000000006E-2</v>
      </c>
      <c r="X265" s="690">
        <f>T_CEFF!R143</f>
        <v>8.7720000000000006E-2</v>
      </c>
      <c r="Y265" s="690">
        <f>T_CEFF!S143</f>
        <v>8.7720000000000006E-2</v>
      </c>
      <c r="Z265" s="690">
        <f>T_CEFF!T143</f>
        <v>8.7720000000000006E-2</v>
      </c>
      <c r="AA265" s="690">
        <f>T_CEFF!U143</f>
        <v>8.7720000000000006E-2</v>
      </c>
      <c r="AB265" s="690">
        <f>T_CEFF!V143</f>
        <v>8.7720000000000006E-2</v>
      </c>
      <c r="AE265" s="36"/>
      <c r="AF265" s="68"/>
    </row>
    <row r="266" spans="1:64" ht="15" customHeight="1" x14ac:dyDescent="0.25">
      <c r="A266" s="22"/>
      <c r="B266" s="186" t="str">
        <f t="shared" ref="B266:B274" si="305">B265</f>
        <v>TBISHYD100</v>
      </c>
      <c r="C266" s="186"/>
      <c r="D266" s="187"/>
      <c r="E266" s="186"/>
      <c r="F266" s="170"/>
      <c r="G266" s="189"/>
      <c r="H266" s="170"/>
      <c r="I266" s="190"/>
      <c r="J266" s="191"/>
      <c r="K266" s="191" t="s">
        <v>749</v>
      </c>
      <c r="L266" s="191" t="s">
        <v>1128</v>
      </c>
      <c r="M266" s="186" t="s">
        <v>1159</v>
      </c>
      <c r="N266" s="603">
        <f t="shared" ref="N266:AB266" si="306">N$16</f>
        <v>0</v>
      </c>
      <c r="O266" s="603">
        <f t="shared" si="306"/>
        <v>0</v>
      </c>
      <c r="P266" s="603">
        <f t="shared" si="306"/>
        <v>0</v>
      </c>
      <c r="Q266" s="603">
        <f t="shared" si="306"/>
        <v>0</v>
      </c>
      <c r="R266" s="603">
        <f t="shared" si="306"/>
        <v>0</v>
      </c>
      <c r="S266" s="603">
        <f t="shared" si="306"/>
        <v>0</v>
      </c>
      <c r="T266" s="603">
        <f t="shared" si="306"/>
        <v>0</v>
      </c>
      <c r="U266" s="603">
        <f t="shared" si="306"/>
        <v>0</v>
      </c>
      <c r="V266" s="603">
        <f t="shared" si="306"/>
        <v>0</v>
      </c>
      <c r="W266" s="603">
        <f t="shared" si="306"/>
        <v>0</v>
      </c>
      <c r="X266" s="603">
        <f t="shared" si="306"/>
        <v>0</v>
      </c>
      <c r="Y266" s="603">
        <f t="shared" si="306"/>
        <v>0</v>
      </c>
      <c r="Z266" s="603">
        <f t="shared" si="306"/>
        <v>0</v>
      </c>
      <c r="AA266" s="603">
        <f t="shared" si="306"/>
        <v>0</v>
      </c>
      <c r="AB266" s="603">
        <f t="shared" si="306"/>
        <v>0</v>
      </c>
      <c r="AE266" s="36"/>
      <c r="AF266" s="68"/>
    </row>
    <row r="267" spans="1:64" ht="15" customHeight="1" x14ac:dyDescent="0.25">
      <c r="A267" s="22"/>
      <c r="B267" s="186" t="str">
        <f t="shared" si="305"/>
        <v>TBISHYD100</v>
      </c>
      <c r="C267" s="186"/>
      <c r="D267" s="187"/>
      <c r="E267" s="186"/>
      <c r="F267" s="170"/>
      <c r="G267" s="189"/>
      <c r="H267" s="170"/>
      <c r="I267" s="190"/>
      <c r="J267" s="191"/>
      <c r="K267" s="191"/>
      <c r="L267" s="211" t="s">
        <v>1130</v>
      </c>
      <c r="M267" s="186" t="s">
        <v>1131</v>
      </c>
      <c r="N267" s="389">
        <f>LOOKUP($C$261, T_NCAP_AF!$C$110:$C$120, T_NCAP_AF!D$110:D$120)*(1+N179)</f>
        <v>0</v>
      </c>
      <c r="O267" s="389">
        <f>LOOKUP($C$261, T_NCAP_AF!$C$110:$C$120, T_NCAP_AF!E$110:E$120)*(1+O179)</f>
        <v>0</v>
      </c>
      <c r="P267" s="389">
        <f>LOOKUP($C$261, T_NCAP_AF!$C$110:$C$120, T_NCAP_AF!F$110:F$120)*(1+P179)</f>
        <v>0</v>
      </c>
      <c r="Q267" s="389">
        <f>LOOKUP($C$261, T_NCAP_AF!$C$110:$C$120, T_NCAP_AF!G$110:G$120)*(1+Q179)</f>
        <v>0</v>
      </c>
      <c r="R267" s="389">
        <f>LOOKUP($C$261, T_NCAP_AF!$C$110:$C$120, T_NCAP_AF!H$110:H$120)*(1+R179)</f>
        <v>0</v>
      </c>
      <c r="S267" s="389">
        <f>LOOKUP($C$261, T_NCAP_AF!$C$110:$C$120, T_NCAP_AF!I$110:I$120)*(1+S179)</f>
        <v>0</v>
      </c>
      <c r="T267" s="389">
        <f>LOOKUP($C$261, T_NCAP_AF!$C$110:$C$120, T_NCAP_AF!J$110:J$120)*(1+T179)</f>
        <v>0</v>
      </c>
      <c r="U267" s="389">
        <f>LOOKUP($C$261, T_NCAP_AF!$C$110:$C$120, T_NCAP_AF!K$110:K$120)*(1+U179)</f>
        <v>0</v>
      </c>
      <c r="V267" s="389">
        <f>LOOKUP($C$261, T_NCAP_AF!$C$110:$C$120, T_NCAP_AF!L$110:L$120)*(1+V179)</f>
        <v>0</v>
      </c>
      <c r="W267" s="389">
        <f>LOOKUP($C$261, T_NCAP_AF!$C$110:$C$120, T_NCAP_AF!M$110:M$120)*(1+W179)</f>
        <v>0</v>
      </c>
      <c r="X267" s="389">
        <f>LOOKUP($C$261, T_NCAP_AF!$C$110:$C$120, T_NCAP_AF!N$110:N$120)*(1+X179)</f>
        <v>0</v>
      </c>
      <c r="Y267" s="389">
        <f>LOOKUP($C$261, T_NCAP_AF!$C$110:$C$120, T_NCAP_AF!O$110:O$120)*(1+Y179)</f>
        <v>0</v>
      </c>
      <c r="Z267" s="389">
        <f>LOOKUP($C$261, T_NCAP_AF!$C$110:$C$120, T_NCAP_AF!P$110:P$120)*(1+Z179)</f>
        <v>0</v>
      </c>
      <c r="AA267" s="389">
        <f>LOOKUP($C$261, T_NCAP_AF!$C$110:$C$120, T_NCAP_AF!Q$110:Q$120)*(1+AA179)</f>
        <v>0</v>
      </c>
      <c r="AB267" s="389">
        <f>LOOKUP($C$261, T_NCAP_AF!$C$110:$C$120, T_NCAP_AF!R$110:R$120)*(1+AB179)</f>
        <v>0</v>
      </c>
      <c r="AC267" s="83"/>
      <c r="AE267" s="572">
        <f>SUM(AF267:AT267)</f>
        <v>0</v>
      </c>
      <c r="AF267" s="85">
        <f t="shared" ref="AF267:AT267" si="307">N266*N267*N268/1000</f>
        <v>0</v>
      </c>
      <c r="AG267" s="85">
        <f t="shared" si="307"/>
        <v>0</v>
      </c>
      <c r="AH267" s="85">
        <f t="shared" si="307"/>
        <v>0</v>
      </c>
      <c r="AI267" s="85">
        <f t="shared" si="307"/>
        <v>0</v>
      </c>
      <c r="AJ267" s="85">
        <f t="shared" si="307"/>
        <v>0</v>
      </c>
      <c r="AK267" s="85">
        <f t="shared" si="307"/>
        <v>0</v>
      </c>
      <c r="AL267" s="85">
        <f t="shared" si="307"/>
        <v>0</v>
      </c>
      <c r="AM267" s="85">
        <f t="shared" si="307"/>
        <v>0</v>
      </c>
      <c r="AN267" s="85">
        <f t="shared" si="307"/>
        <v>0</v>
      </c>
      <c r="AO267" s="85">
        <f t="shared" si="307"/>
        <v>0</v>
      </c>
      <c r="AP267" s="85">
        <f t="shared" si="307"/>
        <v>0</v>
      </c>
      <c r="AQ267" s="85">
        <f t="shared" si="307"/>
        <v>0</v>
      </c>
      <c r="AR267" s="85">
        <f t="shared" si="307"/>
        <v>0</v>
      </c>
      <c r="AS267" s="85">
        <f t="shared" si="307"/>
        <v>0</v>
      </c>
      <c r="AT267" s="85">
        <f t="shared" si="307"/>
        <v>0</v>
      </c>
    </row>
    <row r="268" spans="1:64" ht="15" customHeight="1" x14ac:dyDescent="0.25">
      <c r="A268" s="22"/>
      <c r="B268" s="186" t="str">
        <f t="shared" si="305"/>
        <v>TBISHYD100</v>
      </c>
      <c r="C268" s="186"/>
      <c r="D268" s="187"/>
      <c r="E268" s="186"/>
      <c r="F268" s="170"/>
      <c r="G268" s="189"/>
      <c r="H268" s="170"/>
      <c r="I268" s="190">
        <f>$M$3</f>
        <v>2019</v>
      </c>
      <c r="J268" s="191"/>
      <c r="K268" s="191"/>
      <c r="L268" s="211" t="s">
        <v>1065</v>
      </c>
      <c r="M268" s="186" t="s">
        <v>748</v>
      </c>
      <c r="N268" s="687">
        <f>LOOKUP($C$261, T_Stock_Private!$C$74:$C$84, T_Stock_Private!D$74:D$84)*(1+N180)</f>
        <v>0</v>
      </c>
      <c r="O268" s="687">
        <f>LOOKUP($C$261, T_Stock_Private!$C$74:$C$84, T_Stock_Private!E$74:E$84)*(1+O180)</f>
        <v>0</v>
      </c>
      <c r="P268" s="687">
        <f>LOOKUP($C$261, T_Stock_Private!$C$74:$C$84, T_Stock_Private!F$74:F$84)*(1+P180)</f>
        <v>0</v>
      </c>
      <c r="Q268" s="687">
        <f>LOOKUP($C$261, T_Stock_Private!$C$74:$C$84, T_Stock_Private!G$74:G$84)*(1+Q180)</f>
        <v>0</v>
      </c>
      <c r="R268" s="687">
        <f>LOOKUP($C$261, T_Stock_Private!$C$74:$C$84, T_Stock_Private!H$74:H$84)*(1+R180)</f>
        <v>0</v>
      </c>
      <c r="S268" s="687">
        <f>LOOKUP($C$261, T_Stock_Private!$C$74:$C$84, T_Stock_Private!I$74:I$84)*(1+S180)</f>
        <v>0</v>
      </c>
      <c r="T268" s="687">
        <f>LOOKUP($C$261, T_Stock_Private!$C$74:$C$84, T_Stock_Private!J$74:J$84)*(1+T180)</f>
        <v>0</v>
      </c>
      <c r="U268" s="687">
        <f>LOOKUP($C$261, T_Stock_Private!$C$74:$C$84, T_Stock_Private!K$74:K$84)*(1+U180)</f>
        <v>0</v>
      </c>
      <c r="V268" s="687">
        <f>LOOKUP($C$261, T_Stock_Private!$C$74:$C$84, T_Stock_Private!L$74:L$84)*(1+V180)</f>
        <v>0</v>
      </c>
      <c r="W268" s="687">
        <f>LOOKUP($C$261, T_Stock_Private!$C$74:$C$84, T_Stock_Private!M$74:M$84)*(1+W180)</f>
        <v>0</v>
      </c>
      <c r="X268" s="687">
        <f>LOOKUP($C$261, T_Stock_Private!$C$74:$C$84, T_Stock_Private!N$74:N$84)*(1+X180)</f>
        <v>0</v>
      </c>
      <c r="Y268" s="687">
        <f>LOOKUP($C$261, T_Stock_Private!$C$74:$C$84, T_Stock_Private!O$74:O$84)*(1+Y180)</f>
        <v>0</v>
      </c>
      <c r="Z268" s="687">
        <f>LOOKUP($C$261, T_Stock_Private!$C$74:$C$84, T_Stock_Private!P$74:P$84)*(1+Z180)</f>
        <v>0</v>
      </c>
      <c r="AA268" s="687">
        <f>LOOKUP($C$261, T_Stock_Private!$C$74:$C$84, T_Stock_Private!Q$74:Q$84)*(1+AA180)</f>
        <v>0</v>
      </c>
      <c r="AB268" s="687">
        <f>LOOKUP($C$261, T_Stock_Private!$C$74:$C$84, T_Stock_Private!R$74:R$84)*(1+AB180)</f>
        <v>0</v>
      </c>
      <c r="AC268" s="89"/>
    </row>
    <row r="269" spans="1:64" ht="15" customHeight="1" x14ac:dyDescent="0.25">
      <c r="A269" s="22"/>
      <c r="B269" s="186" t="str">
        <f t="shared" si="305"/>
        <v>TBISHYD100</v>
      </c>
      <c r="C269" s="186"/>
      <c r="D269" s="187"/>
      <c r="E269" s="186"/>
      <c r="F269" s="170"/>
      <c r="G269" s="189"/>
      <c r="H269" s="170"/>
      <c r="I269" s="190">
        <f>AF$5</f>
        <v>2020</v>
      </c>
      <c r="J269" s="191"/>
      <c r="K269" s="191"/>
      <c r="L269" s="211" t="s">
        <v>1065</v>
      </c>
      <c r="M269" s="186" t="s">
        <v>748</v>
      </c>
      <c r="N269" s="687">
        <f t="shared" ref="N269:AB269" si="308">N268*LOOKUP($AD261,$AG$4:$AP$4,$AG$5:$AP$5)</f>
        <v>0</v>
      </c>
      <c r="O269" s="687">
        <f t="shared" si="308"/>
        <v>0</v>
      </c>
      <c r="P269" s="687">
        <f t="shared" si="308"/>
        <v>0</v>
      </c>
      <c r="Q269" s="687">
        <f t="shared" si="308"/>
        <v>0</v>
      </c>
      <c r="R269" s="687">
        <f t="shared" si="308"/>
        <v>0</v>
      </c>
      <c r="S269" s="687">
        <f t="shared" si="308"/>
        <v>0</v>
      </c>
      <c r="T269" s="687">
        <f t="shared" si="308"/>
        <v>0</v>
      </c>
      <c r="U269" s="687">
        <f t="shared" si="308"/>
        <v>0</v>
      </c>
      <c r="V269" s="687">
        <f t="shared" si="308"/>
        <v>0</v>
      </c>
      <c r="W269" s="687">
        <f t="shared" si="308"/>
        <v>0</v>
      </c>
      <c r="X269" s="687">
        <f t="shared" si="308"/>
        <v>0</v>
      </c>
      <c r="Y269" s="687">
        <f t="shared" si="308"/>
        <v>0</v>
      </c>
      <c r="Z269" s="687">
        <f t="shared" si="308"/>
        <v>0</v>
      </c>
      <c r="AA269" s="687">
        <f t="shared" si="308"/>
        <v>0</v>
      </c>
      <c r="AB269" s="687">
        <f t="shared" si="308"/>
        <v>0</v>
      </c>
    </row>
    <row r="270" spans="1:64" ht="15" customHeight="1" x14ac:dyDescent="0.25">
      <c r="A270" s="22"/>
      <c r="B270" s="186" t="str">
        <f t="shared" si="305"/>
        <v>TBISHYD100</v>
      </c>
      <c r="C270" s="186"/>
      <c r="D270" s="187"/>
      <c r="E270" s="186"/>
      <c r="F270" s="170"/>
      <c r="G270" s="189"/>
      <c r="H270" s="170"/>
      <c r="I270" s="190">
        <f>AF$6</f>
        <v>2025</v>
      </c>
      <c r="J270" s="191"/>
      <c r="K270" s="191"/>
      <c r="L270" s="211" t="s">
        <v>1065</v>
      </c>
      <c r="M270" s="186" t="s">
        <v>748</v>
      </c>
      <c r="N270" s="687">
        <f t="shared" ref="N270:AB270" si="309">N268*LOOKUP($AD261,$AG$4:$AP$4,$AG$6:$AP$6)</f>
        <v>0</v>
      </c>
      <c r="O270" s="687">
        <f t="shared" si="309"/>
        <v>0</v>
      </c>
      <c r="P270" s="687">
        <f t="shared" si="309"/>
        <v>0</v>
      </c>
      <c r="Q270" s="687">
        <f t="shared" si="309"/>
        <v>0</v>
      </c>
      <c r="R270" s="687">
        <f t="shared" si="309"/>
        <v>0</v>
      </c>
      <c r="S270" s="687">
        <f t="shared" si="309"/>
        <v>0</v>
      </c>
      <c r="T270" s="687">
        <f t="shared" si="309"/>
        <v>0</v>
      </c>
      <c r="U270" s="687">
        <f t="shared" si="309"/>
        <v>0</v>
      </c>
      <c r="V270" s="687">
        <f t="shared" si="309"/>
        <v>0</v>
      </c>
      <c r="W270" s="687">
        <f t="shared" si="309"/>
        <v>0</v>
      </c>
      <c r="X270" s="687">
        <f t="shared" si="309"/>
        <v>0</v>
      </c>
      <c r="Y270" s="687">
        <f t="shared" si="309"/>
        <v>0</v>
      </c>
      <c r="Z270" s="687">
        <f t="shared" si="309"/>
        <v>0</v>
      </c>
      <c r="AA270" s="687">
        <f t="shared" si="309"/>
        <v>0</v>
      </c>
      <c r="AB270" s="687">
        <f t="shared" si="309"/>
        <v>0</v>
      </c>
    </row>
    <row r="271" spans="1:64" ht="15" customHeight="1" x14ac:dyDescent="0.25">
      <c r="A271" s="22"/>
      <c r="B271" s="186" t="str">
        <f t="shared" si="305"/>
        <v>TBISHYD100</v>
      </c>
      <c r="C271" s="186"/>
      <c r="D271" s="187"/>
      <c r="E271" s="186"/>
      <c r="F271" s="170"/>
      <c r="G271" s="189"/>
      <c r="H271" s="170"/>
      <c r="I271" s="190">
        <f>AF$7</f>
        <v>2030</v>
      </c>
      <c r="J271" s="191"/>
      <c r="K271" s="191"/>
      <c r="L271" s="211" t="s">
        <v>1065</v>
      </c>
      <c r="M271" s="186" t="s">
        <v>748</v>
      </c>
      <c r="N271" s="687">
        <f t="shared" ref="N271:AB271" si="310">N268*LOOKUP($AD261,$AG$4:$AP$4,$AG$7:$AP$7)</f>
        <v>0</v>
      </c>
      <c r="O271" s="687">
        <f t="shared" si="310"/>
        <v>0</v>
      </c>
      <c r="P271" s="687">
        <f t="shared" si="310"/>
        <v>0</v>
      </c>
      <c r="Q271" s="687">
        <f t="shared" si="310"/>
        <v>0</v>
      </c>
      <c r="R271" s="687">
        <f t="shared" si="310"/>
        <v>0</v>
      </c>
      <c r="S271" s="687">
        <f t="shared" si="310"/>
        <v>0</v>
      </c>
      <c r="T271" s="687">
        <f t="shared" si="310"/>
        <v>0</v>
      </c>
      <c r="U271" s="687">
        <f t="shared" si="310"/>
        <v>0</v>
      </c>
      <c r="V271" s="687">
        <f t="shared" si="310"/>
        <v>0</v>
      </c>
      <c r="W271" s="687">
        <f t="shared" si="310"/>
        <v>0</v>
      </c>
      <c r="X271" s="687">
        <f t="shared" si="310"/>
        <v>0</v>
      </c>
      <c r="Y271" s="687">
        <f t="shared" si="310"/>
        <v>0</v>
      </c>
      <c r="Z271" s="687">
        <f t="shared" si="310"/>
        <v>0</v>
      </c>
      <c r="AA271" s="687">
        <f t="shared" si="310"/>
        <v>0</v>
      </c>
      <c r="AB271" s="687">
        <f t="shared" si="310"/>
        <v>0</v>
      </c>
    </row>
    <row r="272" spans="1:64" ht="15" customHeight="1" x14ac:dyDescent="0.25">
      <c r="A272" s="22"/>
      <c r="B272" s="186" t="str">
        <f t="shared" si="305"/>
        <v>TBISHYD100</v>
      </c>
      <c r="C272" s="186"/>
      <c r="D272" s="187"/>
      <c r="E272" s="186"/>
      <c r="F272" s="170"/>
      <c r="G272" s="189"/>
      <c r="H272" s="170"/>
      <c r="I272" s="190">
        <f>AF$8</f>
        <v>2035</v>
      </c>
      <c r="J272" s="191"/>
      <c r="K272" s="191"/>
      <c r="L272" s="211" t="s">
        <v>1065</v>
      </c>
      <c r="M272" s="186" t="s">
        <v>748</v>
      </c>
      <c r="N272" s="687">
        <f t="shared" ref="N272:AB272" si="311">N268*LOOKUP($AD261,$AG$4:$AP$4,$AG$8:$AP$8)</f>
        <v>0</v>
      </c>
      <c r="O272" s="687">
        <f t="shared" si="311"/>
        <v>0</v>
      </c>
      <c r="P272" s="687">
        <f t="shared" si="311"/>
        <v>0</v>
      </c>
      <c r="Q272" s="687">
        <f t="shared" si="311"/>
        <v>0</v>
      </c>
      <c r="R272" s="687">
        <f t="shared" si="311"/>
        <v>0</v>
      </c>
      <c r="S272" s="687">
        <f t="shared" si="311"/>
        <v>0</v>
      </c>
      <c r="T272" s="687">
        <f t="shared" si="311"/>
        <v>0</v>
      </c>
      <c r="U272" s="687">
        <f t="shared" si="311"/>
        <v>0</v>
      </c>
      <c r="V272" s="687">
        <f t="shared" si="311"/>
        <v>0</v>
      </c>
      <c r="W272" s="687">
        <f t="shared" si="311"/>
        <v>0</v>
      </c>
      <c r="X272" s="687">
        <f t="shared" si="311"/>
        <v>0</v>
      </c>
      <c r="Y272" s="687">
        <f t="shared" si="311"/>
        <v>0</v>
      </c>
      <c r="Z272" s="687">
        <f t="shared" si="311"/>
        <v>0</v>
      </c>
      <c r="AA272" s="687">
        <f t="shared" si="311"/>
        <v>0</v>
      </c>
      <c r="AB272" s="687">
        <f t="shared" si="311"/>
        <v>0</v>
      </c>
    </row>
    <row r="273" spans="1:49" ht="15" customHeight="1" x14ac:dyDescent="0.25">
      <c r="A273" s="22"/>
      <c r="B273" s="186" t="str">
        <f t="shared" si="305"/>
        <v>TBISHYD100</v>
      </c>
      <c r="C273" s="186"/>
      <c r="D273" s="187"/>
      <c r="E273" s="186"/>
      <c r="F273" s="170"/>
      <c r="G273" s="189"/>
      <c r="H273" s="170"/>
      <c r="I273" s="190">
        <f>AF$9</f>
        <v>2040</v>
      </c>
      <c r="J273" s="191"/>
      <c r="K273" s="191"/>
      <c r="L273" s="211" t="s">
        <v>1065</v>
      </c>
      <c r="M273" s="186" t="s">
        <v>748</v>
      </c>
      <c r="N273" s="687">
        <f t="shared" ref="N273:AB273" si="312">N268*LOOKUP($AD261,$AG$4:$AP$4,$AG$9:$AP$9)</f>
        <v>0</v>
      </c>
      <c r="O273" s="687">
        <f t="shared" si="312"/>
        <v>0</v>
      </c>
      <c r="P273" s="687">
        <f t="shared" si="312"/>
        <v>0</v>
      </c>
      <c r="Q273" s="687">
        <f t="shared" si="312"/>
        <v>0</v>
      </c>
      <c r="R273" s="687">
        <f t="shared" si="312"/>
        <v>0</v>
      </c>
      <c r="S273" s="687">
        <f t="shared" si="312"/>
        <v>0</v>
      </c>
      <c r="T273" s="687">
        <f t="shared" si="312"/>
        <v>0</v>
      </c>
      <c r="U273" s="687">
        <f t="shared" si="312"/>
        <v>0</v>
      </c>
      <c r="V273" s="687">
        <f t="shared" si="312"/>
        <v>0</v>
      </c>
      <c r="W273" s="687">
        <f t="shared" si="312"/>
        <v>0</v>
      </c>
      <c r="X273" s="687">
        <f t="shared" si="312"/>
        <v>0</v>
      </c>
      <c r="Y273" s="687">
        <f t="shared" si="312"/>
        <v>0</v>
      </c>
      <c r="Z273" s="687">
        <f t="shared" si="312"/>
        <v>0</v>
      </c>
      <c r="AA273" s="687">
        <f t="shared" si="312"/>
        <v>0</v>
      </c>
      <c r="AB273" s="687">
        <f t="shared" si="312"/>
        <v>0</v>
      </c>
    </row>
    <row r="274" spans="1:49" ht="15" customHeight="1" x14ac:dyDescent="0.25">
      <c r="A274" s="22"/>
      <c r="B274" s="193" t="str">
        <f t="shared" si="305"/>
        <v>TBISHYD100</v>
      </c>
      <c r="C274" s="193"/>
      <c r="D274" s="194"/>
      <c r="E274" s="193"/>
      <c r="F274" s="196"/>
      <c r="G274" s="195"/>
      <c r="H274" s="196"/>
      <c r="I274" s="197">
        <f>AF$10</f>
        <v>2050</v>
      </c>
      <c r="J274" s="198"/>
      <c r="K274" s="198"/>
      <c r="L274" s="199" t="s">
        <v>1065</v>
      </c>
      <c r="M274" s="193" t="s">
        <v>748</v>
      </c>
      <c r="N274" s="688">
        <f t="shared" ref="N274:AB274" si="313">N268*LOOKUP($AD261,$AG$4:$AP$4,$AG$10:$AP$10)</f>
        <v>0</v>
      </c>
      <c r="O274" s="688">
        <f t="shared" si="313"/>
        <v>0</v>
      </c>
      <c r="P274" s="688">
        <f t="shared" si="313"/>
        <v>0</v>
      </c>
      <c r="Q274" s="688">
        <f t="shared" si="313"/>
        <v>0</v>
      </c>
      <c r="R274" s="688">
        <f t="shared" si="313"/>
        <v>0</v>
      </c>
      <c r="S274" s="688">
        <f t="shared" si="313"/>
        <v>0</v>
      </c>
      <c r="T274" s="688">
        <f t="shared" si="313"/>
        <v>0</v>
      </c>
      <c r="U274" s="688">
        <f t="shared" si="313"/>
        <v>0</v>
      </c>
      <c r="V274" s="688">
        <f t="shared" si="313"/>
        <v>0</v>
      </c>
      <c r="W274" s="688">
        <f t="shared" si="313"/>
        <v>0</v>
      </c>
      <c r="X274" s="688">
        <f t="shared" si="313"/>
        <v>0</v>
      </c>
      <c r="Y274" s="688">
        <f t="shared" si="313"/>
        <v>0</v>
      </c>
      <c r="Z274" s="688">
        <f t="shared" si="313"/>
        <v>0</v>
      </c>
      <c r="AA274" s="688">
        <f t="shared" si="313"/>
        <v>0</v>
      </c>
      <c r="AB274" s="688">
        <f t="shared" si="313"/>
        <v>0</v>
      </c>
    </row>
    <row r="275" spans="1:49" s="83" customFormat="1" ht="15" customHeight="1" x14ac:dyDescent="0.25">
      <c r="A275" s="82"/>
      <c r="B275" s="178" t="str">
        <f>C275</f>
        <v>TBISHYG100</v>
      </c>
      <c r="C275" s="178" t="s">
        <v>343</v>
      </c>
      <c r="D275" s="179" t="s">
        <v>759</v>
      </c>
      <c r="E275" s="407" t="s">
        <v>1012</v>
      </c>
      <c r="F275" s="182"/>
      <c r="G275" s="181"/>
      <c r="H275" s="182"/>
      <c r="I275" s="183"/>
      <c r="J275" s="184"/>
      <c r="K275" s="184"/>
      <c r="L275" s="203" t="s">
        <v>1107</v>
      </c>
      <c r="M275" s="184" t="s">
        <v>1156</v>
      </c>
      <c r="N275" s="692">
        <f>N$47</f>
        <v>1E-3</v>
      </c>
      <c r="O275" s="692">
        <f t="shared" ref="O275:AB275" si="314">$N275</f>
        <v>1E-3</v>
      </c>
      <c r="P275" s="692">
        <f t="shared" si="314"/>
        <v>1E-3</v>
      </c>
      <c r="Q275" s="692">
        <f t="shared" si="314"/>
        <v>1E-3</v>
      </c>
      <c r="R275" s="692">
        <f t="shared" si="314"/>
        <v>1E-3</v>
      </c>
      <c r="S275" s="692">
        <f t="shared" si="314"/>
        <v>1E-3</v>
      </c>
      <c r="T275" s="692">
        <f t="shared" si="314"/>
        <v>1E-3</v>
      </c>
      <c r="U275" s="692">
        <f t="shared" si="314"/>
        <v>1E-3</v>
      </c>
      <c r="V275" s="692">
        <f t="shared" si="314"/>
        <v>1E-3</v>
      </c>
      <c r="W275" s="692">
        <f t="shared" si="314"/>
        <v>1E-3</v>
      </c>
      <c r="X275" s="692">
        <f t="shared" si="314"/>
        <v>1E-3</v>
      </c>
      <c r="Y275" s="692">
        <f t="shared" si="314"/>
        <v>1E-3</v>
      </c>
      <c r="Z275" s="692">
        <f t="shared" si="314"/>
        <v>1E-3</v>
      </c>
      <c r="AA275" s="692">
        <f t="shared" si="314"/>
        <v>1E-3</v>
      </c>
      <c r="AB275" s="692">
        <f t="shared" si="314"/>
        <v>1E-3</v>
      </c>
      <c r="AD275" s="402" t="str">
        <f>MID(D275,15,3)</f>
        <v>Hyb</v>
      </c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V275" s="700" t="str">
        <f t="shared" ref="AV275:AV276" si="315">MID(E275,1,7)</f>
        <v>TRAETHM</v>
      </c>
      <c r="AW275" s="568">
        <f t="shared" ref="AW275:AW276" si="316">SUM(AX275:BL275)</f>
        <v>0</v>
      </c>
    </row>
    <row r="276" spans="1:49" ht="15" customHeight="1" x14ac:dyDescent="0.25">
      <c r="A276" s="22"/>
      <c r="B276" s="186" t="str">
        <f>B275</f>
        <v>TBISHYG100</v>
      </c>
      <c r="C276" s="186"/>
      <c r="D276" s="187"/>
      <c r="E276" s="258" t="s">
        <v>1014</v>
      </c>
      <c r="F276" s="170"/>
      <c r="G276" s="189"/>
      <c r="H276" s="170"/>
      <c r="I276" s="190"/>
      <c r="J276" s="191" t="s">
        <v>1127</v>
      </c>
      <c r="K276" s="191"/>
      <c r="L276" s="211" t="s">
        <v>101</v>
      </c>
      <c r="M276" s="186"/>
      <c r="N276" s="675">
        <f>1-N$21</f>
        <v>0.94496029288387329</v>
      </c>
      <c r="O276" s="675">
        <f t="shared" ref="O276:AB276" si="317">1-O$21</f>
        <v>0.94496029288387329</v>
      </c>
      <c r="P276" s="675">
        <f t="shared" si="317"/>
        <v>0.94496029288387329</v>
      </c>
      <c r="Q276" s="675">
        <f t="shared" si="317"/>
        <v>0.94496029288387329</v>
      </c>
      <c r="R276" s="675">
        <f t="shared" si="317"/>
        <v>0.94496029288387329</v>
      </c>
      <c r="S276" s="675">
        <f t="shared" si="317"/>
        <v>0.94496029288387329</v>
      </c>
      <c r="T276" s="675">
        <f t="shared" si="317"/>
        <v>0.94496029288387329</v>
      </c>
      <c r="U276" s="675">
        <f t="shared" si="317"/>
        <v>0.94496029288387329</v>
      </c>
      <c r="V276" s="675">
        <f t="shared" si="317"/>
        <v>0.94496029288387329</v>
      </c>
      <c r="W276" s="675">
        <f t="shared" si="317"/>
        <v>0.94496029288387329</v>
      </c>
      <c r="X276" s="675">
        <f t="shared" si="317"/>
        <v>0.94496029288387329</v>
      </c>
      <c r="Y276" s="675">
        <f t="shared" si="317"/>
        <v>0.94496029288387329</v>
      </c>
      <c r="Z276" s="675">
        <f t="shared" si="317"/>
        <v>0.94496029288387329</v>
      </c>
      <c r="AA276" s="675">
        <f t="shared" si="317"/>
        <v>0.94496029288387329</v>
      </c>
      <c r="AB276" s="675">
        <f t="shared" si="317"/>
        <v>0.94496029288387329</v>
      </c>
      <c r="AD276" s="66" t="str">
        <f>IF(COUNTIF($AG$4:$AP$4,AD275)=1,"ok","MISSING")</f>
        <v>ok</v>
      </c>
      <c r="AE276" s="357"/>
      <c r="AF276" s="89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V276" s="700" t="str">
        <f t="shared" si="315"/>
        <v>TRAGSL</v>
      </c>
      <c r="AW276" s="568">
        <f t="shared" si="316"/>
        <v>0</v>
      </c>
    </row>
    <row r="277" spans="1:49" ht="15" customHeight="1" x14ac:dyDescent="0.25">
      <c r="A277" s="22"/>
      <c r="B277" s="186" t="str">
        <f>B276</f>
        <v>TBISHYG100</v>
      </c>
      <c r="C277" s="186"/>
      <c r="D277" s="187"/>
      <c r="E277" s="186"/>
      <c r="F277" s="170"/>
      <c r="G277" s="188" t="s">
        <v>414</v>
      </c>
      <c r="H277" s="170"/>
      <c r="I277" s="190"/>
      <c r="J277" s="191"/>
      <c r="K277" s="191"/>
      <c r="L277" s="191" t="s">
        <v>1126</v>
      </c>
      <c r="M277" s="186" t="s">
        <v>678</v>
      </c>
      <c r="N277" s="690">
        <f>T_CEFF!H144</f>
        <v>5.3269999999999998E-2</v>
      </c>
      <c r="O277" s="690">
        <f>T_CEFF!I144</f>
        <v>5.3269999999999998E-2</v>
      </c>
      <c r="P277" s="690">
        <f>T_CEFF!J144</f>
        <v>5.3269999999999998E-2</v>
      </c>
      <c r="Q277" s="690">
        <f>T_CEFF!K144</f>
        <v>5.3269999999999998E-2</v>
      </c>
      <c r="R277" s="690">
        <f>T_CEFF!L144</f>
        <v>5.3269999999999998E-2</v>
      </c>
      <c r="S277" s="690">
        <f>T_CEFF!M144</f>
        <v>5.3269999999999998E-2</v>
      </c>
      <c r="T277" s="690">
        <f>T_CEFF!N144</f>
        <v>5.3269999999999998E-2</v>
      </c>
      <c r="U277" s="690">
        <f>T_CEFF!O144</f>
        <v>5.3269999999999998E-2</v>
      </c>
      <c r="V277" s="690">
        <f>T_CEFF!P144</f>
        <v>5.3269999999999998E-2</v>
      </c>
      <c r="W277" s="690">
        <f>T_CEFF!Q144</f>
        <v>5.3269999999999998E-2</v>
      </c>
      <c r="X277" s="690">
        <f>T_CEFF!R144</f>
        <v>5.3269999999999998E-2</v>
      </c>
      <c r="Y277" s="690">
        <f>T_CEFF!S144</f>
        <v>5.3269999999999998E-2</v>
      </c>
      <c r="Z277" s="690">
        <f>T_CEFF!T144</f>
        <v>5.3269999999999998E-2</v>
      </c>
      <c r="AA277" s="690">
        <f>T_CEFF!U144</f>
        <v>5.3269999999999998E-2</v>
      </c>
      <c r="AB277" s="690">
        <f>T_CEFF!V144</f>
        <v>5.3269999999999998E-2</v>
      </c>
      <c r="AE277" s="36"/>
      <c r="AF277" s="68"/>
    </row>
    <row r="278" spans="1:49" ht="15" customHeight="1" x14ac:dyDescent="0.25">
      <c r="A278" s="22"/>
      <c r="B278" s="186" t="str">
        <f>B277</f>
        <v>TBISHYG100</v>
      </c>
      <c r="C278" s="186"/>
      <c r="D278" s="187"/>
      <c r="E278" s="186"/>
      <c r="F278" s="170"/>
      <c r="G278" s="188" t="s">
        <v>590</v>
      </c>
      <c r="H278" s="170"/>
      <c r="I278" s="190"/>
      <c r="J278" s="191"/>
      <c r="K278" s="191"/>
      <c r="L278" s="191" t="s">
        <v>1126</v>
      </c>
      <c r="M278" s="186" t="s">
        <v>678</v>
      </c>
      <c r="N278" s="690">
        <f>T_CEFF!H145</f>
        <v>5.3269999999999998E-2</v>
      </c>
      <c r="O278" s="690">
        <f>T_CEFF!I145</f>
        <v>5.3269999999999998E-2</v>
      </c>
      <c r="P278" s="690">
        <f>T_CEFF!J145</f>
        <v>5.3269999999999998E-2</v>
      </c>
      <c r="Q278" s="690">
        <f>T_CEFF!K145</f>
        <v>5.3269999999999998E-2</v>
      </c>
      <c r="R278" s="690">
        <f>T_CEFF!L145</f>
        <v>5.3269999999999998E-2</v>
      </c>
      <c r="S278" s="690">
        <f>T_CEFF!M145</f>
        <v>5.3269999999999998E-2</v>
      </c>
      <c r="T278" s="690">
        <f>T_CEFF!N145</f>
        <v>5.3269999999999998E-2</v>
      </c>
      <c r="U278" s="690">
        <f>T_CEFF!O145</f>
        <v>5.3269999999999998E-2</v>
      </c>
      <c r="V278" s="690">
        <f>T_CEFF!P145</f>
        <v>5.3269999999999998E-2</v>
      </c>
      <c r="W278" s="690">
        <f>T_CEFF!Q145</f>
        <v>5.3269999999999998E-2</v>
      </c>
      <c r="X278" s="690">
        <f>T_CEFF!R145</f>
        <v>5.3269999999999998E-2</v>
      </c>
      <c r="Y278" s="690">
        <f>T_CEFF!S145</f>
        <v>5.3269999999999998E-2</v>
      </c>
      <c r="Z278" s="690">
        <f>T_CEFF!T145</f>
        <v>5.3269999999999998E-2</v>
      </c>
      <c r="AA278" s="690">
        <f>T_CEFF!U145</f>
        <v>5.3269999999999998E-2</v>
      </c>
      <c r="AB278" s="690">
        <f>T_CEFF!V145</f>
        <v>5.3269999999999998E-2</v>
      </c>
      <c r="AE278" s="36"/>
      <c r="AF278" s="68"/>
    </row>
    <row r="279" spans="1:49" ht="15" customHeight="1" x14ac:dyDescent="0.25">
      <c r="A279" s="22"/>
      <c r="B279" s="186" t="str">
        <f t="shared" ref="B279:B287" si="318">B278</f>
        <v>TBISHYG100</v>
      </c>
      <c r="C279" s="186"/>
      <c r="D279" s="187"/>
      <c r="E279" s="186"/>
      <c r="F279" s="170"/>
      <c r="G279" s="189"/>
      <c r="H279" s="170"/>
      <c r="I279" s="190"/>
      <c r="J279" s="191"/>
      <c r="K279" s="191" t="s">
        <v>749</v>
      </c>
      <c r="L279" s="191" t="s">
        <v>1128</v>
      </c>
      <c r="M279" s="186" t="s">
        <v>1159</v>
      </c>
      <c r="N279" s="603">
        <f t="shared" ref="N279:AB279" si="319">N$16</f>
        <v>0</v>
      </c>
      <c r="O279" s="603">
        <f t="shared" si="319"/>
        <v>0</v>
      </c>
      <c r="P279" s="603">
        <f t="shared" si="319"/>
        <v>0</v>
      </c>
      <c r="Q279" s="603">
        <f t="shared" si="319"/>
        <v>0</v>
      </c>
      <c r="R279" s="603">
        <f t="shared" si="319"/>
        <v>0</v>
      </c>
      <c r="S279" s="603">
        <f t="shared" si="319"/>
        <v>0</v>
      </c>
      <c r="T279" s="603">
        <f t="shared" si="319"/>
        <v>0</v>
      </c>
      <c r="U279" s="603">
        <f t="shared" si="319"/>
        <v>0</v>
      </c>
      <c r="V279" s="603">
        <f t="shared" si="319"/>
        <v>0</v>
      </c>
      <c r="W279" s="603">
        <f t="shared" si="319"/>
        <v>0</v>
      </c>
      <c r="X279" s="603">
        <f t="shared" si="319"/>
        <v>0</v>
      </c>
      <c r="Y279" s="603">
        <f t="shared" si="319"/>
        <v>0</v>
      </c>
      <c r="Z279" s="603">
        <f t="shared" si="319"/>
        <v>0</v>
      </c>
      <c r="AA279" s="603">
        <f t="shared" si="319"/>
        <v>0</v>
      </c>
      <c r="AB279" s="603">
        <f t="shared" si="319"/>
        <v>0</v>
      </c>
      <c r="AE279" s="36"/>
      <c r="AF279" s="68"/>
    </row>
    <row r="280" spans="1:49" ht="15" customHeight="1" x14ac:dyDescent="0.25">
      <c r="A280" s="22"/>
      <c r="B280" s="186" t="str">
        <f t="shared" si="318"/>
        <v>TBISHYG100</v>
      </c>
      <c r="C280" s="186"/>
      <c r="D280" s="187"/>
      <c r="E280" s="186"/>
      <c r="F280" s="170"/>
      <c r="G280" s="189"/>
      <c r="H280" s="170"/>
      <c r="I280" s="190"/>
      <c r="J280" s="191"/>
      <c r="K280" s="191"/>
      <c r="L280" s="211" t="s">
        <v>1130</v>
      </c>
      <c r="M280" s="186" t="s">
        <v>1131</v>
      </c>
      <c r="N280" s="389">
        <f>LOOKUP($C$275, T_NCAP_AF!$C$110:$C$120, T_NCAP_AF!D$110:D$120)*(1+N179)</f>
        <v>0</v>
      </c>
      <c r="O280" s="389">
        <f>LOOKUP($C$275, T_NCAP_AF!$C$110:$C$120, T_NCAP_AF!E$110:E$120)*(1+O179)</f>
        <v>0</v>
      </c>
      <c r="P280" s="389">
        <f>LOOKUP($C$275, T_NCAP_AF!$C$110:$C$120, T_NCAP_AF!F$110:F$120)*(1+P179)</f>
        <v>0</v>
      </c>
      <c r="Q280" s="389">
        <f>LOOKUP($C$275, T_NCAP_AF!$C$110:$C$120, T_NCAP_AF!G$110:G$120)*(1+Q179)</f>
        <v>0</v>
      </c>
      <c r="R280" s="389">
        <f>LOOKUP($C$275, T_NCAP_AF!$C$110:$C$120, T_NCAP_AF!H$110:H$120)*(1+R179)</f>
        <v>0</v>
      </c>
      <c r="S280" s="389">
        <f>LOOKUP($C$275, T_NCAP_AF!$C$110:$C$120, T_NCAP_AF!I$110:I$120)*(1+S179)</f>
        <v>0</v>
      </c>
      <c r="T280" s="389">
        <f>LOOKUP($C$275, T_NCAP_AF!$C$110:$C$120, T_NCAP_AF!J$110:J$120)*(1+T179)</f>
        <v>0</v>
      </c>
      <c r="U280" s="389">
        <f>LOOKUP($C$275, T_NCAP_AF!$C$110:$C$120, T_NCAP_AF!K$110:K$120)*(1+U179)</f>
        <v>0</v>
      </c>
      <c r="V280" s="389">
        <f>LOOKUP($C$275, T_NCAP_AF!$C$110:$C$120, T_NCAP_AF!L$110:L$120)*(1+V179)</f>
        <v>0</v>
      </c>
      <c r="W280" s="389">
        <f>LOOKUP($C$275, T_NCAP_AF!$C$110:$C$120, T_NCAP_AF!M$110:M$120)*(1+W179)</f>
        <v>0</v>
      </c>
      <c r="X280" s="389">
        <f>LOOKUP($C$275, T_NCAP_AF!$C$110:$C$120, T_NCAP_AF!N$110:N$120)*(1+X179)</f>
        <v>0</v>
      </c>
      <c r="Y280" s="389">
        <f>LOOKUP($C$275, T_NCAP_AF!$C$110:$C$120, T_NCAP_AF!O$110:O$120)*(1+Y179)</f>
        <v>0</v>
      </c>
      <c r="Z280" s="389">
        <f>LOOKUP($C$275, T_NCAP_AF!$C$110:$C$120, T_NCAP_AF!P$110:P$120)*(1+Z179)</f>
        <v>0</v>
      </c>
      <c r="AA280" s="389">
        <f>LOOKUP($C$275, T_NCAP_AF!$C$110:$C$120, T_NCAP_AF!Q$110:Q$120)*(1+AA179)</f>
        <v>0</v>
      </c>
      <c r="AB280" s="389">
        <f>LOOKUP($C$275, T_NCAP_AF!$C$110:$C$120, T_NCAP_AF!R$110:R$120)*(1+AB179)</f>
        <v>0</v>
      </c>
      <c r="AC280" s="83"/>
      <c r="AE280" s="572">
        <f>SUM(AF280:AT280)</f>
        <v>0</v>
      </c>
      <c r="AF280" s="85">
        <f t="shared" ref="AF280:AT280" si="320">N279*N280*N281/1000</f>
        <v>0</v>
      </c>
      <c r="AG280" s="85">
        <f t="shared" si="320"/>
        <v>0</v>
      </c>
      <c r="AH280" s="85">
        <f t="shared" si="320"/>
        <v>0</v>
      </c>
      <c r="AI280" s="85">
        <f t="shared" si="320"/>
        <v>0</v>
      </c>
      <c r="AJ280" s="85">
        <f t="shared" si="320"/>
        <v>0</v>
      </c>
      <c r="AK280" s="85">
        <f t="shared" si="320"/>
        <v>0</v>
      </c>
      <c r="AL280" s="85">
        <f t="shared" si="320"/>
        <v>0</v>
      </c>
      <c r="AM280" s="85">
        <f t="shared" si="320"/>
        <v>0</v>
      </c>
      <c r="AN280" s="85">
        <f t="shared" si="320"/>
        <v>0</v>
      </c>
      <c r="AO280" s="85">
        <f t="shared" si="320"/>
        <v>0</v>
      </c>
      <c r="AP280" s="85">
        <f t="shared" si="320"/>
        <v>0</v>
      </c>
      <c r="AQ280" s="85">
        <f t="shared" si="320"/>
        <v>0</v>
      </c>
      <c r="AR280" s="85">
        <f t="shared" si="320"/>
        <v>0</v>
      </c>
      <c r="AS280" s="85">
        <f t="shared" si="320"/>
        <v>0</v>
      </c>
      <c r="AT280" s="85">
        <f t="shared" si="320"/>
        <v>0</v>
      </c>
    </row>
    <row r="281" spans="1:49" ht="15" customHeight="1" x14ac:dyDescent="0.25">
      <c r="A281" s="22"/>
      <c r="B281" s="186" t="str">
        <f t="shared" si="318"/>
        <v>TBISHYG100</v>
      </c>
      <c r="C281" s="186"/>
      <c r="D281" s="187"/>
      <c r="E281" s="186"/>
      <c r="F281" s="170"/>
      <c r="G281" s="189"/>
      <c r="H281" s="170"/>
      <c r="I281" s="190">
        <f>$M$3</f>
        <v>2019</v>
      </c>
      <c r="J281" s="191"/>
      <c r="K281" s="191"/>
      <c r="L281" s="211" t="s">
        <v>1065</v>
      </c>
      <c r="M281" s="186" t="s">
        <v>748</v>
      </c>
      <c r="N281" s="687">
        <f>LOOKUP($C$275, T_Stock_Private!$C$74:$C$84, T_Stock_Private!D$74:D$84)*(1+N180)</f>
        <v>0</v>
      </c>
      <c r="O281" s="687">
        <f>LOOKUP($C$275, T_Stock_Private!$C$74:$C$84, T_Stock_Private!E$74:E$84)*(1+O180)</f>
        <v>0</v>
      </c>
      <c r="P281" s="687">
        <f>LOOKUP($C$275, T_Stock_Private!$C$74:$C$84, T_Stock_Private!F$74:F$84)*(1+P180)</f>
        <v>0</v>
      </c>
      <c r="Q281" s="687">
        <f>LOOKUP($C$275, T_Stock_Private!$C$74:$C$84, T_Stock_Private!G$74:G$84)*(1+Q180)</f>
        <v>0</v>
      </c>
      <c r="R281" s="687">
        <f>LOOKUP($C$275, T_Stock_Private!$C$74:$C$84, T_Stock_Private!H$74:H$84)*(1+R180)</f>
        <v>0</v>
      </c>
      <c r="S281" s="687">
        <f>LOOKUP($C$275, T_Stock_Private!$C$74:$C$84, T_Stock_Private!I$74:I$84)*(1+S180)</f>
        <v>0</v>
      </c>
      <c r="T281" s="687">
        <f>LOOKUP($C$275, T_Stock_Private!$C$74:$C$84, T_Stock_Private!J$74:J$84)*(1+T180)</f>
        <v>0</v>
      </c>
      <c r="U281" s="687">
        <f>LOOKUP($C$275, T_Stock_Private!$C$74:$C$84, T_Stock_Private!K$74:K$84)*(1+U180)</f>
        <v>0</v>
      </c>
      <c r="V281" s="687">
        <f>LOOKUP($C$275, T_Stock_Private!$C$74:$C$84, T_Stock_Private!L$74:L$84)*(1+V180)</f>
        <v>0</v>
      </c>
      <c r="W281" s="687">
        <f>LOOKUP($C$275, T_Stock_Private!$C$74:$C$84, T_Stock_Private!M$74:M$84)*(1+W180)</f>
        <v>0</v>
      </c>
      <c r="X281" s="687">
        <f>LOOKUP($C$275, T_Stock_Private!$C$74:$C$84, T_Stock_Private!N$74:N$84)*(1+X180)</f>
        <v>0</v>
      </c>
      <c r="Y281" s="687">
        <f>LOOKUP($C$275, T_Stock_Private!$C$74:$C$84, T_Stock_Private!O$74:O$84)*(1+Y180)</f>
        <v>0</v>
      </c>
      <c r="Z281" s="687">
        <f>LOOKUP($C$275, T_Stock_Private!$C$74:$C$84, T_Stock_Private!P$74:P$84)*(1+Z180)</f>
        <v>0</v>
      </c>
      <c r="AA281" s="687">
        <f>LOOKUP($C$275, T_Stock_Private!$C$74:$C$84, T_Stock_Private!Q$74:Q$84)*(1+AA180)</f>
        <v>0</v>
      </c>
      <c r="AB281" s="687">
        <f>LOOKUP($C$275, T_Stock_Private!$C$74:$C$84, T_Stock_Private!R$74:R$84)*(1+AB180)</f>
        <v>0</v>
      </c>
      <c r="AC281" s="89"/>
    </row>
    <row r="282" spans="1:49" x14ac:dyDescent="0.25">
      <c r="A282" s="22"/>
      <c r="B282" s="186" t="str">
        <f t="shared" si="318"/>
        <v>TBISHYG100</v>
      </c>
      <c r="C282" s="186"/>
      <c r="D282" s="187"/>
      <c r="E282" s="186"/>
      <c r="F282" s="170"/>
      <c r="G282" s="189"/>
      <c r="H282" s="170"/>
      <c r="I282" s="190">
        <f>AF$5</f>
        <v>2020</v>
      </c>
      <c r="J282" s="191"/>
      <c r="K282" s="191"/>
      <c r="L282" s="211" t="s">
        <v>1065</v>
      </c>
      <c r="M282" s="186" t="s">
        <v>748</v>
      </c>
      <c r="N282" s="687">
        <f t="shared" ref="N282:AB282" si="321">N281*LOOKUP($AD275,$AG$4:$AP$4,$AG$5:$AP$5)</f>
        <v>0</v>
      </c>
      <c r="O282" s="687">
        <f t="shared" si="321"/>
        <v>0</v>
      </c>
      <c r="P282" s="687">
        <f t="shared" si="321"/>
        <v>0</v>
      </c>
      <c r="Q282" s="687">
        <f t="shared" si="321"/>
        <v>0</v>
      </c>
      <c r="R282" s="687">
        <f t="shared" si="321"/>
        <v>0</v>
      </c>
      <c r="S282" s="687">
        <f t="shared" si="321"/>
        <v>0</v>
      </c>
      <c r="T282" s="687">
        <f t="shared" si="321"/>
        <v>0</v>
      </c>
      <c r="U282" s="687">
        <f t="shared" si="321"/>
        <v>0</v>
      </c>
      <c r="V282" s="687">
        <f t="shared" si="321"/>
        <v>0</v>
      </c>
      <c r="W282" s="687">
        <f t="shared" si="321"/>
        <v>0</v>
      </c>
      <c r="X282" s="687">
        <f t="shared" si="321"/>
        <v>0</v>
      </c>
      <c r="Y282" s="687">
        <f t="shared" si="321"/>
        <v>0</v>
      </c>
      <c r="Z282" s="687">
        <f t="shared" si="321"/>
        <v>0</v>
      </c>
      <c r="AA282" s="687">
        <f t="shared" si="321"/>
        <v>0</v>
      </c>
      <c r="AB282" s="687">
        <f t="shared" si="321"/>
        <v>0</v>
      </c>
    </row>
    <row r="283" spans="1:49" x14ac:dyDescent="0.25">
      <c r="A283" s="22"/>
      <c r="B283" s="186" t="str">
        <f t="shared" si="318"/>
        <v>TBISHYG100</v>
      </c>
      <c r="C283" s="186"/>
      <c r="D283" s="187"/>
      <c r="E283" s="186"/>
      <c r="F283" s="170"/>
      <c r="G283" s="189"/>
      <c r="H283" s="170"/>
      <c r="I283" s="190">
        <f>AF$6</f>
        <v>2025</v>
      </c>
      <c r="J283" s="191"/>
      <c r="K283" s="191"/>
      <c r="L283" s="211" t="s">
        <v>1065</v>
      </c>
      <c r="M283" s="186" t="s">
        <v>748</v>
      </c>
      <c r="N283" s="687">
        <f t="shared" ref="N283:AB283" si="322">N281*LOOKUP($AD275,$AG$4:$AP$4,$AG$6:$AP$6)</f>
        <v>0</v>
      </c>
      <c r="O283" s="687">
        <f t="shared" si="322"/>
        <v>0</v>
      </c>
      <c r="P283" s="687">
        <f t="shared" si="322"/>
        <v>0</v>
      </c>
      <c r="Q283" s="687">
        <f t="shared" si="322"/>
        <v>0</v>
      </c>
      <c r="R283" s="687">
        <f t="shared" si="322"/>
        <v>0</v>
      </c>
      <c r="S283" s="687">
        <f t="shared" si="322"/>
        <v>0</v>
      </c>
      <c r="T283" s="687">
        <f t="shared" si="322"/>
        <v>0</v>
      </c>
      <c r="U283" s="687">
        <f t="shared" si="322"/>
        <v>0</v>
      </c>
      <c r="V283" s="687">
        <f t="shared" si="322"/>
        <v>0</v>
      </c>
      <c r="W283" s="687">
        <f t="shared" si="322"/>
        <v>0</v>
      </c>
      <c r="X283" s="687">
        <f t="shared" si="322"/>
        <v>0</v>
      </c>
      <c r="Y283" s="687">
        <f t="shared" si="322"/>
        <v>0</v>
      </c>
      <c r="Z283" s="687">
        <f t="shared" si="322"/>
        <v>0</v>
      </c>
      <c r="AA283" s="687">
        <f t="shared" si="322"/>
        <v>0</v>
      </c>
      <c r="AB283" s="687">
        <f t="shared" si="322"/>
        <v>0</v>
      </c>
    </row>
    <row r="284" spans="1:49" x14ac:dyDescent="0.25">
      <c r="A284" s="22"/>
      <c r="B284" s="186" t="str">
        <f t="shared" si="318"/>
        <v>TBISHYG100</v>
      </c>
      <c r="C284" s="186"/>
      <c r="D284" s="187"/>
      <c r="E284" s="186"/>
      <c r="F284" s="170"/>
      <c r="G284" s="189"/>
      <c r="H284" s="170"/>
      <c r="I284" s="190">
        <f>AF$7</f>
        <v>2030</v>
      </c>
      <c r="J284" s="191"/>
      <c r="K284" s="191"/>
      <c r="L284" s="211" t="s">
        <v>1065</v>
      </c>
      <c r="M284" s="186" t="s">
        <v>748</v>
      </c>
      <c r="N284" s="687">
        <f t="shared" ref="N284:AB284" si="323">N281*LOOKUP($AD275,$AG$4:$AP$4,$AG$7:$AP$7)</f>
        <v>0</v>
      </c>
      <c r="O284" s="687">
        <f t="shared" si="323"/>
        <v>0</v>
      </c>
      <c r="P284" s="687">
        <f t="shared" si="323"/>
        <v>0</v>
      </c>
      <c r="Q284" s="687">
        <f t="shared" si="323"/>
        <v>0</v>
      </c>
      <c r="R284" s="687">
        <f t="shared" si="323"/>
        <v>0</v>
      </c>
      <c r="S284" s="687">
        <f t="shared" si="323"/>
        <v>0</v>
      </c>
      <c r="T284" s="687">
        <f t="shared" si="323"/>
        <v>0</v>
      </c>
      <c r="U284" s="687">
        <f t="shared" si="323"/>
        <v>0</v>
      </c>
      <c r="V284" s="687">
        <f t="shared" si="323"/>
        <v>0</v>
      </c>
      <c r="W284" s="687">
        <f t="shared" si="323"/>
        <v>0</v>
      </c>
      <c r="X284" s="687">
        <f t="shared" si="323"/>
        <v>0</v>
      </c>
      <c r="Y284" s="687">
        <f t="shared" si="323"/>
        <v>0</v>
      </c>
      <c r="Z284" s="687">
        <f t="shared" si="323"/>
        <v>0</v>
      </c>
      <c r="AA284" s="687">
        <f t="shared" si="323"/>
        <v>0</v>
      </c>
      <c r="AB284" s="687">
        <f t="shared" si="323"/>
        <v>0</v>
      </c>
    </row>
    <row r="285" spans="1:49" x14ac:dyDescent="0.25">
      <c r="A285" s="22"/>
      <c r="B285" s="186" t="str">
        <f t="shared" si="318"/>
        <v>TBISHYG100</v>
      </c>
      <c r="C285" s="186"/>
      <c r="D285" s="187"/>
      <c r="E285" s="186"/>
      <c r="F285" s="170"/>
      <c r="G285" s="189"/>
      <c r="H285" s="170"/>
      <c r="I285" s="190">
        <f>AF$8</f>
        <v>2035</v>
      </c>
      <c r="J285" s="191"/>
      <c r="K285" s="191"/>
      <c r="L285" s="211" t="s">
        <v>1065</v>
      </c>
      <c r="M285" s="186" t="s">
        <v>748</v>
      </c>
      <c r="N285" s="687">
        <f t="shared" ref="N285:AB285" si="324">N281*LOOKUP($AD275,$AG$4:$AP$4,$AG$8:$AP$8)</f>
        <v>0</v>
      </c>
      <c r="O285" s="687">
        <f t="shared" si="324"/>
        <v>0</v>
      </c>
      <c r="P285" s="687">
        <f t="shared" si="324"/>
        <v>0</v>
      </c>
      <c r="Q285" s="687">
        <f t="shared" si="324"/>
        <v>0</v>
      </c>
      <c r="R285" s="687">
        <f t="shared" si="324"/>
        <v>0</v>
      </c>
      <c r="S285" s="687">
        <f t="shared" si="324"/>
        <v>0</v>
      </c>
      <c r="T285" s="687">
        <f t="shared" si="324"/>
        <v>0</v>
      </c>
      <c r="U285" s="687">
        <f t="shared" si="324"/>
        <v>0</v>
      </c>
      <c r="V285" s="687">
        <f t="shared" si="324"/>
        <v>0</v>
      </c>
      <c r="W285" s="687">
        <f t="shared" si="324"/>
        <v>0</v>
      </c>
      <c r="X285" s="687">
        <f t="shared" si="324"/>
        <v>0</v>
      </c>
      <c r="Y285" s="687">
        <f t="shared" si="324"/>
        <v>0</v>
      </c>
      <c r="Z285" s="687">
        <f t="shared" si="324"/>
        <v>0</v>
      </c>
      <c r="AA285" s="687">
        <f t="shared" si="324"/>
        <v>0</v>
      </c>
      <c r="AB285" s="687">
        <f t="shared" si="324"/>
        <v>0</v>
      </c>
    </row>
    <row r="286" spans="1:49" x14ac:dyDescent="0.25">
      <c r="A286" s="22"/>
      <c r="B286" s="186" t="str">
        <f t="shared" si="318"/>
        <v>TBISHYG100</v>
      </c>
      <c r="C286" s="186"/>
      <c r="D286" s="187"/>
      <c r="E286" s="186"/>
      <c r="F286" s="170"/>
      <c r="G286" s="189"/>
      <c r="H286" s="170"/>
      <c r="I286" s="190">
        <f>AF$9</f>
        <v>2040</v>
      </c>
      <c r="J286" s="191"/>
      <c r="K286" s="191"/>
      <c r="L286" s="211" t="s">
        <v>1065</v>
      </c>
      <c r="M286" s="186" t="s">
        <v>748</v>
      </c>
      <c r="N286" s="687">
        <f t="shared" ref="N286:AB286" si="325">N281*LOOKUP($AD275,$AG$4:$AP$4,$AG$9:$AP$9)</f>
        <v>0</v>
      </c>
      <c r="O286" s="687">
        <f t="shared" si="325"/>
        <v>0</v>
      </c>
      <c r="P286" s="687">
        <f t="shared" si="325"/>
        <v>0</v>
      </c>
      <c r="Q286" s="687">
        <f t="shared" si="325"/>
        <v>0</v>
      </c>
      <c r="R286" s="687">
        <f t="shared" si="325"/>
        <v>0</v>
      </c>
      <c r="S286" s="687">
        <f t="shared" si="325"/>
        <v>0</v>
      </c>
      <c r="T286" s="687">
        <f t="shared" si="325"/>
        <v>0</v>
      </c>
      <c r="U286" s="687">
        <f t="shared" si="325"/>
        <v>0</v>
      </c>
      <c r="V286" s="687">
        <f t="shared" si="325"/>
        <v>0</v>
      </c>
      <c r="W286" s="687">
        <f t="shared" si="325"/>
        <v>0</v>
      </c>
      <c r="X286" s="687">
        <f t="shared" si="325"/>
        <v>0</v>
      </c>
      <c r="Y286" s="687">
        <f t="shared" si="325"/>
        <v>0</v>
      </c>
      <c r="Z286" s="687">
        <f t="shared" si="325"/>
        <v>0</v>
      </c>
      <c r="AA286" s="687">
        <f t="shared" si="325"/>
        <v>0</v>
      </c>
      <c r="AB286" s="687">
        <f t="shared" si="325"/>
        <v>0</v>
      </c>
    </row>
    <row r="287" spans="1:49" x14ac:dyDescent="0.25">
      <c r="A287" s="22"/>
      <c r="B287" s="193" t="str">
        <f t="shared" si="318"/>
        <v>TBISHYG100</v>
      </c>
      <c r="C287" s="193"/>
      <c r="D287" s="194"/>
      <c r="E287" s="193"/>
      <c r="F287" s="196"/>
      <c r="G287" s="195"/>
      <c r="H287" s="196"/>
      <c r="I287" s="197">
        <f>AF$10</f>
        <v>2050</v>
      </c>
      <c r="J287" s="198"/>
      <c r="K287" s="198"/>
      <c r="L287" s="199" t="s">
        <v>1065</v>
      </c>
      <c r="M287" s="193" t="s">
        <v>748</v>
      </c>
      <c r="N287" s="688">
        <f t="shared" ref="N287:AB287" si="326">N281*LOOKUP($AD275,$AG$4:$AP$4,$AG$10:$AP$10)</f>
        <v>0</v>
      </c>
      <c r="O287" s="688">
        <f t="shared" si="326"/>
        <v>0</v>
      </c>
      <c r="P287" s="688">
        <f t="shared" si="326"/>
        <v>0</v>
      </c>
      <c r="Q287" s="688">
        <f t="shared" si="326"/>
        <v>0</v>
      </c>
      <c r="R287" s="688">
        <f t="shared" si="326"/>
        <v>0</v>
      </c>
      <c r="S287" s="688">
        <f t="shared" si="326"/>
        <v>0</v>
      </c>
      <c r="T287" s="688">
        <f t="shared" si="326"/>
        <v>0</v>
      </c>
      <c r="U287" s="688">
        <f t="shared" si="326"/>
        <v>0</v>
      </c>
      <c r="V287" s="688">
        <f t="shared" si="326"/>
        <v>0</v>
      </c>
      <c r="W287" s="688">
        <f t="shared" si="326"/>
        <v>0</v>
      </c>
      <c r="X287" s="688">
        <f t="shared" si="326"/>
        <v>0</v>
      </c>
      <c r="Y287" s="688">
        <f t="shared" si="326"/>
        <v>0</v>
      </c>
      <c r="Z287" s="688">
        <f t="shared" si="326"/>
        <v>0</v>
      </c>
      <c r="AA287" s="688">
        <f t="shared" si="326"/>
        <v>0</v>
      </c>
      <c r="AB287" s="688">
        <f t="shared" si="326"/>
        <v>0</v>
      </c>
    </row>
    <row r="288" spans="1:49" s="83" customFormat="1" x14ac:dyDescent="0.25">
      <c r="A288" s="82"/>
      <c r="B288" s="178" t="str">
        <f>C288</f>
        <v>TBISLPG100</v>
      </c>
      <c r="C288" s="178" t="s">
        <v>344</v>
      </c>
      <c r="D288" s="179" t="s">
        <v>760</v>
      </c>
      <c r="E288" s="407" t="s">
        <v>1033</v>
      </c>
      <c r="F288" s="182"/>
      <c r="G288" s="181"/>
      <c r="H288" s="182"/>
      <c r="I288" s="183"/>
      <c r="J288" s="184"/>
      <c r="K288" s="184"/>
      <c r="L288" s="203" t="s">
        <v>1107</v>
      </c>
      <c r="M288" s="184" t="s">
        <v>1156</v>
      </c>
      <c r="N288" s="692">
        <f>N$47</f>
        <v>1E-3</v>
      </c>
      <c r="O288" s="692">
        <f t="shared" ref="O288:AB288" si="327">$N288</f>
        <v>1E-3</v>
      </c>
      <c r="P288" s="692">
        <f t="shared" si="327"/>
        <v>1E-3</v>
      </c>
      <c r="Q288" s="692">
        <f t="shared" si="327"/>
        <v>1E-3</v>
      </c>
      <c r="R288" s="692">
        <f t="shared" si="327"/>
        <v>1E-3</v>
      </c>
      <c r="S288" s="692">
        <f t="shared" si="327"/>
        <v>1E-3</v>
      </c>
      <c r="T288" s="692">
        <f t="shared" si="327"/>
        <v>1E-3</v>
      </c>
      <c r="U288" s="692">
        <f t="shared" si="327"/>
        <v>1E-3</v>
      </c>
      <c r="V288" s="692">
        <f t="shared" si="327"/>
        <v>1E-3</v>
      </c>
      <c r="W288" s="692">
        <f t="shared" si="327"/>
        <v>1E-3</v>
      </c>
      <c r="X288" s="692">
        <f t="shared" si="327"/>
        <v>1E-3</v>
      </c>
      <c r="Y288" s="692">
        <f t="shared" si="327"/>
        <v>1E-3</v>
      </c>
      <c r="Z288" s="692">
        <f t="shared" si="327"/>
        <v>1E-3</v>
      </c>
      <c r="AA288" s="692">
        <f t="shared" si="327"/>
        <v>1E-3</v>
      </c>
      <c r="AB288" s="692">
        <f t="shared" si="327"/>
        <v>1E-3</v>
      </c>
      <c r="AD288" s="402" t="str">
        <f>MID(D288,15,3)</f>
        <v>LPG</v>
      </c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V288" s="700" t="str">
        <f t="shared" ref="AV288:AV289" si="328">MID(E288,1,7)</f>
        <v>TRALPG</v>
      </c>
      <c r="AW288" s="568">
        <f t="shared" ref="AW288" si="329">SUM(AX288:BL288)</f>
        <v>0</v>
      </c>
    </row>
    <row r="289" spans="1:64" x14ac:dyDescent="0.25">
      <c r="A289" s="22"/>
      <c r="B289" s="186" t="str">
        <f>B288</f>
        <v>TBISLPG100</v>
      </c>
      <c r="C289" s="186"/>
      <c r="D289" s="187"/>
      <c r="E289" s="186"/>
      <c r="F289" s="170"/>
      <c r="G289" s="188" t="s">
        <v>414</v>
      </c>
      <c r="H289" s="170"/>
      <c r="I289" s="190"/>
      <c r="J289" s="191"/>
      <c r="K289" s="191"/>
      <c r="L289" s="191" t="s">
        <v>1126</v>
      </c>
      <c r="M289" s="186" t="s">
        <v>678</v>
      </c>
      <c r="N289" s="690">
        <f>T_CEFF!H146</f>
        <v>5.0610000000000002E-2</v>
      </c>
      <c r="O289" s="690">
        <f>T_CEFF!I146</f>
        <v>5.0610000000000002E-2</v>
      </c>
      <c r="P289" s="690">
        <f>T_CEFF!J146</f>
        <v>5.0610000000000002E-2</v>
      </c>
      <c r="Q289" s="690">
        <f>T_CEFF!K146</f>
        <v>5.0610000000000002E-2</v>
      </c>
      <c r="R289" s="690">
        <f>T_CEFF!L146</f>
        <v>5.0610000000000002E-2</v>
      </c>
      <c r="S289" s="690">
        <f>T_CEFF!M146</f>
        <v>5.0610000000000002E-2</v>
      </c>
      <c r="T289" s="690">
        <f>T_CEFF!N146</f>
        <v>5.0610000000000002E-2</v>
      </c>
      <c r="U289" s="690">
        <f>T_CEFF!O146</f>
        <v>5.0610000000000002E-2</v>
      </c>
      <c r="V289" s="690">
        <f>T_CEFF!P146</f>
        <v>5.0610000000000002E-2</v>
      </c>
      <c r="W289" s="690">
        <f>T_CEFF!Q146</f>
        <v>5.0610000000000002E-2</v>
      </c>
      <c r="X289" s="690">
        <f>T_CEFF!R146</f>
        <v>5.0610000000000002E-2</v>
      </c>
      <c r="Y289" s="690">
        <f>T_CEFF!S146</f>
        <v>5.0610000000000002E-2</v>
      </c>
      <c r="Z289" s="690">
        <f>T_CEFF!T146</f>
        <v>5.0610000000000002E-2</v>
      </c>
      <c r="AA289" s="690">
        <f>T_CEFF!U146</f>
        <v>5.0610000000000002E-2</v>
      </c>
      <c r="AB289" s="690">
        <f>T_CEFF!V146</f>
        <v>5.0610000000000002E-2</v>
      </c>
      <c r="AD289" s="66" t="str">
        <f>IF(COUNTIF($AG$4:$AP$4,AD288)=1,"ok","MISSING")</f>
        <v>ok</v>
      </c>
      <c r="AE289" s="357"/>
      <c r="AF289" s="89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V289" s="700" t="str">
        <f t="shared" si="328"/>
        <v/>
      </c>
      <c r="AW289" s="568"/>
    </row>
    <row r="290" spans="1:64" x14ac:dyDescent="0.25">
      <c r="A290" s="22"/>
      <c r="B290" s="186" t="str">
        <f>B289</f>
        <v>TBISLPG100</v>
      </c>
      <c r="C290" s="186"/>
      <c r="D290" s="187"/>
      <c r="E290" s="186"/>
      <c r="F290" s="170"/>
      <c r="G290" s="188" t="s">
        <v>590</v>
      </c>
      <c r="H290" s="170"/>
      <c r="I290" s="190"/>
      <c r="J290" s="191"/>
      <c r="K290" s="191"/>
      <c r="L290" s="191" t="s">
        <v>1126</v>
      </c>
      <c r="M290" s="186" t="s">
        <v>678</v>
      </c>
      <c r="N290" s="690">
        <f>T_CEFF!H147</f>
        <v>5.0610000000000002E-2</v>
      </c>
      <c r="O290" s="690">
        <f>T_CEFF!I147</f>
        <v>5.0610000000000002E-2</v>
      </c>
      <c r="P290" s="690">
        <f>T_CEFF!J147</f>
        <v>5.0610000000000002E-2</v>
      </c>
      <c r="Q290" s="690">
        <f>T_CEFF!K147</f>
        <v>5.0610000000000002E-2</v>
      </c>
      <c r="R290" s="690">
        <f>T_CEFF!L147</f>
        <v>5.0610000000000002E-2</v>
      </c>
      <c r="S290" s="690">
        <f>T_CEFF!M147</f>
        <v>5.0610000000000002E-2</v>
      </c>
      <c r="T290" s="690">
        <f>T_CEFF!N147</f>
        <v>5.0610000000000002E-2</v>
      </c>
      <c r="U290" s="690">
        <f>T_CEFF!O147</f>
        <v>5.0610000000000002E-2</v>
      </c>
      <c r="V290" s="690">
        <f>T_CEFF!P147</f>
        <v>5.0610000000000002E-2</v>
      </c>
      <c r="W290" s="690">
        <f>T_CEFF!Q147</f>
        <v>5.0610000000000002E-2</v>
      </c>
      <c r="X290" s="690">
        <f>T_CEFF!R147</f>
        <v>5.0610000000000002E-2</v>
      </c>
      <c r="Y290" s="690">
        <f>T_CEFF!S147</f>
        <v>5.0610000000000002E-2</v>
      </c>
      <c r="Z290" s="690">
        <f>T_CEFF!T147</f>
        <v>5.0610000000000002E-2</v>
      </c>
      <c r="AA290" s="690">
        <f>T_CEFF!U147</f>
        <v>5.0610000000000002E-2</v>
      </c>
      <c r="AB290" s="690">
        <f>T_CEFF!V147</f>
        <v>5.0610000000000002E-2</v>
      </c>
      <c r="AE290" s="36"/>
      <c r="AF290" s="68"/>
    </row>
    <row r="291" spans="1:64" x14ac:dyDescent="0.25">
      <c r="A291" s="22"/>
      <c r="B291" s="186" t="str">
        <f t="shared" ref="B291:B299" si="330">B290</f>
        <v>TBISLPG100</v>
      </c>
      <c r="C291" s="186"/>
      <c r="D291" s="187"/>
      <c r="E291" s="186"/>
      <c r="F291" s="170"/>
      <c r="G291" s="189"/>
      <c r="H291" s="170"/>
      <c r="I291" s="190"/>
      <c r="J291" s="191"/>
      <c r="K291" s="191" t="s">
        <v>749</v>
      </c>
      <c r="L291" s="191" t="s">
        <v>1128</v>
      </c>
      <c r="M291" s="186" t="s">
        <v>1159</v>
      </c>
      <c r="N291" s="603">
        <f t="shared" ref="N291:AB291" si="331">N$16</f>
        <v>0</v>
      </c>
      <c r="O291" s="603">
        <f t="shared" si="331"/>
        <v>0</v>
      </c>
      <c r="P291" s="603">
        <f t="shared" si="331"/>
        <v>0</v>
      </c>
      <c r="Q291" s="603">
        <f t="shared" si="331"/>
        <v>0</v>
      </c>
      <c r="R291" s="603">
        <f t="shared" si="331"/>
        <v>0</v>
      </c>
      <c r="S291" s="603">
        <f t="shared" si="331"/>
        <v>0</v>
      </c>
      <c r="T291" s="603">
        <f t="shared" si="331"/>
        <v>0</v>
      </c>
      <c r="U291" s="603">
        <f t="shared" si="331"/>
        <v>0</v>
      </c>
      <c r="V291" s="603">
        <f t="shared" si="331"/>
        <v>0</v>
      </c>
      <c r="W291" s="603">
        <f t="shared" si="331"/>
        <v>0</v>
      </c>
      <c r="X291" s="603">
        <f t="shared" si="331"/>
        <v>0</v>
      </c>
      <c r="Y291" s="603">
        <f t="shared" si="331"/>
        <v>0</v>
      </c>
      <c r="Z291" s="603">
        <f t="shared" si="331"/>
        <v>0</v>
      </c>
      <c r="AA291" s="603">
        <f t="shared" si="331"/>
        <v>0</v>
      </c>
      <c r="AB291" s="603">
        <f t="shared" si="331"/>
        <v>0</v>
      </c>
      <c r="AE291" s="36"/>
      <c r="AF291" s="68"/>
    </row>
    <row r="292" spans="1:64" x14ac:dyDescent="0.25">
      <c r="A292" s="22"/>
      <c r="B292" s="186" t="str">
        <f t="shared" si="330"/>
        <v>TBISLPG100</v>
      </c>
      <c r="C292" s="186"/>
      <c r="D292" s="187"/>
      <c r="E292" s="186"/>
      <c r="F292" s="170"/>
      <c r="G292" s="189"/>
      <c r="H292" s="170"/>
      <c r="I292" s="190"/>
      <c r="J292" s="191"/>
      <c r="K292" s="191"/>
      <c r="L292" s="211" t="s">
        <v>1130</v>
      </c>
      <c r="M292" s="186" t="s">
        <v>1131</v>
      </c>
      <c r="N292" s="389">
        <f>LOOKUP($C$288, T_NCAP_AF!$C$110:$C$120, T_NCAP_AF!D$110:D$120)*(1+N179)</f>
        <v>0</v>
      </c>
      <c r="O292" s="389">
        <f>LOOKUP($C$288, T_NCAP_AF!$C$110:$C$120, T_NCAP_AF!E$110:E$120)*(1+O179)</f>
        <v>0</v>
      </c>
      <c r="P292" s="389">
        <f>LOOKUP($C$288, T_NCAP_AF!$C$110:$C$120, T_NCAP_AF!F$110:F$120)*(1+P179)</f>
        <v>0</v>
      </c>
      <c r="Q292" s="389">
        <f>LOOKUP($C$288, T_NCAP_AF!$C$110:$C$120, T_NCAP_AF!G$110:G$120)*(1+Q179)</f>
        <v>0</v>
      </c>
      <c r="R292" s="389">
        <f>LOOKUP($C$288, T_NCAP_AF!$C$110:$C$120, T_NCAP_AF!H$110:H$120)*(1+R179)</f>
        <v>0</v>
      </c>
      <c r="S292" s="389">
        <f>LOOKUP($C$288, T_NCAP_AF!$C$110:$C$120, T_NCAP_AF!I$110:I$120)*(1+S179)</f>
        <v>0</v>
      </c>
      <c r="T292" s="389">
        <f>LOOKUP($C$288, T_NCAP_AF!$C$110:$C$120, T_NCAP_AF!J$110:J$120)*(1+T179)</f>
        <v>0</v>
      </c>
      <c r="U292" s="389">
        <f>LOOKUP($C$288, T_NCAP_AF!$C$110:$C$120, T_NCAP_AF!K$110:K$120)*(1+U179)</f>
        <v>0</v>
      </c>
      <c r="V292" s="389">
        <f>LOOKUP($C$288, T_NCAP_AF!$C$110:$C$120, T_NCAP_AF!L$110:L$120)*(1+V179)</f>
        <v>0</v>
      </c>
      <c r="W292" s="389">
        <f>LOOKUP($C$288, T_NCAP_AF!$C$110:$C$120, T_NCAP_AF!M$110:M$120)*(1+W179)</f>
        <v>0</v>
      </c>
      <c r="X292" s="389">
        <f>LOOKUP($C$288, T_NCAP_AF!$C$110:$C$120, T_NCAP_AF!N$110:N$120)*(1+X179)</f>
        <v>0</v>
      </c>
      <c r="Y292" s="389">
        <f>LOOKUP($C$288, T_NCAP_AF!$C$110:$C$120, T_NCAP_AF!O$110:O$120)*(1+Y179)</f>
        <v>0</v>
      </c>
      <c r="Z292" s="389">
        <f>LOOKUP($C$288, T_NCAP_AF!$C$110:$C$120, T_NCAP_AF!P$110:P$120)*(1+Z179)</f>
        <v>0</v>
      </c>
      <c r="AA292" s="389">
        <f>LOOKUP($C$288, T_NCAP_AF!$C$110:$C$120, T_NCAP_AF!Q$110:Q$120)*(1+AA179)</f>
        <v>0</v>
      </c>
      <c r="AB292" s="389">
        <f>LOOKUP($C$288, T_NCAP_AF!$C$110:$C$120, T_NCAP_AF!R$110:R$120)*(1+AB179)</f>
        <v>0</v>
      </c>
      <c r="AC292" s="83"/>
      <c r="AE292" s="572">
        <f>SUM(AF292:AT292)</f>
        <v>0</v>
      </c>
      <c r="AF292" s="85">
        <f t="shared" ref="AF292:AT292" si="332">N291*N292*N293/1000</f>
        <v>0</v>
      </c>
      <c r="AG292" s="85">
        <f t="shared" si="332"/>
        <v>0</v>
      </c>
      <c r="AH292" s="85">
        <f t="shared" si="332"/>
        <v>0</v>
      </c>
      <c r="AI292" s="85">
        <f t="shared" si="332"/>
        <v>0</v>
      </c>
      <c r="AJ292" s="85">
        <f t="shared" si="332"/>
        <v>0</v>
      </c>
      <c r="AK292" s="85">
        <f t="shared" si="332"/>
        <v>0</v>
      </c>
      <c r="AL292" s="85">
        <f t="shared" si="332"/>
        <v>0</v>
      </c>
      <c r="AM292" s="85">
        <f t="shared" si="332"/>
        <v>0</v>
      </c>
      <c r="AN292" s="85">
        <f t="shared" si="332"/>
        <v>0</v>
      </c>
      <c r="AO292" s="85">
        <f t="shared" si="332"/>
        <v>0</v>
      </c>
      <c r="AP292" s="85">
        <f t="shared" si="332"/>
        <v>0</v>
      </c>
      <c r="AQ292" s="85">
        <f t="shared" si="332"/>
        <v>0</v>
      </c>
      <c r="AR292" s="85">
        <f t="shared" si="332"/>
        <v>0</v>
      </c>
      <c r="AS292" s="85">
        <f t="shared" si="332"/>
        <v>0</v>
      </c>
      <c r="AT292" s="85">
        <f t="shared" si="332"/>
        <v>0</v>
      </c>
    </row>
    <row r="293" spans="1:64" x14ac:dyDescent="0.25">
      <c r="A293" s="22"/>
      <c r="B293" s="186" t="str">
        <f t="shared" si="330"/>
        <v>TBISLPG100</v>
      </c>
      <c r="C293" s="186"/>
      <c r="D293" s="187"/>
      <c r="E293" s="186"/>
      <c r="F293" s="170"/>
      <c r="G293" s="189"/>
      <c r="H293" s="170"/>
      <c r="I293" s="190">
        <f>$M$3</f>
        <v>2019</v>
      </c>
      <c r="J293" s="191"/>
      <c r="K293" s="191"/>
      <c r="L293" s="211" t="s">
        <v>1065</v>
      </c>
      <c r="M293" s="186" t="s">
        <v>748</v>
      </c>
      <c r="N293" s="687">
        <f>LOOKUP($C$288, T_Stock_Private!$C$74:$C$84, T_Stock_Private!D$74:D$84)*(1+N180)</f>
        <v>0</v>
      </c>
      <c r="O293" s="687">
        <f>LOOKUP($C$288, T_Stock_Private!$C$74:$C$84, T_Stock_Private!E$74:E$84)*(1+O180)</f>
        <v>0</v>
      </c>
      <c r="P293" s="687">
        <f>LOOKUP($C$288, T_Stock_Private!$C$74:$C$84, T_Stock_Private!F$74:F$84)*(1+P180)</f>
        <v>0</v>
      </c>
      <c r="Q293" s="687">
        <f>LOOKUP($C$288, T_Stock_Private!$C$74:$C$84, T_Stock_Private!G$74:G$84)*(1+Q180)</f>
        <v>0</v>
      </c>
      <c r="R293" s="687">
        <f>LOOKUP($C$288, T_Stock_Private!$C$74:$C$84, T_Stock_Private!H$74:H$84)*(1+R180)</f>
        <v>0</v>
      </c>
      <c r="S293" s="687">
        <f>LOOKUP($C$288, T_Stock_Private!$C$74:$C$84, T_Stock_Private!I$74:I$84)*(1+S180)</f>
        <v>0</v>
      </c>
      <c r="T293" s="687">
        <f>LOOKUP($C$288, T_Stock_Private!$C$74:$C$84, T_Stock_Private!J$74:J$84)*(1+T180)</f>
        <v>0</v>
      </c>
      <c r="U293" s="687">
        <f>LOOKUP($C$288, T_Stock_Private!$C$74:$C$84, T_Stock_Private!K$74:K$84)*(1+U180)</f>
        <v>0</v>
      </c>
      <c r="V293" s="687">
        <f>LOOKUP($C$288, T_Stock_Private!$C$74:$C$84, T_Stock_Private!L$74:L$84)*(1+V180)</f>
        <v>0</v>
      </c>
      <c r="W293" s="687">
        <f>LOOKUP($C$288, T_Stock_Private!$C$74:$C$84, T_Stock_Private!M$74:M$84)*(1+W180)</f>
        <v>0</v>
      </c>
      <c r="X293" s="687">
        <f>LOOKUP($C$288, T_Stock_Private!$C$74:$C$84, T_Stock_Private!N$74:N$84)*(1+X180)</f>
        <v>0</v>
      </c>
      <c r="Y293" s="687">
        <f>LOOKUP($C$288, T_Stock_Private!$C$74:$C$84, T_Stock_Private!O$74:O$84)*(1+Y180)</f>
        <v>0</v>
      </c>
      <c r="Z293" s="687">
        <f>LOOKUP($C$288, T_Stock_Private!$C$74:$C$84, T_Stock_Private!P$74:P$84)*(1+Z180)</f>
        <v>0</v>
      </c>
      <c r="AA293" s="687">
        <f>LOOKUP($C$288, T_Stock_Private!$C$74:$C$84, T_Stock_Private!Q$74:Q$84)*(1+AA180)</f>
        <v>0</v>
      </c>
      <c r="AB293" s="687">
        <f>LOOKUP($C$288, T_Stock_Private!$C$74:$C$84, T_Stock_Private!R$74:R$84)*(1+AB180)</f>
        <v>0</v>
      </c>
      <c r="AC293" s="89"/>
    </row>
    <row r="294" spans="1:64" x14ac:dyDescent="0.25">
      <c r="A294" s="22"/>
      <c r="B294" s="186" t="str">
        <f t="shared" si="330"/>
        <v>TBISLPG100</v>
      </c>
      <c r="C294" s="186"/>
      <c r="D294" s="187"/>
      <c r="E294" s="186"/>
      <c r="F294" s="170"/>
      <c r="G294" s="189"/>
      <c r="H294" s="170"/>
      <c r="I294" s="190">
        <f>AF$5</f>
        <v>2020</v>
      </c>
      <c r="J294" s="191"/>
      <c r="K294" s="191"/>
      <c r="L294" s="211" t="s">
        <v>1065</v>
      </c>
      <c r="M294" s="186" t="s">
        <v>748</v>
      </c>
      <c r="N294" s="687">
        <f t="shared" ref="N294:AB294" si="333">N293*LOOKUP($AD288,$AG$4:$AP$4,$AG$5:$AP$5)</f>
        <v>0</v>
      </c>
      <c r="O294" s="687">
        <f t="shared" si="333"/>
        <v>0</v>
      </c>
      <c r="P294" s="687">
        <f t="shared" si="333"/>
        <v>0</v>
      </c>
      <c r="Q294" s="687">
        <f t="shared" si="333"/>
        <v>0</v>
      </c>
      <c r="R294" s="687">
        <f t="shared" si="333"/>
        <v>0</v>
      </c>
      <c r="S294" s="687">
        <f t="shared" si="333"/>
        <v>0</v>
      </c>
      <c r="T294" s="687">
        <f t="shared" si="333"/>
        <v>0</v>
      </c>
      <c r="U294" s="687">
        <f t="shared" si="333"/>
        <v>0</v>
      </c>
      <c r="V294" s="687">
        <f t="shared" si="333"/>
        <v>0</v>
      </c>
      <c r="W294" s="687">
        <f t="shared" si="333"/>
        <v>0</v>
      </c>
      <c r="X294" s="687">
        <f t="shared" si="333"/>
        <v>0</v>
      </c>
      <c r="Y294" s="687">
        <f t="shared" si="333"/>
        <v>0</v>
      </c>
      <c r="Z294" s="687">
        <f t="shared" si="333"/>
        <v>0</v>
      </c>
      <c r="AA294" s="687">
        <f t="shared" si="333"/>
        <v>0</v>
      </c>
      <c r="AB294" s="687">
        <f t="shared" si="333"/>
        <v>0</v>
      </c>
    </row>
    <row r="295" spans="1:64" x14ac:dyDescent="0.25">
      <c r="A295" s="22"/>
      <c r="B295" s="186" t="str">
        <f t="shared" si="330"/>
        <v>TBISLPG100</v>
      </c>
      <c r="C295" s="186"/>
      <c r="D295" s="187"/>
      <c r="E295" s="186"/>
      <c r="F295" s="170"/>
      <c r="G295" s="189"/>
      <c r="H295" s="170"/>
      <c r="I295" s="190">
        <f>AF$6</f>
        <v>2025</v>
      </c>
      <c r="J295" s="191"/>
      <c r="K295" s="191"/>
      <c r="L295" s="211" t="s">
        <v>1065</v>
      </c>
      <c r="M295" s="186" t="s">
        <v>748</v>
      </c>
      <c r="N295" s="687">
        <f t="shared" ref="N295:AB295" si="334">N293*LOOKUP($AD288,$AG$4:$AP$4,$AG$6:$AP$6)</f>
        <v>0</v>
      </c>
      <c r="O295" s="687">
        <f t="shared" si="334"/>
        <v>0</v>
      </c>
      <c r="P295" s="687">
        <f t="shared" si="334"/>
        <v>0</v>
      </c>
      <c r="Q295" s="687">
        <f t="shared" si="334"/>
        <v>0</v>
      </c>
      <c r="R295" s="687">
        <f t="shared" si="334"/>
        <v>0</v>
      </c>
      <c r="S295" s="687">
        <f t="shared" si="334"/>
        <v>0</v>
      </c>
      <c r="T295" s="687">
        <f t="shared" si="334"/>
        <v>0</v>
      </c>
      <c r="U295" s="687">
        <f t="shared" si="334"/>
        <v>0</v>
      </c>
      <c r="V295" s="687">
        <f t="shared" si="334"/>
        <v>0</v>
      </c>
      <c r="W295" s="687">
        <f t="shared" si="334"/>
        <v>0</v>
      </c>
      <c r="X295" s="687">
        <f t="shared" si="334"/>
        <v>0</v>
      </c>
      <c r="Y295" s="687">
        <f t="shared" si="334"/>
        <v>0</v>
      </c>
      <c r="Z295" s="687">
        <f t="shared" si="334"/>
        <v>0</v>
      </c>
      <c r="AA295" s="687">
        <f t="shared" si="334"/>
        <v>0</v>
      </c>
      <c r="AB295" s="687">
        <f t="shared" si="334"/>
        <v>0</v>
      </c>
    </row>
    <row r="296" spans="1:64" x14ac:dyDescent="0.25">
      <c r="A296" s="22"/>
      <c r="B296" s="186" t="str">
        <f t="shared" si="330"/>
        <v>TBISLPG100</v>
      </c>
      <c r="C296" s="186"/>
      <c r="D296" s="187"/>
      <c r="E296" s="186"/>
      <c r="F296" s="170"/>
      <c r="G296" s="189"/>
      <c r="H296" s="170"/>
      <c r="I296" s="190">
        <f>AF$7</f>
        <v>2030</v>
      </c>
      <c r="J296" s="191"/>
      <c r="K296" s="191"/>
      <c r="L296" s="211" t="s">
        <v>1065</v>
      </c>
      <c r="M296" s="186" t="s">
        <v>748</v>
      </c>
      <c r="N296" s="687">
        <f t="shared" ref="N296:AB296" si="335">N293*LOOKUP($AD288,$AG$4:$AP$4,$AG$7:$AP$7)</f>
        <v>0</v>
      </c>
      <c r="O296" s="687">
        <f t="shared" si="335"/>
        <v>0</v>
      </c>
      <c r="P296" s="687">
        <f t="shared" si="335"/>
        <v>0</v>
      </c>
      <c r="Q296" s="687">
        <f t="shared" si="335"/>
        <v>0</v>
      </c>
      <c r="R296" s="687">
        <f t="shared" si="335"/>
        <v>0</v>
      </c>
      <c r="S296" s="687">
        <f t="shared" si="335"/>
        <v>0</v>
      </c>
      <c r="T296" s="687">
        <f t="shared" si="335"/>
        <v>0</v>
      </c>
      <c r="U296" s="687">
        <f t="shared" si="335"/>
        <v>0</v>
      </c>
      <c r="V296" s="687">
        <f t="shared" si="335"/>
        <v>0</v>
      </c>
      <c r="W296" s="687">
        <f t="shared" si="335"/>
        <v>0</v>
      </c>
      <c r="X296" s="687">
        <f t="shared" si="335"/>
        <v>0</v>
      </c>
      <c r="Y296" s="687">
        <f t="shared" si="335"/>
        <v>0</v>
      </c>
      <c r="Z296" s="687">
        <f t="shared" si="335"/>
        <v>0</v>
      </c>
      <c r="AA296" s="687">
        <f t="shared" si="335"/>
        <v>0</v>
      </c>
      <c r="AB296" s="687">
        <f t="shared" si="335"/>
        <v>0</v>
      </c>
    </row>
    <row r="297" spans="1:64" x14ac:dyDescent="0.25">
      <c r="A297" s="22"/>
      <c r="B297" s="186" t="str">
        <f t="shared" si="330"/>
        <v>TBISLPG100</v>
      </c>
      <c r="C297" s="186"/>
      <c r="D297" s="187"/>
      <c r="E297" s="186"/>
      <c r="F297" s="170"/>
      <c r="G297" s="189"/>
      <c r="H297" s="170"/>
      <c r="I297" s="190">
        <f>AF$8</f>
        <v>2035</v>
      </c>
      <c r="J297" s="191"/>
      <c r="K297" s="191"/>
      <c r="L297" s="211" t="s">
        <v>1065</v>
      </c>
      <c r="M297" s="186" t="s">
        <v>748</v>
      </c>
      <c r="N297" s="687">
        <f t="shared" ref="N297:AB297" si="336">N293*LOOKUP($AD288,$AG$4:$AP$4,$AG$8:$AP$8)</f>
        <v>0</v>
      </c>
      <c r="O297" s="687">
        <f t="shared" si="336"/>
        <v>0</v>
      </c>
      <c r="P297" s="687">
        <f t="shared" si="336"/>
        <v>0</v>
      </c>
      <c r="Q297" s="687">
        <f t="shared" si="336"/>
        <v>0</v>
      </c>
      <c r="R297" s="687">
        <f t="shared" si="336"/>
        <v>0</v>
      </c>
      <c r="S297" s="687">
        <f t="shared" si="336"/>
        <v>0</v>
      </c>
      <c r="T297" s="687">
        <f t="shared" si="336"/>
        <v>0</v>
      </c>
      <c r="U297" s="687">
        <f t="shared" si="336"/>
        <v>0</v>
      </c>
      <c r="V297" s="687">
        <f t="shared" si="336"/>
        <v>0</v>
      </c>
      <c r="W297" s="687">
        <f t="shared" si="336"/>
        <v>0</v>
      </c>
      <c r="X297" s="687">
        <f t="shared" si="336"/>
        <v>0</v>
      </c>
      <c r="Y297" s="687">
        <f t="shared" si="336"/>
        <v>0</v>
      </c>
      <c r="Z297" s="687">
        <f t="shared" si="336"/>
        <v>0</v>
      </c>
      <c r="AA297" s="687">
        <f t="shared" si="336"/>
        <v>0</v>
      </c>
      <c r="AB297" s="687">
        <f t="shared" si="336"/>
        <v>0</v>
      </c>
    </row>
    <row r="298" spans="1:64" x14ac:dyDescent="0.25">
      <c r="A298" s="22"/>
      <c r="B298" s="186" t="str">
        <f t="shared" si="330"/>
        <v>TBISLPG100</v>
      </c>
      <c r="C298" s="186"/>
      <c r="D298" s="187"/>
      <c r="E298" s="186"/>
      <c r="F298" s="170"/>
      <c r="G298" s="189"/>
      <c r="H298" s="170"/>
      <c r="I298" s="190">
        <f>AF$9</f>
        <v>2040</v>
      </c>
      <c r="J298" s="191"/>
      <c r="K298" s="191"/>
      <c r="L298" s="211" t="s">
        <v>1065</v>
      </c>
      <c r="M298" s="186" t="s">
        <v>748</v>
      </c>
      <c r="N298" s="687">
        <f t="shared" ref="N298:AB298" si="337">N293*LOOKUP($AD288,$AG$4:$AP$4,$AG$9:$AP$9)</f>
        <v>0</v>
      </c>
      <c r="O298" s="687">
        <f t="shared" si="337"/>
        <v>0</v>
      </c>
      <c r="P298" s="687">
        <f t="shared" si="337"/>
        <v>0</v>
      </c>
      <c r="Q298" s="687">
        <f t="shared" si="337"/>
        <v>0</v>
      </c>
      <c r="R298" s="687">
        <f t="shared" si="337"/>
        <v>0</v>
      </c>
      <c r="S298" s="687">
        <f t="shared" si="337"/>
        <v>0</v>
      </c>
      <c r="T298" s="687">
        <f t="shared" si="337"/>
        <v>0</v>
      </c>
      <c r="U298" s="687">
        <f t="shared" si="337"/>
        <v>0</v>
      </c>
      <c r="V298" s="687">
        <f t="shared" si="337"/>
        <v>0</v>
      </c>
      <c r="W298" s="687">
        <f t="shared" si="337"/>
        <v>0</v>
      </c>
      <c r="X298" s="687">
        <f t="shared" si="337"/>
        <v>0</v>
      </c>
      <c r="Y298" s="687">
        <f t="shared" si="337"/>
        <v>0</v>
      </c>
      <c r="Z298" s="687">
        <f t="shared" si="337"/>
        <v>0</v>
      </c>
      <c r="AA298" s="687">
        <f t="shared" si="337"/>
        <v>0</v>
      </c>
      <c r="AB298" s="687">
        <f t="shared" si="337"/>
        <v>0</v>
      </c>
    </row>
    <row r="299" spans="1:64" x14ac:dyDescent="0.25">
      <c r="A299" s="22"/>
      <c r="B299" s="193" t="str">
        <f t="shared" si="330"/>
        <v>TBISLPG100</v>
      </c>
      <c r="C299" s="193"/>
      <c r="D299" s="194"/>
      <c r="E299" s="193"/>
      <c r="F299" s="196"/>
      <c r="G299" s="195"/>
      <c r="H299" s="196"/>
      <c r="I299" s="197">
        <f>AF$10</f>
        <v>2050</v>
      </c>
      <c r="J299" s="198"/>
      <c r="K299" s="198"/>
      <c r="L299" s="199" t="s">
        <v>1065</v>
      </c>
      <c r="M299" s="193" t="s">
        <v>748</v>
      </c>
      <c r="N299" s="688">
        <f t="shared" ref="N299:AB299" si="338">N293*LOOKUP($AD288,$AG$4:$AP$4,$AG$10:$AP$10)</f>
        <v>0</v>
      </c>
      <c r="O299" s="688">
        <f t="shared" si="338"/>
        <v>0</v>
      </c>
      <c r="P299" s="688">
        <f t="shared" si="338"/>
        <v>0</v>
      </c>
      <c r="Q299" s="688">
        <f t="shared" si="338"/>
        <v>0</v>
      </c>
      <c r="R299" s="688">
        <f t="shared" si="338"/>
        <v>0</v>
      </c>
      <c r="S299" s="688">
        <f t="shared" si="338"/>
        <v>0</v>
      </c>
      <c r="T299" s="688">
        <f t="shared" si="338"/>
        <v>0</v>
      </c>
      <c r="U299" s="688">
        <f t="shared" si="338"/>
        <v>0</v>
      </c>
      <c r="V299" s="688">
        <f t="shared" si="338"/>
        <v>0</v>
      </c>
      <c r="W299" s="688">
        <f t="shared" si="338"/>
        <v>0</v>
      </c>
      <c r="X299" s="688">
        <f t="shared" si="338"/>
        <v>0</v>
      </c>
      <c r="Y299" s="688">
        <f t="shared" si="338"/>
        <v>0</v>
      </c>
      <c r="Z299" s="688">
        <f t="shared" si="338"/>
        <v>0</v>
      </c>
      <c r="AA299" s="688">
        <f t="shared" si="338"/>
        <v>0</v>
      </c>
      <c r="AB299" s="688">
        <f t="shared" si="338"/>
        <v>0</v>
      </c>
    </row>
    <row r="300" spans="1:64" s="83" customFormat="1" ht="15" customHeight="1" x14ac:dyDescent="0.25">
      <c r="A300" s="82"/>
      <c r="B300" s="178" t="str">
        <f>C300</f>
        <v>TBISPYD100</v>
      </c>
      <c r="C300" s="178" t="s">
        <v>345</v>
      </c>
      <c r="D300" s="179" t="s">
        <v>761</v>
      </c>
      <c r="E300" s="407" t="s">
        <v>988</v>
      </c>
      <c r="F300" s="182"/>
      <c r="G300" s="181"/>
      <c r="H300" s="182"/>
      <c r="I300" s="183"/>
      <c r="J300" s="184"/>
      <c r="K300" s="184"/>
      <c r="L300" s="203" t="s">
        <v>1107</v>
      </c>
      <c r="M300" s="184" t="s">
        <v>1156</v>
      </c>
      <c r="N300" s="692">
        <f>N$47</f>
        <v>1E-3</v>
      </c>
      <c r="O300" s="692">
        <f t="shared" ref="O300:AB300" si="339">$N300</f>
        <v>1E-3</v>
      </c>
      <c r="P300" s="692">
        <f t="shared" si="339"/>
        <v>1E-3</v>
      </c>
      <c r="Q300" s="692">
        <f t="shared" si="339"/>
        <v>1E-3</v>
      </c>
      <c r="R300" s="692">
        <f t="shared" si="339"/>
        <v>1E-3</v>
      </c>
      <c r="S300" s="692">
        <f t="shared" si="339"/>
        <v>1E-3</v>
      </c>
      <c r="T300" s="692">
        <f t="shared" si="339"/>
        <v>1E-3</v>
      </c>
      <c r="U300" s="692">
        <f t="shared" si="339"/>
        <v>1E-3</v>
      </c>
      <c r="V300" s="692">
        <f t="shared" si="339"/>
        <v>1E-3</v>
      </c>
      <c r="W300" s="692">
        <f t="shared" si="339"/>
        <v>1E-3</v>
      </c>
      <c r="X300" s="692">
        <f t="shared" si="339"/>
        <v>1E-3</v>
      </c>
      <c r="Y300" s="692">
        <f t="shared" si="339"/>
        <v>1E-3</v>
      </c>
      <c r="Z300" s="692">
        <f t="shared" si="339"/>
        <v>1E-3</v>
      </c>
      <c r="AA300" s="692">
        <f t="shared" si="339"/>
        <v>1E-3</v>
      </c>
      <c r="AB300" s="692">
        <f t="shared" si="339"/>
        <v>1E-3</v>
      </c>
      <c r="AD300" s="402" t="str">
        <f>MID(D300,15,3)</f>
        <v>Plu</v>
      </c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V300" s="700" t="str">
        <f t="shared" ref="AV300:AV301" si="340">MID(E300,1,7)</f>
        <v>TRABDL</v>
      </c>
      <c r="AW300" s="568">
        <f t="shared" ref="AW300:AW301" si="341">SUM(AX300:BL300)</f>
        <v>0</v>
      </c>
    </row>
    <row r="301" spans="1:64" ht="15" customHeight="1" x14ac:dyDescent="0.25">
      <c r="A301" s="22"/>
      <c r="B301" s="186" t="str">
        <f>B300</f>
        <v>TBISPYD100</v>
      </c>
      <c r="C301" s="186"/>
      <c r="D301" s="187"/>
      <c r="E301" s="258" t="s">
        <v>185</v>
      </c>
      <c r="F301" s="170"/>
      <c r="G301" s="189"/>
      <c r="H301" s="170"/>
      <c r="I301" s="190"/>
      <c r="J301" s="191" t="str">
        <f>$J$198</f>
        <v>UP</v>
      </c>
      <c r="K301" s="191"/>
      <c r="L301" s="211" t="s">
        <v>101</v>
      </c>
      <c r="M301" s="186"/>
      <c r="N301" s="675">
        <f t="shared" ref="N301:AB301" si="342">1-N21</f>
        <v>0.94496029288387329</v>
      </c>
      <c r="O301" s="675">
        <f t="shared" si="342"/>
        <v>0.94496029288387329</v>
      </c>
      <c r="P301" s="675">
        <f t="shared" si="342"/>
        <v>0.94496029288387329</v>
      </c>
      <c r="Q301" s="675">
        <f t="shared" si="342"/>
        <v>0.94496029288387329</v>
      </c>
      <c r="R301" s="675">
        <f t="shared" si="342"/>
        <v>0.94496029288387329</v>
      </c>
      <c r="S301" s="675">
        <f t="shared" si="342"/>
        <v>0.94496029288387329</v>
      </c>
      <c r="T301" s="675">
        <f t="shared" si="342"/>
        <v>0.94496029288387329</v>
      </c>
      <c r="U301" s="675">
        <f t="shared" si="342"/>
        <v>0.94496029288387329</v>
      </c>
      <c r="V301" s="675">
        <f t="shared" si="342"/>
        <v>0.94496029288387329</v>
      </c>
      <c r="W301" s="675">
        <f t="shared" si="342"/>
        <v>0.94496029288387329</v>
      </c>
      <c r="X301" s="675">
        <f t="shared" si="342"/>
        <v>0.94496029288387329</v>
      </c>
      <c r="Y301" s="675">
        <f t="shared" si="342"/>
        <v>0.94496029288387329</v>
      </c>
      <c r="Z301" s="675">
        <f t="shared" si="342"/>
        <v>0.94496029288387329</v>
      </c>
      <c r="AA301" s="675">
        <f t="shared" si="342"/>
        <v>0.94496029288387329</v>
      </c>
      <c r="AB301" s="675">
        <f t="shared" si="342"/>
        <v>0.94496029288387329</v>
      </c>
      <c r="AD301" s="66" t="str">
        <f>IF(COUNTIF($AG$4:$AP$4,AD300)=1,"ok","MISSING")</f>
        <v>ok</v>
      </c>
      <c r="AE301" s="357"/>
      <c r="AF301" s="89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V301" s="700" t="str">
        <f t="shared" si="340"/>
        <v>TRADST</v>
      </c>
      <c r="AW301" s="568">
        <f t="shared" si="341"/>
        <v>0</v>
      </c>
    </row>
    <row r="302" spans="1:64" s="83" customFormat="1" x14ac:dyDescent="0.25">
      <c r="A302" s="82"/>
      <c r="B302" s="178" t="str">
        <f t="shared" ref="B302" si="343">B301</f>
        <v>TBISPYD100</v>
      </c>
      <c r="C302" s="178"/>
      <c r="D302" s="179"/>
      <c r="E302" s="407" t="s">
        <v>990</v>
      </c>
      <c r="F302" s="182"/>
      <c r="G302" s="181"/>
      <c r="H302" s="182"/>
      <c r="I302" s="183"/>
      <c r="J302" s="184" t="s">
        <v>1157</v>
      </c>
      <c r="K302" s="184"/>
      <c r="L302" s="203" t="s">
        <v>101</v>
      </c>
      <c r="M302" s="184"/>
      <c r="N302" s="690">
        <f>N$20</f>
        <v>7.0000000000000007E-2</v>
      </c>
      <c r="O302" s="690">
        <f t="shared" ref="O302:AB302" si="344">O$20</f>
        <v>7.0000000000000007E-2</v>
      </c>
      <c r="P302" s="690">
        <f t="shared" si="344"/>
        <v>7.0000000000000007E-2</v>
      </c>
      <c r="Q302" s="690">
        <f t="shared" si="344"/>
        <v>7.0000000000000007E-2</v>
      </c>
      <c r="R302" s="690">
        <f t="shared" si="344"/>
        <v>7.0000000000000007E-2</v>
      </c>
      <c r="S302" s="690">
        <f t="shared" si="344"/>
        <v>7.0000000000000007E-2</v>
      </c>
      <c r="T302" s="690">
        <f t="shared" si="344"/>
        <v>7.0000000000000007E-2</v>
      </c>
      <c r="U302" s="690">
        <f t="shared" si="344"/>
        <v>7.0000000000000007E-2</v>
      </c>
      <c r="V302" s="690">
        <f t="shared" si="344"/>
        <v>7.0000000000000007E-2</v>
      </c>
      <c r="W302" s="690">
        <f t="shared" si="344"/>
        <v>7.0000000000000007E-2</v>
      </c>
      <c r="X302" s="690">
        <f t="shared" si="344"/>
        <v>7.0000000000000007E-2</v>
      </c>
      <c r="Y302" s="690">
        <f t="shared" si="344"/>
        <v>7.0000000000000007E-2</v>
      </c>
      <c r="Z302" s="690">
        <f t="shared" si="344"/>
        <v>7.0000000000000007E-2</v>
      </c>
      <c r="AA302" s="690">
        <f t="shared" si="344"/>
        <v>7.0000000000000007E-2</v>
      </c>
      <c r="AB302" s="690">
        <f t="shared" si="344"/>
        <v>7.0000000000000007E-2</v>
      </c>
      <c r="AD302" s="408"/>
      <c r="AE302" s="357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V302" s="700"/>
      <c r="AW302" s="568"/>
      <c r="AX302" s="708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</row>
    <row r="303" spans="1:64" x14ac:dyDescent="0.25">
      <c r="A303" s="22"/>
      <c r="B303" s="186" t="str">
        <f>B301</f>
        <v>TBISPYD100</v>
      </c>
      <c r="C303" s="186"/>
      <c r="D303" s="187"/>
      <c r="E303" s="186"/>
      <c r="F303" s="170"/>
      <c r="G303" s="188" t="s">
        <v>414</v>
      </c>
      <c r="H303" s="170"/>
      <c r="I303" s="190"/>
      <c r="J303" s="191"/>
      <c r="K303" s="191"/>
      <c r="L303" s="191" t="s">
        <v>1126</v>
      </c>
      <c r="M303" s="186" t="s">
        <v>678</v>
      </c>
      <c r="N303" s="690">
        <f>T_CEFF!H148</f>
        <v>9.2590000000000006E-2</v>
      </c>
      <c r="O303" s="690">
        <f>T_CEFF!I148</f>
        <v>9.2590000000000006E-2</v>
      </c>
      <c r="P303" s="690">
        <f>T_CEFF!J148</f>
        <v>9.2590000000000006E-2</v>
      </c>
      <c r="Q303" s="690">
        <f>T_CEFF!K148</f>
        <v>9.2590000000000006E-2</v>
      </c>
      <c r="R303" s="690">
        <f>T_CEFF!L148</f>
        <v>9.2590000000000006E-2</v>
      </c>
      <c r="S303" s="690">
        <f>T_CEFF!M148</f>
        <v>9.2590000000000006E-2</v>
      </c>
      <c r="T303" s="690">
        <f>T_CEFF!N148</f>
        <v>9.2590000000000006E-2</v>
      </c>
      <c r="U303" s="690">
        <f>T_CEFF!O148</f>
        <v>9.2590000000000006E-2</v>
      </c>
      <c r="V303" s="690">
        <f>T_CEFF!P148</f>
        <v>9.2590000000000006E-2</v>
      </c>
      <c r="W303" s="690">
        <f>T_CEFF!Q148</f>
        <v>9.2590000000000006E-2</v>
      </c>
      <c r="X303" s="690">
        <f>T_CEFF!R148</f>
        <v>9.2590000000000006E-2</v>
      </c>
      <c r="Y303" s="690">
        <f>T_CEFF!S148</f>
        <v>9.2590000000000006E-2</v>
      </c>
      <c r="Z303" s="690">
        <f>T_CEFF!T148</f>
        <v>9.2590000000000006E-2</v>
      </c>
      <c r="AA303" s="690">
        <f>T_CEFF!U148</f>
        <v>9.2590000000000006E-2</v>
      </c>
      <c r="AB303" s="690">
        <f>T_CEFF!V148</f>
        <v>9.2590000000000006E-2</v>
      </c>
      <c r="AE303" s="36"/>
      <c r="AF303" s="68"/>
    </row>
    <row r="304" spans="1:64" x14ac:dyDescent="0.25">
      <c r="A304" s="22"/>
      <c r="B304" s="186" t="str">
        <f>B303</f>
        <v>TBISPYD100</v>
      </c>
      <c r="C304" s="186"/>
      <c r="D304" s="187"/>
      <c r="E304" s="186"/>
      <c r="F304" s="170"/>
      <c r="G304" s="188" t="s">
        <v>590</v>
      </c>
      <c r="H304" s="170"/>
      <c r="I304" s="190"/>
      <c r="J304" s="191"/>
      <c r="K304" s="191"/>
      <c r="L304" s="191" t="s">
        <v>1126</v>
      </c>
      <c r="M304" s="186" t="s">
        <v>678</v>
      </c>
      <c r="N304" s="690">
        <f>T_CEFF!H149</f>
        <v>9.2590000000000006E-2</v>
      </c>
      <c r="O304" s="690">
        <f>T_CEFF!I149</f>
        <v>9.2590000000000006E-2</v>
      </c>
      <c r="P304" s="690">
        <f>T_CEFF!J149</f>
        <v>9.2590000000000006E-2</v>
      </c>
      <c r="Q304" s="690">
        <f>T_CEFF!K149</f>
        <v>9.2590000000000006E-2</v>
      </c>
      <c r="R304" s="690">
        <f>T_CEFF!L149</f>
        <v>9.2590000000000006E-2</v>
      </c>
      <c r="S304" s="690">
        <f>T_CEFF!M149</f>
        <v>9.2590000000000006E-2</v>
      </c>
      <c r="T304" s="690">
        <f>T_CEFF!N149</f>
        <v>9.2590000000000006E-2</v>
      </c>
      <c r="U304" s="690">
        <f>T_CEFF!O149</f>
        <v>9.2590000000000006E-2</v>
      </c>
      <c r="V304" s="690">
        <f>T_CEFF!P149</f>
        <v>9.2590000000000006E-2</v>
      </c>
      <c r="W304" s="690">
        <f>T_CEFF!Q149</f>
        <v>9.2590000000000006E-2</v>
      </c>
      <c r="X304" s="690">
        <f>T_CEFF!R149</f>
        <v>9.2590000000000006E-2</v>
      </c>
      <c r="Y304" s="690">
        <f>T_CEFF!S149</f>
        <v>9.2590000000000006E-2</v>
      </c>
      <c r="Z304" s="690">
        <f>T_CEFF!T149</f>
        <v>9.2590000000000006E-2</v>
      </c>
      <c r="AA304" s="690">
        <f>T_CEFF!U149</f>
        <v>9.2590000000000006E-2</v>
      </c>
      <c r="AB304" s="690">
        <f>T_CEFF!V149</f>
        <v>9.2590000000000006E-2</v>
      </c>
      <c r="AE304" s="36"/>
      <c r="AF304" s="68"/>
    </row>
    <row r="305" spans="1:49" x14ac:dyDescent="0.25">
      <c r="A305" s="22"/>
      <c r="B305" s="186" t="str">
        <f t="shared" ref="B305:B313" si="345">B304</f>
        <v>TBISPYD100</v>
      </c>
      <c r="C305" s="186"/>
      <c r="D305" s="187"/>
      <c r="E305" s="186"/>
      <c r="F305" s="170"/>
      <c r="G305" s="189"/>
      <c r="H305" s="170"/>
      <c r="I305" s="190"/>
      <c r="J305" s="191"/>
      <c r="K305" s="191" t="s">
        <v>749</v>
      </c>
      <c r="L305" s="191" t="s">
        <v>1128</v>
      </c>
      <c r="M305" s="186" t="s">
        <v>1159</v>
      </c>
      <c r="N305" s="603">
        <f t="shared" ref="N305:AB305" si="346">N$16</f>
        <v>0</v>
      </c>
      <c r="O305" s="603">
        <f t="shared" si="346"/>
        <v>0</v>
      </c>
      <c r="P305" s="603">
        <f t="shared" si="346"/>
        <v>0</v>
      </c>
      <c r="Q305" s="603">
        <f t="shared" si="346"/>
        <v>0</v>
      </c>
      <c r="R305" s="603">
        <f t="shared" si="346"/>
        <v>0</v>
      </c>
      <c r="S305" s="603">
        <f t="shared" si="346"/>
        <v>0</v>
      </c>
      <c r="T305" s="603">
        <f t="shared" si="346"/>
        <v>0</v>
      </c>
      <c r="U305" s="603">
        <f t="shared" si="346"/>
        <v>0</v>
      </c>
      <c r="V305" s="603">
        <f t="shared" si="346"/>
        <v>0</v>
      </c>
      <c r="W305" s="603">
        <f t="shared" si="346"/>
        <v>0</v>
      </c>
      <c r="X305" s="603">
        <f t="shared" si="346"/>
        <v>0</v>
      </c>
      <c r="Y305" s="603">
        <f t="shared" si="346"/>
        <v>0</v>
      </c>
      <c r="Z305" s="603">
        <f t="shared" si="346"/>
        <v>0</v>
      </c>
      <c r="AA305" s="603">
        <f t="shared" si="346"/>
        <v>0</v>
      </c>
      <c r="AB305" s="603">
        <f t="shared" si="346"/>
        <v>0</v>
      </c>
      <c r="AE305" s="36"/>
      <c r="AF305" s="68"/>
    </row>
    <row r="306" spans="1:49" x14ac:dyDescent="0.25">
      <c r="A306" s="22"/>
      <c r="B306" s="186" t="str">
        <f t="shared" si="345"/>
        <v>TBISPYD100</v>
      </c>
      <c r="C306" s="186"/>
      <c r="D306" s="187"/>
      <c r="E306" s="186"/>
      <c r="F306" s="170"/>
      <c r="G306" s="189"/>
      <c r="H306" s="170"/>
      <c r="I306" s="190"/>
      <c r="J306" s="191"/>
      <c r="K306" s="191"/>
      <c r="L306" s="211" t="s">
        <v>1130</v>
      </c>
      <c r="M306" s="186" t="s">
        <v>1131</v>
      </c>
      <c r="N306" s="389">
        <f>LOOKUP($C$300, T_NCAP_AF!$C$110:$C$120, T_NCAP_AF!D$110:D$120)*(1+N179)</f>
        <v>0</v>
      </c>
      <c r="O306" s="389">
        <f>LOOKUP($C$300, T_NCAP_AF!$C$110:$C$120, T_NCAP_AF!E$110:E$120)*(1+O179)</f>
        <v>0</v>
      </c>
      <c r="P306" s="389">
        <f>LOOKUP($C$300, T_NCAP_AF!$C$110:$C$120, T_NCAP_AF!F$110:F$120)*(1+P179)</f>
        <v>0</v>
      </c>
      <c r="Q306" s="389">
        <f>LOOKUP($C$300, T_NCAP_AF!$C$110:$C$120, T_NCAP_AF!G$110:G$120)*(1+Q179)</f>
        <v>0</v>
      </c>
      <c r="R306" s="389">
        <f>LOOKUP($C$300, T_NCAP_AF!$C$110:$C$120, T_NCAP_AF!H$110:H$120)*(1+R179)</f>
        <v>0</v>
      </c>
      <c r="S306" s="389">
        <f>LOOKUP($C$300, T_NCAP_AF!$C$110:$C$120, T_NCAP_AF!I$110:I$120)*(1+S179)</f>
        <v>0</v>
      </c>
      <c r="T306" s="389">
        <f>LOOKUP($C$300, T_NCAP_AF!$C$110:$C$120, T_NCAP_AF!J$110:J$120)*(1+T179)</f>
        <v>0</v>
      </c>
      <c r="U306" s="389">
        <f>LOOKUP($C$300, T_NCAP_AF!$C$110:$C$120, T_NCAP_AF!K$110:K$120)*(1+U179)</f>
        <v>0</v>
      </c>
      <c r="V306" s="389">
        <f>LOOKUP($C$300, T_NCAP_AF!$C$110:$C$120, T_NCAP_AF!L$110:L$120)*(1+V179)</f>
        <v>0</v>
      </c>
      <c r="W306" s="389">
        <f>LOOKUP($C$300, T_NCAP_AF!$C$110:$C$120, T_NCAP_AF!M$110:M$120)*(1+W179)</f>
        <v>0</v>
      </c>
      <c r="X306" s="389">
        <f>LOOKUP($C$300, T_NCAP_AF!$C$110:$C$120, T_NCAP_AF!N$110:N$120)*(1+X179)</f>
        <v>0</v>
      </c>
      <c r="Y306" s="389">
        <f>LOOKUP($C$300, T_NCAP_AF!$C$110:$C$120, T_NCAP_AF!O$110:O$120)*(1+Y179)</f>
        <v>0</v>
      </c>
      <c r="Z306" s="389">
        <f>LOOKUP($C$300, T_NCAP_AF!$C$110:$C$120, T_NCAP_AF!P$110:P$120)*(1+Z179)</f>
        <v>0</v>
      </c>
      <c r="AA306" s="389">
        <f>LOOKUP($C$300, T_NCAP_AF!$C$110:$C$120, T_NCAP_AF!Q$110:Q$120)*(1+AA179)</f>
        <v>0</v>
      </c>
      <c r="AB306" s="389">
        <f>LOOKUP($C$300, T_NCAP_AF!$C$110:$C$120, T_NCAP_AF!R$110:R$120)*(1+AB179)</f>
        <v>0</v>
      </c>
      <c r="AC306" s="83"/>
      <c r="AE306" s="572">
        <f>SUM(AF306:AT306)</f>
        <v>0</v>
      </c>
      <c r="AF306" s="85">
        <f t="shared" ref="AF306:AT306" si="347">N305*N306*N307/1000</f>
        <v>0</v>
      </c>
      <c r="AG306" s="85">
        <f t="shared" si="347"/>
        <v>0</v>
      </c>
      <c r="AH306" s="85">
        <f t="shared" si="347"/>
        <v>0</v>
      </c>
      <c r="AI306" s="85">
        <f t="shared" si="347"/>
        <v>0</v>
      </c>
      <c r="AJ306" s="85">
        <f t="shared" si="347"/>
        <v>0</v>
      </c>
      <c r="AK306" s="85">
        <f t="shared" si="347"/>
        <v>0</v>
      </c>
      <c r="AL306" s="85">
        <f t="shared" si="347"/>
        <v>0</v>
      </c>
      <c r="AM306" s="85">
        <f t="shared" si="347"/>
        <v>0</v>
      </c>
      <c r="AN306" s="85">
        <f t="shared" si="347"/>
        <v>0</v>
      </c>
      <c r="AO306" s="85">
        <f t="shared" si="347"/>
        <v>0</v>
      </c>
      <c r="AP306" s="85">
        <f t="shared" si="347"/>
        <v>0</v>
      </c>
      <c r="AQ306" s="85">
        <f t="shared" si="347"/>
        <v>0</v>
      </c>
      <c r="AR306" s="85">
        <f t="shared" si="347"/>
        <v>0</v>
      </c>
      <c r="AS306" s="85">
        <f t="shared" si="347"/>
        <v>0</v>
      </c>
      <c r="AT306" s="85">
        <f t="shared" si="347"/>
        <v>0</v>
      </c>
    </row>
    <row r="307" spans="1:49" x14ac:dyDescent="0.25">
      <c r="A307" s="22"/>
      <c r="B307" s="186" t="str">
        <f t="shared" si="345"/>
        <v>TBISPYD100</v>
      </c>
      <c r="C307" s="186"/>
      <c r="D307" s="187"/>
      <c r="E307" s="186"/>
      <c r="F307" s="170"/>
      <c r="G307" s="189"/>
      <c r="H307" s="170"/>
      <c r="I307" s="190">
        <f>$M$3</f>
        <v>2019</v>
      </c>
      <c r="J307" s="191"/>
      <c r="K307" s="191"/>
      <c r="L307" s="211" t="s">
        <v>1065</v>
      </c>
      <c r="M307" s="186" t="s">
        <v>748</v>
      </c>
      <c r="N307" s="687">
        <f>LOOKUP($C$300, T_Stock_Private!$C$74:$C$84, T_Stock_Private!D$74:D$84)*(1+N180)</f>
        <v>0</v>
      </c>
      <c r="O307" s="687">
        <f>LOOKUP($C$300, T_Stock_Private!$C$74:$C$84, T_Stock_Private!E$74:E$84)*(1+O180)</f>
        <v>0</v>
      </c>
      <c r="P307" s="687">
        <f>LOOKUP($C$300, T_Stock_Private!$C$74:$C$84, T_Stock_Private!F$74:F$84)*(1+P180)</f>
        <v>0</v>
      </c>
      <c r="Q307" s="687">
        <f>LOOKUP($C$300, T_Stock_Private!$C$74:$C$84, T_Stock_Private!G$74:G$84)*(1+Q180)</f>
        <v>0</v>
      </c>
      <c r="R307" s="687">
        <f>LOOKUP($C$300, T_Stock_Private!$C$74:$C$84, T_Stock_Private!H$74:H$84)*(1+R180)</f>
        <v>0</v>
      </c>
      <c r="S307" s="687">
        <f>LOOKUP($C$300, T_Stock_Private!$C$74:$C$84, T_Stock_Private!I$74:I$84)*(1+S180)</f>
        <v>0</v>
      </c>
      <c r="T307" s="687">
        <f>LOOKUP($C$300, T_Stock_Private!$C$74:$C$84, T_Stock_Private!J$74:J$84)*(1+T180)</f>
        <v>0</v>
      </c>
      <c r="U307" s="687">
        <f>LOOKUP($C$300, T_Stock_Private!$C$74:$C$84, T_Stock_Private!K$74:K$84)*(1+U180)</f>
        <v>0</v>
      </c>
      <c r="V307" s="687">
        <f>LOOKUP($C$300, T_Stock_Private!$C$74:$C$84, T_Stock_Private!L$74:L$84)*(1+V180)</f>
        <v>0</v>
      </c>
      <c r="W307" s="687">
        <f>LOOKUP($C$300, T_Stock_Private!$C$74:$C$84, T_Stock_Private!M$74:M$84)*(1+W180)</f>
        <v>0</v>
      </c>
      <c r="X307" s="687">
        <f>LOOKUP($C$300, T_Stock_Private!$C$74:$C$84, T_Stock_Private!N$74:N$84)*(1+X180)</f>
        <v>0</v>
      </c>
      <c r="Y307" s="687">
        <f>LOOKUP($C$300, T_Stock_Private!$C$74:$C$84, T_Stock_Private!O$74:O$84)*(1+Y180)</f>
        <v>0</v>
      </c>
      <c r="Z307" s="687">
        <f>LOOKUP($C$300, T_Stock_Private!$C$74:$C$84, T_Stock_Private!P$74:P$84)*(1+Z180)</f>
        <v>0</v>
      </c>
      <c r="AA307" s="687">
        <f>LOOKUP($C$300, T_Stock_Private!$C$74:$C$84, T_Stock_Private!Q$74:Q$84)*(1+AA180)</f>
        <v>0</v>
      </c>
      <c r="AB307" s="687">
        <f>LOOKUP($C$300, T_Stock_Private!$C$74:$C$84, T_Stock_Private!R$74:R$84)*(1+AB180)</f>
        <v>0</v>
      </c>
      <c r="AC307" s="89"/>
    </row>
    <row r="308" spans="1:49" x14ac:dyDescent="0.25">
      <c r="A308" s="22"/>
      <c r="B308" s="186" t="str">
        <f t="shared" si="345"/>
        <v>TBISPYD100</v>
      </c>
      <c r="C308" s="186"/>
      <c r="D308" s="187"/>
      <c r="E308" s="186"/>
      <c r="F308" s="170"/>
      <c r="G308" s="189"/>
      <c r="H308" s="170"/>
      <c r="I308" s="190">
        <f>AF$5</f>
        <v>2020</v>
      </c>
      <c r="J308" s="191"/>
      <c r="K308" s="191"/>
      <c r="L308" s="211" t="s">
        <v>1065</v>
      </c>
      <c r="M308" s="186" t="s">
        <v>748</v>
      </c>
      <c r="N308" s="687">
        <f t="shared" ref="N308:AB308" si="348">N307*LOOKUP($AD300,$AG$4:$AP$4,$AG$5:$AP$5)</f>
        <v>0</v>
      </c>
      <c r="O308" s="687">
        <f t="shared" si="348"/>
        <v>0</v>
      </c>
      <c r="P308" s="687">
        <f t="shared" si="348"/>
        <v>0</v>
      </c>
      <c r="Q308" s="687">
        <f t="shared" si="348"/>
        <v>0</v>
      </c>
      <c r="R308" s="687">
        <f t="shared" si="348"/>
        <v>0</v>
      </c>
      <c r="S308" s="687">
        <f t="shared" si="348"/>
        <v>0</v>
      </c>
      <c r="T308" s="687">
        <f t="shared" si="348"/>
        <v>0</v>
      </c>
      <c r="U308" s="687">
        <f t="shared" si="348"/>
        <v>0</v>
      </c>
      <c r="V308" s="687">
        <f t="shared" si="348"/>
        <v>0</v>
      </c>
      <c r="W308" s="687">
        <f t="shared" si="348"/>
        <v>0</v>
      </c>
      <c r="X308" s="687">
        <f t="shared" si="348"/>
        <v>0</v>
      </c>
      <c r="Y308" s="687">
        <f t="shared" si="348"/>
        <v>0</v>
      </c>
      <c r="Z308" s="687">
        <f t="shared" si="348"/>
        <v>0</v>
      </c>
      <c r="AA308" s="687">
        <f t="shared" si="348"/>
        <v>0</v>
      </c>
      <c r="AB308" s="687">
        <f t="shared" si="348"/>
        <v>0</v>
      </c>
    </row>
    <row r="309" spans="1:49" x14ac:dyDescent="0.25">
      <c r="A309" s="22"/>
      <c r="B309" s="186" t="str">
        <f t="shared" si="345"/>
        <v>TBISPYD100</v>
      </c>
      <c r="C309" s="186"/>
      <c r="D309" s="187"/>
      <c r="E309" s="186"/>
      <c r="F309" s="170"/>
      <c r="G309" s="189"/>
      <c r="H309" s="170"/>
      <c r="I309" s="190">
        <f>AF$6</f>
        <v>2025</v>
      </c>
      <c r="J309" s="191"/>
      <c r="K309" s="191"/>
      <c r="L309" s="211" t="s">
        <v>1065</v>
      </c>
      <c r="M309" s="186" t="s">
        <v>748</v>
      </c>
      <c r="N309" s="687">
        <f t="shared" ref="N309:AB309" si="349">N307*LOOKUP($AD300,$AG$4:$AP$4,$AG$6:$AP$6)</f>
        <v>0</v>
      </c>
      <c r="O309" s="687">
        <f t="shared" si="349"/>
        <v>0</v>
      </c>
      <c r="P309" s="687">
        <f t="shared" si="349"/>
        <v>0</v>
      </c>
      <c r="Q309" s="687">
        <f t="shared" si="349"/>
        <v>0</v>
      </c>
      <c r="R309" s="687">
        <f t="shared" si="349"/>
        <v>0</v>
      </c>
      <c r="S309" s="687">
        <f t="shared" si="349"/>
        <v>0</v>
      </c>
      <c r="T309" s="687">
        <f t="shared" si="349"/>
        <v>0</v>
      </c>
      <c r="U309" s="687">
        <f t="shared" si="349"/>
        <v>0</v>
      </c>
      <c r="V309" s="687">
        <f t="shared" si="349"/>
        <v>0</v>
      </c>
      <c r="W309" s="687">
        <f t="shared" si="349"/>
        <v>0</v>
      </c>
      <c r="X309" s="687">
        <f t="shared" si="349"/>
        <v>0</v>
      </c>
      <c r="Y309" s="687">
        <f t="shared" si="349"/>
        <v>0</v>
      </c>
      <c r="Z309" s="687">
        <f t="shared" si="349"/>
        <v>0</v>
      </c>
      <c r="AA309" s="687">
        <f t="shared" si="349"/>
        <v>0</v>
      </c>
      <c r="AB309" s="687">
        <f t="shared" si="349"/>
        <v>0</v>
      </c>
    </row>
    <row r="310" spans="1:49" x14ac:dyDescent="0.25">
      <c r="A310" s="22"/>
      <c r="B310" s="186" t="str">
        <f t="shared" si="345"/>
        <v>TBISPYD100</v>
      </c>
      <c r="C310" s="186"/>
      <c r="D310" s="187"/>
      <c r="E310" s="186"/>
      <c r="F310" s="170"/>
      <c r="G310" s="189"/>
      <c r="H310" s="170"/>
      <c r="I310" s="190">
        <f>AF$7</f>
        <v>2030</v>
      </c>
      <c r="J310" s="191"/>
      <c r="K310" s="191"/>
      <c r="L310" s="211" t="s">
        <v>1065</v>
      </c>
      <c r="M310" s="186" t="s">
        <v>748</v>
      </c>
      <c r="N310" s="687">
        <f t="shared" ref="N310:AB310" si="350">N307*LOOKUP($AD300,$AG$4:$AP$4,$AG$7:$AP$7)</f>
        <v>0</v>
      </c>
      <c r="O310" s="687">
        <f t="shared" si="350"/>
        <v>0</v>
      </c>
      <c r="P310" s="687">
        <f t="shared" si="350"/>
        <v>0</v>
      </c>
      <c r="Q310" s="687">
        <f t="shared" si="350"/>
        <v>0</v>
      </c>
      <c r="R310" s="687">
        <f t="shared" si="350"/>
        <v>0</v>
      </c>
      <c r="S310" s="687">
        <f t="shared" si="350"/>
        <v>0</v>
      </c>
      <c r="T310" s="687">
        <f t="shared" si="350"/>
        <v>0</v>
      </c>
      <c r="U310" s="687">
        <f t="shared" si="350"/>
        <v>0</v>
      </c>
      <c r="V310" s="687">
        <f t="shared" si="350"/>
        <v>0</v>
      </c>
      <c r="W310" s="687">
        <f t="shared" si="350"/>
        <v>0</v>
      </c>
      <c r="X310" s="687">
        <f t="shared" si="350"/>
        <v>0</v>
      </c>
      <c r="Y310" s="687">
        <f t="shared" si="350"/>
        <v>0</v>
      </c>
      <c r="Z310" s="687">
        <f t="shared" si="350"/>
        <v>0</v>
      </c>
      <c r="AA310" s="687">
        <f t="shared" si="350"/>
        <v>0</v>
      </c>
      <c r="AB310" s="687">
        <f t="shared" si="350"/>
        <v>0</v>
      </c>
    </row>
    <row r="311" spans="1:49" x14ac:dyDescent="0.25">
      <c r="A311" s="22"/>
      <c r="B311" s="186" t="str">
        <f t="shared" si="345"/>
        <v>TBISPYD100</v>
      </c>
      <c r="C311" s="186"/>
      <c r="D311" s="187"/>
      <c r="E311" s="186"/>
      <c r="F311" s="170"/>
      <c r="G311" s="189"/>
      <c r="H311" s="170"/>
      <c r="I311" s="190">
        <f>AF$8</f>
        <v>2035</v>
      </c>
      <c r="J311" s="191"/>
      <c r="K311" s="191"/>
      <c r="L311" s="211" t="s">
        <v>1065</v>
      </c>
      <c r="M311" s="186" t="s">
        <v>748</v>
      </c>
      <c r="N311" s="687">
        <f t="shared" ref="N311:AB311" si="351">N307*LOOKUP($AD300,$AG$4:$AP$4,$AG$8:$AP$8)</f>
        <v>0</v>
      </c>
      <c r="O311" s="687">
        <f t="shared" si="351"/>
        <v>0</v>
      </c>
      <c r="P311" s="687">
        <f t="shared" si="351"/>
        <v>0</v>
      </c>
      <c r="Q311" s="687">
        <f t="shared" si="351"/>
        <v>0</v>
      </c>
      <c r="R311" s="687">
        <f t="shared" si="351"/>
        <v>0</v>
      </c>
      <c r="S311" s="687">
        <f t="shared" si="351"/>
        <v>0</v>
      </c>
      <c r="T311" s="687">
        <f t="shared" si="351"/>
        <v>0</v>
      </c>
      <c r="U311" s="687">
        <f t="shared" si="351"/>
        <v>0</v>
      </c>
      <c r="V311" s="687">
        <f t="shared" si="351"/>
        <v>0</v>
      </c>
      <c r="W311" s="687">
        <f t="shared" si="351"/>
        <v>0</v>
      </c>
      <c r="X311" s="687">
        <f t="shared" si="351"/>
        <v>0</v>
      </c>
      <c r="Y311" s="687">
        <f t="shared" si="351"/>
        <v>0</v>
      </c>
      <c r="Z311" s="687">
        <f t="shared" si="351"/>
        <v>0</v>
      </c>
      <c r="AA311" s="687">
        <f t="shared" si="351"/>
        <v>0</v>
      </c>
      <c r="AB311" s="687">
        <f t="shared" si="351"/>
        <v>0</v>
      </c>
    </row>
    <row r="312" spans="1:49" x14ac:dyDescent="0.25">
      <c r="A312" s="22"/>
      <c r="B312" s="186" t="str">
        <f t="shared" si="345"/>
        <v>TBISPYD100</v>
      </c>
      <c r="C312" s="186"/>
      <c r="D312" s="187"/>
      <c r="E312" s="186"/>
      <c r="F312" s="170"/>
      <c r="G312" s="189"/>
      <c r="H312" s="170"/>
      <c r="I312" s="190">
        <f>AF$9</f>
        <v>2040</v>
      </c>
      <c r="J312" s="191"/>
      <c r="K312" s="191"/>
      <c r="L312" s="211" t="s">
        <v>1065</v>
      </c>
      <c r="M312" s="186" t="s">
        <v>748</v>
      </c>
      <c r="N312" s="687">
        <f t="shared" ref="N312:AB312" si="352">N307*LOOKUP($AD300,$AG$4:$AP$4,$AG$9:$AP$9)</f>
        <v>0</v>
      </c>
      <c r="O312" s="687">
        <f t="shared" si="352"/>
        <v>0</v>
      </c>
      <c r="P312" s="687">
        <f t="shared" si="352"/>
        <v>0</v>
      </c>
      <c r="Q312" s="687">
        <f t="shared" si="352"/>
        <v>0</v>
      </c>
      <c r="R312" s="687">
        <f t="shared" si="352"/>
        <v>0</v>
      </c>
      <c r="S312" s="687">
        <f t="shared" si="352"/>
        <v>0</v>
      </c>
      <c r="T312" s="687">
        <f t="shared" si="352"/>
        <v>0</v>
      </c>
      <c r="U312" s="687">
        <f t="shared" si="352"/>
        <v>0</v>
      </c>
      <c r="V312" s="687">
        <f t="shared" si="352"/>
        <v>0</v>
      </c>
      <c r="W312" s="687">
        <f t="shared" si="352"/>
        <v>0</v>
      </c>
      <c r="X312" s="687">
        <f t="shared" si="352"/>
        <v>0</v>
      </c>
      <c r="Y312" s="687">
        <f t="shared" si="352"/>
        <v>0</v>
      </c>
      <c r="Z312" s="687">
        <f t="shared" si="352"/>
        <v>0</v>
      </c>
      <c r="AA312" s="687">
        <f t="shared" si="352"/>
        <v>0</v>
      </c>
      <c r="AB312" s="687">
        <f t="shared" si="352"/>
        <v>0</v>
      </c>
    </row>
    <row r="313" spans="1:49" x14ac:dyDescent="0.25">
      <c r="A313" s="22"/>
      <c r="B313" s="193" t="str">
        <f t="shared" si="345"/>
        <v>TBISPYD100</v>
      </c>
      <c r="C313" s="193"/>
      <c r="D313" s="194"/>
      <c r="E313" s="193"/>
      <c r="F313" s="196"/>
      <c r="G313" s="195"/>
      <c r="H313" s="196"/>
      <c r="I313" s="197">
        <f>AF$10</f>
        <v>2050</v>
      </c>
      <c r="J313" s="198"/>
      <c r="K313" s="198"/>
      <c r="L313" s="199" t="s">
        <v>1065</v>
      </c>
      <c r="M313" s="193" t="s">
        <v>748</v>
      </c>
      <c r="N313" s="688">
        <f t="shared" ref="N313:AB313" si="353">N307*LOOKUP($AD300,$AG$4:$AP$4,$AG$10:$AP$10)</f>
        <v>0</v>
      </c>
      <c r="O313" s="688">
        <f t="shared" si="353"/>
        <v>0</v>
      </c>
      <c r="P313" s="688">
        <f t="shared" si="353"/>
        <v>0</v>
      </c>
      <c r="Q313" s="688">
        <f t="shared" si="353"/>
        <v>0</v>
      </c>
      <c r="R313" s="688">
        <f t="shared" si="353"/>
        <v>0</v>
      </c>
      <c r="S313" s="688">
        <f t="shared" si="353"/>
        <v>0</v>
      </c>
      <c r="T313" s="688">
        <f t="shared" si="353"/>
        <v>0</v>
      </c>
      <c r="U313" s="688">
        <f t="shared" si="353"/>
        <v>0</v>
      </c>
      <c r="V313" s="688">
        <f t="shared" si="353"/>
        <v>0</v>
      </c>
      <c r="W313" s="688">
        <f t="shared" si="353"/>
        <v>0</v>
      </c>
      <c r="X313" s="688">
        <f t="shared" si="353"/>
        <v>0</v>
      </c>
      <c r="Y313" s="688">
        <f t="shared" si="353"/>
        <v>0</v>
      </c>
      <c r="Z313" s="688">
        <f t="shared" si="353"/>
        <v>0</v>
      </c>
      <c r="AA313" s="688">
        <f t="shared" si="353"/>
        <v>0</v>
      </c>
      <c r="AB313" s="688">
        <f t="shared" si="353"/>
        <v>0</v>
      </c>
    </row>
    <row r="314" spans="1:49" s="83" customFormat="1" ht="15" customHeight="1" x14ac:dyDescent="0.25">
      <c r="A314" s="82"/>
      <c r="B314" s="178" t="str">
        <f>C314</f>
        <v>TBISPYG100</v>
      </c>
      <c r="C314" s="178" t="s">
        <v>346</v>
      </c>
      <c r="D314" s="179" t="s">
        <v>762</v>
      </c>
      <c r="E314" s="407" t="s">
        <v>1012</v>
      </c>
      <c r="F314" s="182"/>
      <c r="G314" s="181"/>
      <c r="H314" s="182"/>
      <c r="I314" s="183"/>
      <c r="J314" s="184"/>
      <c r="K314" s="184"/>
      <c r="L314" s="203" t="s">
        <v>1107</v>
      </c>
      <c r="M314" s="184" t="s">
        <v>1156</v>
      </c>
      <c r="N314" s="692">
        <f>N$47</f>
        <v>1E-3</v>
      </c>
      <c r="O314" s="692">
        <f t="shared" ref="O314:AB314" si="354">$N314</f>
        <v>1E-3</v>
      </c>
      <c r="P314" s="692">
        <f t="shared" si="354"/>
        <v>1E-3</v>
      </c>
      <c r="Q314" s="692">
        <f t="shared" si="354"/>
        <v>1E-3</v>
      </c>
      <c r="R314" s="692">
        <f t="shared" si="354"/>
        <v>1E-3</v>
      </c>
      <c r="S314" s="692">
        <f t="shared" si="354"/>
        <v>1E-3</v>
      </c>
      <c r="T314" s="692">
        <f t="shared" si="354"/>
        <v>1E-3</v>
      </c>
      <c r="U314" s="692">
        <f t="shared" si="354"/>
        <v>1E-3</v>
      </c>
      <c r="V314" s="692">
        <f t="shared" si="354"/>
        <v>1E-3</v>
      </c>
      <c r="W314" s="692">
        <f t="shared" si="354"/>
        <v>1E-3</v>
      </c>
      <c r="X314" s="692">
        <f t="shared" si="354"/>
        <v>1E-3</v>
      </c>
      <c r="Y314" s="692">
        <f t="shared" si="354"/>
        <v>1E-3</v>
      </c>
      <c r="Z314" s="692">
        <f t="shared" si="354"/>
        <v>1E-3</v>
      </c>
      <c r="AA314" s="692">
        <f t="shared" si="354"/>
        <v>1E-3</v>
      </c>
      <c r="AB314" s="692">
        <f t="shared" si="354"/>
        <v>1E-3</v>
      </c>
      <c r="AD314" s="402" t="str">
        <f>MID(D314,15,3)</f>
        <v>Plu</v>
      </c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V314" s="700" t="str">
        <f t="shared" ref="AV314:AV315" si="355">MID(E314,1,7)</f>
        <v>TRAETHM</v>
      </c>
      <c r="AW314" s="568">
        <f t="shared" ref="AW314:AW315" si="356">SUM(AX314:BL314)</f>
        <v>0</v>
      </c>
    </row>
    <row r="315" spans="1:49" x14ac:dyDescent="0.25">
      <c r="A315" s="22"/>
      <c r="B315" s="186" t="str">
        <f>B314</f>
        <v>TBISPYG100</v>
      </c>
      <c r="C315" s="186"/>
      <c r="D315" s="187"/>
      <c r="E315" s="258" t="s">
        <v>1014</v>
      </c>
      <c r="F315" s="170"/>
      <c r="G315" s="189"/>
      <c r="H315" s="170"/>
      <c r="I315" s="190"/>
      <c r="J315" s="191" t="s">
        <v>1127</v>
      </c>
      <c r="K315" s="191"/>
      <c r="L315" s="211" t="s">
        <v>101</v>
      </c>
      <c r="M315" s="186"/>
      <c r="N315" s="675">
        <f>1-N$21</f>
        <v>0.94496029288387329</v>
      </c>
      <c r="O315" s="675">
        <f t="shared" ref="O315:AB315" si="357">1-O$21</f>
        <v>0.94496029288387329</v>
      </c>
      <c r="P315" s="675">
        <f t="shared" si="357"/>
        <v>0.94496029288387329</v>
      </c>
      <c r="Q315" s="675">
        <f t="shared" si="357"/>
        <v>0.94496029288387329</v>
      </c>
      <c r="R315" s="675">
        <f t="shared" si="357"/>
        <v>0.94496029288387329</v>
      </c>
      <c r="S315" s="675">
        <f t="shared" si="357"/>
        <v>0.94496029288387329</v>
      </c>
      <c r="T315" s="675">
        <f t="shared" si="357"/>
        <v>0.94496029288387329</v>
      </c>
      <c r="U315" s="675">
        <f t="shared" si="357"/>
        <v>0.94496029288387329</v>
      </c>
      <c r="V315" s="675">
        <f t="shared" si="357"/>
        <v>0.94496029288387329</v>
      </c>
      <c r="W315" s="675">
        <f t="shared" si="357"/>
        <v>0.94496029288387329</v>
      </c>
      <c r="X315" s="675">
        <f t="shared" si="357"/>
        <v>0.94496029288387329</v>
      </c>
      <c r="Y315" s="675">
        <f t="shared" si="357"/>
        <v>0.94496029288387329</v>
      </c>
      <c r="Z315" s="675">
        <f t="shared" si="357"/>
        <v>0.94496029288387329</v>
      </c>
      <c r="AA315" s="675">
        <f t="shared" si="357"/>
        <v>0.94496029288387329</v>
      </c>
      <c r="AB315" s="675">
        <f t="shared" si="357"/>
        <v>0.94496029288387329</v>
      </c>
      <c r="AD315" s="66" t="str">
        <f>IF(COUNTIF($AG$4:$AP$4,AD314)=1,"ok","MISSING")</f>
        <v>ok</v>
      </c>
      <c r="AE315" s="357"/>
      <c r="AF315" s="89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V315" s="700" t="str">
        <f t="shared" si="355"/>
        <v>TRAGSL</v>
      </c>
      <c r="AW315" s="568">
        <f t="shared" si="356"/>
        <v>0</v>
      </c>
    </row>
    <row r="316" spans="1:49" x14ac:dyDescent="0.25">
      <c r="A316" s="22"/>
      <c r="B316" s="186" t="str">
        <f>B315</f>
        <v>TBISPYG100</v>
      </c>
      <c r="C316" s="186"/>
      <c r="D316" s="187"/>
      <c r="E316" s="186"/>
      <c r="F316" s="170"/>
      <c r="G316" s="188" t="s">
        <v>414</v>
      </c>
      <c r="H316" s="170"/>
      <c r="I316" s="190"/>
      <c r="J316" s="191"/>
      <c r="K316" s="191"/>
      <c r="L316" s="191" t="s">
        <v>1126</v>
      </c>
      <c r="M316" s="186" t="s">
        <v>678</v>
      </c>
      <c r="N316" s="690">
        <f>T_CEFF!H150</f>
        <v>5.6230000000000002E-2</v>
      </c>
      <c r="O316" s="690">
        <f>T_CEFF!I150</f>
        <v>5.6230000000000002E-2</v>
      </c>
      <c r="P316" s="690">
        <f>T_CEFF!J150</f>
        <v>5.6230000000000002E-2</v>
      </c>
      <c r="Q316" s="690">
        <f>T_CEFF!K150</f>
        <v>5.6230000000000002E-2</v>
      </c>
      <c r="R316" s="690">
        <f>T_CEFF!L150</f>
        <v>5.6230000000000002E-2</v>
      </c>
      <c r="S316" s="690">
        <f>T_CEFF!M150</f>
        <v>5.6230000000000002E-2</v>
      </c>
      <c r="T316" s="690">
        <f>T_CEFF!N150</f>
        <v>5.6230000000000002E-2</v>
      </c>
      <c r="U316" s="690">
        <f>T_CEFF!O150</f>
        <v>5.6230000000000002E-2</v>
      </c>
      <c r="V316" s="690">
        <f>T_CEFF!P150</f>
        <v>5.6230000000000002E-2</v>
      </c>
      <c r="W316" s="690">
        <f>T_CEFF!Q150</f>
        <v>5.6230000000000002E-2</v>
      </c>
      <c r="X316" s="690">
        <f>T_CEFF!R150</f>
        <v>5.6230000000000002E-2</v>
      </c>
      <c r="Y316" s="690">
        <f>T_CEFF!S150</f>
        <v>5.6230000000000002E-2</v>
      </c>
      <c r="Z316" s="690">
        <f>T_CEFF!T150</f>
        <v>5.6230000000000002E-2</v>
      </c>
      <c r="AA316" s="690">
        <f>T_CEFF!U150</f>
        <v>5.6230000000000002E-2</v>
      </c>
      <c r="AB316" s="690">
        <f>T_CEFF!V150</f>
        <v>5.6230000000000002E-2</v>
      </c>
      <c r="AE316" s="36"/>
      <c r="AF316" s="68"/>
    </row>
    <row r="317" spans="1:49" x14ac:dyDescent="0.25">
      <c r="A317" s="22"/>
      <c r="B317" s="186" t="str">
        <f>B316</f>
        <v>TBISPYG100</v>
      </c>
      <c r="C317" s="186"/>
      <c r="D317" s="187"/>
      <c r="E317" s="186"/>
      <c r="F317" s="170"/>
      <c r="G317" s="188" t="s">
        <v>590</v>
      </c>
      <c r="H317" s="170"/>
      <c r="I317" s="190"/>
      <c r="J317" s="191"/>
      <c r="K317" s="191"/>
      <c r="L317" s="191" t="s">
        <v>1126</v>
      </c>
      <c r="M317" s="186" t="s">
        <v>678</v>
      </c>
      <c r="N317" s="690">
        <f>T_CEFF!H151</f>
        <v>5.6230000000000002E-2</v>
      </c>
      <c r="O317" s="690">
        <f>T_CEFF!I151</f>
        <v>5.6230000000000002E-2</v>
      </c>
      <c r="P317" s="690">
        <f>T_CEFF!J151</f>
        <v>5.6230000000000002E-2</v>
      </c>
      <c r="Q317" s="690">
        <f>T_CEFF!K151</f>
        <v>5.6230000000000002E-2</v>
      </c>
      <c r="R317" s="690">
        <f>T_CEFF!L151</f>
        <v>5.6230000000000002E-2</v>
      </c>
      <c r="S317" s="690">
        <f>T_CEFF!M151</f>
        <v>5.6230000000000002E-2</v>
      </c>
      <c r="T317" s="690">
        <f>T_CEFF!N151</f>
        <v>5.6230000000000002E-2</v>
      </c>
      <c r="U317" s="690">
        <f>T_CEFF!O151</f>
        <v>5.6230000000000002E-2</v>
      </c>
      <c r="V317" s="690">
        <f>T_CEFF!P151</f>
        <v>5.6230000000000002E-2</v>
      </c>
      <c r="W317" s="690">
        <f>T_CEFF!Q151</f>
        <v>5.6230000000000002E-2</v>
      </c>
      <c r="X317" s="690">
        <f>T_CEFF!R151</f>
        <v>5.6230000000000002E-2</v>
      </c>
      <c r="Y317" s="690">
        <f>T_CEFF!S151</f>
        <v>5.6230000000000002E-2</v>
      </c>
      <c r="Z317" s="690">
        <f>T_CEFF!T151</f>
        <v>5.6230000000000002E-2</v>
      </c>
      <c r="AA317" s="690">
        <f>T_CEFF!U151</f>
        <v>5.6230000000000002E-2</v>
      </c>
      <c r="AB317" s="690">
        <f>T_CEFF!V151</f>
        <v>5.6230000000000002E-2</v>
      </c>
      <c r="AE317" s="36"/>
      <c r="AF317" s="68"/>
    </row>
    <row r="318" spans="1:49" x14ac:dyDescent="0.25">
      <c r="A318" s="22"/>
      <c r="B318" s="186" t="str">
        <f t="shared" ref="B318:B326" si="358">B317</f>
        <v>TBISPYG100</v>
      </c>
      <c r="C318" s="186"/>
      <c r="D318" s="187"/>
      <c r="E318" s="186"/>
      <c r="F318" s="170"/>
      <c r="G318" s="189"/>
      <c r="H318" s="170"/>
      <c r="I318" s="190"/>
      <c r="J318" s="191"/>
      <c r="K318" s="191" t="s">
        <v>749</v>
      </c>
      <c r="L318" s="191" t="s">
        <v>1128</v>
      </c>
      <c r="M318" s="186" t="s">
        <v>1159</v>
      </c>
      <c r="N318" s="603">
        <f t="shared" ref="N318:AB318" si="359">N$16</f>
        <v>0</v>
      </c>
      <c r="O318" s="603">
        <f t="shared" si="359"/>
        <v>0</v>
      </c>
      <c r="P318" s="603">
        <f t="shared" si="359"/>
        <v>0</v>
      </c>
      <c r="Q318" s="603">
        <f t="shared" si="359"/>
        <v>0</v>
      </c>
      <c r="R318" s="603">
        <f t="shared" si="359"/>
        <v>0</v>
      </c>
      <c r="S318" s="603">
        <f t="shared" si="359"/>
        <v>0</v>
      </c>
      <c r="T318" s="603">
        <f t="shared" si="359"/>
        <v>0</v>
      </c>
      <c r="U318" s="603">
        <f t="shared" si="359"/>
        <v>0</v>
      </c>
      <c r="V318" s="603">
        <f t="shared" si="359"/>
        <v>0</v>
      </c>
      <c r="W318" s="603">
        <f t="shared" si="359"/>
        <v>0</v>
      </c>
      <c r="X318" s="603">
        <f t="shared" si="359"/>
        <v>0</v>
      </c>
      <c r="Y318" s="603">
        <f t="shared" si="359"/>
        <v>0</v>
      </c>
      <c r="Z318" s="603">
        <f t="shared" si="359"/>
        <v>0</v>
      </c>
      <c r="AA318" s="603">
        <f t="shared" si="359"/>
        <v>0</v>
      </c>
      <c r="AB318" s="603">
        <f t="shared" si="359"/>
        <v>0</v>
      </c>
      <c r="AE318" s="36"/>
      <c r="AF318" s="68"/>
    </row>
    <row r="319" spans="1:49" x14ac:dyDescent="0.25">
      <c r="A319" s="22"/>
      <c r="B319" s="186" t="str">
        <f t="shared" si="358"/>
        <v>TBISPYG100</v>
      </c>
      <c r="C319" s="186"/>
      <c r="D319" s="187"/>
      <c r="E319" s="186"/>
      <c r="F319" s="170"/>
      <c r="G319" s="189"/>
      <c r="H319" s="170"/>
      <c r="I319" s="190"/>
      <c r="J319" s="191"/>
      <c r="K319" s="191"/>
      <c r="L319" s="211" t="s">
        <v>1130</v>
      </c>
      <c r="M319" s="186" t="s">
        <v>1131</v>
      </c>
      <c r="N319" s="389">
        <f>LOOKUP($C$314, T_NCAP_AF!$C$110:$C$120, T_NCAP_AF!D$110:D$120)*(1+N179)</f>
        <v>0</v>
      </c>
      <c r="O319" s="389">
        <f>LOOKUP($C$314, T_NCAP_AF!$C$110:$C$120, T_NCAP_AF!E$110:E$120)*(1+O179)</f>
        <v>0</v>
      </c>
      <c r="P319" s="389">
        <f>LOOKUP($C$314, T_NCAP_AF!$C$110:$C$120, T_NCAP_AF!F$110:F$120)*(1+P179)</f>
        <v>0</v>
      </c>
      <c r="Q319" s="389">
        <f>LOOKUP($C$314, T_NCAP_AF!$C$110:$C$120, T_NCAP_AF!G$110:G$120)*(1+Q179)</f>
        <v>0</v>
      </c>
      <c r="R319" s="389">
        <f>LOOKUP($C$314, T_NCAP_AF!$C$110:$C$120, T_NCAP_AF!H$110:H$120)*(1+R179)</f>
        <v>0</v>
      </c>
      <c r="S319" s="389">
        <f>LOOKUP($C$314, T_NCAP_AF!$C$110:$C$120, T_NCAP_AF!I$110:I$120)*(1+S179)</f>
        <v>0</v>
      </c>
      <c r="T319" s="389">
        <f>LOOKUP($C$314, T_NCAP_AF!$C$110:$C$120, T_NCAP_AF!J$110:J$120)*(1+T179)</f>
        <v>0</v>
      </c>
      <c r="U319" s="389">
        <f>LOOKUP($C$314, T_NCAP_AF!$C$110:$C$120, T_NCAP_AF!K$110:K$120)*(1+U179)</f>
        <v>0</v>
      </c>
      <c r="V319" s="389">
        <f>LOOKUP($C$314, T_NCAP_AF!$C$110:$C$120, T_NCAP_AF!L$110:L$120)*(1+V179)</f>
        <v>0</v>
      </c>
      <c r="W319" s="389">
        <f>LOOKUP($C$314, T_NCAP_AF!$C$110:$C$120, T_NCAP_AF!M$110:M$120)*(1+W179)</f>
        <v>0</v>
      </c>
      <c r="X319" s="389">
        <f>LOOKUP($C$314, T_NCAP_AF!$C$110:$C$120, T_NCAP_AF!N$110:N$120)*(1+X179)</f>
        <v>0</v>
      </c>
      <c r="Y319" s="389">
        <f>LOOKUP($C$314, T_NCAP_AF!$C$110:$C$120, T_NCAP_AF!O$110:O$120)*(1+Y179)</f>
        <v>0</v>
      </c>
      <c r="Z319" s="389">
        <f>LOOKUP($C$314, T_NCAP_AF!$C$110:$C$120, T_NCAP_AF!P$110:P$120)*(1+Z179)</f>
        <v>0</v>
      </c>
      <c r="AA319" s="389">
        <f>LOOKUP($C$314, T_NCAP_AF!$C$110:$C$120, T_NCAP_AF!Q$110:Q$120)*(1+AA179)</f>
        <v>0</v>
      </c>
      <c r="AB319" s="389">
        <f>LOOKUP($C$314, T_NCAP_AF!$C$110:$C$120, T_NCAP_AF!R$110:R$120)*(1+AB179)</f>
        <v>0</v>
      </c>
      <c r="AC319" s="83"/>
      <c r="AE319" s="572">
        <f>SUM(AF319:AT319)</f>
        <v>0</v>
      </c>
      <c r="AF319" s="85">
        <f t="shared" ref="AF319:AT319" si="360">N318*N319*N320/1000</f>
        <v>0</v>
      </c>
      <c r="AG319" s="85">
        <f t="shared" si="360"/>
        <v>0</v>
      </c>
      <c r="AH319" s="85">
        <f t="shared" si="360"/>
        <v>0</v>
      </c>
      <c r="AI319" s="85">
        <f t="shared" si="360"/>
        <v>0</v>
      </c>
      <c r="AJ319" s="85">
        <f t="shared" si="360"/>
        <v>0</v>
      </c>
      <c r="AK319" s="85">
        <f t="shared" si="360"/>
        <v>0</v>
      </c>
      <c r="AL319" s="85">
        <f t="shared" si="360"/>
        <v>0</v>
      </c>
      <c r="AM319" s="85">
        <f t="shared" si="360"/>
        <v>0</v>
      </c>
      <c r="AN319" s="85">
        <f t="shared" si="360"/>
        <v>0</v>
      </c>
      <c r="AO319" s="85">
        <f t="shared" si="360"/>
        <v>0</v>
      </c>
      <c r="AP319" s="85">
        <f t="shared" si="360"/>
        <v>0</v>
      </c>
      <c r="AQ319" s="85">
        <f t="shared" si="360"/>
        <v>0</v>
      </c>
      <c r="AR319" s="85">
        <f t="shared" si="360"/>
        <v>0</v>
      </c>
      <c r="AS319" s="85">
        <f t="shared" si="360"/>
        <v>0</v>
      </c>
      <c r="AT319" s="85">
        <f t="shared" si="360"/>
        <v>0</v>
      </c>
    </row>
    <row r="320" spans="1:49" x14ac:dyDescent="0.25">
      <c r="A320" s="22"/>
      <c r="B320" s="186" t="str">
        <f t="shared" si="358"/>
        <v>TBISPYG100</v>
      </c>
      <c r="C320" s="186"/>
      <c r="D320" s="187"/>
      <c r="E320" s="186"/>
      <c r="F320" s="170"/>
      <c r="G320" s="189"/>
      <c r="H320" s="170"/>
      <c r="I320" s="190">
        <f>$M$3</f>
        <v>2019</v>
      </c>
      <c r="J320" s="191"/>
      <c r="K320" s="191"/>
      <c r="L320" s="211" t="s">
        <v>1065</v>
      </c>
      <c r="M320" s="186" t="s">
        <v>748</v>
      </c>
      <c r="N320" s="687">
        <f>LOOKUP($C$314, T_Stock_Private!$C$74:$C$84, T_Stock_Private!D$74:D$84)*(1+N180)</f>
        <v>0</v>
      </c>
      <c r="O320" s="687">
        <f>LOOKUP($C$314, T_Stock_Private!$C$74:$C$84, T_Stock_Private!E$74:E$84)*(1+O180)</f>
        <v>0</v>
      </c>
      <c r="P320" s="687">
        <f>LOOKUP($C$314, T_Stock_Private!$C$74:$C$84, T_Stock_Private!F$74:F$84)*(1+P180)</f>
        <v>0</v>
      </c>
      <c r="Q320" s="687">
        <f>LOOKUP($C$314, T_Stock_Private!$C$74:$C$84, T_Stock_Private!G$74:G$84)*(1+Q180)</f>
        <v>0</v>
      </c>
      <c r="R320" s="687">
        <f>LOOKUP($C$314, T_Stock_Private!$C$74:$C$84, T_Stock_Private!H$74:H$84)*(1+R180)</f>
        <v>0</v>
      </c>
      <c r="S320" s="687">
        <f>LOOKUP($C$314, T_Stock_Private!$C$74:$C$84, T_Stock_Private!I$74:I$84)*(1+S180)</f>
        <v>0</v>
      </c>
      <c r="T320" s="687">
        <f>LOOKUP($C$314, T_Stock_Private!$C$74:$C$84, T_Stock_Private!J$74:J$84)*(1+T180)</f>
        <v>0</v>
      </c>
      <c r="U320" s="687">
        <f>LOOKUP($C$314, T_Stock_Private!$C$74:$C$84, T_Stock_Private!K$74:K$84)*(1+U180)</f>
        <v>0</v>
      </c>
      <c r="V320" s="687">
        <f>LOOKUP($C$314, T_Stock_Private!$C$74:$C$84, T_Stock_Private!L$74:L$84)*(1+V180)</f>
        <v>0</v>
      </c>
      <c r="W320" s="687">
        <f>LOOKUP($C$314, T_Stock_Private!$C$74:$C$84, T_Stock_Private!M$74:M$84)*(1+W180)</f>
        <v>0</v>
      </c>
      <c r="X320" s="687">
        <f>LOOKUP($C$314, T_Stock_Private!$C$74:$C$84, T_Stock_Private!N$74:N$84)*(1+X180)</f>
        <v>0</v>
      </c>
      <c r="Y320" s="687">
        <f>LOOKUP($C$314, T_Stock_Private!$C$74:$C$84, T_Stock_Private!O$74:O$84)*(1+Y180)</f>
        <v>0</v>
      </c>
      <c r="Z320" s="687">
        <f>LOOKUP($C$314, T_Stock_Private!$C$74:$C$84, T_Stock_Private!P$74:P$84)*(1+Z180)</f>
        <v>0</v>
      </c>
      <c r="AA320" s="687">
        <f>LOOKUP($C$314, T_Stock_Private!$C$74:$C$84, T_Stock_Private!Q$74:Q$84)*(1+AA180)</f>
        <v>0</v>
      </c>
      <c r="AB320" s="687">
        <f>LOOKUP($C$314, T_Stock_Private!$C$74:$C$84, T_Stock_Private!R$74:R$84)*(1+AB180)</f>
        <v>0</v>
      </c>
      <c r="AC320" s="89"/>
    </row>
    <row r="321" spans="1:28" x14ac:dyDescent="0.25">
      <c r="A321" s="22"/>
      <c r="B321" s="186" t="str">
        <f t="shared" si="358"/>
        <v>TBISPYG100</v>
      </c>
      <c r="C321" s="186"/>
      <c r="D321" s="187"/>
      <c r="E321" s="186"/>
      <c r="F321" s="170"/>
      <c r="G321" s="189"/>
      <c r="H321" s="170"/>
      <c r="I321" s="190">
        <f>AF$5</f>
        <v>2020</v>
      </c>
      <c r="J321" s="191"/>
      <c r="K321" s="191"/>
      <c r="L321" s="211" t="s">
        <v>1065</v>
      </c>
      <c r="M321" s="186" t="s">
        <v>748</v>
      </c>
      <c r="N321" s="687">
        <f t="shared" ref="N321:AB321" si="361">N320*LOOKUP($AD314,$AG$4:$AP$4,$AG$5:$AP$5)</f>
        <v>0</v>
      </c>
      <c r="O321" s="687">
        <f t="shared" si="361"/>
        <v>0</v>
      </c>
      <c r="P321" s="687">
        <f t="shared" si="361"/>
        <v>0</v>
      </c>
      <c r="Q321" s="687">
        <f t="shared" si="361"/>
        <v>0</v>
      </c>
      <c r="R321" s="687">
        <f t="shared" si="361"/>
        <v>0</v>
      </c>
      <c r="S321" s="687">
        <f t="shared" si="361"/>
        <v>0</v>
      </c>
      <c r="T321" s="687">
        <f t="shared" si="361"/>
        <v>0</v>
      </c>
      <c r="U321" s="687">
        <f t="shared" si="361"/>
        <v>0</v>
      </c>
      <c r="V321" s="687">
        <f t="shared" si="361"/>
        <v>0</v>
      </c>
      <c r="W321" s="687">
        <f t="shared" si="361"/>
        <v>0</v>
      </c>
      <c r="X321" s="687">
        <f t="shared" si="361"/>
        <v>0</v>
      </c>
      <c r="Y321" s="687">
        <f t="shared" si="361"/>
        <v>0</v>
      </c>
      <c r="Z321" s="687">
        <f t="shared" si="361"/>
        <v>0</v>
      </c>
      <c r="AA321" s="687">
        <f t="shared" si="361"/>
        <v>0</v>
      </c>
      <c r="AB321" s="687">
        <f t="shared" si="361"/>
        <v>0</v>
      </c>
    </row>
    <row r="322" spans="1:28" x14ac:dyDescent="0.25">
      <c r="A322" s="22"/>
      <c r="B322" s="186" t="str">
        <f t="shared" si="358"/>
        <v>TBISPYG100</v>
      </c>
      <c r="C322" s="186"/>
      <c r="D322" s="187"/>
      <c r="E322" s="186"/>
      <c r="F322" s="170"/>
      <c r="G322" s="189"/>
      <c r="H322" s="170"/>
      <c r="I322" s="190">
        <f>AF$6</f>
        <v>2025</v>
      </c>
      <c r="J322" s="191"/>
      <c r="K322" s="191"/>
      <c r="L322" s="211" t="s">
        <v>1065</v>
      </c>
      <c r="M322" s="186" t="s">
        <v>748</v>
      </c>
      <c r="N322" s="687">
        <f t="shared" ref="N322:AB322" si="362">N320*LOOKUP($AD314,$AG$4:$AP$4,$AG$6:$AP$6)</f>
        <v>0</v>
      </c>
      <c r="O322" s="687">
        <f t="shared" si="362"/>
        <v>0</v>
      </c>
      <c r="P322" s="687">
        <f t="shared" si="362"/>
        <v>0</v>
      </c>
      <c r="Q322" s="687">
        <f t="shared" si="362"/>
        <v>0</v>
      </c>
      <c r="R322" s="687">
        <f t="shared" si="362"/>
        <v>0</v>
      </c>
      <c r="S322" s="687">
        <f t="shared" si="362"/>
        <v>0</v>
      </c>
      <c r="T322" s="687">
        <f t="shared" si="362"/>
        <v>0</v>
      </c>
      <c r="U322" s="687">
        <f t="shared" si="362"/>
        <v>0</v>
      </c>
      <c r="V322" s="687">
        <f t="shared" si="362"/>
        <v>0</v>
      </c>
      <c r="W322" s="687">
        <f t="shared" si="362"/>
        <v>0</v>
      </c>
      <c r="X322" s="687">
        <f t="shared" si="362"/>
        <v>0</v>
      </c>
      <c r="Y322" s="687">
        <f t="shared" si="362"/>
        <v>0</v>
      </c>
      <c r="Z322" s="687">
        <f t="shared" si="362"/>
        <v>0</v>
      </c>
      <c r="AA322" s="687">
        <f t="shared" si="362"/>
        <v>0</v>
      </c>
      <c r="AB322" s="687">
        <f t="shared" si="362"/>
        <v>0</v>
      </c>
    </row>
    <row r="323" spans="1:28" x14ac:dyDescent="0.25">
      <c r="A323" s="22"/>
      <c r="B323" s="186" t="str">
        <f t="shared" si="358"/>
        <v>TBISPYG100</v>
      </c>
      <c r="C323" s="186"/>
      <c r="D323" s="187"/>
      <c r="E323" s="186"/>
      <c r="F323" s="170"/>
      <c r="G323" s="189"/>
      <c r="H323" s="170"/>
      <c r="I323" s="190">
        <f>AF$7</f>
        <v>2030</v>
      </c>
      <c r="J323" s="191"/>
      <c r="K323" s="191"/>
      <c r="L323" s="211" t="s">
        <v>1065</v>
      </c>
      <c r="M323" s="186" t="s">
        <v>748</v>
      </c>
      <c r="N323" s="687">
        <f t="shared" ref="N323:AB323" si="363">N320*LOOKUP($AD314,$AG$4:$AP$4,$AG$7:$AP$7)</f>
        <v>0</v>
      </c>
      <c r="O323" s="687">
        <f t="shared" si="363"/>
        <v>0</v>
      </c>
      <c r="P323" s="687">
        <f t="shared" si="363"/>
        <v>0</v>
      </c>
      <c r="Q323" s="687">
        <f t="shared" si="363"/>
        <v>0</v>
      </c>
      <c r="R323" s="687">
        <f t="shared" si="363"/>
        <v>0</v>
      </c>
      <c r="S323" s="687">
        <f t="shared" si="363"/>
        <v>0</v>
      </c>
      <c r="T323" s="687">
        <f t="shared" si="363"/>
        <v>0</v>
      </c>
      <c r="U323" s="687">
        <f t="shared" si="363"/>
        <v>0</v>
      </c>
      <c r="V323" s="687">
        <f t="shared" si="363"/>
        <v>0</v>
      </c>
      <c r="W323" s="687">
        <f t="shared" si="363"/>
        <v>0</v>
      </c>
      <c r="X323" s="687">
        <f t="shared" si="363"/>
        <v>0</v>
      </c>
      <c r="Y323" s="687">
        <f t="shared" si="363"/>
        <v>0</v>
      </c>
      <c r="Z323" s="687">
        <f t="shared" si="363"/>
        <v>0</v>
      </c>
      <c r="AA323" s="687">
        <f t="shared" si="363"/>
        <v>0</v>
      </c>
      <c r="AB323" s="687">
        <f t="shared" si="363"/>
        <v>0</v>
      </c>
    </row>
    <row r="324" spans="1:28" x14ac:dyDescent="0.25">
      <c r="A324" s="22"/>
      <c r="B324" s="186" t="str">
        <f t="shared" si="358"/>
        <v>TBISPYG100</v>
      </c>
      <c r="C324" s="186"/>
      <c r="D324" s="187"/>
      <c r="E324" s="186"/>
      <c r="F324" s="170"/>
      <c r="G324" s="189"/>
      <c r="H324" s="170"/>
      <c r="I324" s="190">
        <f>AF$8</f>
        <v>2035</v>
      </c>
      <c r="J324" s="191"/>
      <c r="K324" s="191"/>
      <c r="L324" s="211" t="s">
        <v>1065</v>
      </c>
      <c r="M324" s="186" t="s">
        <v>748</v>
      </c>
      <c r="N324" s="687">
        <f t="shared" ref="N324:AB324" si="364">N320*LOOKUP($AD314,$AG$4:$AP$4,$AG$8:$AP$8)</f>
        <v>0</v>
      </c>
      <c r="O324" s="687">
        <f t="shared" si="364"/>
        <v>0</v>
      </c>
      <c r="P324" s="687">
        <f t="shared" si="364"/>
        <v>0</v>
      </c>
      <c r="Q324" s="687">
        <f t="shared" si="364"/>
        <v>0</v>
      </c>
      <c r="R324" s="687">
        <f t="shared" si="364"/>
        <v>0</v>
      </c>
      <c r="S324" s="687">
        <f t="shared" si="364"/>
        <v>0</v>
      </c>
      <c r="T324" s="687">
        <f t="shared" si="364"/>
        <v>0</v>
      </c>
      <c r="U324" s="687">
        <f t="shared" si="364"/>
        <v>0</v>
      </c>
      <c r="V324" s="687">
        <f t="shared" si="364"/>
        <v>0</v>
      </c>
      <c r="W324" s="687">
        <f t="shared" si="364"/>
        <v>0</v>
      </c>
      <c r="X324" s="687">
        <f t="shared" si="364"/>
        <v>0</v>
      </c>
      <c r="Y324" s="687">
        <f t="shared" si="364"/>
        <v>0</v>
      </c>
      <c r="Z324" s="687">
        <f t="shared" si="364"/>
        <v>0</v>
      </c>
      <c r="AA324" s="687">
        <f t="shared" si="364"/>
        <v>0</v>
      </c>
      <c r="AB324" s="687">
        <f t="shared" si="364"/>
        <v>0</v>
      </c>
    </row>
    <row r="325" spans="1:28" x14ac:dyDescent="0.25">
      <c r="A325" s="22"/>
      <c r="B325" s="186" t="str">
        <f t="shared" si="358"/>
        <v>TBISPYG100</v>
      </c>
      <c r="C325" s="186"/>
      <c r="D325" s="187"/>
      <c r="E325" s="186"/>
      <c r="F325" s="170"/>
      <c r="G325" s="189"/>
      <c r="H325" s="170"/>
      <c r="I325" s="190">
        <f>AF$9</f>
        <v>2040</v>
      </c>
      <c r="J325" s="191"/>
      <c r="K325" s="191"/>
      <c r="L325" s="211" t="s">
        <v>1065</v>
      </c>
      <c r="M325" s="186" t="s">
        <v>748</v>
      </c>
      <c r="N325" s="687">
        <f t="shared" ref="N325:AB325" si="365">N320*LOOKUP($AD314,$AG$4:$AP$4,$AG$9:$AP$9)</f>
        <v>0</v>
      </c>
      <c r="O325" s="687">
        <f t="shared" si="365"/>
        <v>0</v>
      </c>
      <c r="P325" s="687">
        <f t="shared" si="365"/>
        <v>0</v>
      </c>
      <c r="Q325" s="687">
        <f t="shared" si="365"/>
        <v>0</v>
      </c>
      <c r="R325" s="687">
        <f t="shared" si="365"/>
        <v>0</v>
      </c>
      <c r="S325" s="687">
        <f t="shared" si="365"/>
        <v>0</v>
      </c>
      <c r="T325" s="687">
        <f t="shared" si="365"/>
        <v>0</v>
      </c>
      <c r="U325" s="687">
        <f t="shared" si="365"/>
        <v>0</v>
      </c>
      <c r="V325" s="687">
        <f t="shared" si="365"/>
        <v>0</v>
      </c>
      <c r="W325" s="687">
        <f t="shared" si="365"/>
        <v>0</v>
      </c>
      <c r="X325" s="687">
        <f t="shared" si="365"/>
        <v>0</v>
      </c>
      <c r="Y325" s="687">
        <f t="shared" si="365"/>
        <v>0</v>
      </c>
      <c r="Z325" s="687">
        <f t="shared" si="365"/>
        <v>0</v>
      </c>
      <c r="AA325" s="687">
        <f t="shared" si="365"/>
        <v>0</v>
      </c>
      <c r="AB325" s="687">
        <f t="shared" si="365"/>
        <v>0</v>
      </c>
    </row>
    <row r="326" spans="1:28" x14ac:dyDescent="0.25">
      <c r="A326" s="22"/>
      <c r="B326" s="193" t="str">
        <f t="shared" si="358"/>
        <v>TBISPYG100</v>
      </c>
      <c r="C326" s="193"/>
      <c r="D326" s="194"/>
      <c r="E326" s="193"/>
      <c r="F326" s="196"/>
      <c r="G326" s="195"/>
      <c r="H326" s="196"/>
      <c r="I326" s="197">
        <f>AF$10</f>
        <v>2050</v>
      </c>
      <c r="J326" s="198"/>
      <c r="K326" s="198"/>
      <c r="L326" s="199" t="s">
        <v>1065</v>
      </c>
      <c r="M326" s="193" t="s">
        <v>748</v>
      </c>
      <c r="N326" s="688">
        <f t="shared" ref="N326:AB326" si="366">N320*LOOKUP($AD314,$AG$4:$AP$4,$AG$10:$AP$10)</f>
        <v>0</v>
      </c>
      <c r="O326" s="688">
        <f t="shared" si="366"/>
        <v>0</v>
      </c>
      <c r="P326" s="688">
        <f t="shared" si="366"/>
        <v>0</v>
      </c>
      <c r="Q326" s="688">
        <f t="shared" si="366"/>
        <v>0</v>
      </c>
      <c r="R326" s="688">
        <f t="shared" si="366"/>
        <v>0</v>
      </c>
      <c r="S326" s="688">
        <f t="shared" si="366"/>
        <v>0</v>
      </c>
      <c r="T326" s="688">
        <f t="shared" si="366"/>
        <v>0</v>
      </c>
      <c r="U326" s="688">
        <f t="shared" si="366"/>
        <v>0</v>
      </c>
      <c r="V326" s="688">
        <f t="shared" si="366"/>
        <v>0</v>
      </c>
      <c r="W326" s="688">
        <f t="shared" si="366"/>
        <v>0</v>
      </c>
      <c r="X326" s="688">
        <f t="shared" si="366"/>
        <v>0</v>
      </c>
      <c r="Y326" s="688">
        <f t="shared" si="366"/>
        <v>0</v>
      </c>
      <c r="Z326" s="688">
        <f t="shared" si="366"/>
        <v>0</v>
      </c>
      <c r="AA326" s="688">
        <f t="shared" si="366"/>
        <v>0</v>
      </c>
      <c r="AB326" s="688">
        <f t="shared" si="366"/>
        <v>0</v>
      </c>
    </row>
  </sheetData>
  <sortState xmlns:xlrd2="http://schemas.microsoft.com/office/spreadsheetml/2017/richdata2" ref="AV5:BL24">
    <sortCondition ref="AV6:AV24"/>
  </sortState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1">
    <tabColor theme="8" tint="0.79998168889431442"/>
  </sheetPr>
  <dimension ref="A1:BM536"/>
  <sheetViews>
    <sheetView topLeftCell="AF1" zoomScale="75" zoomScaleNormal="75" workbookViewId="0">
      <selection activeCell="AV11" sqref="AV11:AV29"/>
    </sheetView>
  </sheetViews>
  <sheetFormatPr defaultColWidth="9.28515625" defaultRowHeight="15" x14ac:dyDescent="0.25"/>
  <cols>
    <col min="1" max="1" width="9.28515625" style="35"/>
    <col min="2" max="2" width="18.28515625" style="35" customWidth="1"/>
    <col min="3" max="3" width="12.7109375" style="35" bestFit="1" customWidth="1"/>
    <col min="4" max="4" width="41.28515625" style="35" bestFit="1" customWidth="1"/>
    <col min="5" max="5" width="9.42578125" style="35" bestFit="1" customWidth="1"/>
    <col min="6" max="6" width="11.42578125" style="35" bestFit="1" customWidth="1"/>
    <col min="7" max="7" width="11.28515625" style="35" bestFit="1" customWidth="1"/>
    <col min="8" max="8" width="9.7109375" style="35" bestFit="1" customWidth="1"/>
    <col min="9" max="9" width="15.5703125" style="35" bestFit="1" customWidth="1"/>
    <col min="10" max="10" width="23.5703125" style="35" customWidth="1"/>
    <col min="11" max="11" width="15.5703125" style="35" customWidth="1"/>
    <col min="12" max="12" width="20" style="35" customWidth="1"/>
    <col min="13" max="13" width="19.28515625" style="70" bestFit="1" customWidth="1"/>
    <col min="14" max="28" width="10.5703125" style="35" customWidth="1"/>
    <col min="29" max="29" width="9.28515625" style="35"/>
    <col min="30" max="30" width="14.7109375" style="35" customWidth="1"/>
    <col min="31" max="31" width="11.42578125" style="35" bestFit="1" customWidth="1"/>
    <col min="32" max="32" width="10.42578125" style="35" customWidth="1"/>
    <col min="33" max="46" width="11.42578125" style="35" bestFit="1" customWidth="1"/>
    <col min="47" max="47" width="2.28515625" style="35" customWidth="1"/>
    <col min="48" max="48" width="16.7109375" style="35" bestFit="1" customWidth="1"/>
    <col min="49" max="16384" width="9.28515625" style="35"/>
  </cols>
  <sheetData>
    <row r="1" spans="1:64" x14ac:dyDescent="0.25">
      <c r="M1" s="120" t="s">
        <v>1111</v>
      </c>
    </row>
    <row r="2" spans="1:64" ht="19.5" customHeight="1" x14ac:dyDescent="0.25">
      <c r="A2" s="22" t="s">
        <v>1168</v>
      </c>
      <c r="B2" s="148" t="s">
        <v>1169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25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 t="s">
        <v>1170</v>
      </c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</row>
    <row r="4" spans="1:64" x14ac:dyDescent="0.25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/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Q4" s="406" t="s">
        <v>427</v>
      </c>
      <c r="AR4" s="406" t="s">
        <v>425</v>
      </c>
      <c r="AS4" s="406" t="s">
        <v>423</v>
      </c>
    </row>
    <row r="5" spans="1:64" x14ac:dyDescent="0.25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M3+1</f>
        <v>2020</v>
      </c>
      <c r="AG5" s="67"/>
      <c r="AH5" s="67">
        <v>0.95</v>
      </c>
      <c r="AI5" s="67">
        <v>0.95</v>
      </c>
      <c r="AJ5" s="67">
        <v>0.99</v>
      </c>
      <c r="AK5" s="67">
        <v>0.95</v>
      </c>
      <c r="AL5" s="67">
        <v>0.95</v>
      </c>
      <c r="AM5" s="67">
        <v>0.95</v>
      </c>
      <c r="AN5" s="67">
        <v>0.99</v>
      </c>
      <c r="AO5" s="67">
        <v>0.95</v>
      </c>
      <c r="AP5" s="67">
        <v>0.99</v>
      </c>
      <c r="AQ5" s="67">
        <v>1</v>
      </c>
      <c r="AR5" s="67">
        <v>1</v>
      </c>
      <c r="AS5" s="67">
        <v>1</v>
      </c>
    </row>
    <row r="6" spans="1:64" x14ac:dyDescent="0.25">
      <c r="I6" s="36"/>
      <c r="M6" s="35"/>
      <c r="AF6" s="38">
        <f>AF5+5</f>
        <v>2025</v>
      </c>
      <c r="AG6" s="67"/>
      <c r="AH6" s="67">
        <v>0.7</v>
      </c>
      <c r="AI6" s="67">
        <v>0.7</v>
      </c>
      <c r="AJ6" s="67">
        <v>0.75</v>
      </c>
      <c r="AK6" s="67">
        <v>0.7</v>
      </c>
      <c r="AL6" s="67">
        <v>0.7</v>
      </c>
      <c r="AM6" s="67">
        <v>0.7</v>
      </c>
      <c r="AN6" s="67">
        <v>0.75</v>
      </c>
      <c r="AO6" s="67">
        <v>0.7</v>
      </c>
      <c r="AP6" s="67">
        <v>0.75</v>
      </c>
      <c r="AQ6" s="67">
        <v>0.75</v>
      </c>
      <c r="AR6" s="67">
        <v>0.75</v>
      </c>
      <c r="AS6" s="67">
        <v>0.75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W7" s="41"/>
      <c r="AF7" s="38">
        <f>AF6+5</f>
        <v>2030</v>
      </c>
      <c r="AG7" s="67"/>
      <c r="AH7" s="67">
        <v>0.4</v>
      </c>
      <c r="AI7" s="67">
        <v>0.4</v>
      </c>
      <c r="AJ7" s="67">
        <v>0.5</v>
      </c>
      <c r="AK7" s="67">
        <v>0.4</v>
      </c>
      <c r="AL7" s="67">
        <v>0.4</v>
      </c>
      <c r="AM7" s="67">
        <v>0.4</v>
      </c>
      <c r="AN7" s="67">
        <v>0.5</v>
      </c>
      <c r="AO7" s="67">
        <v>0.4</v>
      </c>
      <c r="AP7" s="67">
        <v>0.5</v>
      </c>
      <c r="AQ7" s="67">
        <v>0.2</v>
      </c>
      <c r="AR7" s="67">
        <v>0.2</v>
      </c>
      <c r="AS7" s="67">
        <v>0.2</v>
      </c>
    </row>
    <row r="8" spans="1:64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163" t="s">
        <v>421</v>
      </c>
      <c r="AF8" s="38">
        <f>AF7+5</f>
        <v>2035</v>
      </c>
      <c r="AG8" s="555"/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Q8" s="67">
        <v>0.01</v>
      </c>
      <c r="AR8" s="67">
        <v>0.01</v>
      </c>
      <c r="AS8" s="67">
        <v>0.01</v>
      </c>
      <c r="AV8" s="471" t="s">
        <v>1052</v>
      </c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20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AF8+5</f>
        <v>2040</v>
      </c>
      <c r="AG9" s="67"/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Q9" s="67">
        <v>0</v>
      </c>
      <c r="AR9" s="67">
        <v>0</v>
      </c>
      <c r="AS9" s="67">
        <v>0</v>
      </c>
      <c r="AV9" s="701" t="s">
        <v>85</v>
      </c>
      <c r="AW9" s="701" t="s">
        <v>421</v>
      </c>
      <c r="AX9" s="701" t="str">
        <f t="shared" ref="AX9:BL9" si="3">N$2</f>
        <v>Z01</v>
      </c>
      <c r="AY9" s="701" t="str">
        <f t="shared" si="3"/>
        <v>Z02</v>
      </c>
      <c r="AZ9" s="701" t="str">
        <f t="shared" si="3"/>
        <v>Z03</v>
      </c>
      <c r="BA9" s="701" t="str">
        <f t="shared" si="3"/>
        <v>Z04</v>
      </c>
      <c r="BB9" s="701" t="str">
        <f t="shared" si="3"/>
        <v>Z05</v>
      </c>
      <c r="BC9" s="701" t="str">
        <f t="shared" si="3"/>
        <v>Z06</v>
      </c>
      <c r="BD9" s="701" t="str">
        <f t="shared" si="3"/>
        <v>Z07</v>
      </c>
      <c r="BE9" s="701" t="str">
        <f t="shared" si="3"/>
        <v>Z08</v>
      </c>
      <c r="BF9" s="701" t="str">
        <f t="shared" si="3"/>
        <v>Z09</v>
      </c>
      <c r="BG9" s="701" t="str">
        <f t="shared" si="3"/>
        <v>Z10</v>
      </c>
      <c r="BH9" s="701" t="str">
        <f t="shared" si="3"/>
        <v>Z11</v>
      </c>
      <c r="BI9" s="701" t="str">
        <f t="shared" si="3"/>
        <v>Z12</v>
      </c>
      <c r="BJ9" s="701" t="str">
        <f t="shared" si="3"/>
        <v>Z13</v>
      </c>
      <c r="BK9" s="701" t="str">
        <f t="shared" si="3"/>
        <v>Z14</v>
      </c>
      <c r="BL9" s="701" t="str">
        <f t="shared" si="3"/>
        <v>Z15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3" t="s">
        <v>431</v>
      </c>
      <c r="J10" s="173" t="str">
        <f>LOOKUP(I10,TRA_Comm!$C$29:$C$90,TRA_Comm!$D$29:$D$90)</f>
        <v>Road.Freight.Light.LongDistance.</v>
      </c>
      <c r="K10" s="173"/>
      <c r="L10" s="173" t="s">
        <v>1118</v>
      </c>
      <c r="M10" s="173" t="s">
        <v>633</v>
      </c>
      <c r="N10" s="165">
        <f>SUMIF(DEMAND_Pkm_Tkm!$C$48:$C$71, $I10, DEMAND_Pkm_Tkm!G$48:G$71)</f>
        <v>0</v>
      </c>
      <c r="O10" s="165">
        <f>SUMIF(DEMAND_Pkm_Tkm!$C$48:$C$71, $I10, DEMAND_Pkm_Tkm!H$48:H$71)</f>
        <v>0</v>
      </c>
      <c r="P10" s="165">
        <f>SUMIF(DEMAND_Pkm_Tkm!$C$48:$C$71, $I10, DEMAND_Pkm_Tkm!I$48:I$71)</f>
        <v>0</v>
      </c>
      <c r="Q10" s="165">
        <f>SUMIF(DEMAND_Pkm_Tkm!$C$48:$C$71, $I10, DEMAND_Pkm_Tkm!J$48:J$71)</f>
        <v>0</v>
      </c>
      <c r="R10" s="165">
        <f>SUMIF(DEMAND_Pkm_Tkm!$C$48:$C$71, $I10, DEMAND_Pkm_Tkm!K$48:K$71)</f>
        <v>0</v>
      </c>
      <c r="S10" s="165">
        <f>SUMIF(DEMAND_Pkm_Tkm!$C$48:$C$71, $I10, DEMAND_Pkm_Tkm!L$48:L$71)</f>
        <v>0</v>
      </c>
      <c r="T10" s="165">
        <f>SUMIF(DEMAND_Pkm_Tkm!$C$48:$C$71, $I10, DEMAND_Pkm_Tkm!M$48:M$71)</f>
        <v>0</v>
      </c>
      <c r="U10" s="165">
        <f>SUMIF(DEMAND_Pkm_Tkm!$C$48:$C$71, $I10, DEMAND_Pkm_Tkm!N$48:N$71)</f>
        <v>0</v>
      </c>
      <c r="V10" s="165">
        <f>SUMIF(DEMAND_Pkm_Tkm!$C$48:$C$71, $I10, DEMAND_Pkm_Tkm!O$48:O$71)</f>
        <v>0</v>
      </c>
      <c r="W10" s="165">
        <f>SUMIF(DEMAND_Pkm_Tkm!$C$48:$C$71, $I10, DEMAND_Pkm_Tkm!P$48:P$71)</f>
        <v>0</v>
      </c>
      <c r="X10" s="165">
        <f>SUMIF(DEMAND_Pkm_Tkm!$C$48:$C$71, $I10, DEMAND_Pkm_Tkm!Q$48:Q$71)</f>
        <v>0</v>
      </c>
      <c r="Y10" s="165">
        <f>SUMIF(DEMAND_Pkm_Tkm!$C$48:$C$71, $I10, DEMAND_Pkm_Tkm!R$48:R$71)</f>
        <v>0</v>
      </c>
      <c r="Z10" s="165">
        <f>SUMIF(DEMAND_Pkm_Tkm!$C$48:$C$71, $I10, DEMAND_Pkm_Tkm!S$48:S$71)</f>
        <v>0</v>
      </c>
      <c r="AA10" s="165">
        <f>SUMIF(DEMAND_Pkm_Tkm!$C$48:$C$71, $I10, DEMAND_Pkm_Tkm!T$48:T$71)</f>
        <v>0</v>
      </c>
      <c r="AB10" s="165">
        <f>SUMIF(DEMAND_Pkm_Tkm!$C$48:$C$71, $I10, DEMAND_Pkm_Tkm!U$48:U$71)</f>
        <v>0</v>
      </c>
      <c r="AD10" s="550">
        <f t="shared" ref="AD10:AD18" si="4">SUM(N10:AB10)</f>
        <v>0</v>
      </c>
      <c r="AF10" s="38">
        <f>AF9+10</f>
        <v>2050</v>
      </c>
      <c r="AG10" s="67"/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V10" s="398" t="s">
        <v>103</v>
      </c>
      <c r="AW10" s="717">
        <f t="shared" ref="AW10:AW29" si="5">SUM(AX10:BL10)</f>
        <v>12832.228588764458</v>
      </c>
      <c r="AX10" s="718">
        <f t="shared" ref="AX10:BL10" si="6">SUM(AX11:AX29)</f>
        <v>12832.228588764458</v>
      </c>
      <c r="AY10" s="709">
        <f t="shared" si="6"/>
        <v>0</v>
      </c>
      <c r="AZ10" s="709">
        <f t="shared" si="6"/>
        <v>0</v>
      </c>
      <c r="BA10" s="709">
        <f t="shared" si="6"/>
        <v>0</v>
      </c>
      <c r="BB10" s="709">
        <f t="shared" si="6"/>
        <v>0</v>
      </c>
      <c r="BC10" s="709">
        <f t="shared" si="6"/>
        <v>0</v>
      </c>
      <c r="BD10" s="709">
        <f t="shared" si="6"/>
        <v>0</v>
      </c>
      <c r="BE10" s="709">
        <f t="shared" si="6"/>
        <v>0</v>
      </c>
      <c r="BF10" s="709">
        <f t="shared" si="6"/>
        <v>0</v>
      </c>
      <c r="BG10" s="709">
        <f t="shared" si="6"/>
        <v>0</v>
      </c>
      <c r="BH10" s="709">
        <f t="shared" si="6"/>
        <v>0</v>
      </c>
      <c r="BI10" s="709">
        <f t="shared" si="6"/>
        <v>0</v>
      </c>
      <c r="BJ10" s="709">
        <f t="shared" si="6"/>
        <v>0</v>
      </c>
      <c r="BK10" s="709">
        <f t="shared" si="6"/>
        <v>0</v>
      </c>
      <c r="BL10" s="709">
        <f t="shared" si="6"/>
        <v>0</v>
      </c>
    </row>
    <row r="11" spans="1:64" s="33" customFormat="1" x14ac:dyDescent="0.25">
      <c r="A11" s="44"/>
      <c r="B11" s="44"/>
      <c r="C11" s="44"/>
      <c r="D11" s="35"/>
      <c r="E11" s="35"/>
      <c r="F11" s="44"/>
      <c r="G11" s="44"/>
      <c r="H11" s="35"/>
      <c r="I11" s="173" t="s">
        <v>429</v>
      </c>
      <c r="J11" s="173" t="str">
        <f>LOOKUP(I11,TRA_Comm!$C$29:$C$90,TRA_Comm!$D$29:$D$90)</f>
        <v>Road.Freight.Light.Short.</v>
      </c>
      <c r="K11" s="173"/>
      <c r="L11" s="173" t="s">
        <v>1118</v>
      </c>
      <c r="M11" s="173" t="s">
        <v>633</v>
      </c>
      <c r="N11" s="165">
        <f>SUMIF(DEMAND_Pkm_Tkm!$C$48:$C$71, $I11, DEMAND_Pkm_Tkm!G$48:G$71)</f>
        <v>1511</v>
      </c>
      <c r="O11" s="166">
        <f>SUMIF(DEMAND_Pkm_Tkm!$C$48:$C$71, $I11, DEMAND_Pkm_Tkm!H$48:H$71)</f>
        <v>0</v>
      </c>
      <c r="P11" s="166">
        <f>SUMIF(DEMAND_Pkm_Tkm!$C$48:$C$71, $I11, DEMAND_Pkm_Tkm!I$48:I$71)</f>
        <v>0</v>
      </c>
      <c r="Q11" s="166">
        <f>SUMIF(DEMAND_Pkm_Tkm!$C$48:$C$71, $I11, DEMAND_Pkm_Tkm!J$48:J$71)</f>
        <v>0</v>
      </c>
      <c r="R11" s="166">
        <f>SUMIF(DEMAND_Pkm_Tkm!$C$48:$C$71, $I11, DEMAND_Pkm_Tkm!K$48:K$71)</f>
        <v>0</v>
      </c>
      <c r="S11" s="166">
        <f>SUMIF(DEMAND_Pkm_Tkm!$C$48:$C$71, $I11, DEMAND_Pkm_Tkm!L$48:L$71)</f>
        <v>0</v>
      </c>
      <c r="T11" s="166">
        <f>SUMIF(DEMAND_Pkm_Tkm!$C$48:$C$71, $I11, DEMAND_Pkm_Tkm!M$48:M$71)</f>
        <v>0</v>
      </c>
      <c r="U11" s="166">
        <f>SUMIF(DEMAND_Pkm_Tkm!$C$48:$C$71, $I11, DEMAND_Pkm_Tkm!N$48:N$71)</f>
        <v>0</v>
      </c>
      <c r="V11" s="166">
        <f>SUMIF(DEMAND_Pkm_Tkm!$C$48:$C$71, $I11, DEMAND_Pkm_Tkm!O$48:O$71)</f>
        <v>0</v>
      </c>
      <c r="W11" s="166">
        <f>SUMIF(DEMAND_Pkm_Tkm!$C$48:$C$71, $I11, DEMAND_Pkm_Tkm!P$48:P$71)</f>
        <v>0</v>
      </c>
      <c r="X11" s="166">
        <f>SUMIF(DEMAND_Pkm_Tkm!$C$48:$C$71, $I11, DEMAND_Pkm_Tkm!Q$48:Q$71)</f>
        <v>0</v>
      </c>
      <c r="Y11" s="166">
        <f>SUMIF(DEMAND_Pkm_Tkm!$C$48:$C$71, $I11, DEMAND_Pkm_Tkm!R$48:R$71)</f>
        <v>0</v>
      </c>
      <c r="Z11" s="166">
        <f>SUMIF(DEMAND_Pkm_Tkm!$C$48:$C$71, $I11, DEMAND_Pkm_Tkm!S$48:S$71)</f>
        <v>0</v>
      </c>
      <c r="AA11" s="166">
        <f>SUMIF(DEMAND_Pkm_Tkm!$C$48:$C$71, $I11, DEMAND_Pkm_Tkm!T$48:T$71)</f>
        <v>0</v>
      </c>
      <c r="AB11" s="166">
        <f>SUMIF(DEMAND_Pkm_Tkm!$C$48:$C$71, $I11, DEMAND_Pkm_Tkm!U$48:U$71)</f>
        <v>0</v>
      </c>
      <c r="AD11" s="550">
        <f t="shared" si="4"/>
        <v>1511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V11" s="725" t="s">
        <v>988</v>
      </c>
      <c r="AW11" s="935">
        <f t="shared" si="5"/>
        <v>1812.1109573006756</v>
      </c>
      <c r="AX11" s="728">
        <f t="shared" ref="AX11:BL20" si="7">SUMIF($AV$38:$AV$481,$AV11,AX$38:AX$481)</f>
        <v>1812.1109573006756</v>
      </c>
      <c r="AY11" s="723">
        <f t="shared" si="7"/>
        <v>0</v>
      </c>
      <c r="AZ11" s="723">
        <f t="shared" si="7"/>
        <v>0</v>
      </c>
      <c r="BA11" s="723">
        <f t="shared" si="7"/>
        <v>0</v>
      </c>
      <c r="BB11" s="723">
        <f t="shared" si="7"/>
        <v>0</v>
      </c>
      <c r="BC11" s="723">
        <f t="shared" si="7"/>
        <v>0</v>
      </c>
      <c r="BD11" s="723">
        <f t="shared" si="7"/>
        <v>0</v>
      </c>
      <c r="BE11" s="723">
        <f t="shared" si="7"/>
        <v>0</v>
      </c>
      <c r="BF11" s="723">
        <f t="shared" si="7"/>
        <v>0</v>
      </c>
      <c r="BG11" s="723">
        <f t="shared" si="7"/>
        <v>0</v>
      </c>
      <c r="BH11" s="723">
        <f t="shared" si="7"/>
        <v>0</v>
      </c>
      <c r="BI11" s="723">
        <f t="shared" si="7"/>
        <v>0</v>
      </c>
      <c r="BJ11" s="723">
        <f t="shared" si="7"/>
        <v>0</v>
      </c>
      <c r="BK11" s="723">
        <f t="shared" si="7"/>
        <v>0</v>
      </c>
      <c r="BL11" s="723">
        <f t="shared" si="7"/>
        <v>0</v>
      </c>
    </row>
    <row r="12" spans="1:64" s="33" customFormat="1" x14ac:dyDescent="0.25">
      <c r="A12" s="44"/>
      <c r="B12" s="44"/>
      <c r="C12" s="44"/>
      <c r="D12" s="35"/>
      <c r="E12" s="35"/>
      <c r="F12" s="44"/>
      <c r="G12" s="44"/>
      <c r="H12" s="35"/>
      <c r="I12" s="173" t="s">
        <v>435</v>
      </c>
      <c r="J12" s="173" t="str">
        <f>LOOKUP(I12,TRA_Comm!$C$29:$C$90,TRA_Comm!$D$29:$D$90)</f>
        <v>Road.Freight.Medium.LongDistance.</v>
      </c>
      <c r="K12" s="173"/>
      <c r="L12" s="173" t="s">
        <v>1118</v>
      </c>
      <c r="M12" s="173" t="s">
        <v>633</v>
      </c>
      <c r="N12" s="165">
        <f>SUMIF(DEMAND_Pkm_Tkm!$C$48:$C$71, $I12, DEMAND_Pkm_Tkm!G$48:G$71)</f>
        <v>0</v>
      </c>
      <c r="O12" s="165">
        <f>SUMIF(DEMAND_Pkm_Tkm!$C$48:$C$71, $I12, DEMAND_Pkm_Tkm!H$48:H$71)</f>
        <v>0</v>
      </c>
      <c r="P12" s="165">
        <f>SUMIF(DEMAND_Pkm_Tkm!$C$48:$C$71, $I12, DEMAND_Pkm_Tkm!I$48:I$71)</f>
        <v>0</v>
      </c>
      <c r="Q12" s="165">
        <f>SUMIF(DEMAND_Pkm_Tkm!$C$48:$C$71, $I12, DEMAND_Pkm_Tkm!J$48:J$71)</f>
        <v>0</v>
      </c>
      <c r="R12" s="165">
        <f>SUMIF(DEMAND_Pkm_Tkm!$C$48:$C$71, $I12, DEMAND_Pkm_Tkm!K$48:K$71)</f>
        <v>0</v>
      </c>
      <c r="S12" s="165">
        <f>SUMIF(DEMAND_Pkm_Tkm!$C$48:$C$71, $I12, DEMAND_Pkm_Tkm!L$48:L$71)</f>
        <v>0</v>
      </c>
      <c r="T12" s="165">
        <f>SUMIF(DEMAND_Pkm_Tkm!$C$48:$C$71, $I12, DEMAND_Pkm_Tkm!M$48:M$71)</f>
        <v>0</v>
      </c>
      <c r="U12" s="165">
        <f>SUMIF(DEMAND_Pkm_Tkm!$C$48:$C$71, $I12, DEMAND_Pkm_Tkm!N$48:N$71)</f>
        <v>0</v>
      </c>
      <c r="V12" s="165">
        <f>SUMIF(DEMAND_Pkm_Tkm!$C$48:$C$71, $I12, DEMAND_Pkm_Tkm!O$48:O$71)</f>
        <v>0</v>
      </c>
      <c r="W12" s="165">
        <f>SUMIF(DEMAND_Pkm_Tkm!$C$48:$C$71, $I12, DEMAND_Pkm_Tkm!P$48:P$71)</f>
        <v>0</v>
      </c>
      <c r="X12" s="165">
        <f>SUMIF(DEMAND_Pkm_Tkm!$C$48:$C$71, $I12, DEMAND_Pkm_Tkm!Q$48:Q$71)</f>
        <v>0</v>
      </c>
      <c r="Y12" s="165">
        <f>SUMIF(DEMAND_Pkm_Tkm!$C$48:$C$71, $I12, DEMAND_Pkm_Tkm!R$48:R$71)</f>
        <v>0</v>
      </c>
      <c r="Z12" s="165">
        <f>SUMIF(DEMAND_Pkm_Tkm!$C$48:$C$71, $I12, DEMAND_Pkm_Tkm!S$48:S$71)</f>
        <v>0</v>
      </c>
      <c r="AA12" s="165">
        <f>SUMIF(DEMAND_Pkm_Tkm!$C$48:$C$71, $I12, DEMAND_Pkm_Tkm!T$48:T$71)</f>
        <v>0</v>
      </c>
      <c r="AB12" s="165">
        <f>SUMIF(DEMAND_Pkm_Tkm!$C$48:$C$71, $I12, DEMAND_Pkm_Tkm!U$48:U$71)</f>
        <v>0</v>
      </c>
      <c r="AD12" s="550">
        <f t="shared" si="4"/>
        <v>0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V12" s="725" t="s">
        <v>990</v>
      </c>
      <c r="AW12" s="935">
        <f t="shared" si="5"/>
        <v>845.65178007364898</v>
      </c>
      <c r="AX12" s="728">
        <f t="shared" si="7"/>
        <v>845.65178007364898</v>
      </c>
      <c r="AY12" s="723">
        <f t="shared" si="7"/>
        <v>0</v>
      </c>
      <c r="AZ12" s="723">
        <f t="shared" si="7"/>
        <v>0</v>
      </c>
      <c r="BA12" s="723">
        <f t="shared" si="7"/>
        <v>0</v>
      </c>
      <c r="BB12" s="723">
        <f t="shared" si="7"/>
        <v>0</v>
      </c>
      <c r="BC12" s="723">
        <f t="shared" si="7"/>
        <v>0</v>
      </c>
      <c r="BD12" s="723">
        <f t="shared" si="7"/>
        <v>0</v>
      </c>
      <c r="BE12" s="723">
        <f t="shared" si="7"/>
        <v>0</v>
      </c>
      <c r="BF12" s="723">
        <f t="shared" si="7"/>
        <v>0</v>
      </c>
      <c r="BG12" s="723">
        <f t="shared" si="7"/>
        <v>0</v>
      </c>
      <c r="BH12" s="723">
        <f t="shared" si="7"/>
        <v>0</v>
      </c>
      <c r="BI12" s="723">
        <f t="shared" si="7"/>
        <v>0</v>
      </c>
      <c r="BJ12" s="723">
        <f t="shared" si="7"/>
        <v>0</v>
      </c>
      <c r="BK12" s="723">
        <f t="shared" si="7"/>
        <v>0</v>
      </c>
      <c r="BL12" s="723">
        <f t="shared" si="7"/>
        <v>0</v>
      </c>
    </row>
    <row r="13" spans="1:64" s="33" customFormat="1" x14ac:dyDescent="0.25">
      <c r="A13" s="44"/>
      <c r="B13" s="44"/>
      <c r="C13" s="44"/>
      <c r="D13" s="35"/>
      <c r="E13" s="35"/>
      <c r="F13" s="44"/>
      <c r="G13" s="44"/>
      <c r="H13" s="35"/>
      <c r="I13" s="173" t="s">
        <v>433</v>
      </c>
      <c r="J13" s="173" t="str">
        <f>LOOKUP(I13,TRA_Comm!$C$29:$C$90,TRA_Comm!$D$29:$D$90)</f>
        <v>Road.Freight.Medium.Short.</v>
      </c>
      <c r="K13" s="173"/>
      <c r="L13" s="173" t="s">
        <v>1118</v>
      </c>
      <c r="M13" s="173" t="s">
        <v>633</v>
      </c>
      <c r="N13" s="165">
        <f>SUMIF(DEMAND_Pkm_Tkm!$C$48:$C$71, $I13, DEMAND_Pkm_Tkm!G$48:G$71)</f>
        <v>0</v>
      </c>
      <c r="O13" s="165">
        <f>SUMIF(DEMAND_Pkm_Tkm!$C$48:$C$71, $I13, DEMAND_Pkm_Tkm!H$48:H$71)</f>
        <v>0</v>
      </c>
      <c r="P13" s="165">
        <f>SUMIF(DEMAND_Pkm_Tkm!$C$48:$C$71, $I13, DEMAND_Pkm_Tkm!I$48:I$71)</f>
        <v>0</v>
      </c>
      <c r="Q13" s="165">
        <f>SUMIF(DEMAND_Pkm_Tkm!$C$48:$C$71, $I13, DEMAND_Pkm_Tkm!J$48:J$71)</f>
        <v>0</v>
      </c>
      <c r="R13" s="165">
        <f>SUMIF(DEMAND_Pkm_Tkm!$C$48:$C$71, $I13, DEMAND_Pkm_Tkm!K$48:K$71)</f>
        <v>0</v>
      </c>
      <c r="S13" s="165">
        <f>SUMIF(DEMAND_Pkm_Tkm!$C$48:$C$71, $I13, DEMAND_Pkm_Tkm!L$48:L$71)</f>
        <v>0</v>
      </c>
      <c r="T13" s="165">
        <f>SUMIF(DEMAND_Pkm_Tkm!$C$48:$C$71, $I13, DEMAND_Pkm_Tkm!M$48:M$71)</f>
        <v>0</v>
      </c>
      <c r="U13" s="165">
        <f>SUMIF(DEMAND_Pkm_Tkm!$C$48:$C$71, $I13, DEMAND_Pkm_Tkm!N$48:N$71)</f>
        <v>0</v>
      </c>
      <c r="V13" s="165">
        <f>SUMIF(DEMAND_Pkm_Tkm!$C$48:$C$71, $I13, DEMAND_Pkm_Tkm!O$48:O$71)</f>
        <v>0</v>
      </c>
      <c r="W13" s="165">
        <f>SUMIF(DEMAND_Pkm_Tkm!$C$48:$C$71, $I13, DEMAND_Pkm_Tkm!P$48:P$71)</f>
        <v>0</v>
      </c>
      <c r="X13" s="165">
        <f>SUMIF(DEMAND_Pkm_Tkm!$C$48:$C$71, $I13, DEMAND_Pkm_Tkm!Q$48:Q$71)</f>
        <v>0</v>
      </c>
      <c r="Y13" s="165">
        <f>SUMIF(DEMAND_Pkm_Tkm!$C$48:$C$71, $I13, DEMAND_Pkm_Tkm!R$48:R$71)</f>
        <v>0</v>
      </c>
      <c r="Z13" s="165">
        <f>SUMIF(DEMAND_Pkm_Tkm!$C$48:$C$71, $I13, DEMAND_Pkm_Tkm!S$48:S$71)</f>
        <v>0</v>
      </c>
      <c r="AA13" s="165">
        <f>SUMIF(DEMAND_Pkm_Tkm!$C$48:$C$71, $I13, DEMAND_Pkm_Tkm!T$48:T$71)</f>
        <v>0</v>
      </c>
      <c r="AB13" s="165">
        <f>SUMIF(DEMAND_Pkm_Tkm!$C$48:$C$71, $I13, DEMAND_Pkm_Tkm!U$48:U$71)</f>
        <v>0</v>
      </c>
      <c r="AD13" s="550">
        <f t="shared" si="4"/>
        <v>0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V13" s="725" t="s">
        <v>994</v>
      </c>
      <c r="AW13" s="935">
        <f t="shared" si="5"/>
        <v>228.13960587511127</v>
      </c>
      <c r="AX13" s="728">
        <f t="shared" si="7"/>
        <v>228.13960587511127</v>
      </c>
      <c r="AY13" s="723">
        <f t="shared" si="7"/>
        <v>0</v>
      </c>
      <c r="AZ13" s="723">
        <f t="shared" si="7"/>
        <v>0</v>
      </c>
      <c r="BA13" s="723">
        <f t="shared" si="7"/>
        <v>0</v>
      </c>
      <c r="BB13" s="723">
        <f t="shared" si="7"/>
        <v>0</v>
      </c>
      <c r="BC13" s="723">
        <f t="shared" si="7"/>
        <v>0</v>
      </c>
      <c r="BD13" s="723">
        <f t="shared" si="7"/>
        <v>0</v>
      </c>
      <c r="BE13" s="723">
        <f t="shared" si="7"/>
        <v>0</v>
      </c>
      <c r="BF13" s="723">
        <f t="shared" si="7"/>
        <v>0</v>
      </c>
      <c r="BG13" s="723">
        <f t="shared" si="7"/>
        <v>0</v>
      </c>
      <c r="BH13" s="723">
        <f t="shared" si="7"/>
        <v>0</v>
      </c>
      <c r="BI13" s="723">
        <f t="shared" si="7"/>
        <v>0</v>
      </c>
      <c r="BJ13" s="723">
        <f t="shared" si="7"/>
        <v>0</v>
      </c>
      <c r="BK13" s="723">
        <f t="shared" si="7"/>
        <v>0</v>
      </c>
      <c r="BL13" s="723">
        <f t="shared" si="7"/>
        <v>0</v>
      </c>
    </row>
    <row r="14" spans="1:64" s="33" customFormat="1" x14ac:dyDescent="0.25">
      <c r="A14" s="44"/>
      <c r="B14" s="34"/>
      <c r="C14" s="44"/>
      <c r="D14" s="35"/>
      <c r="E14" s="35"/>
      <c r="F14" s="44"/>
      <c r="G14" s="44"/>
      <c r="H14" s="35"/>
      <c r="I14" s="173" t="s">
        <v>439</v>
      </c>
      <c r="J14" s="173" t="str">
        <f>LOOKUP(I14,TRA_Comm!$C$29:$C$90,TRA_Comm!$D$29:$D$90)</f>
        <v>Road.Freight.Heavy.LongDistance.</v>
      </c>
      <c r="K14" s="173"/>
      <c r="L14" s="173" t="s">
        <v>1118</v>
      </c>
      <c r="M14" s="173" t="s">
        <v>633</v>
      </c>
      <c r="N14" s="165">
        <f>SUMIF(DEMAND_Pkm_Tkm!$C$48:$C$71, $I14, DEMAND_Pkm_Tkm!G$48:G$71)</f>
        <v>0</v>
      </c>
      <c r="O14" s="165">
        <f>SUMIF(DEMAND_Pkm_Tkm!$C$48:$C$71, $I14, DEMAND_Pkm_Tkm!H$48:H$71)</f>
        <v>0</v>
      </c>
      <c r="P14" s="165">
        <f>SUMIF(DEMAND_Pkm_Tkm!$C$48:$C$71, $I14, DEMAND_Pkm_Tkm!I$48:I$71)</f>
        <v>0</v>
      </c>
      <c r="Q14" s="165">
        <f>SUMIF(DEMAND_Pkm_Tkm!$C$48:$C$71, $I14, DEMAND_Pkm_Tkm!J$48:J$71)</f>
        <v>0</v>
      </c>
      <c r="R14" s="165">
        <f>SUMIF(DEMAND_Pkm_Tkm!$C$48:$C$71, $I14, DEMAND_Pkm_Tkm!K$48:K$71)</f>
        <v>0</v>
      </c>
      <c r="S14" s="165">
        <f>SUMIF(DEMAND_Pkm_Tkm!$C$48:$C$71, $I14, DEMAND_Pkm_Tkm!L$48:L$71)</f>
        <v>0</v>
      </c>
      <c r="T14" s="165">
        <f>SUMIF(DEMAND_Pkm_Tkm!$C$48:$C$71, $I14, DEMAND_Pkm_Tkm!M$48:M$71)</f>
        <v>0</v>
      </c>
      <c r="U14" s="165">
        <f>SUMIF(DEMAND_Pkm_Tkm!$C$48:$C$71, $I14, DEMAND_Pkm_Tkm!N$48:N$71)</f>
        <v>0</v>
      </c>
      <c r="V14" s="165">
        <f>SUMIF(DEMAND_Pkm_Tkm!$C$48:$C$71, $I14, DEMAND_Pkm_Tkm!O$48:O$71)</f>
        <v>0</v>
      </c>
      <c r="W14" s="165">
        <f>SUMIF(DEMAND_Pkm_Tkm!$C$48:$C$71, $I14, DEMAND_Pkm_Tkm!P$48:P$71)</f>
        <v>0</v>
      </c>
      <c r="X14" s="165">
        <f>SUMIF(DEMAND_Pkm_Tkm!$C$48:$C$71, $I14, DEMAND_Pkm_Tkm!Q$48:Q$71)</f>
        <v>0</v>
      </c>
      <c r="Y14" s="165">
        <f>SUMIF(DEMAND_Pkm_Tkm!$C$48:$C$71, $I14, DEMAND_Pkm_Tkm!R$48:R$71)</f>
        <v>0</v>
      </c>
      <c r="Z14" s="165">
        <f>SUMIF(DEMAND_Pkm_Tkm!$C$48:$C$71, $I14, DEMAND_Pkm_Tkm!S$48:S$71)</f>
        <v>0</v>
      </c>
      <c r="AA14" s="165">
        <f>SUMIF(DEMAND_Pkm_Tkm!$C$48:$C$71, $I14, DEMAND_Pkm_Tkm!T$48:T$71)</f>
        <v>0</v>
      </c>
      <c r="AB14" s="165">
        <f>SUMIF(DEMAND_Pkm_Tkm!$C$48:$C$71, $I14, DEMAND_Pkm_Tkm!U$48:U$71)</f>
        <v>0</v>
      </c>
      <c r="AD14" s="550">
        <f t="shared" si="4"/>
        <v>0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Q14" s="35"/>
      <c r="AR14" s="35"/>
      <c r="AS14" s="35"/>
      <c r="AV14" s="725" t="s">
        <v>996</v>
      </c>
      <c r="AW14" s="935">
        <f t="shared" si="5"/>
        <v>0</v>
      </c>
      <c r="AX14" s="728">
        <f t="shared" si="7"/>
        <v>0</v>
      </c>
      <c r="AY14" s="723">
        <f t="shared" si="7"/>
        <v>0</v>
      </c>
      <c r="AZ14" s="723">
        <f t="shared" si="7"/>
        <v>0</v>
      </c>
      <c r="BA14" s="723">
        <f t="shared" si="7"/>
        <v>0</v>
      </c>
      <c r="BB14" s="723">
        <f t="shared" si="7"/>
        <v>0</v>
      </c>
      <c r="BC14" s="723">
        <f t="shared" si="7"/>
        <v>0</v>
      </c>
      <c r="BD14" s="723">
        <f t="shared" si="7"/>
        <v>0</v>
      </c>
      <c r="BE14" s="723">
        <f t="shared" si="7"/>
        <v>0</v>
      </c>
      <c r="BF14" s="723">
        <f t="shared" si="7"/>
        <v>0</v>
      </c>
      <c r="BG14" s="723">
        <f t="shared" si="7"/>
        <v>0</v>
      </c>
      <c r="BH14" s="723">
        <f t="shared" si="7"/>
        <v>0</v>
      </c>
      <c r="BI14" s="723">
        <f t="shared" si="7"/>
        <v>0</v>
      </c>
      <c r="BJ14" s="723">
        <f t="shared" si="7"/>
        <v>0</v>
      </c>
      <c r="BK14" s="723">
        <f t="shared" si="7"/>
        <v>0</v>
      </c>
      <c r="BL14" s="723">
        <f t="shared" si="7"/>
        <v>0</v>
      </c>
    </row>
    <row r="15" spans="1:64" s="33" customFormat="1" x14ac:dyDescent="0.25">
      <c r="A15" s="44"/>
      <c r="B15" s="45"/>
      <c r="C15" s="44"/>
      <c r="D15" s="35"/>
      <c r="E15" s="35"/>
      <c r="F15" s="44"/>
      <c r="G15" s="44"/>
      <c r="H15" s="35"/>
      <c r="I15" s="173" t="s">
        <v>437</v>
      </c>
      <c r="J15" s="173" t="str">
        <f>LOOKUP(I15,TRA_Comm!$C$29:$C$90,TRA_Comm!$D$29:$D$90)</f>
        <v>Road.Freight.Heavy.Short.</v>
      </c>
      <c r="K15" s="173"/>
      <c r="L15" s="173" t="s">
        <v>1118</v>
      </c>
      <c r="M15" s="173" t="s">
        <v>633</v>
      </c>
      <c r="N15" s="165">
        <f>SUMIF(DEMAND_Pkm_Tkm!$C$48:$C$71, $I15, DEMAND_Pkm_Tkm!G$48:G$71)</f>
        <v>3321</v>
      </c>
      <c r="O15" s="165">
        <f>SUMIF(DEMAND_Pkm_Tkm!$C$48:$C$71, $I15, DEMAND_Pkm_Tkm!H$48:H$71)</f>
        <v>0</v>
      </c>
      <c r="P15" s="165">
        <f>SUMIF(DEMAND_Pkm_Tkm!$C$48:$C$71, $I15, DEMAND_Pkm_Tkm!I$48:I$71)</f>
        <v>0</v>
      </c>
      <c r="Q15" s="165">
        <f>SUMIF(DEMAND_Pkm_Tkm!$C$48:$C$71, $I15, DEMAND_Pkm_Tkm!J$48:J$71)</f>
        <v>0</v>
      </c>
      <c r="R15" s="165">
        <f>SUMIF(DEMAND_Pkm_Tkm!$C$48:$C$71, $I15, DEMAND_Pkm_Tkm!K$48:K$71)</f>
        <v>0</v>
      </c>
      <c r="S15" s="165">
        <f>SUMIF(DEMAND_Pkm_Tkm!$C$48:$C$71, $I15, DEMAND_Pkm_Tkm!L$48:L$71)</f>
        <v>0</v>
      </c>
      <c r="T15" s="165">
        <f>SUMIF(DEMAND_Pkm_Tkm!$C$48:$C$71, $I15, DEMAND_Pkm_Tkm!M$48:M$71)</f>
        <v>0</v>
      </c>
      <c r="U15" s="165">
        <f>SUMIF(DEMAND_Pkm_Tkm!$C$48:$C$71, $I15, DEMAND_Pkm_Tkm!N$48:N$71)</f>
        <v>0</v>
      </c>
      <c r="V15" s="165">
        <f>SUMIF(DEMAND_Pkm_Tkm!$C$48:$C$71, $I15, DEMAND_Pkm_Tkm!O$48:O$71)</f>
        <v>0</v>
      </c>
      <c r="W15" s="165">
        <f>SUMIF(DEMAND_Pkm_Tkm!$C$48:$C$71, $I15, DEMAND_Pkm_Tkm!P$48:P$71)</f>
        <v>0</v>
      </c>
      <c r="X15" s="165">
        <f>SUMIF(DEMAND_Pkm_Tkm!$C$48:$C$71, $I15, DEMAND_Pkm_Tkm!Q$48:Q$71)</f>
        <v>0</v>
      </c>
      <c r="Y15" s="165">
        <f>SUMIF(DEMAND_Pkm_Tkm!$C$48:$C$71, $I15, DEMAND_Pkm_Tkm!R$48:R$71)</f>
        <v>0</v>
      </c>
      <c r="Z15" s="165">
        <f>SUMIF(DEMAND_Pkm_Tkm!$C$48:$C$71, $I15, DEMAND_Pkm_Tkm!S$48:S$71)</f>
        <v>0</v>
      </c>
      <c r="AA15" s="165">
        <f>SUMIF(DEMAND_Pkm_Tkm!$C$48:$C$71, $I15, DEMAND_Pkm_Tkm!T$48:T$71)</f>
        <v>0</v>
      </c>
      <c r="AB15" s="165">
        <f>SUMIF(DEMAND_Pkm_Tkm!$C$48:$C$71, $I15, DEMAND_Pkm_Tkm!U$48:U$71)</f>
        <v>0</v>
      </c>
      <c r="AD15" s="550">
        <f t="shared" si="4"/>
        <v>3321</v>
      </c>
      <c r="AF15" s="35"/>
      <c r="AG15" s="35"/>
      <c r="AH15" s="35"/>
      <c r="AI15" s="35"/>
      <c r="AJ15" s="35"/>
      <c r="AK15" s="35"/>
      <c r="AL15" s="35"/>
      <c r="AM15" s="35"/>
      <c r="AN15" s="35"/>
      <c r="AQ15" s="35"/>
      <c r="AR15" s="35"/>
      <c r="AS15" s="35"/>
      <c r="AV15" s="725" t="s">
        <v>998</v>
      </c>
      <c r="AW15" s="935">
        <f t="shared" si="5"/>
        <v>0</v>
      </c>
      <c r="AX15" s="728">
        <f t="shared" si="7"/>
        <v>0</v>
      </c>
      <c r="AY15" s="723">
        <f t="shared" si="7"/>
        <v>0</v>
      </c>
      <c r="AZ15" s="723">
        <f t="shared" si="7"/>
        <v>0</v>
      </c>
      <c r="BA15" s="723">
        <f t="shared" si="7"/>
        <v>0</v>
      </c>
      <c r="BB15" s="723">
        <f t="shared" si="7"/>
        <v>0</v>
      </c>
      <c r="BC15" s="723">
        <f t="shared" si="7"/>
        <v>0</v>
      </c>
      <c r="BD15" s="723">
        <f t="shared" si="7"/>
        <v>0</v>
      </c>
      <c r="BE15" s="723">
        <f t="shared" si="7"/>
        <v>0</v>
      </c>
      <c r="BF15" s="723">
        <f t="shared" si="7"/>
        <v>0</v>
      </c>
      <c r="BG15" s="723">
        <f t="shared" si="7"/>
        <v>0</v>
      </c>
      <c r="BH15" s="723">
        <f t="shared" si="7"/>
        <v>0</v>
      </c>
      <c r="BI15" s="723">
        <f t="shared" si="7"/>
        <v>0</v>
      </c>
      <c r="BJ15" s="723">
        <f t="shared" si="7"/>
        <v>0</v>
      </c>
      <c r="BK15" s="723">
        <f t="shared" si="7"/>
        <v>0</v>
      </c>
      <c r="BL15" s="723">
        <f t="shared" si="7"/>
        <v>0</v>
      </c>
    </row>
    <row r="16" spans="1:64" s="33" customFormat="1" x14ac:dyDescent="0.25">
      <c r="A16" s="44"/>
      <c r="B16" s="45"/>
      <c r="C16" s="44"/>
      <c r="D16" s="35"/>
      <c r="E16" s="35"/>
      <c r="F16" s="44"/>
      <c r="G16" s="44"/>
      <c r="H16" s="35"/>
      <c r="I16" s="173" t="s">
        <v>427</v>
      </c>
      <c r="J16" s="173" t="str">
        <f>LOOKUP(I16,TRA_Comm!$C$29:$C$90,TRA_Comm!$D$29:$D$90)</f>
        <v>LightElectricVehicle(LEV).Freight.</v>
      </c>
      <c r="K16" s="173"/>
      <c r="L16" s="173" t="s">
        <v>1118</v>
      </c>
      <c r="M16" s="173" t="s">
        <v>633</v>
      </c>
      <c r="N16" s="165">
        <f>SUMIF(DEMAND_Pkm_Tkm!$C$48:$C$71, $I16, DEMAND_Pkm_Tkm!G$48:G$71)</f>
        <v>0</v>
      </c>
      <c r="O16" s="165">
        <f>SUMIF(DEMAND_Pkm_Tkm!$C$48:$C$71, $I16, DEMAND_Pkm_Tkm!H$48:H$71)</f>
        <v>0</v>
      </c>
      <c r="P16" s="165">
        <f>SUMIF(DEMAND_Pkm_Tkm!$C$48:$C$71, $I16, DEMAND_Pkm_Tkm!I$48:I$71)</f>
        <v>0</v>
      </c>
      <c r="Q16" s="165">
        <f>SUMIF(DEMAND_Pkm_Tkm!$C$48:$C$71, $I16, DEMAND_Pkm_Tkm!J$48:J$71)</f>
        <v>0</v>
      </c>
      <c r="R16" s="165">
        <f>SUMIF(DEMAND_Pkm_Tkm!$C$48:$C$71, $I16, DEMAND_Pkm_Tkm!K$48:K$71)</f>
        <v>0</v>
      </c>
      <c r="S16" s="165">
        <f>SUMIF(DEMAND_Pkm_Tkm!$C$48:$C$71, $I16, DEMAND_Pkm_Tkm!L$48:L$71)</f>
        <v>0</v>
      </c>
      <c r="T16" s="165">
        <f>SUMIF(DEMAND_Pkm_Tkm!$C$48:$C$71, $I16, DEMAND_Pkm_Tkm!M$48:M$71)</f>
        <v>0</v>
      </c>
      <c r="U16" s="165">
        <f>SUMIF(DEMAND_Pkm_Tkm!$C$48:$C$71, $I16, DEMAND_Pkm_Tkm!N$48:N$71)</f>
        <v>0</v>
      </c>
      <c r="V16" s="165">
        <f>SUMIF(DEMAND_Pkm_Tkm!$C$48:$C$71, $I16, DEMAND_Pkm_Tkm!O$48:O$71)</f>
        <v>0</v>
      </c>
      <c r="W16" s="165">
        <f>SUMIF(DEMAND_Pkm_Tkm!$C$48:$C$71, $I16, DEMAND_Pkm_Tkm!P$48:P$71)</f>
        <v>0</v>
      </c>
      <c r="X16" s="165">
        <f>SUMIF(DEMAND_Pkm_Tkm!$C$48:$C$71, $I16, DEMAND_Pkm_Tkm!Q$48:Q$71)</f>
        <v>0</v>
      </c>
      <c r="Y16" s="165">
        <f>SUMIF(DEMAND_Pkm_Tkm!$C$48:$C$71, $I16, DEMAND_Pkm_Tkm!R$48:R$71)</f>
        <v>0</v>
      </c>
      <c r="Z16" s="165">
        <f>SUMIF(DEMAND_Pkm_Tkm!$C$48:$C$71, $I16, DEMAND_Pkm_Tkm!S$48:S$71)</f>
        <v>0</v>
      </c>
      <c r="AA16" s="165">
        <f>SUMIF(DEMAND_Pkm_Tkm!$C$48:$C$71, $I16, DEMAND_Pkm_Tkm!T$48:T$71)</f>
        <v>0</v>
      </c>
      <c r="AB16" s="165">
        <f>SUMIF(DEMAND_Pkm_Tkm!$C$48:$C$71, $I16, DEMAND_Pkm_Tkm!U$48:U$71)</f>
        <v>0</v>
      </c>
      <c r="AD16" s="550">
        <f t="shared" si="4"/>
        <v>0</v>
      </c>
      <c r="AF16" s="35"/>
      <c r="AG16" s="35"/>
      <c r="AH16" s="35"/>
      <c r="AI16" s="35"/>
      <c r="AJ16" s="35"/>
      <c r="AK16" s="35"/>
      <c r="AL16" s="35"/>
      <c r="AM16" s="35"/>
      <c r="AN16" s="35"/>
      <c r="AQ16" s="35"/>
      <c r="AR16" s="35"/>
      <c r="AS16" s="35"/>
      <c r="AV16" s="727" t="s">
        <v>1000</v>
      </c>
      <c r="AW16" s="935">
        <f t="shared" si="5"/>
        <v>0</v>
      </c>
      <c r="AX16" s="728">
        <f t="shared" si="7"/>
        <v>0</v>
      </c>
      <c r="AY16" s="723">
        <f t="shared" si="7"/>
        <v>0</v>
      </c>
      <c r="AZ16" s="723">
        <f t="shared" si="7"/>
        <v>0</v>
      </c>
      <c r="BA16" s="723">
        <f t="shared" si="7"/>
        <v>0</v>
      </c>
      <c r="BB16" s="723">
        <f t="shared" si="7"/>
        <v>0</v>
      </c>
      <c r="BC16" s="723">
        <f t="shared" si="7"/>
        <v>0</v>
      </c>
      <c r="BD16" s="723">
        <f t="shared" si="7"/>
        <v>0</v>
      </c>
      <c r="BE16" s="723">
        <f t="shared" si="7"/>
        <v>0</v>
      </c>
      <c r="BF16" s="723">
        <f t="shared" si="7"/>
        <v>0</v>
      </c>
      <c r="BG16" s="723">
        <f t="shared" si="7"/>
        <v>0</v>
      </c>
      <c r="BH16" s="723">
        <f t="shared" si="7"/>
        <v>0</v>
      </c>
      <c r="BI16" s="723">
        <f t="shared" si="7"/>
        <v>0</v>
      </c>
      <c r="BJ16" s="723">
        <f t="shared" si="7"/>
        <v>0</v>
      </c>
      <c r="BK16" s="723">
        <f t="shared" si="7"/>
        <v>0</v>
      </c>
      <c r="BL16" s="723">
        <f t="shared" si="7"/>
        <v>0</v>
      </c>
    </row>
    <row r="17" spans="1:64" s="33" customFormat="1" x14ac:dyDescent="0.25">
      <c r="A17" s="44"/>
      <c r="B17" s="45"/>
      <c r="C17" s="44"/>
      <c r="D17" s="35"/>
      <c r="E17" s="35"/>
      <c r="F17" s="44"/>
      <c r="G17" s="44"/>
      <c r="H17" s="35"/>
      <c r="I17" s="173" t="s">
        <v>425</v>
      </c>
      <c r="J17" s="173" t="str">
        <f>LOOKUP(I17,TRA_Comm!$C$29:$C$90,TRA_Comm!$D$29:$D$90)</f>
        <v>BicYcle.Electric.Freight.</v>
      </c>
      <c r="K17" s="173"/>
      <c r="L17" s="173" t="s">
        <v>1118</v>
      </c>
      <c r="M17" s="173" t="s">
        <v>633</v>
      </c>
      <c r="N17" s="166">
        <f>SUMIF(DEMAND_Pkm_Tkm!$C$48:$C$71, $I17, DEMAND_Pkm_Tkm!G$48:G$71)</f>
        <v>0</v>
      </c>
      <c r="O17" s="165">
        <f>SUMIF(DEMAND_Pkm_Tkm!$C$48:$C$71, $I17, DEMAND_Pkm_Tkm!H$48:H$71)</f>
        <v>0</v>
      </c>
      <c r="P17" s="165">
        <f>SUMIF(DEMAND_Pkm_Tkm!$C$48:$C$71, $I17, DEMAND_Pkm_Tkm!I$48:I$71)</f>
        <v>0</v>
      </c>
      <c r="Q17" s="165">
        <f>SUMIF(DEMAND_Pkm_Tkm!$C$48:$C$71, $I17, DEMAND_Pkm_Tkm!J$48:J$71)</f>
        <v>0</v>
      </c>
      <c r="R17" s="165">
        <f>SUMIF(DEMAND_Pkm_Tkm!$C$48:$C$71, $I17, DEMAND_Pkm_Tkm!K$48:K$71)</f>
        <v>0</v>
      </c>
      <c r="S17" s="165">
        <f>SUMIF(DEMAND_Pkm_Tkm!$C$48:$C$71, $I17, DEMAND_Pkm_Tkm!L$48:L$71)</f>
        <v>0</v>
      </c>
      <c r="T17" s="165">
        <f>SUMIF(DEMAND_Pkm_Tkm!$C$48:$C$71, $I17, DEMAND_Pkm_Tkm!M$48:M$71)</f>
        <v>0</v>
      </c>
      <c r="U17" s="165">
        <f>SUMIF(DEMAND_Pkm_Tkm!$C$48:$C$71, $I17, DEMAND_Pkm_Tkm!N$48:N$71)</f>
        <v>0</v>
      </c>
      <c r="V17" s="165">
        <f>SUMIF(DEMAND_Pkm_Tkm!$C$48:$C$71, $I17, DEMAND_Pkm_Tkm!O$48:O$71)</f>
        <v>0</v>
      </c>
      <c r="W17" s="165">
        <f>SUMIF(DEMAND_Pkm_Tkm!$C$48:$C$71, $I17, DEMAND_Pkm_Tkm!P$48:P$71)</f>
        <v>0</v>
      </c>
      <c r="X17" s="165">
        <f>SUMIF(DEMAND_Pkm_Tkm!$C$48:$C$71, $I17, DEMAND_Pkm_Tkm!Q$48:Q$71)</f>
        <v>0</v>
      </c>
      <c r="Y17" s="165">
        <f>SUMIF(DEMAND_Pkm_Tkm!$C$48:$C$71, $I17, DEMAND_Pkm_Tkm!R$48:R$71)</f>
        <v>0</v>
      </c>
      <c r="Z17" s="165">
        <f>SUMIF(DEMAND_Pkm_Tkm!$C$48:$C$71, $I17, DEMAND_Pkm_Tkm!S$48:S$71)</f>
        <v>0</v>
      </c>
      <c r="AA17" s="165">
        <f>SUMIF(DEMAND_Pkm_Tkm!$C$48:$C$71, $I17, DEMAND_Pkm_Tkm!T$48:T$71)</f>
        <v>0</v>
      </c>
      <c r="AB17" s="165">
        <f>SUMIF(DEMAND_Pkm_Tkm!$C$48:$C$71, $I17, DEMAND_Pkm_Tkm!U$48:U$71)</f>
        <v>0</v>
      </c>
      <c r="AD17" s="550">
        <f t="shared" si="4"/>
        <v>0</v>
      </c>
      <c r="AF17" s="35"/>
      <c r="AG17" s="35"/>
      <c r="AH17" s="35"/>
      <c r="AI17" s="35"/>
      <c r="AJ17" s="35"/>
      <c r="AK17" s="35"/>
      <c r="AL17" s="35"/>
      <c r="AM17" s="35"/>
      <c r="AN17" s="35"/>
      <c r="AQ17" s="35"/>
      <c r="AR17" s="35"/>
      <c r="AS17" s="35"/>
      <c r="AV17" s="728" t="s">
        <v>185</v>
      </c>
      <c r="AW17" s="935">
        <f t="shared" si="5"/>
        <v>9422.9769779635153</v>
      </c>
      <c r="AX17" s="728">
        <f t="shared" si="7"/>
        <v>9422.9769779635153</v>
      </c>
      <c r="AY17" s="723">
        <f t="shared" si="7"/>
        <v>0</v>
      </c>
      <c r="AZ17" s="723">
        <f t="shared" si="7"/>
        <v>0</v>
      </c>
      <c r="BA17" s="723">
        <f t="shared" si="7"/>
        <v>0</v>
      </c>
      <c r="BB17" s="723">
        <f t="shared" si="7"/>
        <v>0</v>
      </c>
      <c r="BC17" s="723">
        <f t="shared" si="7"/>
        <v>0</v>
      </c>
      <c r="BD17" s="723">
        <f t="shared" si="7"/>
        <v>0</v>
      </c>
      <c r="BE17" s="723">
        <f t="shared" si="7"/>
        <v>0</v>
      </c>
      <c r="BF17" s="723">
        <f t="shared" si="7"/>
        <v>0</v>
      </c>
      <c r="BG17" s="723">
        <f t="shared" si="7"/>
        <v>0</v>
      </c>
      <c r="BH17" s="723">
        <f t="shared" si="7"/>
        <v>0</v>
      </c>
      <c r="BI17" s="723">
        <f t="shared" si="7"/>
        <v>0</v>
      </c>
      <c r="BJ17" s="723">
        <f t="shared" si="7"/>
        <v>0</v>
      </c>
      <c r="BK17" s="723">
        <f t="shared" si="7"/>
        <v>0</v>
      </c>
      <c r="BL17" s="723">
        <f t="shared" si="7"/>
        <v>0</v>
      </c>
    </row>
    <row r="18" spans="1:64" s="33" customFormat="1" x14ac:dyDescent="0.25">
      <c r="A18" s="44"/>
      <c r="B18" s="45"/>
      <c r="C18" s="44"/>
      <c r="D18" s="35"/>
      <c r="E18" s="35"/>
      <c r="F18" s="44"/>
      <c r="G18" s="44"/>
      <c r="H18" s="35"/>
      <c r="I18" s="173" t="s">
        <v>423</v>
      </c>
      <c r="J18" s="173" t="str">
        <f>LOOKUP(I18,TRA_Comm!$C$29:$C$90,TRA_Comm!$D$29:$D$90)</f>
        <v>BicYcle.Freight.</v>
      </c>
      <c r="K18" s="173"/>
      <c r="L18" s="173" t="s">
        <v>1118</v>
      </c>
      <c r="M18" s="173" t="s">
        <v>633</v>
      </c>
      <c r="N18" s="165">
        <f>SUMIF(DEMAND_Pkm_Tkm!$C$48:$C$71, $I18, DEMAND_Pkm_Tkm!G$48:G$71)</f>
        <v>0</v>
      </c>
      <c r="O18" s="165">
        <f>SUMIF(DEMAND_Pkm_Tkm!$C$48:$C$71, $I18, DEMAND_Pkm_Tkm!H$48:H$71)</f>
        <v>0</v>
      </c>
      <c r="P18" s="165">
        <f>SUMIF(DEMAND_Pkm_Tkm!$C$48:$C$71, $I18, DEMAND_Pkm_Tkm!I$48:I$71)</f>
        <v>0</v>
      </c>
      <c r="Q18" s="165">
        <f>SUMIF(DEMAND_Pkm_Tkm!$C$48:$C$71, $I18, DEMAND_Pkm_Tkm!J$48:J$71)</f>
        <v>0</v>
      </c>
      <c r="R18" s="165">
        <f>SUMIF(DEMAND_Pkm_Tkm!$C$48:$C$71, $I18, DEMAND_Pkm_Tkm!K$48:K$71)</f>
        <v>0</v>
      </c>
      <c r="S18" s="165">
        <f>SUMIF(DEMAND_Pkm_Tkm!$C$48:$C$71, $I18, DEMAND_Pkm_Tkm!L$48:L$71)</f>
        <v>0</v>
      </c>
      <c r="T18" s="165">
        <f>SUMIF(DEMAND_Pkm_Tkm!$C$48:$C$71, $I18, DEMAND_Pkm_Tkm!M$48:M$71)</f>
        <v>0</v>
      </c>
      <c r="U18" s="165">
        <f>SUMIF(DEMAND_Pkm_Tkm!$C$48:$C$71, $I18, DEMAND_Pkm_Tkm!N$48:N$71)</f>
        <v>0</v>
      </c>
      <c r="V18" s="165">
        <f>SUMIF(DEMAND_Pkm_Tkm!$C$48:$C$71, $I18, DEMAND_Pkm_Tkm!O$48:O$71)</f>
        <v>0</v>
      </c>
      <c r="W18" s="165">
        <f>SUMIF(DEMAND_Pkm_Tkm!$C$48:$C$71, $I18, DEMAND_Pkm_Tkm!P$48:P$71)</f>
        <v>0</v>
      </c>
      <c r="X18" s="165">
        <f>SUMIF(DEMAND_Pkm_Tkm!$C$48:$C$71, $I18, DEMAND_Pkm_Tkm!Q$48:Q$71)</f>
        <v>0</v>
      </c>
      <c r="Y18" s="165">
        <f>SUMIF(DEMAND_Pkm_Tkm!$C$48:$C$71, $I18, DEMAND_Pkm_Tkm!R$48:R$71)</f>
        <v>0</v>
      </c>
      <c r="Z18" s="165">
        <f>SUMIF(DEMAND_Pkm_Tkm!$C$48:$C$71, $I18, DEMAND_Pkm_Tkm!S$48:S$71)</f>
        <v>0</v>
      </c>
      <c r="AA18" s="165">
        <f>SUMIF(DEMAND_Pkm_Tkm!$C$48:$C$71, $I18, DEMAND_Pkm_Tkm!T$48:T$71)</f>
        <v>0</v>
      </c>
      <c r="AB18" s="165">
        <f>SUMIF(DEMAND_Pkm_Tkm!$C$48:$C$71, $I18, DEMAND_Pkm_Tkm!U$48:U$71)</f>
        <v>0</v>
      </c>
      <c r="AD18" s="550">
        <f t="shared" si="4"/>
        <v>0</v>
      </c>
      <c r="AF18" s="35"/>
      <c r="AG18" s="35"/>
      <c r="AH18" s="35"/>
      <c r="AI18" s="35"/>
      <c r="AJ18" s="35"/>
      <c r="AK18" s="35"/>
      <c r="AL18" s="35"/>
      <c r="AM18" s="35"/>
      <c r="AN18" s="35"/>
      <c r="AQ18" s="35"/>
      <c r="AR18" s="35"/>
      <c r="AS18" s="35"/>
      <c r="AV18" s="728" t="s">
        <v>683</v>
      </c>
      <c r="AW18" s="935">
        <f t="shared" si="5"/>
        <v>20.229894203915453</v>
      </c>
      <c r="AX18" s="728">
        <f t="shared" si="7"/>
        <v>20.229894203915453</v>
      </c>
      <c r="AY18" s="723">
        <f t="shared" si="7"/>
        <v>0</v>
      </c>
      <c r="AZ18" s="723">
        <f t="shared" si="7"/>
        <v>0</v>
      </c>
      <c r="BA18" s="723">
        <f t="shared" si="7"/>
        <v>0</v>
      </c>
      <c r="BB18" s="723">
        <f t="shared" si="7"/>
        <v>0</v>
      </c>
      <c r="BC18" s="723">
        <f t="shared" si="7"/>
        <v>0</v>
      </c>
      <c r="BD18" s="723">
        <f t="shared" si="7"/>
        <v>0</v>
      </c>
      <c r="BE18" s="723">
        <f t="shared" si="7"/>
        <v>0</v>
      </c>
      <c r="BF18" s="723">
        <f t="shared" si="7"/>
        <v>0</v>
      </c>
      <c r="BG18" s="723">
        <f t="shared" si="7"/>
        <v>0</v>
      </c>
      <c r="BH18" s="723">
        <f t="shared" si="7"/>
        <v>0</v>
      </c>
      <c r="BI18" s="723">
        <f t="shared" si="7"/>
        <v>0</v>
      </c>
      <c r="BJ18" s="723">
        <f t="shared" si="7"/>
        <v>0</v>
      </c>
      <c r="BK18" s="723">
        <f t="shared" si="7"/>
        <v>0</v>
      </c>
      <c r="BL18" s="723">
        <f t="shared" si="7"/>
        <v>0</v>
      </c>
    </row>
    <row r="19" spans="1:64" s="33" customFormat="1" x14ac:dyDescent="0.25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72"/>
      <c r="N19" s="87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E19" s="35"/>
      <c r="AF19" s="35"/>
      <c r="AG19" s="35"/>
      <c r="AH19" s="35"/>
      <c r="AI19" s="35"/>
      <c r="AJ19" s="35"/>
      <c r="AK19" s="35"/>
      <c r="AP19" s="35"/>
      <c r="AQ19" s="35"/>
      <c r="AR19" s="35"/>
      <c r="AS19" s="35"/>
      <c r="AV19" s="728" t="s">
        <v>1010</v>
      </c>
      <c r="AW19" s="935">
        <f t="shared" si="5"/>
        <v>19.219720963793808</v>
      </c>
      <c r="AX19" s="728">
        <f t="shared" si="7"/>
        <v>19.219720963793808</v>
      </c>
      <c r="AY19" s="723">
        <f t="shared" si="7"/>
        <v>0</v>
      </c>
      <c r="AZ19" s="723">
        <f t="shared" si="7"/>
        <v>0</v>
      </c>
      <c r="BA19" s="723">
        <f t="shared" si="7"/>
        <v>0</v>
      </c>
      <c r="BB19" s="723">
        <f t="shared" si="7"/>
        <v>0</v>
      </c>
      <c r="BC19" s="723">
        <f t="shared" si="7"/>
        <v>0</v>
      </c>
      <c r="BD19" s="723">
        <f t="shared" si="7"/>
        <v>0</v>
      </c>
      <c r="BE19" s="723">
        <f t="shared" si="7"/>
        <v>0</v>
      </c>
      <c r="BF19" s="723">
        <f t="shared" si="7"/>
        <v>0</v>
      </c>
      <c r="BG19" s="723">
        <f t="shared" si="7"/>
        <v>0</v>
      </c>
      <c r="BH19" s="723">
        <f t="shared" si="7"/>
        <v>0</v>
      </c>
      <c r="BI19" s="723">
        <f t="shared" si="7"/>
        <v>0</v>
      </c>
      <c r="BJ19" s="723">
        <f t="shared" si="7"/>
        <v>0</v>
      </c>
      <c r="BK19" s="723">
        <f t="shared" si="7"/>
        <v>0</v>
      </c>
      <c r="BL19" s="723">
        <f t="shared" si="7"/>
        <v>0</v>
      </c>
    </row>
    <row r="20" spans="1:64" s="33" customFormat="1" x14ac:dyDescent="0.25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4"/>
      <c r="L20" s="43" t="s">
        <v>461</v>
      </c>
      <c r="M20" s="43" t="s">
        <v>1171</v>
      </c>
      <c r="N20" s="43" t="str">
        <f t="shared" ref="N20:AB20" si="8">N$2</f>
        <v>Z01</v>
      </c>
      <c r="O20" s="43" t="str">
        <f t="shared" si="8"/>
        <v>Z02</v>
      </c>
      <c r="P20" s="43" t="str">
        <f t="shared" si="8"/>
        <v>Z03</v>
      </c>
      <c r="Q20" s="43" t="str">
        <f t="shared" si="8"/>
        <v>Z04</v>
      </c>
      <c r="R20" s="43" t="str">
        <f t="shared" si="8"/>
        <v>Z05</v>
      </c>
      <c r="S20" s="43" t="str">
        <f t="shared" si="8"/>
        <v>Z06</v>
      </c>
      <c r="T20" s="43" t="str">
        <f t="shared" si="8"/>
        <v>Z07</v>
      </c>
      <c r="U20" s="43" t="str">
        <f t="shared" si="8"/>
        <v>Z08</v>
      </c>
      <c r="V20" s="43" t="str">
        <f t="shared" si="8"/>
        <v>Z09</v>
      </c>
      <c r="W20" s="43" t="str">
        <f t="shared" si="8"/>
        <v>Z10</v>
      </c>
      <c r="X20" s="43" t="str">
        <f t="shared" si="8"/>
        <v>Z11</v>
      </c>
      <c r="Y20" s="43" t="str">
        <f t="shared" si="8"/>
        <v>Z12</v>
      </c>
      <c r="Z20" s="43" t="str">
        <f t="shared" si="8"/>
        <v>Z13</v>
      </c>
      <c r="AA20" s="43" t="str">
        <f t="shared" si="8"/>
        <v>Z14</v>
      </c>
      <c r="AB20" s="43" t="str">
        <f t="shared" si="8"/>
        <v>Z15</v>
      </c>
      <c r="AC20" s="44"/>
      <c r="AE20" s="35"/>
      <c r="AF20" s="35"/>
      <c r="AG20" s="35"/>
      <c r="AH20" s="35"/>
      <c r="AI20" s="35"/>
      <c r="AJ20" s="35"/>
      <c r="AK20" s="35"/>
      <c r="AP20" s="35"/>
      <c r="AQ20" s="35"/>
      <c r="AR20" s="35"/>
      <c r="AS20" s="35"/>
      <c r="AV20" s="728" t="s">
        <v>1012</v>
      </c>
      <c r="AW20" s="935">
        <f t="shared" si="5"/>
        <v>12.854525582634963</v>
      </c>
      <c r="AX20" s="728">
        <f t="shared" si="7"/>
        <v>12.854525582634963</v>
      </c>
      <c r="AY20" s="723">
        <f t="shared" si="7"/>
        <v>0</v>
      </c>
      <c r="AZ20" s="723">
        <f t="shared" si="7"/>
        <v>0</v>
      </c>
      <c r="BA20" s="723">
        <f t="shared" si="7"/>
        <v>0</v>
      </c>
      <c r="BB20" s="723">
        <f t="shared" si="7"/>
        <v>0</v>
      </c>
      <c r="BC20" s="723">
        <f t="shared" si="7"/>
        <v>0</v>
      </c>
      <c r="BD20" s="723">
        <f t="shared" si="7"/>
        <v>0</v>
      </c>
      <c r="BE20" s="723">
        <f t="shared" si="7"/>
        <v>0</v>
      </c>
      <c r="BF20" s="723">
        <f t="shared" si="7"/>
        <v>0</v>
      </c>
      <c r="BG20" s="723">
        <f t="shared" si="7"/>
        <v>0</v>
      </c>
      <c r="BH20" s="723">
        <f t="shared" si="7"/>
        <v>0</v>
      </c>
      <c r="BI20" s="723">
        <f t="shared" si="7"/>
        <v>0</v>
      </c>
      <c r="BJ20" s="723">
        <f t="shared" si="7"/>
        <v>0</v>
      </c>
      <c r="BK20" s="723">
        <f t="shared" si="7"/>
        <v>0</v>
      </c>
      <c r="BL20" s="723">
        <f t="shared" si="7"/>
        <v>0</v>
      </c>
    </row>
    <row r="21" spans="1:64" s="33" customFormat="1" x14ac:dyDescent="0.25">
      <c r="A21" s="44"/>
      <c r="B21" s="44"/>
      <c r="C21" s="44"/>
      <c r="D21" s="35"/>
      <c r="E21" s="35"/>
      <c r="F21" s="44"/>
      <c r="G21" s="44"/>
      <c r="H21" s="44"/>
      <c r="I21" s="44"/>
      <c r="J21" s="44"/>
      <c r="K21" s="44"/>
      <c r="L21" s="330"/>
      <c r="M21" s="191" t="s">
        <v>1172</v>
      </c>
      <c r="N21" s="166">
        <f>T_ACTFLO!E25</f>
        <v>0</v>
      </c>
      <c r="O21" s="166">
        <f>T_ACTFLO!F25</f>
        <v>0</v>
      </c>
      <c r="P21" s="166">
        <f>T_ACTFLO!G25</f>
        <v>0</v>
      </c>
      <c r="Q21" s="166">
        <f>T_ACTFLO!H25</f>
        <v>0</v>
      </c>
      <c r="R21" s="166">
        <f>T_ACTFLO!I25</f>
        <v>0</v>
      </c>
      <c r="S21" s="166">
        <f>T_ACTFLO!J25</f>
        <v>0</v>
      </c>
      <c r="T21" s="166">
        <f>T_ACTFLO!K25</f>
        <v>0</v>
      </c>
      <c r="U21" s="166">
        <f>T_ACTFLO!L25</f>
        <v>0</v>
      </c>
      <c r="V21" s="166">
        <f>T_ACTFLO!M25</f>
        <v>0</v>
      </c>
      <c r="W21" s="166">
        <f>T_ACTFLO!N25</f>
        <v>0</v>
      </c>
      <c r="X21" s="166">
        <f>T_ACTFLO!O25</f>
        <v>0</v>
      </c>
      <c r="Y21" s="166">
        <f>T_ACTFLO!P25</f>
        <v>0</v>
      </c>
      <c r="Z21" s="166">
        <f>T_ACTFLO!Q25</f>
        <v>0</v>
      </c>
      <c r="AA21" s="166">
        <f>T_ACTFLO!R25</f>
        <v>0</v>
      </c>
      <c r="AB21" s="166">
        <f>T_ACTFLO!S25</f>
        <v>0</v>
      </c>
      <c r="AC21" s="44"/>
      <c r="AE21" s="35"/>
      <c r="AF21" s="35"/>
      <c r="AG21" s="35"/>
      <c r="AH21" s="35"/>
      <c r="AI21" s="35"/>
      <c r="AJ21" s="35"/>
      <c r="AK21" s="35"/>
      <c r="AP21" s="35"/>
      <c r="AQ21" s="35"/>
      <c r="AR21" s="35"/>
      <c r="AS21" s="35"/>
      <c r="AV21" s="728" t="s">
        <v>1014</v>
      </c>
      <c r="AW21" s="935">
        <f t="shared" si="5"/>
        <v>444.21752873241775</v>
      </c>
      <c r="AX21" s="728">
        <f t="shared" ref="AX21:BL29" si="9">SUMIF($AV$38:$AV$481,$AV21,AX$38:AX$481)</f>
        <v>444.21752873241775</v>
      </c>
      <c r="AY21" s="723">
        <f t="shared" si="9"/>
        <v>0</v>
      </c>
      <c r="AZ21" s="723">
        <f t="shared" si="9"/>
        <v>0</v>
      </c>
      <c r="BA21" s="723">
        <f t="shared" si="9"/>
        <v>0</v>
      </c>
      <c r="BB21" s="723">
        <f t="shared" si="9"/>
        <v>0</v>
      </c>
      <c r="BC21" s="723">
        <f t="shared" si="9"/>
        <v>0</v>
      </c>
      <c r="BD21" s="723">
        <f t="shared" si="9"/>
        <v>0</v>
      </c>
      <c r="BE21" s="723">
        <f t="shared" si="9"/>
        <v>0</v>
      </c>
      <c r="BF21" s="723">
        <f t="shared" si="9"/>
        <v>0</v>
      </c>
      <c r="BG21" s="723">
        <f t="shared" si="9"/>
        <v>0</v>
      </c>
      <c r="BH21" s="723">
        <f t="shared" si="9"/>
        <v>0</v>
      </c>
      <c r="BI21" s="723">
        <f t="shared" si="9"/>
        <v>0</v>
      </c>
      <c r="BJ21" s="723">
        <f t="shared" si="9"/>
        <v>0</v>
      </c>
      <c r="BK21" s="723">
        <f t="shared" si="9"/>
        <v>0</v>
      </c>
      <c r="BL21" s="723">
        <f t="shared" si="9"/>
        <v>0</v>
      </c>
    </row>
    <row r="22" spans="1:64" s="33" customFormat="1" x14ac:dyDescent="0.25">
      <c r="A22" s="44"/>
      <c r="B22" s="44"/>
      <c r="C22" s="44"/>
      <c r="D22" s="35"/>
      <c r="E22" s="35"/>
      <c r="F22" s="44"/>
      <c r="G22" s="44"/>
      <c r="H22" s="44"/>
      <c r="I22" s="44"/>
      <c r="J22" s="44"/>
      <c r="K22" s="44"/>
      <c r="L22" s="330"/>
      <c r="M22" s="191" t="s">
        <v>1173</v>
      </c>
      <c r="N22" s="166">
        <f>T_ACTFLO!E26</f>
        <v>0</v>
      </c>
      <c r="O22" s="166">
        <f>T_ACTFLO!F26</f>
        <v>0</v>
      </c>
      <c r="P22" s="166">
        <f>T_ACTFLO!G26</f>
        <v>0</v>
      </c>
      <c r="Q22" s="166">
        <f>T_ACTFLO!H26</f>
        <v>0</v>
      </c>
      <c r="R22" s="166">
        <f>T_ACTFLO!I26</f>
        <v>0</v>
      </c>
      <c r="S22" s="166">
        <f>T_ACTFLO!J26</f>
        <v>0</v>
      </c>
      <c r="T22" s="166">
        <f>T_ACTFLO!K26</f>
        <v>0</v>
      </c>
      <c r="U22" s="166">
        <f>T_ACTFLO!L26</f>
        <v>0</v>
      </c>
      <c r="V22" s="166">
        <f>T_ACTFLO!M26</f>
        <v>0</v>
      </c>
      <c r="W22" s="166">
        <f>T_ACTFLO!N26</f>
        <v>0</v>
      </c>
      <c r="X22" s="166">
        <f>T_ACTFLO!O26</f>
        <v>0</v>
      </c>
      <c r="Y22" s="166">
        <f>T_ACTFLO!P26</f>
        <v>0</v>
      </c>
      <c r="Z22" s="166">
        <f>T_ACTFLO!Q26</f>
        <v>0</v>
      </c>
      <c r="AA22" s="166">
        <f>T_ACTFLO!R26</f>
        <v>0</v>
      </c>
      <c r="AB22" s="166">
        <f>T_ACTFLO!S26</f>
        <v>0</v>
      </c>
      <c r="AC22" s="44"/>
      <c r="AE22" s="35"/>
      <c r="AF22" s="35"/>
      <c r="AG22" s="35"/>
      <c r="AH22" s="35"/>
      <c r="AI22" s="35"/>
      <c r="AJ22" s="35"/>
      <c r="AK22" s="35"/>
      <c r="AP22" s="35"/>
      <c r="AQ22" s="35"/>
      <c r="AR22" s="35"/>
      <c r="AS22" s="35"/>
      <c r="AV22" s="728" t="s">
        <v>1016</v>
      </c>
      <c r="AW22" s="935">
        <f t="shared" si="5"/>
        <v>0</v>
      </c>
      <c r="AX22" s="728">
        <f t="shared" si="9"/>
        <v>0</v>
      </c>
      <c r="AY22" s="723">
        <f t="shared" si="9"/>
        <v>0</v>
      </c>
      <c r="AZ22" s="723">
        <f t="shared" si="9"/>
        <v>0</v>
      </c>
      <c r="BA22" s="723">
        <f t="shared" si="9"/>
        <v>0</v>
      </c>
      <c r="BB22" s="723">
        <f t="shared" si="9"/>
        <v>0</v>
      </c>
      <c r="BC22" s="723">
        <f t="shared" si="9"/>
        <v>0</v>
      </c>
      <c r="BD22" s="723">
        <f t="shared" si="9"/>
        <v>0</v>
      </c>
      <c r="BE22" s="723">
        <f t="shared" si="9"/>
        <v>0</v>
      </c>
      <c r="BF22" s="723">
        <f t="shared" si="9"/>
        <v>0</v>
      </c>
      <c r="BG22" s="723">
        <f t="shared" si="9"/>
        <v>0</v>
      </c>
      <c r="BH22" s="723">
        <f t="shared" si="9"/>
        <v>0</v>
      </c>
      <c r="BI22" s="723">
        <f t="shared" si="9"/>
        <v>0</v>
      </c>
      <c r="BJ22" s="723">
        <f t="shared" si="9"/>
        <v>0</v>
      </c>
      <c r="BK22" s="723">
        <f t="shared" si="9"/>
        <v>0</v>
      </c>
      <c r="BL22" s="723">
        <f t="shared" si="9"/>
        <v>0</v>
      </c>
    </row>
    <row r="23" spans="1:64" s="33" customFormat="1" x14ac:dyDescent="0.25">
      <c r="A23" s="44"/>
      <c r="B23" s="44"/>
      <c r="C23" s="44"/>
      <c r="D23" s="35"/>
      <c r="E23" s="35"/>
      <c r="F23" s="44"/>
      <c r="G23" s="44"/>
      <c r="H23" s="35"/>
      <c r="I23" s="35"/>
      <c r="J23" s="35"/>
      <c r="K23" s="35"/>
      <c r="L23" s="35"/>
      <c r="M23" s="191" t="s">
        <v>501</v>
      </c>
      <c r="N23" s="166">
        <f>T_ACTFLO!E28</f>
        <v>0.76</v>
      </c>
      <c r="O23" s="166">
        <f>T_ACTFLO!F28</f>
        <v>0</v>
      </c>
      <c r="P23" s="166">
        <f>T_ACTFLO!G28</f>
        <v>0</v>
      </c>
      <c r="Q23" s="166">
        <f>T_ACTFLO!H28</f>
        <v>0</v>
      </c>
      <c r="R23" s="166">
        <f>T_ACTFLO!I28</f>
        <v>0</v>
      </c>
      <c r="S23" s="166">
        <f>T_ACTFLO!J28</f>
        <v>0</v>
      </c>
      <c r="T23" s="166">
        <f>T_ACTFLO!K28</f>
        <v>0</v>
      </c>
      <c r="U23" s="166">
        <f>T_ACTFLO!L28</f>
        <v>0</v>
      </c>
      <c r="V23" s="166">
        <f>T_ACTFLO!M28</f>
        <v>0</v>
      </c>
      <c r="W23" s="166">
        <f>T_ACTFLO!N28</f>
        <v>0</v>
      </c>
      <c r="X23" s="166">
        <f>T_ACTFLO!O28</f>
        <v>0</v>
      </c>
      <c r="Y23" s="166">
        <f>T_ACTFLO!P28</f>
        <v>0</v>
      </c>
      <c r="Z23" s="166">
        <f>T_ACTFLO!Q28</f>
        <v>0</v>
      </c>
      <c r="AA23" s="166">
        <f>T_ACTFLO!R28</f>
        <v>0</v>
      </c>
      <c r="AB23" s="166">
        <f>T_ACTFLO!S28</f>
        <v>0</v>
      </c>
      <c r="AE23" s="35"/>
      <c r="AF23" s="35"/>
      <c r="AG23" s="35"/>
      <c r="AH23" s="35"/>
      <c r="AI23" s="35"/>
      <c r="AJ23" s="35"/>
      <c r="AK23" s="35"/>
      <c r="AP23" s="35"/>
      <c r="AQ23" s="35"/>
      <c r="AR23" s="35"/>
      <c r="AS23" s="35"/>
      <c r="AV23" s="728" t="s">
        <v>1023</v>
      </c>
      <c r="AW23" s="935">
        <f t="shared" si="5"/>
        <v>0</v>
      </c>
      <c r="AX23" s="728">
        <f t="shared" si="9"/>
        <v>0</v>
      </c>
      <c r="AY23" s="723">
        <f t="shared" si="9"/>
        <v>0</v>
      </c>
      <c r="AZ23" s="723">
        <f t="shared" si="9"/>
        <v>0</v>
      </c>
      <c r="BA23" s="723">
        <f t="shared" si="9"/>
        <v>0</v>
      </c>
      <c r="BB23" s="723">
        <f t="shared" si="9"/>
        <v>0</v>
      </c>
      <c r="BC23" s="723">
        <f t="shared" si="9"/>
        <v>0</v>
      </c>
      <c r="BD23" s="723">
        <f t="shared" si="9"/>
        <v>0</v>
      </c>
      <c r="BE23" s="723">
        <f t="shared" si="9"/>
        <v>0</v>
      </c>
      <c r="BF23" s="723">
        <f t="shared" si="9"/>
        <v>0</v>
      </c>
      <c r="BG23" s="723">
        <f t="shared" si="9"/>
        <v>0</v>
      </c>
      <c r="BH23" s="723">
        <f t="shared" si="9"/>
        <v>0</v>
      </c>
      <c r="BI23" s="723">
        <f t="shared" si="9"/>
        <v>0</v>
      </c>
      <c r="BJ23" s="723">
        <f t="shared" si="9"/>
        <v>0</v>
      </c>
      <c r="BK23" s="723">
        <f t="shared" si="9"/>
        <v>0</v>
      </c>
      <c r="BL23" s="723">
        <f t="shared" si="9"/>
        <v>0</v>
      </c>
    </row>
    <row r="24" spans="1:64" s="33" customFormat="1" x14ac:dyDescent="0.25">
      <c r="A24" s="44"/>
      <c r="B24" s="44"/>
      <c r="C24" s="44"/>
      <c r="D24" s="35"/>
      <c r="E24" s="35"/>
      <c r="F24" s="44"/>
      <c r="G24" s="44"/>
      <c r="H24" s="35"/>
      <c r="I24" s="35"/>
      <c r="J24" s="35"/>
      <c r="K24" s="35"/>
      <c r="L24" s="35"/>
      <c r="M24" s="191" t="s">
        <v>504</v>
      </c>
      <c r="N24" s="166">
        <f>T_ACTFLO!E$29</f>
        <v>0</v>
      </c>
      <c r="O24" s="166">
        <f>T_ACTFLO!F$29</f>
        <v>0</v>
      </c>
      <c r="P24" s="166">
        <f>T_ACTFLO!G$29</f>
        <v>0</v>
      </c>
      <c r="Q24" s="166">
        <f>T_ACTFLO!H$29</f>
        <v>0</v>
      </c>
      <c r="R24" s="166">
        <f>T_ACTFLO!I$29</f>
        <v>0</v>
      </c>
      <c r="S24" s="166">
        <f>T_ACTFLO!J$29</f>
        <v>0</v>
      </c>
      <c r="T24" s="166">
        <f>T_ACTFLO!K$29</f>
        <v>0</v>
      </c>
      <c r="U24" s="166">
        <f>T_ACTFLO!L$29</f>
        <v>0</v>
      </c>
      <c r="V24" s="166">
        <f>T_ACTFLO!M$29</f>
        <v>0</v>
      </c>
      <c r="W24" s="166">
        <f>T_ACTFLO!N$29</f>
        <v>0</v>
      </c>
      <c r="X24" s="166">
        <f>T_ACTFLO!O$29</f>
        <v>0</v>
      </c>
      <c r="Y24" s="166">
        <f>T_ACTFLO!P$29</f>
        <v>0</v>
      </c>
      <c r="Z24" s="166">
        <f>T_ACTFLO!Q$29</f>
        <v>0</v>
      </c>
      <c r="AA24" s="166">
        <f>T_ACTFLO!R$29</f>
        <v>0</v>
      </c>
      <c r="AB24" s="166">
        <f>T_ACTFLO!S$29</f>
        <v>0</v>
      </c>
      <c r="AE24" s="35"/>
      <c r="AF24" s="35"/>
      <c r="AG24" s="35"/>
      <c r="AH24" s="35"/>
      <c r="AI24" s="35"/>
      <c r="AJ24" s="35"/>
      <c r="AK24" s="35"/>
      <c r="AP24" s="35"/>
      <c r="AQ24" s="35"/>
      <c r="AR24" s="35"/>
      <c r="AS24" s="35"/>
      <c r="AV24" s="725" t="s">
        <v>681</v>
      </c>
      <c r="AW24" s="935">
        <f t="shared" si="5"/>
        <v>0</v>
      </c>
      <c r="AX24" s="728">
        <f t="shared" si="9"/>
        <v>0</v>
      </c>
      <c r="AY24" s="723">
        <f t="shared" si="9"/>
        <v>0</v>
      </c>
      <c r="AZ24" s="723">
        <f t="shared" si="9"/>
        <v>0</v>
      </c>
      <c r="BA24" s="723">
        <f t="shared" si="9"/>
        <v>0</v>
      </c>
      <c r="BB24" s="723">
        <f t="shared" si="9"/>
        <v>0</v>
      </c>
      <c r="BC24" s="723">
        <f t="shared" si="9"/>
        <v>0</v>
      </c>
      <c r="BD24" s="723">
        <f t="shared" si="9"/>
        <v>0</v>
      </c>
      <c r="BE24" s="723">
        <f t="shared" si="9"/>
        <v>0</v>
      </c>
      <c r="BF24" s="723">
        <f t="shared" si="9"/>
        <v>0</v>
      </c>
      <c r="BG24" s="723">
        <f t="shared" si="9"/>
        <v>0</v>
      </c>
      <c r="BH24" s="723">
        <f t="shared" si="9"/>
        <v>0</v>
      </c>
      <c r="BI24" s="723">
        <f t="shared" si="9"/>
        <v>0</v>
      </c>
      <c r="BJ24" s="723">
        <f t="shared" si="9"/>
        <v>0</v>
      </c>
      <c r="BK24" s="723">
        <f t="shared" si="9"/>
        <v>0</v>
      </c>
      <c r="BL24" s="723">
        <f t="shared" si="9"/>
        <v>0</v>
      </c>
    </row>
    <row r="25" spans="1:64" s="33" customFormat="1" x14ac:dyDescent="0.25">
      <c r="A25" s="44"/>
      <c r="B25" s="44"/>
      <c r="C25" s="44"/>
      <c r="D25" s="35"/>
      <c r="E25" s="35"/>
      <c r="F25" s="44"/>
      <c r="G25" s="44"/>
      <c r="H25" s="35"/>
      <c r="I25" s="35"/>
      <c r="J25" s="35"/>
      <c r="K25" s="35"/>
      <c r="L25" s="35"/>
      <c r="M25" s="191" t="s">
        <v>506</v>
      </c>
      <c r="N25" s="166">
        <f>T_ACTFLO!E30</f>
        <v>8.61</v>
      </c>
      <c r="O25" s="166">
        <f>T_ACTFLO!F30</f>
        <v>0</v>
      </c>
      <c r="P25" s="166">
        <f>T_ACTFLO!G30</f>
        <v>0</v>
      </c>
      <c r="Q25" s="166">
        <f>T_ACTFLO!H30</f>
        <v>0</v>
      </c>
      <c r="R25" s="166">
        <f>T_ACTFLO!I30</f>
        <v>0</v>
      </c>
      <c r="S25" s="166">
        <f>T_ACTFLO!J30</f>
        <v>0</v>
      </c>
      <c r="T25" s="166">
        <f>T_ACTFLO!K30</f>
        <v>0</v>
      </c>
      <c r="U25" s="166">
        <f>T_ACTFLO!L30</f>
        <v>0</v>
      </c>
      <c r="V25" s="166">
        <f>T_ACTFLO!M30</f>
        <v>0</v>
      </c>
      <c r="W25" s="166">
        <f>T_ACTFLO!N30</f>
        <v>0</v>
      </c>
      <c r="X25" s="166">
        <f>T_ACTFLO!O30</f>
        <v>0</v>
      </c>
      <c r="Y25" s="166">
        <f>T_ACTFLO!P30</f>
        <v>0</v>
      </c>
      <c r="Z25" s="166">
        <f>T_ACTFLO!Q30</f>
        <v>0</v>
      </c>
      <c r="AA25" s="166">
        <f>T_ACTFLO!R30</f>
        <v>0</v>
      </c>
      <c r="AB25" s="166">
        <f>T_ACTFLO!S30</f>
        <v>0</v>
      </c>
      <c r="AE25" s="35"/>
      <c r="AF25" s="35"/>
      <c r="AG25" s="35"/>
      <c r="AH25" s="35"/>
      <c r="AI25" s="35"/>
      <c r="AJ25" s="35"/>
      <c r="AK25" s="35"/>
      <c r="AP25" s="35"/>
      <c r="AQ25" s="35"/>
      <c r="AR25" s="35"/>
      <c r="AS25" s="35"/>
      <c r="AV25" s="725" t="s">
        <v>1029</v>
      </c>
      <c r="AW25" s="935">
        <f t="shared" si="5"/>
        <v>0</v>
      </c>
      <c r="AX25" s="728">
        <f t="shared" si="9"/>
        <v>0</v>
      </c>
      <c r="AY25" s="723">
        <f t="shared" si="9"/>
        <v>0</v>
      </c>
      <c r="AZ25" s="723">
        <f t="shared" si="9"/>
        <v>0</v>
      </c>
      <c r="BA25" s="723">
        <f t="shared" si="9"/>
        <v>0</v>
      </c>
      <c r="BB25" s="723">
        <f t="shared" si="9"/>
        <v>0</v>
      </c>
      <c r="BC25" s="723">
        <f t="shared" si="9"/>
        <v>0</v>
      </c>
      <c r="BD25" s="723">
        <f t="shared" si="9"/>
        <v>0</v>
      </c>
      <c r="BE25" s="723">
        <f t="shared" si="9"/>
        <v>0</v>
      </c>
      <c r="BF25" s="723">
        <f t="shared" si="9"/>
        <v>0</v>
      </c>
      <c r="BG25" s="723">
        <f t="shared" si="9"/>
        <v>0</v>
      </c>
      <c r="BH25" s="723">
        <f t="shared" si="9"/>
        <v>0</v>
      </c>
      <c r="BI25" s="723">
        <f t="shared" si="9"/>
        <v>0</v>
      </c>
      <c r="BJ25" s="723">
        <f t="shared" si="9"/>
        <v>0</v>
      </c>
      <c r="BK25" s="723">
        <f t="shared" si="9"/>
        <v>0</v>
      </c>
      <c r="BL25" s="723">
        <f t="shared" si="9"/>
        <v>0</v>
      </c>
    </row>
    <row r="26" spans="1:64" s="33" customFormat="1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72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D26" s="48"/>
      <c r="AE26" s="35"/>
      <c r="AF26" s="35"/>
      <c r="AG26" s="35"/>
      <c r="AH26" s="35"/>
      <c r="AI26" s="35"/>
      <c r="AJ26" s="35"/>
      <c r="AK26" s="35"/>
      <c r="AV26" s="725" t="s">
        <v>1031</v>
      </c>
      <c r="AW26" s="935">
        <f t="shared" si="5"/>
        <v>0</v>
      </c>
      <c r="AX26" s="728">
        <f t="shared" si="9"/>
        <v>0</v>
      </c>
      <c r="AY26" s="723">
        <f t="shared" si="9"/>
        <v>0</v>
      </c>
      <c r="AZ26" s="723">
        <f t="shared" si="9"/>
        <v>0</v>
      </c>
      <c r="BA26" s="723">
        <f t="shared" si="9"/>
        <v>0</v>
      </c>
      <c r="BB26" s="723">
        <f t="shared" si="9"/>
        <v>0</v>
      </c>
      <c r="BC26" s="723">
        <f t="shared" si="9"/>
        <v>0</v>
      </c>
      <c r="BD26" s="723">
        <f t="shared" si="9"/>
        <v>0</v>
      </c>
      <c r="BE26" s="723">
        <f t="shared" si="9"/>
        <v>0</v>
      </c>
      <c r="BF26" s="723">
        <f t="shared" si="9"/>
        <v>0</v>
      </c>
      <c r="BG26" s="723">
        <f t="shared" si="9"/>
        <v>0</v>
      </c>
      <c r="BH26" s="723">
        <f t="shared" si="9"/>
        <v>0</v>
      </c>
      <c r="BI26" s="723">
        <f t="shared" si="9"/>
        <v>0</v>
      </c>
      <c r="BJ26" s="723">
        <f t="shared" si="9"/>
        <v>0</v>
      </c>
      <c r="BK26" s="723">
        <f t="shared" si="9"/>
        <v>0</v>
      </c>
      <c r="BL26" s="723">
        <f t="shared" si="9"/>
        <v>0</v>
      </c>
    </row>
    <row r="27" spans="1:64" s="33" customFormat="1" x14ac:dyDescent="0.25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STAT_TRA_Shares!B7</f>
        <v>% of biogas in CNG</v>
      </c>
      <c r="N27" s="151">
        <f>STAT_TRA_Shares!C7</f>
        <v>0.9</v>
      </c>
      <c r="O27" s="151">
        <f t="shared" ref="O27:AB35" si="10">$N27</f>
        <v>0.9</v>
      </c>
      <c r="P27" s="151">
        <f t="shared" si="10"/>
        <v>0.9</v>
      </c>
      <c r="Q27" s="151">
        <f t="shared" si="10"/>
        <v>0.9</v>
      </c>
      <c r="R27" s="151">
        <f t="shared" si="10"/>
        <v>0.9</v>
      </c>
      <c r="S27" s="151">
        <f t="shared" si="10"/>
        <v>0.9</v>
      </c>
      <c r="T27" s="151">
        <f t="shared" si="10"/>
        <v>0.9</v>
      </c>
      <c r="U27" s="151">
        <f t="shared" si="10"/>
        <v>0.9</v>
      </c>
      <c r="V27" s="151">
        <f t="shared" si="10"/>
        <v>0.9</v>
      </c>
      <c r="W27" s="151">
        <f t="shared" si="10"/>
        <v>0.9</v>
      </c>
      <c r="X27" s="151">
        <f t="shared" si="10"/>
        <v>0.9</v>
      </c>
      <c r="Y27" s="151">
        <f t="shared" si="10"/>
        <v>0.9</v>
      </c>
      <c r="Z27" s="151">
        <f t="shared" si="10"/>
        <v>0.9</v>
      </c>
      <c r="AA27" s="151">
        <f t="shared" si="10"/>
        <v>0.9</v>
      </c>
      <c r="AB27" s="151">
        <f t="shared" si="10"/>
        <v>0.9</v>
      </c>
      <c r="AE27" s="35"/>
      <c r="AF27" s="35"/>
      <c r="AG27" s="35"/>
      <c r="AH27" s="35"/>
      <c r="AI27" s="35"/>
      <c r="AV27" s="725" t="s">
        <v>1033</v>
      </c>
      <c r="AW27" s="935">
        <f t="shared" si="5"/>
        <v>0</v>
      </c>
      <c r="AX27" s="728">
        <f t="shared" si="9"/>
        <v>0</v>
      </c>
      <c r="AY27" s="723">
        <f t="shared" si="9"/>
        <v>0</v>
      </c>
      <c r="AZ27" s="723">
        <f t="shared" si="9"/>
        <v>0</v>
      </c>
      <c r="BA27" s="723">
        <f t="shared" si="9"/>
        <v>0</v>
      </c>
      <c r="BB27" s="723">
        <f t="shared" si="9"/>
        <v>0</v>
      </c>
      <c r="BC27" s="723">
        <f t="shared" si="9"/>
        <v>0</v>
      </c>
      <c r="BD27" s="723">
        <f t="shared" si="9"/>
        <v>0</v>
      </c>
      <c r="BE27" s="723">
        <f t="shared" si="9"/>
        <v>0</v>
      </c>
      <c r="BF27" s="723">
        <f t="shared" si="9"/>
        <v>0</v>
      </c>
      <c r="BG27" s="723">
        <f t="shared" si="9"/>
        <v>0</v>
      </c>
      <c r="BH27" s="723">
        <f t="shared" si="9"/>
        <v>0</v>
      </c>
      <c r="BI27" s="723">
        <f t="shared" si="9"/>
        <v>0</v>
      </c>
      <c r="BJ27" s="723">
        <f t="shared" si="9"/>
        <v>0</v>
      </c>
      <c r="BK27" s="723">
        <f t="shared" si="9"/>
        <v>0</v>
      </c>
      <c r="BL27" s="723">
        <f t="shared" si="9"/>
        <v>0</v>
      </c>
    </row>
    <row r="28" spans="1:64" s="33" customFormat="1" x14ac:dyDescent="0.25">
      <c r="A28" s="44"/>
      <c r="B28" s="44"/>
      <c r="C28" s="44"/>
      <c r="D28" s="44"/>
      <c r="E28" s="44"/>
      <c r="F28" s="44"/>
      <c r="G28" s="44"/>
      <c r="J28" s="172"/>
      <c r="K28" s="172"/>
      <c r="L28" s="172"/>
      <c r="M28" s="175" t="str">
        <f>STAT_TRA_Shares!B8</f>
        <v>% of FAME in diesel</v>
      </c>
      <c r="N28" s="151">
        <f>STAT_TRA_Shares!C8</f>
        <v>7.0000000000000007E-2</v>
      </c>
      <c r="O28" s="151">
        <f t="shared" si="10"/>
        <v>7.0000000000000007E-2</v>
      </c>
      <c r="P28" s="151">
        <f t="shared" si="10"/>
        <v>7.0000000000000007E-2</v>
      </c>
      <c r="Q28" s="151">
        <f t="shared" si="10"/>
        <v>7.0000000000000007E-2</v>
      </c>
      <c r="R28" s="151">
        <f t="shared" si="10"/>
        <v>7.0000000000000007E-2</v>
      </c>
      <c r="S28" s="151">
        <f t="shared" si="10"/>
        <v>7.0000000000000007E-2</v>
      </c>
      <c r="T28" s="151">
        <f t="shared" si="10"/>
        <v>7.0000000000000007E-2</v>
      </c>
      <c r="U28" s="151">
        <f t="shared" si="10"/>
        <v>7.0000000000000007E-2</v>
      </c>
      <c r="V28" s="151">
        <f t="shared" si="10"/>
        <v>7.0000000000000007E-2</v>
      </c>
      <c r="W28" s="151">
        <f t="shared" si="10"/>
        <v>7.0000000000000007E-2</v>
      </c>
      <c r="X28" s="151">
        <f t="shared" si="10"/>
        <v>7.0000000000000007E-2</v>
      </c>
      <c r="Y28" s="151">
        <f t="shared" si="10"/>
        <v>7.0000000000000007E-2</v>
      </c>
      <c r="Z28" s="151">
        <f t="shared" si="10"/>
        <v>7.0000000000000007E-2</v>
      </c>
      <c r="AA28" s="151">
        <f t="shared" si="10"/>
        <v>7.0000000000000007E-2</v>
      </c>
      <c r="AB28" s="151">
        <f t="shared" si="10"/>
        <v>7.0000000000000007E-2</v>
      </c>
      <c r="AE28" s="35"/>
      <c r="AF28" s="35"/>
      <c r="AG28" s="35"/>
      <c r="AH28" s="35"/>
      <c r="AI28" s="35"/>
      <c r="AV28" s="725" t="s">
        <v>1035</v>
      </c>
      <c r="AW28" s="935">
        <f t="shared" si="5"/>
        <v>0</v>
      </c>
      <c r="AX28" s="728">
        <f t="shared" si="9"/>
        <v>0</v>
      </c>
      <c r="AY28" s="723">
        <f t="shared" si="9"/>
        <v>0</v>
      </c>
      <c r="AZ28" s="723">
        <f t="shared" si="9"/>
        <v>0</v>
      </c>
      <c r="BA28" s="723">
        <f t="shared" si="9"/>
        <v>0</v>
      </c>
      <c r="BB28" s="723">
        <f t="shared" si="9"/>
        <v>0</v>
      </c>
      <c r="BC28" s="723">
        <f t="shared" si="9"/>
        <v>0</v>
      </c>
      <c r="BD28" s="723">
        <f t="shared" si="9"/>
        <v>0</v>
      </c>
      <c r="BE28" s="723">
        <f t="shared" si="9"/>
        <v>0</v>
      </c>
      <c r="BF28" s="723">
        <f t="shared" si="9"/>
        <v>0</v>
      </c>
      <c r="BG28" s="723">
        <f t="shared" si="9"/>
        <v>0</v>
      </c>
      <c r="BH28" s="723">
        <f t="shared" si="9"/>
        <v>0</v>
      </c>
      <c r="BI28" s="723">
        <f t="shared" si="9"/>
        <v>0</v>
      </c>
      <c r="BJ28" s="723">
        <f t="shared" si="9"/>
        <v>0</v>
      </c>
      <c r="BK28" s="723">
        <f t="shared" si="9"/>
        <v>0</v>
      </c>
      <c r="BL28" s="723">
        <f t="shared" si="9"/>
        <v>0</v>
      </c>
    </row>
    <row r="29" spans="1:64" s="33" customFormat="1" x14ac:dyDescent="0.25">
      <c r="A29" s="44"/>
      <c r="B29" s="44"/>
      <c r="C29" s="44"/>
      <c r="D29" s="44"/>
      <c r="E29" s="44"/>
      <c r="F29" s="44"/>
      <c r="G29" s="44"/>
      <c r="J29" s="172"/>
      <c r="K29" s="172"/>
      <c r="L29" s="172"/>
      <c r="M29" s="175" t="str">
        <f>STAT_TRA_Shares!B9</f>
        <v>% of HVO in diesel</v>
      </c>
      <c r="N29" s="152">
        <f>STAT_TRA_Shares!C9</f>
        <v>0.15</v>
      </c>
      <c r="O29" s="152">
        <f t="shared" si="10"/>
        <v>0.15</v>
      </c>
      <c r="P29" s="152">
        <f t="shared" si="10"/>
        <v>0.15</v>
      </c>
      <c r="Q29" s="152">
        <f t="shared" si="10"/>
        <v>0.15</v>
      </c>
      <c r="R29" s="152">
        <f t="shared" si="10"/>
        <v>0.15</v>
      </c>
      <c r="S29" s="152">
        <f t="shared" si="10"/>
        <v>0.15</v>
      </c>
      <c r="T29" s="152">
        <f t="shared" si="10"/>
        <v>0.15</v>
      </c>
      <c r="U29" s="152">
        <f t="shared" si="10"/>
        <v>0.15</v>
      </c>
      <c r="V29" s="152">
        <f t="shared" si="10"/>
        <v>0.15</v>
      </c>
      <c r="W29" s="152">
        <f t="shared" si="10"/>
        <v>0.15</v>
      </c>
      <c r="X29" s="152">
        <f t="shared" si="10"/>
        <v>0.15</v>
      </c>
      <c r="Y29" s="152">
        <f t="shared" si="10"/>
        <v>0.15</v>
      </c>
      <c r="Z29" s="152">
        <f t="shared" si="10"/>
        <v>0.15</v>
      </c>
      <c r="AA29" s="152">
        <f t="shared" si="10"/>
        <v>0.15</v>
      </c>
      <c r="AB29" s="152">
        <f t="shared" si="10"/>
        <v>0.15</v>
      </c>
      <c r="AD29" s="76"/>
      <c r="AE29" s="35"/>
      <c r="AF29" s="35"/>
      <c r="AG29" s="35"/>
      <c r="AH29" s="35"/>
      <c r="AI29" s="35"/>
      <c r="AV29" s="725" t="s">
        <v>1039</v>
      </c>
      <c r="AW29" s="935">
        <f t="shared" si="5"/>
        <v>26.827598068742752</v>
      </c>
      <c r="AX29" s="728">
        <f t="shared" si="9"/>
        <v>26.827598068742752</v>
      </c>
      <c r="AY29" s="723">
        <f t="shared" si="9"/>
        <v>0</v>
      </c>
      <c r="AZ29" s="723">
        <f t="shared" si="9"/>
        <v>0</v>
      </c>
      <c r="BA29" s="723">
        <f t="shared" si="9"/>
        <v>0</v>
      </c>
      <c r="BB29" s="723">
        <f t="shared" si="9"/>
        <v>0</v>
      </c>
      <c r="BC29" s="723">
        <f t="shared" si="9"/>
        <v>0</v>
      </c>
      <c r="BD29" s="723">
        <f t="shared" si="9"/>
        <v>0</v>
      </c>
      <c r="BE29" s="723">
        <f t="shared" si="9"/>
        <v>0</v>
      </c>
      <c r="BF29" s="723">
        <f t="shared" si="9"/>
        <v>0</v>
      </c>
      <c r="BG29" s="723">
        <f t="shared" si="9"/>
        <v>0</v>
      </c>
      <c r="BH29" s="723">
        <f t="shared" si="9"/>
        <v>0</v>
      </c>
      <c r="BI29" s="723">
        <f t="shared" si="9"/>
        <v>0</v>
      </c>
      <c r="BJ29" s="723">
        <f t="shared" si="9"/>
        <v>0</v>
      </c>
      <c r="BK29" s="723">
        <f t="shared" si="9"/>
        <v>0</v>
      </c>
      <c r="BL29" s="723">
        <f t="shared" si="9"/>
        <v>0</v>
      </c>
    </row>
    <row r="30" spans="1:64" s="33" customFormat="1" x14ac:dyDescent="0.25">
      <c r="A30" s="44"/>
      <c r="B30" s="44"/>
      <c r="C30" s="44"/>
      <c r="D30" s="44"/>
      <c r="E30" s="44"/>
      <c r="F30" s="44"/>
      <c r="G30" s="44"/>
      <c r="J30" s="172"/>
      <c r="K30" s="172"/>
      <c r="L30" s="172"/>
      <c r="M30" s="175" t="str">
        <f>STAT_TRA_Shares!B10</f>
        <v>% of low-blend bioethanol in gasoline</v>
      </c>
      <c r="N30" s="151">
        <f>STAT_TRA_Shares!C10</f>
        <v>0.03</v>
      </c>
      <c r="O30" s="151">
        <f t="shared" si="10"/>
        <v>0.03</v>
      </c>
      <c r="P30" s="151">
        <f t="shared" si="10"/>
        <v>0.03</v>
      </c>
      <c r="Q30" s="151">
        <f t="shared" si="10"/>
        <v>0.03</v>
      </c>
      <c r="R30" s="151">
        <f t="shared" si="10"/>
        <v>0.03</v>
      </c>
      <c r="S30" s="151">
        <f t="shared" si="10"/>
        <v>0.03</v>
      </c>
      <c r="T30" s="151">
        <f t="shared" si="10"/>
        <v>0.03</v>
      </c>
      <c r="U30" s="151">
        <f t="shared" si="10"/>
        <v>0.03</v>
      </c>
      <c r="V30" s="151">
        <f t="shared" si="10"/>
        <v>0.03</v>
      </c>
      <c r="W30" s="151">
        <f t="shared" si="10"/>
        <v>0.03</v>
      </c>
      <c r="X30" s="151">
        <f t="shared" si="10"/>
        <v>0.03</v>
      </c>
      <c r="Y30" s="151">
        <f t="shared" si="10"/>
        <v>0.03</v>
      </c>
      <c r="Z30" s="151">
        <f t="shared" si="10"/>
        <v>0.03</v>
      </c>
      <c r="AA30" s="151">
        <f t="shared" si="10"/>
        <v>0.03</v>
      </c>
      <c r="AB30" s="151">
        <f t="shared" si="10"/>
        <v>0.03</v>
      </c>
      <c r="AD30" s="35"/>
      <c r="AE30" s="35"/>
      <c r="AF30" s="35"/>
      <c r="AG30" s="35"/>
      <c r="AH30" s="35"/>
      <c r="AI30" s="35"/>
    </row>
    <row r="31" spans="1:64" s="33" customFormat="1" x14ac:dyDescent="0.25">
      <c r="A31" s="44"/>
      <c r="B31" s="44"/>
      <c r="C31" s="44"/>
      <c r="D31" s="44"/>
      <c r="E31" s="44"/>
      <c r="F31" s="44"/>
      <c r="G31" s="44"/>
      <c r="J31" s="172"/>
      <c r="K31" s="172"/>
      <c r="L31" s="172"/>
      <c r="M31" s="175" t="str">
        <f>STAT_TRA_Shares!B11</f>
        <v>% of low-blend biogasoline in gasoline</v>
      </c>
      <c r="N31" s="151">
        <f>STAT_TRA_Shares!C11</f>
        <v>0</v>
      </c>
      <c r="O31" s="151">
        <f t="shared" si="10"/>
        <v>0</v>
      </c>
      <c r="P31" s="151">
        <f t="shared" si="10"/>
        <v>0</v>
      </c>
      <c r="Q31" s="151">
        <f t="shared" si="10"/>
        <v>0</v>
      </c>
      <c r="R31" s="151">
        <f t="shared" si="10"/>
        <v>0</v>
      </c>
      <c r="S31" s="151">
        <f t="shared" si="10"/>
        <v>0</v>
      </c>
      <c r="T31" s="151">
        <f t="shared" si="10"/>
        <v>0</v>
      </c>
      <c r="U31" s="151">
        <f t="shared" si="10"/>
        <v>0</v>
      </c>
      <c r="V31" s="151">
        <f t="shared" si="10"/>
        <v>0</v>
      </c>
      <c r="W31" s="151">
        <f t="shared" si="10"/>
        <v>0</v>
      </c>
      <c r="X31" s="151">
        <f t="shared" si="10"/>
        <v>0</v>
      </c>
      <c r="Y31" s="151">
        <f t="shared" si="10"/>
        <v>0</v>
      </c>
      <c r="Z31" s="151">
        <f t="shared" si="10"/>
        <v>0</v>
      </c>
      <c r="AA31" s="151">
        <f t="shared" si="10"/>
        <v>0</v>
      </c>
      <c r="AB31" s="151">
        <f t="shared" si="10"/>
        <v>0</v>
      </c>
      <c r="AD31" s="35"/>
      <c r="AE31" s="35"/>
      <c r="AF31" s="35"/>
      <c r="AG31" s="35"/>
      <c r="AH31" s="35"/>
      <c r="AI31" s="35"/>
    </row>
    <row r="32" spans="1:64" s="33" customFormat="1" x14ac:dyDescent="0.25">
      <c r="A32" s="44"/>
      <c r="B32" s="44"/>
      <c r="C32" s="44"/>
      <c r="D32" s="44"/>
      <c r="E32" s="44"/>
      <c r="F32" s="44"/>
      <c r="G32" s="44"/>
      <c r="J32" s="172"/>
      <c r="K32" s="172"/>
      <c r="L32" s="172"/>
      <c r="M32" s="175" t="str">
        <f>STAT_TRA_Shares!B12</f>
        <v>% of bioethanol in E85 (TRAETH)</v>
      </c>
      <c r="N32" s="151">
        <f>STAT_TRA_Shares!C12</f>
        <v>0.85</v>
      </c>
      <c r="O32" s="151">
        <f t="shared" si="10"/>
        <v>0.85</v>
      </c>
      <c r="P32" s="151">
        <f t="shared" si="10"/>
        <v>0.85</v>
      </c>
      <c r="Q32" s="151">
        <f t="shared" si="10"/>
        <v>0.85</v>
      </c>
      <c r="R32" s="151">
        <f t="shared" si="10"/>
        <v>0.85</v>
      </c>
      <c r="S32" s="151">
        <f t="shared" si="10"/>
        <v>0.85</v>
      </c>
      <c r="T32" s="151">
        <f t="shared" si="10"/>
        <v>0.85</v>
      </c>
      <c r="U32" s="151">
        <f t="shared" si="10"/>
        <v>0.85</v>
      </c>
      <c r="V32" s="151">
        <f t="shared" si="10"/>
        <v>0.85</v>
      </c>
      <c r="W32" s="151">
        <f t="shared" si="10"/>
        <v>0.85</v>
      </c>
      <c r="X32" s="151">
        <f t="shared" si="10"/>
        <v>0.85</v>
      </c>
      <c r="Y32" s="151">
        <f t="shared" si="10"/>
        <v>0.85</v>
      </c>
      <c r="Z32" s="151">
        <f t="shared" si="10"/>
        <v>0.85</v>
      </c>
      <c r="AA32" s="151">
        <f t="shared" si="10"/>
        <v>0.85</v>
      </c>
      <c r="AB32" s="151">
        <f t="shared" si="10"/>
        <v>0.85</v>
      </c>
      <c r="AD32" s="76"/>
    </row>
    <row r="33" spans="1:64" s="33" customFormat="1" x14ac:dyDescent="0.25">
      <c r="A33" s="44"/>
      <c r="D33" s="44"/>
      <c r="E33" s="44"/>
      <c r="F33" s="44"/>
      <c r="G33" s="44"/>
      <c r="J33" s="172"/>
      <c r="K33" s="172"/>
      <c r="L33" s="172"/>
      <c r="M33" s="175" t="str">
        <f>STAT_TRA_Shares!B18</f>
        <v>% of CNG fuelled in flexfuel GAS vehicles (rest is GSL)</v>
      </c>
      <c r="N33" s="151">
        <f>STAT_TRA_Shares!C18</f>
        <v>0.8</v>
      </c>
      <c r="O33" s="151">
        <f t="shared" si="10"/>
        <v>0.8</v>
      </c>
      <c r="P33" s="151">
        <f t="shared" si="10"/>
        <v>0.8</v>
      </c>
      <c r="Q33" s="151">
        <f t="shared" si="10"/>
        <v>0.8</v>
      </c>
      <c r="R33" s="151">
        <f t="shared" si="10"/>
        <v>0.8</v>
      </c>
      <c r="S33" s="151">
        <f t="shared" si="10"/>
        <v>0.8</v>
      </c>
      <c r="T33" s="151">
        <f t="shared" si="10"/>
        <v>0.8</v>
      </c>
      <c r="U33" s="151">
        <f t="shared" si="10"/>
        <v>0.8</v>
      </c>
      <c r="V33" s="151">
        <f t="shared" si="10"/>
        <v>0.8</v>
      </c>
      <c r="W33" s="151">
        <f t="shared" si="10"/>
        <v>0.8</v>
      </c>
      <c r="X33" s="151">
        <f t="shared" si="10"/>
        <v>0.8</v>
      </c>
      <c r="Y33" s="151">
        <f t="shared" si="10"/>
        <v>0.8</v>
      </c>
      <c r="Z33" s="151">
        <f t="shared" si="10"/>
        <v>0.8</v>
      </c>
      <c r="AA33" s="151">
        <f t="shared" si="10"/>
        <v>0.8</v>
      </c>
      <c r="AB33" s="151">
        <f t="shared" si="10"/>
        <v>0.8</v>
      </c>
    </row>
    <row r="34" spans="1:64" s="33" customFormat="1" x14ac:dyDescent="0.25">
      <c r="A34" s="44"/>
      <c r="D34" s="44"/>
      <c r="E34" s="44"/>
      <c r="F34" s="44"/>
      <c r="G34" s="44"/>
      <c r="J34" s="172"/>
      <c r="K34" s="172"/>
      <c r="L34" s="172"/>
      <c r="M34" s="175" t="str">
        <f>STAT_TRA_Shares!B19</f>
        <v>% of ethanol fuelled in E85 flexfuel vehicles (rest is GSL)</v>
      </c>
      <c r="N34" s="151">
        <f>STAT_TRA_Shares!C19</f>
        <v>0.75</v>
      </c>
      <c r="O34" s="151">
        <f t="shared" si="10"/>
        <v>0.75</v>
      </c>
      <c r="P34" s="151">
        <f t="shared" si="10"/>
        <v>0.75</v>
      </c>
      <c r="Q34" s="151">
        <f t="shared" si="10"/>
        <v>0.75</v>
      </c>
      <c r="R34" s="151">
        <f t="shared" si="10"/>
        <v>0.75</v>
      </c>
      <c r="S34" s="151">
        <f t="shared" si="10"/>
        <v>0.75</v>
      </c>
      <c r="T34" s="151">
        <f t="shared" si="10"/>
        <v>0.75</v>
      </c>
      <c r="U34" s="151">
        <f t="shared" si="10"/>
        <v>0.75</v>
      </c>
      <c r="V34" s="151">
        <f t="shared" si="10"/>
        <v>0.75</v>
      </c>
      <c r="W34" s="151">
        <f t="shared" si="10"/>
        <v>0.75</v>
      </c>
      <c r="X34" s="151">
        <f t="shared" si="10"/>
        <v>0.75</v>
      </c>
      <c r="Y34" s="151">
        <f t="shared" si="10"/>
        <v>0.75</v>
      </c>
      <c r="Z34" s="151">
        <f t="shared" si="10"/>
        <v>0.75</v>
      </c>
      <c r="AA34" s="151">
        <f t="shared" si="10"/>
        <v>0.75</v>
      </c>
      <c r="AB34" s="151">
        <f t="shared" si="10"/>
        <v>0.75</v>
      </c>
      <c r="AF34" s="77"/>
      <c r="AG34" s="77"/>
      <c r="AH34" s="77"/>
      <c r="AI34" s="77"/>
      <c r="AJ34" s="77"/>
      <c r="AK34" s="77"/>
      <c r="AL34" s="77"/>
    </row>
    <row r="35" spans="1:64" s="33" customFormat="1" x14ac:dyDescent="0.25">
      <c r="A35" s="44"/>
      <c r="D35" s="44"/>
      <c r="E35" s="44"/>
      <c r="F35" s="44"/>
      <c r="G35" s="44"/>
      <c r="J35" s="172"/>
      <c r="K35" s="172"/>
      <c r="L35" s="172"/>
      <c r="M35" s="175" t="str">
        <f>STAT_TRA_Shares!B20</f>
        <v>% of LPG fuelled in flexfuel LPG vehicles (rest is GSL)</v>
      </c>
      <c r="N35" s="151">
        <f>STAT_TRA_Shares!C20</f>
        <v>0.8</v>
      </c>
      <c r="O35" s="151">
        <f t="shared" si="10"/>
        <v>0.8</v>
      </c>
      <c r="P35" s="151">
        <f t="shared" si="10"/>
        <v>0.8</v>
      </c>
      <c r="Q35" s="151">
        <f t="shared" si="10"/>
        <v>0.8</v>
      </c>
      <c r="R35" s="151">
        <f t="shared" si="10"/>
        <v>0.8</v>
      </c>
      <c r="S35" s="151">
        <f t="shared" si="10"/>
        <v>0.8</v>
      </c>
      <c r="T35" s="151">
        <f t="shared" si="10"/>
        <v>0.8</v>
      </c>
      <c r="U35" s="151">
        <f t="shared" si="10"/>
        <v>0.8</v>
      </c>
      <c r="V35" s="151">
        <f t="shared" si="10"/>
        <v>0.8</v>
      </c>
      <c r="W35" s="151">
        <f t="shared" si="10"/>
        <v>0.8</v>
      </c>
      <c r="X35" s="151">
        <f t="shared" si="10"/>
        <v>0.8</v>
      </c>
      <c r="Y35" s="151">
        <f t="shared" si="10"/>
        <v>0.8</v>
      </c>
      <c r="Z35" s="151">
        <f t="shared" si="10"/>
        <v>0.8</v>
      </c>
      <c r="AA35" s="151">
        <f t="shared" si="10"/>
        <v>0.8</v>
      </c>
      <c r="AB35" s="151">
        <f t="shared" si="10"/>
        <v>0.8</v>
      </c>
      <c r="AF35" s="77"/>
      <c r="AG35" s="77"/>
      <c r="AH35" s="77"/>
      <c r="AI35" s="77"/>
      <c r="AJ35" s="77"/>
      <c r="AK35" s="77"/>
      <c r="AL35" s="77"/>
    </row>
    <row r="36" spans="1:64" s="33" customFormat="1" x14ac:dyDescent="0.25">
      <c r="A36" s="44"/>
      <c r="D36" s="44"/>
      <c r="E36" s="44"/>
      <c r="F36" s="44"/>
      <c r="G36" s="44"/>
      <c r="M36" s="475"/>
      <c r="N36" s="373"/>
      <c r="O36" s="373"/>
      <c r="P36" s="373"/>
      <c r="Q36" s="373"/>
      <c r="R36" s="373"/>
      <c r="S36" s="373"/>
      <c r="T36" s="373"/>
      <c r="U36" s="373"/>
      <c r="V36" s="373"/>
      <c r="W36" s="373"/>
      <c r="X36" s="373"/>
      <c r="Y36" s="373"/>
      <c r="Z36" s="373"/>
      <c r="AA36" s="373"/>
      <c r="AB36" s="373"/>
      <c r="AF36" s="77"/>
      <c r="AG36" s="77"/>
      <c r="AH36" s="77"/>
      <c r="AI36" s="77"/>
      <c r="AJ36" s="77"/>
      <c r="AK36" s="77"/>
      <c r="AL36" s="77"/>
    </row>
    <row r="37" spans="1:64" s="33" customFormat="1" x14ac:dyDescent="0.25">
      <c r="A37" s="44"/>
      <c r="D37" s="44"/>
      <c r="E37" s="44"/>
      <c r="F37" s="44"/>
      <c r="G37" s="44"/>
      <c r="M37" s="475"/>
      <c r="N37" s="373"/>
      <c r="O37" s="373"/>
      <c r="P37" s="373"/>
      <c r="Q37" s="373"/>
      <c r="R37" s="373"/>
      <c r="S37" s="373"/>
      <c r="T37" s="373"/>
      <c r="U37" s="373"/>
      <c r="V37" s="373"/>
      <c r="W37" s="373"/>
      <c r="X37" s="373"/>
      <c r="Y37" s="373"/>
      <c r="Z37" s="373"/>
      <c r="AA37" s="373"/>
      <c r="AB37" s="373"/>
      <c r="AF37" s="77"/>
      <c r="AG37" s="77"/>
      <c r="AH37" s="77"/>
      <c r="AI37" s="77"/>
      <c r="AJ37" s="77"/>
      <c r="AK37" s="77"/>
      <c r="AL37" s="77"/>
    </row>
    <row r="38" spans="1:64" s="22" customFormat="1" x14ac:dyDescent="0.25">
      <c r="A38" s="35"/>
      <c r="B38" s="35"/>
      <c r="C38" s="50"/>
      <c r="D38" s="50"/>
      <c r="E38" s="35"/>
      <c r="F38" s="35"/>
      <c r="G38" s="35"/>
      <c r="H38" s="41"/>
      <c r="I38" s="51"/>
      <c r="J38" s="41"/>
      <c r="K38" s="41"/>
      <c r="L38" s="40"/>
      <c r="M38" s="40"/>
      <c r="N38" s="35"/>
      <c r="O38" s="35"/>
      <c r="P38" s="35"/>
      <c r="Q38" s="35"/>
      <c r="R38" s="41"/>
      <c r="S38" s="35"/>
      <c r="T38" s="35"/>
      <c r="U38" s="35"/>
      <c r="V38" s="35"/>
      <c r="W38" s="41"/>
      <c r="X38" s="35"/>
      <c r="Y38" s="35"/>
      <c r="Z38" s="35"/>
      <c r="AA38" s="35"/>
      <c r="AB38" s="35"/>
      <c r="AC38" s="41"/>
      <c r="AD38" s="35"/>
      <c r="AE38" s="330"/>
      <c r="AF38" s="330"/>
      <c r="AG38" s="330"/>
      <c r="AH38" s="330"/>
      <c r="AI38" s="330"/>
      <c r="AJ38" s="330"/>
      <c r="AK38" s="330"/>
      <c r="AL38" s="330"/>
      <c r="AM38" s="330"/>
      <c r="AN38" s="330"/>
      <c r="AO38" s="330"/>
      <c r="AP38" s="330"/>
      <c r="AQ38" s="330"/>
      <c r="AR38" s="330"/>
      <c r="AS38" s="330"/>
    </row>
    <row r="39" spans="1:64" s="22" customFormat="1" x14ac:dyDescent="0.25">
      <c r="A39" s="35"/>
      <c r="B39" s="35"/>
      <c r="C39" s="50"/>
      <c r="D39" s="50"/>
      <c r="E39" s="35"/>
      <c r="F39" s="35"/>
      <c r="G39" s="35"/>
      <c r="H39" s="41"/>
      <c r="I39" s="51"/>
      <c r="J39" s="41"/>
      <c r="K39" s="41"/>
      <c r="L39" s="40"/>
      <c r="M39" s="40"/>
      <c r="N39" s="35"/>
      <c r="O39" s="35"/>
      <c r="P39" s="35"/>
      <c r="Q39" s="35"/>
      <c r="R39" s="41"/>
      <c r="S39" s="35"/>
      <c r="T39" s="35"/>
      <c r="U39" s="35"/>
      <c r="V39" s="35"/>
      <c r="W39" s="41"/>
      <c r="X39" s="35"/>
      <c r="Y39" s="35"/>
      <c r="Z39" s="35"/>
      <c r="AA39" s="35"/>
      <c r="AB39" s="35"/>
      <c r="AC39" s="41"/>
      <c r="AD39" s="35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330"/>
      <c r="AR39" s="330"/>
      <c r="AS39" s="330"/>
    </row>
    <row r="40" spans="1:64" s="22" customFormat="1" x14ac:dyDescent="0.25">
      <c r="A40" s="35"/>
      <c r="B40" s="35"/>
      <c r="C40" s="50"/>
      <c r="D40" s="50"/>
      <c r="E40" s="35"/>
      <c r="F40" s="35"/>
      <c r="G40" s="35"/>
      <c r="H40" s="41"/>
      <c r="I40" s="51"/>
      <c r="J40" s="41"/>
      <c r="K40" s="41"/>
      <c r="L40" s="40"/>
      <c r="M40" s="473" t="s">
        <v>1152</v>
      </c>
      <c r="N40" s="482">
        <v>1.3029999999999999E-3</v>
      </c>
      <c r="O40" s="482">
        <v>0</v>
      </c>
      <c r="P40" s="482">
        <v>0</v>
      </c>
      <c r="Q40" s="482">
        <v>0</v>
      </c>
      <c r="R40" s="482">
        <v>0</v>
      </c>
      <c r="S40" s="482">
        <v>0</v>
      </c>
      <c r="T40" s="482">
        <v>0</v>
      </c>
      <c r="U40" s="482">
        <v>0</v>
      </c>
      <c r="V40" s="482">
        <v>0</v>
      </c>
      <c r="W40" s="482">
        <v>0</v>
      </c>
      <c r="X40" s="482">
        <v>0</v>
      </c>
      <c r="Y40" s="482">
        <v>0</v>
      </c>
      <c r="Z40" s="482">
        <v>0</v>
      </c>
      <c r="AA40" s="482">
        <v>0</v>
      </c>
      <c r="AB40" s="482">
        <v>0</v>
      </c>
      <c r="AC40" s="41"/>
      <c r="AD40" s="35"/>
      <c r="AE40" s="330"/>
      <c r="AF40" s="821"/>
      <c r="AG40" s="821"/>
      <c r="AH40" s="821"/>
      <c r="AI40" s="821"/>
      <c r="AJ40" s="821"/>
      <c r="AK40" s="821"/>
      <c r="AL40" s="821"/>
      <c r="AM40" s="821"/>
      <c r="AN40" s="821"/>
      <c r="AO40" s="821"/>
      <c r="AP40" s="821"/>
      <c r="AQ40" s="821"/>
      <c r="AR40" s="821"/>
      <c r="AS40" s="821"/>
      <c r="AT40" s="821"/>
    </row>
    <row r="41" spans="1:64" x14ac:dyDescent="0.25">
      <c r="B41" s="32" t="s">
        <v>1177</v>
      </c>
      <c r="C41" s="88"/>
      <c r="D41" s="26"/>
      <c r="I41" s="36"/>
      <c r="M41" s="473" t="s">
        <v>1154</v>
      </c>
      <c r="N41" s="482">
        <v>0</v>
      </c>
      <c r="O41" s="482">
        <v>0</v>
      </c>
      <c r="P41" s="482">
        <v>0</v>
      </c>
      <c r="Q41" s="482">
        <v>0</v>
      </c>
      <c r="R41" s="482">
        <v>0</v>
      </c>
      <c r="S41" s="482">
        <v>0</v>
      </c>
      <c r="T41" s="482">
        <v>0</v>
      </c>
      <c r="U41" s="482">
        <v>0</v>
      </c>
      <c r="V41" s="482">
        <v>0</v>
      </c>
      <c r="W41" s="482">
        <v>0</v>
      </c>
      <c r="X41" s="482">
        <v>0</v>
      </c>
      <c r="Y41" s="482">
        <v>0</v>
      </c>
      <c r="Z41" s="482">
        <v>0</v>
      </c>
      <c r="AA41" s="482">
        <v>0</v>
      </c>
      <c r="AB41" s="482">
        <v>0</v>
      </c>
      <c r="AF41" s="821">
        <f t="shared" ref="AF41:AT41" si="11">SUM(N10:N11)/AF46-1</f>
        <v>-2.3326080496721691E-4</v>
      </c>
      <c r="AG41" s="821" t="e">
        <f t="shared" si="11"/>
        <v>#DIV/0!</v>
      </c>
      <c r="AH41" s="821" t="e">
        <f t="shared" si="11"/>
        <v>#DIV/0!</v>
      </c>
      <c r="AI41" s="821" t="e">
        <f t="shared" si="11"/>
        <v>#DIV/0!</v>
      </c>
      <c r="AJ41" s="821" t="e">
        <f t="shared" si="11"/>
        <v>#DIV/0!</v>
      </c>
      <c r="AK41" s="821" t="e">
        <f t="shared" si="11"/>
        <v>#DIV/0!</v>
      </c>
      <c r="AL41" s="821" t="e">
        <f t="shared" si="11"/>
        <v>#DIV/0!</v>
      </c>
      <c r="AM41" s="821" t="e">
        <f t="shared" si="11"/>
        <v>#DIV/0!</v>
      </c>
      <c r="AN41" s="821" t="e">
        <f t="shared" si="11"/>
        <v>#DIV/0!</v>
      </c>
      <c r="AO41" s="821" t="e">
        <f t="shared" si="11"/>
        <v>#DIV/0!</v>
      </c>
      <c r="AP41" s="821" t="e">
        <f t="shared" si="11"/>
        <v>#DIV/0!</v>
      </c>
      <c r="AQ41" s="821" t="e">
        <f t="shared" si="11"/>
        <v>#DIV/0!</v>
      </c>
      <c r="AR41" s="821" t="e">
        <f t="shared" si="11"/>
        <v>#DIV/0!</v>
      </c>
      <c r="AS41" s="821" t="e">
        <f t="shared" si="11"/>
        <v>#DIV/0!</v>
      </c>
      <c r="AT41" s="821" t="e">
        <f t="shared" si="11"/>
        <v>#DIV/0!</v>
      </c>
    </row>
    <row r="42" spans="1:64" x14ac:dyDescent="0.25">
      <c r="I42" s="36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F42" s="821"/>
      <c r="AG42" s="821"/>
      <c r="AH42" s="821"/>
      <c r="AI42" s="821"/>
      <c r="AJ42" s="821"/>
      <c r="AK42" s="821"/>
      <c r="AL42" s="821"/>
      <c r="AM42" s="821"/>
      <c r="AN42" s="821"/>
      <c r="AO42" s="821"/>
      <c r="AP42" s="821"/>
      <c r="AQ42" s="821"/>
      <c r="AR42" s="821"/>
      <c r="AS42" s="821"/>
      <c r="AT42" s="821"/>
    </row>
    <row r="43" spans="1:64" s="22" customFormat="1" x14ac:dyDescent="0.25">
      <c r="A43" s="35"/>
      <c r="B43" s="35"/>
      <c r="C43" s="50"/>
      <c r="D43" s="50"/>
      <c r="E43" s="35"/>
      <c r="F43" s="35"/>
      <c r="G43" s="35"/>
      <c r="H43" s="41"/>
      <c r="I43" s="51"/>
      <c r="J43" s="41"/>
      <c r="K43" s="41"/>
      <c r="L43" s="40" t="str">
        <f>IF(SUM(N10:AB11)&gt;0,"~FI_T","Not in use")</f>
        <v>~FI_T</v>
      </c>
      <c r="M43" s="40"/>
      <c r="N43" s="35"/>
      <c r="O43" s="35"/>
      <c r="P43" s="35"/>
      <c r="Q43" s="35"/>
      <c r="R43" s="41"/>
      <c r="S43" s="35"/>
      <c r="T43" s="35"/>
      <c r="U43" s="35"/>
      <c r="V43" s="35"/>
      <c r="W43" s="41"/>
      <c r="X43" s="35"/>
      <c r="Y43" s="35"/>
      <c r="Z43" s="35"/>
      <c r="AA43" s="35"/>
      <c r="AB43" s="35"/>
      <c r="AC43" s="41"/>
      <c r="AD43" s="49" t="str">
        <f>CONCATENATE("TEST: ",B41)</f>
        <v>TEST: Base-year: Light Trucks (LGV) &lt;3.5 tons</v>
      </c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V43" s="471" t="s">
        <v>1052</v>
      </c>
    </row>
    <row r="44" spans="1:64" s="22" customFormat="1" x14ac:dyDescent="0.25">
      <c r="A44" s="35"/>
      <c r="B44" s="52" t="s">
        <v>1053</v>
      </c>
      <c r="C44" s="26" t="s">
        <v>104</v>
      </c>
      <c r="D44" s="26" t="s">
        <v>1054</v>
      </c>
      <c r="E44" s="26" t="s">
        <v>673</v>
      </c>
      <c r="F44" s="26" t="s">
        <v>1155</v>
      </c>
      <c r="G44" s="26" t="s">
        <v>674</v>
      </c>
      <c r="H44" s="26" t="s">
        <v>1055</v>
      </c>
      <c r="I44" s="53" t="s">
        <v>1056</v>
      </c>
      <c r="J44" s="26" t="s">
        <v>982</v>
      </c>
      <c r="K44" s="42" t="s">
        <v>1123</v>
      </c>
      <c r="L44" s="26" t="s">
        <v>1057</v>
      </c>
      <c r="M44" s="26" t="s">
        <v>1058</v>
      </c>
      <c r="N44" s="26" t="str">
        <f t="shared" ref="N44:AB44" si="12">N$2</f>
        <v>Z01</v>
      </c>
      <c r="O44" s="26" t="str">
        <f t="shared" si="12"/>
        <v>Z02</v>
      </c>
      <c r="P44" s="26" t="str">
        <f t="shared" si="12"/>
        <v>Z03</v>
      </c>
      <c r="Q44" s="26" t="str">
        <f t="shared" si="12"/>
        <v>Z04</v>
      </c>
      <c r="R44" s="26" t="str">
        <f t="shared" si="12"/>
        <v>Z05</v>
      </c>
      <c r="S44" s="26" t="str">
        <f t="shared" si="12"/>
        <v>Z06</v>
      </c>
      <c r="T44" s="26" t="str">
        <f t="shared" si="12"/>
        <v>Z07</v>
      </c>
      <c r="U44" s="26" t="str">
        <f t="shared" si="12"/>
        <v>Z08</v>
      </c>
      <c r="V44" s="26" t="str">
        <f t="shared" si="12"/>
        <v>Z09</v>
      </c>
      <c r="W44" s="26" t="str">
        <f t="shared" si="12"/>
        <v>Z10</v>
      </c>
      <c r="X44" s="26" t="str">
        <f t="shared" si="12"/>
        <v>Z11</v>
      </c>
      <c r="Y44" s="26" t="str">
        <f t="shared" si="12"/>
        <v>Z12</v>
      </c>
      <c r="Z44" s="26" t="str">
        <f t="shared" si="12"/>
        <v>Z13</v>
      </c>
      <c r="AA44" s="26" t="str">
        <f t="shared" si="12"/>
        <v>Z14</v>
      </c>
      <c r="AB44" s="26" t="str">
        <f t="shared" si="12"/>
        <v>Z15</v>
      </c>
      <c r="AC44" s="48"/>
      <c r="AD44" s="42"/>
      <c r="AE44" s="42" t="s">
        <v>421</v>
      </c>
      <c r="AF44" s="42" t="str">
        <f t="shared" ref="AF44:AT44" si="13">N2</f>
        <v>Z01</v>
      </c>
      <c r="AG44" s="42" t="str">
        <f t="shared" si="13"/>
        <v>Z02</v>
      </c>
      <c r="AH44" s="42" t="str">
        <f t="shared" si="13"/>
        <v>Z03</v>
      </c>
      <c r="AI44" s="42" t="str">
        <f t="shared" si="13"/>
        <v>Z04</v>
      </c>
      <c r="AJ44" s="42" t="str">
        <f t="shared" si="13"/>
        <v>Z05</v>
      </c>
      <c r="AK44" s="42" t="str">
        <f t="shared" si="13"/>
        <v>Z06</v>
      </c>
      <c r="AL44" s="42" t="str">
        <f t="shared" si="13"/>
        <v>Z07</v>
      </c>
      <c r="AM44" s="42" t="str">
        <f t="shared" si="13"/>
        <v>Z08</v>
      </c>
      <c r="AN44" s="42" t="str">
        <f t="shared" si="13"/>
        <v>Z09</v>
      </c>
      <c r="AO44" s="42" t="str">
        <f t="shared" si="13"/>
        <v>Z10</v>
      </c>
      <c r="AP44" s="42" t="str">
        <f t="shared" si="13"/>
        <v>Z11</v>
      </c>
      <c r="AQ44" s="42" t="str">
        <f t="shared" si="13"/>
        <v>Z12</v>
      </c>
      <c r="AR44" s="42" t="str">
        <f t="shared" si="13"/>
        <v>Z13</v>
      </c>
      <c r="AS44" s="42" t="str">
        <f t="shared" si="13"/>
        <v>Z14</v>
      </c>
      <c r="AT44" s="42" t="str">
        <f t="shared" si="13"/>
        <v>Z15</v>
      </c>
      <c r="AV44" s="701" t="s">
        <v>85</v>
      </c>
      <c r="AW44" s="701" t="s">
        <v>421</v>
      </c>
      <c r="AX44" s="701" t="str">
        <f t="shared" ref="AX44:BL44" si="14">N$2</f>
        <v>Z01</v>
      </c>
      <c r="AY44" s="701" t="str">
        <f t="shared" si="14"/>
        <v>Z02</v>
      </c>
      <c r="AZ44" s="701" t="str">
        <f t="shared" si="14"/>
        <v>Z03</v>
      </c>
      <c r="BA44" s="701" t="str">
        <f t="shared" si="14"/>
        <v>Z04</v>
      </c>
      <c r="BB44" s="701" t="str">
        <f t="shared" si="14"/>
        <v>Z05</v>
      </c>
      <c r="BC44" s="701" t="str">
        <f t="shared" si="14"/>
        <v>Z06</v>
      </c>
      <c r="BD44" s="701" t="str">
        <f t="shared" si="14"/>
        <v>Z07</v>
      </c>
      <c r="BE44" s="701" t="str">
        <f t="shared" si="14"/>
        <v>Z08</v>
      </c>
      <c r="BF44" s="701" t="str">
        <f t="shared" si="14"/>
        <v>Z09</v>
      </c>
      <c r="BG44" s="701" t="str">
        <f t="shared" si="14"/>
        <v>Z10</v>
      </c>
      <c r="BH44" s="701" t="str">
        <f t="shared" si="14"/>
        <v>Z11</v>
      </c>
      <c r="BI44" s="701" t="str">
        <f t="shared" si="14"/>
        <v>Z12</v>
      </c>
      <c r="BJ44" s="701" t="str">
        <f t="shared" si="14"/>
        <v>Z13</v>
      </c>
      <c r="BK44" s="701" t="str">
        <f t="shared" si="14"/>
        <v>Z14</v>
      </c>
      <c r="BL44" s="701" t="str">
        <f t="shared" si="14"/>
        <v>Z15</v>
      </c>
    </row>
    <row r="45" spans="1:64" s="22" customFormat="1" x14ac:dyDescent="0.25">
      <c r="A45" s="35"/>
      <c r="B45" s="176"/>
      <c r="C45" s="176"/>
      <c r="D45" s="176" t="s">
        <v>1062</v>
      </c>
      <c r="E45" s="176"/>
      <c r="F45" s="176"/>
      <c r="G45" s="176"/>
      <c r="H45" s="176"/>
      <c r="I45" s="177"/>
      <c r="J45" s="176"/>
      <c r="K45" s="176"/>
      <c r="L45" s="176"/>
      <c r="M45" s="202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35"/>
      <c r="AD45" s="398" t="s">
        <v>1124</v>
      </c>
      <c r="AE45" s="625" t="str">
        <f>IF(AE46-SUM(N10:AB11)&lt;0,"too small",IF(AE46-SUM(N10:AB11)&gt;0.001,"Too big","ok"))</f>
        <v>Too big</v>
      </c>
      <c r="AF45" s="619" t="str">
        <f t="shared" ref="AF45:AT45" si="15">IF(AF46-SUM(N10:N11)&lt;0,"too small",IF(AF46-SUM(N10:N11)&gt;0.0001,"Too big","ok"))</f>
        <v>Too big</v>
      </c>
      <c r="AG45" s="619" t="str">
        <f t="shared" si="15"/>
        <v>ok</v>
      </c>
      <c r="AH45" s="619" t="str">
        <f t="shared" si="15"/>
        <v>ok</v>
      </c>
      <c r="AI45" s="619" t="str">
        <f t="shared" si="15"/>
        <v>ok</v>
      </c>
      <c r="AJ45" s="619" t="str">
        <f t="shared" si="15"/>
        <v>ok</v>
      </c>
      <c r="AK45" s="619" t="str">
        <f t="shared" si="15"/>
        <v>ok</v>
      </c>
      <c r="AL45" s="619" t="str">
        <f t="shared" si="15"/>
        <v>ok</v>
      </c>
      <c r="AM45" s="619" t="str">
        <f t="shared" si="15"/>
        <v>ok</v>
      </c>
      <c r="AN45" s="619" t="str">
        <f t="shared" si="15"/>
        <v>ok</v>
      </c>
      <c r="AO45" s="619" t="str">
        <f t="shared" si="15"/>
        <v>ok</v>
      </c>
      <c r="AP45" s="619" t="str">
        <f t="shared" si="15"/>
        <v>ok</v>
      </c>
      <c r="AQ45" s="619" t="str">
        <f t="shared" si="15"/>
        <v>ok</v>
      </c>
      <c r="AR45" s="619" t="str">
        <f t="shared" si="15"/>
        <v>ok</v>
      </c>
      <c r="AS45" s="619" t="str">
        <f t="shared" si="15"/>
        <v>ok</v>
      </c>
      <c r="AT45" s="619" t="str">
        <f t="shared" si="15"/>
        <v>ok</v>
      </c>
      <c r="AV45" s="398" t="s">
        <v>103</v>
      </c>
      <c r="AW45" s="717">
        <f>SUM(AX45:BL45)</f>
        <v>5317.2599769275648</v>
      </c>
      <c r="AX45" s="718">
        <f>SUM(AX46:AX182)</f>
        <v>5317.2599769275648</v>
      </c>
      <c r="AY45" s="718">
        <f t="shared" ref="AY45:BL45" si="16">SUM(AY46:AY182)</f>
        <v>0</v>
      </c>
      <c r="AZ45" s="718">
        <f t="shared" si="16"/>
        <v>0</v>
      </c>
      <c r="BA45" s="718">
        <f t="shared" si="16"/>
        <v>0</v>
      </c>
      <c r="BB45" s="718">
        <f t="shared" si="16"/>
        <v>0</v>
      </c>
      <c r="BC45" s="718">
        <f t="shared" si="16"/>
        <v>0</v>
      </c>
      <c r="BD45" s="718">
        <f t="shared" si="16"/>
        <v>0</v>
      </c>
      <c r="BE45" s="718">
        <f t="shared" si="16"/>
        <v>0</v>
      </c>
      <c r="BF45" s="718">
        <f t="shared" si="16"/>
        <v>0</v>
      </c>
      <c r="BG45" s="718">
        <f t="shared" si="16"/>
        <v>0</v>
      </c>
      <c r="BH45" s="718">
        <f t="shared" si="16"/>
        <v>0</v>
      </c>
      <c r="BI45" s="718">
        <f t="shared" si="16"/>
        <v>0</v>
      </c>
      <c r="BJ45" s="718">
        <f t="shared" si="16"/>
        <v>0</v>
      </c>
      <c r="BK45" s="718">
        <f t="shared" si="16"/>
        <v>0</v>
      </c>
      <c r="BL45" s="718">
        <f t="shared" si="16"/>
        <v>0</v>
      </c>
    </row>
    <row r="46" spans="1:64" s="83" customFormat="1" x14ac:dyDescent="0.25">
      <c r="A46" s="82"/>
      <c r="B46" s="178" t="str">
        <f>C46</f>
        <v>TFLEBDL100</v>
      </c>
      <c r="C46" s="178" t="s">
        <v>347</v>
      </c>
      <c r="D46" s="179" t="s">
        <v>804</v>
      </c>
      <c r="E46" s="407" t="s">
        <v>988</v>
      </c>
      <c r="F46" s="182"/>
      <c r="G46" s="181"/>
      <c r="H46" s="182"/>
      <c r="I46" s="183"/>
      <c r="J46" s="184"/>
      <c r="K46" s="184"/>
      <c r="L46" s="203" t="s">
        <v>1107</v>
      </c>
      <c r="M46" s="184" t="s">
        <v>1156</v>
      </c>
      <c r="N46" s="567">
        <f>10^-3</f>
        <v>1E-3</v>
      </c>
      <c r="O46" s="366">
        <f t="shared" ref="O46:AB46" si="17">$N46</f>
        <v>1E-3</v>
      </c>
      <c r="P46" s="366">
        <f t="shared" si="17"/>
        <v>1E-3</v>
      </c>
      <c r="Q46" s="366">
        <f t="shared" si="17"/>
        <v>1E-3</v>
      </c>
      <c r="R46" s="366">
        <f t="shared" si="17"/>
        <v>1E-3</v>
      </c>
      <c r="S46" s="366">
        <f t="shared" si="17"/>
        <v>1E-3</v>
      </c>
      <c r="T46" s="366">
        <f t="shared" si="17"/>
        <v>1E-3</v>
      </c>
      <c r="U46" s="366">
        <f t="shared" si="17"/>
        <v>1E-3</v>
      </c>
      <c r="V46" s="366">
        <f t="shared" si="17"/>
        <v>1E-3</v>
      </c>
      <c r="W46" s="366">
        <f t="shared" si="17"/>
        <v>1E-3</v>
      </c>
      <c r="X46" s="366">
        <f t="shared" si="17"/>
        <v>1E-3</v>
      </c>
      <c r="Y46" s="366">
        <f t="shared" si="17"/>
        <v>1E-3</v>
      </c>
      <c r="Z46" s="366">
        <f t="shared" si="17"/>
        <v>1E-3</v>
      </c>
      <c r="AA46" s="366">
        <f t="shared" si="17"/>
        <v>1E-3</v>
      </c>
      <c r="AB46" s="366">
        <f t="shared" si="17"/>
        <v>1E-3</v>
      </c>
      <c r="AD46" s="86" t="str">
        <f>MID(D46,13,3)</f>
        <v>BDL</v>
      </c>
      <c r="AE46" s="572">
        <f>SUM(AF46:AT46)</f>
        <v>1511.3525393099087</v>
      </c>
      <c r="AF46" s="586">
        <f>SUM(AF50:AF185)</f>
        <v>1511.3525393099087</v>
      </c>
      <c r="AG46" s="586">
        <f t="shared" ref="AG46:AT46" si="18">SUM(AG50:AG185)</f>
        <v>0</v>
      </c>
      <c r="AH46" s="586">
        <f t="shared" si="18"/>
        <v>0</v>
      </c>
      <c r="AI46" s="586">
        <f t="shared" si="18"/>
        <v>0</v>
      </c>
      <c r="AJ46" s="586">
        <f t="shared" si="18"/>
        <v>0</v>
      </c>
      <c r="AK46" s="586">
        <f t="shared" si="18"/>
        <v>0</v>
      </c>
      <c r="AL46" s="586">
        <f t="shared" si="18"/>
        <v>0</v>
      </c>
      <c r="AM46" s="586">
        <f t="shared" si="18"/>
        <v>0</v>
      </c>
      <c r="AN46" s="586">
        <f t="shared" si="18"/>
        <v>0</v>
      </c>
      <c r="AO46" s="586">
        <f t="shared" si="18"/>
        <v>0</v>
      </c>
      <c r="AP46" s="586">
        <f t="shared" si="18"/>
        <v>0</v>
      </c>
      <c r="AQ46" s="586">
        <f t="shared" si="18"/>
        <v>0</v>
      </c>
      <c r="AR46" s="586">
        <f t="shared" si="18"/>
        <v>0</v>
      </c>
      <c r="AS46" s="586">
        <f t="shared" si="18"/>
        <v>0</v>
      </c>
      <c r="AT46" s="586">
        <f t="shared" si="18"/>
        <v>0</v>
      </c>
      <c r="AV46" s="700" t="str">
        <f>MID(E46,1,7)</f>
        <v>TRABDL</v>
      </c>
      <c r="AW46" s="568">
        <f>SUM(AX46:BL46)</f>
        <v>0</v>
      </c>
      <c r="AX46" s="568"/>
      <c r="AY46" s="568"/>
      <c r="AZ46" s="568"/>
      <c r="BA46" s="568"/>
      <c r="BB46" s="568"/>
      <c r="BC46" s="568"/>
      <c r="BD46" s="568"/>
      <c r="BE46" s="568"/>
      <c r="BF46" s="568"/>
      <c r="BG46" s="568"/>
      <c r="BH46" s="568"/>
      <c r="BI46" s="568"/>
      <c r="BJ46" s="568"/>
      <c r="BK46" s="568"/>
      <c r="BL46" s="568"/>
    </row>
    <row r="47" spans="1:64" s="83" customFormat="1" x14ac:dyDescent="0.25">
      <c r="B47" s="178" t="str">
        <f>B46</f>
        <v>TFLEBDL100</v>
      </c>
      <c r="C47" s="178"/>
      <c r="D47" s="179"/>
      <c r="E47" s="178"/>
      <c r="F47" s="182"/>
      <c r="G47" s="173" t="s">
        <v>431</v>
      </c>
      <c r="H47" s="182"/>
      <c r="I47" s="183"/>
      <c r="J47" s="184"/>
      <c r="K47" s="184"/>
      <c r="L47" s="184" t="s">
        <v>1126</v>
      </c>
      <c r="M47" s="184" t="s">
        <v>678</v>
      </c>
      <c r="N47" s="676">
        <f>T_CEFF!H158</f>
        <v>0.42781000000000002</v>
      </c>
      <c r="O47" s="676">
        <f>T_CEFF!I158</f>
        <v>0.42781000000000002</v>
      </c>
      <c r="P47" s="676">
        <f>T_CEFF!J158</f>
        <v>0.42781000000000002</v>
      </c>
      <c r="Q47" s="676">
        <f>T_CEFF!K158</f>
        <v>0.42781000000000002</v>
      </c>
      <c r="R47" s="676">
        <f>T_CEFF!L158</f>
        <v>0.42781000000000002</v>
      </c>
      <c r="S47" s="676">
        <f>T_CEFF!M158</f>
        <v>0.42781000000000002</v>
      </c>
      <c r="T47" s="676">
        <f>T_CEFF!N158</f>
        <v>0.42781000000000002</v>
      </c>
      <c r="U47" s="676">
        <f>T_CEFF!O158</f>
        <v>0.42781000000000002</v>
      </c>
      <c r="V47" s="676">
        <f>T_CEFF!P158</f>
        <v>0.42781000000000002</v>
      </c>
      <c r="W47" s="676">
        <f>T_CEFF!Q158</f>
        <v>0.42781000000000002</v>
      </c>
      <c r="X47" s="676">
        <f>T_CEFF!R158</f>
        <v>0.42781000000000002</v>
      </c>
      <c r="Y47" s="676">
        <f>T_CEFF!S158</f>
        <v>0.42781000000000002</v>
      </c>
      <c r="Z47" s="676">
        <f>T_CEFF!T158</f>
        <v>0.42781000000000002</v>
      </c>
      <c r="AA47" s="676">
        <f>T_CEFF!U158</f>
        <v>0.42781000000000002</v>
      </c>
      <c r="AB47" s="676">
        <f>T_CEFF!V158</f>
        <v>0.42781000000000002</v>
      </c>
      <c r="AD47" s="66" t="str">
        <f>IF(COUNTIF($AG$4:$AP$4,AD46)=1,"ok","MISSING")</f>
        <v>ok</v>
      </c>
      <c r="AE47" s="362"/>
      <c r="AF47" s="89"/>
      <c r="AV47" s="700" t="str">
        <f>MID(E47,1,7)</f>
        <v/>
      </c>
      <c r="AW47" s="568"/>
      <c r="AX47" s="568"/>
      <c r="AY47" s="568"/>
      <c r="AZ47" s="568"/>
      <c r="BA47" s="568"/>
      <c r="BB47" s="568"/>
      <c r="BC47" s="568"/>
      <c r="BD47" s="568"/>
      <c r="BE47" s="568"/>
      <c r="BF47" s="568"/>
      <c r="BG47" s="568"/>
      <c r="BH47" s="568"/>
      <c r="BI47" s="568"/>
      <c r="BJ47" s="568"/>
      <c r="BK47" s="568"/>
      <c r="BL47" s="568"/>
    </row>
    <row r="48" spans="1:64" s="83" customFormat="1" x14ac:dyDescent="0.25">
      <c r="B48" s="178" t="str">
        <f t="shared" ref="B48:B57" si="19">B47</f>
        <v>TFLEBDL100</v>
      </c>
      <c r="C48" s="178"/>
      <c r="D48" s="179"/>
      <c r="E48" s="178"/>
      <c r="F48" s="182"/>
      <c r="G48" s="173" t="s">
        <v>429</v>
      </c>
      <c r="H48" s="182"/>
      <c r="I48" s="183"/>
      <c r="J48" s="184"/>
      <c r="K48" s="184"/>
      <c r="L48" s="184" t="s">
        <v>1126</v>
      </c>
      <c r="M48" s="184" t="s">
        <v>678</v>
      </c>
      <c r="N48" s="676">
        <f>T_CEFF!H159</f>
        <v>0.37558999999999998</v>
      </c>
      <c r="O48" s="676">
        <f>T_CEFF!I159</f>
        <v>0.37558999999999998</v>
      </c>
      <c r="P48" s="676">
        <f>T_CEFF!J159</f>
        <v>0.37558999999999998</v>
      </c>
      <c r="Q48" s="676">
        <f>T_CEFF!K159</f>
        <v>0.37558999999999998</v>
      </c>
      <c r="R48" s="676">
        <f>T_CEFF!L159</f>
        <v>0.37558999999999998</v>
      </c>
      <c r="S48" s="676">
        <f>T_CEFF!M159</f>
        <v>0.37558999999999998</v>
      </c>
      <c r="T48" s="676">
        <f>T_CEFF!N159</f>
        <v>0.37558999999999998</v>
      </c>
      <c r="U48" s="676">
        <f>T_CEFF!O159</f>
        <v>0.37558999999999998</v>
      </c>
      <c r="V48" s="676">
        <f>T_CEFF!P159</f>
        <v>0.37558999999999998</v>
      </c>
      <c r="W48" s="676">
        <f>T_CEFF!Q159</f>
        <v>0.37558999999999998</v>
      </c>
      <c r="X48" s="676">
        <f>T_CEFF!R159</f>
        <v>0.37558999999999998</v>
      </c>
      <c r="Y48" s="676">
        <f>T_CEFF!S159</f>
        <v>0.37558999999999998</v>
      </c>
      <c r="Z48" s="676">
        <f>T_CEFF!T159</f>
        <v>0.37558999999999998</v>
      </c>
      <c r="AA48" s="676">
        <f>T_CEFF!U159</f>
        <v>0.37558999999999998</v>
      </c>
      <c r="AB48" s="676">
        <f>T_CEFF!V159</f>
        <v>0.37558999999999998</v>
      </c>
    </row>
    <row r="49" spans="1:64" s="83" customFormat="1" x14ac:dyDescent="0.25">
      <c r="B49" s="178" t="str">
        <f>B48</f>
        <v>TFLEBDL100</v>
      </c>
      <c r="C49" s="178"/>
      <c r="D49" s="179"/>
      <c r="E49" s="178"/>
      <c r="F49" s="182"/>
      <c r="G49" s="181"/>
      <c r="H49" s="182"/>
      <c r="I49" s="183"/>
      <c r="J49" s="184"/>
      <c r="K49" s="184" t="s">
        <v>749</v>
      </c>
      <c r="L49" s="184" t="s">
        <v>1128</v>
      </c>
      <c r="M49" s="184" t="s">
        <v>1175</v>
      </c>
      <c r="N49" s="388">
        <f>N$23</f>
        <v>0.76</v>
      </c>
      <c r="O49" s="388">
        <f t="shared" ref="O49:AB49" si="20">O$23</f>
        <v>0</v>
      </c>
      <c r="P49" s="388">
        <f t="shared" si="20"/>
        <v>0</v>
      </c>
      <c r="Q49" s="388">
        <f t="shared" si="20"/>
        <v>0</v>
      </c>
      <c r="R49" s="388">
        <f t="shared" si="20"/>
        <v>0</v>
      </c>
      <c r="S49" s="388">
        <f t="shared" si="20"/>
        <v>0</v>
      </c>
      <c r="T49" s="388">
        <f t="shared" si="20"/>
        <v>0</v>
      </c>
      <c r="U49" s="388">
        <f t="shared" si="20"/>
        <v>0</v>
      </c>
      <c r="V49" s="388">
        <f t="shared" si="20"/>
        <v>0</v>
      </c>
      <c r="W49" s="388">
        <f t="shared" si="20"/>
        <v>0</v>
      </c>
      <c r="X49" s="388">
        <f t="shared" si="20"/>
        <v>0</v>
      </c>
      <c r="Y49" s="388">
        <f t="shared" si="20"/>
        <v>0</v>
      </c>
      <c r="Z49" s="388">
        <f t="shared" si="20"/>
        <v>0</v>
      </c>
      <c r="AA49" s="388">
        <f t="shared" si="20"/>
        <v>0</v>
      </c>
      <c r="AB49" s="388">
        <f t="shared" si="20"/>
        <v>0</v>
      </c>
    </row>
    <row r="50" spans="1:64" s="83" customFormat="1" x14ac:dyDescent="0.25">
      <c r="B50" s="178" t="str">
        <f t="shared" si="19"/>
        <v>TFLEBDL100</v>
      </c>
      <c r="C50" s="178"/>
      <c r="D50" s="179"/>
      <c r="E50" s="178"/>
      <c r="F50" s="182"/>
      <c r="G50" s="181"/>
      <c r="H50" s="182"/>
      <c r="I50" s="183"/>
      <c r="J50" s="184"/>
      <c r="K50" s="184"/>
      <c r="L50" s="203" t="s">
        <v>1130</v>
      </c>
      <c r="M50" s="184" t="s">
        <v>1131</v>
      </c>
      <c r="N50" s="397">
        <f>LOOKUP($C$46, T_NCAP_AF!$C$125:$C$135, T_NCAP_AF!D$125:D$135)*(1+N40)</f>
        <v>0</v>
      </c>
      <c r="O50" s="397">
        <f>LOOKUP($C$46, T_NCAP_AF!$C$125:$C$135, T_NCAP_AF!E$125:E$135)*(1+O40)</f>
        <v>0</v>
      </c>
      <c r="P50" s="397">
        <f>LOOKUP($C$46, T_NCAP_AF!$C$125:$C$135, T_NCAP_AF!F$125:F$135)*(1+P40)</f>
        <v>0</v>
      </c>
      <c r="Q50" s="397">
        <f>LOOKUP($C$46, T_NCAP_AF!$C$125:$C$135, T_NCAP_AF!G$125:G$135)*(1+Q40)</f>
        <v>0</v>
      </c>
      <c r="R50" s="397">
        <f>LOOKUP($C$46, T_NCAP_AF!$C$125:$C$135, T_NCAP_AF!H$125:H$135)*(1+R40)</f>
        <v>0</v>
      </c>
      <c r="S50" s="397">
        <f>LOOKUP($C$46, T_NCAP_AF!$C$125:$C$135, T_NCAP_AF!I$125:I$135)*(1+S40)</f>
        <v>0</v>
      </c>
      <c r="T50" s="397">
        <f>LOOKUP($C$46, T_NCAP_AF!$C$125:$C$135, T_NCAP_AF!J$125:J$135)*(1+T40)</f>
        <v>0</v>
      </c>
      <c r="U50" s="397">
        <f>LOOKUP($C$46, T_NCAP_AF!$C$125:$C$135, T_NCAP_AF!K$125:K$135)*(1+U40)</f>
        <v>0</v>
      </c>
      <c r="V50" s="397">
        <f>LOOKUP($C$46, T_NCAP_AF!$C$125:$C$135, T_NCAP_AF!L$125:L$135)*(1+V40)</f>
        <v>0</v>
      </c>
      <c r="W50" s="397">
        <f>LOOKUP($C$46, T_NCAP_AF!$C$125:$C$135, T_NCAP_AF!M$125:M$135)*(1+W40)</f>
        <v>0</v>
      </c>
      <c r="X50" s="397">
        <f>LOOKUP($C$46, T_NCAP_AF!$C$125:$C$135, T_NCAP_AF!N$125:N$135)*(1+X40)</f>
        <v>0</v>
      </c>
      <c r="Y50" s="397">
        <f>LOOKUP($C$46, T_NCAP_AF!$C$125:$C$135, T_NCAP_AF!O$125:O$135)*(1+Y40)</f>
        <v>0</v>
      </c>
      <c r="Z50" s="397">
        <f>LOOKUP($C$46, T_NCAP_AF!$C$125:$C$135, T_NCAP_AF!P$125:P$135)*(1+Z40)</f>
        <v>0</v>
      </c>
      <c r="AA50" s="397">
        <f>LOOKUP($C$46, T_NCAP_AF!$C$125:$C$135, T_NCAP_AF!Q$125:Q$135)*(1+AA40)</f>
        <v>0</v>
      </c>
      <c r="AB50" s="397">
        <f>LOOKUP($C$46, T_NCAP_AF!$C$125:$C$135, T_NCAP_AF!R$125:R$135)*(1+AB40)</f>
        <v>0</v>
      </c>
      <c r="AE50" s="572">
        <f>SUM(AF50:AT50)</f>
        <v>0</v>
      </c>
      <c r="AF50" s="85">
        <f t="shared" ref="AF50:AT50" si="21">N49*N50*N51/1000</f>
        <v>0</v>
      </c>
      <c r="AG50" s="85">
        <f t="shared" si="21"/>
        <v>0</v>
      </c>
      <c r="AH50" s="85">
        <f t="shared" si="21"/>
        <v>0</v>
      </c>
      <c r="AI50" s="85">
        <f t="shared" si="21"/>
        <v>0</v>
      </c>
      <c r="AJ50" s="85">
        <f t="shared" si="21"/>
        <v>0</v>
      </c>
      <c r="AK50" s="85">
        <f t="shared" si="21"/>
        <v>0</v>
      </c>
      <c r="AL50" s="85">
        <f t="shared" si="21"/>
        <v>0</v>
      </c>
      <c r="AM50" s="85">
        <f t="shared" si="21"/>
        <v>0</v>
      </c>
      <c r="AN50" s="85">
        <f t="shared" si="21"/>
        <v>0</v>
      </c>
      <c r="AO50" s="85">
        <f t="shared" si="21"/>
        <v>0</v>
      </c>
      <c r="AP50" s="85">
        <f t="shared" si="21"/>
        <v>0</v>
      </c>
      <c r="AQ50" s="85">
        <f t="shared" si="21"/>
        <v>0</v>
      </c>
      <c r="AR50" s="85">
        <f t="shared" si="21"/>
        <v>0</v>
      </c>
      <c r="AS50" s="85">
        <f t="shared" si="21"/>
        <v>0</v>
      </c>
      <c r="AT50" s="85">
        <f t="shared" si="21"/>
        <v>0</v>
      </c>
    </row>
    <row r="51" spans="1:64" s="83" customFormat="1" x14ac:dyDescent="0.25">
      <c r="B51" s="178" t="str">
        <f>B50</f>
        <v>TFLEBDL100</v>
      </c>
      <c r="C51" s="178"/>
      <c r="D51" s="179"/>
      <c r="E51" s="178"/>
      <c r="F51" s="182"/>
      <c r="G51" s="181"/>
      <c r="H51" s="182"/>
      <c r="I51" s="183">
        <f>$M$3</f>
        <v>2019</v>
      </c>
      <c r="J51" s="184"/>
      <c r="K51" s="184"/>
      <c r="L51" s="203" t="s">
        <v>1065</v>
      </c>
      <c r="M51" s="184" t="s">
        <v>748</v>
      </c>
      <c r="N51" s="694">
        <f>LOOKUP($C$46, T_Stock_Private!$C$90:$C$100, T_Stock_Private!D$90:D$100)*(1+N41)</f>
        <v>0</v>
      </c>
      <c r="O51" s="694">
        <f>LOOKUP($C$46, T_Stock_Private!$C$90:$C$100, T_Stock_Private!E$90:E$100)*(1+O41)</f>
        <v>0</v>
      </c>
      <c r="P51" s="694">
        <f>LOOKUP($C$46, T_Stock_Private!$C$90:$C$100, T_Stock_Private!F$90:F$100)*(1+P41)</f>
        <v>0</v>
      </c>
      <c r="Q51" s="694">
        <f>LOOKUP($C$46, T_Stock_Private!$C$90:$C$100, T_Stock_Private!G$90:G$100)*(1+Q41)</f>
        <v>0</v>
      </c>
      <c r="R51" s="694">
        <f>LOOKUP($C$46, T_Stock_Private!$C$90:$C$100, T_Stock_Private!H$90:H$100)*(1+R41)</f>
        <v>0</v>
      </c>
      <c r="S51" s="694">
        <f>LOOKUP($C$46, T_Stock_Private!$C$90:$C$100, T_Stock_Private!I$90:I$100)*(1+S41)</f>
        <v>0</v>
      </c>
      <c r="T51" s="694">
        <f>LOOKUP($C$46, T_Stock_Private!$C$90:$C$100, T_Stock_Private!J$90:J$100)*(1+T41)</f>
        <v>0</v>
      </c>
      <c r="U51" s="694">
        <f>LOOKUP($C$46, T_Stock_Private!$C$90:$C$100, T_Stock_Private!K$90:K$100)*(1+U41)</f>
        <v>0</v>
      </c>
      <c r="V51" s="694">
        <f>LOOKUP($C$46, T_Stock_Private!$C$90:$C$100, T_Stock_Private!L$90:L$100)*(1+V41)</f>
        <v>0</v>
      </c>
      <c r="W51" s="694">
        <f>LOOKUP($C$46, T_Stock_Private!$C$90:$C$100, T_Stock_Private!M$90:M$100)*(1+W41)</f>
        <v>0</v>
      </c>
      <c r="X51" s="694">
        <f>LOOKUP($C$46, T_Stock_Private!$C$90:$C$100, T_Stock_Private!N$90:N$100)*(1+X41)</f>
        <v>0</v>
      </c>
      <c r="Y51" s="694">
        <f>LOOKUP($C$46, T_Stock_Private!$C$90:$C$100, T_Stock_Private!O$90:O$100)*(1+Y41)</f>
        <v>0</v>
      </c>
      <c r="Z51" s="694">
        <f>LOOKUP($C$46, T_Stock_Private!$C$90:$C$100, T_Stock_Private!P$90:P$100)*(1+Z41)</f>
        <v>0</v>
      </c>
      <c r="AA51" s="694">
        <f>LOOKUP($C$46, T_Stock_Private!$C$90:$C$100, T_Stock_Private!Q$90:Q$100)*(1+AA41)</f>
        <v>0</v>
      </c>
      <c r="AB51" s="694">
        <f>LOOKUP($C$46, T_Stock_Private!$C$90:$C$100, T_Stock_Private!R$90:R$100)*(1+AB41)</f>
        <v>0</v>
      </c>
      <c r="AC51" s="89"/>
    </row>
    <row r="52" spans="1:64" s="83" customFormat="1" x14ac:dyDescent="0.25">
      <c r="B52" s="178" t="str">
        <f t="shared" si="19"/>
        <v>TFLEBDL100</v>
      </c>
      <c r="C52" s="178"/>
      <c r="D52" s="179"/>
      <c r="E52" s="178"/>
      <c r="F52" s="182"/>
      <c r="G52" s="181"/>
      <c r="H52" s="182"/>
      <c r="I52" s="183">
        <f>AF$5</f>
        <v>2020</v>
      </c>
      <c r="J52" s="184"/>
      <c r="K52" s="184"/>
      <c r="L52" s="203" t="s">
        <v>1065</v>
      </c>
      <c r="M52" s="184" t="s">
        <v>748</v>
      </c>
      <c r="N52" s="694">
        <f t="shared" ref="N52:AB52" si="22">N51*LOOKUP($AD46,$AG$4:$AP$4,$AG$5:$AP$5)</f>
        <v>0</v>
      </c>
      <c r="O52" s="694">
        <f t="shared" si="22"/>
        <v>0</v>
      </c>
      <c r="P52" s="694">
        <f t="shared" si="22"/>
        <v>0</v>
      </c>
      <c r="Q52" s="694">
        <f t="shared" si="22"/>
        <v>0</v>
      </c>
      <c r="R52" s="694">
        <f t="shared" si="22"/>
        <v>0</v>
      </c>
      <c r="S52" s="694">
        <f t="shared" si="22"/>
        <v>0</v>
      </c>
      <c r="T52" s="694">
        <f t="shared" si="22"/>
        <v>0</v>
      </c>
      <c r="U52" s="694">
        <f t="shared" si="22"/>
        <v>0</v>
      </c>
      <c r="V52" s="694">
        <f t="shared" si="22"/>
        <v>0</v>
      </c>
      <c r="W52" s="694">
        <f t="shared" si="22"/>
        <v>0</v>
      </c>
      <c r="X52" s="694">
        <f t="shared" si="22"/>
        <v>0</v>
      </c>
      <c r="Y52" s="694">
        <f t="shared" si="22"/>
        <v>0</v>
      </c>
      <c r="Z52" s="694">
        <f t="shared" si="22"/>
        <v>0</v>
      </c>
      <c r="AA52" s="694">
        <f t="shared" si="22"/>
        <v>0</v>
      </c>
      <c r="AB52" s="694">
        <f t="shared" si="22"/>
        <v>0</v>
      </c>
    </row>
    <row r="53" spans="1:64" s="83" customFormat="1" x14ac:dyDescent="0.25">
      <c r="B53" s="178" t="str">
        <f t="shared" si="19"/>
        <v>TFLEBDL100</v>
      </c>
      <c r="C53" s="178"/>
      <c r="D53" s="179"/>
      <c r="E53" s="178"/>
      <c r="F53" s="182"/>
      <c r="G53" s="181"/>
      <c r="H53" s="182"/>
      <c r="I53" s="183">
        <f>AF$6</f>
        <v>2025</v>
      </c>
      <c r="J53" s="184"/>
      <c r="K53" s="184"/>
      <c r="L53" s="203" t="s">
        <v>1065</v>
      </c>
      <c r="M53" s="184" t="s">
        <v>748</v>
      </c>
      <c r="N53" s="694">
        <f t="shared" ref="N53:AB53" si="23">N51*LOOKUP($AD46,$AG$4:$AP$4,$AG$6:$AP$6)</f>
        <v>0</v>
      </c>
      <c r="O53" s="694">
        <f t="shared" si="23"/>
        <v>0</v>
      </c>
      <c r="P53" s="694">
        <f t="shared" si="23"/>
        <v>0</v>
      </c>
      <c r="Q53" s="694">
        <f t="shared" si="23"/>
        <v>0</v>
      </c>
      <c r="R53" s="694">
        <f t="shared" si="23"/>
        <v>0</v>
      </c>
      <c r="S53" s="694">
        <f t="shared" si="23"/>
        <v>0</v>
      </c>
      <c r="T53" s="694">
        <f t="shared" si="23"/>
        <v>0</v>
      </c>
      <c r="U53" s="694">
        <f t="shared" si="23"/>
        <v>0</v>
      </c>
      <c r="V53" s="694">
        <f t="shared" si="23"/>
        <v>0</v>
      </c>
      <c r="W53" s="694">
        <f t="shared" si="23"/>
        <v>0</v>
      </c>
      <c r="X53" s="694">
        <f t="shared" si="23"/>
        <v>0</v>
      </c>
      <c r="Y53" s="694">
        <f t="shared" si="23"/>
        <v>0</v>
      </c>
      <c r="Z53" s="694">
        <f t="shared" si="23"/>
        <v>0</v>
      </c>
      <c r="AA53" s="694">
        <f t="shared" si="23"/>
        <v>0</v>
      </c>
      <c r="AB53" s="694">
        <f t="shared" si="23"/>
        <v>0</v>
      </c>
    </row>
    <row r="54" spans="1:64" s="83" customFormat="1" x14ac:dyDescent="0.25">
      <c r="B54" s="178" t="str">
        <f t="shared" si="19"/>
        <v>TFLEBDL100</v>
      </c>
      <c r="C54" s="178"/>
      <c r="D54" s="179"/>
      <c r="E54" s="178"/>
      <c r="F54" s="182"/>
      <c r="G54" s="181"/>
      <c r="H54" s="182"/>
      <c r="I54" s="183">
        <f>AF$7</f>
        <v>2030</v>
      </c>
      <c r="J54" s="184"/>
      <c r="K54" s="184"/>
      <c r="L54" s="203" t="s">
        <v>1065</v>
      </c>
      <c r="M54" s="184" t="s">
        <v>748</v>
      </c>
      <c r="N54" s="694">
        <f t="shared" ref="N54:AB54" si="24">N51*LOOKUP($AD46,$AG$4:$AP$4,$AG$7:$AP$7)</f>
        <v>0</v>
      </c>
      <c r="O54" s="694">
        <f t="shared" si="24"/>
        <v>0</v>
      </c>
      <c r="P54" s="694">
        <f t="shared" si="24"/>
        <v>0</v>
      </c>
      <c r="Q54" s="694">
        <f t="shared" si="24"/>
        <v>0</v>
      </c>
      <c r="R54" s="694">
        <f t="shared" si="24"/>
        <v>0</v>
      </c>
      <c r="S54" s="694">
        <f t="shared" si="24"/>
        <v>0</v>
      </c>
      <c r="T54" s="694">
        <f t="shared" si="24"/>
        <v>0</v>
      </c>
      <c r="U54" s="694">
        <f t="shared" si="24"/>
        <v>0</v>
      </c>
      <c r="V54" s="694">
        <f t="shared" si="24"/>
        <v>0</v>
      </c>
      <c r="W54" s="694">
        <f t="shared" si="24"/>
        <v>0</v>
      </c>
      <c r="X54" s="694">
        <f t="shared" si="24"/>
        <v>0</v>
      </c>
      <c r="Y54" s="694">
        <f t="shared" si="24"/>
        <v>0</v>
      </c>
      <c r="Z54" s="694">
        <f t="shared" si="24"/>
        <v>0</v>
      </c>
      <c r="AA54" s="694">
        <f t="shared" si="24"/>
        <v>0</v>
      </c>
      <c r="AB54" s="694">
        <f t="shared" si="24"/>
        <v>0</v>
      </c>
    </row>
    <row r="55" spans="1:64" s="83" customFormat="1" x14ac:dyDescent="0.25">
      <c r="B55" s="178" t="str">
        <f t="shared" si="19"/>
        <v>TFLEBDL100</v>
      </c>
      <c r="C55" s="178"/>
      <c r="D55" s="179"/>
      <c r="E55" s="178"/>
      <c r="F55" s="182"/>
      <c r="G55" s="181"/>
      <c r="H55" s="182"/>
      <c r="I55" s="183">
        <f>AF$8</f>
        <v>2035</v>
      </c>
      <c r="J55" s="184"/>
      <c r="K55" s="184"/>
      <c r="L55" s="203" t="s">
        <v>1065</v>
      </c>
      <c r="M55" s="184" t="s">
        <v>748</v>
      </c>
      <c r="N55" s="694">
        <f t="shared" ref="N55:AB55" si="25">N51*LOOKUP($AD46,$AG$4:$AP$4,$AG$8:$AP$8)</f>
        <v>0</v>
      </c>
      <c r="O55" s="694">
        <f t="shared" si="25"/>
        <v>0</v>
      </c>
      <c r="P55" s="694">
        <f t="shared" si="25"/>
        <v>0</v>
      </c>
      <c r="Q55" s="694">
        <f t="shared" si="25"/>
        <v>0</v>
      </c>
      <c r="R55" s="694">
        <f t="shared" si="25"/>
        <v>0</v>
      </c>
      <c r="S55" s="694">
        <f t="shared" si="25"/>
        <v>0</v>
      </c>
      <c r="T55" s="694">
        <f t="shared" si="25"/>
        <v>0</v>
      </c>
      <c r="U55" s="694">
        <f t="shared" si="25"/>
        <v>0</v>
      </c>
      <c r="V55" s="694">
        <f t="shared" si="25"/>
        <v>0</v>
      </c>
      <c r="W55" s="694">
        <f t="shared" si="25"/>
        <v>0</v>
      </c>
      <c r="X55" s="694">
        <f t="shared" si="25"/>
        <v>0</v>
      </c>
      <c r="Y55" s="694">
        <f t="shared" si="25"/>
        <v>0</v>
      </c>
      <c r="Z55" s="694">
        <f t="shared" si="25"/>
        <v>0</v>
      </c>
      <c r="AA55" s="694">
        <f t="shared" si="25"/>
        <v>0</v>
      </c>
      <c r="AB55" s="694">
        <f t="shared" si="25"/>
        <v>0</v>
      </c>
    </row>
    <row r="56" spans="1:64" s="83" customFormat="1" x14ac:dyDescent="0.25">
      <c r="B56" s="178" t="str">
        <f t="shared" si="19"/>
        <v>TFLEBDL100</v>
      </c>
      <c r="C56" s="178"/>
      <c r="D56" s="179"/>
      <c r="E56" s="178"/>
      <c r="F56" s="182"/>
      <c r="G56" s="181"/>
      <c r="H56" s="182"/>
      <c r="I56" s="183">
        <f>AF$9</f>
        <v>2040</v>
      </c>
      <c r="J56" s="184"/>
      <c r="K56" s="184"/>
      <c r="L56" s="203" t="s">
        <v>1065</v>
      </c>
      <c r="M56" s="184" t="s">
        <v>748</v>
      </c>
      <c r="N56" s="694">
        <f t="shared" ref="N56:AB56" si="26">N51*LOOKUP($AD46,$AG$4:$AP$4,$AG$9:$AP$9)</f>
        <v>0</v>
      </c>
      <c r="O56" s="694">
        <f t="shared" si="26"/>
        <v>0</v>
      </c>
      <c r="P56" s="694">
        <f t="shared" si="26"/>
        <v>0</v>
      </c>
      <c r="Q56" s="694">
        <f t="shared" si="26"/>
        <v>0</v>
      </c>
      <c r="R56" s="694">
        <f t="shared" si="26"/>
        <v>0</v>
      </c>
      <c r="S56" s="694">
        <f t="shared" si="26"/>
        <v>0</v>
      </c>
      <c r="T56" s="694">
        <f t="shared" si="26"/>
        <v>0</v>
      </c>
      <c r="U56" s="694">
        <f t="shared" si="26"/>
        <v>0</v>
      </c>
      <c r="V56" s="694">
        <f t="shared" si="26"/>
        <v>0</v>
      </c>
      <c r="W56" s="694">
        <f t="shared" si="26"/>
        <v>0</v>
      </c>
      <c r="X56" s="694">
        <f t="shared" si="26"/>
        <v>0</v>
      </c>
      <c r="Y56" s="694">
        <f t="shared" si="26"/>
        <v>0</v>
      </c>
      <c r="Z56" s="694">
        <f t="shared" si="26"/>
        <v>0</v>
      </c>
      <c r="AA56" s="694">
        <f t="shared" si="26"/>
        <v>0</v>
      </c>
      <c r="AB56" s="694">
        <f t="shared" si="26"/>
        <v>0</v>
      </c>
    </row>
    <row r="57" spans="1:64" s="83" customFormat="1" x14ac:dyDescent="0.25">
      <c r="B57" s="204" t="str">
        <f t="shared" si="19"/>
        <v>TFLEBDL100</v>
      </c>
      <c r="C57" s="204"/>
      <c r="D57" s="205"/>
      <c r="E57" s="204"/>
      <c r="F57" s="206"/>
      <c r="G57" s="207"/>
      <c r="H57" s="206"/>
      <c r="I57" s="208">
        <f>AF$10</f>
        <v>2050</v>
      </c>
      <c r="J57" s="209"/>
      <c r="K57" s="209"/>
      <c r="L57" s="210" t="s">
        <v>1065</v>
      </c>
      <c r="M57" s="209" t="s">
        <v>748</v>
      </c>
      <c r="N57" s="695">
        <f t="shared" ref="N57:AB57" si="27">N51*LOOKUP($AD46,$AG$4:$AP$4,$AG$10:$AP$10)</f>
        <v>0</v>
      </c>
      <c r="O57" s="695">
        <f t="shared" si="27"/>
        <v>0</v>
      </c>
      <c r="P57" s="695">
        <f t="shared" si="27"/>
        <v>0</v>
      </c>
      <c r="Q57" s="695">
        <f t="shared" si="27"/>
        <v>0</v>
      </c>
      <c r="R57" s="695">
        <f t="shared" si="27"/>
        <v>0</v>
      </c>
      <c r="S57" s="695">
        <f t="shared" si="27"/>
        <v>0</v>
      </c>
      <c r="T57" s="695">
        <f t="shared" si="27"/>
        <v>0</v>
      </c>
      <c r="U57" s="695">
        <f t="shared" si="27"/>
        <v>0</v>
      </c>
      <c r="V57" s="695">
        <f t="shared" si="27"/>
        <v>0</v>
      </c>
      <c r="W57" s="695">
        <f t="shared" si="27"/>
        <v>0</v>
      </c>
      <c r="X57" s="695">
        <f t="shared" si="27"/>
        <v>0</v>
      </c>
      <c r="Y57" s="695">
        <f t="shared" si="27"/>
        <v>0</v>
      </c>
      <c r="Z57" s="695">
        <f t="shared" si="27"/>
        <v>0</v>
      </c>
      <c r="AA57" s="695">
        <f t="shared" si="27"/>
        <v>0</v>
      </c>
      <c r="AB57" s="695">
        <f t="shared" si="27"/>
        <v>0</v>
      </c>
      <c r="AD57" s="409"/>
    </row>
    <row r="58" spans="1:64" s="83" customFormat="1" x14ac:dyDescent="0.25">
      <c r="A58" s="82"/>
      <c r="B58" s="178" t="str">
        <f>C58</f>
        <v>TFLEDST100</v>
      </c>
      <c r="C58" s="178" t="s">
        <v>348</v>
      </c>
      <c r="D58" s="179" t="s">
        <v>806</v>
      </c>
      <c r="E58" s="407" t="s">
        <v>988</v>
      </c>
      <c r="F58" s="182"/>
      <c r="G58" s="181"/>
      <c r="H58" s="182"/>
      <c r="I58" s="183"/>
      <c r="J58" s="184"/>
      <c r="K58" s="184"/>
      <c r="L58" s="203" t="s">
        <v>1107</v>
      </c>
      <c r="M58" s="184" t="s">
        <v>1156</v>
      </c>
      <c r="N58" s="567">
        <f>10^-3</f>
        <v>1E-3</v>
      </c>
      <c r="O58" s="366">
        <f t="shared" ref="O58:AB58" si="28">$N58</f>
        <v>1E-3</v>
      </c>
      <c r="P58" s="366">
        <f t="shared" si="28"/>
        <v>1E-3</v>
      </c>
      <c r="Q58" s="366">
        <f t="shared" si="28"/>
        <v>1E-3</v>
      </c>
      <c r="R58" s="366">
        <f t="shared" si="28"/>
        <v>1E-3</v>
      </c>
      <c r="S58" s="366">
        <f t="shared" si="28"/>
        <v>1E-3</v>
      </c>
      <c r="T58" s="366">
        <f t="shared" si="28"/>
        <v>1E-3</v>
      </c>
      <c r="U58" s="366">
        <f t="shared" si="28"/>
        <v>1E-3</v>
      </c>
      <c r="V58" s="366">
        <f t="shared" si="28"/>
        <v>1E-3</v>
      </c>
      <c r="W58" s="366">
        <f t="shared" si="28"/>
        <v>1E-3</v>
      </c>
      <c r="X58" s="366">
        <f t="shared" si="28"/>
        <v>1E-3</v>
      </c>
      <c r="Y58" s="366">
        <f t="shared" si="28"/>
        <v>1E-3</v>
      </c>
      <c r="Z58" s="366">
        <f t="shared" si="28"/>
        <v>1E-3</v>
      </c>
      <c r="AA58" s="366">
        <f t="shared" si="28"/>
        <v>1E-3</v>
      </c>
      <c r="AB58" s="366">
        <f t="shared" si="28"/>
        <v>1E-3</v>
      </c>
      <c r="AD58" s="86" t="str">
        <f>MID(D58,13,3)</f>
        <v>DST</v>
      </c>
      <c r="AV58" s="700" t="str">
        <f t="shared" ref="AV58:AV61" si="29">MID(E58,1,7)</f>
        <v>TRABDL</v>
      </c>
      <c r="AW58" s="568">
        <f t="shared" ref="AW58:AW59" si="30">SUM(AX58:BL58)</f>
        <v>724.3466317755159</v>
      </c>
      <c r="AX58" s="570">
        <f>N$64*N$65*(1-N59-N60)/N$62/1000</f>
        <v>724.3466317755159</v>
      </c>
      <c r="AY58" s="570">
        <f t="shared" ref="AY58:BL58" si="31">O$64*O$65*(1-O59-O60)/O$62/1000</f>
        <v>0</v>
      </c>
      <c r="AZ58" s="570">
        <f t="shared" si="31"/>
        <v>0</v>
      </c>
      <c r="BA58" s="570">
        <f t="shared" si="31"/>
        <v>0</v>
      </c>
      <c r="BB58" s="570">
        <f t="shared" si="31"/>
        <v>0</v>
      </c>
      <c r="BC58" s="570">
        <f t="shared" si="31"/>
        <v>0</v>
      </c>
      <c r="BD58" s="570">
        <f t="shared" si="31"/>
        <v>0</v>
      </c>
      <c r="BE58" s="570">
        <f t="shared" si="31"/>
        <v>0</v>
      </c>
      <c r="BF58" s="570">
        <f t="shared" si="31"/>
        <v>0</v>
      </c>
      <c r="BG58" s="570">
        <f t="shared" si="31"/>
        <v>0</v>
      </c>
      <c r="BH58" s="570">
        <f t="shared" si="31"/>
        <v>0</v>
      </c>
      <c r="BI58" s="570">
        <f t="shared" si="31"/>
        <v>0</v>
      </c>
      <c r="BJ58" s="570">
        <f t="shared" si="31"/>
        <v>0</v>
      </c>
      <c r="BK58" s="570">
        <f t="shared" si="31"/>
        <v>0</v>
      </c>
      <c r="BL58" s="570">
        <f t="shared" si="31"/>
        <v>0</v>
      </c>
    </row>
    <row r="59" spans="1:64" s="83" customFormat="1" x14ac:dyDescent="0.25">
      <c r="A59" s="82"/>
      <c r="B59" s="178" t="str">
        <f>B58</f>
        <v>TFLEDST100</v>
      </c>
      <c r="C59" s="178"/>
      <c r="D59" s="179"/>
      <c r="E59" s="407" t="s">
        <v>185</v>
      </c>
      <c r="F59" s="182"/>
      <c r="G59" s="181"/>
      <c r="H59" s="182"/>
      <c r="I59" s="183"/>
      <c r="J59" s="184" t="s">
        <v>1157</v>
      </c>
      <c r="K59" s="184"/>
      <c r="L59" s="203" t="s">
        <v>101</v>
      </c>
      <c r="M59" s="184"/>
      <c r="N59" s="390">
        <f>1-N$29-N$28</f>
        <v>0.78</v>
      </c>
      <c r="O59" s="390">
        <f t="shared" ref="O59:AB59" si="32">1-O$29-O$28</f>
        <v>0.78</v>
      </c>
      <c r="P59" s="390">
        <f t="shared" si="32"/>
        <v>0.78</v>
      </c>
      <c r="Q59" s="390">
        <f t="shared" si="32"/>
        <v>0.78</v>
      </c>
      <c r="R59" s="390">
        <f t="shared" si="32"/>
        <v>0.78</v>
      </c>
      <c r="S59" s="390">
        <f t="shared" si="32"/>
        <v>0.78</v>
      </c>
      <c r="T59" s="390">
        <f t="shared" si="32"/>
        <v>0.78</v>
      </c>
      <c r="U59" s="390">
        <f t="shared" si="32"/>
        <v>0.78</v>
      </c>
      <c r="V59" s="390">
        <f t="shared" si="32"/>
        <v>0.78</v>
      </c>
      <c r="W59" s="390">
        <f t="shared" si="32"/>
        <v>0.78</v>
      </c>
      <c r="X59" s="390">
        <f t="shared" si="32"/>
        <v>0.78</v>
      </c>
      <c r="Y59" s="390">
        <f t="shared" si="32"/>
        <v>0.78</v>
      </c>
      <c r="Z59" s="390">
        <f t="shared" si="32"/>
        <v>0.78</v>
      </c>
      <c r="AA59" s="390">
        <f t="shared" si="32"/>
        <v>0.78</v>
      </c>
      <c r="AB59" s="390">
        <f t="shared" si="32"/>
        <v>0.78</v>
      </c>
      <c r="AD59" s="66" t="str">
        <f>IF(COUNTIF($AG$4:$AP$4,AD58)=1,"ok","MISSING")</f>
        <v>ok</v>
      </c>
      <c r="AE59" s="362"/>
      <c r="AF59" s="89"/>
      <c r="AV59" s="700" t="str">
        <f t="shared" si="29"/>
        <v>TRADST</v>
      </c>
      <c r="AW59" s="568">
        <f t="shared" si="30"/>
        <v>3766.6024852326832</v>
      </c>
      <c r="AX59" s="570">
        <f>N$64*N$65*N59/N$62/1000</f>
        <v>3766.6024852326832</v>
      </c>
      <c r="AY59" s="570">
        <f t="shared" ref="AY59:BL59" si="33">O$64*O$65*O59/O$62/1000</f>
        <v>0</v>
      </c>
      <c r="AZ59" s="570">
        <f t="shared" si="33"/>
        <v>0</v>
      </c>
      <c r="BA59" s="570">
        <f t="shared" si="33"/>
        <v>0</v>
      </c>
      <c r="BB59" s="570">
        <f t="shared" si="33"/>
        <v>0</v>
      </c>
      <c r="BC59" s="570">
        <f t="shared" si="33"/>
        <v>0</v>
      </c>
      <c r="BD59" s="570">
        <f t="shared" si="33"/>
        <v>0</v>
      </c>
      <c r="BE59" s="570">
        <f t="shared" si="33"/>
        <v>0</v>
      </c>
      <c r="BF59" s="570">
        <f t="shared" si="33"/>
        <v>0</v>
      </c>
      <c r="BG59" s="570">
        <f t="shared" si="33"/>
        <v>0</v>
      </c>
      <c r="BH59" s="570">
        <f t="shared" si="33"/>
        <v>0</v>
      </c>
      <c r="BI59" s="570">
        <f t="shared" si="33"/>
        <v>0</v>
      </c>
      <c r="BJ59" s="570">
        <f t="shared" si="33"/>
        <v>0</v>
      </c>
      <c r="BK59" s="570">
        <f t="shared" si="33"/>
        <v>0</v>
      </c>
      <c r="BL59" s="570">
        <f t="shared" si="33"/>
        <v>0</v>
      </c>
    </row>
    <row r="60" spans="1:64" s="83" customFormat="1" x14ac:dyDescent="0.25">
      <c r="A60" s="82"/>
      <c r="B60" s="178" t="str">
        <f t="shared" ref="B60" si="34">B59</f>
        <v>TFLEDST100</v>
      </c>
      <c r="C60" s="178"/>
      <c r="D60" s="179"/>
      <c r="E60" s="407" t="s">
        <v>990</v>
      </c>
      <c r="F60" s="182"/>
      <c r="G60" s="181"/>
      <c r="H60" s="182"/>
      <c r="I60" s="183"/>
      <c r="J60" s="184" t="s">
        <v>1157</v>
      </c>
      <c r="K60" s="184"/>
      <c r="L60" s="203" t="s">
        <v>101</v>
      </c>
      <c r="M60" s="184"/>
      <c r="N60" s="690">
        <f>N$28</f>
        <v>7.0000000000000007E-2</v>
      </c>
      <c r="O60" s="690">
        <f t="shared" ref="O60:AB60" si="35">O$28</f>
        <v>7.0000000000000007E-2</v>
      </c>
      <c r="P60" s="690">
        <f t="shared" si="35"/>
        <v>7.0000000000000007E-2</v>
      </c>
      <c r="Q60" s="690">
        <f t="shared" si="35"/>
        <v>7.0000000000000007E-2</v>
      </c>
      <c r="R60" s="690">
        <f t="shared" si="35"/>
        <v>7.0000000000000007E-2</v>
      </c>
      <c r="S60" s="690">
        <f t="shared" si="35"/>
        <v>7.0000000000000007E-2</v>
      </c>
      <c r="T60" s="690">
        <f t="shared" si="35"/>
        <v>7.0000000000000007E-2</v>
      </c>
      <c r="U60" s="690">
        <f t="shared" si="35"/>
        <v>7.0000000000000007E-2</v>
      </c>
      <c r="V60" s="690">
        <f t="shared" si="35"/>
        <v>7.0000000000000007E-2</v>
      </c>
      <c r="W60" s="690">
        <f t="shared" si="35"/>
        <v>7.0000000000000007E-2</v>
      </c>
      <c r="X60" s="690">
        <f t="shared" si="35"/>
        <v>7.0000000000000007E-2</v>
      </c>
      <c r="Y60" s="690">
        <f t="shared" si="35"/>
        <v>7.0000000000000007E-2</v>
      </c>
      <c r="Z60" s="690">
        <f t="shared" si="35"/>
        <v>7.0000000000000007E-2</v>
      </c>
      <c r="AA60" s="690">
        <f t="shared" si="35"/>
        <v>7.0000000000000007E-2</v>
      </c>
      <c r="AB60" s="690">
        <f t="shared" si="35"/>
        <v>7.0000000000000007E-2</v>
      </c>
      <c r="AD60" s="408"/>
      <c r="AE60" s="357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V60" s="700" t="str">
        <f t="shared" ref="AV60" si="36">MID(E60,1,7)</f>
        <v>TRABDLM</v>
      </c>
      <c r="AW60" s="568">
        <f t="shared" ref="AW60" si="37">SUM(AX60:BL60)</f>
        <v>338.02842816190747</v>
      </c>
      <c r="AX60" s="570">
        <f>N$64*N$65*N60/N$62/1000</f>
        <v>338.02842816190747</v>
      </c>
      <c r="AY60" s="570">
        <f t="shared" ref="AY60" si="38">O$64*O$65*O60/O$62/1000</f>
        <v>0</v>
      </c>
      <c r="AZ60" s="570">
        <f t="shared" ref="AZ60" si="39">P$64*P$65*P60/P$62/1000</f>
        <v>0</v>
      </c>
      <c r="BA60" s="570">
        <f t="shared" ref="BA60" si="40">Q$64*Q$65*Q60/Q$62/1000</f>
        <v>0</v>
      </c>
      <c r="BB60" s="570">
        <f t="shared" ref="BB60" si="41">R$64*R$65*R60/R$62/1000</f>
        <v>0</v>
      </c>
      <c r="BC60" s="570">
        <f t="shared" ref="BC60" si="42">S$64*S$65*S60/S$62/1000</f>
        <v>0</v>
      </c>
      <c r="BD60" s="570">
        <f t="shared" ref="BD60" si="43">T$64*T$65*T60/T$62/1000</f>
        <v>0</v>
      </c>
      <c r="BE60" s="570">
        <f t="shared" ref="BE60" si="44">U$64*U$65*U60/U$62/1000</f>
        <v>0</v>
      </c>
      <c r="BF60" s="570">
        <f t="shared" ref="BF60" si="45">V$64*V$65*V60/V$62/1000</f>
        <v>0</v>
      </c>
      <c r="BG60" s="570">
        <f t="shared" ref="BG60" si="46">W$64*W$65*W60/W$62/1000</f>
        <v>0</v>
      </c>
      <c r="BH60" s="570">
        <f t="shared" ref="BH60" si="47">X$64*X$65*X60/X$62/1000</f>
        <v>0</v>
      </c>
      <c r="BI60" s="570">
        <f t="shared" ref="BI60" si="48">Y$64*Y$65*Y60/Y$62/1000</f>
        <v>0</v>
      </c>
      <c r="BJ60" s="570">
        <f t="shared" ref="BJ60" si="49">Z$64*Z$65*Z60/Z$62/1000</f>
        <v>0</v>
      </c>
      <c r="BK60" s="570">
        <f t="shared" ref="BK60" si="50">AA$64*AA$65*AA60/AA$62/1000</f>
        <v>0</v>
      </c>
      <c r="BL60" s="570">
        <f t="shared" ref="BL60" si="51">AB$64*AB$65*AB60/AB$62/1000</f>
        <v>0</v>
      </c>
    </row>
    <row r="61" spans="1:64" s="83" customFormat="1" x14ac:dyDescent="0.25">
      <c r="B61" s="178" t="str">
        <f>B59</f>
        <v>TFLEDST100</v>
      </c>
      <c r="C61" s="178"/>
      <c r="D61" s="179"/>
      <c r="E61" s="178"/>
      <c r="F61" s="182"/>
      <c r="G61" s="173" t="s">
        <v>431</v>
      </c>
      <c r="H61" s="182"/>
      <c r="I61" s="183"/>
      <c r="J61" s="184"/>
      <c r="K61" s="184"/>
      <c r="L61" s="184" t="s">
        <v>1126</v>
      </c>
      <c r="M61" s="184" t="s">
        <v>678</v>
      </c>
      <c r="N61" s="676">
        <f>T_CEFF!H160</f>
        <v>0.42781000000000002</v>
      </c>
      <c r="O61" s="676">
        <f>T_CEFF!I160</f>
        <v>0.42781000000000002</v>
      </c>
      <c r="P61" s="676">
        <f>T_CEFF!J160</f>
        <v>0.42781000000000002</v>
      </c>
      <c r="Q61" s="676">
        <f>T_CEFF!K160</f>
        <v>0.42781000000000002</v>
      </c>
      <c r="R61" s="676">
        <f>T_CEFF!L160</f>
        <v>0.42781000000000002</v>
      </c>
      <c r="S61" s="676">
        <f>T_CEFF!M160</f>
        <v>0.42781000000000002</v>
      </c>
      <c r="T61" s="676">
        <f>T_CEFF!N160</f>
        <v>0.42781000000000002</v>
      </c>
      <c r="U61" s="676">
        <f>T_CEFF!O160</f>
        <v>0.42781000000000002</v>
      </c>
      <c r="V61" s="676">
        <f>T_CEFF!P160</f>
        <v>0.42781000000000002</v>
      </c>
      <c r="W61" s="676">
        <f>T_CEFF!Q160</f>
        <v>0.42781000000000002</v>
      </c>
      <c r="X61" s="676">
        <f>T_CEFF!R160</f>
        <v>0.42781000000000002</v>
      </c>
      <c r="Y61" s="676">
        <f>T_CEFF!S160</f>
        <v>0.42781000000000002</v>
      </c>
      <c r="Z61" s="676">
        <f>T_CEFF!T160</f>
        <v>0.42781000000000002</v>
      </c>
      <c r="AA61" s="676">
        <f>T_CEFF!U160</f>
        <v>0.42781000000000002</v>
      </c>
      <c r="AB61" s="676">
        <f>T_CEFF!V160</f>
        <v>0.42781000000000002</v>
      </c>
      <c r="AV61" s="700" t="str">
        <f t="shared" si="29"/>
        <v/>
      </c>
      <c r="AW61" s="568"/>
    </row>
    <row r="62" spans="1:64" s="83" customFormat="1" x14ac:dyDescent="0.25">
      <c r="B62" s="178" t="str">
        <f t="shared" ref="B62:B71" si="52">B61</f>
        <v>TFLEDST100</v>
      </c>
      <c r="C62" s="178"/>
      <c r="D62" s="179"/>
      <c r="E62" s="178"/>
      <c r="F62" s="182"/>
      <c r="G62" s="173" t="s">
        <v>429</v>
      </c>
      <c r="H62" s="182"/>
      <c r="I62" s="183"/>
      <c r="J62" s="184"/>
      <c r="K62" s="184"/>
      <c r="L62" s="184" t="s">
        <v>1126</v>
      </c>
      <c r="M62" s="184" t="s">
        <v>678</v>
      </c>
      <c r="N62" s="676">
        <f>T_CEFF!H161</f>
        <v>0.37558999999999998</v>
      </c>
      <c r="O62" s="676">
        <f>T_CEFF!I161</f>
        <v>0.37558999999999998</v>
      </c>
      <c r="P62" s="676">
        <f>T_CEFF!J161</f>
        <v>0.37558999999999998</v>
      </c>
      <c r="Q62" s="676">
        <f>T_CEFF!K161</f>
        <v>0.37558999999999998</v>
      </c>
      <c r="R62" s="676">
        <f>T_CEFF!L161</f>
        <v>0.37558999999999998</v>
      </c>
      <c r="S62" s="676">
        <f>T_CEFF!M161</f>
        <v>0.37558999999999998</v>
      </c>
      <c r="T62" s="676">
        <f>T_CEFF!N161</f>
        <v>0.37558999999999998</v>
      </c>
      <c r="U62" s="676">
        <f>T_CEFF!O161</f>
        <v>0.37558999999999998</v>
      </c>
      <c r="V62" s="676">
        <f>T_CEFF!P161</f>
        <v>0.37558999999999998</v>
      </c>
      <c r="W62" s="676">
        <f>T_CEFF!Q161</f>
        <v>0.37558999999999998</v>
      </c>
      <c r="X62" s="676">
        <f>T_CEFF!R161</f>
        <v>0.37558999999999998</v>
      </c>
      <c r="Y62" s="676">
        <f>T_CEFF!S161</f>
        <v>0.37558999999999998</v>
      </c>
      <c r="Z62" s="676">
        <f>T_CEFF!T161</f>
        <v>0.37558999999999998</v>
      </c>
      <c r="AA62" s="676">
        <f>T_CEFF!U161</f>
        <v>0.37558999999999998</v>
      </c>
      <c r="AB62" s="676">
        <f>T_CEFF!V161</f>
        <v>0.37558999999999998</v>
      </c>
    </row>
    <row r="63" spans="1:64" s="83" customFormat="1" x14ac:dyDescent="0.25">
      <c r="B63" s="178" t="str">
        <f>B62</f>
        <v>TFLEDST100</v>
      </c>
      <c r="C63" s="178"/>
      <c r="D63" s="179"/>
      <c r="E63" s="178"/>
      <c r="F63" s="182"/>
      <c r="G63" s="181"/>
      <c r="H63" s="182"/>
      <c r="I63" s="183"/>
      <c r="J63" s="184"/>
      <c r="K63" s="184" t="s">
        <v>749</v>
      </c>
      <c r="L63" s="184" t="s">
        <v>1128</v>
      </c>
      <c r="M63" s="184" t="s">
        <v>1175</v>
      </c>
      <c r="N63" s="388">
        <f>N$23</f>
        <v>0.76</v>
      </c>
      <c r="O63" s="388">
        <f t="shared" ref="O63:AB63" si="53">O$23</f>
        <v>0</v>
      </c>
      <c r="P63" s="388">
        <f t="shared" si="53"/>
        <v>0</v>
      </c>
      <c r="Q63" s="388">
        <f t="shared" si="53"/>
        <v>0</v>
      </c>
      <c r="R63" s="388">
        <f t="shared" si="53"/>
        <v>0</v>
      </c>
      <c r="S63" s="388">
        <f t="shared" si="53"/>
        <v>0</v>
      </c>
      <c r="T63" s="388">
        <f t="shared" si="53"/>
        <v>0</v>
      </c>
      <c r="U63" s="388">
        <f t="shared" si="53"/>
        <v>0</v>
      </c>
      <c r="V63" s="388">
        <f t="shared" si="53"/>
        <v>0</v>
      </c>
      <c r="W63" s="388">
        <f t="shared" si="53"/>
        <v>0</v>
      </c>
      <c r="X63" s="388">
        <f t="shared" si="53"/>
        <v>0</v>
      </c>
      <c r="Y63" s="388">
        <f t="shared" si="53"/>
        <v>0</v>
      </c>
      <c r="Z63" s="388">
        <f t="shared" si="53"/>
        <v>0</v>
      </c>
      <c r="AA63" s="388">
        <f t="shared" si="53"/>
        <v>0</v>
      </c>
      <c r="AB63" s="388">
        <f t="shared" si="53"/>
        <v>0</v>
      </c>
    </row>
    <row r="64" spans="1:64" s="83" customFormat="1" x14ac:dyDescent="0.25">
      <c r="B64" s="178" t="str">
        <f t="shared" si="52"/>
        <v>TFLEDST100</v>
      </c>
      <c r="C64" s="178"/>
      <c r="D64" s="179"/>
      <c r="E64" s="178"/>
      <c r="F64" s="182"/>
      <c r="G64" s="181"/>
      <c r="H64" s="182"/>
      <c r="I64" s="183"/>
      <c r="J64" s="184"/>
      <c r="K64" s="184"/>
      <c r="L64" s="203" t="s">
        <v>1130</v>
      </c>
      <c r="M64" s="184" t="s">
        <v>1131</v>
      </c>
      <c r="N64" s="397">
        <f>LOOKUP($C$58, T_NCAP_AF!$C$125:$C$135, T_NCAP_AF!D$125:D$135)*(1+N40)</f>
        <v>14.959466820000001</v>
      </c>
      <c r="O64" s="397">
        <f>LOOKUP($C$58, T_NCAP_AF!$C$125:$C$135, T_NCAP_AF!E$125:E$135)*(1+O40)</f>
        <v>0</v>
      </c>
      <c r="P64" s="397">
        <f>LOOKUP($C$58, T_NCAP_AF!$C$125:$C$135, T_NCAP_AF!F$125:F$135)*(1+P40)</f>
        <v>0</v>
      </c>
      <c r="Q64" s="397">
        <f>LOOKUP($C$58, T_NCAP_AF!$C$125:$C$135, T_NCAP_AF!G$125:G$135)*(1+Q40)</f>
        <v>0</v>
      </c>
      <c r="R64" s="397">
        <f>LOOKUP($C$58, T_NCAP_AF!$C$125:$C$135, T_NCAP_AF!H$125:H$135)*(1+R40)</f>
        <v>0</v>
      </c>
      <c r="S64" s="397">
        <f>LOOKUP($C$58, T_NCAP_AF!$C$125:$C$135, T_NCAP_AF!I$125:I$135)*(1+S40)</f>
        <v>0</v>
      </c>
      <c r="T64" s="397">
        <f>LOOKUP($C$58, T_NCAP_AF!$C$125:$C$135, T_NCAP_AF!J$125:J$135)*(1+T40)</f>
        <v>0</v>
      </c>
      <c r="U64" s="397">
        <f>LOOKUP($C$58, T_NCAP_AF!$C$125:$C$135, T_NCAP_AF!K$125:K$135)*(1+U40)</f>
        <v>0</v>
      </c>
      <c r="V64" s="397">
        <f>LOOKUP($C$58, T_NCAP_AF!$C$125:$C$135, T_NCAP_AF!L$125:L$135)*(1+V40)</f>
        <v>0</v>
      </c>
      <c r="W64" s="397">
        <f>LOOKUP($C$58, T_NCAP_AF!$C$125:$C$135, T_NCAP_AF!M$125:M$135)*(1+W40)</f>
        <v>0</v>
      </c>
      <c r="X64" s="397">
        <f>LOOKUP($C$58, T_NCAP_AF!$C$125:$C$135, T_NCAP_AF!N$125:N$135)*(1+X40)</f>
        <v>0</v>
      </c>
      <c r="Y64" s="397">
        <f>LOOKUP($C$58, T_NCAP_AF!$C$125:$C$135, T_NCAP_AF!O$125:O$135)*(1+Y40)</f>
        <v>0</v>
      </c>
      <c r="Z64" s="397">
        <f>LOOKUP($C$58, T_NCAP_AF!$C$125:$C$135, T_NCAP_AF!P$125:P$135)*(1+Z40)</f>
        <v>0</v>
      </c>
      <c r="AA64" s="397">
        <f>LOOKUP($C$58, T_NCAP_AF!$C$125:$C$135, T_NCAP_AF!Q$125:Q$135)*(1+AA40)</f>
        <v>0</v>
      </c>
      <c r="AB64" s="397">
        <f>LOOKUP($C$58, T_NCAP_AF!$C$125:$C$135, T_NCAP_AF!R$125:R$135)*(1+AB40)</f>
        <v>0</v>
      </c>
      <c r="AE64" s="572">
        <f>SUM(AF64:AT64)</f>
        <v>1378.4239139047345</v>
      </c>
      <c r="AF64" s="85">
        <f t="shared" ref="AF64:AT64" si="54">N63*N64*N65/1000</f>
        <v>1378.4239139047345</v>
      </c>
      <c r="AG64" s="85">
        <f t="shared" si="54"/>
        <v>0</v>
      </c>
      <c r="AH64" s="85">
        <f t="shared" si="54"/>
        <v>0</v>
      </c>
      <c r="AI64" s="85">
        <f t="shared" si="54"/>
        <v>0</v>
      </c>
      <c r="AJ64" s="85">
        <f t="shared" si="54"/>
        <v>0</v>
      </c>
      <c r="AK64" s="85">
        <f t="shared" si="54"/>
        <v>0</v>
      </c>
      <c r="AL64" s="85">
        <f t="shared" si="54"/>
        <v>0</v>
      </c>
      <c r="AM64" s="85">
        <f t="shared" si="54"/>
        <v>0</v>
      </c>
      <c r="AN64" s="85">
        <f t="shared" si="54"/>
        <v>0</v>
      </c>
      <c r="AO64" s="85">
        <f t="shared" si="54"/>
        <v>0</v>
      </c>
      <c r="AP64" s="85">
        <f t="shared" si="54"/>
        <v>0</v>
      </c>
      <c r="AQ64" s="85">
        <f t="shared" si="54"/>
        <v>0</v>
      </c>
      <c r="AR64" s="85">
        <f t="shared" si="54"/>
        <v>0</v>
      </c>
      <c r="AS64" s="85">
        <f t="shared" si="54"/>
        <v>0</v>
      </c>
      <c r="AT64" s="85">
        <f t="shared" si="54"/>
        <v>0</v>
      </c>
    </row>
    <row r="65" spans="1:64" s="83" customFormat="1" x14ac:dyDescent="0.25">
      <c r="B65" s="178" t="str">
        <f>B64</f>
        <v>TFLEDST100</v>
      </c>
      <c r="C65" s="178"/>
      <c r="D65" s="179"/>
      <c r="E65" s="178"/>
      <c r="F65" s="182"/>
      <c r="G65" s="181"/>
      <c r="H65" s="182"/>
      <c r="I65" s="183">
        <f>$M$3</f>
        <v>2019</v>
      </c>
      <c r="J65" s="184"/>
      <c r="K65" s="184"/>
      <c r="L65" s="203" t="s">
        <v>1065</v>
      </c>
      <c r="M65" s="184" t="s">
        <v>748</v>
      </c>
      <c r="N65" s="694">
        <f>LOOKUP($C$58, T_Stock_Private!$C$90:$C$100, T_Stock_Private!D$90:D$100)*(1+N41)</f>
        <v>121242</v>
      </c>
      <c r="O65" s="694">
        <f>LOOKUP($C$58, T_Stock_Private!$C$90:$C$100, T_Stock_Private!E$90:E$100)*(1+O41)</f>
        <v>0</v>
      </c>
      <c r="P65" s="694">
        <f>LOOKUP($C$58, T_Stock_Private!$C$90:$C$100, T_Stock_Private!F$90:F$100)*(1+P41)</f>
        <v>0</v>
      </c>
      <c r="Q65" s="694">
        <f>LOOKUP($C$58, T_Stock_Private!$C$90:$C$100, T_Stock_Private!G$90:G$100)*(1+Q41)</f>
        <v>0</v>
      </c>
      <c r="R65" s="694">
        <f>LOOKUP($C$58, T_Stock_Private!$C$90:$C$100, T_Stock_Private!H$90:H$100)*(1+R41)</f>
        <v>0</v>
      </c>
      <c r="S65" s="694">
        <f>LOOKUP($C$58, T_Stock_Private!$C$90:$C$100, T_Stock_Private!I$90:I$100)*(1+S41)</f>
        <v>0</v>
      </c>
      <c r="T65" s="694">
        <f>LOOKUP($C$58, T_Stock_Private!$C$90:$C$100, T_Stock_Private!J$90:J$100)*(1+T41)</f>
        <v>0</v>
      </c>
      <c r="U65" s="694">
        <f>LOOKUP($C$58, T_Stock_Private!$C$90:$C$100, T_Stock_Private!K$90:K$100)*(1+U41)</f>
        <v>0</v>
      </c>
      <c r="V65" s="694">
        <f>LOOKUP($C$58, T_Stock_Private!$C$90:$C$100, T_Stock_Private!L$90:L$100)*(1+V41)</f>
        <v>0</v>
      </c>
      <c r="W65" s="694">
        <f>LOOKUP($C$58, T_Stock_Private!$C$90:$C$100, T_Stock_Private!M$90:M$100)*(1+W41)</f>
        <v>0</v>
      </c>
      <c r="X65" s="694">
        <f>LOOKUP($C$58, T_Stock_Private!$C$90:$C$100, T_Stock_Private!N$90:N$100)*(1+X41)</f>
        <v>0</v>
      </c>
      <c r="Y65" s="694">
        <f>LOOKUP($C$58, T_Stock_Private!$C$90:$C$100, T_Stock_Private!O$90:O$100)*(1+Y41)</f>
        <v>0</v>
      </c>
      <c r="Z65" s="694">
        <f>LOOKUP($C$58, T_Stock_Private!$C$90:$C$100, T_Stock_Private!P$90:P$100)*(1+Z41)</f>
        <v>0</v>
      </c>
      <c r="AA65" s="694">
        <f>LOOKUP($C$58, T_Stock_Private!$C$90:$C$100, T_Stock_Private!Q$90:Q$100)*(1+AA41)</f>
        <v>0</v>
      </c>
      <c r="AB65" s="694">
        <f>LOOKUP($C$58, T_Stock_Private!$C$90:$C$100, T_Stock_Private!R$90:R$100)*(1+AB41)</f>
        <v>0</v>
      </c>
      <c r="AC65" s="89"/>
    </row>
    <row r="66" spans="1:64" s="83" customFormat="1" x14ac:dyDescent="0.25">
      <c r="B66" s="178" t="str">
        <f t="shared" si="52"/>
        <v>TFLEDST100</v>
      </c>
      <c r="C66" s="178"/>
      <c r="D66" s="179"/>
      <c r="E66" s="178"/>
      <c r="F66" s="182"/>
      <c r="G66" s="181"/>
      <c r="H66" s="182"/>
      <c r="I66" s="183">
        <f>AF$5</f>
        <v>2020</v>
      </c>
      <c r="J66" s="184"/>
      <c r="K66" s="184"/>
      <c r="L66" s="203" t="s">
        <v>1065</v>
      </c>
      <c r="M66" s="184" t="s">
        <v>748</v>
      </c>
      <c r="N66" s="694">
        <f t="shared" ref="N66:AB66" si="55">N65*LOOKUP($AD58,$AG$4:$AP$4,$AG$5:$AP$5)</f>
        <v>115179.9</v>
      </c>
      <c r="O66" s="694">
        <f t="shared" si="55"/>
        <v>0</v>
      </c>
      <c r="P66" s="694">
        <f t="shared" si="55"/>
        <v>0</v>
      </c>
      <c r="Q66" s="694">
        <f t="shared" si="55"/>
        <v>0</v>
      </c>
      <c r="R66" s="694">
        <f t="shared" si="55"/>
        <v>0</v>
      </c>
      <c r="S66" s="694">
        <f t="shared" si="55"/>
        <v>0</v>
      </c>
      <c r="T66" s="694">
        <f t="shared" si="55"/>
        <v>0</v>
      </c>
      <c r="U66" s="694">
        <f t="shared" si="55"/>
        <v>0</v>
      </c>
      <c r="V66" s="694">
        <f t="shared" si="55"/>
        <v>0</v>
      </c>
      <c r="W66" s="694">
        <f t="shared" si="55"/>
        <v>0</v>
      </c>
      <c r="X66" s="694">
        <f t="shared" si="55"/>
        <v>0</v>
      </c>
      <c r="Y66" s="694">
        <f t="shared" si="55"/>
        <v>0</v>
      </c>
      <c r="Z66" s="694">
        <f t="shared" si="55"/>
        <v>0</v>
      </c>
      <c r="AA66" s="694">
        <f t="shared" si="55"/>
        <v>0</v>
      </c>
      <c r="AB66" s="694">
        <f t="shared" si="55"/>
        <v>0</v>
      </c>
    </row>
    <row r="67" spans="1:64" s="83" customFormat="1" x14ac:dyDescent="0.25">
      <c r="B67" s="178" t="str">
        <f t="shared" si="52"/>
        <v>TFLEDST100</v>
      </c>
      <c r="C67" s="178"/>
      <c r="D67" s="179"/>
      <c r="E67" s="178"/>
      <c r="F67" s="182"/>
      <c r="G67" s="181"/>
      <c r="H67" s="182"/>
      <c r="I67" s="183">
        <f>AF$6</f>
        <v>2025</v>
      </c>
      <c r="J67" s="184"/>
      <c r="K67" s="184"/>
      <c r="L67" s="203" t="s">
        <v>1065</v>
      </c>
      <c r="M67" s="184" t="s">
        <v>748</v>
      </c>
      <c r="N67" s="694">
        <f t="shared" ref="N67:AB67" si="56">N65*LOOKUP($AD58,$AG$4:$AP$4,$AG$6:$AP$6)</f>
        <v>84869.4</v>
      </c>
      <c r="O67" s="694">
        <f t="shared" si="56"/>
        <v>0</v>
      </c>
      <c r="P67" s="694">
        <f t="shared" si="56"/>
        <v>0</v>
      </c>
      <c r="Q67" s="694">
        <f t="shared" si="56"/>
        <v>0</v>
      </c>
      <c r="R67" s="694">
        <f t="shared" si="56"/>
        <v>0</v>
      </c>
      <c r="S67" s="694">
        <f t="shared" si="56"/>
        <v>0</v>
      </c>
      <c r="T67" s="694">
        <f t="shared" si="56"/>
        <v>0</v>
      </c>
      <c r="U67" s="694">
        <f t="shared" si="56"/>
        <v>0</v>
      </c>
      <c r="V67" s="694">
        <f t="shared" si="56"/>
        <v>0</v>
      </c>
      <c r="W67" s="694">
        <f t="shared" si="56"/>
        <v>0</v>
      </c>
      <c r="X67" s="694">
        <f t="shared" si="56"/>
        <v>0</v>
      </c>
      <c r="Y67" s="694">
        <f t="shared" si="56"/>
        <v>0</v>
      </c>
      <c r="Z67" s="694">
        <f t="shared" si="56"/>
        <v>0</v>
      </c>
      <c r="AA67" s="694">
        <f t="shared" si="56"/>
        <v>0</v>
      </c>
      <c r="AB67" s="694">
        <f t="shared" si="56"/>
        <v>0</v>
      </c>
    </row>
    <row r="68" spans="1:64" s="83" customFormat="1" x14ac:dyDescent="0.25">
      <c r="B68" s="178" t="str">
        <f t="shared" si="52"/>
        <v>TFLEDST100</v>
      </c>
      <c r="C68" s="178"/>
      <c r="D68" s="179"/>
      <c r="E68" s="178"/>
      <c r="F68" s="182"/>
      <c r="G68" s="181"/>
      <c r="H68" s="182"/>
      <c r="I68" s="183">
        <f>AF$7</f>
        <v>2030</v>
      </c>
      <c r="J68" s="184"/>
      <c r="K68" s="184"/>
      <c r="L68" s="203" t="s">
        <v>1065</v>
      </c>
      <c r="M68" s="184" t="s">
        <v>748</v>
      </c>
      <c r="N68" s="694">
        <f t="shared" ref="N68:AB68" si="57">N65*LOOKUP($AD58,$AG$4:$AP$4,$AG$7:$AP$7)</f>
        <v>48496.800000000003</v>
      </c>
      <c r="O68" s="694">
        <f t="shared" si="57"/>
        <v>0</v>
      </c>
      <c r="P68" s="694">
        <f t="shared" si="57"/>
        <v>0</v>
      </c>
      <c r="Q68" s="694">
        <f t="shared" si="57"/>
        <v>0</v>
      </c>
      <c r="R68" s="694">
        <f t="shared" si="57"/>
        <v>0</v>
      </c>
      <c r="S68" s="694">
        <f t="shared" si="57"/>
        <v>0</v>
      </c>
      <c r="T68" s="694">
        <f t="shared" si="57"/>
        <v>0</v>
      </c>
      <c r="U68" s="694">
        <f t="shared" si="57"/>
        <v>0</v>
      </c>
      <c r="V68" s="694">
        <f t="shared" si="57"/>
        <v>0</v>
      </c>
      <c r="W68" s="694">
        <f t="shared" si="57"/>
        <v>0</v>
      </c>
      <c r="X68" s="694">
        <f t="shared" si="57"/>
        <v>0</v>
      </c>
      <c r="Y68" s="694">
        <f t="shared" si="57"/>
        <v>0</v>
      </c>
      <c r="Z68" s="694">
        <f t="shared" si="57"/>
        <v>0</v>
      </c>
      <c r="AA68" s="694">
        <f t="shared" si="57"/>
        <v>0</v>
      </c>
      <c r="AB68" s="694">
        <f t="shared" si="57"/>
        <v>0</v>
      </c>
    </row>
    <row r="69" spans="1:64" s="83" customFormat="1" x14ac:dyDescent="0.25">
      <c r="B69" s="178" t="str">
        <f t="shared" si="52"/>
        <v>TFLEDST100</v>
      </c>
      <c r="C69" s="178"/>
      <c r="D69" s="179"/>
      <c r="E69" s="178"/>
      <c r="F69" s="182"/>
      <c r="G69" s="181"/>
      <c r="H69" s="182"/>
      <c r="I69" s="183">
        <f>AF$8</f>
        <v>2035</v>
      </c>
      <c r="J69" s="184"/>
      <c r="K69" s="184"/>
      <c r="L69" s="203" t="s">
        <v>1065</v>
      </c>
      <c r="M69" s="184" t="s">
        <v>748</v>
      </c>
      <c r="N69" s="694">
        <f t="shared" ref="N69:AB69" si="58">N65*LOOKUP($AD58,$AG$4:$AP$4,$AG$8:$AP$8)</f>
        <v>18186.3</v>
      </c>
      <c r="O69" s="694">
        <f t="shared" si="58"/>
        <v>0</v>
      </c>
      <c r="P69" s="694">
        <f t="shared" si="58"/>
        <v>0</v>
      </c>
      <c r="Q69" s="694">
        <f t="shared" si="58"/>
        <v>0</v>
      </c>
      <c r="R69" s="694">
        <f t="shared" si="58"/>
        <v>0</v>
      </c>
      <c r="S69" s="694">
        <f t="shared" si="58"/>
        <v>0</v>
      </c>
      <c r="T69" s="694">
        <f t="shared" si="58"/>
        <v>0</v>
      </c>
      <c r="U69" s="694">
        <f t="shared" si="58"/>
        <v>0</v>
      </c>
      <c r="V69" s="694">
        <f t="shared" si="58"/>
        <v>0</v>
      </c>
      <c r="W69" s="694">
        <f t="shared" si="58"/>
        <v>0</v>
      </c>
      <c r="X69" s="694">
        <f t="shared" si="58"/>
        <v>0</v>
      </c>
      <c r="Y69" s="694">
        <f t="shared" si="58"/>
        <v>0</v>
      </c>
      <c r="Z69" s="694">
        <f t="shared" si="58"/>
        <v>0</v>
      </c>
      <c r="AA69" s="694">
        <f t="shared" si="58"/>
        <v>0</v>
      </c>
      <c r="AB69" s="694">
        <f t="shared" si="58"/>
        <v>0</v>
      </c>
    </row>
    <row r="70" spans="1:64" s="83" customFormat="1" x14ac:dyDescent="0.25">
      <c r="B70" s="178" t="str">
        <f t="shared" si="52"/>
        <v>TFLEDST100</v>
      </c>
      <c r="C70" s="178"/>
      <c r="D70" s="179"/>
      <c r="E70" s="178"/>
      <c r="F70" s="182"/>
      <c r="G70" s="181"/>
      <c r="H70" s="182"/>
      <c r="I70" s="183">
        <f>AF$9</f>
        <v>2040</v>
      </c>
      <c r="J70" s="184"/>
      <c r="K70" s="184"/>
      <c r="L70" s="203" t="s">
        <v>1065</v>
      </c>
      <c r="M70" s="184" t="s">
        <v>748</v>
      </c>
      <c r="N70" s="694">
        <f t="shared" ref="N70:AB70" si="59">N65*LOOKUP($AD58,$AG$4:$AP$4,$AG$9:$AP$9)</f>
        <v>606.21</v>
      </c>
      <c r="O70" s="694">
        <f t="shared" si="59"/>
        <v>0</v>
      </c>
      <c r="P70" s="694">
        <f t="shared" si="59"/>
        <v>0</v>
      </c>
      <c r="Q70" s="694">
        <f t="shared" si="59"/>
        <v>0</v>
      </c>
      <c r="R70" s="694">
        <f t="shared" si="59"/>
        <v>0</v>
      </c>
      <c r="S70" s="694">
        <f t="shared" si="59"/>
        <v>0</v>
      </c>
      <c r="T70" s="694">
        <f t="shared" si="59"/>
        <v>0</v>
      </c>
      <c r="U70" s="694">
        <f t="shared" si="59"/>
        <v>0</v>
      </c>
      <c r="V70" s="694">
        <f t="shared" si="59"/>
        <v>0</v>
      </c>
      <c r="W70" s="694">
        <f t="shared" si="59"/>
        <v>0</v>
      </c>
      <c r="X70" s="694">
        <f t="shared" si="59"/>
        <v>0</v>
      </c>
      <c r="Y70" s="694">
        <f t="shared" si="59"/>
        <v>0</v>
      </c>
      <c r="Z70" s="694">
        <f t="shared" si="59"/>
        <v>0</v>
      </c>
      <c r="AA70" s="694">
        <f t="shared" si="59"/>
        <v>0</v>
      </c>
      <c r="AB70" s="694">
        <f t="shared" si="59"/>
        <v>0</v>
      </c>
    </row>
    <row r="71" spans="1:64" s="83" customFormat="1" x14ac:dyDescent="0.25">
      <c r="B71" s="204" t="str">
        <f t="shared" si="52"/>
        <v>TFLEDST100</v>
      </c>
      <c r="C71" s="204"/>
      <c r="D71" s="205"/>
      <c r="E71" s="204"/>
      <c r="F71" s="206"/>
      <c r="G71" s="207"/>
      <c r="H71" s="206"/>
      <c r="I71" s="208">
        <f>AF$10</f>
        <v>2050</v>
      </c>
      <c r="J71" s="209"/>
      <c r="K71" s="209"/>
      <c r="L71" s="210" t="s">
        <v>1065</v>
      </c>
      <c r="M71" s="209" t="s">
        <v>748</v>
      </c>
      <c r="N71" s="695">
        <f t="shared" ref="N71:AB71" si="60">N65*LOOKUP($AD58,$AG$4:$AP$4,$AG$10:$AP$10)</f>
        <v>0</v>
      </c>
      <c r="O71" s="695">
        <f t="shared" si="60"/>
        <v>0</v>
      </c>
      <c r="P71" s="695">
        <f t="shared" si="60"/>
        <v>0</v>
      </c>
      <c r="Q71" s="695">
        <f t="shared" si="60"/>
        <v>0</v>
      </c>
      <c r="R71" s="695">
        <f t="shared" si="60"/>
        <v>0</v>
      </c>
      <c r="S71" s="695">
        <f t="shared" si="60"/>
        <v>0</v>
      </c>
      <c r="T71" s="695">
        <f t="shared" si="60"/>
        <v>0</v>
      </c>
      <c r="U71" s="695">
        <f t="shared" si="60"/>
        <v>0</v>
      </c>
      <c r="V71" s="695">
        <f t="shared" si="60"/>
        <v>0</v>
      </c>
      <c r="W71" s="695">
        <f t="shared" si="60"/>
        <v>0</v>
      </c>
      <c r="X71" s="695">
        <f t="shared" si="60"/>
        <v>0</v>
      </c>
      <c r="Y71" s="695">
        <f t="shared" si="60"/>
        <v>0</v>
      </c>
      <c r="Z71" s="695">
        <f t="shared" si="60"/>
        <v>0</v>
      </c>
      <c r="AA71" s="695">
        <f t="shared" si="60"/>
        <v>0</v>
      </c>
      <c r="AB71" s="695">
        <f t="shared" si="60"/>
        <v>0</v>
      </c>
    </row>
    <row r="72" spans="1:64" s="83" customFormat="1" x14ac:dyDescent="0.25">
      <c r="A72" s="82"/>
      <c r="B72" s="178" t="str">
        <f>C72</f>
        <v>TFLEELC100</v>
      </c>
      <c r="C72" s="178" t="s">
        <v>349</v>
      </c>
      <c r="D72" s="179" t="s">
        <v>808</v>
      </c>
      <c r="E72" s="180" t="s">
        <v>683</v>
      </c>
      <c r="F72" s="182"/>
      <c r="G72" s="181"/>
      <c r="H72" s="182"/>
      <c r="I72" s="183"/>
      <c r="J72" s="184"/>
      <c r="K72" s="184"/>
      <c r="L72" s="203" t="s">
        <v>1107</v>
      </c>
      <c r="M72" s="184" t="s">
        <v>1156</v>
      </c>
      <c r="N72" s="378">
        <f>N$58</f>
        <v>1E-3</v>
      </c>
      <c r="O72" s="378">
        <f t="shared" ref="O72:AB72" si="61">$N72</f>
        <v>1E-3</v>
      </c>
      <c r="P72" s="378">
        <f t="shared" si="61"/>
        <v>1E-3</v>
      </c>
      <c r="Q72" s="378">
        <f t="shared" si="61"/>
        <v>1E-3</v>
      </c>
      <c r="R72" s="378">
        <f t="shared" si="61"/>
        <v>1E-3</v>
      </c>
      <c r="S72" s="378">
        <f t="shared" si="61"/>
        <v>1E-3</v>
      </c>
      <c r="T72" s="378">
        <f t="shared" si="61"/>
        <v>1E-3</v>
      </c>
      <c r="U72" s="378">
        <f t="shared" si="61"/>
        <v>1E-3</v>
      </c>
      <c r="V72" s="378">
        <f t="shared" si="61"/>
        <v>1E-3</v>
      </c>
      <c r="W72" s="378">
        <f t="shared" si="61"/>
        <v>1E-3</v>
      </c>
      <c r="X72" s="378">
        <f t="shared" si="61"/>
        <v>1E-3</v>
      </c>
      <c r="Y72" s="378">
        <f t="shared" si="61"/>
        <v>1E-3</v>
      </c>
      <c r="Z72" s="378">
        <f t="shared" si="61"/>
        <v>1E-3</v>
      </c>
      <c r="AA72" s="378">
        <f t="shared" si="61"/>
        <v>1E-3</v>
      </c>
      <c r="AB72" s="378">
        <f t="shared" si="61"/>
        <v>1E-3</v>
      </c>
      <c r="AD72" s="410" t="str">
        <f>MID(D72,13,3)</f>
        <v>ELC</v>
      </c>
      <c r="AV72" s="700" t="str">
        <f t="shared" ref="AV72:AV74" si="62">MID(E72,1,7)</f>
        <v>TRAELC</v>
      </c>
      <c r="AW72" s="568">
        <f t="shared" ref="AW72" si="63">SUM(AX72:BL72)</f>
        <v>20.229894203915453</v>
      </c>
      <c r="AX72" s="570">
        <f>N76*N77/N73/1000</f>
        <v>20.229894203915453</v>
      </c>
      <c r="AY72" s="570">
        <f t="shared" ref="AY72:BL72" si="64">O76*O77/O73/1000</f>
        <v>0</v>
      </c>
      <c r="AZ72" s="570">
        <f t="shared" si="64"/>
        <v>0</v>
      </c>
      <c r="BA72" s="570">
        <f t="shared" si="64"/>
        <v>0</v>
      </c>
      <c r="BB72" s="570">
        <f t="shared" si="64"/>
        <v>0</v>
      </c>
      <c r="BC72" s="570">
        <f t="shared" si="64"/>
        <v>0</v>
      </c>
      <c r="BD72" s="570">
        <f t="shared" si="64"/>
        <v>0</v>
      </c>
      <c r="BE72" s="570">
        <f t="shared" si="64"/>
        <v>0</v>
      </c>
      <c r="BF72" s="570">
        <f t="shared" si="64"/>
        <v>0</v>
      </c>
      <c r="BG72" s="570">
        <f t="shared" si="64"/>
        <v>0</v>
      </c>
      <c r="BH72" s="570">
        <f t="shared" si="64"/>
        <v>0</v>
      </c>
      <c r="BI72" s="570">
        <f t="shared" si="64"/>
        <v>0</v>
      </c>
      <c r="BJ72" s="570">
        <f t="shared" si="64"/>
        <v>0</v>
      </c>
      <c r="BK72" s="570">
        <f t="shared" si="64"/>
        <v>0</v>
      </c>
      <c r="BL72" s="570">
        <f t="shared" si="64"/>
        <v>0</v>
      </c>
    </row>
    <row r="73" spans="1:64" s="83" customFormat="1" x14ac:dyDescent="0.25">
      <c r="A73" s="82"/>
      <c r="B73" s="178" t="str">
        <f>B72</f>
        <v>TFLEELC100</v>
      </c>
      <c r="C73" s="178"/>
      <c r="D73" s="179"/>
      <c r="E73" s="178"/>
      <c r="F73" s="182"/>
      <c r="G73" s="173" t="s">
        <v>431</v>
      </c>
      <c r="H73" s="182"/>
      <c r="I73" s="183"/>
      <c r="J73" s="184"/>
      <c r="K73" s="184"/>
      <c r="L73" s="184" t="s">
        <v>1126</v>
      </c>
      <c r="M73" s="184" t="s">
        <v>678</v>
      </c>
      <c r="N73" s="676">
        <f>T_CEFF!H162</f>
        <v>1.0389600000000001</v>
      </c>
      <c r="O73" s="676">
        <f>T_CEFF!I162</f>
        <v>1.0389600000000001</v>
      </c>
      <c r="P73" s="676">
        <f>T_CEFF!J162</f>
        <v>1.0389600000000001</v>
      </c>
      <c r="Q73" s="676">
        <f>T_CEFF!K162</f>
        <v>1.0389600000000001</v>
      </c>
      <c r="R73" s="676">
        <f>T_CEFF!L162</f>
        <v>1.0389600000000001</v>
      </c>
      <c r="S73" s="676">
        <f>T_CEFF!M162</f>
        <v>1.0389600000000001</v>
      </c>
      <c r="T73" s="676">
        <f>T_CEFF!N162</f>
        <v>1.0389600000000001</v>
      </c>
      <c r="U73" s="676">
        <f>T_CEFF!O162</f>
        <v>1.0389600000000001</v>
      </c>
      <c r="V73" s="676">
        <f>T_CEFF!P162</f>
        <v>1.0389600000000001</v>
      </c>
      <c r="W73" s="676">
        <f>T_CEFF!Q162</f>
        <v>1.0389600000000001</v>
      </c>
      <c r="X73" s="676">
        <f>T_CEFF!R162</f>
        <v>1.0389600000000001</v>
      </c>
      <c r="Y73" s="676">
        <f>T_CEFF!S162</f>
        <v>1.0389600000000001</v>
      </c>
      <c r="Z73" s="676">
        <f>T_CEFF!T162</f>
        <v>1.0389600000000001</v>
      </c>
      <c r="AA73" s="676">
        <f>T_CEFF!U162</f>
        <v>1.0389600000000001</v>
      </c>
      <c r="AB73" s="676">
        <f>T_CEFF!V162</f>
        <v>1.0389600000000001</v>
      </c>
      <c r="AD73" s="66" t="str">
        <f>IF(COUNTIF($AG$4:$AP$4,AD72)=1,"ok","MISSING")</f>
        <v>ok</v>
      </c>
      <c r="AV73" s="700" t="str">
        <f t="shared" si="62"/>
        <v/>
      </c>
      <c r="AW73" s="568"/>
    </row>
    <row r="74" spans="1:64" s="83" customFormat="1" x14ac:dyDescent="0.25">
      <c r="A74" s="82"/>
      <c r="B74" s="178" t="str">
        <f t="shared" ref="B74:B83" si="65">B73</f>
        <v>TFLEELC100</v>
      </c>
      <c r="C74" s="178"/>
      <c r="D74" s="179"/>
      <c r="E74" s="178"/>
      <c r="F74" s="182"/>
      <c r="G74" s="173" t="s">
        <v>429</v>
      </c>
      <c r="H74" s="182"/>
      <c r="I74" s="183"/>
      <c r="J74" s="184"/>
      <c r="K74" s="184"/>
      <c r="L74" s="184" t="s">
        <v>1126</v>
      </c>
      <c r="M74" s="184" t="s">
        <v>678</v>
      </c>
      <c r="N74" s="676">
        <f>T_CEFF!H163</f>
        <v>1.2903199999999999</v>
      </c>
      <c r="O74" s="676">
        <f>T_CEFF!I163</f>
        <v>1.2903199999999999</v>
      </c>
      <c r="P74" s="676">
        <f>T_CEFF!J163</f>
        <v>1.2903199999999999</v>
      </c>
      <c r="Q74" s="676">
        <f>T_CEFF!K163</f>
        <v>1.2903199999999999</v>
      </c>
      <c r="R74" s="676">
        <f>T_CEFF!L163</f>
        <v>1.2903199999999999</v>
      </c>
      <c r="S74" s="676">
        <f>T_CEFF!M163</f>
        <v>1.2903199999999999</v>
      </c>
      <c r="T74" s="676">
        <f>T_CEFF!N163</f>
        <v>1.2903199999999999</v>
      </c>
      <c r="U74" s="676">
        <f>T_CEFF!O163</f>
        <v>1.2903199999999999</v>
      </c>
      <c r="V74" s="676">
        <f>T_CEFF!P163</f>
        <v>1.2903199999999999</v>
      </c>
      <c r="W74" s="676">
        <f>T_CEFF!Q163</f>
        <v>1.2903199999999999</v>
      </c>
      <c r="X74" s="676">
        <f>T_CEFF!R163</f>
        <v>1.2903199999999999</v>
      </c>
      <c r="Y74" s="676">
        <f>T_CEFF!S163</f>
        <v>1.2903199999999999</v>
      </c>
      <c r="Z74" s="676">
        <f>T_CEFF!T163</f>
        <v>1.2903199999999999</v>
      </c>
      <c r="AA74" s="676">
        <f>T_CEFF!U163</f>
        <v>1.2903199999999999</v>
      </c>
      <c r="AB74" s="676">
        <f>T_CEFF!V163</f>
        <v>1.2903199999999999</v>
      </c>
      <c r="AV74" s="700" t="str">
        <f t="shared" si="62"/>
        <v/>
      </c>
      <c r="AW74" s="568"/>
    </row>
    <row r="75" spans="1:64" s="83" customFormat="1" x14ac:dyDescent="0.25">
      <c r="A75" s="82"/>
      <c r="B75" s="178" t="str">
        <f>B74</f>
        <v>TFLEELC100</v>
      </c>
      <c r="C75" s="178"/>
      <c r="D75" s="179"/>
      <c r="E75" s="178"/>
      <c r="F75" s="182"/>
      <c r="G75" s="181"/>
      <c r="H75" s="182"/>
      <c r="I75" s="183"/>
      <c r="J75" s="184"/>
      <c r="K75" s="184" t="s">
        <v>749</v>
      </c>
      <c r="L75" s="184" t="s">
        <v>1128</v>
      </c>
      <c r="M75" s="184" t="s">
        <v>1175</v>
      </c>
      <c r="N75" s="388">
        <f t="shared" ref="N75:AB75" si="66">N$23</f>
        <v>0.76</v>
      </c>
      <c r="O75" s="388">
        <f t="shared" si="66"/>
        <v>0</v>
      </c>
      <c r="P75" s="388">
        <f t="shared" si="66"/>
        <v>0</v>
      </c>
      <c r="Q75" s="388">
        <f t="shared" si="66"/>
        <v>0</v>
      </c>
      <c r="R75" s="388">
        <f t="shared" si="66"/>
        <v>0</v>
      </c>
      <c r="S75" s="388">
        <f t="shared" si="66"/>
        <v>0</v>
      </c>
      <c r="T75" s="388">
        <f t="shared" si="66"/>
        <v>0</v>
      </c>
      <c r="U75" s="388">
        <f t="shared" si="66"/>
        <v>0</v>
      </c>
      <c r="V75" s="388">
        <f t="shared" si="66"/>
        <v>0</v>
      </c>
      <c r="W75" s="388">
        <f t="shared" si="66"/>
        <v>0</v>
      </c>
      <c r="X75" s="388">
        <f t="shared" si="66"/>
        <v>0</v>
      </c>
      <c r="Y75" s="388">
        <f t="shared" si="66"/>
        <v>0</v>
      </c>
      <c r="Z75" s="388">
        <f t="shared" si="66"/>
        <v>0</v>
      </c>
      <c r="AA75" s="388">
        <f t="shared" si="66"/>
        <v>0</v>
      </c>
      <c r="AB75" s="388">
        <f t="shared" si="66"/>
        <v>0</v>
      </c>
    </row>
    <row r="76" spans="1:64" s="83" customFormat="1" x14ac:dyDescent="0.25">
      <c r="A76" s="82"/>
      <c r="B76" s="178" t="str">
        <f t="shared" si="65"/>
        <v>TFLEELC100</v>
      </c>
      <c r="C76" s="178"/>
      <c r="D76" s="179"/>
      <c r="E76" s="178"/>
      <c r="F76" s="182"/>
      <c r="G76" s="181"/>
      <c r="H76" s="182"/>
      <c r="I76" s="183"/>
      <c r="J76" s="184"/>
      <c r="K76" s="184"/>
      <c r="L76" s="203" t="s">
        <v>1130</v>
      </c>
      <c r="M76" s="184" t="s">
        <v>1131</v>
      </c>
      <c r="N76" s="397">
        <f>LOOKUP($C$72, T_NCAP_AF!$C$125:$C$135, T_NCAP_AF!D$125:D$135)*(1+N40)</f>
        <v>14.959466820000001</v>
      </c>
      <c r="O76" s="397">
        <f>LOOKUP($C$72, T_NCAP_AF!$C$125:$C$135, T_NCAP_AF!E$125:E$135)*(1+O40)</f>
        <v>0</v>
      </c>
      <c r="P76" s="397">
        <f>LOOKUP($C$72, T_NCAP_AF!$C$125:$C$135, T_NCAP_AF!F$125:F$135)*(1+P40)</f>
        <v>0</v>
      </c>
      <c r="Q76" s="397">
        <f>LOOKUP($C$72, T_NCAP_AF!$C$125:$C$135, T_NCAP_AF!G$125:G$135)*(1+Q40)</f>
        <v>0</v>
      </c>
      <c r="R76" s="397">
        <f>LOOKUP($C$72, T_NCAP_AF!$C$125:$C$135, T_NCAP_AF!H$125:H$135)*(1+R40)</f>
        <v>0</v>
      </c>
      <c r="S76" s="397">
        <f>LOOKUP($C$72, T_NCAP_AF!$C$125:$C$135, T_NCAP_AF!I$125:I$135)*(1+S40)</f>
        <v>0</v>
      </c>
      <c r="T76" s="397">
        <f>LOOKUP($C$72, T_NCAP_AF!$C$125:$C$135, T_NCAP_AF!J$125:J$135)*(1+T40)</f>
        <v>0</v>
      </c>
      <c r="U76" s="397">
        <f>LOOKUP($C$72, T_NCAP_AF!$C$125:$C$135, T_NCAP_AF!K$125:K$135)*(1+U40)</f>
        <v>0</v>
      </c>
      <c r="V76" s="397">
        <f>LOOKUP($C$72, T_NCAP_AF!$C$125:$C$135, T_NCAP_AF!L$125:L$135)*(1+V40)</f>
        <v>0</v>
      </c>
      <c r="W76" s="397">
        <f>LOOKUP($C$72, T_NCAP_AF!$C$125:$C$135, T_NCAP_AF!M$125:M$135)*(1+W40)</f>
        <v>0</v>
      </c>
      <c r="X76" s="397">
        <f>LOOKUP($C$72, T_NCAP_AF!$C$125:$C$135, T_NCAP_AF!N$125:N$135)*(1+X40)</f>
        <v>0</v>
      </c>
      <c r="Y76" s="397">
        <f>LOOKUP($C$72, T_NCAP_AF!$C$125:$C$135, T_NCAP_AF!O$125:O$135)*(1+Y40)</f>
        <v>0</v>
      </c>
      <c r="Z76" s="397">
        <f>LOOKUP($C$72, T_NCAP_AF!$C$125:$C$135, T_NCAP_AF!P$125:P$135)*(1+Z40)</f>
        <v>0</v>
      </c>
      <c r="AA76" s="397">
        <f>LOOKUP($C$72, T_NCAP_AF!$C$125:$C$135, T_NCAP_AF!Q$125:Q$135)*(1+AA40)</f>
        <v>0</v>
      </c>
      <c r="AB76" s="397">
        <f>LOOKUP($C$72, T_NCAP_AF!$C$125:$C$135, T_NCAP_AF!R$125:R$135)*(1+AB40)</f>
        <v>0</v>
      </c>
      <c r="AE76" s="572">
        <f>SUM(AF76:AT76)</f>
        <v>15.973718670396002</v>
      </c>
      <c r="AF76" s="85">
        <f t="shared" ref="AF76:AT76" si="67">N75*N76*N77/1000</f>
        <v>15.973718670396002</v>
      </c>
      <c r="AG76" s="85">
        <f t="shared" si="67"/>
        <v>0</v>
      </c>
      <c r="AH76" s="85">
        <f t="shared" si="67"/>
        <v>0</v>
      </c>
      <c r="AI76" s="85">
        <f t="shared" si="67"/>
        <v>0</v>
      </c>
      <c r="AJ76" s="85">
        <f t="shared" si="67"/>
        <v>0</v>
      </c>
      <c r="AK76" s="85">
        <f t="shared" si="67"/>
        <v>0</v>
      </c>
      <c r="AL76" s="85">
        <f t="shared" si="67"/>
        <v>0</v>
      </c>
      <c r="AM76" s="85">
        <f t="shared" si="67"/>
        <v>0</v>
      </c>
      <c r="AN76" s="85">
        <f t="shared" si="67"/>
        <v>0</v>
      </c>
      <c r="AO76" s="85">
        <f t="shared" si="67"/>
        <v>0</v>
      </c>
      <c r="AP76" s="85">
        <f t="shared" si="67"/>
        <v>0</v>
      </c>
      <c r="AQ76" s="85">
        <f t="shared" si="67"/>
        <v>0</v>
      </c>
      <c r="AR76" s="85">
        <f t="shared" si="67"/>
        <v>0</v>
      </c>
      <c r="AS76" s="85">
        <f t="shared" si="67"/>
        <v>0</v>
      </c>
      <c r="AT76" s="85">
        <f t="shared" si="67"/>
        <v>0</v>
      </c>
    </row>
    <row r="77" spans="1:64" s="83" customFormat="1" x14ac:dyDescent="0.25">
      <c r="A77" s="82"/>
      <c r="B77" s="178" t="str">
        <f>B76</f>
        <v>TFLEELC100</v>
      </c>
      <c r="C77" s="178"/>
      <c r="D77" s="179"/>
      <c r="E77" s="178"/>
      <c r="F77" s="182"/>
      <c r="G77" s="181"/>
      <c r="H77" s="182"/>
      <c r="I77" s="183">
        <f>$M$3</f>
        <v>2019</v>
      </c>
      <c r="J77" s="184"/>
      <c r="K77" s="184"/>
      <c r="L77" s="203" t="s">
        <v>1065</v>
      </c>
      <c r="M77" s="184" t="s">
        <v>748</v>
      </c>
      <c r="N77" s="694">
        <f>LOOKUP($C$72, T_Stock_Private!$C$90:$C$100, T_Stock_Private!D$90:D$100)*(1+N41)</f>
        <v>1405</v>
      </c>
      <c r="O77" s="694">
        <f>LOOKUP($C$72, T_Stock_Private!$C$90:$C$100, T_Stock_Private!E$90:E$100)*(1+O41)</f>
        <v>0</v>
      </c>
      <c r="P77" s="694">
        <f>LOOKUP($C$72, T_Stock_Private!$C$90:$C$100, T_Stock_Private!F$90:F$100)*(1+P41)</f>
        <v>0</v>
      </c>
      <c r="Q77" s="694">
        <f>LOOKUP($C$72, T_Stock_Private!$C$90:$C$100, T_Stock_Private!G$90:G$100)*(1+Q41)</f>
        <v>0</v>
      </c>
      <c r="R77" s="694">
        <f>LOOKUP($C$72, T_Stock_Private!$C$90:$C$100, T_Stock_Private!H$90:H$100)*(1+R41)</f>
        <v>0</v>
      </c>
      <c r="S77" s="694">
        <f>LOOKUP($C$72, T_Stock_Private!$C$90:$C$100, T_Stock_Private!I$90:I$100)*(1+S41)</f>
        <v>0</v>
      </c>
      <c r="T77" s="694">
        <f>LOOKUP($C$72, T_Stock_Private!$C$90:$C$100, T_Stock_Private!J$90:J$100)*(1+T41)</f>
        <v>0</v>
      </c>
      <c r="U77" s="694">
        <f>LOOKUP($C$72, T_Stock_Private!$C$90:$C$100, T_Stock_Private!K$90:K$100)*(1+U41)</f>
        <v>0</v>
      </c>
      <c r="V77" s="694">
        <f>LOOKUP($C$72, T_Stock_Private!$C$90:$C$100, T_Stock_Private!L$90:L$100)*(1+V41)</f>
        <v>0</v>
      </c>
      <c r="W77" s="694">
        <f>LOOKUP($C$72, T_Stock_Private!$C$90:$C$100, T_Stock_Private!M$90:M$100)*(1+W41)</f>
        <v>0</v>
      </c>
      <c r="X77" s="694">
        <f>LOOKUP($C$72, T_Stock_Private!$C$90:$C$100, T_Stock_Private!N$90:N$100)*(1+X41)</f>
        <v>0</v>
      </c>
      <c r="Y77" s="694">
        <f>LOOKUP($C$72, T_Stock_Private!$C$90:$C$100, T_Stock_Private!O$90:O$100)*(1+Y41)</f>
        <v>0</v>
      </c>
      <c r="Z77" s="694">
        <f>LOOKUP($C$72, T_Stock_Private!$C$90:$C$100, T_Stock_Private!P$90:P$100)*(1+Z41)</f>
        <v>0</v>
      </c>
      <c r="AA77" s="694">
        <f>LOOKUP($C$72, T_Stock_Private!$C$90:$C$100, T_Stock_Private!Q$90:Q$100)*(1+AA41)</f>
        <v>0</v>
      </c>
      <c r="AB77" s="694">
        <f>LOOKUP($C$72, T_Stock_Private!$C$90:$C$100, T_Stock_Private!R$90:R$100)*(1+AB41)</f>
        <v>0</v>
      </c>
      <c r="AC77" s="89"/>
    </row>
    <row r="78" spans="1:64" s="83" customFormat="1" x14ac:dyDescent="0.25">
      <c r="A78" s="82"/>
      <c r="B78" s="178" t="str">
        <f t="shared" si="65"/>
        <v>TFLEELC100</v>
      </c>
      <c r="C78" s="178"/>
      <c r="D78" s="179"/>
      <c r="E78" s="178"/>
      <c r="F78" s="182"/>
      <c r="G78" s="181"/>
      <c r="H78" s="182"/>
      <c r="I78" s="183">
        <f>AF$5</f>
        <v>2020</v>
      </c>
      <c r="J78" s="184"/>
      <c r="K78" s="184"/>
      <c r="L78" s="203" t="s">
        <v>1065</v>
      </c>
      <c r="M78" s="184" t="s">
        <v>748</v>
      </c>
      <c r="N78" s="694">
        <f t="shared" ref="N78:AB78" si="68">N77*LOOKUP($AD72,$AG$4:$AP$4,$AG$5:$AP$5)</f>
        <v>1390.95</v>
      </c>
      <c r="O78" s="694">
        <f t="shared" si="68"/>
        <v>0</v>
      </c>
      <c r="P78" s="694">
        <f t="shared" si="68"/>
        <v>0</v>
      </c>
      <c r="Q78" s="694">
        <f t="shared" si="68"/>
        <v>0</v>
      </c>
      <c r="R78" s="694">
        <f t="shared" si="68"/>
        <v>0</v>
      </c>
      <c r="S78" s="694">
        <f t="shared" si="68"/>
        <v>0</v>
      </c>
      <c r="T78" s="694">
        <f t="shared" si="68"/>
        <v>0</v>
      </c>
      <c r="U78" s="694">
        <f t="shared" si="68"/>
        <v>0</v>
      </c>
      <c r="V78" s="694">
        <f t="shared" si="68"/>
        <v>0</v>
      </c>
      <c r="W78" s="694">
        <f t="shared" si="68"/>
        <v>0</v>
      </c>
      <c r="X78" s="694">
        <f t="shared" si="68"/>
        <v>0</v>
      </c>
      <c r="Y78" s="694">
        <f t="shared" si="68"/>
        <v>0</v>
      </c>
      <c r="Z78" s="694">
        <f t="shared" si="68"/>
        <v>0</v>
      </c>
      <c r="AA78" s="694">
        <f t="shared" si="68"/>
        <v>0</v>
      </c>
      <c r="AB78" s="694">
        <f t="shared" si="68"/>
        <v>0</v>
      </c>
    </row>
    <row r="79" spans="1:64" s="83" customFormat="1" x14ac:dyDescent="0.25">
      <c r="A79" s="82"/>
      <c r="B79" s="178" t="str">
        <f t="shared" si="65"/>
        <v>TFLEELC100</v>
      </c>
      <c r="C79" s="178"/>
      <c r="D79" s="179"/>
      <c r="E79" s="178"/>
      <c r="F79" s="182"/>
      <c r="G79" s="181"/>
      <c r="H79" s="182"/>
      <c r="I79" s="183">
        <f>AF$6</f>
        <v>2025</v>
      </c>
      <c r="J79" s="184"/>
      <c r="K79" s="184"/>
      <c r="L79" s="203" t="s">
        <v>1065</v>
      </c>
      <c r="M79" s="184" t="s">
        <v>748</v>
      </c>
      <c r="N79" s="694">
        <f t="shared" ref="N79:AB79" si="69">N77*LOOKUP($AD72,$AG$4:$AP$4,$AG$6:$AP$6)</f>
        <v>1053.75</v>
      </c>
      <c r="O79" s="694">
        <f t="shared" si="69"/>
        <v>0</v>
      </c>
      <c r="P79" s="694">
        <f t="shared" si="69"/>
        <v>0</v>
      </c>
      <c r="Q79" s="694">
        <f t="shared" si="69"/>
        <v>0</v>
      </c>
      <c r="R79" s="694">
        <f t="shared" si="69"/>
        <v>0</v>
      </c>
      <c r="S79" s="694">
        <f t="shared" si="69"/>
        <v>0</v>
      </c>
      <c r="T79" s="694">
        <f t="shared" si="69"/>
        <v>0</v>
      </c>
      <c r="U79" s="694">
        <f t="shared" si="69"/>
        <v>0</v>
      </c>
      <c r="V79" s="694">
        <f t="shared" si="69"/>
        <v>0</v>
      </c>
      <c r="W79" s="694">
        <f t="shared" si="69"/>
        <v>0</v>
      </c>
      <c r="X79" s="694">
        <f t="shared" si="69"/>
        <v>0</v>
      </c>
      <c r="Y79" s="694">
        <f t="shared" si="69"/>
        <v>0</v>
      </c>
      <c r="Z79" s="694">
        <f t="shared" si="69"/>
        <v>0</v>
      </c>
      <c r="AA79" s="694">
        <f t="shared" si="69"/>
        <v>0</v>
      </c>
      <c r="AB79" s="694">
        <f t="shared" si="69"/>
        <v>0</v>
      </c>
    </row>
    <row r="80" spans="1:64" s="83" customFormat="1" x14ac:dyDescent="0.25">
      <c r="A80" s="82"/>
      <c r="B80" s="178" t="str">
        <f t="shared" si="65"/>
        <v>TFLEELC100</v>
      </c>
      <c r="C80" s="178"/>
      <c r="D80" s="179"/>
      <c r="E80" s="178"/>
      <c r="F80" s="182"/>
      <c r="G80" s="181"/>
      <c r="H80" s="182"/>
      <c r="I80" s="183">
        <f>AF$7</f>
        <v>2030</v>
      </c>
      <c r="J80" s="184"/>
      <c r="K80" s="184"/>
      <c r="L80" s="203" t="s">
        <v>1065</v>
      </c>
      <c r="M80" s="184" t="s">
        <v>748</v>
      </c>
      <c r="N80" s="694">
        <f t="shared" ref="N80:AB80" si="70">N77*LOOKUP($AD72,$AG$4:$AP$4,$AG$7:$AP$7)</f>
        <v>702.5</v>
      </c>
      <c r="O80" s="694">
        <f t="shared" si="70"/>
        <v>0</v>
      </c>
      <c r="P80" s="694">
        <f t="shared" si="70"/>
        <v>0</v>
      </c>
      <c r="Q80" s="694">
        <f t="shared" si="70"/>
        <v>0</v>
      </c>
      <c r="R80" s="694">
        <f t="shared" si="70"/>
        <v>0</v>
      </c>
      <c r="S80" s="694">
        <f t="shared" si="70"/>
        <v>0</v>
      </c>
      <c r="T80" s="694">
        <f t="shared" si="70"/>
        <v>0</v>
      </c>
      <c r="U80" s="694">
        <f t="shared" si="70"/>
        <v>0</v>
      </c>
      <c r="V80" s="694">
        <f t="shared" si="70"/>
        <v>0</v>
      </c>
      <c r="W80" s="694">
        <f t="shared" si="70"/>
        <v>0</v>
      </c>
      <c r="X80" s="694">
        <f t="shared" si="70"/>
        <v>0</v>
      </c>
      <c r="Y80" s="694">
        <f t="shared" si="70"/>
        <v>0</v>
      </c>
      <c r="Z80" s="694">
        <f t="shared" si="70"/>
        <v>0</v>
      </c>
      <c r="AA80" s="694">
        <f t="shared" si="70"/>
        <v>0</v>
      </c>
      <c r="AB80" s="694">
        <f t="shared" si="70"/>
        <v>0</v>
      </c>
    </row>
    <row r="81" spans="1:64" s="83" customFormat="1" x14ac:dyDescent="0.25">
      <c r="A81" s="82"/>
      <c r="B81" s="178" t="str">
        <f t="shared" si="65"/>
        <v>TFLEELC100</v>
      </c>
      <c r="C81" s="178"/>
      <c r="D81" s="179"/>
      <c r="E81" s="178"/>
      <c r="F81" s="182"/>
      <c r="G81" s="181"/>
      <c r="H81" s="182"/>
      <c r="I81" s="183">
        <f>AF$8</f>
        <v>2035</v>
      </c>
      <c r="J81" s="184"/>
      <c r="K81" s="184"/>
      <c r="L81" s="203" t="s">
        <v>1065</v>
      </c>
      <c r="M81" s="184" t="s">
        <v>748</v>
      </c>
      <c r="N81" s="694">
        <f t="shared" ref="N81:AB81" si="71">N77*LOOKUP($AD72,$AG$4:$AP$4,$AG$8:$AP$8)</f>
        <v>210.75</v>
      </c>
      <c r="O81" s="694">
        <f t="shared" si="71"/>
        <v>0</v>
      </c>
      <c r="P81" s="694">
        <f t="shared" si="71"/>
        <v>0</v>
      </c>
      <c r="Q81" s="694">
        <f t="shared" si="71"/>
        <v>0</v>
      </c>
      <c r="R81" s="694">
        <f t="shared" si="71"/>
        <v>0</v>
      </c>
      <c r="S81" s="694">
        <f t="shared" si="71"/>
        <v>0</v>
      </c>
      <c r="T81" s="694">
        <f t="shared" si="71"/>
        <v>0</v>
      </c>
      <c r="U81" s="694">
        <f t="shared" si="71"/>
        <v>0</v>
      </c>
      <c r="V81" s="694">
        <f t="shared" si="71"/>
        <v>0</v>
      </c>
      <c r="W81" s="694">
        <f t="shared" si="71"/>
        <v>0</v>
      </c>
      <c r="X81" s="694">
        <f t="shared" si="71"/>
        <v>0</v>
      </c>
      <c r="Y81" s="694">
        <f t="shared" si="71"/>
        <v>0</v>
      </c>
      <c r="Z81" s="694">
        <f t="shared" si="71"/>
        <v>0</v>
      </c>
      <c r="AA81" s="694">
        <f t="shared" si="71"/>
        <v>0</v>
      </c>
      <c r="AB81" s="694">
        <f t="shared" si="71"/>
        <v>0</v>
      </c>
    </row>
    <row r="82" spans="1:64" s="83" customFormat="1" x14ac:dyDescent="0.25">
      <c r="A82" s="82"/>
      <c r="B82" s="178" t="str">
        <f t="shared" si="65"/>
        <v>TFLEELC100</v>
      </c>
      <c r="C82" s="178"/>
      <c r="D82" s="179"/>
      <c r="E82" s="178"/>
      <c r="F82" s="182"/>
      <c r="G82" s="181"/>
      <c r="H82" s="182"/>
      <c r="I82" s="183">
        <f>AF$9</f>
        <v>2040</v>
      </c>
      <c r="J82" s="184"/>
      <c r="K82" s="184"/>
      <c r="L82" s="203" t="s">
        <v>1065</v>
      </c>
      <c r="M82" s="184" t="s">
        <v>748</v>
      </c>
      <c r="N82" s="694">
        <f t="shared" ref="N82:AB82" si="72">N77*LOOKUP($AD72,$AG$4:$AP$4,$AG$9:$AP$9)</f>
        <v>7.0250000000000004</v>
      </c>
      <c r="O82" s="694">
        <f t="shared" si="72"/>
        <v>0</v>
      </c>
      <c r="P82" s="694">
        <f t="shared" si="72"/>
        <v>0</v>
      </c>
      <c r="Q82" s="694">
        <f t="shared" si="72"/>
        <v>0</v>
      </c>
      <c r="R82" s="694">
        <f t="shared" si="72"/>
        <v>0</v>
      </c>
      <c r="S82" s="694">
        <f t="shared" si="72"/>
        <v>0</v>
      </c>
      <c r="T82" s="694">
        <f t="shared" si="72"/>
        <v>0</v>
      </c>
      <c r="U82" s="694">
        <f t="shared" si="72"/>
        <v>0</v>
      </c>
      <c r="V82" s="694">
        <f t="shared" si="72"/>
        <v>0</v>
      </c>
      <c r="W82" s="694">
        <f t="shared" si="72"/>
        <v>0</v>
      </c>
      <c r="X82" s="694">
        <f t="shared" si="72"/>
        <v>0</v>
      </c>
      <c r="Y82" s="694">
        <f t="shared" si="72"/>
        <v>0</v>
      </c>
      <c r="Z82" s="694">
        <f t="shared" si="72"/>
        <v>0</v>
      </c>
      <c r="AA82" s="694">
        <f t="shared" si="72"/>
        <v>0</v>
      </c>
      <c r="AB82" s="694">
        <f t="shared" si="72"/>
        <v>0</v>
      </c>
    </row>
    <row r="83" spans="1:64" s="83" customFormat="1" x14ac:dyDescent="0.25">
      <c r="A83" s="82"/>
      <c r="B83" s="204" t="str">
        <f t="shared" si="65"/>
        <v>TFLEELC100</v>
      </c>
      <c r="C83" s="204"/>
      <c r="D83" s="205"/>
      <c r="E83" s="204"/>
      <c r="F83" s="206"/>
      <c r="G83" s="207"/>
      <c r="H83" s="206"/>
      <c r="I83" s="208">
        <f>AF$10</f>
        <v>2050</v>
      </c>
      <c r="J83" s="209"/>
      <c r="K83" s="209"/>
      <c r="L83" s="210" t="s">
        <v>1065</v>
      </c>
      <c r="M83" s="209" t="s">
        <v>748</v>
      </c>
      <c r="N83" s="695">
        <f t="shared" ref="N83:AB83" si="73">N77*LOOKUP($AD72,$AG$4:$AP$4,$AG$10:$AP$10)</f>
        <v>0</v>
      </c>
      <c r="O83" s="695">
        <f t="shared" si="73"/>
        <v>0</v>
      </c>
      <c r="P83" s="695">
        <f t="shared" si="73"/>
        <v>0</v>
      </c>
      <c r="Q83" s="695">
        <f t="shared" si="73"/>
        <v>0</v>
      </c>
      <c r="R83" s="695">
        <f t="shared" si="73"/>
        <v>0</v>
      </c>
      <c r="S83" s="695">
        <f t="shared" si="73"/>
        <v>0</v>
      </c>
      <c r="T83" s="695">
        <f t="shared" si="73"/>
        <v>0</v>
      </c>
      <c r="U83" s="695">
        <f t="shared" si="73"/>
        <v>0</v>
      </c>
      <c r="V83" s="695">
        <f t="shared" si="73"/>
        <v>0</v>
      </c>
      <c r="W83" s="695">
        <f t="shared" si="73"/>
        <v>0</v>
      </c>
      <c r="X83" s="695">
        <f t="shared" si="73"/>
        <v>0</v>
      </c>
      <c r="Y83" s="695">
        <f t="shared" si="73"/>
        <v>0</v>
      </c>
      <c r="Z83" s="695">
        <f t="shared" si="73"/>
        <v>0</v>
      </c>
      <c r="AA83" s="695">
        <f t="shared" si="73"/>
        <v>0</v>
      </c>
      <c r="AB83" s="695">
        <f t="shared" si="73"/>
        <v>0</v>
      </c>
    </row>
    <row r="84" spans="1:64" s="83" customFormat="1" x14ac:dyDescent="0.25">
      <c r="A84" s="82"/>
      <c r="B84" s="178" t="str">
        <f>C84</f>
        <v>TFLEETH100</v>
      </c>
      <c r="C84" s="178" t="s">
        <v>350</v>
      </c>
      <c r="D84" s="179" t="s">
        <v>810</v>
      </c>
      <c r="E84" s="180" t="s">
        <v>1010</v>
      </c>
      <c r="F84" s="182"/>
      <c r="G84" s="181"/>
      <c r="H84" s="182"/>
      <c r="I84" s="183"/>
      <c r="J84" s="184"/>
      <c r="K84" s="184"/>
      <c r="L84" s="203" t="s">
        <v>1107</v>
      </c>
      <c r="M84" s="184" t="s">
        <v>1156</v>
      </c>
      <c r="N84" s="378">
        <f>N$58</f>
        <v>1E-3</v>
      </c>
      <c r="O84" s="378">
        <f t="shared" ref="O84:AB84" si="74">$N84</f>
        <v>1E-3</v>
      </c>
      <c r="P84" s="378">
        <f t="shared" si="74"/>
        <v>1E-3</v>
      </c>
      <c r="Q84" s="378">
        <f t="shared" si="74"/>
        <v>1E-3</v>
      </c>
      <c r="R84" s="378">
        <f t="shared" si="74"/>
        <v>1E-3</v>
      </c>
      <c r="S84" s="378">
        <f t="shared" si="74"/>
        <v>1E-3</v>
      </c>
      <c r="T84" s="378">
        <f t="shared" si="74"/>
        <v>1E-3</v>
      </c>
      <c r="U84" s="378">
        <f t="shared" si="74"/>
        <v>1E-3</v>
      </c>
      <c r="V84" s="378">
        <f t="shared" si="74"/>
        <v>1E-3</v>
      </c>
      <c r="W84" s="378">
        <f t="shared" si="74"/>
        <v>1E-3</v>
      </c>
      <c r="X84" s="378">
        <f t="shared" si="74"/>
        <v>1E-3</v>
      </c>
      <c r="Y84" s="378">
        <f t="shared" si="74"/>
        <v>1E-3</v>
      </c>
      <c r="Z84" s="378">
        <f t="shared" si="74"/>
        <v>1E-3</v>
      </c>
      <c r="AA84" s="378">
        <f t="shared" si="74"/>
        <v>1E-3</v>
      </c>
      <c r="AB84" s="378">
        <f t="shared" si="74"/>
        <v>1E-3</v>
      </c>
      <c r="AD84" s="410" t="str">
        <f>MID(D84,13,3)</f>
        <v>ETH</v>
      </c>
      <c r="AV84" s="700" t="str">
        <f t="shared" ref="AV84:AV86" si="75">MID(E84,1,7)</f>
        <v>TRAETH</v>
      </c>
      <c r="AW84" s="568">
        <f t="shared" ref="AW84:AW85" si="76">SUM(AX84:BL84)</f>
        <v>19.219720963793808</v>
      </c>
      <c r="AX84" s="570">
        <f>N$89*N$90*(1-N85)/N$87/1000</f>
        <v>19.219720963793808</v>
      </c>
      <c r="AY84" s="570">
        <f t="shared" ref="AY84:BL84" si="77">O$89*O$90*(1-O85)/O$87/1000</f>
        <v>0</v>
      </c>
      <c r="AZ84" s="570">
        <f t="shared" si="77"/>
        <v>0</v>
      </c>
      <c r="BA84" s="570">
        <f t="shared" si="77"/>
        <v>0</v>
      </c>
      <c r="BB84" s="570">
        <f t="shared" si="77"/>
        <v>0</v>
      </c>
      <c r="BC84" s="570">
        <f t="shared" si="77"/>
        <v>0</v>
      </c>
      <c r="BD84" s="570">
        <f t="shared" si="77"/>
        <v>0</v>
      </c>
      <c r="BE84" s="570">
        <f t="shared" si="77"/>
        <v>0</v>
      </c>
      <c r="BF84" s="570">
        <f t="shared" si="77"/>
        <v>0</v>
      </c>
      <c r="BG84" s="570">
        <f t="shared" si="77"/>
        <v>0</v>
      </c>
      <c r="BH84" s="570">
        <f t="shared" si="77"/>
        <v>0</v>
      </c>
      <c r="BI84" s="570">
        <f t="shared" si="77"/>
        <v>0</v>
      </c>
      <c r="BJ84" s="570">
        <f t="shared" si="77"/>
        <v>0</v>
      </c>
      <c r="BK84" s="570">
        <f t="shared" si="77"/>
        <v>0</v>
      </c>
      <c r="BL84" s="570">
        <f t="shared" si="77"/>
        <v>0</v>
      </c>
    </row>
    <row r="85" spans="1:64" s="83" customFormat="1" x14ac:dyDescent="0.25">
      <c r="A85" s="82"/>
      <c r="B85" s="178" t="str">
        <f>B84</f>
        <v>TFLEETH100</v>
      </c>
      <c r="C85" s="178"/>
      <c r="D85" s="178"/>
      <c r="E85" s="180" t="s">
        <v>1014</v>
      </c>
      <c r="F85" s="182"/>
      <c r="G85" s="181"/>
      <c r="H85" s="182"/>
      <c r="I85" s="183"/>
      <c r="J85" s="184" t="s">
        <v>1157</v>
      </c>
      <c r="K85" s="184"/>
      <c r="L85" s="203" t="s">
        <v>101</v>
      </c>
      <c r="M85" s="184"/>
      <c r="N85" s="390">
        <f>1-N$34</f>
        <v>0.25</v>
      </c>
      <c r="O85" s="390">
        <f t="shared" ref="O85:AB85" si="78">1-O$34</f>
        <v>0.25</v>
      </c>
      <c r="P85" s="390">
        <f t="shared" si="78"/>
        <v>0.25</v>
      </c>
      <c r="Q85" s="390">
        <f t="shared" si="78"/>
        <v>0.25</v>
      </c>
      <c r="R85" s="390">
        <f t="shared" si="78"/>
        <v>0.25</v>
      </c>
      <c r="S85" s="390">
        <f t="shared" si="78"/>
        <v>0.25</v>
      </c>
      <c r="T85" s="390">
        <f t="shared" si="78"/>
        <v>0.25</v>
      </c>
      <c r="U85" s="390">
        <f t="shared" si="78"/>
        <v>0.25</v>
      </c>
      <c r="V85" s="390">
        <f t="shared" si="78"/>
        <v>0.25</v>
      </c>
      <c r="W85" s="390">
        <f t="shared" si="78"/>
        <v>0.25</v>
      </c>
      <c r="X85" s="390">
        <f t="shared" si="78"/>
        <v>0.25</v>
      </c>
      <c r="Y85" s="390">
        <f t="shared" si="78"/>
        <v>0.25</v>
      </c>
      <c r="Z85" s="390">
        <f t="shared" si="78"/>
        <v>0.25</v>
      </c>
      <c r="AA85" s="390">
        <f t="shared" si="78"/>
        <v>0.25</v>
      </c>
      <c r="AB85" s="390">
        <f t="shared" si="78"/>
        <v>0.25</v>
      </c>
      <c r="AD85" s="66" t="str">
        <f>IF(COUNTIF($AG$4:$AP$4,AD84)=1,"ok","MISSING")</f>
        <v>ok</v>
      </c>
      <c r="AV85" s="700" t="str">
        <f t="shared" si="75"/>
        <v>TRAGSL</v>
      </c>
      <c r="AW85" s="568">
        <f t="shared" si="76"/>
        <v>6.4065736545979366</v>
      </c>
      <c r="AX85" s="570">
        <f>N$89*N$90*N85/N$87/1000</f>
        <v>6.4065736545979366</v>
      </c>
      <c r="AY85" s="570">
        <f t="shared" ref="AY85:BL85" si="79">O$89*O$90*O85/O$87/1000</f>
        <v>0</v>
      </c>
      <c r="AZ85" s="570">
        <f t="shared" si="79"/>
        <v>0</v>
      </c>
      <c r="BA85" s="570">
        <f t="shared" si="79"/>
        <v>0</v>
      </c>
      <c r="BB85" s="570">
        <f t="shared" si="79"/>
        <v>0</v>
      </c>
      <c r="BC85" s="570">
        <f t="shared" si="79"/>
        <v>0</v>
      </c>
      <c r="BD85" s="570">
        <f t="shared" si="79"/>
        <v>0</v>
      </c>
      <c r="BE85" s="570">
        <f t="shared" si="79"/>
        <v>0</v>
      </c>
      <c r="BF85" s="570">
        <f t="shared" si="79"/>
        <v>0</v>
      </c>
      <c r="BG85" s="570">
        <f t="shared" si="79"/>
        <v>0</v>
      </c>
      <c r="BH85" s="570">
        <f t="shared" si="79"/>
        <v>0</v>
      </c>
      <c r="BI85" s="570">
        <f t="shared" si="79"/>
        <v>0</v>
      </c>
      <c r="BJ85" s="570">
        <f t="shared" si="79"/>
        <v>0</v>
      </c>
      <c r="BK85" s="570">
        <f t="shared" si="79"/>
        <v>0</v>
      </c>
      <c r="BL85" s="570">
        <f t="shared" si="79"/>
        <v>0</v>
      </c>
    </row>
    <row r="86" spans="1:64" s="83" customFormat="1" x14ac:dyDescent="0.25">
      <c r="A86" s="82"/>
      <c r="B86" s="178" t="str">
        <f t="shared" ref="B86:B96" si="80">B85</f>
        <v>TFLEETH100</v>
      </c>
      <c r="C86" s="178"/>
      <c r="D86" s="179"/>
      <c r="E86" s="178"/>
      <c r="F86" s="182"/>
      <c r="G86" s="173" t="s">
        <v>431</v>
      </c>
      <c r="H86" s="182"/>
      <c r="I86" s="183"/>
      <c r="J86" s="184"/>
      <c r="K86" s="184"/>
      <c r="L86" s="184" t="s">
        <v>1126</v>
      </c>
      <c r="M86" s="184" t="s">
        <v>678</v>
      </c>
      <c r="N86" s="676">
        <f>T_CEFF!H164</f>
        <v>0.38646999999999998</v>
      </c>
      <c r="O86" s="676">
        <f>T_CEFF!I164</f>
        <v>0.38646999999999998</v>
      </c>
      <c r="P86" s="676">
        <f>T_CEFF!J164</f>
        <v>0.38646999999999998</v>
      </c>
      <c r="Q86" s="676">
        <f>T_CEFF!K164</f>
        <v>0.38646999999999998</v>
      </c>
      <c r="R86" s="676">
        <f>T_CEFF!L164</f>
        <v>0.38646999999999998</v>
      </c>
      <c r="S86" s="676">
        <f>T_CEFF!M164</f>
        <v>0.38646999999999998</v>
      </c>
      <c r="T86" s="676">
        <f>T_CEFF!N164</f>
        <v>0.38646999999999998</v>
      </c>
      <c r="U86" s="676">
        <f>T_CEFF!O164</f>
        <v>0.38646999999999998</v>
      </c>
      <c r="V86" s="676">
        <f>T_CEFF!P164</f>
        <v>0.38646999999999998</v>
      </c>
      <c r="W86" s="676">
        <f>T_CEFF!Q164</f>
        <v>0.38646999999999998</v>
      </c>
      <c r="X86" s="676">
        <f>T_CEFF!R164</f>
        <v>0.38646999999999998</v>
      </c>
      <c r="Y86" s="676">
        <f>T_CEFF!S164</f>
        <v>0.38646999999999998</v>
      </c>
      <c r="Z86" s="676">
        <f>T_CEFF!T164</f>
        <v>0.38646999999999998</v>
      </c>
      <c r="AA86" s="676">
        <f>T_CEFF!U164</f>
        <v>0.38646999999999998</v>
      </c>
      <c r="AB86" s="676">
        <f>T_CEFF!V164</f>
        <v>0.38646999999999998</v>
      </c>
      <c r="AV86" s="700" t="str">
        <f t="shared" si="75"/>
        <v/>
      </c>
      <c r="AW86" s="568"/>
    </row>
    <row r="87" spans="1:64" s="83" customFormat="1" x14ac:dyDescent="0.25">
      <c r="A87" s="82"/>
      <c r="B87" s="178" t="str">
        <f t="shared" si="80"/>
        <v>TFLEETH100</v>
      </c>
      <c r="C87" s="178"/>
      <c r="D87" s="179"/>
      <c r="E87" s="178"/>
      <c r="F87" s="182"/>
      <c r="G87" s="173" t="s">
        <v>429</v>
      </c>
      <c r="H87" s="182"/>
      <c r="I87" s="183"/>
      <c r="J87" s="184"/>
      <c r="K87" s="184"/>
      <c r="L87" s="184" t="s">
        <v>1126</v>
      </c>
      <c r="M87" s="184" t="s">
        <v>678</v>
      </c>
      <c r="N87" s="676">
        <f>T_CEFF!H165</f>
        <v>0.31873000000000001</v>
      </c>
      <c r="O87" s="676">
        <f>T_CEFF!I165</f>
        <v>0.31873000000000001</v>
      </c>
      <c r="P87" s="676">
        <f>T_CEFF!J165</f>
        <v>0.31873000000000001</v>
      </c>
      <c r="Q87" s="676">
        <f>T_CEFF!K165</f>
        <v>0.31873000000000001</v>
      </c>
      <c r="R87" s="676">
        <f>T_CEFF!L165</f>
        <v>0.31873000000000001</v>
      </c>
      <c r="S87" s="676">
        <f>T_CEFF!M165</f>
        <v>0.31873000000000001</v>
      </c>
      <c r="T87" s="676">
        <f>T_CEFF!N165</f>
        <v>0.31873000000000001</v>
      </c>
      <c r="U87" s="676">
        <f>T_CEFF!O165</f>
        <v>0.31873000000000001</v>
      </c>
      <c r="V87" s="676">
        <f>T_CEFF!P165</f>
        <v>0.31873000000000001</v>
      </c>
      <c r="W87" s="676">
        <f>T_CEFF!Q165</f>
        <v>0.31873000000000001</v>
      </c>
      <c r="X87" s="676">
        <f>T_CEFF!R165</f>
        <v>0.31873000000000001</v>
      </c>
      <c r="Y87" s="676">
        <f>T_CEFF!S165</f>
        <v>0.31873000000000001</v>
      </c>
      <c r="Z87" s="676">
        <f>T_CEFF!T165</f>
        <v>0.31873000000000001</v>
      </c>
      <c r="AA87" s="676">
        <f>T_CEFF!U165</f>
        <v>0.31873000000000001</v>
      </c>
      <c r="AB87" s="676">
        <f>T_CEFF!V165</f>
        <v>0.31873000000000001</v>
      </c>
    </row>
    <row r="88" spans="1:64" s="83" customFormat="1" x14ac:dyDescent="0.25">
      <c r="A88" s="82"/>
      <c r="B88" s="178" t="str">
        <f>B87</f>
        <v>TFLEETH100</v>
      </c>
      <c r="C88" s="178"/>
      <c r="D88" s="179"/>
      <c r="E88" s="178"/>
      <c r="F88" s="182"/>
      <c r="G88" s="181"/>
      <c r="H88" s="182"/>
      <c r="I88" s="183"/>
      <c r="J88" s="184"/>
      <c r="K88" s="184" t="s">
        <v>749</v>
      </c>
      <c r="L88" s="184" t="s">
        <v>1128</v>
      </c>
      <c r="M88" s="184" t="s">
        <v>1175</v>
      </c>
      <c r="N88" s="388">
        <f t="shared" ref="N88:AB88" si="81">N$23</f>
        <v>0.76</v>
      </c>
      <c r="O88" s="388">
        <f t="shared" si="81"/>
        <v>0</v>
      </c>
      <c r="P88" s="388">
        <f t="shared" si="81"/>
        <v>0</v>
      </c>
      <c r="Q88" s="388">
        <f t="shared" si="81"/>
        <v>0</v>
      </c>
      <c r="R88" s="388">
        <f t="shared" si="81"/>
        <v>0</v>
      </c>
      <c r="S88" s="388">
        <f t="shared" si="81"/>
        <v>0</v>
      </c>
      <c r="T88" s="388">
        <f t="shared" si="81"/>
        <v>0</v>
      </c>
      <c r="U88" s="388">
        <f t="shared" si="81"/>
        <v>0</v>
      </c>
      <c r="V88" s="388">
        <f t="shared" si="81"/>
        <v>0</v>
      </c>
      <c r="W88" s="388">
        <f t="shared" si="81"/>
        <v>0</v>
      </c>
      <c r="X88" s="388">
        <f t="shared" si="81"/>
        <v>0</v>
      </c>
      <c r="Y88" s="388">
        <f t="shared" si="81"/>
        <v>0</v>
      </c>
      <c r="Z88" s="388">
        <f t="shared" si="81"/>
        <v>0</v>
      </c>
      <c r="AA88" s="388">
        <f t="shared" si="81"/>
        <v>0</v>
      </c>
      <c r="AB88" s="388">
        <f t="shared" si="81"/>
        <v>0</v>
      </c>
    </row>
    <row r="89" spans="1:64" s="83" customFormat="1" x14ac:dyDescent="0.25">
      <c r="A89" s="82"/>
      <c r="B89" s="178" t="str">
        <f t="shared" si="80"/>
        <v>TFLEETH100</v>
      </c>
      <c r="C89" s="178"/>
      <c r="D89" s="179"/>
      <c r="E89" s="178"/>
      <c r="F89" s="182"/>
      <c r="G89" s="181"/>
      <c r="H89" s="182"/>
      <c r="I89" s="183"/>
      <c r="J89" s="184"/>
      <c r="K89" s="184"/>
      <c r="L89" s="203" t="s">
        <v>1130</v>
      </c>
      <c r="M89" s="184" t="s">
        <v>1131</v>
      </c>
      <c r="N89" s="397">
        <f>LOOKUP($C$84, T_NCAP_AF!$C$125:$C$135, T_NCAP_AF!D$125:D$135)*(1+N40)</f>
        <v>14.959466820000001</v>
      </c>
      <c r="O89" s="397">
        <f>LOOKUP($C$84, T_NCAP_AF!$C$125:$C$135, T_NCAP_AF!E$125:E$135)*(1+O40)</f>
        <v>0</v>
      </c>
      <c r="P89" s="397">
        <f>LOOKUP($C$84, T_NCAP_AF!$C$125:$C$135, T_NCAP_AF!F$125:F$135)*(1+P40)</f>
        <v>0</v>
      </c>
      <c r="Q89" s="397">
        <f>LOOKUP($C$84, T_NCAP_AF!$C$125:$C$135, T_NCAP_AF!G$125:G$135)*(1+Q40)</f>
        <v>0</v>
      </c>
      <c r="R89" s="397">
        <f>LOOKUP($C$84, T_NCAP_AF!$C$125:$C$135, T_NCAP_AF!H$125:H$135)*(1+R40)</f>
        <v>0</v>
      </c>
      <c r="S89" s="397">
        <f>LOOKUP($C$84, T_NCAP_AF!$C$125:$C$135, T_NCAP_AF!I$125:I$135)*(1+S40)</f>
        <v>0</v>
      </c>
      <c r="T89" s="397">
        <f>LOOKUP($C$84, T_NCAP_AF!$C$125:$C$135, T_NCAP_AF!J$125:J$135)*(1+T40)</f>
        <v>0</v>
      </c>
      <c r="U89" s="397">
        <f>LOOKUP($C$84, T_NCAP_AF!$C$125:$C$135, T_NCAP_AF!K$125:K$135)*(1+U40)</f>
        <v>0</v>
      </c>
      <c r="V89" s="397">
        <f>LOOKUP($C$84, T_NCAP_AF!$C$125:$C$135, T_NCAP_AF!L$125:L$135)*(1+V40)</f>
        <v>0</v>
      </c>
      <c r="W89" s="397">
        <f>LOOKUP($C$84, T_NCAP_AF!$C$125:$C$135, T_NCAP_AF!M$125:M$135)*(1+W40)</f>
        <v>0</v>
      </c>
      <c r="X89" s="397">
        <f>LOOKUP($C$84, T_NCAP_AF!$C$125:$C$135, T_NCAP_AF!N$125:N$135)*(1+X40)</f>
        <v>0</v>
      </c>
      <c r="Y89" s="397">
        <f>LOOKUP($C$84, T_NCAP_AF!$C$125:$C$135, T_NCAP_AF!O$125:O$135)*(1+Y40)</f>
        <v>0</v>
      </c>
      <c r="Z89" s="397">
        <f>LOOKUP($C$84, T_NCAP_AF!$C$125:$C$135, T_NCAP_AF!P$125:P$135)*(1+Z40)</f>
        <v>0</v>
      </c>
      <c r="AA89" s="397">
        <f>LOOKUP($C$84, T_NCAP_AF!$C$125:$C$135, T_NCAP_AF!Q$125:Q$135)*(1+AA40)</f>
        <v>0</v>
      </c>
      <c r="AB89" s="397">
        <f>LOOKUP($C$84, T_NCAP_AF!$C$125:$C$135, T_NCAP_AF!R$125:R$135)*(1+AB40)</f>
        <v>0</v>
      </c>
      <c r="AE89" s="572">
        <f>SUM(AF89:AT89)</f>
        <v>6.2075803516272012</v>
      </c>
      <c r="AF89" s="85">
        <f t="shared" ref="AF89:AT89" si="82">N88*N89*N90/1000</f>
        <v>6.2075803516272012</v>
      </c>
      <c r="AG89" s="85">
        <f t="shared" si="82"/>
        <v>0</v>
      </c>
      <c r="AH89" s="85">
        <f t="shared" si="82"/>
        <v>0</v>
      </c>
      <c r="AI89" s="85">
        <f t="shared" si="82"/>
        <v>0</v>
      </c>
      <c r="AJ89" s="85">
        <f t="shared" si="82"/>
        <v>0</v>
      </c>
      <c r="AK89" s="85">
        <f t="shared" si="82"/>
        <v>0</v>
      </c>
      <c r="AL89" s="85">
        <f t="shared" si="82"/>
        <v>0</v>
      </c>
      <c r="AM89" s="85">
        <f t="shared" si="82"/>
        <v>0</v>
      </c>
      <c r="AN89" s="85">
        <f t="shared" si="82"/>
        <v>0</v>
      </c>
      <c r="AO89" s="85">
        <f t="shared" si="82"/>
        <v>0</v>
      </c>
      <c r="AP89" s="85">
        <f t="shared" si="82"/>
        <v>0</v>
      </c>
      <c r="AQ89" s="85">
        <f t="shared" si="82"/>
        <v>0</v>
      </c>
      <c r="AR89" s="85">
        <f t="shared" si="82"/>
        <v>0</v>
      </c>
      <c r="AS89" s="85">
        <f t="shared" si="82"/>
        <v>0</v>
      </c>
      <c r="AT89" s="85">
        <f t="shared" si="82"/>
        <v>0</v>
      </c>
    </row>
    <row r="90" spans="1:64" s="83" customFormat="1" x14ac:dyDescent="0.25">
      <c r="A90" s="82"/>
      <c r="B90" s="178" t="str">
        <f>B89</f>
        <v>TFLEETH100</v>
      </c>
      <c r="C90" s="178"/>
      <c r="D90" s="179"/>
      <c r="E90" s="178"/>
      <c r="F90" s="182"/>
      <c r="G90" s="181"/>
      <c r="H90" s="182"/>
      <c r="I90" s="183">
        <f>$M$3</f>
        <v>2019</v>
      </c>
      <c r="J90" s="184"/>
      <c r="K90" s="184"/>
      <c r="L90" s="203" t="s">
        <v>1065</v>
      </c>
      <c r="M90" s="184" t="s">
        <v>748</v>
      </c>
      <c r="N90" s="694">
        <f>LOOKUP($C$84, T_Stock_Private!$C$90:$C$100, T_Stock_Private!D$90:D$100)*(1+N41)</f>
        <v>546</v>
      </c>
      <c r="O90" s="694">
        <f>LOOKUP($C$84, T_Stock_Private!$C$90:$C$100, T_Stock_Private!E$90:E$100)*(1+O41)</f>
        <v>0</v>
      </c>
      <c r="P90" s="694">
        <f>LOOKUP($C$84, T_Stock_Private!$C$90:$C$100, T_Stock_Private!F$90:F$100)*(1+P41)</f>
        <v>0</v>
      </c>
      <c r="Q90" s="694">
        <f>LOOKUP($C$84, T_Stock_Private!$C$90:$C$100, T_Stock_Private!G$90:G$100)*(1+Q41)</f>
        <v>0</v>
      </c>
      <c r="R90" s="694">
        <f>LOOKUP($C$84, T_Stock_Private!$C$90:$C$100, T_Stock_Private!H$90:H$100)*(1+R41)</f>
        <v>0</v>
      </c>
      <c r="S90" s="694">
        <f>LOOKUP($C$84, T_Stock_Private!$C$90:$C$100, T_Stock_Private!I$90:I$100)*(1+S41)</f>
        <v>0</v>
      </c>
      <c r="T90" s="694">
        <f>LOOKUP($C$84, T_Stock_Private!$C$90:$C$100, T_Stock_Private!J$90:J$100)*(1+T41)</f>
        <v>0</v>
      </c>
      <c r="U90" s="694">
        <f>LOOKUP($C$84, T_Stock_Private!$C$90:$C$100, T_Stock_Private!K$90:K$100)*(1+U41)</f>
        <v>0</v>
      </c>
      <c r="V90" s="694">
        <f>LOOKUP($C$84, T_Stock_Private!$C$90:$C$100, T_Stock_Private!L$90:L$100)*(1+V41)</f>
        <v>0</v>
      </c>
      <c r="W90" s="694">
        <f>LOOKUP($C$84, T_Stock_Private!$C$90:$C$100, T_Stock_Private!M$90:M$100)*(1+W41)</f>
        <v>0</v>
      </c>
      <c r="X90" s="694">
        <f>LOOKUP($C$84, T_Stock_Private!$C$90:$C$100, T_Stock_Private!N$90:N$100)*(1+X41)</f>
        <v>0</v>
      </c>
      <c r="Y90" s="694">
        <f>LOOKUP($C$84, T_Stock_Private!$C$90:$C$100, T_Stock_Private!O$90:O$100)*(1+Y41)</f>
        <v>0</v>
      </c>
      <c r="Z90" s="694">
        <f>LOOKUP($C$84, T_Stock_Private!$C$90:$C$100, T_Stock_Private!P$90:P$100)*(1+Z41)</f>
        <v>0</v>
      </c>
      <c r="AA90" s="694">
        <f>LOOKUP($C$84, T_Stock_Private!$C$90:$C$100, T_Stock_Private!Q$90:Q$100)*(1+AA41)</f>
        <v>0</v>
      </c>
      <c r="AB90" s="694">
        <f>LOOKUP($C$84, T_Stock_Private!$C$90:$C$100, T_Stock_Private!R$90:R$100)*(1+AB41)</f>
        <v>0</v>
      </c>
      <c r="AC90" s="89"/>
    </row>
    <row r="91" spans="1:64" s="83" customFormat="1" x14ac:dyDescent="0.25">
      <c r="A91" s="82"/>
      <c r="B91" s="178" t="str">
        <f t="shared" si="80"/>
        <v>TFLEETH100</v>
      </c>
      <c r="C91" s="178"/>
      <c r="D91" s="179"/>
      <c r="E91" s="178"/>
      <c r="F91" s="182"/>
      <c r="G91" s="181"/>
      <c r="H91" s="182"/>
      <c r="I91" s="183">
        <f>AF$5</f>
        <v>2020</v>
      </c>
      <c r="J91" s="184"/>
      <c r="K91" s="184"/>
      <c r="L91" s="203" t="s">
        <v>1065</v>
      </c>
      <c r="M91" s="184" t="s">
        <v>748</v>
      </c>
      <c r="N91" s="694">
        <f t="shared" ref="N91:AB91" si="83">N90*LOOKUP($AD84,$AG$4:$AP$4,$AG$5:$AP$5)</f>
        <v>518.69999999999993</v>
      </c>
      <c r="O91" s="694">
        <f t="shared" si="83"/>
        <v>0</v>
      </c>
      <c r="P91" s="694">
        <f t="shared" si="83"/>
        <v>0</v>
      </c>
      <c r="Q91" s="694">
        <f t="shared" si="83"/>
        <v>0</v>
      </c>
      <c r="R91" s="694">
        <f t="shared" si="83"/>
        <v>0</v>
      </c>
      <c r="S91" s="694">
        <f t="shared" si="83"/>
        <v>0</v>
      </c>
      <c r="T91" s="694">
        <f t="shared" si="83"/>
        <v>0</v>
      </c>
      <c r="U91" s="694">
        <f t="shared" si="83"/>
        <v>0</v>
      </c>
      <c r="V91" s="694">
        <f t="shared" si="83"/>
        <v>0</v>
      </c>
      <c r="W91" s="694">
        <f t="shared" si="83"/>
        <v>0</v>
      </c>
      <c r="X91" s="694">
        <f t="shared" si="83"/>
        <v>0</v>
      </c>
      <c r="Y91" s="694">
        <f t="shared" si="83"/>
        <v>0</v>
      </c>
      <c r="Z91" s="694">
        <f t="shared" si="83"/>
        <v>0</v>
      </c>
      <c r="AA91" s="694">
        <f t="shared" si="83"/>
        <v>0</v>
      </c>
      <c r="AB91" s="694">
        <f t="shared" si="83"/>
        <v>0</v>
      </c>
    </row>
    <row r="92" spans="1:64" s="83" customFormat="1" x14ac:dyDescent="0.25">
      <c r="A92" s="82"/>
      <c r="B92" s="178" t="str">
        <f t="shared" si="80"/>
        <v>TFLEETH100</v>
      </c>
      <c r="C92" s="178"/>
      <c r="D92" s="179"/>
      <c r="E92" s="178"/>
      <c r="F92" s="182"/>
      <c r="G92" s="181"/>
      <c r="H92" s="182"/>
      <c r="I92" s="183">
        <f>AF$6</f>
        <v>2025</v>
      </c>
      <c r="J92" s="184"/>
      <c r="K92" s="184"/>
      <c r="L92" s="203" t="s">
        <v>1065</v>
      </c>
      <c r="M92" s="184" t="s">
        <v>748</v>
      </c>
      <c r="N92" s="694">
        <f t="shared" ref="N92:AB92" si="84">N90*LOOKUP($AD84,$AG$4:$AP$4,$AG$6:$AP$6)</f>
        <v>382.2</v>
      </c>
      <c r="O92" s="694">
        <f t="shared" si="84"/>
        <v>0</v>
      </c>
      <c r="P92" s="694">
        <f t="shared" si="84"/>
        <v>0</v>
      </c>
      <c r="Q92" s="694">
        <f t="shared" si="84"/>
        <v>0</v>
      </c>
      <c r="R92" s="694">
        <f t="shared" si="84"/>
        <v>0</v>
      </c>
      <c r="S92" s="694">
        <f t="shared" si="84"/>
        <v>0</v>
      </c>
      <c r="T92" s="694">
        <f t="shared" si="84"/>
        <v>0</v>
      </c>
      <c r="U92" s="694">
        <f t="shared" si="84"/>
        <v>0</v>
      </c>
      <c r="V92" s="694">
        <f t="shared" si="84"/>
        <v>0</v>
      </c>
      <c r="W92" s="694">
        <f t="shared" si="84"/>
        <v>0</v>
      </c>
      <c r="X92" s="694">
        <f t="shared" si="84"/>
        <v>0</v>
      </c>
      <c r="Y92" s="694">
        <f t="shared" si="84"/>
        <v>0</v>
      </c>
      <c r="Z92" s="694">
        <f t="shared" si="84"/>
        <v>0</v>
      </c>
      <c r="AA92" s="694">
        <f t="shared" si="84"/>
        <v>0</v>
      </c>
      <c r="AB92" s="694">
        <f t="shared" si="84"/>
        <v>0</v>
      </c>
    </row>
    <row r="93" spans="1:64" s="83" customFormat="1" x14ac:dyDescent="0.25">
      <c r="A93" s="82"/>
      <c r="B93" s="178" t="str">
        <f t="shared" si="80"/>
        <v>TFLEETH100</v>
      </c>
      <c r="C93" s="178"/>
      <c r="D93" s="179"/>
      <c r="E93" s="178"/>
      <c r="F93" s="182"/>
      <c r="G93" s="181"/>
      <c r="H93" s="182"/>
      <c r="I93" s="183">
        <f>AF$7</f>
        <v>2030</v>
      </c>
      <c r="J93" s="184"/>
      <c r="K93" s="184"/>
      <c r="L93" s="203" t="s">
        <v>1065</v>
      </c>
      <c r="M93" s="184" t="s">
        <v>748</v>
      </c>
      <c r="N93" s="694">
        <f t="shared" ref="N93:AB93" si="85">N90*LOOKUP($AD84,$AG$4:$AP$4,$AG$7:$AP$7)</f>
        <v>218.4</v>
      </c>
      <c r="O93" s="694">
        <f t="shared" si="85"/>
        <v>0</v>
      </c>
      <c r="P93" s="694">
        <f t="shared" si="85"/>
        <v>0</v>
      </c>
      <c r="Q93" s="694">
        <f t="shared" si="85"/>
        <v>0</v>
      </c>
      <c r="R93" s="694">
        <f t="shared" si="85"/>
        <v>0</v>
      </c>
      <c r="S93" s="694">
        <f t="shared" si="85"/>
        <v>0</v>
      </c>
      <c r="T93" s="694">
        <f t="shared" si="85"/>
        <v>0</v>
      </c>
      <c r="U93" s="694">
        <f t="shared" si="85"/>
        <v>0</v>
      </c>
      <c r="V93" s="694">
        <f t="shared" si="85"/>
        <v>0</v>
      </c>
      <c r="W93" s="694">
        <f t="shared" si="85"/>
        <v>0</v>
      </c>
      <c r="X93" s="694">
        <f t="shared" si="85"/>
        <v>0</v>
      </c>
      <c r="Y93" s="694">
        <f t="shared" si="85"/>
        <v>0</v>
      </c>
      <c r="Z93" s="694">
        <f t="shared" si="85"/>
        <v>0</v>
      </c>
      <c r="AA93" s="694">
        <f t="shared" si="85"/>
        <v>0</v>
      </c>
      <c r="AB93" s="694">
        <f t="shared" si="85"/>
        <v>0</v>
      </c>
    </row>
    <row r="94" spans="1:64" s="83" customFormat="1" x14ac:dyDescent="0.25">
      <c r="A94" s="82"/>
      <c r="B94" s="178" t="str">
        <f t="shared" si="80"/>
        <v>TFLEETH100</v>
      </c>
      <c r="C94" s="178"/>
      <c r="D94" s="179"/>
      <c r="E94" s="178"/>
      <c r="F94" s="182"/>
      <c r="G94" s="181"/>
      <c r="H94" s="182"/>
      <c r="I94" s="183">
        <f>AF$8</f>
        <v>2035</v>
      </c>
      <c r="J94" s="184"/>
      <c r="K94" s="184"/>
      <c r="L94" s="203" t="s">
        <v>1065</v>
      </c>
      <c r="M94" s="184" t="s">
        <v>748</v>
      </c>
      <c r="N94" s="694">
        <f t="shared" ref="N94:AB94" si="86">N90*LOOKUP($AD84,$AG$4:$AP$4,$AG$8:$AP$8)</f>
        <v>81.899999999999991</v>
      </c>
      <c r="O94" s="694">
        <f t="shared" si="86"/>
        <v>0</v>
      </c>
      <c r="P94" s="694">
        <f t="shared" si="86"/>
        <v>0</v>
      </c>
      <c r="Q94" s="694">
        <f t="shared" si="86"/>
        <v>0</v>
      </c>
      <c r="R94" s="694">
        <f t="shared" si="86"/>
        <v>0</v>
      </c>
      <c r="S94" s="694">
        <f t="shared" si="86"/>
        <v>0</v>
      </c>
      <c r="T94" s="694">
        <f t="shared" si="86"/>
        <v>0</v>
      </c>
      <c r="U94" s="694">
        <f t="shared" si="86"/>
        <v>0</v>
      </c>
      <c r="V94" s="694">
        <f t="shared" si="86"/>
        <v>0</v>
      </c>
      <c r="W94" s="694">
        <f t="shared" si="86"/>
        <v>0</v>
      </c>
      <c r="X94" s="694">
        <f t="shared" si="86"/>
        <v>0</v>
      </c>
      <c r="Y94" s="694">
        <f t="shared" si="86"/>
        <v>0</v>
      </c>
      <c r="Z94" s="694">
        <f t="shared" si="86"/>
        <v>0</v>
      </c>
      <c r="AA94" s="694">
        <f t="shared" si="86"/>
        <v>0</v>
      </c>
      <c r="AB94" s="694">
        <f t="shared" si="86"/>
        <v>0</v>
      </c>
    </row>
    <row r="95" spans="1:64" s="83" customFormat="1" x14ac:dyDescent="0.25">
      <c r="A95" s="82"/>
      <c r="B95" s="178" t="str">
        <f t="shared" si="80"/>
        <v>TFLEETH100</v>
      </c>
      <c r="C95" s="178"/>
      <c r="D95" s="179"/>
      <c r="E95" s="178"/>
      <c r="F95" s="182"/>
      <c r="G95" s="181"/>
      <c r="H95" s="182"/>
      <c r="I95" s="183">
        <f>AF$9</f>
        <v>2040</v>
      </c>
      <c r="J95" s="184"/>
      <c r="K95" s="184"/>
      <c r="L95" s="203" t="s">
        <v>1065</v>
      </c>
      <c r="M95" s="184" t="s">
        <v>748</v>
      </c>
      <c r="N95" s="694">
        <f t="shared" ref="N95:AB95" si="87">N90*LOOKUP($AD84,$AG$4:$AP$4,$AG$9:$AP$9)</f>
        <v>2.73</v>
      </c>
      <c r="O95" s="694">
        <f t="shared" si="87"/>
        <v>0</v>
      </c>
      <c r="P95" s="694">
        <f t="shared" si="87"/>
        <v>0</v>
      </c>
      <c r="Q95" s="694">
        <f t="shared" si="87"/>
        <v>0</v>
      </c>
      <c r="R95" s="694">
        <f t="shared" si="87"/>
        <v>0</v>
      </c>
      <c r="S95" s="694">
        <f t="shared" si="87"/>
        <v>0</v>
      </c>
      <c r="T95" s="694">
        <f t="shared" si="87"/>
        <v>0</v>
      </c>
      <c r="U95" s="694">
        <f t="shared" si="87"/>
        <v>0</v>
      </c>
      <c r="V95" s="694">
        <f t="shared" si="87"/>
        <v>0</v>
      </c>
      <c r="W95" s="694">
        <f t="shared" si="87"/>
        <v>0</v>
      </c>
      <c r="X95" s="694">
        <f t="shared" si="87"/>
        <v>0</v>
      </c>
      <c r="Y95" s="694">
        <f t="shared" si="87"/>
        <v>0</v>
      </c>
      <c r="Z95" s="694">
        <f t="shared" si="87"/>
        <v>0</v>
      </c>
      <c r="AA95" s="694">
        <f t="shared" si="87"/>
        <v>0</v>
      </c>
      <c r="AB95" s="694">
        <f t="shared" si="87"/>
        <v>0</v>
      </c>
    </row>
    <row r="96" spans="1:64" s="83" customFormat="1" x14ac:dyDescent="0.25">
      <c r="A96" s="82"/>
      <c r="B96" s="204" t="str">
        <f t="shared" si="80"/>
        <v>TFLEETH100</v>
      </c>
      <c r="C96" s="204"/>
      <c r="D96" s="205"/>
      <c r="E96" s="204"/>
      <c r="F96" s="206"/>
      <c r="G96" s="207"/>
      <c r="H96" s="206"/>
      <c r="I96" s="208">
        <f>AF$10</f>
        <v>2050</v>
      </c>
      <c r="J96" s="209"/>
      <c r="K96" s="209"/>
      <c r="L96" s="210" t="s">
        <v>1065</v>
      </c>
      <c r="M96" s="209" t="s">
        <v>748</v>
      </c>
      <c r="N96" s="695">
        <f t="shared" ref="N96:AB96" si="88">N90*LOOKUP($AD84,$AG$4:$AP$4,$AG$10:$AP$10)</f>
        <v>0</v>
      </c>
      <c r="O96" s="695">
        <f t="shared" si="88"/>
        <v>0</v>
      </c>
      <c r="P96" s="695">
        <f t="shared" si="88"/>
        <v>0</v>
      </c>
      <c r="Q96" s="695">
        <f t="shared" si="88"/>
        <v>0</v>
      </c>
      <c r="R96" s="695">
        <f t="shared" si="88"/>
        <v>0</v>
      </c>
      <c r="S96" s="695">
        <f t="shared" si="88"/>
        <v>0</v>
      </c>
      <c r="T96" s="695">
        <f t="shared" si="88"/>
        <v>0</v>
      </c>
      <c r="U96" s="695">
        <f t="shared" si="88"/>
        <v>0</v>
      </c>
      <c r="V96" s="695">
        <f t="shared" si="88"/>
        <v>0</v>
      </c>
      <c r="W96" s="695">
        <f t="shared" si="88"/>
        <v>0</v>
      </c>
      <c r="X96" s="695">
        <f t="shared" si="88"/>
        <v>0</v>
      </c>
      <c r="Y96" s="695">
        <f t="shared" si="88"/>
        <v>0</v>
      </c>
      <c r="Z96" s="695">
        <f t="shared" si="88"/>
        <v>0</v>
      </c>
      <c r="AA96" s="695">
        <f t="shared" si="88"/>
        <v>0</v>
      </c>
      <c r="AB96" s="695">
        <f t="shared" si="88"/>
        <v>0</v>
      </c>
    </row>
    <row r="97" spans="1:64" s="83" customFormat="1" x14ac:dyDescent="0.25">
      <c r="A97" s="82"/>
      <c r="B97" s="178" t="str">
        <f>C97</f>
        <v>TFLEGAS100</v>
      </c>
      <c r="C97" s="178" t="s">
        <v>351</v>
      </c>
      <c r="D97" s="179" t="s">
        <v>812</v>
      </c>
      <c r="E97" s="407" t="s">
        <v>994</v>
      </c>
      <c r="F97" s="182"/>
      <c r="G97" s="181"/>
      <c r="H97" s="182"/>
      <c r="I97" s="183"/>
      <c r="J97" s="184"/>
      <c r="K97" s="184"/>
      <c r="L97" s="203" t="s">
        <v>1107</v>
      </c>
      <c r="M97" s="184" t="s">
        <v>1125</v>
      </c>
      <c r="N97" s="378">
        <f>N$58</f>
        <v>1E-3</v>
      </c>
      <c r="O97" s="378">
        <f t="shared" ref="O97:AB99" si="89">$N97</f>
        <v>1E-3</v>
      </c>
      <c r="P97" s="378">
        <f t="shared" si="89"/>
        <v>1E-3</v>
      </c>
      <c r="Q97" s="378">
        <f t="shared" si="89"/>
        <v>1E-3</v>
      </c>
      <c r="R97" s="378">
        <f t="shared" si="89"/>
        <v>1E-3</v>
      </c>
      <c r="S97" s="378">
        <f t="shared" si="89"/>
        <v>1E-3</v>
      </c>
      <c r="T97" s="378">
        <f t="shared" si="89"/>
        <v>1E-3</v>
      </c>
      <c r="U97" s="378">
        <f t="shared" si="89"/>
        <v>1E-3</v>
      </c>
      <c r="V97" s="378">
        <f t="shared" si="89"/>
        <v>1E-3</v>
      </c>
      <c r="W97" s="378">
        <f t="shared" si="89"/>
        <v>1E-3</v>
      </c>
      <c r="X97" s="378">
        <f t="shared" si="89"/>
        <v>1E-3</v>
      </c>
      <c r="Y97" s="378">
        <f t="shared" si="89"/>
        <v>1E-3</v>
      </c>
      <c r="Z97" s="378">
        <f t="shared" si="89"/>
        <v>1E-3</v>
      </c>
      <c r="AA97" s="378">
        <f t="shared" si="89"/>
        <v>1E-3</v>
      </c>
      <c r="AB97" s="378">
        <f t="shared" si="89"/>
        <v>1E-3</v>
      </c>
      <c r="AD97" s="410" t="str">
        <f>MID(D97,13,3)</f>
        <v>GAS</v>
      </c>
      <c r="AV97" s="700" t="str">
        <f t="shared" ref="AV97:AV99" si="90">MID(E97,1,7)</f>
        <v>TRABGS</v>
      </c>
      <c r="AW97" s="568">
        <f t="shared" ref="AW97:AW99" si="91">SUM(AX97:BL97)</f>
        <v>66.5438837178678</v>
      </c>
      <c r="AX97" s="570">
        <f>N$103*N$104*0.6/N$101/1000</f>
        <v>66.5438837178678</v>
      </c>
      <c r="AY97" s="570">
        <f t="shared" ref="AY97:BL97" si="92">O$103*O$104*0.6/O$101/1000</f>
        <v>0</v>
      </c>
      <c r="AZ97" s="570">
        <f t="shared" si="92"/>
        <v>0</v>
      </c>
      <c r="BA97" s="570">
        <f t="shared" si="92"/>
        <v>0</v>
      </c>
      <c r="BB97" s="570">
        <f t="shared" si="92"/>
        <v>0</v>
      </c>
      <c r="BC97" s="570">
        <f t="shared" si="92"/>
        <v>0</v>
      </c>
      <c r="BD97" s="570">
        <f t="shared" si="92"/>
        <v>0</v>
      </c>
      <c r="BE97" s="570">
        <f t="shared" si="92"/>
        <v>0</v>
      </c>
      <c r="BF97" s="570">
        <f t="shared" si="92"/>
        <v>0</v>
      </c>
      <c r="BG97" s="570">
        <f t="shared" si="92"/>
        <v>0</v>
      </c>
      <c r="BH97" s="570">
        <f t="shared" si="92"/>
        <v>0</v>
      </c>
      <c r="BI97" s="570">
        <f t="shared" si="92"/>
        <v>0</v>
      </c>
      <c r="BJ97" s="570">
        <f t="shared" si="92"/>
        <v>0</v>
      </c>
      <c r="BK97" s="570">
        <f t="shared" si="92"/>
        <v>0</v>
      </c>
      <c r="BL97" s="570">
        <f t="shared" si="92"/>
        <v>0</v>
      </c>
    </row>
    <row r="98" spans="1:64" s="83" customFormat="1" x14ac:dyDescent="0.25">
      <c r="A98" s="82"/>
      <c r="B98" s="178" t="str">
        <f>B97</f>
        <v>TFLEGAS100</v>
      </c>
      <c r="C98" s="178"/>
      <c r="D98" s="179"/>
      <c r="E98" s="407" t="s">
        <v>1039</v>
      </c>
      <c r="F98" s="182"/>
      <c r="G98" s="180"/>
      <c r="H98" s="182"/>
      <c r="I98" s="183"/>
      <c r="J98" s="184" t="s">
        <v>1157</v>
      </c>
      <c r="K98" s="184"/>
      <c r="L98" s="203" t="s">
        <v>101</v>
      </c>
      <c r="M98" s="184"/>
      <c r="N98" s="390">
        <f t="shared" ref="N98:AB98" si="93">N33*(1-N27)</f>
        <v>7.9999999999999988E-2</v>
      </c>
      <c r="O98" s="390">
        <f t="shared" si="93"/>
        <v>7.9999999999999988E-2</v>
      </c>
      <c r="P98" s="390">
        <f t="shared" si="93"/>
        <v>7.9999999999999988E-2</v>
      </c>
      <c r="Q98" s="390">
        <f t="shared" si="93"/>
        <v>7.9999999999999988E-2</v>
      </c>
      <c r="R98" s="390">
        <f t="shared" si="93"/>
        <v>7.9999999999999988E-2</v>
      </c>
      <c r="S98" s="390">
        <f t="shared" si="93"/>
        <v>7.9999999999999988E-2</v>
      </c>
      <c r="T98" s="390">
        <f t="shared" si="93"/>
        <v>7.9999999999999988E-2</v>
      </c>
      <c r="U98" s="390">
        <f t="shared" si="93"/>
        <v>7.9999999999999988E-2</v>
      </c>
      <c r="V98" s="390">
        <f t="shared" si="93"/>
        <v>7.9999999999999988E-2</v>
      </c>
      <c r="W98" s="390">
        <f t="shared" si="93"/>
        <v>7.9999999999999988E-2</v>
      </c>
      <c r="X98" s="390">
        <f t="shared" si="93"/>
        <v>7.9999999999999988E-2</v>
      </c>
      <c r="Y98" s="390">
        <f t="shared" si="93"/>
        <v>7.9999999999999988E-2</v>
      </c>
      <c r="Z98" s="390">
        <f t="shared" si="93"/>
        <v>7.9999999999999988E-2</v>
      </c>
      <c r="AA98" s="390">
        <f t="shared" si="93"/>
        <v>7.9999999999999988E-2</v>
      </c>
      <c r="AB98" s="390">
        <f t="shared" si="93"/>
        <v>7.9999999999999988E-2</v>
      </c>
      <c r="AD98" s="66" t="str">
        <f>IF(COUNTIF($AG$4:$AP$4,AD97)=1,"ok","MISSING")</f>
        <v>ok</v>
      </c>
      <c r="AV98" s="700" t="str">
        <f t="shared" si="90"/>
        <v>TRANGS</v>
      </c>
      <c r="AW98" s="568">
        <f t="shared" si="91"/>
        <v>8.8725178290490376</v>
      </c>
      <c r="AX98" s="570">
        <f>N$103*N$104*N98/N$101/1000</f>
        <v>8.8725178290490376</v>
      </c>
      <c r="AY98" s="570">
        <f t="shared" ref="AY98:BL99" si="94">O$103*O$104*O98/O$101/1000</f>
        <v>0</v>
      </c>
      <c r="AZ98" s="570">
        <f t="shared" si="94"/>
        <v>0</v>
      </c>
      <c r="BA98" s="570">
        <f t="shared" si="94"/>
        <v>0</v>
      </c>
      <c r="BB98" s="570">
        <f t="shared" si="94"/>
        <v>0</v>
      </c>
      <c r="BC98" s="570">
        <f t="shared" si="94"/>
        <v>0</v>
      </c>
      <c r="BD98" s="570">
        <f t="shared" si="94"/>
        <v>0</v>
      </c>
      <c r="BE98" s="570">
        <f t="shared" si="94"/>
        <v>0</v>
      </c>
      <c r="BF98" s="570">
        <f t="shared" si="94"/>
        <v>0</v>
      </c>
      <c r="BG98" s="570">
        <f t="shared" si="94"/>
        <v>0</v>
      </c>
      <c r="BH98" s="570">
        <f t="shared" si="94"/>
        <v>0</v>
      </c>
      <c r="BI98" s="570">
        <f t="shared" si="94"/>
        <v>0</v>
      </c>
      <c r="BJ98" s="570">
        <f t="shared" si="94"/>
        <v>0</v>
      </c>
      <c r="BK98" s="570">
        <f t="shared" si="94"/>
        <v>0</v>
      </c>
      <c r="BL98" s="570">
        <f t="shared" si="94"/>
        <v>0</v>
      </c>
    </row>
    <row r="99" spans="1:64" s="83" customFormat="1" x14ac:dyDescent="0.25">
      <c r="A99" s="82"/>
      <c r="B99" s="178" t="str">
        <f>B98</f>
        <v>TFLEGAS100</v>
      </c>
      <c r="C99" s="178"/>
      <c r="D99" s="179"/>
      <c r="E99" s="180" t="s">
        <v>1014</v>
      </c>
      <c r="F99" s="182"/>
      <c r="G99" s="181"/>
      <c r="H99" s="182"/>
      <c r="I99" s="183"/>
      <c r="J99" s="184" t="s">
        <v>1157</v>
      </c>
      <c r="K99" s="184"/>
      <c r="L99" s="203" t="s">
        <v>101</v>
      </c>
      <c r="M99" s="184"/>
      <c r="N99" s="390">
        <v>0.2</v>
      </c>
      <c r="O99" s="390">
        <f t="shared" si="89"/>
        <v>0.2</v>
      </c>
      <c r="P99" s="390">
        <f t="shared" si="89"/>
        <v>0.2</v>
      </c>
      <c r="Q99" s="390">
        <f t="shared" si="89"/>
        <v>0.2</v>
      </c>
      <c r="R99" s="390">
        <f t="shared" si="89"/>
        <v>0.2</v>
      </c>
      <c r="S99" s="390">
        <f t="shared" si="89"/>
        <v>0.2</v>
      </c>
      <c r="T99" s="390">
        <f t="shared" si="89"/>
        <v>0.2</v>
      </c>
      <c r="U99" s="390">
        <f t="shared" si="89"/>
        <v>0.2</v>
      </c>
      <c r="V99" s="390">
        <f t="shared" si="89"/>
        <v>0.2</v>
      </c>
      <c r="W99" s="390">
        <f t="shared" si="89"/>
        <v>0.2</v>
      </c>
      <c r="X99" s="390">
        <f t="shared" si="89"/>
        <v>0.2</v>
      </c>
      <c r="Y99" s="390">
        <f t="shared" si="89"/>
        <v>0.2</v>
      </c>
      <c r="Z99" s="390">
        <f t="shared" si="89"/>
        <v>0.2</v>
      </c>
      <c r="AA99" s="390">
        <f t="shared" si="89"/>
        <v>0.2</v>
      </c>
      <c r="AB99" s="390">
        <f t="shared" si="89"/>
        <v>0.2</v>
      </c>
      <c r="AV99" s="700" t="str">
        <f t="shared" si="90"/>
        <v>TRAGSL</v>
      </c>
      <c r="AW99" s="568">
        <f t="shared" si="91"/>
        <v>22.181294572622598</v>
      </c>
      <c r="AX99" s="570">
        <f>N$103*N$104*N99/N$101/1000</f>
        <v>22.181294572622598</v>
      </c>
      <c r="AY99" s="570">
        <f t="shared" si="94"/>
        <v>0</v>
      </c>
      <c r="AZ99" s="570">
        <f t="shared" si="94"/>
        <v>0</v>
      </c>
      <c r="BA99" s="570">
        <f t="shared" si="94"/>
        <v>0</v>
      </c>
      <c r="BB99" s="570">
        <f t="shared" si="94"/>
        <v>0</v>
      </c>
      <c r="BC99" s="570">
        <f t="shared" si="94"/>
        <v>0</v>
      </c>
      <c r="BD99" s="570">
        <f t="shared" si="94"/>
        <v>0</v>
      </c>
      <c r="BE99" s="570">
        <f t="shared" si="94"/>
        <v>0</v>
      </c>
      <c r="BF99" s="570">
        <f t="shared" si="94"/>
        <v>0</v>
      </c>
      <c r="BG99" s="570">
        <f t="shared" si="94"/>
        <v>0</v>
      </c>
      <c r="BH99" s="570">
        <f t="shared" si="94"/>
        <v>0</v>
      </c>
      <c r="BI99" s="570">
        <f t="shared" si="94"/>
        <v>0</v>
      </c>
      <c r="BJ99" s="570">
        <f t="shared" si="94"/>
        <v>0</v>
      </c>
      <c r="BK99" s="570">
        <f t="shared" si="94"/>
        <v>0</v>
      </c>
      <c r="BL99" s="570">
        <f t="shared" si="94"/>
        <v>0</v>
      </c>
    </row>
    <row r="100" spans="1:64" s="83" customFormat="1" x14ac:dyDescent="0.25">
      <c r="A100" s="82"/>
      <c r="B100" s="178" t="str">
        <f>B99</f>
        <v>TFLEGAS100</v>
      </c>
      <c r="C100" s="178"/>
      <c r="D100" s="179"/>
      <c r="E100" s="178"/>
      <c r="F100" s="182"/>
      <c r="G100" s="173" t="s">
        <v>431</v>
      </c>
      <c r="H100" s="182"/>
      <c r="I100" s="183"/>
      <c r="J100" s="184"/>
      <c r="K100" s="184"/>
      <c r="L100" s="184" t="s">
        <v>1126</v>
      </c>
      <c r="M100" s="184" t="s">
        <v>678</v>
      </c>
      <c r="N100" s="676">
        <f>T_CEFF!H166</f>
        <v>0.38646999999999998</v>
      </c>
      <c r="O100" s="676">
        <f>T_CEFF!I166</f>
        <v>0.38646999999999998</v>
      </c>
      <c r="P100" s="676">
        <f>T_CEFF!J166</f>
        <v>0.38646999999999998</v>
      </c>
      <c r="Q100" s="676">
        <f>T_CEFF!K166</f>
        <v>0.38646999999999998</v>
      </c>
      <c r="R100" s="676">
        <f>T_CEFF!L166</f>
        <v>0.38646999999999998</v>
      </c>
      <c r="S100" s="676">
        <f>T_CEFF!M166</f>
        <v>0.38646999999999998</v>
      </c>
      <c r="T100" s="676">
        <f>T_CEFF!N166</f>
        <v>0.38646999999999998</v>
      </c>
      <c r="U100" s="676">
        <f>T_CEFF!O166</f>
        <v>0.38646999999999998</v>
      </c>
      <c r="V100" s="676">
        <f>T_CEFF!P166</f>
        <v>0.38646999999999998</v>
      </c>
      <c r="W100" s="676">
        <f>T_CEFF!Q166</f>
        <v>0.38646999999999998</v>
      </c>
      <c r="X100" s="676">
        <f>T_CEFF!R166</f>
        <v>0.38646999999999998</v>
      </c>
      <c r="Y100" s="676">
        <f>T_CEFF!S166</f>
        <v>0.38646999999999998</v>
      </c>
      <c r="Z100" s="676">
        <f>T_CEFF!T166</f>
        <v>0.38646999999999998</v>
      </c>
      <c r="AA100" s="676">
        <f>T_CEFF!U166</f>
        <v>0.38646999999999998</v>
      </c>
      <c r="AB100" s="676">
        <f>T_CEFF!V166</f>
        <v>0.38646999999999998</v>
      </c>
    </row>
    <row r="101" spans="1:64" s="83" customFormat="1" x14ac:dyDescent="0.25">
      <c r="A101" s="82"/>
      <c r="B101" s="178" t="str">
        <f t="shared" ref="B101:B110" si="95">B100</f>
        <v>TFLEGAS100</v>
      </c>
      <c r="C101" s="178"/>
      <c r="D101" s="179"/>
      <c r="E101" s="178"/>
      <c r="F101" s="182"/>
      <c r="G101" s="173" t="s">
        <v>429</v>
      </c>
      <c r="H101" s="182"/>
      <c r="I101" s="183"/>
      <c r="J101" s="184"/>
      <c r="K101" s="184"/>
      <c r="L101" s="184" t="s">
        <v>1126</v>
      </c>
      <c r="M101" s="184" t="s">
        <v>678</v>
      </c>
      <c r="N101" s="676">
        <f>T_CEFF!H167</f>
        <v>0.31873000000000001</v>
      </c>
      <c r="O101" s="676">
        <f>T_CEFF!I167</f>
        <v>0.31873000000000001</v>
      </c>
      <c r="P101" s="676">
        <f>T_CEFF!J167</f>
        <v>0.31873000000000001</v>
      </c>
      <c r="Q101" s="676">
        <f>T_CEFF!K167</f>
        <v>0.31873000000000001</v>
      </c>
      <c r="R101" s="676">
        <f>T_CEFF!L167</f>
        <v>0.31873000000000001</v>
      </c>
      <c r="S101" s="676">
        <f>T_CEFF!M167</f>
        <v>0.31873000000000001</v>
      </c>
      <c r="T101" s="676">
        <f>T_CEFF!N167</f>
        <v>0.31873000000000001</v>
      </c>
      <c r="U101" s="676">
        <f>T_CEFF!O167</f>
        <v>0.31873000000000001</v>
      </c>
      <c r="V101" s="676">
        <f>T_CEFF!P167</f>
        <v>0.31873000000000001</v>
      </c>
      <c r="W101" s="676">
        <f>T_CEFF!Q167</f>
        <v>0.31873000000000001</v>
      </c>
      <c r="X101" s="676">
        <f>T_CEFF!R167</f>
        <v>0.31873000000000001</v>
      </c>
      <c r="Y101" s="676">
        <f>T_CEFF!S167</f>
        <v>0.31873000000000001</v>
      </c>
      <c r="Z101" s="676">
        <f>T_CEFF!T167</f>
        <v>0.31873000000000001</v>
      </c>
      <c r="AA101" s="676">
        <f>T_CEFF!U167</f>
        <v>0.31873000000000001</v>
      </c>
      <c r="AB101" s="676">
        <f>T_CEFF!V167</f>
        <v>0.31873000000000001</v>
      </c>
    </row>
    <row r="102" spans="1:64" s="83" customFormat="1" x14ac:dyDescent="0.25">
      <c r="A102" s="82"/>
      <c r="B102" s="178" t="str">
        <f t="shared" si="95"/>
        <v>TFLEGAS100</v>
      </c>
      <c r="C102" s="178"/>
      <c r="D102" s="179"/>
      <c r="E102" s="178"/>
      <c r="F102" s="182"/>
      <c r="G102" s="181"/>
      <c r="H102" s="182"/>
      <c r="I102" s="183"/>
      <c r="J102" s="184"/>
      <c r="K102" s="184" t="s">
        <v>749</v>
      </c>
      <c r="L102" s="184" t="s">
        <v>1128</v>
      </c>
      <c r="M102" s="184" t="s">
        <v>1175</v>
      </c>
      <c r="N102" s="388">
        <f t="shared" ref="N102:AB102" si="96">N$23</f>
        <v>0.76</v>
      </c>
      <c r="O102" s="388">
        <f t="shared" si="96"/>
        <v>0</v>
      </c>
      <c r="P102" s="388">
        <f t="shared" si="96"/>
        <v>0</v>
      </c>
      <c r="Q102" s="388">
        <f t="shared" si="96"/>
        <v>0</v>
      </c>
      <c r="R102" s="388">
        <f t="shared" si="96"/>
        <v>0</v>
      </c>
      <c r="S102" s="388">
        <f t="shared" si="96"/>
        <v>0</v>
      </c>
      <c r="T102" s="388">
        <f t="shared" si="96"/>
        <v>0</v>
      </c>
      <c r="U102" s="388">
        <f t="shared" si="96"/>
        <v>0</v>
      </c>
      <c r="V102" s="388">
        <f t="shared" si="96"/>
        <v>0</v>
      </c>
      <c r="W102" s="388">
        <f t="shared" si="96"/>
        <v>0</v>
      </c>
      <c r="X102" s="388">
        <f t="shared" si="96"/>
        <v>0</v>
      </c>
      <c r="Y102" s="388">
        <f t="shared" si="96"/>
        <v>0</v>
      </c>
      <c r="Z102" s="388">
        <f t="shared" si="96"/>
        <v>0</v>
      </c>
      <c r="AA102" s="388">
        <f t="shared" si="96"/>
        <v>0</v>
      </c>
      <c r="AB102" s="388">
        <f t="shared" si="96"/>
        <v>0</v>
      </c>
    </row>
    <row r="103" spans="1:64" s="83" customFormat="1" x14ac:dyDescent="0.25">
      <c r="A103" s="82"/>
      <c r="B103" s="178" t="str">
        <f t="shared" si="95"/>
        <v>TFLEGAS100</v>
      </c>
      <c r="C103" s="178"/>
      <c r="D103" s="179"/>
      <c r="E103" s="178"/>
      <c r="F103" s="182"/>
      <c r="G103" s="181"/>
      <c r="H103" s="182"/>
      <c r="I103" s="183"/>
      <c r="J103" s="184"/>
      <c r="K103" s="184"/>
      <c r="L103" s="203" t="s">
        <v>1130</v>
      </c>
      <c r="M103" s="184" t="s">
        <v>1131</v>
      </c>
      <c r="N103" s="397">
        <f>LOOKUP($C$97, T_NCAP_AF!$C$125:$C$135, T_NCAP_AF!D$125:D$135)*(1+N40)</f>
        <v>14.959466820000001</v>
      </c>
      <c r="O103" s="397">
        <f>LOOKUP($C$97, T_NCAP_AF!$C$125:$C$135, T_NCAP_AF!E$125:E$135)*(1+O40)</f>
        <v>0</v>
      </c>
      <c r="P103" s="397">
        <f>LOOKUP($C$97, T_NCAP_AF!$C$125:$C$135, T_NCAP_AF!F$125:F$135)*(1+P40)</f>
        <v>0</v>
      </c>
      <c r="Q103" s="397">
        <f>LOOKUP($C$97, T_NCAP_AF!$C$125:$C$135, T_NCAP_AF!G$125:G$135)*(1+Q40)</f>
        <v>0</v>
      </c>
      <c r="R103" s="397">
        <f>LOOKUP($C$97, T_NCAP_AF!$C$125:$C$135, T_NCAP_AF!H$125:H$135)*(1+R40)</f>
        <v>0</v>
      </c>
      <c r="S103" s="397">
        <f>LOOKUP($C$97, T_NCAP_AF!$C$125:$C$135, T_NCAP_AF!I$125:I$135)*(1+S40)</f>
        <v>0</v>
      </c>
      <c r="T103" s="397">
        <f>LOOKUP($C$97, T_NCAP_AF!$C$125:$C$135, T_NCAP_AF!J$125:J$135)*(1+T40)</f>
        <v>0</v>
      </c>
      <c r="U103" s="397">
        <f>LOOKUP($C$97, T_NCAP_AF!$C$125:$C$135, T_NCAP_AF!K$125:K$135)*(1+U40)</f>
        <v>0</v>
      </c>
      <c r="V103" s="397">
        <f>LOOKUP($C$97, T_NCAP_AF!$C$125:$C$135, T_NCAP_AF!L$125:L$135)*(1+V40)</f>
        <v>0</v>
      </c>
      <c r="W103" s="397">
        <f>LOOKUP($C$97, T_NCAP_AF!$C$125:$C$135, T_NCAP_AF!M$125:M$135)*(1+W40)</f>
        <v>0</v>
      </c>
      <c r="X103" s="397">
        <f>LOOKUP($C$97, T_NCAP_AF!$C$125:$C$135, T_NCAP_AF!N$125:N$135)*(1+X40)</f>
        <v>0</v>
      </c>
      <c r="Y103" s="397">
        <f>LOOKUP($C$97, T_NCAP_AF!$C$125:$C$135, T_NCAP_AF!O$125:O$135)*(1+Y40)</f>
        <v>0</v>
      </c>
      <c r="Z103" s="397">
        <f>LOOKUP($C$97, T_NCAP_AF!$C$125:$C$135, T_NCAP_AF!P$125:P$135)*(1+Z40)</f>
        <v>0</v>
      </c>
      <c r="AA103" s="397">
        <f>LOOKUP($C$97, T_NCAP_AF!$C$125:$C$135, T_NCAP_AF!Q$125:Q$135)*(1+AA40)</f>
        <v>0</v>
      </c>
      <c r="AB103" s="397">
        <f>LOOKUP($C$97, T_NCAP_AF!$C$125:$C$135, T_NCAP_AF!R$125:R$135)*(1+AB40)</f>
        <v>0</v>
      </c>
      <c r="AE103" s="572">
        <f>SUM(AF103:AT103)</f>
        <v>26.865407272701603</v>
      </c>
      <c r="AF103" s="85">
        <f t="shared" ref="AF103:AT103" si="97">N102*N103*N104/1000</f>
        <v>26.865407272701603</v>
      </c>
      <c r="AG103" s="85">
        <f t="shared" si="97"/>
        <v>0</v>
      </c>
      <c r="AH103" s="85">
        <f t="shared" si="97"/>
        <v>0</v>
      </c>
      <c r="AI103" s="85">
        <f t="shared" si="97"/>
        <v>0</v>
      </c>
      <c r="AJ103" s="85">
        <f t="shared" si="97"/>
        <v>0</v>
      </c>
      <c r="AK103" s="85">
        <f t="shared" si="97"/>
        <v>0</v>
      </c>
      <c r="AL103" s="85">
        <f t="shared" si="97"/>
        <v>0</v>
      </c>
      <c r="AM103" s="85">
        <f t="shared" si="97"/>
        <v>0</v>
      </c>
      <c r="AN103" s="85">
        <f t="shared" si="97"/>
        <v>0</v>
      </c>
      <c r="AO103" s="85">
        <f t="shared" si="97"/>
        <v>0</v>
      </c>
      <c r="AP103" s="85">
        <f t="shared" si="97"/>
        <v>0</v>
      </c>
      <c r="AQ103" s="85">
        <f t="shared" si="97"/>
        <v>0</v>
      </c>
      <c r="AR103" s="85">
        <f t="shared" si="97"/>
        <v>0</v>
      </c>
      <c r="AS103" s="85">
        <f t="shared" si="97"/>
        <v>0</v>
      </c>
      <c r="AT103" s="85">
        <f t="shared" si="97"/>
        <v>0</v>
      </c>
    </row>
    <row r="104" spans="1:64" s="83" customFormat="1" x14ac:dyDescent="0.25">
      <c r="A104" s="82"/>
      <c r="B104" s="178" t="str">
        <f t="shared" si="95"/>
        <v>TFLEGAS100</v>
      </c>
      <c r="C104" s="178"/>
      <c r="D104" s="179"/>
      <c r="E104" s="178"/>
      <c r="F104" s="182"/>
      <c r="G104" s="181"/>
      <c r="H104" s="182"/>
      <c r="I104" s="183">
        <f>$M$3</f>
        <v>2019</v>
      </c>
      <c r="J104" s="184"/>
      <c r="K104" s="184"/>
      <c r="L104" s="203" t="s">
        <v>1065</v>
      </c>
      <c r="M104" s="184" t="s">
        <v>748</v>
      </c>
      <c r="N104" s="694">
        <f>LOOKUP($C$97, T_Stock_Private!$C$90:$C$100, T_Stock_Private!D$90:D$100)*(1+N41)</f>
        <v>2363</v>
      </c>
      <c r="O104" s="694">
        <f>LOOKUP($C$97, T_Stock_Private!$C$90:$C$100, T_Stock_Private!E$90:E$100)*(1+O41)</f>
        <v>0</v>
      </c>
      <c r="P104" s="694">
        <f>LOOKUP($C$97, T_Stock_Private!$C$90:$C$100, T_Stock_Private!F$90:F$100)*(1+P41)</f>
        <v>0</v>
      </c>
      <c r="Q104" s="694">
        <f>LOOKUP($C$97, T_Stock_Private!$C$90:$C$100, T_Stock_Private!G$90:G$100)*(1+Q41)</f>
        <v>0</v>
      </c>
      <c r="R104" s="694">
        <f>LOOKUP($C$97, T_Stock_Private!$C$90:$C$100, T_Stock_Private!H$90:H$100)*(1+R41)</f>
        <v>0</v>
      </c>
      <c r="S104" s="694">
        <f>LOOKUP($C$97, T_Stock_Private!$C$90:$C$100, T_Stock_Private!I$90:I$100)*(1+S41)</f>
        <v>0</v>
      </c>
      <c r="T104" s="694">
        <f>LOOKUP($C$97, T_Stock_Private!$C$90:$C$100, T_Stock_Private!J$90:J$100)*(1+T41)</f>
        <v>0</v>
      </c>
      <c r="U104" s="694">
        <f>LOOKUP($C$97, T_Stock_Private!$C$90:$C$100, T_Stock_Private!K$90:K$100)*(1+U41)</f>
        <v>0</v>
      </c>
      <c r="V104" s="694">
        <f>LOOKUP($C$97, T_Stock_Private!$C$90:$C$100, T_Stock_Private!L$90:L$100)*(1+V41)</f>
        <v>0</v>
      </c>
      <c r="W104" s="694">
        <f>LOOKUP($C$97, T_Stock_Private!$C$90:$C$100, T_Stock_Private!M$90:M$100)*(1+W41)</f>
        <v>0</v>
      </c>
      <c r="X104" s="694">
        <f>LOOKUP($C$97, T_Stock_Private!$C$90:$C$100, T_Stock_Private!N$90:N$100)*(1+X41)</f>
        <v>0</v>
      </c>
      <c r="Y104" s="694">
        <f>LOOKUP($C$97, T_Stock_Private!$C$90:$C$100, T_Stock_Private!O$90:O$100)*(1+Y41)</f>
        <v>0</v>
      </c>
      <c r="Z104" s="694">
        <f>LOOKUP($C$97, T_Stock_Private!$C$90:$C$100, T_Stock_Private!P$90:P$100)*(1+Z41)</f>
        <v>0</v>
      </c>
      <c r="AA104" s="694">
        <f>LOOKUP($C$97, T_Stock_Private!$C$90:$C$100, T_Stock_Private!Q$90:Q$100)*(1+AA41)</f>
        <v>0</v>
      </c>
      <c r="AB104" s="694">
        <f>LOOKUP($C$97, T_Stock_Private!$C$90:$C$100, T_Stock_Private!R$90:R$100)*(1+AB41)</f>
        <v>0</v>
      </c>
      <c r="AC104" s="89"/>
    </row>
    <row r="105" spans="1:64" s="83" customFormat="1" x14ac:dyDescent="0.25">
      <c r="A105" s="82"/>
      <c r="B105" s="178" t="str">
        <f t="shared" si="95"/>
        <v>TFLEGAS100</v>
      </c>
      <c r="C105" s="178"/>
      <c r="D105" s="179"/>
      <c r="E105" s="178"/>
      <c r="F105" s="182"/>
      <c r="G105" s="181"/>
      <c r="H105" s="182"/>
      <c r="I105" s="183">
        <f>AF$5</f>
        <v>2020</v>
      </c>
      <c r="J105" s="184"/>
      <c r="K105" s="184"/>
      <c r="L105" s="203" t="s">
        <v>1065</v>
      </c>
      <c r="M105" s="184" t="s">
        <v>748</v>
      </c>
      <c r="N105" s="694">
        <f t="shared" ref="N105:AB105" si="98">N104*LOOKUP($AD97,$AG$4:$AP$4,$AG$5:$AP$5)</f>
        <v>2244.85</v>
      </c>
      <c r="O105" s="694">
        <f t="shared" si="98"/>
        <v>0</v>
      </c>
      <c r="P105" s="694">
        <f t="shared" si="98"/>
        <v>0</v>
      </c>
      <c r="Q105" s="694">
        <f t="shared" si="98"/>
        <v>0</v>
      </c>
      <c r="R105" s="694">
        <f t="shared" si="98"/>
        <v>0</v>
      </c>
      <c r="S105" s="694">
        <f t="shared" si="98"/>
        <v>0</v>
      </c>
      <c r="T105" s="694">
        <f t="shared" si="98"/>
        <v>0</v>
      </c>
      <c r="U105" s="694">
        <f t="shared" si="98"/>
        <v>0</v>
      </c>
      <c r="V105" s="694">
        <f t="shared" si="98"/>
        <v>0</v>
      </c>
      <c r="W105" s="694">
        <f t="shared" si="98"/>
        <v>0</v>
      </c>
      <c r="X105" s="694">
        <f t="shared" si="98"/>
        <v>0</v>
      </c>
      <c r="Y105" s="694">
        <f t="shared" si="98"/>
        <v>0</v>
      </c>
      <c r="Z105" s="694">
        <f t="shared" si="98"/>
        <v>0</v>
      </c>
      <c r="AA105" s="694">
        <f t="shared" si="98"/>
        <v>0</v>
      </c>
      <c r="AB105" s="694">
        <f t="shared" si="98"/>
        <v>0</v>
      </c>
    </row>
    <row r="106" spans="1:64" s="83" customFormat="1" x14ac:dyDescent="0.25">
      <c r="A106" s="82"/>
      <c r="B106" s="178" t="str">
        <f t="shared" si="95"/>
        <v>TFLEGAS100</v>
      </c>
      <c r="C106" s="178"/>
      <c r="D106" s="179"/>
      <c r="E106" s="178"/>
      <c r="F106" s="182"/>
      <c r="G106" s="181"/>
      <c r="H106" s="182"/>
      <c r="I106" s="183">
        <f>AF$6</f>
        <v>2025</v>
      </c>
      <c r="J106" s="184"/>
      <c r="K106" s="184"/>
      <c r="L106" s="203" t="s">
        <v>1065</v>
      </c>
      <c r="M106" s="184" t="s">
        <v>748</v>
      </c>
      <c r="N106" s="694">
        <f t="shared" ref="N106:AB106" si="99">N104*LOOKUP($AD97,$AG$4:$AP$4,$AG$6:$AP$6)</f>
        <v>1654.1</v>
      </c>
      <c r="O106" s="694">
        <f t="shared" si="99"/>
        <v>0</v>
      </c>
      <c r="P106" s="694">
        <f t="shared" si="99"/>
        <v>0</v>
      </c>
      <c r="Q106" s="694">
        <f t="shared" si="99"/>
        <v>0</v>
      </c>
      <c r="R106" s="694">
        <f t="shared" si="99"/>
        <v>0</v>
      </c>
      <c r="S106" s="694">
        <f t="shared" si="99"/>
        <v>0</v>
      </c>
      <c r="T106" s="694">
        <f t="shared" si="99"/>
        <v>0</v>
      </c>
      <c r="U106" s="694">
        <f t="shared" si="99"/>
        <v>0</v>
      </c>
      <c r="V106" s="694">
        <f t="shared" si="99"/>
        <v>0</v>
      </c>
      <c r="W106" s="694">
        <f t="shared" si="99"/>
        <v>0</v>
      </c>
      <c r="X106" s="694">
        <f t="shared" si="99"/>
        <v>0</v>
      </c>
      <c r="Y106" s="694">
        <f t="shared" si="99"/>
        <v>0</v>
      </c>
      <c r="Z106" s="694">
        <f t="shared" si="99"/>
        <v>0</v>
      </c>
      <c r="AA106" s="694">
        <f t="shared" si="99"/>
        <v>0</v>
      </c>
      <c r="AB106" s="694">
        <f t="shared" si="99"/>
        <v>0</v>
      </c>
    </row>
    <row r="107" spans="1:64" s="83" customFormat="1" x14ac:dyDescent="0.25">
      <c r="A107" s="82"/>
      <c r="B107" s="178" t="str">
        <f t="shared" si="95"/>
        <v>TFLEGAS100</v>
      </c>
      <c r="C107" s="178"/>
      <c r="D107" s="179"/>
      <c r="E107" s="178"/>
      <c r="F107" s="182"/>
      <c r="G107" s="181"/>
      <c r="H107" s="182"/>
      <c r="I107" s="183">
        <f>AF$7</f>
        <v>2030</v>
      </c>
      <c r="J107" s="184"/>
      <c r="K107" s="184"/>
      <c r="L107" s="203" t="s">
        <v>1065</v>
      </c>
      <c r="M107" s="184" t="s">
        <v>748</v>
      </c>
      <c r="N107" s="694">
        <f t="shared" ref="N107:AB107" si="100">N104*LOOKUP($AD97,$AG$4:$AP$4,$AG$7:$AP$7)</f>
        <v>945.2</v>
      </c>
      <c r="O107" s="694">
        <f t="shared" si="100"/>
        <v>0</v>
      </c>
      <c r="P107" s="694">
        <f t="shared" si="100"/>
        <v>0</v>
      </c>
      <c r="Q107" s="694">
        <f t="shared" si="100"/>
        <v>0</v>
      </c>
      <c r="R107" s="694">
        <f t="shared" si="100"/>
        <v>0</v>
      </c>
      <c r="S107" s="694">
        <f t="shared" si="100"/>
        <v>0</v>
      </c>
      <c r="T107" s="694">
        <f t="shared" si="100"/>
        <v>0</v>
      </c>
      <c r="U107" s="694">
        <f t="shared" si="100"/>
        <v>0</v>
      </c>
      <c r="V107" s="694">
        <f t="shared" si="100"/>
        <v>0</v>
      </c>
      <c r="W107" s="694">
        <f t="shared" si="100"/>
        <v>0</v>
      </c>
      <c r="X107" s="694">
        <f t="shared" si="100"/>
        <v>0</v>
      </c>
      <c r="Y107" s="694">
        <f t="shared" si="100"/>
        <v>0</v>
      </c>
      <c r="Z107" s="694">
        <f t="shared" si="100"/>
        <v>0</v>
      </c>
      <c r="AA107" s="694">
        <f t="shared" si="100"/>
        <v>0</v>
      </c>
      <c r="AB107" s="694">
        <f t="shared" si="100"/>
        <v>0</v>
      </c>
    </row>
    <row r="108" spans="1:64" s="83" customFormat="1" x14ac:dyDescent="0.25">
      <c r="A108" s="82"/>
      <c r="B108" s="178" t="str">
        <f t="shared" si="95"/>
        <v>TFLEGAS100</v>
      </c>
      <c r="C108" s="178"/>
      <c r="D108" s="179"/>
      <c r="E108" s="178"/>
      <c r="F108" s="182"/>
      <c r="G108" s="181"/>
      <c r="H108" s="182"/>
      <c r="I108" s="183">
        <f>AF$8</f>
        <v>2035</v>
      </c>
      <c r="J108" s="184"/>
      <c r="K108" s="184"/>
      <c r="L108" s="203" t="s">
        <v>1065</v>
      </c>
      <c r="M108" s="184" t="s">
        <v>748</v>
      </c>
      <c r="N108" s="694">
        <f t="shared" ref="N108:AB108" si="101">N104*LOOKUP($AD97,$AG$4:$AP$4,$AG$8:$AP$8)</f>
        <v>354.45</v>
      </c>
      <c r="O108" s="694">
        <f t="shared" si="101"/>
        <v>0</v>
      </c>
      <c r="P108" s="694">
        <f t="shared" si="101"/>
        <v>0</v>
      </c>
      <c r="Q108" s="694">
        <f t="shared" si="101"/>
        <v>0</v>
      </c>
      <c r="R108" s="694">
        <f t="shared" si="101"/>
        <v>0</v>
      </c>
      <c r="S108" s="694">
        <f t="shared" si="101"/>
        <v>0</v>
      </c>
      <c r="T108" s="694">
        <f t="shared" si="101"/>
        <v>0</v>
      </c>
      <c r="U108" s="694">
        <f t="shared" si="101"/>
        <v>0</v>
      </c>
      <c r="V108" s="694">
        <f t="shared" si="101"/>
        <v>0</v>
      </c>
      <c r="W108" s="694">
        <f t="shared" si="101"/>
        <v>0</v>
      </c>
      <c r="X108" s="694">
        <f t="shared" si="101"/>
        <v>0</v>
      </c>
      <c r="Y108" s="694">
        <f t="shared" si="101"/>
        <v>0</v>
      </c>
      <c r="Z108" s="694">
        <f t="shared" si="101"/>
        <v>0</v>
      </c>
      <c r="AA108" s="694">
        <f t="shared" si="101"/>
        <v>0</v>
      </c>
      <c r="AB108" s="694">
        <f t="shared" si="101"/>
        <v>0</v>
      </c>
    </row>
    <row r="109" spans="1:64" s="83" customFormat="1" x14ac:dyDescent="0.25">
      <c r="A109" s="82"/>
      <c r="B109" s="178" t="str">
        <f t="shared" si="95"/>
        <v>TFLEGAS100</v>
      </c>
      <c r="C109" s="178"/>
      <c r="D109" s="179"/>
      <c r="E109" s="178"/>
      <c r="F109" s="182"/>
      <c r="G109" s="181"/>
      <c r="H109" s="182"/>
      <c r="I109" s="183">
        <f>AF$9</f>
        <v>2040</v>
      </c>
      <c r="J109" s="184"/>
      <c r="K109" s="184"/>
      <c r="L109" s="203" t="s">
        <v>1065</v>
      </c>
      <c r="M109" s="184" t="s">
        <v>748</v>
      </c>
      <c r="N109" s="694">
        <f t="shared" ref="N109:AB109" si="102">N104*LOOKUP($AD97,$AG$4:$AP$4,$AG$9:$AP$9)</f>
        <v>11.815</v>
      </c>
      <c r="O109" s="694">
        <f t="shared" si="102"/>
        <v>0</v>
      </c>
      <c r="P109" s="694">
        <f t="shared" si="102"/>
        <v>0</v>
      </c>
      <c r="Q109" s="694">
        <f t="shared" si="102"/>
        <v>0</v>
      </c>
      <c r="R109" s="694">
        <f t="shared" si="102"/>
        <v>0</v>
      </c>
      <c r="S109" s="694">
        <f t="shared" si="102"/>
        <v>0</v>
      </c>
      <c r="T109" s="694">
        <f t="shared" si="102"/>
        <v>0</v>
      </c>
      <c r="U109" s="694">
        <f t="shared" si="102"/>
        <v>0</v>
      </c>
      <c r="V109" s="694">
        <f t="shared" si="102"/>
        <v>0</v>
      </c>
      <c r="W109" s="694">
        <f t="shared" si="102"/>
        <v>0</v>
      </c>
      <c r="X109" s="694">
        <f t="shared" si="102"/>
        <v>0</v>
      </c>
      <c r="Y109" s="694">
        <f t="shared" si="102"/>
        <v>0</v>
      </c>
      <c r="Z109" s="694">
        <f t="shared" si="102"/>
        <v>0</v>
      </c>
      <c r="AA109" s="694">
        <f t="shared" si="102"/>
        <v>0</v>
      </c>
      <c r="AB109" s="694">
        <f t="shared" si="102"/>
        <v>0</v>
      </c>
    </row>
    <row r="110" spans="1:64" s="83" customFormat="1" x14ac:dyDescent="0.25">
      <c r="A110" s="82"/>
      <c r="B110" s="204" t="str">
        <f t="shared" si="95"/>
        <v>TFLEGAS100</v>
      </c>
      <c r="C110" s="204"/>
      <c r="D110" s="205"/>
      <c r="E110" s="204"/>
      <c r="F110" s="206"/>
      <c r="G110" s="207"/>
      <c r="H110" s="206"/>
      <c r="I110" s="208">
        <f>AF$10</f>
        <v>2050</v>
      </c>
      <c r="J110" s="209"/>
      <c r="K110" s="209"/>
      <c r="L110" s="210" t="s">
        <v>1065</v>
      </c>
      <c r="M110" s="209" t="s">
        <v>748</v>
      </c>
      <c r="N110" s="695">
        <f t="shared" ref="N110:AB110" si="103">N104*LOOKUP($AD97,$AG$4:$AP$4,$AG$10:$AP$10)</f>
        <v>0</v>
      </c>
      <c r="O110" s="695">
        <f t="shared" si="103"/>
        <v>0</v>
      </c>
      <c r="P110" s="695">
        <f t="shared" si="103"/>
        <v>0</v>
      </c>
      <c r="Q110" s="695">
        <f t="shared" si="103"/>
        <v>0</v>
      </c>
      <c r="R110" s="695">
        <f t="shared" si="103"/>
        <v>0</v>
      </c>
      <c r="S110" s="695">
        <f t="shared" si="103"/>
        <v>0</v>
      </c>
      <c r="T110" s="695">
        <f t="shared" si="103"/>
        <v>0</v>
      </c>
      <c r="U110" s="695">
        <f t="shared" si="103"/>
        <v>0</v>
      </c>
      <c r="V110" s="695">
        <f t="shared" si="103"/>
        <v>0</v>
      </c>
      <c r="W110" s="695">
        <f t="shared" si="103"/>
        <v>0</v>
      </c>
      <c r="X110" s="695">
        <f t="shared" si="103"/>
        <v>0</v>
      </c>
      <c r="Y110" s="695">
        <f t="shared" si="103"/>
        <v>0</v>
      </c>
      <c r="Z110" s="695">
        <f t="shared" si="103"/>
        <v>0</v>
      </c>
      <c r="AA110" s="695">
        <f t="shared" si="103"/>
        <v>0</v>
      </c>
      <c r="AB110" s="695">
        <f t="shared" si="103"/>
        <v>0</v>
      </c>
    </row>
    <row r="111" spans="1:64" s="83" customFormat="1" x14ac:dyDescent="0.25">
      <c r="A111" s="82"/>
      <c r="B111" s="178" t="str">
        <f>C111</f>
        <v>TFLEGSL100</v>
      </c>
      <c r="C111" s="178" t="s">
        <v>352</v>
      </c>
      <c r="D111" s="179" t="s">
        <v>814</v>
      </c>
      <c r="E111" s="407" t="s">
        <v>1014</v>
      </c>
      <c r="F111" s="182"/>
      <c r="G111" s="181"/>
      <c r="H111" s="182"/>
      <c r="I111" s="183"/>
      <c r="J111" s="184"/>
      <c r="K111" s="184"/>
      <c r="L111" s="203" t="s">
        <v>1107</v>
      </c>
      <c r="M111" s="184" t="s">
        <v>1125</v>
      </c>
      <c r="N111" s="378">
        <f>N$58</f>
        <v>1E-3</v>
      </c>
      <c r="O111" s="378">
        <f t="shared" ref="O111:AB111" si="104">$N111</f>
        <v>1E-3</v>
      </c>
      <c r="P111" s="378">
        <f t="shared" si="104"/>
        <v>1E-3</v>
      </c>
      <c r="Q111" s="378">
        <f t="shared" si="104"/>
        <v>1E-3</v>
      </c>
      <c r="R111" s="378">
        <f t="shared" si="104"/>
        <v>1E-3</v>
      </c>
      <c r="S111" s="378">
        <f t="shared" si="104"/>
        <v>1E-3</v>
      </c>
      <c r="T111" s="378">
        <f t="shared" si="104"/>
        <v>1E-3</v>
      </c>
      <c r="U111" s="378">
        <f t="shared" si="104"/>
        <v>1E-3</v>
      </c>
      <c r="V111" s="378">
        <f t="shared" si="104"/>
        <v>1E-3</v>
      </c>
      <c r="W111" s="378">
        <f t="shared" si="104"/>
        <v>1E-3</v>
      </c>
      <c r="X111" s="378">
        <f t="shared" si="104"/>
        <v>1E-3</v>
      </c>
      <c r="Y111" s="378">
        <f t="shared" si="104"/>
        <v>1E-3</v>
      </c>
      <c r="Z111" s="378">
        <f t="shared" si="104"/>
        <v>1E-3</v>
      </c>
      <c r="AA111" s="378">
        <f t="shared" si="104"/>
        <v>1E-3</v>
      </c>
      <c r="AB111" s="378">
        <f t="shared" si="104"/>
        <v>1E-3</v>
      </c>
      <c r="AD111" s="410" t="str">
        <f>MID(D111,13,3)</f>
        <v>GSL</v>
      </c>
      <c r="AV111" s="700" t="str">
        <f t="shared" ref="AV111:AV114" si="105">MID(E111,1,7)</f>
        <v>TRAGSL</v>
      </c>
      <c r="AW111" s="568">
        <f t="shared" ref="AW111:AW113" si="106">SUM(AX111:BL111)</f>
        <v>334.48369041114364</v>
      </c>
      <c r="AX111" s="721">
        <f>N$117*N$118*(1-N112)/N$115/1000</f>
        <v>334.48369041114364</v>
      </c>
      <c r="AY111" s="721">
        <f t="shared" ref="AY111:BL111" si="107">O$117*O$118*(1-O112)/O$115/1000</f>
        <v>0</v>
      </c>
      <c r="AZ111" s="721">
        <f t="shared" si="107"/>
        <v>0</v>
      </c>
      <c r="BA111" s="721">
        <f t="shared" si="107"/>
        <v>0</v>
      </c>
      <c r="BB111" s="721">
        <f t="shared" si="107"/>
        <v>0</v>
      </c>
      <c r="BC111" s="721">
        <f t="shared" si="107"/>
        <v>0</v>
      </c>
      <c r="BD111" s="721">
        <f t="shared" si="107"/>
        <v>0</v>
      </c>
      <c r="BE111" s="721">
        <f t="shared" si="107"/>
        <v>0</v>
      </c>
      <c r="BF111" s="721">
        <f t="shared" si="107"/>
        <v>0</v>
      </c>
      <c r="BG111" s="721">
        <f t="shared" si="107"/>
        <v>0</v>
      </c>
      <c r="BH111" s="721">
        <f t="shared" si="107"/>
        <v>0</v>
      </c>
      <c r="BI111" s="721">
        <f t="shared" si="107"/>
        <v>0</v>
      </c>
      <c r="BJ111" s="721">
        <f t="shared" si="107"/>
        <v>0</v>
      </c>
      <c r="BK111" s="721">
        <f t="shared" si="107"/>
        <v>0</v>
      </c>
      <c r="BL111" s="721">
        <f t="shared" si="107"/>
        <v>0</v>
      </c>
    </row>
    <row r="112" spans="1:64" s="83" customFormat="1" x14ac:dyDescent="0.25">
      <c r="A112" s="82"/>
      <c r="B112" s="178" t="str">
        <f>B111</f>
        <v>TFLEGSL100</v>
      </c>
      <c r="C112" s="178"/>
      <c r="D112" s="179"/>
      <c r="E112" s="407" t="s">
        <v>1012</v>
      </c>
      <c r="F112" s="182"/>
      <c r="G112" s="181"/>
      <c r="H112" s="182"/>
      <c r="I112" s="183"/>
      <c r="J112" s="184" t="s">
        <v>1127</v>
      </c>
      <c r="K112" s="184"/>
      <c r="L112" s="203" t="s">
        <v>101</v>
      </c>
      <c r="M112" s="184"/>
      <c r="N112" s="390">
        <f>N$30</f>
        <v>0.03</v>
      </c>
      <c r="O112" s="390">
        <f t="shared" ref="O112:AB112" si="108">O$30</f>
        <v>0.03</v>
      </c>
      <c r="P112" s="390">
        <f t="shared" si="108"/>
        <v>0.03</v>
      </c>
      <c r="Q112" s="390">
        <f t="shared" si="108"/>
        <v>0.03</v>
      </c>
      <c r="R112" s="390">
        <f t="shared" si="108"/>
        <v>0.03</v>
      </c>
      <c r="S112" s="390">
        <f t="shared" si="108"/>
        <v>0.03</v>
      </c>
      <c r="T112" s="390">
        <f t="shared" si="108"/>
        <v>0.03</v>
      </c>
      <c r="U112" s="390">
        <f t="shared" si="108"/>
        <v>0.03</v>
      </c>
      <c r="V112" s="390">
        <f t="shared" si="108"/>
        <v>0.03</v>
      </c>
      <c r="W112" s="390">
        <f t="shared" si="108"/>
        <v>0.03</v>
      </c>
      <c r="X112" s="390">
        <f t="shared" si="108"/>
        <v>0.03</v>
      </c>
      <c r="Y112" s="390">
        <f t="shared" si="108"/>
        <v>0.03</v>
      </c>
      <c r="Z112" s="390">
        <f t="shared" si="108"/>
        <v>0.03</v>
      </c>
      <c r="AA112" s="390">
        <f t="shared" si="108"/>
        <v>0.03</v>
      </c>
      <c r="AB112" s="390">
        <f t="shared" si="108"/>
        <v>0.03</v>
      </c>
      <c r="AD112" s="66" t="str">
        <f>IF(COUNTIF($AG$4:$AP$4,AD111)=1,"ok","MISSING")</f>
        <v>ok</v>
      </c>
      <c r="AV112" s="700" t="str">
        <f t="shared" si="105"/>
        <v>TRAETHM</v>
      </c>
      <c r="AW112" s="568">
        <f t="shared" si="106"/>
        <v>10.344856404468359</v>
      </c>
      <c r="AX112" s="721">
        <f>N$117*N$118*N112/N$115/1000</f>
        <v>10.344856404468359</v>
      </c>
      <c r="AY112" s="721">
        <f t="shared" ref="AY112:BL112" si="109">O$117*O$118*O112/O$115/1000</f>
        <v>0</v>
      </c>
      <c r="AZ112" s="721">
        <f t="shared" si="109"/>
        <v>0</v>
      </c>
      <c r="BA112" s="721">
        <f t="shared" si="109"/>
        <v>0</v>
      </c>
      <c r="BB112" s="721">
        <f t="shared" si="109"/>
        <v>0</v>
      </c>
      <c r="BC112" s="721">
        <f t="shared" si="109"/>
        <v>0</v>
      </c>
      <c r="BD112" s="721">
        <f t="shared" si="109"/>
        <v>0</v>
      </c>
      <c r="BE112" s="721">
        <f t="shared" si="109"/>
        <v>0</v>
      </c>
      <c r="BF112" s="721">
        <f t="shared" si="109"/>
        <v>0</v>
      </c>
      <c r="BG112" s="721">
        <f t="shared" si="109"/>
        <v>0</v>
      </c>
      <c r="BH112" s="721">
        <f t="shared" si="109"/>
        <v>0</v>
      </c>
      <c r="BI112" s="721">
        <f t="shared" si="109"/>
        <v>0</v>
      </c>
      <c r="BJ112" s="721">
        <f t="shared" si="109"/>
        <v>0</v>
      </c>
      <c r="BK112" s="721">
        <f t="shared" si="109"/>
        <v>0</v>
      </c>
      <c r="BL112" s="721">
        <f t="shared" si="109"/>
        <v>0</v>
      </c>
    </row>
    <row r="113" spans="1:64" s="83" customFormat="1" x14ac:dyDescent="0.25">
      <c r="A113" s="82"/>
      <c r="B113" s="178" t="str">
        <f t="shared" ref="B113:B124" si="110">B112</f>
        <v>TFLEGSL100</v>
      </c>
      <c r="C113" s="178"/>
      <c r="D113" s="179"/>
      <c r="E113" s="407" t="s">
        <v>996</v>
      </c>
      <c r="F113" s="182"/>
      <c r="G113" s="181"/>
      <c r="H113" s="182"/>
      <c r="I113" s="183"/>
      <c r="J113" s="184" t="s">
        <v>1157</v>
      </c>
      <c r="K113" s="184"/>
      <c r="L113" s="203" t="s">
        <v>101</v>
      </c>
      <c r="M113" s="184"/>
      <c r="N113" s="390">
        <f>N$31</f>
        <v>0</v>
      </c>
      <c r="O113" s="390">
        <f t="shared" ref="O113:AB113" si="111">O$31</f>
        <v>0</v>
      </c>
      <c r="P113" s="390">
        <f t="shared" si="111"/>
        <v>0</v>
      </c>
      <c r="Q113" s="390">
        <f t="shared" si="111"/>
        <v>0</v>
      </c>
      <c r="R113" s="390">
        <f t="shared" si="111"/>
        <v>0</v>
      </c>
      <c r="S113" s="390">
        <f t="shared" si="111"/>
        <v>0</v>
      </c>
      <c r="T113" s="390">
        <f t="shared" si="111"/>
        <v>0</v>
      </c>
      <c r="U113" s="390">
        <f t="shared" si="111"/>
        <v>0</v>
      </c>
      <c r="V113" s="390">
        <f t="shared" si="111"/>
        <v>0</v>
      </c>
      <c r="W113" s="390">
        <f t="shared" si="111"/>
        <v>0</v>
      </c>
      <c r="X113" s="390">
        <f t="shared" si="111"/>
        <v>0</v>
      </c>
      <c r="Y113" s="390">
        <f t="shared" si="111"/>
        <v>0</v>
      </c>
      <c r="Z113" s="390">
        <f t="shared" si="111"/>
        <v>0</v>
      </c>
      <c r="AA113" s="390">
        <f t="shared" si="111"/>
        <v>0</v>
      </c>
      <c r="AB113" s="390">
        <f t="shared" si="111"/>
        <v>0</v>
      </c>
      <c r="AD113" s="66"/>
      <c r="AV113" s="700" t="str">
        <f>MID(E113,1,8)</f>
        <v>TRABGSLM</v>
      </c>
      <c r="AW113" s="568">
        <f t="shared" si="106"/>
        <v>0</v>
      </c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21"/>
      <c r="BL113" s="721"/>
    </row>
    <row r="114" spans="1:64" s="83" customFormat="1" x14ac:dyDescent="0.25">
      <c r="A114" s="82"/>
      <c r="B114" s="178" t="str">
        <f t="shared" si="110"/>
        <v>TFLEGSL100</v>
      </c>
      <c r="C114" s="178"/>
      <c r="D114" s="179"/>
      <c r="E114" s="178"/>
      <c r="F114" s="182"/>
      <c r="G114" s="173" t="s">
        <v>431</v>
      </c>
      <c r="H114" s="182"/>
      <c r="I114" s="183"/>
      <c r="J114" s="184"/>
      <c r="K114" s="184"/>
      <c r="L114" s="184" t="s">
        <v>1126</v>
      </c>
      <c r="M114" s="184" t="s">
        <v>678</v>
      </c>
      <c r="N114" s="676">
        <f>T_CEFF!H168</f>
        <v>0.38646999999999998</v>
      </c>
      <c r="O114" s="676">
        <f>T_CEFF!I168</f>
        <v>0.38646999999999998</v>
      </c>
      <c r="P114" s="676">
        <f>T_CEFF!J168</f>
        <v>0.38646999999999998</v>
      </c>
      <c r="Q114" s="676">
        <f>T_CEFF!K168</f>
        <v>0.38646999999999998</v>
      </c>
      <c r="R114" s="676">
        <f>T_CEFF!L168</f>
        <v>0.38646999999999998</v>
      </c>
      <c r="S114" s="676">
        <f>T_CEFF!M168</f>
        <v>0.38646999999999998</v>
      </c>
      <c r="T114" s="676">
        <f>T_CEFF!N168</f>
        <v>0.38646999999999998</v>
      </c>
      <c r="U114" s="676">
        <f>T_CEFF!O168</f>
        <v>0.38646999999999998</v>
      </c>
      <c r="V114" s="676">
        <f>T_CEFF!P168</f>
        <v>0.38646999999999998</v>
      </c>
      <c r="W114" s="676">
        <f>T_CEFF!Q168</f>
        <v>0.38646999999999998</v>
      </c>
      <c r="X114" s="676">
        <f>T_CEFF!R168</f>
        <v>0.38646999999999998</v>
      </c>
      <c r="Y114" s="676">
        <f>T_CEFF!S168</f>
        <v>0.38646999999999998</v>
      </c>
      <c r="Z114" s="676">
        <f>T_CEFF!T168</f>
        <v>0.38646999999999998</v>
      </c>
      <c r="AA114" s="676">
        <f>T_CEFF!U168</f>
        <v>0.38646999999999998</v>
      </c>
      <c r="AB114" s="676">
        <f>T_CEFF!V168</f>
        <v>0.38646999999999998</v>
      </c>
      <c r="AV114" s="700" t="str">
        <f t="shared" si="105"/>
        <v/>
      </c>
      <c r="AW114" s="568"/>
    </row>
    <row r="115" spans="1:64" s="83" customFormat="1" x14ac:dyDescent="0.25">
      <c r="A115" s="82"/>
      <c r="B115" s="178" t="str">
        <f t="shared" si="110"/>
        <v>TFLEGSL100</v>
      </c>
      <c r="C115" s="178"/>
      <c r="D115" s="179"/>
      <c r="E115" s="178"/>
      <c r="F115" s="182"/>
      <c r="G115" s="173" t="s">
        <v>429</v>
      </c>
      <c r="H115" s="182"/>
      <c r="I115" s="183"/>
      <c r="J115" s="184"/>
      <c r="K115" s="184"/>
      <c r="L115" s="184" t="s">
        <v>1126</v>
      </c>
      <c r="M115" s="184" t="s">
        <v>678</v>
      </c>
      <c r="N115" s="676">
        <f>T_CEFF!H169</f>
        <v>0.31873000000000001</v>
      </c>
      <c r="O115" s="676">
        <f>T_CEFF!I169</f>
        <v>0.31873000000000001</v>
      </c>
      <c r="P115" s="676">
        <f>T_CEFF!J169</f>
        <v>0.31873000000000001</v>
      </c>
      <c r="Q115" s="676">
        <f>T_CEFF!K169</f>
        <v>0.31873000000000001</v>
      </c>
      <c r="R115" s="676">
        <f>T_CEFF!L169</f>
        <v>0.31873000000000001</v>
      </c>
      <c r="S115" s="676">
        <f>T_CEFF!M169</f>
        <v>0.31873000000000001</v>
      </c>
      <c r="T115" s="676">
        <f>T_CEFF!N169</f>
        <v>0.31873000000000001</v>
      </c>
      <c r="U115" s="676">
        <f>T_CEFF!O169</f>
        <v>0.31873000000000001</v>
      </c>
      <c r="V115" s="676">
        <f>T_CEFF!P169</f>
        <v>0.31873000000000001</v>
      </c>
      <c r="W115" s="676">
        <f>T_CEFF!Q169</f>
        <v>0.31873000000000001</v>
      </c>
      <c r="X115" s="676">
        <f>T_CEFF!R169</f>
        <v>0.31873000000000001</v>
      </c>
      <c r="Y115" s="676">
        <f>T_CEFF!S169</f>
        <v>0.31873000000000001</v>
      </c>
      <c r="Z115" s="676">
        <f>T_CEFF!T169</f>
        <v>0.31873000000000001</v>
      </c>
      <c r="AA115" s="676">
        <f>T_CEFF!U169</f>
        <v>0.31873000000000001</v>
      </c>
      <c r="AB115" s="676">
        <f>T_CEFF!V169</f>
        <v>0.31873000000000001</v>
      </c>
    </row>
    <row r="116" spans="1:64" s="83" customFormat="1" x14ac:dyDescent="0.25">
      <c r="A116" s="82"/>
      <c r="B116" s="178" t="str">
        <f t="shared" si="110"/>
        <v>TFLEGSL100</v>
      </c>
      <c r="C116" s="178"/>
      <c r="D116" s="179"/>
      <c r="E116" s="178"/>
      <c r="F116" s="182"/>
      <c r="G116" s="181"/>
      <c r="H116" s="182"/>
      <c r="I116" s="183"/>
      <c r="J116" s="184"/>
      <c r="K116" s="184" t="s">
        <v>749</v>
      </c>
      <c r="L116" s="184" t="s">
        <v>1128</v>
      </c>
      <c r="M116" s="184" t="s">
        <v>1175</v>
      </c>
      <c r="N116" s="388">
        <f t="shared" ref="N116:AB116" si="112">N$23</f>
        <v>0.76</v>
      </c>
      <c r="O116" s="388">
        <f t="shared" si="112"/>
        <v>0</v>
      </c>
      <c r="P116" s="388">
        <f t="shared" si="112"/>
        <v>0</v>
      </c>
      <c r="Q116" s="388">
        <f t="shared" si="112"/>
        <v>0</v>
      </c>
      <c r="R116" s="388">
        <f t="shared" si="112"/>
        <v>0</v>
      </c>
      <c r="S116" s="388">
        <f t="shared" si="112"/>
        <v>0</v>
      </c>
      <c r="T116" s="388">
        <f t="shared" si="112"/>
        <v>0</v>
      </c>
      <c r="U116" s="388">
        <f t="shared" si="112"/>
        <v>0</v>
      </c>
      <c r="V116" s="388">
        <f t="shared" si="112"/>
        <v>0</v>
      </c>
      <c r="W116" s="388">
        <f t="shared" si="112"/>
        <v>0</v>
      </c>
      <c r="X116" s="388">
        <f t="shared" si="112"/>
        <v>0</v>
      </c>
      <c r="Y116" s="388">
        <f t="shared" si="112"/>
        <v>0</v>
      </c>
      <c r="Z116" s="388">
        <f t="shared" si="112"/>
        <v>0</v>
      </c>
      <c r="AA116" s="388">
        <f t="shared" si="112"/>
        <v>0</v>
      </c>
      <c r="AB116" s="388">
        <f t="shared" si="112"/>
        <v>0</v>
      </c>
    </row>
    <row r="117" spans="1:64" s="83" customFormat="1" x14ac:dyDescent="0.25">
      <c r="A117" s="82"/>
      <c r="B117" s="178" t="str">
        <f t="shared" si="110"/>
        <v>TFLEGSL100</v>
      </c>
      <c r="C117" s="178"/>
      <c r="D117" s="179"/>
      <c r="E117" s="178"/>
      <c r="F117" s="182"/>
      <c r="G117" s="181"/>
      <c r="H117" s="182"/>
      <c r="I117" s="183"/>
      <c r="J117" s="184"/>
      <c r="K117" s="184"/>
      <c r="L117" s="203" t="s">
        <v>1130</v>
      </c>
      <c r="M117" s="184" t="s">
        <v>1131</v>
      </c>
      <c r="N117" s="397">
        <f>LOOKUP($C$111, T_NCAP_AF!$C$125:$C$135, T_NCAP_AF!D$125:D$135)*(1+N40)</f>
        <v>14.959466820000001</v>
      </c>
      <c r="O117" s="397">
        <f>LOOKUP($C$111, T_NCAP_AF!$C$125:$C$135, T_NCAP_AF!E$125:E$135)*(1+O40)</f>
        <v>0</v>
      </c>
      <c r="P117" s="397">
        <f>LOOKUP($C$111, T_NCAP_AF!$C$125:$C$135, T_NCAP_AF!F$125:F$135)*(1+P40)</f>
        <v>0</v>
      </c>
      <c r="Q117" s="397">
        <f>LOOKUP($C$111, T_NCAP_AF!$C$125:$C$135, T_NCAP_AF!G$125:G$135)*(1+Q40)</f>
        <v>0</v>
      </c>
      <c r="R117" s="397">
        <f>LOOKUP($C$111, T_NCAP_AF!$C$125:$C$135, T_NCAP_AF!H$125:H$135)*(1+R40)</f>
        <v>0</v>
      </c>
      <c r="S117" s="397">
        <f>LOOKUP($C$111, T_NCAP_AF!$C$125:$C$135, T_NCAP_AF!I$125:I$135)*(1+S40)</f>
        <v>0</v>
      </c>
      <c r="T117" s="397">
        <f>LOOKUP($C$111, T_NCAP_AF!$C$125:$C$135, T_NCAP_AF!J$125:J$135)*(1+T40)</f>
        <v>0</v>
      </c>
      <c r="U117" s="397">
        <f>LOOKUP($C$111, T_NCAP_AF!$C$125:$C$135, T_NCAP_AF!K$125:K$135)*(1+U40)</f>
        <v>0</v>
      </c>
      <c r="V117" s="397">
        <f>LOOKUP($C$111, T_NCAP_AF!$C$125:$C$135, T_NCAP_AF!L$125:L$135)*(1+V40)</f>
        <v>0</v>
      </c>
      <c r="W117" s="397">
        <f>LOOKUP($C$111, T_NCAP_AF!$C$125:$C$135, T_NCAP_AF!M$125:M$135)*(1+W40)</f>
        <v>0</v>
      </c>
      <c r="X117" s="397">
        <f>LOOKUP($C$111, T_NCAP_AF!$C$125:$C$135, T_NCAP_AF!N$125:N$135)*(1+X40)</f>
        <v>0</v>
      </c>
      <c r="Y117" s="397">
        <f>LOOKUP($C$111, T_NCAP_AF!$C$125:$C$135, T_NCAP_AF!O$125:O$135)*(1+Y40)</f>
        <v>0</v>
      </c>
      <c r="Z117" s="397">
        <f>LOOKUP($C$111, T_NCAP_AF!$C$125:$C$135, T_NCAP_AF!P$125:P$135)*(1+Z40)</f>
        <v>0</v>
      </c>
      <c r="AA117" s="397">
        <f>LOOKUP($C$111, T_NCAP_AF!$C$125:$C$135, T_NCAP_AF!Q$125:Q$135)*(1+AA40)</f>
        <v>0</v>
      </c>
      <c r="AB117" s="397">
        <f>LOOKUP($C$111, T_NCAP_AF!$C$125:$C$135, T_NCAP_AF!R$125:R$135)*(1+AB40)</f>
        <v>0</v>
      </c>
      <c r="AE117" s="572">
        <f>SUM(AF117:AT117)</f>
        <v>83.529474072170416</v>
      </c>
      <c r="AF117" s="85">
        <f t="shared" ref="AF117:AT117" si="113">N116*N117*N118/1000</f>
        <v>83.529474072170416</v>
      </c>
      <c r="AG117" s="85">
        <f t="shared" si="113"/>
        <v>0</v>
      </c>
      <c r="AH117" s="85">
        <f t="shared" si="113"/>
        <v>0</v>
      </c>
      <c r="AI117" s="85">
        <f t="shared" si="113"/>
        <v>0</v>
      </c>
      <c r="AJ117" s="85">
        <f t="shared" si="113"/>
        <v>0</v>
      </c>
      <c r="AK117" s="85">
        <f t="shared" si="113"/>
        <v>0</v>
      </c>
      <c r="AL117" s="85">
        <f t="shared" si="113"/>
        <v>0</v>
      </c>
      <c r="AM117" s="85">
        <f t="shared" si="113"/>
        <v>0</v>
      </c>
      <c r="AN117" s="85">
        <f t="shared" si="113"/>
        <v>0</v>
      </c>
      <c r="AO117" s="85">
        <f t="shared" si="113"/>
        <v>0</v>
      </c>
      <c r="AP117" s="85">
        <f t="shared" si="113"/>
        <v>0</v>
      </c>
      <c r="AQ117" s="85">
        <f t="shared" si="113"/>
        <v>0</v>
      </c>
      <c r="AR117" s="85">
        <f t="shared" si="113"/>
        <v>0</v>
      </c>
      <c r="AS117" s="85">
        <f t="shared" si="113"/>
        <v>0</v>
      </c>
      <c r="AT117" s="85">
        <f t="shared" si="113"/>
        <v>0</v>
      </c>
    </row>
    <row r="118" spans="1:64" s="83" customFormat="1" x14ac:dyDescent="0.25">
      <c r="A118" s="82"/>
      <c r="B118" s="178" t="str">
        <f t="shared" si="110"/>
        <v>TFLEGSL100</v>
      </c>
      <c r="C118" s="178"/>
      <c r="D118" s="179"/>
      <c r="E118" s="178"/>
      <c r="F118" s="182"/>
      <c r="G118" s="181"/>
      <c r="H118" s="182"/>
      <c r="I118" s="183">
        <f>$M$3</f>
        <v>2019</v>
      </c>
      <c r="J118" s="184"/>
      <c r="K118" s="184"/>
      <c r="L118" s="203" t="s">
        <v>1065</v>
      </c>
      <c r="M118" s="184" t="s">
        <v>748</v>
      </c>
      <c r="N118" s="694">
        <f>LOOKUP($C$111, T_Stock_Private!$C$90:$C$100, T_Stock_Private!D$90:D$100)*(1+N41)</f>
        <v>7347</v>
      </c>
      <c r="O118" s="694">
        <f>LOOKUP($C$111, T_Stock_Private!$C$90:$C$100, T_Stock_Private!E$90:E$100)*(1+O41)</f>
        <v>0</v>
      </c>
      <c r="P118" s="694">
        <f>LOOKUP($C$111, T_Stock_Private!$C$90:$C$100, T_Stock_Private!F$90:F$100)*(1+P41)</f>
        <v>0</v>
      </c>
      <c r="Q118" s="694">
        <f>LOOKUP($C$111, T_Stock_Private!$C$90:$C$100, T_Stock_Private!G$90:G$100)*(1+Q41)</f>
        <v>0</v>
      </c>
      <c r="R118" s="694">
        <f>LOOKUP($C$111, T_Stock_Private!$C$90:$C$100, T_Stock_Private!H$90:H$100)*(1+R41)</f>
        <v>0</v>
      </c>
      <c r="S118" s="694">
        <f>LOOKUP($C$111, T_Stock_Private!$C$90:$C$100, T_Stock_Private!I$90:I$100)*(1+S41)</f>
        <v>0</v>
      </c>
      <c r="T118" s="694">
        <f>LOOKUP($C$111, T_Stock_Private!$C$90:$C$100, T_Stock_Private!J$90:J$100)*(1+T41)</f>
        <v>0</v>
      </c>
      <c r="U118" s="694">
        <f>LOOKUP($C$111, T_Stock_Private!$C$90:$C$100, T_Stock_Private!K$90:K$100)*(1+U41)</f>
        <v>0</v>
      </c>
      <c r="V118" s="694">
        <f>LOOKUP($C$111, T_Stock_Private!$C$90:$C$100, T_Stock_Private!L$90:L$100)*(1+V41)</f>
        <v>0</v>
      </c>
      <c r="W118" s="694">
        <f>LOOKUP($C$111, T_Stock_Private!$C$90:$C$100, T_Stock_Private!M$90:M$100)*(1+W41)</f>
        <v>0</v>
      </c>
      <c r="X118" s="694">
        <f>LOOKUP($C$111, T_Stock_Private!$C$90:$C$100, T_Stock_Private!N$90:N$100)*(1+X41)</f>
        <v>0</v>
      </c>
      <c r="Y118" s="694">
        <f>LOOKUP($C$111, T_Stock_Private!$C$90:$C$100, T_Stock_Private!O$90:O$100)*(1+Y41)</f>
        <v>0</v>
      </c>
      <c r="Z118" s="694">
        <f>LOOKUP($C$111, T_Stock_Private!$C$90:$C$100, T_Stock_Private!P$90:P$100)*(1+Z41)</f>
        <v>0</v>
      </c>
      <c r="AA118" s="694">
        <f>LOOKUP($C$111, T_Stock_Private!$C$90:$C$100, T_Stock_Private!Q$90:Q$100)*(1+AA41)</f>
        <v>0</v>
      </c>
      <c r="AB118" s="694">
        <f>LOOKUP($C$111, T_Stock_Private!$C$90:$C$100, T_Stock_Private!R$90:R$100)*(1+AB41)</f>
        <v>0</v>
      </c>
      <c r="AC118" s="89"/>
      <c r="AD118" s="35"/>
    </row>
    <row r="119" spans="1:64" s="83" customFormat="1" x14ac:dyDescent="0.25">
      <c r="A119" s="82"/>
      <c r="B119" s="178" t="str">
        <f t="shared" si="110"/>
        <v>TFLEGSL100</v>
      </c>
      <c r="C119" s="178"/>
      <c r="D119" s="179"/>
      <c r="E119" s="178"/>
      <c r="F119" s="182"/>
      <c r="G119" s="181"/>
      <c r="H119" s="182"/>
      <c r="I119" s="183">
        <f>AF$5</f>
        <v>2020</v>
      </c>
      <c r="J119" s="184"/>
      <c r="K119" s="184"/>
      <c r="L119" s="203" t="s">
        <v>1065</v>
      </c>
      <c r="M119" s="184" t="s">
        <v>748</v>
      </c>
      <c r="N119" s="694">
        <f t="shared" ref="N119:AB119" si="114">N118*LOOKUP($AD111,$AG$4:$AP$4,$AG$5:$AP$5)</f>
        <v>6979.65</v>
      </c>
      <c r="O119" s="694">
        <f t="shared" si="114"/>
        <v>0</v>
      </c>
      <c r="P119" s="694">
        <f t="shared" si="114"/>
        <v>0</v>
      </c>
      <c r="Q119" s="694">
        <f t="shared" si="114"/>
        <v>0</v>
      </c>
      <c r="R119" s="694">
        <f t="shared" si="114"/>
        <v>0</v>
      </c>
      <c r="S119" s="694">
        <f t="shared" si="114"/>
        <v>0</v>
      </c>
      <c r="T119" s="694">
        <f t="shared" si="114"/>
        <v>0</v>
      </c>
      <c r="U119" s="694">
        <f t="shared" si="114"/>
        <v>0</v>
      </c>
      <c r="V119" s="694">
        <f t="shared" si="114"/>
        <v>0</v>
      </c>
      <c r="W119" s="694">
        <f t="shared" si="114"/>
        <v>0</v>
      </c>
      <c r="X119" s="694">
        <f t="shared" si="114"/>
        <v>0</v>
      </c>
      <c r="Y119" s="694">
        <f t="shared" si="114"/>
        <v>0</v>
      </c>
      <c r="Z119" s="694">
        <f t="shared" si="114"/>
        <v>0</v>
      </c>
      <c r="AA119" s="694">
        <f t="shared" si="114"/>
        <v>0</v>
      </c>
      <c r="AB119" s="694">
        <f t="shared" si="114"/>
        <v>0</v>
      </c>
      <c r="AD119" s="35"/>
    </row>
    <row r="120" spans="1:64" s="83" customFormat="1" x14ac:dyDescent="0.25">
      <c r="A120" s="82"/>
      <c r="B120" s="178" t="str">
        <f t="shared" si="110"/>
        <v>TFLEGSL100</v>
      </c>
      <c r="C120" s="178"/>
      <c r="D120" s="179"/>
      <c r="E120" s="178"/>
      <c r="F120" s="182"/>
      <c r="G120" s="181"/>
      <c r="H120" s="182"/>
      <c r="I120" s="183">
        <f>AF$6</f>
        <v>2025</v>
      </c>
      <c r="J120" s="184"/>
      <c r="K120" s="184"/>
      <c r="L120" s="203" t="s">
        <v>1065</v>
      </c>
      <c r="M120" s="184" t="s">
        <v>748</v>
      </c>
      <c r="N120" s="694">
        <f t="shared" ref="N120:AB120" si="115">N118*LOOKUP($AD111,$AG$4:$AP$4,$AG$6:$AP$6)</f>
        <v>5142.8999999999996</v>
      </c>
      <c r="O120" s="694">
        <f t="shared" si="115"/>
        <v>0</v>
      </c>
      <c r="P120" s="694">
        <f t="shared" si="115"/>
        <v>0</v>
      </c>
      <c r="Q120" s="694">
        <f t="shared" si="115"/>
        <v>0</v>
      </c>
      <c r="R120" s="694">
        <f t="shared" si="115"/>
        <v>0</v>
      </c>
      <c r="S120" s="694">
        <f t="shared" si="115"/>
        <v>0</v>
      </c>
      <c r="T120" s="694">
        <f t="shared" si="115"/>
        <v>0</v>
      </c>
      <c r="U120" s="694">
        <f t="shared" si="115"/>
        <v>0</v>
      </c>
      <c r="V120" s="694">
        <f t="shared" si="115"/>
        <v>0</v>
      </c>
      <c r="W120" s="694">
        <f t="shared" si="115"/>
        <v>0</v>
      </c>
      <c r="X120" s="694">
        <f t="shared" si="115"/>
        <v>0</v>
      </c>
      <c r="Y120" s="694">
        <f t="shared" si="115"/>
        <v>0</v>
      </c>
      <c r="Z120" s="694">
        <f t="shared" si="115"/>
        <v>0</v>
      </c>
      <c r="AA120" s="694">
        <f t="shared" si="115"/>
        <v>0</v>
      </c>
      <c r="AB120" s="694">
        <f t="shared" si="115"/>
        <v>0</v>
      </c>
      <c r="AD120" s="35"/>
    </row>
    <row r="121" spans="1:64" s="83" customFormat="1" x14ac:dyDescent="0.25">
      <c r="A121" s="82"/>
      <c r="B121" s="178" t="str">
        <f t="shared" si="110"/>
        <v>TFLEGSL100</v>
      </c>
      <c r="C121" s="178"/>
      <c r="D121" s="179"/>
      <c r="E121" s="178"/>
      <c r="F121" s="182"/>
      <c r="G121" s="181"/>
      <c r="H121" s="182"/>
      <c r="I121" s="183">
        <f>AF$7</f>
        <v>2030</v>
      </c>
      <c r="J121" s="184"/>
      <c r="K121" s="184"/>
      <c r="L121" s="203" t="s">
        <v>1065</v>
      </c>
      <c r="M121" s="184" t="s">
        <v>748</v>
      </c>
      <c r="N121" s="694">
        <f t="shared" ref="N121:AB121" si="116">N118*LOOKUP($AD111,$AG$4:$AP$4,$AG$7:$AP$7)</f>
        <v>2938.8</v>
      </c>
      <c r="O121" s="694">
        <f t="shared" si="116"/>
        <v>0</v>
      </c>
      <c r="P121" s="694">
        <f t="shared" si="116"/>
        <v>0</v>
      </c>
      <c r="Q121" s="694">
        <f t="shared" si="116"/>
        <v>0</v>
      </c>
      <c r="R121" s="694">
        <f t="shared" si="116"/>
        <v>0</v>
      </c>
      <c r="S121" s="694">
        <f t="shared" si="116"/>
        <v>0</v>
      </c>
      <c r="T121" s="694">
        <f t="shared" si="116"/>
        <v>0</v>
      </c>
      <c r="U121" s="694">
        <f t="shared" si="116"/>
        <v>0</v>
      </c>
      <c r="V121" s="694">
        <f t="shared" si="116"/>
        <v>0</v>
      </c>
      <c r="W121" s="694">
        <f t="shared" si="116"/>
        <v>0</v>
      </c>
      <c r="X121" s="694">
        <f t="shared" si="116"/>
        <v>0</v>
      </c>
      <c r="Y121" s="694">
        <f t="shared" si="116"/>
        <v>0</v>
      </c>
      <c r="Z121" s="694">
        <f t="shared" si="116"/>
        <v>0</v>
      </c>
      <c r="AA121" s="694">
        <f t="shared" si="116"/>
        <v>0</v>
      </c>
      <c r="AB121" s="694">
        <f t="shared" si="116"/>
        <v>0</v>
      </c>
      <c r="AD121" s="35"/>
    </row>
    <row r="122" spans="1:64" s="83" customFormat="1" x14ac:dyDescent="0.25">
      <c r="A122" s="82"/>
      <c r="B122" s="178" t="str">
        <f t="shared" si="110"/>
        <v>TFLEGSL100</v>
      </c>
      <c r="C122" s="178"/>
      <c r="D122" s="179"/>
      <c r="E122" s="178"/>
      <c r="F122" s="182"/>
      <c r="G122" s="181"/>
      <c r="H122" s="182"/>
      <c r="I122" s="183">
        <f>AF$8</f>
        <v>2035</v>
      </c>
      <c r="J122" s="184"/>
      <c r="K122" s="184"/>
      <c r="L122" s="203" t="s">
        <v>1065</v>
      </c>
      <c r="M122" s="184" t="s">
        <v>748</v>
      </c>
      <c r="N122" s="694">
        <f t="shared" ref="N122:AB122" si="117">N118*LOOKUP($AD111,$AG$4:$AP$4,$AG$8:$AP$8)</f>
        <v>1102.05</v>
      </c>
      <c r="O122" s="694">
        <f t="shared" si="117"/>
        <v>0</v>
      </c>
      <c r="P122" s="694">
        <f t="shared" si="117"/>
        <v>0</v>
      </c>
      <c r="Q122" s="694">
        <f t="shared" si="117"/>
        <v>0</v>
      </c>
      <c r="R122" s="694">
        <f t="shared" si="117"/>
        <v>0</v>
      </c>
      <c r="S122" s="694">
        <f t="shared" si="117"/>
        <v>0</v>
      </c>
      <c r="T122" s="694">
        <f t="shared" si="117"/>
        <v>0</v>
      </c>
      <c r="U122" s="694">
        <f t="shared" si="117"/>
        <v>0</v>
      </c>
      <c r="V122" s="694">
        <f t="shared" si="117"/>
        <v>0</v>
      </c>
      <c r="W122" s="694">
        <f t="shared" si="117"/>
        <v>0</v>
      </c>
      <c r="X122" s="694">
        <f t="shared" si="117"/>
        <v>0</v>
      </c>
      <c r="Y122" s="694">
        <f t="shared" si="117"/>
        <v>0</v>
      </c>
      <c r="Z122" s="694">
        <f t="shared" si="117"/>
        <v>0</v>
      </c>
      <c r="AA122" s="694">
        <f t="shared" si="117"/>
        <v>0</v>
      </c>
      <c r="AB122" s="694">
        <f t="shared" si="117"/>
        <v>0</v>
      </c>
      <c r="AD122" s="35"/>
    </row>
    <row r="123" spans="1:64" s="83" customFormat="1" x14ac:dyDescent="0.25">
      <c r="A123" s="82"/>
      <c r="B123" s="178" t="str">
        <f t="shared" si="110"/>
        <v>TFLEGSL100</v>
      </c>
      <c r="C123" s="178"/>
      <c r="D123" s="179"/>
      <c r="E123" s="178"/>
      <c r="F123" s="182"/>
      <c r="G123" s="181"/>
      <c r="H123" s="182"/>
      <c r="I123" s="183">
        <f>AF$9</f>
        <v>2040</v>
      </c>
      <c r="J123" s="184"/>
      <c r="K123" s="184"/>
      <c r="L123" s="203" t="s">
        <v>1065</v>
      </c>
      <c r="M123" s="184" t="s">
        <v>748</v>
      </c>
      <c r="N123" s="694">
        <f t="shared" ref="N123:AB123" si="118">N118*LOOKUP($AD111,$AG$4:$AP$4,$AG$9:$AP$9)</f>
        <v>36.734999999999999</v>
      </c>
      <c r="O123" s="694">
        <f t="shared" si="118"/>
        <v>0</v>
      </c>
      <c r="P123" s="694">
        <f t="shared" si="118"/>
        <v>0</v>
      </c>
      <c r="Q123" s="694">
        <f t="shared" si="118"/>
        <v>0</v>
      </c>
      <c r="R123" s="694">
        <f t="shared" si="118"/>
        <v>0</v>
      </c>
      <c r="S123" s="694">
        <f t="shared" si="118"/>
        <v>0</v>
      </c>
      <c r="T123" s="694">
        <f t="shared" si="118"/>
        <v>0</v>
      </c>
      <c r="U123" s="694">
        <f t="shared" si="118"/>
        <v>0</v>
      </c>
      <c r="V123" s="694">
        <f t="shared" si="118"/>
        <v>0</v>
      </c>
      <c r="W123" s="694">
        <f t="shared" si="118"/>
        <v>0</v>
      </c>
      <c r="X123" s="694">
        <f t="shared" si="118"/>
        <v>0</v>
      </c>
      <c r="Y123" s="694">
        <f t="shared" si="118"/>
        <v>0</v>
      </c>
      <c r="Z123" s="694">
        <f t="shared" si="118"/>
        <v>0</v>
      </c>
      <c r="AA123" s="694">
        <f t="shared" si="118"/>
        <v>0</v>
      </c>
      <c r="AB123" s="694">
        <f t="shared" si="118"/>
        <v>0</v>
      </c>
      <c r="AD123" s="35"/>
    </row>
    <row r="124" spans="1:64" s="83" customFormat="1" x14ac:dyDescent="0.25">
      <c r="A124" s="82"/>
      <c r="B124" s="204" t="str">
        <f t="shared" si="110"/>
        <v>TFLEGSL100</v>
      </c>
      <c r="C124" s="204"/>
      <c r="D124" s="205"/>
      <c r="E124" s="204"/>
      <c r="F124" s="206"/>
      <c r="G124" s="207"/>
      <c r="H124" s="206"/>
      <c r="I124" s="208">
        <f>AF$10</f>
        <v>2050</v>
      </c>
      <c r="J124" s="209"/>
      <c r="K124" s="209"/>
      <c r="L124" s="210" t="s">
        <v>1065</v>
      </c>
      <c r="M124" s="209" t="s">
        <v>748</v>
      </c>
      <c r="N124" s="695">
        <f t="shared" ref="N124:AB124" si="119">N118*LOOKUP($AD111,$AG$4:$AP$4,$AG$10:$AP$10)</f>
        <v>0</v>
      </c>
      <c r="O124" s="695">
        <f t="shared" si="119"/>
        <v>0</v>
      </c>
      <c r="P124" s="695">
        <f t="shared" si="119"/>
        <v>0</v>
      </c>
      <c r="Q124" s="695">
        <f t="shared" si="119"/>
        <v>0</v>
      </c>
      <c r="R124" s="695">
        <f t="shared" si="119"/>
        <v>0</v>
      </c>
      <c r="S124" s="695">
        <f t="shared" si="119"/>
        <v>0</v>
      </c>
      <c r="T124" s="695">
        <f t="shared" si="119"/>
        <v>0</v>
      </c>
      <c r="U124" s="695">
        <f t="shared" si="119"/>
        <v>0</v>
      </c>
      <c r="V124" s="695">
        <f t="shared" si="119"/>
        <v>0</v>
      </c>
      <c r="W124" s="695">
        <f t="shared" si="119"/>
        <v>0</v>
      </c>
      <c r="X124" s="695">
        <f t="shared" si="119"/>
        <v>0</v>
      </c>
      <c r="Y124" s="695">
        <f t="shared" si="119"/>
        <v>0</v>
      </c>
      <c r="Z124" s="695">
        <f t="shared" si="119"/>
        <v>0</v>
      </c>
      <c r="AA124" s="695">
        <f t="shared" si="119"/>
        <v>0</v>
      </c>
      <c r="AB124" s="695">
        <f t="shared" si="119"/>
        <v>0</v>
      </c>
    </row>
    <row r="125" spans="1:64" s="83" customFormat="1" x14ac:dyDescent="0.25">
      <c r="A125" s="82"/>
      <c r="B125" s="178" t="str">
        <f>C125</f>
        <v>TFLEHYD100</v>
      </c>
      <c r="C125" s="178" t="s">
        <v>353</v>
      </c>
      <c r="D125" s="179" t="s">
        <v>816</v>
      </c>
      <c r="E125" s="407" t="s">
        <v>988</v>
      </c>
      <c r="F125" s="182"/>
      <c r="G125" s="181"/>
      <c r="H125" s="182"/>
      <c r="I125" s="183"/>
      <c r="J125" s="184"/>
      <c r="K125" s="184"/>
      <c r="L125" s="203" t="s">
        <v>1107</v>
      </c>
      <c r="M125" s="184" t="s">
        <v>1125</v>
      </c>
      <c r="N125" s="378">
        <f>N$58</f>
        <v>1E-3</v>
      </c>
      <c r="O125" s="378">
        <f t="shared" ref="O125:AB125" si="120">$N125</f>
        <v>1E-3</v>
      </c>
      <c r="P125" s="378">
        <f t="shared" si="120"/>
        <v>1E-3</v>
      </c>
      <c r="Q125" s="378">
        <f t="shared" si="120"/>
        <v>1E-3</v>
      </c>
      <c r="R125" s="378">
        <f t="shared" si="120"/>
        <v>1E-3</v>
      </c>
      <c r="S125" s="378">
        <f t="shared" si="120"/>
        <v>1E-3</v>
      </c>
      <c r="T125" s="378">
        <f t="shared" si="120"/>
        <v>1E-3</v>
      </c>
      <c r="U125" s="378">
        <f t="shared" si="120"/>
        <v>1E-3</v>
      </c>
      <c r="V125" s="378">
        <f t="shared" si="120"/>
        <v>1E-3</v>
      </c>
      <c r="W125" s="378">
        <f t="shared" si="120"/>
        <v>1E-3</v>
      </c>
      <c r="X125" s="378">
        <f t="shared" si="120"/>
        <v>1E-3</v>
      </c>
      <c r="Y125" s="378">
        <f t="shared" si="120"/>
        <v>1E-3</v>
      </c>
      <c r="Z125" s="378">
        <f t="shared" si="120"/>
        <v>1E-3</v>
      </c>
      <c r="AA125" s="378">
        <f t="shared" si="120"/>
        <v>1E-3</v>
      </c>
      <c r="AB125" s="378">
        <f t="shared" si="120"/>
        <v>1E-3</v>
      </c>
      <c r="AD125" s="410" t="str">
        <f>MID(D125,13,3)</f>
        <v>Hyb</v>
      </c>
      <c r="AV125" s="700" t="str">
        <f t="shared" ref="AV125:AV128" si="121">MID(E125,1,7)</f>
        <v>TRABDL</v>
      </c>
      <c r="AW125" s="568">
        <f t="shared" ref="AW125:AW127" si="122">SUM(AX125:BL125)</f>
        <v>0</v>
      </c>
      <c r="AX125" s="570"/>
      <c r="AY125" s="570"/>
      <c r="AZ125" s="570"/>
      <c r="BA125" s="570"/>
      <c r="BB125" s="570"/>
      <c r="BC125" s="570"/>
      <c r="BD125" s="570"/>
      <c r="BE125" s="570"/>
      <c r="BF125" s="570"/>
      <c r="BG125" s="570"/>
      <c r="BH125" s="570"/>
      <c r="BI125" s="570"/>
      <c r="BJ125" s="570"/>
      <c r="BK125" s="570"/>
      <c r="BL125" s="570"/>
    </row>
    <row r="126" spans="1:64" s="83" customFormat="1" x14ac:dyDescent="0.25">
      <c r="A126" s="82"/>
      <c r="B126" s="178" t="str">
        <f>B125</f>
        <v>TFLEHYD100</v>
      </c>
      <c r="C126" s="178"/>
      <c r="D126" s="179"/>
      <c r="E126" s="407" t="s">
        <v>185</v>
      </c>
      <c r="F126" s="182"/>
      <c r="G126" s="181"/>
      <c r="H126" s="182"/>
      <c r="I126" s="183"/>
      <c r="J126" s="184" t="str">
        <f>$J$59</f>
        <v>UP</v>
      </c>
      <c r="K126" s="184"/>
      <c r="L126" s="203" t="s">
        <v>101</v>
      </c>
      <c r="M126" s="184"/>
      <c r="N126" s="390">
        <f>1-N$29-N$28</f>
        <v>0.78</v>
      </c>
      <c r="O126" s="390">
        <f t="shared" ref="O126:AB126" si="123">1-O$29-O$28</f>
        <v>0.78</v>
      </c>
      <c r="P126" s="390">
        <f t="shared" si="123"/>
        <v>0.78</v>
      </c>
      <c r="Q126" s="390">
        <f t="shared" si="123"/>
        <v>0.78</v>
      </c>
      <c r="R126" s="390">
        <f t="shared" si="123"/>
        <v>0.78</v>
      </c>
      <c r="S126" s="390">
        <f t="shared" si="123"/>
        <v>0.78</v>
      </c>
      <c r="T126" s="390">
        <f t="shared" si="123"/>
        <v>0.78</v>
      </c>
      <c r="U126" s="390">
        <f t="shared" si="123"/>
        <v>0.78</v>
      </c>
      <c r="V126" s="390">
        <f t="shared" si="123"/>
        <v>0.78</v>
      </c>
      <c r="W126" s="390">
        <f t="shared" si="123"/>
        <v>0.78</v>
      </c>
      <c r="X126" s="390">
        <f t="shared" si="123"/>
        <v>0.78</v>
      </c>
      <c r="Y126" s="390">
        <f t="shared" si="123"/>
        <v>0.78</v>
      </c>
      <c r="Z126" s="390">
        <f t="shared" si="123"/>
        <v>0.78</v>
      </c>
      <c r="AA126" s="390">
        <f t="shared" si="123"/>
        <v>0.78</v>
      </c>
      <c r="AB126" s="390">
        <f t="shared" si="123"/>
        <v>0.78</v>
      </c>
      <c r="AD126" s="66" t="str">
        <f>IF(COUNTIF($AG$4:$AP$4,AD125)=1,"ok","MISSING")</f>
        <v>ok</v>
      </c>
      <c r="AV126" s="700" t="str">
        <f t="shared" si="121"/>
        <v>TRADST</v>
      </c>
      <c r="AW126" s="568">
        <f t="shared" si="122"/>
        <v>0</v>
      </c>
      <c r="AX126" s="570"/>
      <c r="AY126" s="570"/>
      <c r="AZ126" s="570"/>
      <c r="BA126" s="570"/>
      <c r="BB126" s="570"/>
      <c r="BC126" s="570"/>
      <c r="BD126" s="570"/>
      <c r="BE126" s="570"/>
      <c r="BF126" s="570"/>
      <c r="BG126" s="570"/>
      <c r="BH126" s="570"/>
      <c r="BI126" s="570"/>
      <c r="BJ126" s="570"/>
      <c r="BK126" s="570"/>
      <c r="BL126" s="570"/>
    </row>
    <row r="127" spans="1:64" s="83" customFormat="1" x14ac:dyDescent="0.25">
      <c r="A127" s="82"/>
      <c r="B127" s="178" t="str">
        <f t="shared" ref="B127" si="124">B126</f>
        <v>TFLEHYD100</v>
      </c>
      <c r="C127" s="178"/>
      <c r="D127" s="179"/>
      <c r="E127" s="407" t="s">
        <v>990</v>
      </c>
      <c r="F127" s="182"/>
      <c r="G127" s="181"/>
      <c r="H127" s="182"/>
      <c r="I127" s="183"/>
      <c r="J127" s="184" t="s">
        <v>1157</v>
      </c>
      <c r="K127" s="184"/>
      <c r="L127" s="203" t="s">
        <v>101</v>
      </c>
      <c r="M127" s="184"/>
      <c r="N127" s="690">
        <f>N$28</f>
        <v>7.0000000000000007E-2</v>
      </c>
      <c r="O127" s="690">
        <f t="shared" ref="O127:AB127" si="125">O$28</f>
        <v>7.0000000000000007E-2</v>
      </c>
      <c r="P127" s="690">
        <f t="shared" si="125"/>
        <v>7.0000000000000007E-2</v>
      </c>
      <c r="Q127" s="690">
        <f t="shared" si="125"/>
        <v>7.0000000000000007E-2</v>
      </c>
      <c r="R127" s="690">
        <f t="shared" si="125"/>
        <v>7.0000000000000007E-2</v>
      </c>
      <c r="S127" s="690">
        <f t="shared" si="125"/>
        <v>7.0000000000000007E-2</v>
      </c>
      <c r="T127" s="690">
        <f t="shared" si="125"/>
        <v>7.0000000000000007E-2</v>
      </c>
      <c r="U127" s="690">
        <f t="shared" si="125"/>
        <v>7.0000000000000007E-2</v>
      </c>
      <c r="V127" s="690">
        <f t="shared" si="125"/>
        <v>7.0000000000000007E-2</v>
      </c>
      <c r="W127" s="690">
        <f t="shared" si="125"/>
        <v>7.0000000000000007E-2</v>
      </c>
      <c r="X127" s="690">
        <f t="shared" si="125"/>
        <v>7.0000000000000007E-2</v>
      </c>
      <c r="Y127" s="690">
        <f t="shared" si="125"/>
        <v>7.0000000000000007E-2</v>
      </c>
      <c r="Z127" s="690">
        <f t="shared" si="125"/>
        <v>7.0000000000000007E-2</v>
      </c>
      <c r="AA127" s="690">
        <f t="shared" si="125"/>
        <v>7.0000000000000007E-2</v>
      </c>
      <c r="AB127" s="690">
        <f t="shared" si="125"/>
        <v>7.0000000000000007E-2</v>
      </c>
      <c r="AD127" s="408"/>
      <c r="AE127" s="357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V127" s="700" t="str">
        <f t="shared" si="121"/>
        <v>TRABDLM</v>
      </c>
      <c r="AW127" s="568">
        <f t="shared" si="122"/>
        <v>0</v>
      </c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</row>
    <row r="128" spans="1:64" s="83" customFormat="1" x14ac:dyDescent="0.25">
      <c r="A128" s="82"/>
      <c r="B128" s="178" t="str">
        <f>B126</f>
        <v>TFLEHYD100</v>
      </c>
      <c r="C128" s="178"/>
      <c r="D128" s="179"/>
      <c r="E128" s="178"/>
      <c r="F128" s="182"/>
      <c r="G128" s="173" t="s">
        <v>431</v>
      </c>
      <c r="H128" s="182"/>
      <c r="I128" s="183"/>
      <c r="J128" s="184"/>
      <c r="K128" s="184"/>
      <c r="L128" s="184" t="s">
        <v>1126</v>
      </c>
      <c r="M128" s="184" t="s">
        <v>678</v>
      </c>
      <c r="N128" s="676">
        <f>T_CEFF!H170</f>
        <v>0.53332999999999997</v>
      </c>
      <c r="O128" s="676">
        <f>T_CEFF!I170</f>
        <v>0.53332999999999997</v>
      </c>
      <c r="P128" s="676">
        <f>T_CEFF!J170</f>
        <v>0.53332999999999997</v>
      </c>
      <c r="Q128" s="676">
        <f>T_CEFF!K170</f>
        <v>0.53332999999999997</v>
      </c>
      <c r="R128" s="676">
        <f>T_CEFF!L170</f>
        <v>0.53332999999999997</v>
      </c>
      <c r="S128" s="676">
        <f>T_CEFF!M170</f>
        <v>0.53332999999999997</v>
      </c>
      <c r="T128" s="676">
        <f>T_CEFF!N170</f>
        <v>0.53332999999999997</v>
      </c>
      <c r="U128" s="676">
        <f>T_CEFF!O170</f>
        <v>0.53332999999999997</v>
      </c>
      <c r="V128" s="676">
        <f>T_CEFF!P170</f>
        <v>0.53332999999999997</v>
      </c>
      <c r="W128" s="676">
        <f>T_CEFF!Q170</f>
        <v>0.53332999999999997</v>
      </c>
      <c r="X128" s="676">
        <f>T_CEFF!R170</f>
        <v>0.53332999999999997</v>
      </c>
      <c r="Y128" s="676">
        <f>T_CEFF!S170</f>
        <v>0.53332999999999997</v>
      </c>
      <c r="Z128" s="676">
        <f>T_CEFF!T170</f>
        <v>0.53332999999999997</v>
      </c>
      <c r="AA128" s="676">
        <f>T_CEFF!U170</f>
        <v>0.53332999999999997</v>
      </c>
      <c r="AB128" s="676">
        <f>T_CEFF!V170</f>
        <v>0.53332999999999997</v>
      </c>
      <c r="AV128" s="700" t="str">
        <f t="shared" si="121"/>
        <v/>
      </c>
      <c r="AW128" s="568"/>
    </row>
    <row r="129" spans="1:64" s="83" customFormat="1" x14ac:dyDescent="0.25">
      <c r="A129" s="82"/>
      <c r="B129" s="178" t="str">
        <f>B128</f>
        <v>TFLEHYD100</v>
      </c>
      <c r="C129" s="178"/>
      <c r="D129" s="179"/>
      <c r="E129" s="178"/>
      <c r="F129" s="182"/>
      <c r="G129" s="173" t="s">
        <v>429</v>
      </c>
      <c r="H129" s="182"/>
      <c r="I129" s="183"/>
      <c r="J129" s="184"/>
      <c r="K129" s="184"/>
      <c r="L129" s="184" t="s">
        <v>1126</v>
      </c>
      <c r="M129" s="184" t="s">
        <v>678</v>
      </c>
      <c r="N129" s="676">
        <f>T_CEFF!H171</f>
        <v>0.47059000000000001</v>
      </c>
      <c r="O129" s="676">
        <f>T_CEFF!I171</f>
        <v>0.47059000000000001</v>
      </c>
      <c r="P129" s="676">
        <f>T_CEFF!J171</f>
        <v>0.47059000000000001</v>
      </c>
      <c r="Q129" s="676">
        <f>T_CEFF!K171</f>
        <v>0.47059000000000001</v>
      </c>
      <c r="R129" s="676">
        <f>T_CEFF!L171</f>
        <v>0.47059000000000001</v>
      </c>
      <c r="S129" s="676">
        <f>T_CEFF!M171</f>
        <v>0.47059000000000001</v>
      </c>
      <c r="T129" s="676">
        <f>T_CEFF!N171</f>
        <v>0.47059000000000001</v>
      </c>
      <c r="U129" s="676">
        <f>T_CEFF!O171</f>
        <v>0.47059000000000001</v>
      </c>
      <c r="V129" s="676">
        <f>T_CEFF!P171</f>
        <v>0.47059000000000001</v>
      </c>
      <c r="W129" s="676">
        <f>T_CEFF!Q171</f>
        <v>0.47059000000000001</v>
      </c>
      <c r="X129" s="676">
        <f>T_CEFF!R171</f>
        <v>0.47059000000000001</v>
      </c>
      <c r="Y129" s="676">
        <f>T_CEFF!S171</f>
        <v>0.47059000000000001</v>
      </c>
      <c r="Z129" s="676">
        <f>T_CEFF!T171</f>
        <v>0.47059000000000001</v>
      </c>
      <c r="AA129" s="676">
        <f>T_CEFF!U171</f>
        <v>0.47059000000000001</v>
      </c>
      <c r="AB129" s="676">
        <f>T_CEFF!V171</f>
        <v>0.47059000000000001</v>
      </c>
    </row>
    <row r="130" spans="1:64" s="83" customFormat="1" x14ac:dyDescent="0.25">
      <c r="A130" s="82"/>
      <c r="B130" s="178" t="str">
        <f t="shared" ref="B130:B138" si="126">B129</f>
        <v>TFLEHYD100</v>
      </c>
      <c r="C130" s="178"/>
      <c r="D130" s="179"/>
      <c r="E130" s="178"/>
      <c r="F130" s="182"/>
      <c r="G130" s="181"/>
      <c r="H130" s="182"/>
      <c r="I130" s="183"/>
      <c r="J130" s="184"/>
      <c r="K130" s="184" t="s">
        <v>749</v>
      </c>
      <c r="L130" s="184" t="s">
        <v>1128</v>
      </c>
      <c r="M130" s="184" t="s">
        <v>1175</v>
      </c>
      <c r="N130" s="388">
        <f t="shared" ref="N130:AB130" si="127">N$23</f>
        <v>0.76</v>
      </c>
      <c r="O130" s="388">
        <f t="shared" si="127"/>
        <v>0</v>
      </c>
      <c r="P130" s="388">
        <f t="shared" si="127"/>
        <v>0</v>
      </c>
      <c r="Q130" s="388">
        <f t="shared" si="127"/>
        <v>0</v>
      </c>
      <c r="R130" s="388">
        <f t="shared" si="127"/>
        <v>0</v>
      </c>
      <c r="S130" s="388">
        <f t="shared" si="127"/>
        <v>0</v>
      </c>
      <c r="T130" s="388">
        <f t="shared" si="127"/>
        <v>0</v>
      </c>
      <c r="U130" s="388">
        <f t="shared" si="127"/>
        <v>0</v>
      </c>
      <c r="V130" s="388">
        <f t="shared" si="127"/>
        <v>0</v>
      </c>
      <c r="W130" s="388">
        <f t="shared" si="127"/>
        <v>0</v>
      </c>
      <c r="X130" s="388">
        <f t="shared" si="127"/>
        <v>0</v>
      </c>
      <c r="Y130" s="388">
        <f t="shared" si="127"/>
        <v>0</v>
      </c>
      <c r="Z130" s="388">
        <f t="shared" si="127"/>
        <v>0</v>
      </c>
      <c r="AA130" s="388">
        <f t="shared" si="127"/>
        <v>0</v>
      </c>
      <c r="AB130" s="388">
        <f t="shared" si="127"/>
        <v>0</v>
      </c>
    </row>
    <row r="131" spans="1:64" s="83" customFormat="1" x14ac:dyDescent="0.25">
      <c r="A131" s="82"/>
      <c r="B131" s="178" t="str">
        <f t="shared" si="126"/>
        <v>TFLEHYD100</v>
      </c>
      <c r="C131" s="178"/>
      <c r="D131" s="179"/>
      <c r="E131" s="178"/>
      <c r="F131" s="182"/>
      <c r="G131" s="181"/>
      <c r="H131" s="182"/>
      <c r="I131" s="183"/>
      <c r="J131" s="184"/>
      <c r="K131" s="184"/>
      <c r="L131" s="203" t="s">
        <v>1130</v>
      </c>
      <c r="M131" s="184" t="s">
        <v>1131</v>
      </c>
      <c r="N131" s="397">
        <f>LOOKUP($C$125, T_NCAP_AF!$C$125:$C$135, T_NCAP_AF!D$125:D$135)*(1+N40)</f>
        <v>14.959466820000001</v>
      </c>
      <c r="O131" s="397">
        <f>LOOKUP($C$125, T_NCAP_AF!$C$125:$C$135, T_NCAP_AF!E$125:E$135)*(1+O40)</f>
        <v>0</v>
      </c>
      <c r="P131" s="397">
        <f>LOOKUP($C$125, T_NCAP_AF!$C$125:$C$135, T_NCAP_AF!F$125:F$135)*(1+P40)</f>
        <v>0</v>
      </c>
      <c r="Q131" s="397">
        <f>LOOKUP($C$125, T_NCAP_AF!$C$125:$C$135, T_NCAP_AF!G$125:G$135)*(1+Q40)</f>
        <v>0</v>
      </c>
      <c r="R131" s="397">
        <f>LOOKUP($C$125, T_NCAP_AF!$C$125:$C$135, T_NCAP_AF!H$125:H$135)*(1+R40)</f>
        <v>0</v>
      </c>
      <c r="S131" s="397">
        <f>LOOKUP($C$125, T_NCAP_AF!$C$125:$C$135, T_NCAP_AF!I$125:I$135)*(1+S40)</f>
        <v>0</v>
      </c>
      <c r="T131" s="397">
        <f>LOOKUP($C$125, T_NCAP_AF!$C$125:$C$135, T_NCAP_AF!J$125:J$135)*(1+T40)</f>
        <v>0</v>
      </c>
      <c r="U131" s="397">
        <f>LOOKUP($C$125, T_NCAP_AF!$C$125:$C$135, T_NCAP_AF!K$125:K$135)*(1+U40)</f>
        <v>0</v>
      </c>
      <c r="V131" s="397">
        <f>LOOKUP($C$125, T_NCAP_AF!$C$125:$C$135, T_NCAP_AF!L$125:L$135)*(1+V40)</f>
        <v>0</v>
      </c>
      <c r="W131" s="397">
        <f>LOOKUP($C$125, T_NCAP_AF!$C$125:$C$135, T_NCAP_AF!M$125:M$135)*(1+W40)</f>
        <v>0</v>
      </c>
      <c r="X131" s="397">
        <f>LOOKUP($C$125, T_NCAP_AF!$C$125:$C$135, T_NCAP_AF!N$125:N$135)*(1+X40)</f>
        <v>0</v>
      </c>
      <c r="Y131" s="397">
        <f>LOOKUP($C$125, T_NCAP_AF!$C$125:$C$135, T_NCAP_AF!O$125:O$135)*(1+Y40)</f>
        <v>0</v>
      </c>
      <c r="Z131" s="397">
        <f>LOOKUP($C$125, T_NCAP_AF!$C$125:$C$135, T_NCAP_AF!P$125:P$135)*(1+Z40)</f>
        <v>0</v>
      </c>
      <c r="AA131" s="397">
        <f>LOOKUP($C$125, T_NCAP_AF!$C$125:$C$135, T_NCAP_AF!Q$125:Q$135)*(1+AA40)</f>
        <v>0</v>
      </c>
      <c r="AB131" s="397">
        <f>LOOKUP($C$125, T_NCAP_AF!$C$125:$C$135, T_NCAP_AF!R$125:R$135)*(1+AB40)</f>
        <v>0</v>
      </c>
      <c r="AE131" s="572">
        <f>SUM(AF131:AT131)</f>
        <v>0</v>
      </c>
      <c r="AF131" s="85">
        <f t="shared" ref="AF131:AT131" si="128">N130*N131*N132/1000</f>
        <v>0</v>
      </c>
      <c r="AG131" s="85">
        <f t="shared" si="128"/>
        <v>0</v>
      </c>
      <c r="AH131" s="85">
        <f t="shared" si="128"/>
        <v>0</v>
      </c>
      <c r="AI131" s="85">
        <f t="shared" si="128"/>
        <v>0</v>
      </c>
      <c r="AJ131" s="85">
        <f t="shared" si="128"/>
        <v>0</v>
      </c>
      <c r="AK131" s="85">
        <f t="shared" si="128"/>
        <v>0</v>
      </c>
      <c r="AL131" s="85">
        <f t="shared" si="128"/>
        <v>0</v>
      </c>
      <c r="AM131" s="85">
        <f t="shared" si="128"/>
        <v>0</v>
      </c>
      <c r="AN131" s="85">
        <f t="shared" si="128"/>
        <v>0</v>
      </c>
      <c r="AO131" s="85">
        <f t="shared" si="128"/>
        <v>0</v>
      </c>
      <c r="AP131" s="85">
        <f t="shared" si="128"/>
        <v>0</v>
      </c>
      <c r="AQ131" s="85">
        <f t="shared" si="128"/>
        <v>0</v>
      </c>
      <c r="AR131" s="85">
        <f t="shared" si="128"/>
        <v>0</v>
      </c>
      <c r="AS131" s="85">
        <f t="shared" si="128"/>
        <v>0</v>
      </c>
      <c r="AT131" s="85">
        <f t="shared" si="128"/>
        <v>0</v>
      </c>
    </row>
    <row r="132" spans="1:64" s="83" customFormat="1" x14ac:dyDescent="0.25">
      <c r="A132" s="82"/>
      <c r="B132" s="178" t="str">
        <f t="shared" si="126"/>
        <v>TFLEHYD100</v>
      </c>
      <c r="C132" s="178"/>
      <c r="D132" s="179"/>
      <c r="E132" s="178"/>
      <c r="F132" s="182"/>
      <c r="G132" s="181"/>
      <c r="H132" s="182"/>
      <c r="I132" s="183">
        <f>$M$3</f>
        <v>2019</v>
      </c>
      <c r="J132" s="184"/>
      <c r="K132" s="184"/>
      <c r="L132" s="203" t="s">
        <v>1065</v>
      </c>
      <c r="M132" s="184" t="s">
        <v>748</v>
      </c>
      <c r="N132" s="694">
        <f>LOOKUP($C$125, T_Stock_Private!$C$90:$C$100, T_Stock_Private!D$90:D$100)*(1+N41)</f>
        <v>0</v>
      </c>
      <c r="O132" s="694">
        <f>LOOKUP($C$125, T_Stock_Private!$C$90:$C$100, T_Stock_Private!E$90:E$100)*(1+O41)</f>
        <v>0</v>
      </c>
      <c r="P132" s="694">
        <f>LOOKUP($C$125, T_Stock_Private!$C$90:$C$100, T_Stock_Private!F$90:F$100)*(1+P41)</f>
        <v>0</v>
      </c>
      <c r="Q132" s="694">
        <f>LOOKUP($C$125, T_Stock_Private!$C$90:$C$100, T_Stock_Private!G$90:G$100)*(1+Q41)</f>
        <v>0</v>
      </c>
      <c r="R132" s="694">
        <f>LOOKUP($C$125, T_Stock_Private!$C$90:$C$100, T_Stock_Private!H$90:H$100)*(1+R41)</f>
        <v>0</v>
      </c>
      <c r="S132" s="694">
        <f>LOOKUP($C$125, T_Stock_Private!$C$90:$C$100, T_Stock_Private!I$90:I$100)*(1+S41)</f>
        <v>0</v>
      </c>
      <c r="T132" s="694">
        <f>LOOKUP($C$125, T_Stock_Private!$C$90:$C$100, T_Stock_Private!J$90:J$100)*(1+T41)</f>
        <v>0</v>
      </c>
      <c r="U132" s="694">
        <f>LOOKUP($C$125, T_Stock_Private!$C$90:$C$100, T_Stock_Private!K$90:K$100)*(1+U41)</f>
        <v>0</v>
      </c>
      <c r="V132" s="694">
        <f>LOOKUP($C$125, T_Stock_Private!$C$90:$C$100, T_Stock_Private!L$90:L$100)*(1+V41)</f>
        <v>0</v>
      </c>
      <c r="W132" s="694">
        <f>LOOKUP($C$125, T_Stock_Private!$C$90:$C$100, T_Stock_Private!M$90:M$100)*(1+W41)</f>
        <v>0</v>
      </c>
      <c r="X132" s="694">
        <f>LOOKUP($C$125, T_Stock_Private!$C$90:$C$100, T_Stock_Private!N$90:N$100)*(1+X41)</f>
        <v>0</v>
      </c>
      <c r="Y132" s="694">
        <f>LOOKUP($C$125, T_Stock_Private!$C$90:$C$100, T_Stock_Private!O$90:O$100)*(1+Y41)</f>
        <v>0</v>
      </c>
      <c r="Z132" s="694">
        <f>LOOKUP($C$125, T_Stock_Private!$C$90:$C$100, T_Stock_Private!P$90:P$100)*(1+Z41)</f>
        <v>0</v>
      </c>
      <c r="AA132" s="694">
        <f>LOOKUP($C$125, T_Stock_Private!$C$90:$C$100, T_Stock_Private!Q$90:Q$100)*(1+AA41)</f>
        <v>0</v>
      </c>
      <c r="AB132" s="694">
        <f>LOOKUP($C$125, T_Stock_Private!$C$90:$C$100, T_Stock_Private!R$90:R$100)*(1+AB41)</f>
        <v>0</v>
      </c>
      <c r="AC132" s="89"/>
      <c r="AD132" s="35"/>
    </row>
    <row r="133" spans="1:64" s="83" customFormat="1" x14ac:dyDescent="0.25">
      <c r="A133" s="82"/>
      <c r="B133" s="178" t="str">
        <f t="shared" si="126"/>
        <v>TFLEHYD100</v>
      </c>
      <c r="C133" s="178"/>
      <c r="D133" s="179"/>
      <c r="E133" s="178"/>
      <c r="F133" s="182"/>
      <c r="G133" s="181"/>
      <c r="H133" s="182"/>
      <c r="I133" s="183">
        <f>AF$5</f>
        <v>2020</v>
      </c>
      <c r="J133" s="184"/>
      <c r="K133" s="184"/>
      <c r="L133" s="203" t="s">
        <v>1065</v>
      </c>
      <c r="M133" s="184" t="s">
        <v>748</v>
      </c>
      <c r="N133" s="694">
        <f t="shared" ref="N133:AB133" si="129">N132*LOOKUP($AD125,$AG$4:$AP$4,$AG$5:$AP$5)</f>
        <v>0</v>
      </c>
      <c r="O133" s="694">
        <f t="shared" si="129"/>
        <v>0</v>
      </c>
      <c r="P133" s="694">
        <f t="shared" si="129"/>
        <v>0</v>
      </c>
      <c r="Q133" s="694">
        <f t="shared" si="129"/>
        <v>0</v>
      </c>
      <c r="R133" s="694">
        <f t="shared" si="129"/>
        <v>0</v>
      </c>
      <c r="S133" s="694">
        <f t="shared" si="129"/>
        <v>0</v>
      </c>
      <c r="T133" s="694">
        <f t="shared" si="129"/>
        <v>0</v>
      </c>
      <c r="U133" s="694">
        <f t="shared" si="129"/>
        <v>0</v>
      </c>
      <c r="V133" s="694">
        <f t="shared" si="129"/>
        <v>0</v>
      </c>
      <c r="W133" s="694">
        <f t="shared" si="129"/>
        <v>0</v>
      </c>
      <c r="X133" s="694">
        <f t="shared" si="129"/>
        <v>0</v>
      </c>
      <c r="Y133" s="694">
        <f t="shared" si="129"/>
        <v>0</v>
      </c>
      <c r="Z133" s="694">
        <f t="shared" si="129"/>
        <v>0</v>
      </c>
      <c r="AA133" s="694">
        <f t="shared" si="129"/>
        <v>0</v>
      </c>
      <c r="AB133" s="694">
        <f t="shared" si="129"/>
        <v>0</v>
      </c>
      <c r="AD133" s="35"/>
    </row>
    <row r="134" spans="1:64" s="83" customFormat="1" x14ac:dyDescent="0.25">
      <c r="A134" s="82"/>
      <c r="B134" s="178" t="str">
        <f t="shared" si="126"/>
        <v>TFLEHYD100</v>
      </c>
      <c r="C134" s="178"/>
      <c r="D134" s="179"/>
      <c r="E134" s="178"/>
      <c r="F134" s="182"/>
      <c r="G134" s="181"/>
      <c r="H134" s="182"/>
      <c r="I134" s="183">
        <f>AF$6</f>
        <v>2025</v>
      </c>
      <c r="J134" s="184"/>
      <c r="K134" s="184"/>
      <c r="L134" s="203" t="s">
        <v>1065</v>
      </c>
      <c r="M134" s="184" t="s">
        <v>748</v>
      </c>
      <c r="N134" s="694">
        <f t="shared" ref="N134:AB134" si="130">N132*LOOKUP($AD125,$AG$4:$AP$4,$AG$6:$AP$6)</f>
        <v>0</v>
      </c>
      <c r="O134" s="694">
        <f t="shared" si="130"/>
        <v>0</v>
      </c>
      <c r="P134" s="694">
        <f t="shared" si="130"/>
        <v>0</v>
      </c>
      <c r="Q134" s="694">
        <f t="shared" si="130"/>
        <v>0</v>
      </c>
      <c r="R134" s="694">
        <f t="shared" si="130"/>
        <v>0</v>
      </c>
      <c r="S134" s="694">
        <f t="shared" si="130"/>
        <v>0</v>
      </c>
      <c r="T134" s="694">
        <f t="shared" si="130"/>
        <v>0</v>
      </c>
      <c r="U134" s="694">
        <f t="shared" si="130"/>
        <v>0</v>
      </c>
      <c r="V134" s="694">
        <f t="shared" si="130"/>
        <v>0</v>
      </c>
      <c r="W134" s="694">
        <f t="shared" si="130"/>
        <v>0</v>
      </c>
      <c r="X134" s="694">
        <f t="shared" si="130"/>
        <v>0</v>
      </c>
      <c r="Y134" s="694">
        <f t="shared" si="130"/>
        <v>0</v>
      </c>
      <c r="Z134" s="694">
        <f t="shared" si="130"/>
        <v>0</v>
      </c>
      <c r="AA134" s="694">
        <f t="shared" si="130"/>
        <v>0</v>
      </c>
      <c r="AB134" s="694">
        <f t="shared" si="130"/>
        <v>0</v>
      </c>
      <c r="AD134" s="35"/>
    </row>
    <row r="135" spans="1:64" s="83" customFormat="1" x14ac:dyDescent="0.25">
      <c r="A135" s="82"/>
      <c r="B135" s="178" t="str">
        <f t="shared" si="126"/>
        <v>TFLEHYD100</v>
      </c>
      <c r="C135" s="178"/>
      <c r="D135" s="179"/>
      <c r="E135" s="178"/>
      <c r="F135" s="182"/>
      <c r="G135" s="181"/>
      <c r="H135" s="182"/>
      <c r="I135" s="183">
        <f>AF$7</f>
        <v>2030</v>
      </c>
      <c r="J135" s="184"/>
      <c r="K135" s="184"/>
      <c r="L135" s="203" t="s">
        <v>1065</v>
      </c>
      <c r="M135" s="184" t="s">
        <v>748</v>
      </c>
      <c r="N135" s="694">
        <f t="shared" ref="N135:AB135" si="131">N132*LOOKUP($AD125,$AG$4:$AP$4,$AG$7:$AP$7)</f>
        <v>0</v>
      </c>
      <c r="O135" s="694">
        <f t="shared" si="131"/>
        <v>0</v>
      </c>
      <c r="P135" s="694">
        <f t="shared" si="131"/>
        <v>0</v>
      </c>
      <c r="Q135" s="694">
        <f t="shared" si="131"/>
        <v>0</v>
      </c>
      <c r="R135" s="694">
        <f t="shared" si="131"/>
        <v>0</v>
      </c>
      <c r="S135" s="694">
        <f t="shared" si="131"/>
        <v>0</v>
      </c>
      <c r="T135" s="694">
        <f t="shared" si="131"/>
        <v>0</v>
      </c>
      <c r="U135" s="694">
        <f t="shared" si="131"/>
        <v>0</v>
      </c>
      <c r="V135" s="694">
        <f t="shared" si="131"/>
        <v>0</v>
      </c>
      <c r="W135" s="694">
        <f t="shared" si="131"/>
        <v>0</v>
      </c>
      <c r="X135" s="694">
        <f t="shared" si="131"/>
        <v>0</v>
      </c>
      <c r="Y135" s="694">
        <f t="shared" si="131"/>
        <v>0</v>
      </c>
      <c r="Z135" s="694">
        <f t="shared" si="131"/>
        <v>0</v>
      </c>
      <c r="AA135" s="694">
        <f t="shared" si="131"/>
        <v>0</v>
      </c>
      <c r="AB135" s="694">
        <f t="shared" si="131"/>
        <v>0</v>
      </c>
      <c r="AD135" s="35"/>
    </row>
    <row r="136" spans="1:64" s="83" customFormat="1" x14ac:dyDescent="0.25">
      <c r="A136" s="82"/>
      <c r="B136" s="178" t="str">
        <f t="shared" si="126"/>
        <v>TFLEHYD100</v>
      </c>
      <c r="C136" s="178"/>
      <c r="D136" s="179"/>
      <c r="E136" s="178"/>
      <c r="F136" s="182"/>
      <c r="G136" s="181"/>
      <c r="H136" s="182"/>
      <c r="I136" s="183">
        <f>AF$8</f>
        <v>2035</v>
      </c>
      <c r="J136" s="184"/>
      <c r="K136" s="184"/>
      <c r="L136" s="203" t="s">
        <v>1065</v>
      </c>
      <c r="M136" s="184" t="s">
        <v>748</v>
      </c>
      <c r="N136" s="694">
        <f t="shared" ref="N136:AB136" si="132">N132*LOOKUP($AD125,$AG$4:$AP$4,$AG$8:$AP$8)</f>
        <v>0</v>
      </c>
      <c r="O136" s="694">
        <f t="shared" si="132"/>
        <v>0</v>
      </c>
      <c r="P136" s="694">
        <f t="shared" si="132"/>
        <v>0</v>
      </c>
      <c r="Q136" s="694">
        <f t="shared" si="132"/>
        <v>0</v>
      </c>
      <c r="R136" s="694">
        <f t="shared" si="132"/>
        <v>0</v>
      </c>
      <c r="S136" s="694">
        <f t="shared" si="132"/>
        <v>0</v>
      </c>
      <c r="T136" s="694">
        <f t="shared" si="132"/>
        <v>0</v>
      </c>
      <c r="U136" s="694">
        <f t="shared" si="132"/>
        <v>0</v>
      </c>
      <c r="V136" s="694">
        <f t="shared" si="132"/>
        <v>0</v>
      </c>
      <c r="W136" s="694">
        <f t="shared" si="132"/>
        <v>0</v>
      </c>
      <c r="X136" s="694">
        <f t="shared" si="132"/>
        <v>0</v>
      </c>
      <c r="Y136" s="694">
        <f t="shared" si="132"/>
        <v>0</v>
      </c>
      <c r="Z136" s="694">
        <f t="shared" si="132"/>
        <v>0</v>
      </c>
      <c r="AA136" s="694">
        <f t="shared" si="132"/>
        <v>0</v>
      </c>
      <c r="AB136" s="694">
        <f t="shared" si="132"/>
        <v>0</v>
      </c>
      <c r="AD136" s="35"/>
    </row>
    <row r="137" spans="1:64" s="83" customFormat="1" x14ac:dyDescent="0.25">
      <c r="A137" s="82"/>
      <c r="B137" s="178" t="str">
        <f t="shared" si="126"/>
        <v>TFLEHYD100</v>
      </c>
      <c r="C137" s="178"/>
      <c r="D137" s="179"/>
      <c r="E137" s="178"/>
      <c r="F137" s="182"/>
      <c r="G137" s="181"/>
      <c r="H137" s="182"/>
      <c r="I137" s="183">
        <f>AF$9</f>
        <v>2040</v>
      </c>
      <c r="J137" s="184"/>
      <c r="K137" s="184"/>
      <c r="L137" s="203" t="s">
        <v>1065</v>
      </c>
      <c r="M137" s="184" t="s">
        <v>748</v>
      </c>
      <c r="N137" s="694">
        <f t="shared" ref="N137:AB137" si="133">N132*LOOKUP($AD125,$AG$4:$AP$4,$AG$9:$AP$9)</f>
        <v>0</v>
      </c>
      <c r="O137" s="694">
        <f t="shared" si="133"/>
        <v>0</v>
      </c>
      <c r="P137" s="694">
        <f t="shared" si="133"/>
        <v>0</v>
      </c>
      <c r="Q137" s="694">
        <f t="shared" si="133"/>
        <v>0</v>
      </c>
      <c r="R137" s="694">
        <f t="shared" si="133"/>
        <v>0</v>
      </c>
      <c r="S137" s="694">
        <f t="shared" si="133"/>
        <v>0</v>
      </c>
      <c r="T137" s="694">
        <f t="shared" si="133"/>
        <v>0</v>
      </c>
      <c r="U137" s="694">
        <f t="shared" si="133"/>
        <v>0</v>
      </c>
      <c r="V137" s="694">
        <f t="shared" si="133"/>
        <v>0</v>
      </c>
      <c r="W137" s="694">
        <f t="shared" si="133"/>
        <v>0</v>
      </c>
      <c r="X137" s="694">
        <f t="shared" si="133"/>
        <v>0</v>
      </c>
      <c r="Y137" s="694">
        <f t="shared" si="133"/>
        <v>0</v>
      </c>
      <c r="Z137" s="694">
        <f t="shared" si="133"/>
        <v>0</v>
      </c>
      <c r="AA137" s="694">
        <f t="shared" si="133"/>
        <v>0</v>
      </c>
      <c r="AB137" s="694">
        <f t="shared" si="133"/>
        <v>0</v>
      </c>
      <c r="AD137" s="35"/>
    </row>
    <row r="138" spans="1:64" s="83" customFormat="1" x14ac:dyDescent="0.25">
      <c r="A138" s="82"/>
      <c r="B138" s="204" t="str">
        <f t="shared" si="126"/>
        <v>TFLEHYD100</v>
      </c>
      <c r="C138" s="204"/>
      <c r="D138" s="205"/>
      <c r="E138" s="204"/>
      <c r="F138" s="206"/>
      <c r="G138" s="207"/>
      <c r="H138" s="206"/>
      <c r="I138" s="208">
        <f>AF$10</f>
        <v>2050</v>
      </c>
      <c r="J138" s="209"/>
      <c r="K138" s="209"/>
      <c r="L138" s="210" t="s">
        <v>1065</v>
      </c>
      <c r="M138" s="209" t="s">
        <v>748</v>
      </c>
      <c r="N138" s="695">
        <f t="shared" ref="N138:AB138" si="134">N132*LOOKUP($AD125,$AG$4:$AP$4,$AG$10:$AP$10)</f>
        <v>0</v>
      </c>
      <c r="O138" s="695">
        <f t="shared" si="134"/>
        <v>0</v>
      </c>
      <c r="P138" s="695">
        <f t="shared" si="134"/>
        <v>0</v>
      </c>
      <c r="Q138" s="695">
        <f t="shared" si="134"/>
        <v>0</v>
      </c>
      <c r="R138" s="695">
        <f t="shared" si="134"/>
        <v>0</v>
      </c>
      <c r="S138" s="695">
        <f t="shared" si="134"/>
        <v>0</v>
      </c>
      <c r="T138" s="695">
        <f t="shared" si="134"/>
        <v>0</v>
      </c>
      <c r="U138" s="695">
        <f t="shared" si="134"/>
        <v>0</v>
      </c>
      <c r="V138" s="695">
        <f t="shared" si="134"/>
        <v>0</v>
      </c>
      <c r="W138" s="695">
        <f t="shared" si="134"/>
        <v>0</v>
      </c>
      <c r="X138" s="695">
        <f t="shared" si="134"/>
        <v>0</v>
      </c>
      <c r="Y138" s="695">
        <f t="shared" si="134"/>
        <v>0</v>
      </c>
      <c r="Z138" s="695">
        <f t="shared" si="134"/>
        <v>0</v>
      </c>
      <c r="AA138" s="695">
        <f t="shared" si="134"/>
        <v>0</v>
      </c>
      <c r="AB138" s="695">
        <f t="shared" si="134"/>
        <v>0</v>
      </c>
    </row>
    <row r="139" spans="1:64" s="83" customFormat="1" x14ac:dyDescent="0.25">
      <c r="A139" s="82"/>
      <c r="B139" s="178" t="str">
        <f>C139</f>
        <v>TFLEHYG100</v>
      </c>
      <c r="C139" s="178" t="s">
        <v>354</v>
      </c>
      <c r="D139" s="179" t="s">
        <v>818</v>
      </c>
      <c r="E139" s="407" t="s">
        <v>1014</v>
      </c>
      <c r="F139" s="182"/>
      <c r="G139" s="181"/>
      <c r="H139" s="182"/>
      <c r="I139" s="183"/>
      <c r="J139" s="184"/>
      <c r="K139" s="184"/>
      <c r="L139" s="203" t="s">
        <v>1107</v>
      </c>
      <c r="M139" s="184" t="s">
        <v>1125</v>
      </c>
      <c r="N139" s="378">
        <f>N$58</f>
        <v>1E-3</v>
      </c>
      <c r="O139" s="378">
        <f t="shared" ref="O139:AB139" si="135">$N139</f>
        <v>1E-3</v>
      </c>
      <c r="P139" s="378">
        <f t="shared" si="135"/>
        <v>1E-3</v>
      </c>
      <c r="Q139" s="378">
        <f t="shared" si="135"/>
        <v>1E-3</v>
      </c>
      <c r="R139" s="378">
        <f t="shared" si="135"/>
        <v>1E-3</v>
      </c>
      <c r="S139" s="378">
        <f t="shared" si="135"/>
        <v>1E-3</v>
      </c>
      <c r="T139" s="378">
        <f t="shared" si="135"/>
        <v>1E-3</v>
      </c>
      <c r="U139" s="378">
        <f t="shared" si="135"/>
        <v>1E-3</v>
      </c>
      <c r="V139" s="378">
        <f t="shared" si="135"/>
        <v>1E-3</v>
      </c>
      <c r="W139" s="378">
        <f t="shared" si="135"/>
        <v>1E-3</v>
      </c>
      <c r="X139" s="378">
        <f t="shared" si="135"/>
        <v>1E-3</v>
      </c>
      <c r="Y139" s="378">
        <f t="shared" si="135"/>
        <v>1E-3</v>
      </c>
      <c r="Z139" s="378">
        <f t="shared" si="135"/>
        <v>1E-3</v>
      </c>
      <c r="AA139" s="378">
        <f t="shared" si="135"/>
        <v>1E-3</v>
      </c>
      <c r="AB139" s="378">
        <f t="shared" si="135"/>
        <v>1E-3</v>
      </c>
      <c r="AD139" s="410" t="str">
        <f>MID(D139,13,3)</f>
        <v>Hyb</v>
      </c>
      <c r="AV139" s="700" t="str">
        <f t="shared" ref="AV139:AV142" si="136">MID(E139,1,7)</f>
        <v>TRAGSL</v>
      </c>
      <c r="AW139" s="568">
        <f t="shared" ref="AW139:AW141" si="137">SUM(AX139:BL139)</f>
        <v>0</v>
      </c>
    </row>
    <row r="140" spans="1:64" s="83" customFormat="1" x14ac:dyDescent="0.25">
      <c r="A140" s="82"/>
      <c r="B140" s="178" t="str">
        <f>B139</f>
        <v>TFLEHYG100</v>
      </c>
      <c r="C140" s="178"/>
      <c r="D140" s="179"/>
      <c r="E140" s="407" t="s">
        <v>1012</v>
      </c>
      <c r="F140" s="182"/>
      <c r="G140" s="181"/>
      <c r="H140" s="182"/>
      <c r="I140" s="183"/>
      <c r="J140" s="184" t="s">
        <v>1127</v>
      </c>
      <c r="K140" s="184"/>
      <c r="L140" s="203" t="s">
        <v>101</v>
      </c>
      <c r="M140" s="184"/>
      <c r="N140" s="390">
        <f>N$30</f>
        <v>0.03</v>
      </c>
      <c r="O140" s="390">
        <f t="shared" ref="O140:AB140" si="138">O$30</f>
        <v>0.03</v>
      </c>
      <c r="P140" s="390">
        <f t="shared" si="138"/>
        <v>0.03</v>
      </c>
      <c r="Q140" s="390">
        <f t="shared" si="138"/>
        <v>0.03</v>
      </c>
      <c r="R140" s="390">
        <f t="shared" si="138"/>
        <v>0.03</v>
      </c>
      <c r="S140" s="390">
        <f t="shared" si="138"/>
        <v>0.03</v>
      </c>
      <c r="T140" s="390">
        <f t="shared" si="138"/>
        <v>0.03</v>
      </c>
      <c r="U140" s="390">
        <f t="shared" si="138"/>
        <v>0.03</v>
      </c>
      <c r="V140" s="390">
        <f t="shared" si="138"/>
        <v>0.03</v>
      </c>
      <c r="W140" s="390">
        <f t="shared" si="138"/>
        <v>0.03</v>
      </c>
      <c r="X140" s="390">
        <f t="shared" si="138"/>
        <v>0.03</v>
      </c>
      <c r="Y140" s="390">
        <f t="shared" si="138"/>
        <v>0.03</v>
      </c>
      <c r="Z140" s="390">
        <f t="shared" si="138"/>
        <v>0.03</v>
      </c>
      <c r="AA140" s="390">
        <f t="shared" si="138"/>
        <v>0.03</v>
      </c>
      <c r="AB140" s="390">
        <f t="shared" si="138"/>
        <v>0.03</v>
      </c>
      <c r="AD140" s="66" t="str">
        <f>IF(COUNTIF($AG$4:$AP$4,AD139)=1,"ok","MISSING")</f>
        <v>ok</v>
      </c>
      <c r="AV140" s="700" t="str">
        <f t="shared" si="136"/>
        <v>TRAETHM</v>
      </c>
      <c r="AW140" s="568">
        <f t="shared" si="137"/>
        <v>0</v>
      </c>
    </row>
    <row r="141" spans="1:64" s="83" customFormat="1" x14ac:dyDescent="0.25">
      <c r="A141" s="82"/>
      <c r="B141" s="178" t="str">
        <f t="shared" ref="B141" si="139">B140</f>
        <v>TFLEHYG100</v>
      </c>
      <c r="C141" s="178"/>
      <c r="D141" s="179"/>
      <c r="E141" s="407" t="s">
        <v>996</v>
      </c>
      <c r="F141" s="182"/>
      <c r="G141" s="181"/>
      <c r="H141" s="182"/>
      <c r="I141" s="183"/>
      <c r="J141" s="184" t="s">
        <v>1157</v>
      </c>
      <c r="K141" s="184"/>
      <c r="L141" s="203" t="s">
        <v>101</v>
      </c>
      <c r="M141" s="184"/>
      <c r="N141" s="390">
        <f>N$31</f>
        <v>0</v>
      </c>
      <c r="O141" s="390">
        <f t="shared" ref="O141:AB141" si="140">O$31</f>
        <v>0</v>
      </c>
      <c r="P141" s="390">
        <f t="shared" si="140"/>
        <v>0</v>
      </c>
      <c r="Q141" s="390">
        <f t="shared" si="140"/>
        <v>0</v>
      </c>
      <c r="R141" s="390">
        <f t="shared" si="140"/>
        <v>0</v>
      </c>
      <c r="S141" s="390">
        <f t="shared" si="140"/>
        <v>0</v>
      </c>
      <c r="T141" s="390">
        <f t="shared" si="140"/>
        <v>0</v>
      </c>
      <c r="U141" s="390">
        <f t="shared" si="140"/>
        <v>0</v>
      </c>
      <c r="V141" s="390">
        <f t="shared" si="140"/>
        <v>0</v>
      </c>
      <c r="W141" s="390">
        <f t="shared" si="140"/>
        <v>0</v>
      </c>
      <c r="X141" s="390">
        <f t="shared" si="140"/>
        <v>0</v>
      </c>
      <c r="Y141" s="390">
        <f t="shared" si="140"/>
        <v>0</v>
      </c>
      <c r="Z141" s="390">
        <f t="shared" si="140"/>
        <v>0</v>
      </c>
      <c r="AA141" s="390">
        <f t="shared" si="140"/>
        <v>0</v>
      </c>
      <c r="AB141" s="390">
        <f t="shared" si="140"/>
        <v>0</v>
      </c>
      <c r="AD141" s="66"/>
      <c r="AV141" s="700" t="str">
        <f>MID(E141,1,8)</f>
        <v>TRABGSLM</v>
      </c>
      <c r="AW141" s="568">
        <f t="shared" si="137"/>
        <v>0</v>
      </c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21"/>
      <c r="BL141" s="721"/>
    </row>
    <row r="142" spans="1:64" s="83" customFormat="1" x14ac:dyDescent="0.25">
      <c r="A142" s="82"/>
      <c r="B142" s="178" t="str">
        <f>B140</f>
        <v>TFLEHYG100</v>
      </c>
      <c r="C142" s="178"/>
      <c r="D142" s="179"/>
      <c r="E142" s="178"/>
      <c r="F142" s="182"/>
      <c r="G142" s="173" t="s">
        <v>431</v>
      </c>
      <c r="H142" s="182"/>
      <c r="I142" s="183"/>
      <c r="J142" s="184"/>
      <c r="K142" s="184"/>
      <c r="L142" s="184" t="s">
        <v>1126</v>
      </c>
      <c r="M142" s="184" t="s">
        <v>678</v>
      </c>
      <c r="N142" s="676">
        <f>T_CEFF!H172</f>
        <v>0.47904000000000002</v>
      </c>
      <c r="O142" s="676">
        <f>T_CEFF!I172</f>
        <v>0.47904000000000002</v>
      </c>
      <c r="P142" s="676">
        <f>T_CEFF!J172</f>
        <v>0.47904000000000002</v>
      </c>
      <c r="Q142" s="676">
        <f>T_CEFF!K172</f>
        <v>0.47904000000000002</v>
      </c>
      <c r="R142" s="676">
        <f>T_CEFF!L172</f>
        <v>0.47904000000000002</v>
      </c>
      <c r="S142" s="676">
        <f>T_CEFF!M172</f>
        <v>0.47904000000000002</v>
      </c>
      <c r="T142" s="676">
        <f>T_CEFF!N172</f>
        <v>0.47904000000000002</v>
      </c>
      <c r="U142" s="676">
        <f>T_CEFF!O172</f>
        <v>0.47904000000000002</v>
      </c>
      <c r="V142" s="676">
        <f>T_CEFF!P172</f>
        <v>0.47904000000000002</v>
      </c>
      <c r="W142" s="676">
        <f>T_CEFF!Q172</f>
        <v>0.47904000000000002</v>
      </c>
      <c r="X142" s="676">
        <f>T_CEFF!R172</f>
        <v>0.47904000000000002</v>
      </c>
      <c r="Y142" s="676">
        <f>T_CEFF!S172</f>
        <v>0.47904000000000002</v>
      </c>
      <c r="Z142" s="676">
        <f>T_CEFF!T172</f>
        <v>0.47904000000000002</v>
      </c>
      <c r="AA142" s="676">
        <f>T_CEFF!U172</f>
        <v>0.47904000000000002</v>
      </c>
      <c r="AB142" s="676">
        <f>T_CEFF!V172</f>
        <v>0.47904000000000002</v>
      </c>
      <c r="AV142" s="700" t="str">
        <f t="shared" si="136"/>
        <v/>
      </c>
      <c r="AW142" s="568"/>
    </row>
    <row r="143" spans="1:64" s="83" customFormat="1" x14ac:dyDescent="0.25">
      <c r="A143" s="82"/>
      <c r="B143" s="178" t="str">
        <f>B142</f>
        <v>TFLEHYG100</v>
      </c>
      <c r="C143" s="178"/>
      <c r="D143" s="179"/>
      <c r="E143" s="178"/>
      <c r="F143" s="182"/>
      <c r="G143" s="173" t="s">
        <v>429</v>
      </c>
      <c r="H143" s="182"/>
      <c r="I143" s="183"/>
      <c r="J143" s="184"/>
      <c r="K143" s="184"/>
      <c r="L143" s="184" t="s">
        <v>1126</v>
      </c>
      <c r="M143" s="184" t="s">
        <v>678</v>
      </c>
      <c r="N143" s="676">
        <f>T_CEFF!H173</f>
        <v>0.39604</v>
      </c>
      <c r="O143" s="676">
        <f>T_CEFF!I173</f>
        <v>0.39604</v>
      </c>
      <c r="P143" s="676">
        <f>T_CEFF!J173</f>
        <v>0.39604</v>
      </c>
      <c r="Q143" s="676">
        <f>T_CEFF!K173</f>
        <v>0.39604</v>
      </c>
      <c r="R143" s="676">
        <f>T_CEFF!L173</f>
        <v>0.39604</v>
      </c>
      <c r="S143" s="676">
        <f>T_CEFF!M173</f>
        <v>0.39604</v>
      </c>
      <c r="T143" s="676">
        <f>T_CEFF!N173</f>
        <v>0.39604</v>
      </c>
      <c r="U143" s="676">
        <f>T_CEFF!O173</f>
        <v>0.39604</v>
      </c>
      <c r="V143" s="676">
        <f>T_CEFF!P173</f>
        <v>0.39604</v>
      </c>
      <c r="W143" s="676">
        <f>T_CEFF!Q173</f>
        <v>0.39604</v>
      </c>
      <c r="X143" s="676">
        <f>T_CEFF!R173</f>
        <v>0.39604</v>
      </c>
      <c r="Y143" s="676">
        <f>T_CEFF!S173</f>
        <v>0.39604</v>
      </c>
      <c r="Z143" s="676">
        <f>T_CEFF!T173</f>
        <v>0.39604</v>
      </c>
      <c r="AA143" s="676">
        <f>T_CEFF!U173</f>
        <v>0.39604</v>
      </c>
      <c r="AB143" s="676">
        <f>T_CEFF!V173</f>
        <v>0.39604</v>
      </c>
    </row>
    <row r="144" spans="1:64" s="83" customFormat="1" x14ac:dyDescent="0.25">
      <c r="A144" s="82"/>
      <c r="B144" s="178" t="str">
        <f t="shared" ref="B144:B152" si="141">B143</f>
        <v>TFLEHYG100</v>
      </c>
      <c r="C144" s="178"/>
      <c r="D144" s="179"/>
      <c r="E144" s="178"/>
      <c r="F144" s="182"/>
      <c r="G144" s="181"/>
      <c r="H144" s="182"/>
      <c r="I144" s="183"/>
      <c r="J144" s="184"/>
      <c r="K144" s="184" t="s">
        <v>749</v>
      </c>
      <c r="L144" s="184" t="s">
        <v>1128</v>
      </c>
      <c r="M144" s="184" t="s">
        <v>1175</v>
      </c>
      <c r="N144" s="388">
        <f t="shared" ref="N144:AB144" si="142">N$23</f>
        <v>0.76</v>
      </c>
      <c r="O144" s="388">
        <f t="shared" si="142"/>
        <v>0</v>
      </c>
      <c r="P144" s="388">
        <f t="shared" si="142"/>
        <v>0</v>
      </c>
      <c r="Q144" s="388">
        <f t="shared" si="142"/>
        <v>0</v>
      </c>
      <c r="R144" s="388">
        <f t="shared" si="142"/>
        <v>0</v>
      </c>
      <c r="S144" s="388">
        <f t="shared" si="142"/>
        <v>0</v>
      </c>
      <c r="T144" s="388">
        <f t="shared" si="142"/>
        <v>0</v>
      </c>
      <c r="U144" s="388">
        <f t="shared" si="142"/>
        <v>0</v>
      </c>
      <c r="V144" s="388">
        <f t="shared" si="142"/>
        <v>0</v>
      </c>
      <c r="W144" s="388">
        <f t="shared" si="142"/>
        <v>0</v>
      </c>
      <c r="X144" s="388">
        <f t="shared" si="142"/>
        <v>0</v>
      </c>
      <c r="Y144" s="388">
        <f t="shared" si="142"/>
        <v>0</v>
      </c>
      <c r="Z144" s="388">
        <f t="shared" si="142"/>
        <v>0</v>
      </c>
      <c r="AA144" s="388">
        <f t="shared" si="142"/>
        <v>0</v>
      </c>
      <c r="AB144" s="388">
        <f t="shared" si="142"/>
        <v>0</v>
      </c>
    </row>
    <row r="145" spans="1:49" s="83" customFormat="1" x14ac:dyDescent="0.25">
      <c r="A145" s="82"/>
      <c r="B145" s="178" t="str">
        <f t="shared" si="141"/>
        <v>TFLEHYG100</v>
      </c>
      <c r="C145" s="178"/>
      <c r="D145" s="179"/>
      <c r="E145" s="178"/>
      <c r="F145" s="182"/>
      <c r="G145" s="181"/>
      <c r="H145" s="182"/>
      <c r="I145" s="183"/>
      <c r="J145" s="184"/>
      <c r="K145" s="184"/>
      <c r="L145" s="203" t="s">
        <v>1130</v>
      </c>
      <c r="M145" s="184" t="s">
        <v>1131</v>
      </c>
      <c r="N145" s="397">
        <f>LOOKUP($C$139, T_NCAP_AF!$C$125:$C$135, T_NCAP_AF!D$125:D$135)*(1+N40)</f>
        <v>14.959466820000001</v>
      </c>
      <c r="O145" s="397">
        <f>LOOKUP($C$139, T_NCAP_AF!$C$125:$C$135, T_NCAP_AF!E$125:E$135)*(1+O40)</f>
        <v>0</v>
      </c>
      <c r="P145" s="397">
        <f>LOOKUP($C$139, T_NCAP_AF!$C$125:$C$135, T_NCAP_AF!F$125:F$135)*(1+P40)</f>
        <v>0</v>
      </c>
      <c r="Q145" s="397">
        <f>LOOKUP($C$139, T_NCAP_AF!$C$125:$C$135, T_NCAP_AF!G$125:G$135)*(1+Q40)</f>
        <v>0</v>
      </c>
      <c r="R145" s="397">
        <f>LOOKUP($C$139, T_NCAP_AF!$C$125:$C$135, T_NCAP_AF!H$125:H$135)*(1+R40)</f>
        <v>0</v>
      </c>
      <c r="S145" s="397">
        <f>LOOKUP($C$139, T_NCAP_AF!$C$125:$C$135, T_NCAP_AF!I$125:I$135)*(1+S40)</f>
        <v>0</v>
      </c>
      <c r="T145" s="397">
        <f>LOOKUP($C$139, T_NCAP_AF!$C$125:$C$135, T_NCAP_AF!J$125:J$135)*(1+T40)</f>
        <v>0</v>
      </c>
      <c r="U145" s="397">
        <f>LOOKUP($C$139, T_NCAP_AF!$C$125:$C$135, T_NCAP_AF!K$125:K$135)*(1+U40)</f>
        <v>0</v>
      </c>
      <c r="V145" s="397">
        <f>LOOKUP($C$139, T_NCAP_AF!$C$125:$C$135, T_NCAP_AF!L$125:L$135)*(1+V40)</f>
        <v>0</v>
      </c>
      <c r="W145" s="397">
        <f>LOOKUP($C$139, T_NCAP_AF!$C$125:$C$135, T_NCAP_AF!M$125:M$135)*(1+W40)</f>
        <v>0</v>
      </c>
      <c r="X145" s="397">
        <f>LOOKUP($C$139, T_NCAP_AF!$C$125:$C$135, T_NCAP_AF!N$125:N$135)*(1+X40)</f>
        <v>0</v>
      </c>
      <c r="Y145" s="397">
        <f>LOOKUP($C$139, T_NCAP_AF!$C$125:$C$135, T_NCAP_AF!O$125:O$135)*(1+Y40)</f>
        <v>0</v>
      </c>
      <c r="Z145" s="397">
        <f>LOOKUP($C$139, T_NCAP_AF!$C$125:$C$135, T_NCAP_AF!P$125:P$135)*(1+Z40)</f>
        <v>0</v>
      </c>
      <c r="AA145" s="397">
        <f>LOOKUP($C$139, T_NCAP_AF!$C$125:$C$135, T_NCAP_AF!Q$125:Q$135)*(1+AA40)</f>
        <v>0</v>
      </c>
      <c r="AB145" s="397">
        <f>LOOKUP($C$139, T_NCAP_AF!$C$125:$C$135, T_NCAP_AF!R$125:R$135)*(1+AB40)</f>
        <v>0</v>
      </c>
      <c r="AE145" s="572">
        <f>SUM(AF145:AT145)</f>
        <v>0.34107584349600006</v>
      </c>
      <c r="AF145" s="85">
        <f t="shared" ref="AF145:AT145" si="143">N144*N145*N146/1000</f>
        <v>0.34107584349600006</v>
      </c>
      <c r="AG145" s="85">
        <f t="shared" si="143"/>
        <v>0</v>
      </c>
      <c r="AH145" s="85">
        <f t="shared" si="143"/>
        <v>0</v>
      </c>
      <c r="AI145" s="85">
        <f t="shared" si="143"/>
        <v>0</v>
      </c>
      <c r="AJ145" s="85">
        <f t="shared" si="143"/>
        <v>0</v>
      </c>
      <c r="AK145" s="85">
        <f t="shared" si="143"/>
        <v>0</v>
      </c>
      <c r="AL145" s="85">
        <f t="shared" si="143"/>
        <v>0</v>
      </c>
      <c r="AM145" s="85">
        <f t="shared" si="143"/>
        <v>0</v>
      </c>
      <c r="AN145" s="85">
        <f t="shared" si="143"/>
        <v>0</v>
      </c>
      <c r="AO145" s="85">
        <f t="shared" si="143"/>
        <v>0</v>
      </c>
      <c r="AP145" s="85">
        <f t="shared" si="143"/>
        <v>0</v>
      </c>
      <c r="AQ145" s="85">
        <f t="shared" si="143"/>
        <v>0</v>
      </c>
      <c r="AR145" s="85">
        <f t="shared" si="143"/>
        <v>0</v>
      </c>
      <c r="AS145" s="85">
        <f t="shared" si="143"/>
        <v>0</v>
      </c>
      <c r="AT145" s="85">
        <f t="shared" si="143"/>
        <v>0</v>
      </c>
    </row>
    <row r="146" spans="1:49" s="83" customFormat="1" x14ac:dyDescent="0.25">
      <c r="A146" s="82"/>
      <c r="B146" s="178" t="str">
        <f t="shared" si="141"/>
        <v>TFLEHYG100</v>
      </c>
      <c r="C146" s="178"/>
      <c r="D146" s="179"/>
      <c r="E146" s="178"/>
      <c r="F146" s="182"/>
      <c r="G146" s="181"/>
      <c r="H146" s="182"/>
      <c r="I146" s="183">
        <f>$M$3</f>
        <v>2019</v>
      </c>
      <c r="J146" s="184"/>
      <c r="K146" s="184"/>
      <c r="L146" s="203" t="s">
        <v>1065</v>
      </c>
      <c r="M146" s="184" t="s">
        <v>748</v>
      </c>
      <c r="N146" s="694">
        <f>LOOKUP($C$139, T_Stock_Private!$C$90:$C$100, T_Stock_Private!D$90:D$100)*(1+N41)</f>
        <v>30</v>
      </c>
      <c r="O146" s="694">
        <f>LOOKUP($C$139, T_Stock_Private!$C$90:$C$100, T_Stock_Private!E$90:E$100)*(1+O41)</f>
        <v>0</v>
      </c>
      <c r="P146" s="694">
        <f>LOOKUP($C$139, T_Stock_Private!$C$90:$C$100, T_Stock_Private!F$90:F$100)*(1+P41)</f>
        <v>0</v>
      </c>
      <c r="Q146" s="694">
        <f>LOOKUP($C$139, T_Stock_Private!$C$90:$C$100, T_Stock_Private!G$90:G$100)*(1+Q41)</f>
        <v>0</v>
      </c>
      <c r="R146" s="694">
        <f>LOOKUP($C$139, T_Stock_Private!$C$90:$C$100, T_Stock_Private!H$90:H$100)*(1+R41)</f>
        <v>0</v>
      </c>
      <c r="S146" s="694">
        <f>LOOKUP($C$139, T_Stock_Private!$C$90:$C$100, T_Stock_Private!I$90:I$100)*(1+S41)</f>
        <v>0</v>
      </c>
      <c r="T146" s="694">
        <f>LOOKUP($C$139, T_Stock_Private!$C$90:$C$100, T_Stock_Private!J$90:J$100)*(1+T41)</f>
        <v>0</v>
      </c>
      <c r="U146" s="694">
        <f>LOOKUP($C$139, T_Stock_Private!$C$90:$C$100, T_Stock_Private!K$90:K$100)*(1+U41)</f>
        <v>0</v>
      </c>
      <c r="V146" s="694">
        <f>LOOKUP($C$139, T_Stock_Private!$C$90:$C$100, T_Stock_Private!L$90:L$100)*(1+V41)</f>
        <v>0</v>
      </c>
      <c r="W146" s="694">
        <f>LOOKUP($C$139, T_Stock_Private!$C$90:$C$100, T_Stock_Private!M$90:M$100)*(1+W41)</f>
        <v>0</v>
      </c>
      <c r="X146" s="694">
        <f>LOOKUP($C$139, T_Stock_Private!$C$90:$C$100, T_Stock_Private!N$90:N$100)*(1+X41)</f>
        <v>0</v>
      </c>
      <c r="Y146" s="694">
        <f>LOOKUP($C$139, T_Stock_Private!$C$90:$C$100, T_Stock_Private!O$90:O$100)*(1+Y41)</f>
        <v>0</v>
      </c>
      <c r="Z146" s="694">
        <f>LOOKUP($C$139, T_Stock_Private!$C$90:$C$100, T_Stock_Private!P$90:P$100)*(1+Z41)</f>
        <v>0</v>
      </c>
      <c r="AA146" s="694">
        <f>LOOKUP($C$139, T_Stock_Private!$C$90:$C$100, T_Stock_Private!Q$90:Q$100)*(1+AA41)</f>
        <v>0</v>
      </c>
      <c r="AB146" s="694">
        <f>LOOKUP($C$139, T_Stock_Private!$C$90:$C$100, T_Stock_Private!R$90:R$100)*(1+AB41)</f>
        <v>0</v>
      </c>
      <c r="AC146" s="89"/>
      <c r="AD146" s="35"/>
    </row>
    <row r="147" spans="1:49" s="83" customFormat="1" x14ac:dyDescent="0.25">
      <c r="A147" s="82"/>
      <c r="B147" s="178" t="str">
        <f t="shared" si="141"/>
        <v>TFLEHYG100</v>
      </c>
      <c r="C147" s="178"/>
      <c r="D147" s="179"/>
      <c r="E147" s="178"/>
      <c r="F147" s="182"/>
      <c r="G147" s="181"/>
      <c r="H147" s="182"/>
      <c r="I147" s="183">
        <f>AF$5</f>
        <v>2020</v>
      </c>
      <c r="J147" s="184"/>
      <c r="K147" s="184"/>
      <c r="L147" s="203" t="s">
        <v>1065</v>
      </c>
      <c r="M147" s="184" t="s">
        <v>748</v>
      </c>
      <c r="N147" s="694">
        <f t="shared" ref="N147:AB147" si="144">N146*LOOKUP($AD139,$AG$4:$AP$4,$AG$5:$AP$5)</f>
        <v>29.7</v>
      </c>
      <c r="O147" s="694">
        <f t="shared" si="144"/>
        <v>0</v>
      </c>
      <c r="P147" s="694">
        <f t="shared" si="144"/>
        <v>0</v>
      </c>
      <c r="Q147" s="694">
        <f t="shared" si="144"/>
        <v>0</v>
      </c>
      <c r="R147" s="694">
        <f t="shared" si="144"/>
        <v>0</v>
      </c>
      <c r="S147" s="694">
        <f t="shared" si="144"/>
        <v>0</v>
      </c>
      <c r="T147" s="694">
        <f t="shared" si="144"/>
        <v>0</v>
      </c>
      <c r="U147" s="694">
        <f t="shared" si="144"/>
        <v>0</v>
      </c>
      <c r="V147" s="694">
        <f t="shared" si="144"/>
        <v>0</v>
      </c>
      <c r="W147" s="694">
        <f t="shared" si="144"/>
        <v>0</v>
      </c>
      <c r="X147" s="694">
        <f t="shared" si="144"/>
        <v>0</v>
      </c>
      <c r="Y147" s="694">
        <f t="shared" si="144"/>
        <v>0</v>
      </c>
      <c r="Z147" s="694">
        <f t="shared" si="144"/>
        <v>0</v>
      </c>
      <c r="AA147" s="694">
        <f t="shared" si="144"/>
        <v>0</v>
      </c>
      <c r="AB147" s="694">
        <f t="shared" si="144"/>
        <v>0</v>
      </c>
      <c r="AD147" s="35"/>
    </row>
    <row r="148" spans="1:49" s="83" customFormat="1" x14ac:dyDescent="0.25">
      <c r="A148" s="82"/>
      <c r="B148" s="178" t="str">
        <f t="shared" si="141"/>
        <v>TFLEHYG100</v>
      </c>
      <c r="C148" s="178"/>
      <c r="D148" s="179"/>
      <c r="E148" s="178"/>
      <c r="F148" s="182"/>
      <c r="G148" s="181"/>
      <c r="H148" s="182"/>
      <c r="I148" s="183">
        <f>AF$6</f>
        <v>2025</v>
      </c>
      <c r="J148" s="184"/>
      <c r="K148" s="184"/>
      <c r="L148" s="203" t="s">
        <v>1065</v>
      </c>
      <c r="M148" s="184" t="s">
        <v>748</v>
      </c>
      <c r="N148" s="694">
        <f t="shared" ref="N148:AB148" si="145">N146*LOOKUP($AD139,$AG$4:$AP$4,$AG$6:$AP$6)</f>
        <v>22.5</v>
      </c>
      <c r="O148" s="694">
        <f t="shared" si="145"/>
        <v>0</v>
      </c>
      <c r="P148" s="694">
        <f t="shared" si="145"/>
        <v>0</v>
      </c>
      <c r="Q148" s="694">
        <f t="shared" si="145"/>
        <v>0</v>
      </c>
      <c r="R148" s="694">
        <f t="shared" si="145"/>
        <v>0</v>
      </c>
      <c r="S148" s="694">
        <f t="shared" si="145"/>
        <v>0</v>
      </c>
      <c r="T148" s="694">
        <f t="shared" si="145"/>
        <v>0</v>
      </c>
      <c r="U148" s="694">
        <f t="shared" si="145"/>
        <v>0</v>
      </c>
      <c r="V148" s="694">
        <f t="shared" si="145"/>
        <v>0</v>
      </c>
      <c r="W148" s="694">
        <f t="shared" si="145"/>
        <v>0</v>
      </c>
      <c r="X148" s="694">
        <f t="shared" si="145"/>
        <v>0</v>
      </c>
      <c r="Y148" s="694">
        <f t="shared" si="145"/>
        <v>0</v>
      </c>
      <c r="Z148" s="694">
        <f t="shared" si="145"/>
        <v>0</v>
      </c>
      <c r="AA148" s="694">
        <f t="shared" si="145"/>
        <v>0</v>
      </c>
      <c r="AB148" s="694">
        <f t="shared" si="145"/>
        <v>0</v>
      </c>
      <c r="AD148" s="35"/>
    </row>
    <row r="149" spans="1:49" s="83" customFormat="1" x14ac:dyDescent="0.25">
      <c r="A149" s="82"/>
      <c r="B149" s="178" t="str">
        <f t="shared" si="141"/>
        <v>TFLEHYG100</v>
      </c>
      <c r="C149" s="178"/>
      <c r="D149" s="179"/>
      <c r="E149" s="178"/>
      <c r="F149" s="182"/>
      <c r="G149" s="181"/>
      <c r="H149" s="182"/>
      <c r="I149" s="183">
        <f>AF$7</f>
        <v>2030</v>
      </c>
      <c r="J149" s="184"/>
      <c r="K149" s="184"/>
      <c r="L149" s="203" t="s">
        <v>1065</v>
      </c>
      <c r="M149" s="184" t="s">
        <v>748</v>
      </c>
      <c r="N149" s="694">
        <f t="shared" ref="N149:AB149" si="146">N146*LOOKUP($AD139,$AG$4:$AP$4,$AG$7:$AP$7)</f>
        <v>15</v>
      </c>
      <c r="O149" s="694">
        <f t="shared" si="146"/>
        <v>0</v>
      </c>
      <c r="P149" s="694">
        <f t="shared" si="146"/>
        <v>0</v>
      </c>
      <c r="Q149" s="694">
        <f t="shared" si="146"/>
        <v>0</v>
      </c>
      <c r="R149" s="694">
        <f t="shared" si="146"/>
        <v>0</v>
      </c>
      <c r="S149" s="694">
        <f t="shared" si="146"/>
        <v>0</v>
      </c>
      <c r="T149" s="694">
        <f t="shared" si="146"/>
        <v>0</v>
      </c>
      <c r="U149" s="694">
        <f t="shared" si="146"/>
        <v>0</v>
      </c>
      <c r="V149" s="694">
        <f t="shared" si="146"/>
        <v>0</v>
      </c>
      <c r="W149" s="694">
        <f t="shared" si="146"/>
        <v>0</v>
      </c>
      <c r="X149" s="694">
        <f t="shared" si="146"/>
        <v>0</v>
      </c>
      <c r="Y149" s="694">
        <f t="shared" si="146"/>
        <v>0</v>
      </c>
      <c r="Z149" s="694">
        <f t="shared" si="146"/>
        <v>0</v>
      </c>
      <c r="AA149" s="694">
        <f t="shared" si="146"/>
        <v>0</v>
      </c>
      <c r="AB149" s="694">
        <f t="shared" si="146"/>
        <v>0</v>
      </c>
      <c r="AD149" s="35"/>
    </row>
    <row r="150" spans="1:49" s="83" customFormat="1" x14ac:dyDescent="0.25">
      <c r="A150" s="82"/>
      <c r="B150" s="178" t="str">
        <f t="shared" si="141"/>
        <v>TFLEHYG100</v>
      </c>
      <c r="C150" s="178"/>
      <c r="D150" s="179"/>
      <c r="E150" s="178"/>
      <c r="F150" s="182"/>
      <c r="G150" s="181"/>
      <c r="H150" s="182"/>
      <c r="I150" s="183">
        <f>AF$8</f>
        <v>2035</v>
      </c>
      <c r="J150" s="184"/>
      <c r="K150" s="184"/>
      <c r="L150" s="203" t="s">
        <v>1065</v>
      </c>
      <c r="M150" s="184" t="s">
        <v>748</v>
      </c>
      <c r="N150" s="694">
        <f t="shared" ref="N150:AB150" si="147">N146*LOOKUP($AD139,$AG$4:$AP$4,$AG$8:$AP$8)</f>
        <v>4.5</v>
      </c>
      <c r="O150" s="694">
        <f t="shared" si="147"/>
        <v>0</v>
      </c>
      <c r="P150" s="694">
        <f t="shared" si="147"/>
        <v>0</v>
      </c>
      <c r="Q150" s="694">
        <f t="shared" si="147"/>
        <v>0</v>
      </c>
      <c r="R150" s="694">
        <f t="shared" si="147"/>
        <v>0</v>
      </c>
      <c r="S150" s="694">
        <f t="shared" si="147"/>
        <v>0</v>
      </c>
      <c r="T150" s="694">
        <f t="shared" si="147"/>
        <v>0</v>
      </c>
      <c r="U150" s="694">
        <f t="shared" si="147"/>
        <v>0</v>
      </c>
      <c r="V150" s="694">
        <f t="shared" si="147"/>
        <v>0</v>
      </c>
      <c r="W150" s="694">
        <f t="shared" si="147"/>
        <v>0</v>
      </c>
      <c r="X150" s="694">
        <f t="shared" si="147"/>
        <v>0</v>
      </c>
      <c r="Y150" s="694">
        <f t="shared" si="147"/>
        <v>0</v>
      </c>
      <c r="Z150" s="694">
        <f t="shared" si="147"/>
        <v>0</v>
      </c>
      <c r="AA150" s="694">
        <f t="shared" si="147"/>
        <v>0</v>
      </c>
      <c r="AB150" s="694">
        <f t="shared" si="147"/>
        <v>0</v>
      </c>
      <c r="AD150" s="35"/>
    </row>
    <row r="151" spans="1:49" s="83" customFormat="1" x14ac:dyDescent="0.25">
      <c r="A151" s="82"/>
      <c r="B151" s="178" t="str">
        <f t="shared" si="141"/>
        <v>TFLEHYG100</v>
      </c>
      <c r="C151" s="178"/>
      <c r="D151" s="179"/>
      <c r="E151" s="178"/>
      <c r="F151" s="182"/>
      <c r="G151" s="181"/>
      <c r="H151" s="182"/>
      <c r="I151" s="183">
        <f>AF$9</f>
        <v>2040</v>
      </c>
      <c r="J151" s="184"/>
      <c r="K151" s="184"/>
      <c r="L151" s="203" t="s">
        <v>1065</v>
      </c>
      <c r="M151" s="184" t="s">
        <v>748</v>
      </c>
      <c r="N151" s="694">
        <f t="shared" ref="N151:AB151" si="148">N146*LOOKUP($AD139,$AG$4:$AP$4,$AG$9:$AP$9)</f>
        <v>0.15</v>
      </c>
      <c r="O151" s="694">
        <f t="shared" si="148"/>
        <v>0</v>
      </c>
      <c r="P151" s="694">
        <f t="shared" si="148"/>
        <v>0</v>
      </c>
      <c r="Q151" s="694">
        <f t="shared" si="148"/>
        <v>0</v>
      </c>
      <c r="R151" s="694">
        <f t="shared" si="148"/>
        <v>0</v>
      </c>
      <c r="S151" s="694">
        <f t="shared" si="148"/>
        <v>0</v>
      </c>
      <c r="T151" s="694">
        <f t="shared" si="148"/>
        <v>0</v>
      </c>
      <c r="U151" s="694">
        <f t="shared" si="148"/>
        <v>0</v>
      </c>
      <c r="V151" s="694">
        <f t="shared" si="148"/>
        <v>0</v>
      </c>
      <c r="W151" s="694">
        <f t="shared" si="148"/>
        <v>0</v>
      </c>
      <c r="X151" s="694">
        <f t="shared" si="148"/>
        <v>0</v>
      </c>
      <c r="Y151" s="694">
        <f t="shared" si="148"/>
        <v>0</v>
      </c>
      <c r="Z151" s="694">
        <f t="shared" si="148"/>
        <v>0</v>
      </c>
      <c r="AA151" s="694">
        <f t="shared" si="148"/>
        <v>0</v>
      </c>
      <c r="AB151" s="694">
        <f t="shared" si="148"/>
        <v>0</v>
      </c>
      <c r="AD151" s="35"/>
    </row>
    <row r="152" spans="1:49" s="83" customFormat="1" x14ac:dyDescent="0.25">
      <c r="A152" s="82"/>
      <c r="B152" s="204" t="str">
        <f t="shared" si="141"/>
        <v>TFLEHYG100</v>
      </c>
      <c r="C152" s="204"/>
      <c r="D152" s="205"/>
      <c r="E152" s="204"/>
      <c r="F152" s="206"/>
      <c r="G152" s="207"/>
      <c r="H152" s="206"/>
      <c r="I152" s="208">
        <f>AF$10</f>
        <v>2050</v>
      </c>
      <c r="J152" s="209"/>
      <c r="K152" s="209"/>
      <c r="L152" s="210" t="s">
        <v>1065</v>
      </c>
      <c r="M152" s="209" t="s">
        <v>748</v>
      </c>
      <c r="N152" s="695">
        <f t="shared" ref="N152:AB152" si="149">N146*LOOKUP($AD139,$AG$4:$AP$4,$AG$10:$AP$10)</f>
        <v>0</v>
      </c>
      <c r="O152" s="695">
        <f t="shared" si="149"/>
        <v>0</v>
      </c>
      <c r="P152" s="695">
        <f t="shared" si="149"/>
        <v>0</v>
      </c>
      <c r="Q152" s="695">
        <f t="shared" si="149"/>
        <v>0</v>
      </c>
      <c r="R152" s="695">
        <f t="shared" si="149"/>
        <v>0</v>
      </c>
      <c r="S152" s="695">
        <f t="shared" si="149"/>
        <v>0</v>
      </c>
      <c r="T152" s="695">
        <f t="shared" si="149"/>
        <v>0</v>
      </c>
      <c r="U152" s="695">
        <f t="shared" si="149"/>
        <v>0</v>
      </c>
      <c r="V152" s="695">
        <f t="shared" si="149"/>
        <v>0</v>
      </c>
      <c r="W152" s="695">
        <f t="shared" si="149"/>
        <v>0</v>
      </c>
      <c r="X152" s="695">
        <f t="shared" si="149"/>
        <v>0</v>
      </c>
      <c r="Y152" s="695">
        <f t="shared" si="149"/>
        <v>0</v>
      </c>
      <c r="Z152" s="695">
        <f t="shared" si="149"/>
        <v>0</v>
      </c>
      <c r="AA152" s="695">
        <f t="shared" si="149"/>
        <v>0</v>
      </c>
      <c r="AB152" s="695">
        <f t="shared" si="149"/>
        <v>0</v>
      </c>
    </row>
    <row r="153" spans="1:49" s="83" customFormat="1" x14ac:dyDescent="0.25">
      <c r="A153" s="82"/>
      <c r="B153" s="178" t="str">
        <f>C153</f>
        <v>TFLELPG100</v>
      </c>
      <c r="C153" s="178" t="s">
        <v>355</v>
      </c>
      <c r="D153" s="179" t="s">
        <v>820</v>
      </c>
      <c r="E153" s="180" t="s">
        <v>1033</v>
      </c>
      <c r="F153" s="182"/>
      <c r="G153" s="181"/>
      <c r="H153" s="182"/>
      <c r="I153" s="183"/>
      <c r="J153" s="184"/>
      <c r="K153" s="184"/>
      <c r="L153" s="203" t="s">
        <v>1107</v>
      </c>
      <c r="M153" s="184" t="s">
        <v>1125</v>
      </c>
      <c r="N153" s="378">
        <f>N$58</f>
        <v>1E-3</v>
      </c>
      <c r="O153" s="378">
        <f t="shared" ref="O153:AB153" si="150">$N153</f>
        <v>1E-3</v>
      </c>
      <c r="P153" s="378">
        <f t="shared" si="150"/>
        <v>1E-3</v>
      </c>
      <c r="Q153" s="378">
        <f t="shared" si="150"/>
        <v>1E-3</v>
      </c>
      <c r="R153" s="378">
        <f t="shared" si="150"/>
        <v>1E-3</v>
      </c>
      <c r="S153" s="378">
        <f t="shared" si="150"/>
        <v>1E-3</v>
      </c>
      <c r="T153" s="378">
        <f t="shared" si="150"/>
        <v>1E-3</v>
      </c>
      <c r="U153" s="378">
        <f t="shared" si="150"/>
        <v>1E-3</v>
      </c>
      <c r="V153" s="378">
        <f t="shared" si="150"/>
        <v>1E-3</v>
      </c>
      <c r="W153" s="378">
        <f t="shared" si="150"/>
        <v>1E-3</v>
      </c>
      <c r="X153" s="378">
        <f t="shared" si="150"/>
        <v>1E-3</v>
      </c>
      <c r="Y153" s="378">
        <f t="shared" si="150"/>
        <v>1E-3</v>
      </c>
      <c r="Z153" s="378">
        <f t="shared" si="150"/>
        <v>1E-3</v>
      </c>
      <c r="AA153" s="378">
        <f t="shared" si="150"/>
        <v>1E-3</v>
      </c>
      <c r="AB153" s="378">
        <f t="shared" si="150"/>
        <v>1E-3</v>
      </c>
      <c r="AD153" s="402" t="str">
        <f>MID(D153,13,3)</f>
        <v>LPG</v>
      </c>
      <c r="AV153" s="700" t="str">
        <f t="shared" ref="AV153:AV155" si="151">MID(E153,1,7)</f>
        <v>TRALPG</v>
      </c>
      <c r="AW153" s="568">
        <f t="shared" ref="AW153" si="152">SUM(AX153:BL153)</f>
        <v>0</v>
      </c>
    </row>
    <row r="154" spans="1:49" x14ac:dyDescent="0.25">
      <c r="A154" s="22"/>
      <c r="B154" s="186" t="str">
        <f t="shared" ref="B154:B164" si="153">B153</f>
        <v>TFLELPG100</v>
      </c>
      <c r="C154" s="186"/>
      <c r="D154" s="187"/>
      <c r="E154" s="186"/>
      <c r="F154" s="170"/>
      <c r="G154" s="173" t="s">
        <v>431</v>
      </c>
      <c r="H154" s="170"/>
      <c r="I154" s="190"/>
      <c r="J154" s="191"/>
      <c r="K154" s="191"/>
      <c r="L154" s="191" t="s">
        <v>1126</v>
      </c>
      <c r="M154" s="191" t="s">
        <v>678</v>
      </c>
      <c r="N154" s="676">
        <f>T_CEFF!H174</f>
        <v>0.38646999999999998</v>
      </c>
      <c r="O154" s="676">
        <f>T_CEFF!I174</f>
        <v>0.38646999999999998</v>
      </c>
      <c r="P154" s="676">
        <f>T_CEFF!J174</f>
        <v>0.38646999999999998</v>
      </c>
      <c r="Q154" s="676">
        <f>T_CEFF!K174</f>
        <v>0.38646999999999998</v>
      </c>
      <c r="R154" s="676">
        <f>T_CEFF!L174</f>
        <v>0.38646999999999998</v>
      </c>
      <c r="S154" s="676">
        <f>T_CEFF!M174</f>
        <v>0.38646999999999998</v>
      </c>
      <c r="T154" s="676">
        <f>T_CEFF!N174</f>
        <v>0.38646999999999998</v>
      </c>
      <c r="U154" s="676">
        <f>T_CEFF!O174</f>
        <v>0.38646999999999998</v>
      </c>
      <c r="V154" s="676">
        <f>T_CEFF!P174</f>
        <v>0.38646999999999998</v>
      </c>
      <c r="W154" s="676">
        <f>T_CEFF!Q174</f>
        <v>0.38646999999999998</v>
      </c>
      <c r="X154" s="676">
        <f>T_CEFF!R174</f>
        <v>0.38646999999999998</v>
      </c>
      <c r="Y154" s="676">
        <f>T_CEFF!S174</f>
        <v>0.38646999999999998</v>
      </c>
      <c r="Z154" s="676">
        <f>T_CEFF!T174</f>
        <v>0.38646999999999998</v>
      </c>
      <c r="AA154" s="676">
        <f>T_CEFF!U174</f>
        <v>0.38646999999999998</v>
      </c>
      <c r="AB154" s="676">
        <f>T_CEFF!V174</f>
        <v>0.38646999999999998</v>
      </c>
      <c r="AD154" s="66" t="str">
        <f>IF(COUNTIF($AG$4:$AP$4,AD153)=1,"ok","MISSING")</f>
        <v>ok</v>
      </c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51"/>
        <v/>
      </c>
      <c r="AW154" s="568"/>
    </row>
    <row r="155" spans="1:49" x14ac:dyDescent="0.25">
      <c r="A155" s="22"/>
      <c r="B155" s="186" t="str">
        <f t="shared" si="153"/>
        <v>TFLELPG100</v>
      </c>
      <c r="C155" s="186"/>
      <c r="D155" s="187"/>
      <c r="E155" s="186"/>
      <c r="F155" s="170"/>
      <c r="G155" s="173" t="s">
        <v>429</v>
      </c>
      <c r="H155" s="170"/>
      <c r="I155" s="190"/>
      <c r="J155" s="191"/>
      <c r="K155" s="191"/>
      <c r="L155" s="191" t="s">
        <v>1126</v>
      </c>
      <c r="M155" s="191" t="s">
        <v>678</v>
      </c>
      <c r="N155" s="676">
        <f>T_CEFF!H175</f>
        <v>0.31873000000000001</v>
      </c>
      <c r="O155" s="676">
        <f>T_CEFF!I175</f>
        <v>0.31873000000000001</v>
      </c>
      <c r="P155" s="676">
        <f>T_CEFF!J175</f>
        <v>0.31873000000000001</v>
      </c>
      <c r="Q155" s="676">
        <f>T_CEFF!K175</f>
        <v>0.31873000000000001</v>
      </c>
      <c r="R155" s="676">
        <f>T_CEFF!L175</f>
        <v>0.31873000000000001</v>
      </c>
      <c r="S155" s="676">
        <f>T_CEFF!M175</f>
        <v>0.31873000000000001</v>
      </c>
      <c r="T155" s="676">
        <f>T_CEFF!N175</f>
        <v>0.31873000000000001</v>
      </c>
      <c r="U155" s="676">
        <f>T_CEFF!O175</f>
        <v>0.31873000000000001</v>
      </c>
      <c r="V155" s="676">
        <f>T_CEFF!P175</f>
        <v>0.31873000000000001</v>
      </c>
      <c r="W155" s="676">
        <f>T_CEFF!Q175</f>
        <v>0.31873000000000001</v>
      </c>
      <c r="X155" s="676">
        <f>T_CEFF!R175</f>
        <v>0.31873000000000001</v>
      </c>
      <c r="Y155" s="676">
        <f>T_CEFF!S175</f>
        <v>0.31873000000000001</v>
      </c>
      <c r="Z155" s="676">
        <f>T_CEFF!T175</f>
        <v>0.31873000000000001</v>
      </c>
      <c r="AA155" s="676">
        <f>T_CEFF!U175</f>
        <v>0.31873000000000001</v>
      </c>
      <c r="AB155" s="676">
        <f>T_CEFF!V175</f>
        <v>0.31873000000000001</v>
      </c>
      <c r="AV155" s="700" t="str">
        <f t="shared" si="151"/>
        <v/>
      </c>
      <c r="AW155" s="568"/>
    </row>
    <row r="156" spans="1:49" x14ac:dyDescent="0.25">
      <c r="A156" s="22"/>
      <c r="B156" s="186" t="str">
        <f t="shared" si="153"/>
        <v>TFLELPG100</v>
      </c>
      <c r="C156" s="186"/>
      <c r="D156" s="187"/>
      <c r="E156" s="186"/>
      <c r="F156" s="170"/>
      <c r="G156" s="189"/>
      <c r="H156" s="170"/>
      <c r="I156" s="190"/>
      <c r="J156" s="191"/>
      <c r="K156" s="191" t="s">
        <v>749</v>
      </c>
      <c r="L156" s="191" t="s">
        <v>1128</v>
      </c>
      <c r="M156" s="191" t="s">
        <v>1175</v>
      </c>
      <c r="N156" s="368">
        <f t="shared" ref="N156:AB156" si="154">N$23</f>
        <v>0.76</v>
      </c>
      <c r="O156" s="368">
        <f t="shared" si="154"/>
        <v>0</v>
      </c>
      <c r="P156" s="368">
        <f t="shared" si="154"/>
        <v>0</v>
      </c>
      <c r="Q156" s="368">
        <f t="shared" si="154"/>
        <v>0</v>
      </c>
      <c r="R156" s="368">
        <f t="shared" si="154"/>
        <v>0</v>
      </c>
      <c r="S156" s="368">
        <f t="shared" si="154"/>
        <v>0</v>
      </c>
      <c r="T156" s="368">
        <f t="shared" si="154"/>
        <v>0</v>
      </c>
      <c r="U156" s="368">
        <f t="shared" si="154"/>
        <v>0</v>
      </c>
      <c r="V156" s="368">
        <f t="shared" si="154"/>
        <v>0</v>
      </c>
      <c r="W156" s="368">
        <f t="shared" si="154"/>
        <v>0</v>
      </c>
      <c r="X156" s="368">
        <f t="shared" si="154"/>
        <v>0</v>
      </c>
      <c r="Y156" s="368">
        <f t="shared" si="154"/>
        <v>0</v>
      </c>
      <c r="Z156" s="368">
        <f t="shared" si="154"/>
        <v>0</v>
      </c>
      <c r="AA156" s="368">
        <f t="shared" si="154"/>
        <v>0</v>
      </c>
      <c r="AB156" s="368">
        <f t="shared" si="154"/>
        <v>0</v>
      </c>
    </row>
    <row r="157" spans="1:49" x14ac:dyDescent="0.25">
      <c r="A157" s="22"/>
      <c r="B157" s="186" t="str">
        <f t="shared" si="153"/>
        <v>TFLELPG100</v>
      </c>
      <c r="C157" s="186"/>
      <c r="D157" s="187"/>
      <c r="E157" s="186"/>
      <c r="F157" s="170"/>
      <c r="G157" s="189"/>
      <c r="H157" s="170"/>
      <c r="I157" s="190"/>
      <c r="J157" s="191"/>
      <c r="K157" s="191"/>
      <c r="L157" s="211" t="s">
        <v>1130</v>
      </c>
      <c r="M157" s="191" t="s">
        <v>1131</v>
      </c>
      <c r="N157" s="397">
        <f>LOOKUP($C$153, T_NCAP_AF!$C$125:$C$135, T_NCAP_AF!D$125:D$135)*(1+N40)</f>
        <v>14.959466820000001</v>
      </c>
      <c r="O157" s="397">
        <f>LOOKUP($C$153, T_NCAP_AF!$C$125:$C$135, T_NCAP_AF!E$125:E$135)*(1+O40)</f>
        <v>0</v>
      </c>
      <c r="P157" s="397">
        <f>LOOKUP($C$153, T_NCAP_AF!$C$125:$C$135, T_NCAP_AF!F$125:F$135)*(1+P40)</f>
        <v>0</v>
      </c>
      <c r="Q157" s="397">
        <f>LOOKUP($C$153, T_NCAP_AF!$C$125:$C$135, T_NCAP_AF!G$125:G$135)*(1+Q40)</f>
        <v>0</v>
      </c>
      <c r="R157" s="397">
        <f>LOOKUP($C$153, T_NCAP_AF!$C$125:$C$135, T_NCAP_AF!H$125:H$135)*(1+R40)</f>
        <v>0</v>
      </c>
      <c r="S157" s="397">
        <f>LOOKUP($C$153, T_NCAP_AF!$C$125:$C$135, T_NCAP_AF!I$125:I$135)*(1+S40)</f>
        <v>0</v>
      </c>
      <c r="T157" s="397">
        <f>LOOKUP($C$153, T_NCAP_AF!$C$125:$C$135, T_NCAP_AF!J$125:J$135)*(1+T40)</f>
        <v>0</v>
      </c>
      <c r="U157" s="397">
        <f>LOOKUP($C$153, T_NCAP_AF!$C$125:$C$135, T_NCAP_AF!K$125:K$135)*(1+U40)</f>
        <v>0</v>
      </c>
      <c r="V157" s="397">
        <f>LOOKUP($C$153, T_NCAP_AF!$C$125:$C$135, T_NCAP_AF!L$125:L$135)*(1+V40)</f>
        <v>0</v>
      </c>
      <c r="W157" s="397">
        <f>LOOKUP($C$153, T_NCAP_AF!$C$125:$C$135, T_NCAP_AF!M$125:M$135)*(1+W40)</f>
        <v>0</v>
      </c>
      <c r="X157" s="397">
        <f>LOOKUP($C$153, T_NCAP_AF!$C$125:$C$135, T_NCAP_AF!N$125:N$135)*(1+X40)</f>
        <v>0</v>
      </c>
      <c r="Y157" s="397">
        <f>LOOKUP($C$153, T_NCAP_AF!$C$125:$C$135, T_NCAP_AF!O$125:O$135)*(1+Y40)</f>
        <v>0</v>
      </c>
      <c r="Z157" s="397">
        <f>LOOKUP($C$153, T_NCAP_AF!$C$125:$C$135, T_NCAP_AF!P$125:P$135)*(1+Z40)</f>
        <v>0</v>
      </c>
      <c r="AA157" s="397">
        <f>LOOKUP($C$153, T_NCAP_AF!$C$125:$C$135, T_NCAP_AF!Q$125:Q$135)*(1+AA40)</f>
        <v>0</v>
      </c>
      <c r="AB157" s="397">
        <f>LOOKUP($C$153, T_NCAP_AF!$C$125:$C$135, T_NCAP_AF!R$125:R$135)*(1+AB40)</f>
        <v>0</v>
      </c>
      <c r="AC157" s="83"/>
      <c r="AE157" s="572">
        <f>SUM(AF157:AT157)</f>
        <v>0</v>
      </c>
      <c r="AF157" s="85">
        <f t="shared" ref="AF157:AT157" si="155">N156*N157*N158/1000</f>
        <v>0</v>
      </c>
      <c r="AG157" s="85">
        <f t="shared" si="155"/>
        <v>0</v>
      </c>
      <c r="AH157" s="85">
        <f t="shared" si="155"/>
        <v>0</v>
      </c>
      <c r="AI157" s="85">
        <f t="shared" si="155"/>
        <v>0</v>
      </c>
      <c r="AJ157" s="85">
        <f t="shared" si="155"/>
        <v>0</v>
      </c>
      <c r="AK157" s="85">
        <f t="shared" si="155"/>
        <v>0</v>
      </c>
      <c r="AL157" s="85">
        <f t="shared" si="155"/>
        <v>0</v>
      </c>
      <c r="AM157" s="85">
        <f t="shared" si="155"/>
        <v>0</v>
      </c>
      <c r="AN157" s="85">
        <f t="shared" si="155"/>
        <v>0</v>
      </c>
      <c r="AO157" s="85">
        <f t="shared" si="155"/>
        <v>0</v>
      </c>
      <c r="AP157" s="85">
        <f t="shared" si="155"/>
        <v>0</v>
      </c>
      <c r="AQ157" s="85">
        <f t="shared" si="155"/>
        <v>0</v>
      </c>
      <c r="AR157" s="85">
        <f t="shared" si="155"/>
        <v>0</v>
      </c>
      <c r="AS157" s="85">
        <f t="shared" si="155"/>
        <v>0</v>
      </c>
      <c r="AT157" s="85">
        <f t="shared" si="155"/>
        <v>0</v>
      </c>
    </row>
    <row r="158" spans="1:49" x14ac:dyDescent="0.25">
      <c r="A158" s="22"/>
      <c r="B158" s="186" t="str">
        <f t="shared" si="153"/>
        <v>TFLELPG100</v>
      </c>
      <c r="C158" s="186"/>
      <c r="D158" s="187"/>
      <c r="E158" s="186"/>
      <c r="F158" s="170"/>
      <c r="G158" s="189"/>
      <c r="H158" s="170"/>
      <c r="I158" s="190">
        <f>$M$3</f>
        <v>2019</v>
      </c>
      <c r="J158" s="191"/>
      <c r="K158" s="191"/>
      <c r="L158" s="211" t="s">
        <v>1065</v>
      </c>
      <c r="M158" s="191" t="s">
        <v>748</v>
      </c>
      <c r="N158" s="694">
        <f>LOOKUP($C$153, T_Stock_Private!$C$90:$C$100, T_Stock_Private!D$90:D$100)*(1+N41)</f>
        <v>0</v>
      </c>
      <c r="O158" s="694">
        <f>LOOKUP($C$153, T_Stock_Private!$C$90:$C$100, T_Stock_Private!E$90:E$100)*(1+O41)</f>
        <v>0</v>
      </c>
      <c r="P158" s="694">
        <f>LOOKUP($C$153, T_Stock_Private!$C$90:$C$100, T_Stock_Private!F$90:F$100)*(1+P41)</f>
        <v>0</v>
      </c>
      <c r="Q158" s="694">
        <f>LOOKUP($C$153, T_Stock_Private!$C$90:$C$100, T_Stock_Private!G$90:G$100)*(1+Q41)</f>
        <v>0</v>
      </c>
      <c r="R158" s="694">
        <f>LOOKUP($C$153, T_Stock_Private!$C$90:$C$100, T_Stock_Private!H$90:H$100)*(1+R41)</f>
        <v>0</v>
      </c>
      <c r="S158" s="694">
        <f>LOOKUP($C$153, T_Stock_Private!$C$90:$C$100, T_Stock_Private!I$90:I$100)*(1+S41)</f>
        <v>0</v>
      </c>
      <c r="T158" s="694">
        <f>LOOKUP($C$153, T_Stock_Private!$C$90:$C$100, T_Stock_Private!J$90:J$100)*(1+T41)</f>
        <v>0</v>
      </c>
      <c r="U158" s="694">
        <f>LOOKUP($C$153, T_Stock_Private!$C$90:$C$100, T_Stock_Private!K$90:K$100)*(1+U41)</f>
        <v>0</v>
      </c>
      <c r="V158" s="694">
        <f>LOOKUP($C$153, T_Stock_Private!$C$90:$C$100, T_Stock_Private!L$90:L$100)*(1+V41)</f>
        <v>0</v>
      </c>
      <c r="W158" s="694">
        <f>LOOKUP($C$153, T_Stock_Private!$C$90:$C$100, T_Stock_Private!M$90:M$100)*(1+W41)</f>
        <v>0</v>
      </c>
      <c r="X158" s="694">
        <f>LOOKUP($C$153, T_Stock_Private!$C$90:$C$100, T_Stock_Private!N$90:N$100)*(1+X41)</f>
        <v>0</v>
      </c>
      <c r="Y158" s="694">
        <f>LOOKUP($C$153, T_Stock_Private!$C$90:$C$100, T_Stock_Private!O$90:O$100)*(1+Y41)</f>
        <v>0</v>
      </c>
      <c r="Z158" s="694">
        <f>LOOKUP($C$153, T_Stock_Private!$C$90:$C$100, T_Stock_Private!P$90:P$100)*(1+Z41)</f>
        <v>0</v>
      </c>
      <c r="AA158" s="694">
        <f>LOOKUP($C$153, T_Stock_Private!$C$90:$C$100, T_Stock_Private!Q$90:Q$100)*(1+AA41)</f>
        <v>0</v>
      </c>
      <c r="AB158" s="694">
        <f>LOOKUP($C$153, T_Stock_Private!$C$90:$C$100, T_Stock_Private!R$90:R$100)*(1+AB41)</f>
        <v>0</v>
      </c>
      <c r="AC158" s="89"/>
    </row>
    <row r="159" spans="1:49" x14ac:dyDescent="0.25">
      <c r="A159" s="22"/>
      <c r="B159" s="186" t="str">
        <f t="shared" si="153"/>
        <v>TFLELPG100</v>
      </c>
      <c r="C159" s="186"/>
      <c r="D159" s="187"/>
      <c r="E159" s="186"/>
      <c r="F159" s="170"/>
      <c r="G159" s="189"/>
      <c r="H159" s="170"/>
      <c r="I159" s="190">
        <f>AF$5</f>
        <v>2020</v>
      </c>
      <c r="J159" s="191"/>
      <c r="K159" s="191"/>
      <c r="L159" s="211" t="s">
        <v>1065</v>
      </c>
      <c r="M159" s="191" t="s">
        <v>748</v>
      </c>
      <c r="N159" s="694">
        <f t="shared" ref="N159:AB159" si="156">N158*LOOKUP($AD153,$AG$4:$AP$4,$AG$5:$AP$5)</f>
        <v>0</v>
      </c>
      <c r="O159" s="694">
        <f t="shared" si="156"/>
        <v>0</v>
      </c>
      <c r="P159" s="694">
        <f t="shared" si="156"/>
        <v>0</v>
      </c>
      <c r="Q159" s="694">
        <f t="shared" si="156"/>
        <v>0</v>
      </c>
      <c r="R159" s="694">
        <f t="shared" si="156"/>
        <v>0</v>
      </c>
      <c r="S159" s="694">
        <f t="shared" si="156"/>
        <v>0</v>
      </c>
      <c r="T159" s="694">
        <f t="shared" si="156"/>
        <v>0</v>
      </c>
      <c r="U159" s="694">
        <f t="shared" si="156"/>
        <v>0</v>
      </c>
      <c r="V159" s="694">
        <f t="shared" si="156"/>
        <v>0</v>
      </c>
      <c r="W159" s="694">
        <f t="shared" si="156"/>
        <v>0</v>
      </c>
      <c r="X159" s="694">
        <f t="shared" si="156"/>
        <v>0</v>
      </c>
      <c r="Y159" s="694">
        <f t="shared" si="156"/>
        <v>0</v>
      </c>
      <c r="Z159" s="694">
        <f t="shared" si="156"/>
        <v>0</v>
      </c>
      <c r="AA159" s="694">
        <f t="shared" si="156"/>
        <v>0</v>
      </c>
      <c r="AB159" s="694">
        <f t="shared" si="156"/>
        <v>0</v>
      </c>
    </row>
    <row r="160" spans="1:49" x14ac:dyDescent="0.25">
      <c r="A160" s="22"/>
      <c r="B160" s="186" t="str">
        <f t="shared" si="153"/>
        <v>TFLELPG100</v>
      </c>
      <c r="C160" s="186"/>
      <c r="D160" s="187"/>
      <c r="E160" s="186"/>
      <c r="F160" s="170"/>
      <c r="G160" s="189"/>
      <c r="H160" s="170"/>
      <c r="I160" s="190">
        <f>AF$6</f>
        <v>2025</v>
      </c>
      <c r="J160" s="191"/>
      <c r="K160" s="191"/>
      <c r="L160" s="211" t="s">
        <v>1065</v>
      </c>
      <c r="M160" s="191" t="s">
        <v>748</v>
      </c>
      <c r="N160" s="694">
        <f t="shared" ref="N160:AB160" si="157">N158*LOOKUP($AD153,$AG$4:$AP$4,$AG$6:$AP$6)</f>
        <v>0</v>
      </c>
      <c r="O160" s="694">
        <f t="shared" si="157"/>
        <v>0</v>
      </c>
      <c r="P160" s="694">
        <f t="shared" si="157"/>
        <v>0</v>
      </c>
      <c r="Q160" s="694">
        <f t="shared" si="157"/>
        <v>0</v>
      </c>
      <c r="R160" s="694">
        <f t="shared" si="157"/>
        <v>0</v>
      </c>
      <c r="S160" s="694">
        <f t="shared" si="157"/>
        <v>0</v>
      </c>
      <c r="T160" s="694">
        <f t="shared" si="157"/>
        <v>0</v>
      </c>
      <c r="U160" s="694">
        <f t="shared" si="157"/>
        <v>0</v>
      </c>
      <c r="V160" s="694">
        <f t="shared" si="157"/>
        <v>0</v>
      </c>
      <c r="W160" s="694">
        <f t="shared" si="157"/>
        <v>0</v>
      </c>
      <c r="X160" s="694">
        <f t="shared" si="157"/>
        <v>0</v>
      </c>
      <c r="Y160" s="694">
        <f t="shared" si="157"/>
        <v>0</v>
      </c>
      <c r="Z160" s="694">
        <f t="shared" si="157"/>
        <v>0</v>
      </c>
      <c r="AA160" s="694">
        <f t="shared" si="157"/>
        <v>0</v>
      </c>
      <c r="AB160" s="694">
        <f t="shared" si="157"/>
        <v>0</v>
      </c>
    </row>
    <row r="161" spans="1:64" x14ac:dyDescent="0.25">
      <c r="A161" s="22"/>
      <c r="B161" s="186" t="str">
        <f t="shared" si="153"/>
        <v>TFLELPG100</v>
      </c>
      <c r="C161" s="186"/>
      <c r="D161" s="187"/>
      <c r="E161" s="186"/>
      <c r="F161" s="170"/>
      <c r="G161" s="189"/>
      <c r="H161" s="170"/>
      <c r="I161" s="190">
        <f>AF$7</f>
        <v>2030</v>
      </c>
      <c r="J161" s="191"/>
      <c r="K161" s="191"/>
      <c r="L161" s="211" t="s">
        <v>1065</v>
      </c>
      <c r="M161" s="191" t="s">
        <v>748</v>
      </c>
      <c r="N161" s="694">
        <f t="shared" ref="N161:AB161" si="158">N158*LOOKUP($AD153,$AG$4:$AP$4,$AG$7:$AP$7)</f>
        <v>0</v>
      </c>
      <c r="O161" s="694">
        <f t="shared" si="158"/>
        <v>0</v>
      </c>
      <c r="P161" s="694">
        <f t="shared" si="158"/>
        <v>0</v>
      </c>
      <c r="Q161" s="694">
        <f t="shared" si="158"/>
        <v>0</v>
      </c>
      <c r="R161" s="694">
        <f t="shared" si="158"/>
        <v>0</v>
      </c>
      <c r="S161" s="694">
        <f t="shared" si="158"/>
        <v>0</v>
      </c>
      <c r="T161" s="694">
        <f t="shared" si="158"/>
        <v>0</v>
      </c>
      <c r="U161" s="694">
        <f t="shared" si="158"/>
        <v>0</v>
      </c>
      <c r="V161" s="694">
        <f t="shared" si="158"/>
        <v>0</v>
      </c>
      <c r="W161" s="694">
        <f t="shared" si="158"/>
        <v>0</v>
      </c>
      <c r="X161" s="694">
        <f t="shared" si="158"/>
        <v>0</v>
      </c>
      <c r="Y161" s="694">
        <f t="shared" si="158"/>
        <v>0</v>
      </c>
      <c r="Z161" s="694">
        <f t="shared" si="158"/>
        <v>0</v>
      </c>
      <c r="AA161" s="694">
        <f t="shared" si="158"/>
        <v>0</v>
      </c>
      <c r="AB161" s="694">
        <f t="shared" si="158"/>
        <v>0</v>
      </c>
    </row>
    <row r="162" spans="1:64" x14ac:dyDescent="0.25">
      <c r="A162" s="22"/>
      <c r="B162" s="186" t="str">
        <f t="shared" si="153"/>
        <v>TFLELPG100</v>
      </c>
      <c r="C162" s="186"/>
      <c r="D162" s="187"/>
      <c r="E162" s="186"/>
      <c r="F162" s="170"/>
      <c r="G162" s="189"/>
      <c r="H162" s="170"/>
      <c r="I162" s="190">
        <f>AF$8</f>
        <v>2035</v>
      </c>
      <c r="J162" s="191"/>
      <c r="K162" s="191"/>
      <c r="L162" s="211" t="s">
        <v>1065</v>
      </c>
      <c r="M162" s="191" t="s">
        <v>748</v>
      </c>
      <c r="N162" s="694">
        <f t="shared" ref="N162:AB162" si="159">N158*LOOKUP($AD153,$AG$4:$AP$4,$AG$8:$AP$8)</f>
        <v>0</v>
      </c>
      <c r="O162" s="694">
        <f t="shared" si="159"/>
        <v>0</v>
      </c>
      <c r="P162" s="694">
        <f t="shared" si="159"/>
        <v>0</v>
      </c>
      <c r="Q162" s="694">
        <f t="shared" si="159"/>
        <v>0</v>
      </c>
      <c r="R162" s="694">
        <f t="shared" si="159"/>
        <v>0</v>
      </c>
      <c r="S162" s="694">
        <f t="shared" si="159"/>
        <v>0</v>
      </c>
      <c r="T162" s="694">
        <f t="shared" si="159"/>
        <v>0</v>
      </c>
      <c r="U162" s="694">
        <f t="shared" si="159"/>
        <v>0</v>
      </c>
      <c r="V162" s="694">
        <f t="shared" si="159"/>
        <v>0</v>
      </c>
      <c r="W162" s="694">
        <f t="shared" si="159"/>
        <v>0</v>
      </c>
      <c r="X162" s="694">
        <f t="shared" si="159"/>
        <v>0</v>
      </c>
      <c r="Y162" s="694">
        <f t="shared" si="159"/>
        <v>0</v>
      </c>
      <c r="Z162" s="694">
        <f t="shared" si="159"/>
        <v>0</v>
      </c>
      <c r="AA162" s="694">
        <f t="shared" si="159"/>
        <v>0</v>
      </c>
      <c r="AB162" s="694">
        <f t="shared" si="159"/>
        <v>0</v>
      </c>
    </row>
    <row r="163" spans="1:64" x14ac:dyDescent="0.25">
      <c r="A163" s="22"/>
      <c r="B163" s="186" t="str">
        <f t="shared" si="153"/>
        <v>TFLELPG100</v>
      </c>
      <c r="C163" s="186"/>
      <c r="D163" s="187"/>
      <c r="E163" s="186"/>
      <c r="F163" s="170"/>
      <c r="G163" s="189"/>
      <c r="H163" s="170"/>
      <c r="I163" s="190">
        <f>AF$9</f>
        <v>2040</v>
      </c>
      <c r="J163" s="191"/>
      <c r="K163" s="191"/>
      <c r="L163" s="211" t="s">
        <v>1065</v>
      </c>
      <c r="M163" s="191" t="s">
        <v>748</v>
      </c>
      <c r="N163" s="694">
        <f t="shared" ref="N163:AB163" si="160">N158*LOOKUP($AD153,$AG$4:$AP$4,$AG$9:$AP$9)</f>
        <v>0</v>
      </c>
      <c r="O163" s="694">
        <f t="shared" si="160"/>
        <v>0</v>
      </c>
      <c r="P163" s="694">
        <f t="shared" si="160"/>
        <v>0</v>
      </c>
      <c r="Q163" s="694">
        <f t="shared" si="160"/>
        <v>0</v>
      </c>
      <c r="R163" s="694">
        <f t="shared" si="160"/>
        <v>0</v>
      </c>
      <c r="S163" s="694">
        <f t="shared" si="160"/>
        <v>0</v>
      </c>
      <c r="T163" s="694">
        <f t="shared" si="160"/>
        <v>0</v>
      </c>
      <c r="U163" s="694">
        <f t="shared" si="160"/>
        <v>0</v>
      </c>
      <c r="V163" s="694">
        <f t="shared" si="160"/>
        <v>0</v>
      </c>
      <c r="W163" s="694">
        <f t="shared" si="160"/>
        <v>0</v>
      </c>
      <c r="X163" s="694">
        <f t="shared" si="160"/>
        <v>0</v>
      </c>
      <c r="Y163" s="694">
        <f t="shared" si="160"/>
        <v>0</v>
      </c>
      <c r="Z163" s="694">
        <f t="shared" si="160"/>
        <v>0</v>
      </c>
      <c r="AA163" s="694">
        <f t="shared" si="160"/>
        <v>0</v>
      </c>
      <c r="AB163" s="694">
        <f t="shared" si="160"/>
        <v>0</v>
      </c>
    </row>
    <row r="164" spans="1:64" x14ac:dyDescent="0.25">
      <c r="A164" s="22"/>
      <c r="B164" s="193" t="str">
        <f t="shared" si="153"/>
        <v>TFLELPG100</v>
      </c>
      <c r="C164" s="193"/>
      <c r="D164" s="194"/>
      <c r="E164" s="193"/>
      <c r="F164" s="196"/>
      <c r="G164" s="195"/>
      <c r="H164" s="196"/>
      <c r="I164" s="197">
        <f>AF$10</f>
        <v>2050</v>
      </c>
      <c r="J164" s="198"/>
      <c r="K164" s="198"/>
      <c r="L164" s="212" t="s">
        <v>1065</v>
      </c>
      <c r="M164" s="198" t="s">
        <v>748</v>
      </c>
      <c r="N164" s="695">
        <f t="shared" ref="N164:AB164" si="161">N158*LOOKUP($AD153,$AG$4:$AP$4,$AG$10:$AP$10)</f>
        <v>0</v>
      </c>
      <c r="O164" s="695">
        <f t="shared" si="161"/>
        <v>0</v>
      </c>
      <c r="P164" s="695">
        <f t="shared" si="161"/>
        <v>0</v>
      </c>
      <c r="Q164" s="695">
        <f t="shared" si="161"/>
        <v>0</v>
      </c>
      <c r="R164" s="695">
        <f t="shared" si="161"/>
        <v>0</v>
      </c>
      <c r="S164" s="695">
        <f t="shared" si="161"/>
        <v>0</v>
      </c>
      <c r="T164" s="695">
        <f t="shared" si="161"/>
        <v>0</v>
      </c>
      <c r="U164" s="695">
        <f t="shared" si="161"/>
        <v>0</v>
      </c>
      <c r="V164" s="695">
        <f t="shared" si="161"/>
        <v>0</v>
      </c>
      <c r="W164" s="695">
        <f t="shared" si="161"/>
        <v>0</v>
      </c>
      <c r="X164" s="695">
        <f t="shared" si="161"/>
        <v>0</v>
      </c>
      <c r="Y164" s="695">
        <f t="shared" si="161"/>
        <v>0</v>
      </c>
      <c r="Z164" s="695">
        <f t="shared" si="161"/>
        <v>0</v>
      </c>
      <c r="AA164" s="695">
        <f t="shared" si="161"/>
        <v>0</v>
      </c>
      <c r="AB164" s="695">
        <f t="shared" si="161"/>
        <v>0</v>
      </c>
    </row>
    <row r="165" spans="1:64" s="83" customFormat="1" x14ac:dyDescent="0.25">
      <c r="A165" s="82"/>
      <c r="B165" s="178" t="str">
        <f>C165</f>
        <v>TFLEPYD100</v>
      </c>
      <c r="C165" s="178" t="s">
        <v>356</v>
      </c>
      <c r="D165" s="179" t="s">
        <v>822</v>
      </c>
      <c r="E165" s="407" t="s">
        <v>988</v>
      </c>
      <c r="F165" s="182"/>
      <c r="G165" s="181"/>
      <c r="H165" s="182"/>
      <c r="I165" s="183"/>
      <c r="J165" s="184"/>
      <c r="K165" s="184"/>
      <c r="L165" s="203" t="s">
        <v>1107</v>
      </c>
      <c r="M165" s="184" t="s">
        <v>1125</v>
      </c>
      <c r="N165" s="378">
        <f>N$58</f>
        <v>1E-3</v>
      </c>
      <c r="O165" s="378">
        <f t="shared" ref="O165:AB165" si="162">$N165</f>
        <v>1E-3</v>
      </c>
      <c r="P165" s="378">
        <f t="shared" si="162"/>
        <v>1E-3</v>
      </c>
      <c r="Q165" s="378">
        <f t="shared" si="162"/>
        <v>1E-3</v>
      </c>
      <c r="R165" s="378">
        <f t="shared" si="162"/>
        <v>1E-3</v>
      </c>
      <c r="S165" s="378">
        <f t="shared" si="162"/>
        <v>1E-3</v>
      </c>
      <c r="T165" s="378">
        <f t="shared" si="162"/>
        <v>1E-3</v>
      </c>
      <c r="U165" s="378">
        <f t="shared" si="162"/>
        <v>1E-3</v>
      </c>
      <c r="V165" s="378">
        <f t="shared" si="162"/>
        <v>1E-3</v>
      </c>
      <c r="W165" s="378">
        <f t="shared" si="162"/>
        <v>1E-3</v>
      </c>
      <c r="X165" s="378">
        <f t="shared" si="162"/>
        <v>1E-3</v>
      </c>
      <c r="Y165" s="378">
        <f t="shared" si="162"/>
        <v>1E-3</v>
      </c>
      <c r="Z165" s="378">
        <f t="shared" si="162"/>
        <v>1E-3</v>
      </c>
      <c r="AA165" s="378">
        <f t="shared" si="162"/>
        <v>1E-3</v>
      </c>
      <c r="AB165" s="378">
        <f t="shared" si="162"/>
        <v>1E-3</v>
      </c>
      <c r="AD165" s="410" t="str">
        <f>MID(D165,13,3)</f>
        <v>Plu</v>
      </c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V165" s="700" t="str">
        <f t="shared" ref="AV165:AV168" si="163">MID(E165,1,7)</f>
        <v>TRABDL</v>
      </c>
      <c r="AW165" s="568">
        <f t="shared" ref="AW165:AW166" si="164">SUM(AX165:BL165)</f>
        <v>0</v>
      </c>
    </row>
    <row r="166" spans="1:64" s="83" customFormat="1" x14ac:dyDescent="0.25">
      <c r="A166" s="82"/>
      <c r="B166" s="178" t="str">
        <f>B165</f>
        <v>TFLEPYD100</v>
      </c>
      <c r="C166" s="178"/>
      <c r="D166" s="179"/>
      <c r="E166" s="407" t="s">
        <v>185</v>
      </c>
      <c r="F166" s="182"/>
      <c r="G166" s="181"/>
      <c r="H166" s="182"/>
      <c r="I166" s="183"/>
      <c r="J166" s="184" t="str">
        <f>$J$59</f>
        <v>UP</v>
      </c>
      <c r="K166" s="184"/>
      <c r="L166" s="203" t="s">
        <v>101</v>
      </c>
      <c r="M166" s="184"/>
      <c r="N166" s="390">
        <f>1-N$29-N$28</f>
        <v>0.78</v>
      </c>
      <c r="O166" s="390">
        <f t="shared" ref="O166:AB166" si="165">1-O$29-O$28</f>
        <v>0.78</v>
      </c>
      <c r="P166" s="390">
        <f t="shared" si="165"/>
        <v>0.78</v>
      </c>
      <c r="Q166" s="390">
        <f t="shared" si="165"/>
        <v>0.78</v>
      </c>
      <c r="R166" s="390">
        <f t="shared" si="165"/>
        <v>0.78</v>
      </c>
      <c r="S166" s="390">
        <f t="shared" si="165"/>
        <v>0.78</v>
      </c>
      <c r="T166" s="390">
        <f t="shared" si="165"/>
        <v>0.78</v>
      </c>
      <c r="U166" s="390">
        <f t="shared" si="165"/>
        <v>0.78</v>
      </c>
      <c r="V166" s="390">
        <f t="shared" si="165"/>
        <v>0.78</v>
      </c>
      <c r="W166" s="390">
        <f t="shared" si="165"/>
        <v>0.78</v>
      </c>
      <c r="X166" s="390">
        <f t="shared" si="165"/>
        <v>0.78</v>
      </c>
      <c r="Y166" s="390">
        <f t="shared" si="165"/>
        <v>0.78</v>
      </c>
      <c r="Z166" s="390">
        <f t="shared" si="165"/>
        <v>0.78</v>
      </c>
      <c r="AA166" s="390">
        <f t="shared" si="165"/>
        <v>0.78</v>
      </c>
      <c r="AB166" s="390">
        <f t="shared" si="165"/>
        <v>0.78</v>
      </c>
      <c r="AD166" s="66" t="str">
        <f>IF(COUNTIF($AG$4:$AP$4,AD165)=1,"ok","MISSING")</f>
        <v>ok</v>
      </c>
      <c r="AV166" s="700" t="str">
        <f t="shared" si="163"/>
        <v>TRADST</v>
      </c>
      <c r="AW166" s="568">
        <f t="shared" si="164"/>
        <v>0</v>
      </c>
    </row>
    <row r="167" spans="1:64" s="83" customFormat="1" x14ac:dyDescent="0.25">
      <c r="A167" s="82"/>
      <c r="B167" s="178" t="str">
        <f t="shared" ref="B167" si="166">B166</f>
        <v>TFLEPYD100</v>
      </c>
      <c r="C167" s="178"/>
      <c r="D167" s="179"/>
      <c r="E167" s="407" t="s">
        <v>990</v>
      </c>
      <c r="F167" s="182"/>
      <c r="G167" s="181"/>
      <c r="H167" s="182"/>
      <c r="I167" s="183"/>
      <c r="J167" s="184" t="s">
        <v>1157</v>
      </c>
      <c r="K167" s="184"/>
      <c r="L167" s="203" t="s">
        <v>101</v>
      </c>
      <c r="M167" s="184"/>
      <c r="N167" s="690">
        <f>N$28</f>
        <v>7.0000000000000007E-2</v>
      </c>
      <c r="O167" s="690">
        <f t="shared" ref="O167:AB167" si="167">O$28</f>
        <v>7.0000000000000007E-2</v>
      </c>
      <c r="P167" s="690">
        <f t="shared" si="167"/>
        <v>7.0000000000000007E-2</v>
      </c>
      <c r="Q167" s="690">
        <f t="shared" si="167"/>
        <v>7.0000000000000007E-2</v>
      </c>
      <c r="R167" s="690">
        <f t="shared" si="167"/>
        <v>7.0000000000000007E-2</v>
      </c>
      <c r="S167" s="690">
        <f t="shared" si="167"/>
        <v>7.0000000000000007E-2</v>
      </c>
      <c r="T167" s="690">
        <f t="shared" si="167"/>
        <v>7.0000000000000007E-2</v>
      </c>
      <c r="U167" s="690">
        <f t="shared" si="167"/>
        <v>7.0000000000000007E-2</v>
      </c>
      <c r="V167" s="690">
        <f t="shared" si="167"/>
        <v>7.0000000000000007E-2</v>
      </c>
      <c r="W167" s="690">
        <f t="shared" si="167"/>
        <v>7.0000000000000007E-2</v>
      </c>
      <c r="X167" s="690">
        <f t="shared" si="167"/>
        <v>7.0000000000000007E-2</v>
      </c>
      <c r="Y167" s="690">
        <f t="shared" si="167"/>
        <v>7.0000000000000007E-2</v>
      </c>
      <c r="Z167" s="690">
        <f t="shared" si="167"/>
        <v>7.0000000000000007E-2</v>
      </c>
      <c r="AA167" s="690">
        <f t="shared" si="167"/>
        <v>7.0000000000000007E-2</v>
      </c>
      <c r="AB167" s="690">
        <f t="shared" si="167"/>
        <v>7.0000000000000007E-2</v>
      </c>
      <c r="AD167" s="408"/>
      <c r="AE167" s="357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V167" s="700"/>
      <c r="AW167" s="568"/>
      <c r="AX167" s="708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</row>
    <row r="168" spans="1:64" s="83" customFormat="1" x14ac:dyDescent="0.25">
      <c r="A168" s="82"/>
      <c r="B168" s="178" t="str">
        <f>B166</f>
        <v>TFLEPYD100</v>
      </c>
      <c r="C168" s="178"/>
      <c r="D168" s="179"/>
      <c r="E168" s="178"/>
      <c r="F168" s="182"/>
      <c r="G168" s="173" t="s">
        <v>431</v>
      </c>
      <c r="H168" s="182"/>
      <c r="I168" s="183"/>
      <c r="J168" s="184"/>
      <c r="K168" s="184"/>
      <c r="L168" s="184" t="s">
        <v>1126</v>
      </c>
      <c r="M168" s="184" t="s">
        <v>678</v>
      </c>
      <c r="N168" s="676">
        <f>T_CEFF!H176</f>
        <v>0.68376000000000003</v>
      </c>
      <c r="O168" s="676">
        <f>T_CEFF!I176</f>
        <v>0.68376000000000003</v>
      </c>
      <c r="P168" s="676">
        <f>T_CEFF!J176</f>
        <v>0.68376000000000003</v>
      </c>
      <c r="Q168" s="676">
        <f>T_CEFF!K176</f>
        <v>0.68376000000000003</v>
      </c>
      <c r="R168" s="676">
        <f>T_CEFF!L176</f>
        <v>0.68376000000000003</v>
      </c>
      <c r="S168" s="676">
        <f>T_CEFF!M176</f>
        <v>0.68376000000000003</v>
      </c>
      <c r="T168" s="676">
        <f>T_CEFF!N176</f>
        <v>0.68376000000000003</v>
      </c>
      <c r="U168" s="676">
        <f>T_CEFF!O176</f>
        <v>0.68376000000000003</v>
      </c>
      <c r="V168" s="676">
        <f>T_CEFF!P176</f>
        <v>0.68376000000000003</v>
      </c>
      <c r="W168" s="676">
        <f>T_CEFF!Q176</f>
        <v>0.68376000000000003</v>
      </c>
      <c r="X168" s="676">
        <f>T_CEFF!R176</f>
        <v>0.68376000000000003</v>
      </c>
      <c r="Y168" s="676">
        <f>T_CEFF!S176</f>
        <v>0.68376000000000003</v>
      </c>
      <c r="Z168" s="676">
        <f>T_CEFF!T176</f>
        <v>0.68376000000000003</v>
      </c>
      <c r="AA168" s="676">
        <f>T_CEFF!U176</f>
        <v>0.68376000000000003</v>
      </c>
      <c r="AB168" s="676">
        <f>T_CEFF!V176</f>
        <v>0.68376000000000003</v>
      </c>
      <c r="AV168" s="700" t="str">
        <f t="shared" si="163"/>
        <v/>
      </c>
      <c r="AW168" s="568"/>
    </row>
    <row r="169" spans="1:64" s="83" customFormat="1" x14ac:dyDescent="0.25">
      <c r="A169" s="82"/>
      <c r="B169" s="178" t="str">
        <f>B168</f>
        <v>TFLEPYD100</v>
      </c>
      <c r="C169" s="178"/>
      <c r="D169" s="179"/>
      <c r="E169" s="178"/>
      <c r="F169" s="182"/>
      <c r="G169" s="173" t="s">
        <v>429</v>
      </c>
      <c r="H169" s="182"/>
      <c r="I169" s="183"/>
      <c r="J169" s="184"/>
      <c r="K169" s="184"/>
      <c r="L169" s="184" t="s">
        <v>1126</v>
      </c>
      <c r="M169" s="184" t="s">
        <v>678</v>
      </c>
      <c r="N169" s="676">
        <f>T_CEFF!H177</f>
        <v>0.87912000000000001</v>
      </c>
      <c r="O169" s="676">
        <f>T_CEFF!I177</f>
        <v>0.87912000000000001</v>
      </c>
      <c r="P169" s="676">
        <f>T_CEFF!J177</f>
        <v>0.87912000000000001</v>
      </c>
      <c r="Q169" s="676">
        <f>T_CEFF!K177</f>
        <v>0.87912000000000001</v>
      </c>
      <c r="R169" s="676">
        <f>T_CEFF!L177</f>
        <v>0.87912000000000001</v>
      </c>
      <c r="S169" s="676">
        <f>T_CEFF!M177</f>
        <v>0.87912000000000001</v>
      </c>
      <c r="T169" s="676">
        <f>T_CEFF!N177</f>
        <v>0.87912000000000001</v>
      </c>
      <c r="U169" s="676">
        <f>T_CEFF!O177</f>
        <v>0.87912000000000001</v>
      </c>
      <c r="V169" s="676">
        <f>T_CEFF!P177</f>
        <v>0.87912000000000001</v>
      </c>
      <c r="W169" s="676">
        <f>T_CEFF!Q177</f>
        <v>0.87912000000000001</v>
      </c>
      <c r="X169" s="676">
        <f>T_CEFF!R177</f>
        <v>0.87912000000000001</v>
      </c>
      <c r="Y169" s="676">
        <f>T_CEFF!S177</f>
        <v>0.87912000000000001</v>
      </c>
      <c r="Z169" s="676">
        <f>T_CEFF!T177</f>
        <v>0.87912000000000001</v>
      </c>
      <c r="AA169" s="676">
        <f>T_CEFF!U177</f>
        <v>0.87912000000000001</v>
      </c>
      <c r="AB169" s="676">
        <f>T_CEFF!V177</f>
        <v>0.87912000000000001</v>
      </c>
    </row>
    <row r="170" spans="1:64" s="83" customFormat="1" x14ac:dyDescent="0.25">
      <c r="A170" s="82"/>
      <c r="B170" s="178" t="str">
        <f t="shared" ref="B170:B178" si="168">B169</f>
        <v>TFLEPYD100</v>
      </c>
      <c r="C170" s="178"/>
      <c r="D170" s="179"/>
      <c r="E170" s="178"/>
      <c r="F170" s="182"/>
      <c r="G170" s="181"/>
      <c r="H170" s="182"/>
      <c r="I170" s="183"/>
      <c r="J170" s="184"/>
      <c r="K170" s="184" t="s">
        <v>749</v>
      </c>
      <c r="L170" s="184" t="s">
        <v>1128</v>
      </c>
      <c r="M170" s="184" t="s">
        <v>1175</v>
      </c>
      <c r="N170" s="388">
        <f t="shared" ref="N170:AB170" si="169">N$23</f>
        <v>0.76</v>
      </c>
      <c r="O170" s="388">
        <f t="shared" si="169"/>
        <v>0</v>
      </c>
      <c r="P170" s="388">
        <f t="shared" si="169"/>
        <v>0</v>
      </c>
      <c r="Q170" s="388">
        <f t="shared" si="169"/>
        <v>0</v>
      </c>
      <c r="R170" s="388">
        <f t="shared" si="169"/>
        <v>0</v>
      </c>
      <c r="S170" s="388">
        <f t="shared" si="169"/>
        <v>0</v>
      </c>
      <c r="T170" s="388">
        <f t="shared" si="169"/>
        <v>0</v>
      </c>
      <c r="U170" s="388">
        <f t="shared" si="169"/>
        <v>0</v>
      </c>
      <c r="V170" s="388">
        <f t="shared" si="169"/>
        <v>0</v>
      </c>
      <c r="W170" s="388">
        <f t="shared" si="169"/>
        <v>0</v>
      </c>
      <c r="X170" s="388">
        <f t="shared" si="169"/>
        <v>0</v>
      </c>
      <c r="Y170" s="388">
        <f t="shared" si="169"/>
        <v>0</v>
      </c>
      <c r="Z170" s="388">
        <f t="shared" si="169"/>
        <v>0</v>
      </c>
      <c r="AA170" s="388">
        <f t="shared" si="169"/>
        <v>0</v>
      </c>
      <c r="AB170" s="388">
        <f t="shared" si="169"/>
        <v>0</v>
      </c>
    </row>
    <row r="171" spans="1:64" s="83" customFormat="1" x14ac:dyDescent="0.25">
      <c r="A171" s="82"/>
      <c r="B171" s="178" t="str">
        <f t="shared" si="168"/>
        <v>TFLEPYD100</v>
      </c>
      <c r="C171" s="178"/>
      <c r="D171" s="179"/>
      <c r="E171" s="178"/>
      <c r="F171" s="182"/>
      <c r="G171" s="181"/>
      <c r="H171" s="182"/>
      <c r="I171" s="183"/>
      <c r="J171" s="184"/>
      <c r="K171" s="184"/>
      <c r="L171" s="203" t="s">
        <v>1130</v>
      </c>
      <c r="M171" s="184" t="s">
        <v>1131</v>
      </c>
      <c r="N171" s="397">
        <f>LOOKUP($C$165, T_NCAP_AF!$C$125:$C$135, T_NCAP_AF!D$125:D$135)*(1+N40)</f>
        <v>14.959466820000001</v>
      </c>
      <c r="O171" s="397">
        <f>LOOKUP($C$165, T_NCAP_AF!$C$125:$C$135, T_NCAP_AF!E$125:E$135)*(1+O40)</f>
        <v>0</v>
      </c>
      <c r="P171" s="397">
        <f>LOOKUP($C$165, T_NCAP_AF!$C$125:$C$135, T_NCAP_AF!F$125:F$135)*(1+P40)</f>
        <v>0</v>
      </c>
      <c r="Q171" s="397">
        <f>LOOKUP($C$165, T_NCAP_AF!$C$125:$C$135, T_NCAP_AF!G$125:G$135)*(1+Q40)</f>
        <v>0</v>
      </c>
      <c r="R171" s="397">
        <f>LOOKUP($C$165, T_NCAP_AF!$C$125:$C$135, T_NCAP_AF!H$125:H$135)*(1+R40)</f>
        <v>0</v>
      </c>
      <c r="S171" s="397">
        <f>LOOKUP($C$165, T_NCAP_AF!$C$125:$C$135, T_NCAP_AF!I$125:I$135)*(1+S40)</f>
        <v>0</v>
      </c>
      <c r="T171" s="397">
        <f>LOOKUP($C$165, T_NCAP_AF!$C$125:$C$135, T_NCAP_AF!J$125:J$135)*(1+T40)</f>
        <v>0</v>
      </c>
      <c r="U171" s="397">
        <f>LOOKUP($C$165, T_NCAP_AF!$C$125:$C$135, T_NCAP_AF!K$125:K$135)*(1+U40)</f>
        <v>0</v>
      </c>
      <c r="V171" s="397">
        <f>LOOKUP($C$165, T_NCAP_AF!$C$125:$C$135, T_NCAP_AF!L$125:L$135)*(1+V40)</f>
        <v>0</v>
      </c>
      <c r="W171" s="397">
        <f>LOOKUP($C$165, T_NCAP_AF!$C$125:$C$135, T_NCAP_AF!M$125:M$135)*(1+W40)</f>
        <v>0</v>
      </c>
      <c r="X171" s="397">
        <f>LOOKUP($C$165, T_NCAP_AF!$C$125:$C$135, T_NCAP_AF!N$125:N$135)*(1+X40)</f>
        <v>0</v>
      </c>
      <c r="Y171" s="397">
        <f>LOOKUP($C$165, T_NCAP_AF!$C$125:$C$135, T_NCAP_AF!O$125:O$135)*(1+Y40)</f>
        <v>0</v>
      </c>
      <c r="Z171" s="397">
        <f>LOOKUP($C$165, T_NCAP_AF!$C$125:$C$135, T_NCAP_AF!P$125:P$135)*(1+Z40)</f>
        <v>0</v>
      </c>
      <c r="AA171" s="397">
        <f>LOOKUP($C$165, T_NCAP_AF!$C$125:$C$135, T_NCAP_AF!Q$125:Q$135)*(1+AA40)</f>
        <v>0</v>
      </c>
      <c r="AB171" s="397">
        <f>LOOKUP($C$165, T_NCAP_AF!$C$125:$C$135, T_NCAP_AF!R$125:R$135)*(1+AB40)</f>
        <v>0</v>
      </c>
      <c r="AE171" s="572">
        <f>SUM(AF171:AT171)</f>
        <v>0</v>
      </c>
      <c r="AF171" s="85">
        <f t="shared" ref="AF171:AT171" si="170">N170*N171*N172/1000</f>
        <v>0</v>
      </c>
      <c r="AG171" s="85">
        <f t="shared" si="170"/>
        <v>0</v>
      </c>
      <c r="AH171" s="85">
        <f t="shared" si="170"/>
        <v>0</v>
      </c>
      <c r="AI171" s="85">
        <f t="shared" si="170"/>
        <v>0</v>
      </c>
      <c r="AJ171" s="85">
        <f t="shared" si="170"/>
        <v>0</v>
      </c>
      <c r="AK171" s="85">
        <f t="shared" si="170"/>
        <v>0</v>
      </c>
      <c r="AL171" s="85">
        <f t="shared" si="170"/>
        <v>0</v>
      </c>
      <c r="AM171" s="85">
        <f t="shared" si="170"/>
        <v>0</v>
      </c>
      <c r="AN171" s="85">
        <f t="shared" si="170"/>
        <v>0</v>
      </c>
      <c r="AO171" s="85">
        <f t="shared" si="170"/>
        <v>0</v>
      </c>
      <c r="AP171" s="85">
        <f t="shared" si="170"/>
        <v>0</v>
      </c>
      <c r="AQ171" s="85">
        <f t="shared" si="170"/>
        <v>0</v>
      </c>
      <c r="AR171" s="85">
        <f t="shared" si="170"/>
        <v>0</v>
      </c>
      <c r="AS171" s="85">
        <f t="shared" si="170"/>
        <v>0</v>
      </c>
      <c r="AT171" s="85">
        <f t="shared" si="170"/>
        <v>0</v>
      </c>
    </row>
    <row r="172" spans="1:64" s="83" customFormat="1" x14ac:dyDescent="0.25">
      <c r="A172" s="82"/>
      <c r="B172" s="178" t="str">
        <f t="shared" si="168"/>
        <v>TFLEPYD100</v>
      </c>
      <c r="C172" s="178"/>
      <c r="D172" s="179"/>
      <c r="E172" s="178"/>
      <c r="F172" s="182"/>
      <c r="G172" s="181"/>
      <c r="H172" s="182"/>
      <c r="I172" s="183">
        <f>$M$3</f>
        <v>2019</v>
      </c>
      <c r="J172" s="184"/>
      <c r="K172" s="184"/>
      <c r="L172" s="203" t="s">
        <v>1065</v>
      </c>
      <c r="M172" s="184" t="s">
        <v>748</v>
      </c>
      <c r="N172" s="694">
        <f>LOOKUP($C$165, T_Stock_Private!$C$90:$C$100, T_Stock_Private!D$90:D$100)*(1+N41)</f>
        <v>0</v>
      </c>
      <c r="O172" s="694">
        <f>LOOKUP($C$165, T_Stock_Private!$C$90:$C$100, T_Stock_Private!E$90:E$100)*(1+O41)</f>
        <v>0</v>
      </c>
      <c r="P172" s="694">
        <f>LOOKUP($C$165, T_Stock_Private!$C$90:$C$100, T_Stock_Private!F$90:F$100)*(1+P41)</f>
        <v>0</v>
      </c>
      <c r="Q172" s="694">
        <f>LOOKUP($C$165, T_Stock_Private!$C$90:$C$100, T_Stock_Private!G$90:G$100)*(1+Q41)</f>
        <v>0</v>
      </c>
      <c r="R172" s="694">
        <f>LOOKUP($C$165, T_Stock_Private!$C$90:$C$100, T_Stock_Private!H$90:H$100)*(1+R41)</f>
        <v>0</v>
      </c>
      <c r="S172" s="694">
        <f>LOOKUP($C$165, T_Stock_Private!$C$90:$C$100, T_Stock_Private!I$90:I$100)*(1+S41)</f>
        <v>0</v>
      </c>
      <c r="T172" s="694">
        <f>LOOKUP($C$165, T_Stock_Private!$C$90:$C$100, T_Stock_Private!J$90:J$100)*(1+T41)</f>
        <v>0</v>
      </c>
      <c r="U172" s="694">
        <f>LOOKUP($C$165, T_Stock_Private!$C$90:$C$100, T_Stock_Private!K$90:K$100)*(1+U41)</f>
        <v>0</v>
      </c>
      <c r="V172" s="694">
        <f>LOOKUP($C$165, T_Stock_Private!$C$90:$C$100, T_Stock_Private!L$90:L$100)*(1+V41)</f>
        <v>0</v>
      </c>
      <c r="W172" s="694">
        <f>LOOKUP($C$165, T_Stock_Private!$C$90:$C$100, T_Stock_Private!M$90:M$100)*(1+W41)</f>
        <v>0</v>
      </c>
      <c r="X172" s="694">
        <f>LOOKUP($C$165, T_Stock_Private!$C$90:$C$100, T_Stock_Private!N$90:N$100)*(1+X41)</f>
        <v>0</v>
      </c>
      <c r="Y172" s="694">
        <f>LOOKUP($C$165, T_Stock_Private!$C$90:$C$100, T_Stock_Private!O$90:O$100)*(1+Y41)</f>
        <v>0</v>
      </c>
      <c r="Z172" s="694">
        <f>LOOKUP($C$165, T_Stock_Private!$C$90:$C$100, T_Stock_Private!P$90:P$100)*(1+Z41)</f>
        <v>0</v>
      </c>
      <c r="AA172" s="694">
        <f>LOOKUP($C$165, T_Stock_Private!$C$90:$C$100, T_Stock_Private!Q$90:Q$100)*(1+AA41)</f>
        <v>0</v>
      </c>
      <c r="AB172" s="694">
        <f>LOOKUP($C$165, T_Stock_Private!$C$90:$C$100, T_Stock_Private!R$90:R$100)*(1+AB41)</f>
        <v>0</v>
      </c>
      <c r="AC172" s="89"/>
      <c r="AD172" s="35"/>
    </row>
    <row r="173" spans="1:64" s="83" customFormat="1" x14ac:dyDescent="0.25">
      <c r="A173" s="82"/>
      <c r="B173" s="178" t="str">
        <f t="shared" si="168"/>
        <v>TFLEPYD100</v>
      </c>
      <c r="C173" s="178"/>
      <c r="D173" s="179"/>
      <c r="E173" s="178"/>
      <c r="F173" s="182"/>
      <c r="G173" s="181"/>
      <c r="H173" s="182"/>
      <c r="I173" s="183">
        <f>AF$5</f>
        <v>2020</v>
      </c>
      <c r="J173" s="184"/>
      <c r="K173" s="184"/>
      <c r="L173" s="203" t="s">
        <v>1065</v>
      </c>
      <c r="M173" s="184" t="s">
        <v>748</v>
      </c>
      <c r="N173" s="694">
        <f t="shared" ref="N173:AB173" si="171">N172*LOOKUP($AD165,$AG$4:$AP$4,$AG$5:$AP$5)</f>
        <v>0</v>
      </c>
      <c r="O173" s="694">
        <f t="shared" si="171"/>
        <v>0</v>
      </c>
      <c r="P173" s="694">
        <f t="shared" si="171"/>
        <v>0</v>
      </c>
      <c r="Q173" s="694">
        <f t="shared" si="171"/>
        <v>0</v>
      </c>
      <c r="R173" s="694">
        <f t="shared" si="171"/>
        <v>0</v>
      </c>
      <c r="S173" s="694">
        <f t="shared" si="171"/>
        <v>0</v>
      </c>
      <c r="T173" s="694">
        <f t="shared" si="171"/>
        <v>0</v>
      </c>
      <c r="U173" s="694">
        <f t="shared" si="171"/>
        <v>0</v>
      </c>
      <c r="V173" s="694">
        <f t="shared" si="171"/>
        <v>0</v>
      </c>
      <c r="W173" s="694">
        <f t="shared" si="171"/>
        <v>0</v>
      </c>
      <c r="X173" s="694">
        <f t="shared" si="171"/>
        <v>0</v>
      </c>
      <c r="Y173" s="694">
        <f t="shared" si="171"/>
        <v>0</v>
      </c>
      <c r="Z173" s="694">
        <f t="shared" si="171"/>
        <v>0</v>
      </c>
      <c r="AA173" s="694">
        <f t="shared" si="171"/>
        <v>0</v>
      </c>
      <c r="AB173" s="694">
        <f t="shared" si="171"/>
        <v>0</v>
      </c>
      <c r="AD173" s="35"/>
    </row>
    <row r="174" spans="1:64" s="83" customFormat="1" x14ac:dyDescent="0.25">
      <c r="A174" s="82"/>
      <c r="B174" s="178" t="str">
        <f t="shared" si="168"/>
        <v>TFLEPYD100</v>
      </c>
      <c r="C174" s="178"/>
      <c r="D174" s="179"/>
      <c r="E174" s="178"/>
      <c r="F174" s="182"/>
      <c r="G174" s="181"/>
      <c r="H174" s="182"/>
      <c r="I174" s="183">
        <f>AF$6</f>
        <v>2025</v>
      </c>
      <c r="J174" s="184"/>
      <c r="K174" s="184"/>
      <c r="L174" s="203" t="s">
        <v>1065</v>
      </c>
      <c r="M174" s="184" t="s">
        <v>748</v>
      </c>
      <c r="N174" s="694">
        <f t="shared" ref="N174:AB174" si="172">N172*LOOKUP($AD165,$AG$4:$AP$4,$AG$6:$AP$6)</f>
        <v>0</v>
      </c>
      <c r="O174" s="694">
        <f t="shared" si="172"/>
        <v>0</v>
      </c>
      <c r="P174" s="694">
        <f t="shared" si="172"/>
        <v>0</v>
      </c>
      <c r="Q174" s="694">
        <f t="shared" si="172"/>
        <v>0</v>
      </c>
      <c r="R174" s="694">
        <f t="shared" si="172"/>
        <v>0</v>
      </c>
      <c r="S174" s="694">
        <f t="shared" si="172"/>
        <v>0</v>
      </c>
      <c r="T174" s="694">
        <f t="shared" si="172"/>
        <v>0</v>
      </c>
      <c r="U174" s="694">
        <f t="shared" si="172"/>
        <v>0</v>
      </c>
      <c r="V174" s="694">
        <f t="shared" si="172"/>
        <v>0</v>
      </c>
      <c r="W174" s="694">
        <f t="shared" si="172"/>
        <v>0</v>
      </c>
      <c r="X174" s="694">
        <f t="shared" si="172"/>
        <v>0</v>
      </c>
      <c r="Y174" s="694">
        <f t="shared" si="172"/>
        <v>0</v>
      </c>
      <c r="Z174" s="694">
        <f t="shared" si="172"/>
        <v>0</v>
      </c>
      <c r="AA174" s="694">
        <f t="shared" si="172"/>
        <v>0</v>
      </c>
      <c r="AB174" s="694">
        <f t="shared" si="172"/>
        <v>0</v>
      </c>
      <c r="AD174" s="35"/>
    </row>
    <row r="175" spans="1:64" s="83" customFormat="1" x14ac:dyDescent="0.25">
      <c r="A175" s="82"/>
      <c r="B175" s="178" t="str">
        <f t="shared" si="168"/>
        <v>TFLEPYD100</v>
      </c>
      <c r="C175" s="178"/>
      <c r="D175" s="179"/>
      <c r="E175" s="178"/>
      <c r="F175" s="182"/>
      <c r="G175" s="181"/>
      <c r="H175" s="182"/>
      <c r="I175" s="183">
        <f>AF$7</f>
        <v>2030</v>
      </c>
      <c r="J175" s="184"/>
      <c r="K175" s="184"/>
      <c r="L175" s="203" t="s">
        <v>1065</v>
      </c>
      <c r="M175" s="184" t="s">
        <v>748</v>
      </c>
      <c r="N175" s="694">
        <f t="shared" ref="N175:AB175" si="173">N172*LOOKUP($AD165,$AG$4:$AP$4,$AG$7:$AP$7)</f>
        <v>0</v>
      </c>
      <c r="O175" s="694">
        <f t="shared" si="173"/>
        <v>0</v>
      </c>
      <c r="P175" s="694">
        <f t="shared" si="173"/>
        <v>0</v>
      </c>
      <c r="Q175" s="694">
        <f t="shared" si="173"/>
        <v>0</v>
      </c>
      <c r="R175" s="694">
        <f t="shared" si="173"/>
        <v>0</v>
      </c>
      <c r="S175" s="694">
        <f t="shared" si="173"/>
        <v>0</v>
      </c>
      <c r="T175" s="694">
        <f t="shared" si="173"/>
        <v>0</v>
      </c>
      <c r="U175" s="694">
        <f t="shared" si="173"/>
        <v>0</v>
      </c>
      <c r="V175" s="694">
        <f t="shared" si="173"/>
        <v>0</v>
      </c>
      <c r="W175" s="694">
        <f t="shared" si="173"/>
        <v>0</v>
      </c>
      <c r="X175" s="694">
        <f t="shared" si="173"/>
        <v>0</v>
      </c>
      <c r="Y175" s="694">
        <f t="shared" si="173"/>
        <v>0</v>
      </c>
      <c r="Z175" s="694">
        <f t="shared" si="173"/>
        <v>0</v>
      </c>
      <c r="AA175" s="694">
        <f t="shared" si="173"/>
        <v>0</v>
      </c>
      <c r="AB175" s="694">
        <f t="shared" si="173"/>
        <v>0</v>
      </c>
      <c r="AD175" s="35"/>
    </row>
    <row r="176" spans="1:64" s="83" customFormat="1" x14ac:dyDescent="0.25">
      <c r="A176" s="82"/>
      <c r="B176" s="178" t="str">
        <f t="shared" si="168"/>
        <v>TFLEPYD100</v>
      </c>
      <c r="C176" s="178"/>
      <c r="D176" s="179"/>
      <c r="E176" s="178"/>
      <c r="F176" s="182"/>
      <c r="G176" s="181"/>
      <c r="H176" s="182"/>
      <c r="I176" s="183">
        <f>AF$8</f>
        <v>2035</v>
      </c>
      <c r="J176" s="184"/>
      <c r="K176" s="184"/>
      <c r="L176" s="203" t="s">
        <v>1065</v>
      </c>
      <c r="M176" s="184" t="s">
        <v>748</v>
      </c>
      <c r="N176" s="694">
        <f t="shared" ref="N176:AB176" si="174">N172*LOOKUP($AD165,$AG$4:$AP$4,$AG$8:$AP$8)</f>
        <v>0</v>
      </c>
      <c r="O176" s="694">
        <f t="shared" si="174"/>
        <v>0</v>
      </c>
      <c r="P176" s="694">
        <f t="shared" si="174"/>
        <v>0</v>
      </c>
      <c r="Q176" s="694">
        <f t="shared" si="174"/>
        <v>0</v>
      </c>
      <c r="R176" s="694">
        <f t="shared" si="174"/>
        <v>0</v>
      </c>
      <c r="S176" s="694">
        <f t="shared" si="174"/>
        <v>0</v>
      </c>
      <c r="T176" s="694">
        <f t="shared" si="174"/>
        <v>0</v>
      </c>
      <c r="U176" s="694">
        <f t="shared" si="174"/>
        <v>0</v>
      </c>
      <c r="V176" s="694">
        <f t="shared" si="174"/>
        <v>0</v>
      </c>
      <c r="W176" s="694">
        <f t="shared" si="174"/>
        <v>0</v>
      </c>
      <c r="X176" s="694">
        <f t="shared" si="174"/>
        <v>0</v>
      </c>
      <c r="Y176" s="694">
        <f t="shared" si="174"/>
        <v>0</v>
      </c>
      <c r="Z176" s="694">
        <f t="shared" si="174"/>
        <v>0</v>
      </c>
      <c r="AA176" s="694">
        <f t="shared" si="174"/>
        <v>0</v>
      </c>
      <c r="AB176" s="694">
        <f t="shared" si="174"/>
        <v>0</v>
      </c>
      <c r="AD176" s="35"/>
    </row>
    <row r="177" spans="1:64" s="83" customFormat="1" x14ac:dyDescent="0.25">
      <c r="A177" s="82"/>
      <c r="B177" s="178" t="str">
        <f t="shared" si="168"/>
        <v>TFLEPYD100</v>
      </c>
      <c r="C177" s="178"/>
      <c r="D177" s="179"/>
      <c r="E177" s="178"/>
      <c r="F177" s="182"/>
      <c r="G177" s="181"/>
      <c r="H177" s="182"/>
      <c r="I177" s="183">
        <f>AF$9</f>
        <v>2040</v>
      </c>
      <c r="J177" s="184"/>
      <c r="K177" s="184"/>
      <c r="L177" s="203" t="s">
        <v>1065</v>
      </c>
      <c r="M177" s="184" t="s">
        <v>748</v>
      </c>
      <c r="N177" s="694">
        <f t="shared" ref="N177:AB177" si="175">N172*LOOKUP($AD165,$AG$4:$AP$4,$AG$9:$AP$9)</f>
        <v>0</v>
      </c>
      <c r="O177" s="694">
        <f t="shared" si="175"/>
        <v>0</v>
      </c>
      <c r="P177" s="694">
        <f t="shared" si="175"/>
        <v>0</v>
      </c>
      <c r="Q177" s="694">
        <f t="shared" si="175"/>
        <v>0</v>
      </c>
      <c r="R177" s="694">
        <f t="shared" si="175"/>
        <v>0</v>
      </c>
      <c r="S177" s="694">
        <f t="shared" si="175"/>
        <v>0</v>
      </c>
      <c r="T177" s="694">
        <f t="shared" si="175"/>
        <v>0</v>
      </c>
      <c r="U177" s="694">
        <f t="shared" si="175"/>
        <v>0</v>
      </c>
      <c r="V177" s="694">
        <f t="shared" si="175"/>
        <v>0</v>
      </c>
      <c r="W177" s="694">
        <f t="shared" si="175"/>
        <v>0</v>
      </c>
      <c r="X177" s="694">
        <f t="shared" si="175"/>
        <v>0</v>
      </c>
      <c r="Y177" s="694">
        <f t="shared" si="175"/>
        <v>0</v>
      </c>
      <c r="Z177" s="694">
        <f t="shared" si="175"/>
        <v>0</v>
      </c>
      <c r="AA177" s="694">
        <f t="shared" si="175"/>
        <v>0</v>
      </c>
      <c r="AB177" s="694">
        <f t="shared" si="175"/>
        <v>0</v>
      </c>
      <c r="AD177" s="35"/>
    </row>
    <row r="178" spans="1:64" s="83" customFormat="1" x14ac:dyDescent="0.25">
      <c r="A178" s="82"/>
      <c r="B178" s="204" t="str">
        <f t="shared" si="168"/>
        <v>TFLEPYD100</v>
      </c>
      <c r="C178" s="204"/>
      <c r="D178" s="205"/>
      <c r="E178" s="204"/>
      <c r="F178" s="206"/>
      <c r="G178" s="207"/>
      <c r="H178" s="206"/>
      <c r="I178" s="208">
        <f>AF$10</f>
        <v>2050</v>
      </c>
      <c r="J178" s="209"/>
      <c r="K178" s="209"/>
      <c r="L178" s="210" t="s">
        <v>1065</v>
      </c>
      <c r="M178" s="209" t="s">
        <v>748</v>
      </c>
      <c r="N178" s="695">
        <f t="shared" ref="N178:AB178" si="176">N172*LOOKUP($AD165,$AG$4:$AP$4,$AG$10:$AP$10)</f>
        <v>0</v>
      </c>
      <c r="O178" s="695">
        <f t="shared" si="176"/>
        <v>0</v>
      </c>
      <c r="P178" s="695">
        <f t="shared" si="176"/>
        <v>0</v>
      </c>
      <c r="Q178" s="695">
        <f t="shared" si="176"/>
        <v>0</v>
      </c>
      <c r="R178" s="695">
        <f t="shared" si="176"/>
        <v>0</v>
      </c>
      <c r="S178" s="695">
        <f t="shared" si="176"/>
        <v>0</v>
      </c>
      <c r="T178" s="695">
        <f t="shared" si="176"/>
        <v>0</v>
      </c>
      <c r="U178" s="695">
        <f t="shared" si="176"/>
        <v>0</v>
      </c>
      <c r="V178" s="695">
        <f t="shared" si="176"/>
        <v>0</v>
      </c>
      <c r="W178" s="695">
        <f t="shared" si="176"/>
        <v>0</v>
      </c>
      <c r="X178" s="695">
        <f t="shared" si="176"/>
        <v>0</v>
      </c>
      <c r="Y178" s="695">
        <f t="shared" si="176"/>
        <v>0</v>
      </c>
      <c r="Z178" s="695">
        <f t="shared" si="176"/>
        <v>0</v>
      </c>
      <c r="AA178" s="695">
        <f t="shared" si="176"/>
        <v>0</v>
      </c>
      <c r="AB178" s="695">
        <f t="shared" si="176"/>
        <v>0</v>
      </c>
    </row>
    <row r="179" spans="1:64" s="83" customFormat="1" x14ac:dyDescent="0.25">
      <c r="A179" s="82"/>
      <c r="B179" s="178" t="str">
        <f>C179</f>
        <v>TFLEPYG100</v>
      </c>
      <c r="C179" s="178" t="s">
        <v>357</v>
      </c>
      <c r="D179" s="179" t="s">
        <v>824</v>
      </c>
      <c r="E179" s="407" t="s">
        <v>1014</v>
      </c>
      <c r="F179" s="182"/>
      <c r="G179" s="181"/>
      <c r="H179" s="182"/>
      <c r="I179" s="183"/>
      <c r="J179" s="184"/>
      <c r="K179" s="184"/>
      <c r="L179" s="203" t="s">
        <v>1107</v>
      </c>
      <c r="M179" s="184" t="s">
        <v>1125</v>
      </c>
      <c r="N179" s="378">
        <f>N$58</f>
        <v>1E-3</v>
      </c>
      <c r="O179" s="378">
        <f t="shared" ref="O179:AB179" si="177">$N179</f>
        <v>1E-3</v>
      </c>
      <c r="P179" s="378">
        <f t="shared" si="177"/>
        <v>1E-3</v>
      </c>
      <c r="Q179" s="378">
        <f t="shared" si="177"/>
        <v>1E-3</v>
      </c>
      <c r="R179" s="378">
        <f t="shared" si="177"/>
        <v>1E-3</v>
      </c>
      <c r="S179" s="378">
        <f t="shared" si="177"/>
        <v>1E-3</v>
      </c>
      <c r="T179" s="378">
        <f t="shared" si="177"/>
        <v>1E-3</v>
      </c>
      <c r="U179" s="378">
        <f t="shared" si="177"/>
        <v>1E-3</v>
      </c>
      <c r="V179" s="378">
        <f t="shared" si="177"/>
        <v>1E-3</v>
      </c>
      <c r="W179" s="378">
        <f t="shared" si="177"/>
        <v>1E-3</v>
      </c>
      <c r="X179" s="378">
        <f t="shared" si="177"/>
        <v>1E-3</v>
      </c>
      <c r="Y179" s="378">
        <f t="shared" si="177"/>
        <v>1E-3</v>
      </c>
      <c r="Z179" s="378">
        <f t="shared" si="177"/>
        <v>1E-3</v>
      </c>
      <c r="AA179" s="378">
        <f t="shared" si="177"/>
        <v>1E-3</v>
      </c>
      <c r="AB179" s="378">
        <f t="shared" si="177"/>
        <v>1E-3</v>
      </c>
      <c r="AD179" s="410" t="str">
        <f>MID(D179,13,3)</f>
        <v>Plu</v>
      </c>
      <c r="AV179" s="700" t="str">
        <f t="shared" ref="AV179:AV182" si="178">MID(E179,1,7)</f>
        <v>TRAGSL</v>
      </c>
      <c r="AW179" s="568">
        <f t="shared" ref="AW179:AW181" si="179">SUM(AX179:BL179)</f>
        <v>0</v>
      </c>
    </row>
    <row r="180" spans="1:64" s="83" customFormat="1" x14ac:dyDescent="0.25">
      <c r="A180" s="82"/>
      <c r="B180" s="178" t="str">
        <f>B179</f>
        <v>TFLEPYG100</v>
      </c>
      <c r="C180" s="178"/>
      <c r="D180" s="179"/>
      <c r="E180" s="407" t="s">
        <v>1012</v>
      </c>
      <c r="F180" s="182"/>
      <c r="G180" s="181"/>
      <c r="H180" s="182"/>
      <c r="I180" s="183"/>
      <c r="J180" s="184" t="s">
        <v>1127</v>
      </c>
      <c r="K180" s="184"/>
      <c r="L180" s="203" t="s">
        <v>101</v>
      </c>
      <c r="M180" s="184"/>
      <c r="N180" s="390">
        <f>N$30</f>
        <v>0.03</v>
      </c>
      <c r="O180" s="390">
        <f t="shared" ref="O180:AB180" si="180">O$30</f>
        <v>0.03</v>
      </c>
      <c r="P180" s="390">
        <f t="shared" si="180"/>
        <v>0.03</v>
      </c>
      <c r="Q180" s="390">
        <f t="shared" si="180"/>
        <v>0.03</v>
      </c>
      <c r="R180" s="390">
        <f t="shared" si="180"/>
        <v>0.03</v>
      </c>
      <c r="S180" s="390">
        <f t="shared" si="180"/>
        <v>0.03</v>
      </c>
      <c r="T180" s="390">
        <f t="shared" si="180"/>
        <v>0.03</v>
      </c>
      <c r="U180" s="390">
        <f t="shared" si="180"/>
        <v>0.03</v>
      </c>
      <c r="V180" s="390">
        <f t="shared" si="180"/>
        <v>0.03</v>
      </c>
      <c r="W180" s="390">
        <f t="shared" si="180"/>
        <v>0.03</v>
      </c>
      <c r="X180" s="390">
        <f t="shared" si="180"/>
        <v>0.03</v>
      </c>
      <c r="Y180" s="390">
        <f t="shared" si="180"/>
        <v>0.03</v>
      </c>
      <c r="Z180" s="390">
        <f t="shared" si="180"/>
        <v>0.03</v>
      </c>
      <c r="AA180" s="390">
        <f t="shared" si="180"/>
        <v>0.03</v>
      </c>
      <c r="AB180" s="390">
        <f t="shared" si="180"/>
        <v>0.03</v>
      </c>
      <c r="AD180" s="66" t="str">
        <f>IF(COUNTIF($AG$4:$AP$4,AD179)=1,"ok","MISSING")</f>
        <v>ok</v>
      </c>
      <c r="AV180" s="700" t="str">
        <f t="shared" si="178"/>
        <v>TRAETHM</v>
      </c>
      <c r="AW180" s="568">
        <f t="shared" si="179"/>
        <v>0</v>
      </c>
    </row>
    <row r="181" spans="1:64" s="83" customFormat="1" x14ac:dyDescent="0.25">
      <c r="A181" s="82"/>
      <c r="B181" s="178" t="str">
        <f t="shared" ref="B181" si="181">B180</f>
        <v>TFLEPYG100</v>
      </c>
      <c r="C181" s="178"/>
      <c r="D181" s="179"/>
      <c r="E181" s="407" t="s">
        <v>996</v>
      </c>
      <c r="F181" s="182"/>
      <c r="G181" s="181"/>
      <c r="H181" s="182"/>
      <c r="I181" s="183"/>
      <c r="J181" s="184" t="s">
        <v>1157</v>
      </c>
      <c r="K181" s="184"/>
      <c r="L181" s="203" t="s">
        <v>101</v>
      </c>
      <c r="M181" s="184"/>
      <c r="N181" s="390">
        <f>N$31</f>
        <v>0</v>
      </c>
      <c r="O181" s="390">
        <f t="shared" ref="O181:AB181" si="182">O$31</f>
        <v>0</v>
      </c>
      <c r="P181" s="390">
        <f t="shared" si="182"/>
        <v>0</v>
      </c>
      <c r="Q181" s="390">
        <f t="shared" si="182"/>
        <v>0</v>
      </c>
      <c r="R181" s="390">
        <f t="shared" si="182"/>
        <v>0</v>
      </c>
      <c r="S181" s="390">
        <f t="shared" si="182"/>
        <v>0</v>
      </c>
      <c r="T181" s="390">
        <f t="shared" si="182"/>
        <v>0</v>
      </c>
      <c r="U181" s="390">
        <f t="shared" si="182"/>
        <v>0</v>
      </c>
      <c r="V181" s="390">
        <f t="shared" si="182"/>
        <v>0</v>
      </c>
      <c r="W181" s="390">
        <f t="shared" si="182"/>
        <v>0</v>
      </c>
      <c r="X181" s="390">
        <f t="shared" si="182"/>
        <v>0</v>
      </c>
      <c r="Y181" s="390">
        <f t="shared" si="182"/>
        <v>0</v>
      </c>
      <c r="Z181" s="390">
        <f t="shared" si="182"/>
        <v>0</v>
      </c>
      <c r="AA181" s="390">
        <f t="shared" si="182"/>
        <v>0</v>
      </c>
      <c r="AB181" s="390">
        <f t="shared" si="182"/>
        <v>0</v>
      </c>
      <c r="AD181" s="66"/>
      <c r="AV181" s="700" t="str">
        <f>MID(E181,1,8)</f>
        <v>TRABGSLM</v>
      </c>
      <c r="AW181" s="568">
        <f t="shared" si="179"/>
        <v>0</v>
      </c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21"/>
      <c r="BL181" s="721"/>
    </row>
    <row r="182" spans="1:64" s="83" customFormat="1" x14ac:dyDescent="0.25">
      <c r="A182" s="82"/>
      <c r="B182" s="178" t="str">
        <f>B180</f>
        <v>TFLEPYG100</v>
      </c>
      <c r="C182" s="178"/>
      <c r="D182" s="179"/>
      <c r="E182" s="178"/>
      <c r="F182" s="182"/>
      <c r="G182" s="173" t="s">
        <v>431</v>
      </c>
      <c r="H182" s="182"/>
      <c r="I182" s="183"/>
      <c r="J182" s="184"/>
      <c r="K182" s="184"/>
      <c r="L182" s="184" t="s">
        <v>1126</v>
      </c>
      <c r="M182" s="184" t="s">
        <v>678</v>
      </c>
      <c r="N182" s="676">
        <f>T_CEFF!H178</f>
        <v>0.72726999999999997</v>
      </c>
      <c r="O182" s="676">
        <f>T_CEFF!I178</f>
        <v>0.72726999999999997</v>
      </c>
      <c r="P182" s="676">
        <f>T_CEFF!J178</f>
        <v>0.72726999999999997</v>
      </c>
      <c r="Q182" s="676">
        <f>T_CEFF!K178</f>
        <v>0.72726999999999997</v>
      </c>
      <c r="R182" s="676">
        <f>T_CEFF!L178</f>
        <v>0.72726999999999997</v>
      </c>
      <c r="S182" s="676">
        <f>T_CEFF!M178</f>
        <v>0.72726999999999997</v>
      </c>
      <c r="T182" s="676">
        <f>T_CEFF!N178</f>
        <v>0.72726999999999997</v>
      </c>
      <c r="U182" s="676">
        <f>T_CEFF!O178</f>
        <v>0.72726999999999997</v>
      </c>
      <c r="V182" s="676">
        <f>T_CEFF!P178</f>
        <v>0.72726999999999997</v>
      </c>
      <c r="W182" s="676">
        <f>T_CEFF!Q178</f>
        <v>0.72726999999999997</v>
      </c>
      <c r="X182" s="676">
        <f>T_CEFF!R178</f>
        <v>0.72726999999999997</v>
      </c>
      <c r="Y182" s="676">
        <f>T_CEFF!S178</f>
        <v>0.72726999999999997</v>
      </c>
      <c r="Z182" s="676">
        <f>T_CEFF!T178</f>
        <v>0.72726999999999997</v>
      </c>
      <c r="AA182" s="676">
        <f>T_CEFF!U178</f>
        <v>0.72726999999999997</v>
      </c>
      <c r="AB182" s="676">
        <f>T_CEFF!V178</f>
        <v>0.72726999999999997</v>
      </c>
      <c r="AV182" s="700" t="str">
        <f t="shared" si="178"/>
        <v/>
      </c>
      <c r="AW182" s="568"/>
    </row>
    <row r="183" spans="1:64" s="83" customFormat="1" x14ac:dyDescent="0.25">
      <c r="A183" s="82"/>
      <c r="B183" s="178" t="str">
        <f>B182</f>
        <v>TFLEPYG100</v>
      </c>
      <c r="C183" s="178"/>
      <c r="D183" s="179"/>
      <c r="E183" s="178"/>
      <c r="F183" s="182"/>
      <c r="G183" s="173" t="s">
        <v>429</v>
      </c>
      <c r="H183" s="182"/>
      <c r="I183" s="183"/>
      <c r="J183" s="184"/>
      <c r="K183" s="184"/>
      <c r="L183" s="184" t="s">
        <v>1126</v>
      </c>
      <c r="M183" s="184" t="s">
        <v>678</v>
      </c>
      <c r="N183" s="676">
        <f>T_CEFF!H179</f>
        <v>0.82474000000000003</v>
      </c>
      <c r="O183" s="676">
        <f>T_CEFF!I179</f>
        <v>0.82474000000000003</v>
      </c>
      <c r="P183" s="676">
        <f>T_CEFF!J179</f>
        <v>0.82474000000000003</v>
      </c>
      <c r="Q183" s="676">
        <f>T_CEFF!K179</f>
        <v>0.82474000000000003</v>
      </c>
      <c r="R183" s="676">
        <f>T_CEFF!L179</f>
        <v>0.82474000000000003</v>
      </c>
      <c r="S183" s="676">
        <f>T_CEFF!M179</f>
        <v>0.82474000000000003</v>
      </c>
      <c r="T183" s="676">
        <f>T_CEFF!N179</f>
        <v>0.82474000000000003</v>
      </c>
      <c r="U183" s="676">
        <f>T_CEFF!O179</f>
        <v>0.82474000000000003</v>
      </c>
      <c r="V183" s="676">
        <f>T_CEFF!P179</f>
        <v>0.82474000000000003</v>
      </c>
      <c r="W183" s="676">
        <f>T_CEFF!Q179</f>
        <v>0.82474000000000003</v>
      </c>
      <c r="X183" s="676">
        <f>T_CEFF!R179</f>
        <v>0.82474000000000003</v>
      </c>
      <c r="Y183" s="676">
        <f>T_CEFF!S179</f>
        <v>0.82474000000000003</v>
      </c>
      <c r="Z183" s="676">
        <f>T_CEFF!T179</f>
        <v>0.82474000000000003</v>
      </c>
      <c r="AA183" s="676">
        <f>T_CEFF!U179</f>
        <v>0.82474000000000003</v>
      </c>
      <c r="AB183" s="676">
        <f>T_CEFF!V179</f>
        <v>0.82474000000000003</v>
      </c>
    </row>
    <row r="184" spans="1:64" s="83" customFormat="1" x14ac:dyDescent="0.25">
      <c r="A184" s="82"/>
      <c r="B184" s="178" t="str">
        <f t="shared" ref="B184:B192" si="183">B183</f>
        <v>TFLEPYG100</v>
      </c>
      <c r="C184" s="178"/>
      <c r="D184" s="179"/>
      <c r="E184" s="178"/>
      <c r="F184" s="182"/>
      <c r="G184" s="181"/>
      <c r="H184" s="182"/>
      <c r="I184" s="183"/>
      <c r="J184" s="184"/>
      <c r="K184" s="184" t="s">
        <v>749</v>
      </c>
      <c r="L184" s="184" t="s">
        <v>1128</v>
      </c>
      <c r="M184" s="184" t="s">
        <v>1175</v>
      </c>
      <c r="N184" s="388">
        <f t="shared" ref="N184:AB184" si="184">N$23</f>
        <v>0.76</v>
      </c>
      <c r="O184" s="388">
        <f t="shared" si="184"/>
        <v>0</v>
      </c>
      <c r="P184" s="388">
        <f t="shared" si="184"/>
        <v>0</v>
      </c>
      <c r="Q184" s="388">
        <f t="shared" si="184"/>
        <v>0</v>
      </c>
      <c r="R184" s="388">
        <f t="shared" si="184"/>
        <v>0</v>
      </c>
      <c r="S184" s="388">
        <f t="shared" si="184"/>
        <v>0</v>
      </c>
      <c r="T184" s="388">
        <f t="shared" si="184"/>
        <v>0</v>
      </c>
      <c r="U184" s="388">
        <f t="shared" si="184"/>
        <v>0</v>
      </c>
      <c r="V184" s="388">
        <f t="shared" si="184"/>
        <v>0</v>
      </c>
      <c r="W184" s="388">
        <f t="shared" si="184"/>
        <v>0</v>
      </c>
      <c r="X184" s="388">
        <f t="shared" si="184"/>
        <v>0</v>
      </c>
      <c r="Y184" s="388">
        <f t="shared" si="184"/>
        <v>0</v>
      </c>
      <c r="Z184" s="388">
        <f t="shared" si="184"/>
        <v>0</v>
      </c>
      <c r="AA184" s="388">
        <f t="shared" si="184"/>
        <v>0</v>
      </c>
      <c r="AB184" s="388">
        <f t="shared" si="184"/>
        <v>0</v>
      </c>
    </row>
    <row r="185" spans="1:64" s="83" customFormat="1" x14ac:dyDescent="0.25">
      <c r="A185" s="82"/>
      <c r="B185" s="178" t="str">
        <f t="shared" si="183"/>
        <v>TFLEPYG100</v>
      </c>
      <c r="C185" s="178"/>
      <c r="D185" s="179"/>
      <c r="E185" s="178"/>
      <c r="F185" s="182"/>
      <c r="G185" s="181"/>
      <c r="H185" s="182"/>
      <c r="I185" s="183"/>
      <c r="J185" s="184"/>
      <c r="K185" s="184"/>
      <c r="L185" s="203" t="s">
        <v>1130</v>
      </c>
      <c r="M185" s="184" t="s">
        <v>1131</v>
      </c>
      <c r="N185" s="397">
        <f>LOOKUP($C$179, T_NCAP_AF!$C$125:$C$135, T_NCAP_AF!D$125:D$135)*(1+N40)</f>
        <v>14.959466820000001</v>
      </c>
      <c r="O185" s="397">
        <f>LOOKUP($C$179, T_NCAP_AF!$C$125:$C$135, T_NCAP_AF!E$125:E$135)*(1+O40)</f>
        <v>0</v>
      </c>
      <c r="P185" s="397">
        <f>LOOKUP($C$179, T_NCAP_AF!$C$125:$C$135, T_NCAP_AF!F$125:F$135)*(1+P40)</f>
        <v>0</v>
      </c>
      <c r="Q185" s="397">
        <f>LOOKUP($C$179, T_NCAP_AF!$C$125:$C$135, T_NCAP_AF!G$125:G$135)*(1+Q40)</f>
        <v>0</v>
      </c>
      <c r="R185" s="397">
        <f>LOOKUP($C$179, T_NCAP_AF!$C$125:$C$135, T_NCAP_AF!H$125:H$135)*(1+R40)</f>
        <v>0</v>
      </c>
      <c r="S185" s="397">
        <f>LOOKUP($C$179, T_NCAP_AF!$C$125:$C$135, T_NCAP_AF!I$125:I$135)*(1+S40)</f>
        <v>0</v>
      </c>
      <c r="T185" s="397">
        <f>LOOKUP($C$179, T_NCAP_AF!$C$125:$C$135, T_NCAP_AF!J$125:J$135)*(1+T40)</f>
        <v>0</v>
      </c>
      <c r="U185" s="397">
        <f>LOOKUP($C$179, T_NCAP_AF!$C$125:$C$135, T_NCAP_AF!K$125:K$135)*(1+U40)</f>
        <v>0</v>
      </c>
      <c r="V185" s="397">
        <f>LOOKUP($C$179, T_NCAP_AF!$C$125:$C$135, T_NCAP_AF!L$125:L$135)*(1+V40)</f>
        <v>0</v>
      </c>
      <c r="W185" s="397">
        <f>LOOKUP($C$179, T_NCAP_AF!$C$125:$C$135, T_NCAP_AF!M$125:M$135)*(1+W40)</f>
        <v>0</v>
      </c>
      <c r="X185" s="397">
        <f>LOOKUP($C$179, T_NCAP_AF!$C$125:$C$135, T_NCAP_AF!N$125:N$135)*(1+X40)</f>
        <v>0</v>
      </c>
      <c r="Y185" s="397">
        <f>LOOKUP($C$179, T_NCAP_AF!$C$125:$C$135, T_NCAP_AF!O$125:O$135)*(1+Y40)</f>
        <v>0</v>
      </c>
      <c r="Z185" s="397">
        <f>LOOKUP($C$179, T_NCAP_AF!$C$125:$C$135, T_NCAP_AF!P$125:P$135)*(1+Z40)</f>
        <v>0</v>
      </c>
      <c r="AA185" s="397">
        <f>LOOKUP($C$179, T_NCAP_AF!$C$125:$C$135, T_NCAP_AF!Q$125:Q$135)*(1+AA40)</f>
        <v>0</v>
      </c>
      <c r="AB185" s="397">
        <f>LOOKUP($C$179, T_NCAP_AF!$C$125:$C$135, T_NCAP_AF!R$125:R$135)*(1+AB40)</f>
        <v>0</v>
      </c>
      <c r="AE185" s="572">
        <f>SUM(AF185:AT185)</f>
        <v>1.1369194783200001E-2</v>
      </c>
      <c r="AF185" s="85">
        <f t="shared" ref="AF185:AT185" si="185">N184*N185*N186/1000</f>
        <v>1.1369194783200001E-2</v>
      </c>
      <c r="AG185" s="85">
        <f t="shared" si="185"/>
        <v>0</v>
      </c>
      <c r="AH185" s="85">
        <f t="shared" si="185"/>
        <v>0</v>
      </c>
      <c r="AI185" s="85">
        <f t="shared" si="185"/>
        <v>0</v>
      </c>
      <c r="AJ185" s="85">
        <f t="shared" si="185"/>
        <v>0</v>
      </c>
      <c r="AK185" s="85">
        <f t="shared" si="185"/>
        <v>0</v>
      </c>
      <c r="AL185" s="85">
        <f t="shared" si="185"/>
        <v>0</v>
      </c>
      <c r="AM185" s="85">
        <f t="shared" si="185"/>
        <v>0</v>
      </c>
      <c r="AN185" s="85">
        <f t="shared" si="185"/>
        <v>0</v>
      </c>
      <c r="AO185" s="85">
        <f t="shared" si="185"/>
        <v>0</v>
      </c>
      <c r="AP185" s="85">
        <f t="shared" si="185"/>
        <v>0</v>
      </c>
      <c r="AQ185" s="85">
        <f t="shared" si="185"/>
        <v>0</v>
      </c>
      <c r="AR185" s="85">
        <f t="shared" si="185"/>
        <v>0</v>
      </c>
      <c r="AS185" s="85">
        <f t="shared" si="185"/>
        <v>0</v>
      </c>
      <c r="AT185" s="85">
        <f t="shared" si="185"/>
        <v>0</v>
      </c>
    </row>
    <row r="186" spans="1:64" s="83" customFormat="1" x14ac:dyDescent="0.25">
      <c r="A186" s="82"/>
      <c r="B186" s="178" t="str">
        <f t="shared" si="183"/>
        <v>TFLEPYG100</v>
      </c>
      <c r="C186" s="178"/>
      <c r="D186" s="179"/>
      <c r="E186" s="178"/>
      <c r="F186" s="182"/>
      <c r="G186" s="181"/>
      <c r="H186" s="182"/>
      <c r="I186" s="183">
        <f>$M$3</f>
        <v>2019</v>
      </c>
      <c r="J186" s="184"/>
      <c r="K186" s="184"/>
      <c r="L186" s="203" t="s">
        <v>1065</v>
      </c>
      <c r="M186" s="184" t="s">
        <v>748</v>
      </c>
      <c r="N186" s="694">
        <f>LOOKUP($C$179, T_Stock_Private!$C$90:$C$100, T_Stock_Private!D$90:D$100)*(1+N41)</f>
        <v>1</v>
      </c>
      <c r="O186" s="694">
        <f>LOOKUP($C$179, T_Stock_Private!$C$90:$C$100, T_Stock_Private!E$90:E$100)*(1+O41)</f>
        <v>0</v>
      </c>
      <c r="P186" s="694">
        <f>LOOKUP($C$179, T_Stock_Private!$C$90:$C$100, T_Stock_Private!F$90:F$100)*(1+P41)</f>
        <v>0</v>
      </c>
      <c r="Q186" s="694">
        <f>LOOKUP($C$179, T_Stock_Private!$C$90:$C$100, T_Stock_Private!G$90:G$100)*(1+Q41)</f>
        <v>0</v>
      </c>
      <c r="R186" s="694">
        <f>LOOKUP($C$179, T_Stock_Private!$C$90:$C$100, T_Stock_Private!H$90:H$100)*(1+R41)</f>
        <v>0</v>
      </c>
      <c r="S186" s="694">
        <f>LOOKUP($C$179, T_Stock_Private!$C$90:$C$100, T_Stock_Private!I$90:I$100)*(1+S41)</f>
        <v>0</v>
      </c>
      <c r="T186" s="694">
        <f>LOOKUP($C$179, T_Stock_Private!$C$90:$C$100, T_Stock_Private!J$90:J$100)*(1+T41)</f>
        <v>0</v>
      </c>
      <c r="U186" s="694">
        <f>LOOKUP($C$179, T_Stock_Private!$C$90:$C$100, T_Stock_Private!K$90:K$100)*(1+U41)</f>
        <v>0</v>
      </c>
      <c r="V186" s="694">
        <f>LOOKUP($C$179, T_Stock_Private!$C$90:$C$100, T_Stock_Private!L$90:L$100)*(1+V41)</f>
        <v>0</v>
      </c>
      <c r="W186" s="694">
        <f>LOOKUP($C$179, T_Stock_Private!$C$90:$C$100, T_Stock_Private!M$90:M$100)*(1+W41)</f>
        <v>0</v>
      </c>
      <c r="X186" s="694">
        <f>LOOKUP($C$179, T_Stock_Private!$C$90:$C$100, T_Stock_Private!N$90:N$100)*(1+X41)</f>
        <v>0</v>
      </c>
      <c r="Y186" s="694">
        <f>LOOKUP($C$179, T_Stock_Private!$C$90:$C$100, T_Stock_Private!O$90:O$100)*(1+Y41)</f>
        <v>0</v>
      </c>
      <c r="Z186" s="694">
        <f>LOOKUP($C$179, T_Stock_Private!$C$90:$C$100, T_Stock_Private!P$90:P$100)*(1+Z41)</f>
        <v>0</v>
      </c>
      <c r="AA186" s="694">
        <f>LOOKUP($C$179, T_Stock_Private!$C$90:$C$100, T_Stock_Private!Q$90:Q$100)*(1+AA41)</f>
        <v>0</v>
      </c>
      <c r="AB186" s="694">
        <f>LOOKUP($C$179, T_Stock_Private!$C$90:$C$100, T_Stock_Private!R$90:R$100)*(1+AB41)</f>
        <v>0</v>
      </c>
      <c r="AC186" s="89"/>
      <c r="AD186" s="35"/>
    </row>
    <row r="187" spans="1:64" s="83" customFormat="1" x14ac:dyDescent="0.25">
      <c r="A187" s="82"/>
      <c r="B187" s="178" t="str">
        <f t="shared" si="183"/>
        <v>TFLEPYG100</v>
      </c>
      <c r="C187" s="178"/>
      <c r="D187" s="179"/>
      <c r="E187" s="178"/>
      <c r="F187" s="182"/>
      <c r="G187" s="181"/>
      <c r="H187" s="182"/>
      <c r="I187" s="183">
        <f>AF$5</f>
        <v>2020</v>
      </c>
      <c r="J187" s="184"/>
      <c r="K187" s="184"/>
      <c r="L187" s="203" t="s">
        <v>1065</v>
      </c>
      <c r="M187" s="184" t="s">
        <v>748</v>
      </c>
      <c r="N187" s="694">
        <f t="shared" ref="N187:AB187" si="186">N186*LOOKUP($AD179,$AG$4:$AP$4,$AG$5:$AP$5)</f>
        <v>0.99</v>
      </c>
      <c r="O187" s="694">
        <f t="shared" si="186"/>
        <v>0</v>
      </c>
      <c r="P187" s="694">
        <f t="shared" si="186"/>
        <v>0</v>
      </c>
      <c r="Q187" s="694">
        <f t="shared" si="186"/>
        <v>0</v>
      </c>
      <c r="R187" s="694">
        <f t="shared" si="186"/>
        <v>0</v>
      </c>
      <c r="S187" s="694">
        <f t="shared" si="186"/>
        <v>0</v>
      </c>
      <c r="T187" s="694">
        <f t="shared" si="186"/>
        <v>0</v>
      </c>
      <c r="U187" s="694">
        <f t="shared" si="186"/>
        <v>0</v>
      </c>
      <c r="V187" s="694">
        <f t="shared" si="186"/>
        <v>0</v>
      </c>
      <c r="W187" s="694">
        <f t="shared" si="186"/>
        <v>0</v>
      </c>
      <c r="X187" s="694">
        <f t="shared" si="186"/>
        <v>0</v>
      </c>
      <c r="Y187" s="694">
        <f t="shared" si="186"/>
        <v>0</v>
      </c>
      <c r="Z187" s="694">
        <f t="shared" si="186"/>
        <v>0</v>
      </c>
      <c r="AA187" s="694">
        <f t="shared" si="186"/>
        <v>0</v>
      </c>
      <c r="AB187" s="694">
        <f t="shared" si="186"/>
        <v>0</v>
      </c>
      <c r="AD187" s="35"/>
    </row>
    <row r="188" spans="1:64" s="83" customFormat="1" x14ac:dyDescent="0.25">
      <c r="A188" s="82"/>
      <c r="B188" s="178" t="str">
        <f t="shared" si="183"/>
        <v>TFLEPYG100</v>
      </c>
      <c r="C188" s="178"/>
      <c r="D188" s="179"/>
      <c r="E188" s="178"/>
      <c r="F188" s="182"/>
      <c r="G188" s="181"/>
      <c r="H188" s="182"/>
      <c r="I188" s="183">
        <f>AF$6</f>
        <v>2025</v>
      </c>
      <c r="J188" s="184"/>
      <c r="K188" s="184"/>
      <c r="L188" s="203" t="s">
        <v>1065</v>
      </c>
      <c r="M188" s="184" t="s">
        <v>748</v>
      </c>
      <c r="N188" s="694">
        <f t="shared" ref="N188:AB188" si="187">N186*LOOKUP($AD179,$AG$4:$AP$4,$AG$6:$AP$6)</f>
        <v>0.75</v>
      </c>
      <c r="O188" s="694">
        <f t="shared" si="187"/>
        <v>0</v>
      </c>
      <c r="P188" s="694">
        <f t="shared" si="187"/>
        <v>0</v>
      </c>
      <c r="Q188" s="694">
        <f t="shared" si="187"/>
        <v>0</v>
      </c>
      <c r="R188" s="694">
        <f t="shared" si="187"/>
        <v>0</v>
      </c>
      <c r="S188" s="694">
        <f t="shared" si="187"/>
        <v>0</v>
      </c>
      <c r="T188" s="694">
        <f t="shared" si="187"/>
        <v>0</v>
      </c>
      <c r="U188" s="694">
        <f t="shared" si="187"/>
        <v>0</v>
      </c>
      <c r="V188" s="694">
        <f t="shared" si="187"/>
        <v>0</v>
      </c>
      <c r="W188" s="694">
        <f t="shared" si="187"/>
        <v>0</v>
      </c>
      <c r="X188" s="694">
        <f t="shared" si="187"/>
        <v>0</v>
      </c>
      <c r="Y188" s="694">
        <f t="shared" si="187"/>
        <v>0</v>
      </c>
      <c r="Z188" s="694">
        <f t="shared" si="187"/>
        <v>0</v>
      </c>
      <c r="AA188" s="694">
        <f t="shared" si="187"/>
        <v>0</v>
      </c>
      <c r="AB188" s="694">
        <f t="shared" si="187"/>
        <v>0</v>
      </c>
      <c r="AD188" s="35"/>
    </row>
    <row r="189" spans="1:64" s="83" customFormat="1" x14ac:dyDescent="0.25">
      <c r="A189" s="82"/>
      <c r="B189" s="178" t="str">
        <f t="shared" si="183"/>
        <v>TFLEPYG100</v>
      </c>
      <c r="C189" s="178"/>
      <c r="D189" s="179"/>
      <c r="E189" s="178"/>
      <c r="F189" s="182"/>
      <c r="G189" s="181"/>
      <c r="H189" s="182"/>
      <c r="I189" s="183">
        <f>AF$7</f>
        <v>2030</v>
      </c>
      <c r="J189" s="184"/>
      <c r="K189" s="184"/>
      <c r="L189" s="203" t="s">
        <v>1065</v>
      </c>
      <c r="M189" s="184" t="s">
        <v>748</v>
      </c>
      <c r="N189" s="694">
        <f t="shared" ref="N189:AB189" si="188">N186*LOOKUP($AD179,$AG$4:$AP$4,$AG$7:$AP$7)</f>
        <v>0.5</v>
      </c>
      <c r="O189" s="694">
        <f t="shared" si="188"/>
        <v>0</v>
      </c>
      <c r="P189" s="694">
        <f t="shared" si="188"/>
        <v>0</v>
      </c>
      <c r="Q189" s="694">
        <f t="shared" si="188"/>
        <v>0</v>
      </c>
      <c r="R189" s="694">
        <f t="shared" si="188"/>
        <v>0</v>
      </c>
      <c r="S189" s="694">
        <f t="shared" si="188"/>
        <v>0</v>
      </c>
      <c r="T189" s="694">
        <f t="shared" si="188"/>
        <v>0</v>
      </c>
      <c r="U189" s="694">
        <f t="shared" si="188"/>
        <v>0</v>
      </c>
      <c r="V189" s="694">
        <f t="shared" si="188"/>
        <v>0</v>
      </c>
      <c r="W189" s="694">
        <f t="shared" si="188"/>
        <v>0</v>
      </c>
      <c r="X189" s="694">
        <f t="shared" si="188"/>
        <v>0</v>
      </c>
      <c r="Y189" s="694">
        <f t="shared" si="188"/>
        <v>0</v>
      </c>
      <c r="Z189" s="694">
        <f t="shared" si="188"/>
        <v>0</v>
      </c>
      <c r="AA189" s="694">
        <f t="shared" si="188"/>
        <v>0</v>
      </c>
      <c r="AB189" s="694">
        <f t="shared" si="188"/>
        <v>0</v>
      </c>
      <c r="AD189" s="35"/>
    </row>
    <row r="190" spans="1:64" s="83" customFormat="1" x14ac:dyDescent="0.25">
      <c r="A190" s="82"/>
      <c r="B190" s="178" t="str">
        <f t="shared" si="183"/>
        <v>TFLEPYG100</v>
      </c>
      <c r="C190" s="178"/>
      <c r="D190" s="179"/>
      <c r="E190" s="178"/>
      <c r="F190" s="182"/>
      <c r="G190" s="181"/>
      <c r="H190" s="182"/>
      <c r="I190" s="183">
        <f>AF$8</f>
        <v>2035</v>
      </c>
      <c r="J190" s="184"/>
      <c r="K190" s="184"/>
      <c r="L190" s="203" t="s">
        <v>1065</v>
      </c>
      <c r="M190" s="184" t="s">
        <v>748</v>
      </c>
      <c r="N190" s="694">
        <f t="shared" ref="N190:AB190" si="189">N186*LOOKUP($AD179,$AG$4:$AP$4,$AG$8:$AP$8)</f>
        <v>0.15</v>
      </c>
      <c r="O190" s="694">
        <f t="shared" si="189"/>
        <v>0</v>
      </c>
      <c r="P190" s="694">
        <f t="shared" si="189"/>
        <v>0</v>
      </c>
      <c r="Q190" s="694">
        <f t="shared" si="189"/>
        <v>0</v>
      </c>
      <c r="R190" s="694">
        <f t="shared" si="189"/>
        <v>0</v>
      </c>
      <c r="S190" s="694">
        <f t="shared" si="189"/>
        <v>0</v>
      </c>
      <c r="T190" s="694">
        <f t="shared" si="189"/>
        <v>0</v>
      </c>
      <c r="U190" s="694">
        <f t="shared" si="189"/>
        <v>0</v>
      </c>
      <c r="V190" s="694">
        <f t="shared" si="189"/>
        <v>0</v>
      </c>
      <c r="W190" s="694">
        <f t="shared" si="189"/>
        <v>0</v>
      </c>
      <c r="X190" s="694">
        <f t="shared" si="189"/>
        <v>0</v>
      </c>
      <c r="Y190" s="694">
        <f t="shared" si="189"/>
        <v>0</v>
      </c>
      <c r="Z190" s="694">
        <f t="shared" si="189"/>
        <v>0</v>
      </c>
      <c r="AA190" s="694">
        <f t="shared" si="189"/>
        <v>0</v>
      </c>
      <c r="AB190" s="694">
        <f t="shared" si="189"/>
        <v>0</v>
      </c>
      <c r="AD190" s="35"/>
    </row>
    <row r="191" spans="1:64" s="83" customFormat="1" x14ac:dyDescent="0.25">
      <c r="A191" s="82"/>
      <c r="B191" s="178" t="str">
        <f t="shared" si="183"/>
        <v>TFLEPYG100</v>
      </c>
      <c r="C191" s="178"/>
      <c r="D191" s="179"/>
      <c r="E191" s="178"/>
      <c r="F191" s="182"/>
      <c r="G191" s="181"/>
      <c r="H191" s="182"/>
      <c r="I191" s="183">
        <f>AF$9</f>
        <v>2040</v>
      </c>
      <c r="J191" s="184"/>
      <c r="K191" s="184"/>
      <c r="L191" s="203" t="s">
        <v>1065</v>
      </c>
      <c r="M191" s="184" t="s">
        <v>748</v>
      </c>
      <c r="N191" s="694">
        <f t="shared" ref="N191:AB191" si="190">N186*LOOKUP($AD179,$AG$4:$AP$4,$AG$9:$AP$9)</f>
        <v>5.0000000000000001E-3</v>
      </c>
      <c r="O191" s="694">
        <f t="shared" si="190"/>
        <v>0</v>
      </c>
      <c r="P191" s="694">
        <f t="shared" si="190"/>
        <v>0</v>
      </c>
      <c r="Q191" s="694">
        <f t="shared" si="190"/>
        <v>0</v>
      </c>
      <c r="R191" s="694">
        <f t="shared" si="190"/>
        <v>0</v>
      </c>
      <c r="S191" s="694">
        <f t="shared" si="190"/>
        <v>0</v>
      </c>
      <c r="T191" s="694">
        <f t="shared" si="190"/>
        <v>0</v>
      </c>
      <c r="U191" s="694">
        <f t="shared" si="190"/>
        <v>0</v>
      </c>
      <c r="V191" s="694">
        <f t="shared" si="190"/>
        <v>0</v>
      </c>
      <c r="W191" s="694">
        <f t="shared" si="190"/>
        <v>0</v>
      </c>
      <c r="X191" s="694">
        <f t="shared" si="190"/>
        <v>0</v>
      </c>
      <c r="Y191" s="694">
        <f t="shared" si="190"/>
        <v>0</v>
      </c>
      <c r="Z191" s="694">
        <f t="shared" si="190"/>
        <v>0</v>
      </c>
      <c r="AA191" s="694">
        <f t="shared" si="190"/>
        <v>0</v>
      </c>
      <c r="AB191" s="694">
        <f t="shared" si="190"/>
        <v>0</v>
      </c>
      <c r="AD191" s="35"/>
    </row>
    <row r="192" spans="1:64" s="83" customFormat="1" x14ac:dyDescent="0.25">
      <c r="A192" s="82"/>
      <c r="B192" s="204" t="str">
        <f t="shared" si="183"/>
        <v>TFLEPYG100</v>
      </c>
      <c r="C192" s="204"/>
      <c r="D192" s="205"/>
      <c r="E192" s="204"/>
      <c r="F192" s="206"/>
      <c r="G192" s="207"/>
      <c r="H192" s="206"/>
      <c r="I192" s="208">
        <f>AF$10</f>
        <v>2050</v>
      </c>
      <c r="J192" s="209"/>
      <c r="K192" s="209"/>
      <c r="L192" s="210" t="s">
        <v>1065</v>
      </c>
      <c r="M192" s="209" t="s">
        <v>748</v>
      </c>
      <c r="N192" s="695">
        <f t="shared" ref="N192:AB192" si="191">N186*LOOKUP($AD179,$AG$4:$AP$4,$AG$10:$AP$10)</f>
        <v>0</v>
      </c>
      <c r="O192" s="695">
        <f t="shared" si="191"/>
        <v>0</v>
      </c>
      <c r="P192" s="695">
        <f t="shared" si="191"/>
        <v>0</v>
      </c>
      <c r="Q192" s="695">
        <f t="shared" si="191"/>
        <v>0</v>
      </c>
      <c r="R192" s="695">
        <f t="shared" si="191"/>
        <v>0</v>
      </c>
      <c r="S192" s="695">
        <f t="shared" si="191"/>
        <v>0</v>
      </c>
      <c r="T192" s="695">
        <f t="shared" si="191"/>
        <v>0</v>
      </c>
      <c r="U192" s="695">
        <f t="shared" si="191"/>
        <v>0</v>
      </c>
      <c r="V192" s="695">
        <f t="shared" si="191"/>
        <v>0</v>
      </c>
      <c r="W192" s="695">
        <f t="shared" si="191"/>
        <v>0</v>
      </c>
      <c r="X192" s="695">
        <f t="shared" si="191"/>
        <v>0</v>
      </c>
      <c r="Y192" s="695">
        <f t="shared" si="191"/>
        <v>0</v>
      </c>
      <c r="Z192" s="695">
        <f t="shared" si="191"/>
        <v>0</v>
      </c>
      <c r="AA192" s="695">
        <f t="shared" si="191"/>
        <v>0</v>
      </c>
      <c r="AB192" s="695">
        <f t="shared" si="191"/>
        <v>0</v>
      </c>
    </row>
    <row r="195" spans="1:64" x14ac:dyDescent="0.25">
      <c r="M195" s="473" t="s">
        <v>1152</v>
      </c>
      <c r="N195" s="482">
        <v>0</v>
      </c>
      <c r="O195" s="482">
        <f>N195</f>
        <v>0</v>
      </c>
      <c r="P195" s="482">
        <f>O195</f>
        <v>0</v>
      </c>
      <c r="Q195" s="482">
        <f t="shared" ref="Q195:AB195" si="192">P195</f>
        <v>0</v>
      </c>
      <c r="R195" s="482">
        <f t="shared" si="192"/>
        <v>0</v>
      </c>
      <c r="S195" s="482">
        <f t="shared" si="192"/>
        <v>0</v>
      </c>
      <c r="T195" s="482">
        <f t="shared" si="192"/>
        <v>0</v>
      </c>
      <c r="U195" s="482">
        <f t="shared" si="192"/>
        <v>0</v>
      </c>
      <c r="V195" s="482">
        <f t="shared" si="192"/>
        <v>0</v>
      </c>
      <c r="W195" s="482">
        <f t="shared" si="192"/>
        <v>0</v>
      </c>
      <c r="X195" s="482">
        <f t="shared" si="192"/>
        <v>0</v>
      </c>
      <c r="Y195" s="482">
        <f t="shared" si="192"/>
        <v>0</v>
      </c>
      <c r="Z195" s="482">
        <f t="shared" si="192"/>
        <v>0</v>
      </c>
      <c r="AA195" s="482">
        <f t="shared" si="192"/>
        <v>0</v>
      </c>
      <c r="AB195" s="482">
        <f t="shared" si="192"/>
        <v>0</v>
      </c>
    </row>
    <row r="196" spans="1:64" x14ac:dyDescent="0.25">
      <c r="B196" s="32" t="s">
        <v>1178</v>
      </c>
      <c r="C196" s="88"/>
      <c r="D196" s="26"/>
      <c r="I196" s="36"/>
      <c r="M196" s="473" t="s">
        <v>1154</v>
      </c>
      <c r="N196" s="482">
        <v>0</v>
      </c>
      <c r="O196" s="482">
        <f>N196</f>
        <v>0</v>
      </c>
      <c r="P196" s="482">
        <f t="shared" ref="P196:AB196" si="193">O196</f>
        <v>0</v>
      </c>
      <c r="Q196" s="482">
        <f t="shared" si="193"/>
        <v>0</v>
      </c>
      <c r="R196" s="482">
        <f t="shared" si="193"/>
        <v>0</v>
      </c>
      <c r="S196" s="482">
        <f t="shared" si="193"/>
        <v>0</v>
      </c>
      <c r="T196" s="482">
        <f t="shared" si="193"/>
        <v>0</v>
      </c>
      <c r="U196" s="482">
        <f t="shared" si="193"/>
        <v>0</v>
      </c>
      <c r="V196" s="482">
        <f t="shared" si="193"/>
        <v>0</v>
      </c>
      <c r="W196" s="482">
        <f t="shared" si="193"/>
        <v>0</v>
      </c>
      <c r="X196" s="482">
        <f t="shared" si="193"/>
        <v>0</v>
      </c>
      <c r="Y196" s="482">
        <f t="shared" si="193"/>
        <v>0</v>
      </c>
      <c r="Z196" s="482">
        <f t="shared" si="193"/>
        <v>0</v>
      </c>
      <c r="AA196" s="482">
        <f t="shared" si="193"/>
        <v>0</v>
      </c>
      <c r="AB196" s="482">
        <f t="shared" si="193"/>
        <v>0</v>
      </c>
    </row>
    <row r="197" spans="1:64" x14ac:dyDescent="0.25">
      <c r="I197" s="36"/>
      <c r="M197" s="473"/>
      <c r="N197" s="473"/>
      <c r="O197" s="473"/>
      <c r="P197" s="473"/>
      <c r="Q197" s="473"/>
      <c r="R197" s="473"/>
      <c r="S197" s="473"/>
      <c r="T197" s="473"/>
      <c r="U197" s="473"/>
      <c r="V197" s="473"/>
      <c r="W197" s="473"/>
      <c r="X197" s="473"/>
      <c r="Y197" s="473"/>
      <c r="Z197" s="473"/>
      <c r="AA197" s="473"/>
      <c r="AB197" s="473"/>
    </row>
    <row r="198" spans="1:64" s="22" customFormat="1" x14ac:dyDescent="0.25">
      <c r="A198" s="35"/>
      <c r="B198" s="35"/>
      <c r="C198" s="50"/>
      <c r="D198" s="50"/>
      <c r="E198" s="35"/>
      <c r="F198" s="35"/>
      <c r="G198" s="35"/>
      <c r="H198" s="41"/>
      <c r="I198" s="51"/>
      <c r="J198" s="41"/>
      <c r="K198" s="41"/>
      <c r="L198" s="40" t="str">
        <f>IF(SUM(N12:AB13)&gt;0,"~FI_T","Not in use")</f>
        <v>Not in use</v>
      </c>
      <c r="M198" s="40"/>
      <c r="N198" s="35"/>
      <c r="O198" s="35"/>
      <c r="P198" s="35"/>
      <c r="Q198" s="35"/>
      <c r="R198" s="41"/>
      <c r="S198" s="35"/>
      <c r="T198" s="35"/>
      <c r="U198" s="35"/>
      <c r="V198" s="35"/>
      <c r="W198" s="41"/>
      <c r="X198" s="35"/>
      <c r="Y198" s="35"/>
      <c r="Z198" s="35"/>
      <c r="AA198" s="35"/>
      <c r="AB198" s="35"/>
      <c r="AC198" s="41"/>
      <c r="AD198" s="49" t="str">
        <f>CONCATENATE("TEST: ",B196)</f>
        <v>TEST: Base-year: Medium Trucks (MGV) 3.5-18 tons</v>
      </c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V198" s="471" t="s">
        <v>1052</v>
      </c>
    </row>
    <row r="199" spans="1:64" s="22" customFormat="1" x14ac:dyDescent="0.25">
      <c r="A199" s="35"/>
      <c r="B199" s="52" t="s">
        <v>1053</v>
      </c>
      <c r="C199" s="26" t="s">
        <v>104</v>
      </c>
      <c r="D199" s="26" t="s">
        <v>1054</v>
      </c>
      <c r="E199" s="26" t="s">
        <v>673</v>
      </c>
      <c r="F199" s="26" t="s">
        <v>1155</v>
      </c>
      <c r="G199" s="26" t="s">
        <v>674</v>
      </c>
      <c r="H199" s="26" t="s">
        <v>1055</v>
      </c>
      <c r="I199" s="53" t="s">
        <v>1056</v>
      </c>
      <c r="J199" s="26" t="s">
        <v>982</v>
      </c>
      <c r="K199" s="42" t="s">
        <v>1123</v>
      </c>
      <c r="L199" s="26" t="s">
        <v>1057</v>
      </c>
      <c r="M199" s="26" t="s">
        <v>1058</v>
      </c>
      <c r="N199" s="26" t="str">
        <f t="shared" ref="N199:AB199" si="194">N$2</f>
        <v>Z01</v>
      </c>
      <c r="O199" s="26" t="str">
        <f t="shared" si="194"/>
        <v>Z02</v>
      </c>
      <c r="P199" s="26" t="str">
        <f t="shared" si="194"/>
        <v>Z03</v>
      </c>
      <c r="Q199" s="26" t="str">
        <f t="shared" si="194"/>
        <v>Z04</v>
      </c>
      <c r="R199" s="26" t="str">
        <f t="shared" si="194"/>
        <v>Z05</v>
      </c>
      <c r="S199" s="26" t="str">
        <f t="shared" si="194"/>
        <v>Z06</v>
      </c>
      <c r="T199" s="26" t="str">
        <f t="shared" si="194"/>
        <v>Z07</v>
      </c>
      <c r="U199" s="26" t="str">
        <f t="shared" si="194"/>
        <v>Z08</v>
      </c>
      <c r="V199" s="26" t="str">
        <f t="shared" si="194"/>
        <v>Z09</v>
      </c>
      <c r="W199" s="26" t="str">
        <f t="shared" si="194"/>
        <v>Z10</v>
      </c>
      <c r="X199" s="26" t="str">
        <f t="shared" si="194"/>
        <v>Z11</v>
      </c>
      <c r="Y199" s="26" t="str">
        <f t="shared" si="194"/>
        <v>Z12</v>
      </c>
      <c r="Z199" s="26" t="str">
        <f t="shared" si="194"/>
        <v>Z13</v>
      </c>
      <c r="AA199" s="26" t="str">
        <f t="shared" si="194"/>
        <v>Z14</v>
      </c>
      <c r="AB199" s="26" t="str">
        <f t="shared" si="194"/>
        <v>Z15</v>
      </c>
      <c r="AC199" s="48"/>
      <c r="AD199" s="42"/>
      <c r="AE199" s="42" t="str">
        <f t="shared" ref="AE199:AT199" si="195">AE44</f>
        <v>TOTAL</v>
      </c>
      <c r="AF199" s="42" t="str">
        <f t="shared" si="195"/>
        <v>Z01</v>
      </c>
      <c r="AG199" s="42" t="str">
        <f t="shared" si="195"/>
        <v>Z02</v>
      </c>
      <c r="AH199" s="42" t="str">
        <f t="shared" si="195"/>
        <v>Z03</v>
      </c>
      <c r="AI199" s="42" t="str">
        <f t="shared" si="195"/>
        <v>Z04</v>
      </c>
      <c r="AJ199" s="42" t="str">
        <f t="shared" si="195"/>
        <v>Z05</v>
      </c>
      <c r="AK199" s="42" t="str">
        <f t="shared" si="195"/>
        <v>Z06</v>
      </c>
      <c r="AL199" s="42" t="str">
        <f t="shared" si="195"/>
        <v>Z07</v>
      </c>
      <c r="AM199" s="42" t="str">
        <f t="shared" si="195"/>
        <v>Z08</v>
      </c>
      <c r="AN199" s="42" t="str">
        <f t="shared" si="195"/>
        <v>Z09</v>
      </c>
      <c r="AO199" s="42" t="str">
        <f t="shared" si="195"/>
        <v>Z10</v>
      </c>
      <c r="AP199" s="42" t="str">
        <f t="shared" si="195"/>
        <v>Z11</v>
      </c>
      <c r="AQ199" s="42" t="str">
        <f t="shared" si="195"/>
        <v>Z12</v>
      </c>
      <c r="AR199" s="42" t="str">
        <f t="shared" si="195"/>
        <v>Z13</v>
      </c>
      <c r="AS199" s="42" t="str">
        <f t="shared" si="195"/>
        <v>Z14</v>
      </c>
      <c r="AT199" s="42" t="str">
        <f t="shared" si="195"/>
        <v>Z15</v>
      </c>
      <c r="AV199" s="701" t="s">
        <v>85</v>
      </c>
      <c r="AW199" s="701" t="s">
        <v>421</v>
      </c>
      <c r="AX199" s="701" t="str">
        <f t="shared" ref="AX199:BL199" si="196">N$2</f>
        <v>Z01</v>
      </c>
      <c r="AY199" s="701" t="str">
        <f t="shared" si="196"/>
        <v>Z02</v>
      </c>
      <c r="AZ199" s="701" t="str">
        <f t="shared" si="196"/>
        <v>Z03</v>
      </c>
      <c r="BA199" s="701" t="str">
        <f t="shared" si="196"/>
        <v>Z04</v>
      </c>
      <c r="BB199" s="701" t="str">
        <f t="shared" si="196"/>
        <v>Z05</v>
      </c>
      <c r="BC199" s="701" t="str">
        <f t="shared" si="196"/>
        <v>Z06</v>
      </c>
      <c r="BD199" s="701" t="str">
        <f t="shared" si="196"/>
        <v>Z07</v>
      </c>
      <c r="BE199" s="701" t="str">
        <f t="shared" si="196"/>
        <v>Z08</v>
      </c>
      <c r="BF199" s="701" t="str">
        <f t="shared" si="196"/>
        <v>Z09</v>
      </c>
      <c r="BG199" s="701" t="str">
        <f t="shared" si="196"/>
        <v>Z10</v>
      </c>
      <c r="BH199" s="701" t="str">
        <f t="shared" si="196"/>
        <v>Z11</v>
      </c>
      <c r="BI199" s="701" t="str">
        <f t="shared" si="196"/>
        <v>Z12</v>
      </c>
      <c r="BJ199" s="701" t="str">
        <f t="shared" si="196"/>
        <v>Z13</v>
      </c>
      <c r="BK199" s="701" t="str">
        <f t="shared" si="196"/>
        <v>Z14</v>
      </c>
      <c r="BL199" s="701" t="str">
        <f t="shared" si="196"/>
        <v>Z15</v>
      </c>
    </row>
    <row r="200" spans="1:64" s="22" customFormat="1" x14ac:dyDescent="0.25">
      <c r="A200" s="35"/>
      <c r="B200" s="176"/>
      <c r="C200" s="176"/>
      <c r="D200" s="176" t="s">
        <v>1062</v>
      </c>
      <c r="E200" s="176"/>
      <c r="F200" s="176"/>
      <c r="G200" s="176"/>
      <c r="H200" s="176"/>
      <c r="I200" s="177"/>
      <c r="J200" s="176"/>
      <c r="K200" s="176"/>
      <c r="L200" s="176"/>
      <c r="M200" s="202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35"/>
      <c r="AD200" s="398" t="s">
        <v>1124</v>
      </c>
      <c r="AE200" s="625" t="str">
        <f>IF(AE201-SUM(N12:AB13)&lt;0,"too small",IF(AE201-SUM(N12:AB13)&gt;0.001,"Too big","ok"))</f>
        <v>ok</v>
      </c>
      <c r="AF200" s="619" t="str">
        <f t="shared" ref="AF200:AT200" si="197">IF(AF201-SUM(N12:N13)&lt;0,"too small",IF(AF201-SUM(N12:N13)&gt;0.001,"Too big","ok"))</f>
        <v>ok</v>
      </c>
      <c r="AG200" s="619" t="str">
        <f t="shared" si="197"/>
        <v>ok</v>
      </c>
      <c r="AH200" s="619" t="str">
        <f t="shared" si="197"/>
        <v>ok</v>
      </c>
      <c r="AI200" s="619" t="str">
        <f t="shared" si="197"/>
        <v>ok</v>
      </c>
      <c r="AJ200" s="619" t="str">
        <f t="shared" si="197"/>
        <v>ok</v>
      </c>
      <c r="AK200" s="619" t="str">
        <f t="shared" si="197"/>
        <v>ok</v>
      </c>
      <c r="AL200" s="619" t="str">
        <f t="shared" si="197"/>
        <v>ok</v>
      </c>
      <c r="AM200" s="619" t="str">
        <f t="shared" si="197"/>
        <v>ok</v>
      </c>
      <c r="AN200" s="619" t="str">
        <f t="shared" si="197"/>
        <v>ok</v>
      </c>
      <c r="AO200" s="619" t="str">
        <f t="shared" si="197"/>
        <v>ok</v>
      </c>
      <c r="AP200" s="619" t="str">
        <f t="shared" si="197"/>
        <v>ok</v>
      </c>
      <c r="AQ200" s="619" t="str">
        <f t="shared" si="197"/>
        <v>ok</v>
      </c>
      <c r="AR200" s="619" t="str">
        <f t="shared" si="197"/>
        <v>ok</v>
      </c>
      <c r="AS200" s="619" t="str">
        <f t="shared" si="197"/>
        <v>ok</v>
      </c>
      <c r="AT200" s="619" t="str">
        <f t="shared" si="197"/>
        <v>ok</v>
      </c>
      <c r="AV200" s="398" t="s">
        <v>103</v>
      </c>
      <c r="AW200" s="717">
        <f>SUM(AX200:BL200)</f>
        <v>0</v>
      </c>
      <c r="AX200" s="718">
        <f>SUM(AX201:AX333)</f>
        <v>0</v>
      </c>
      <c r="AY200" s="718">
        <f t="shared" ref="AY200" si="198">SUM(AY201:AY333)</f>
        <v>0</v>
      </c>
      <c r="AZ200" s="718">
        <f t="shared" ref="AZ200" si="199">SUM(AZ201:AZ333)</f>
        <v>0</v>
      </c>
      <c r="BA200" s="718">
        <f t="shared" ref="BA200" si="200">SUM(BA201:BA333)</f>
        <v>0</v>
      </c>
      <c r="BB200" s="718">
        <f t="shared" ref="BB200" si="201">SUM(BB201:BB333)</f>
        <v>0</v>
      </c>
      <c r="BC200" s="718">
        <f t="shared" ref="BC200" si="202">SUM(BC201:BC333)</f>
        <v>0</v>
      </c>
      <c r="BD200" s="718">
        <f t="shared" ref="BD200" si="203">SUM(BD201:BD333)</f>
        <v>0</v>
      </c>
      <c r="BE200" s="718">
        <f t="shared" ref="BE200" si="204">SUM(BE201:BE333)</f>
        <v>0</v>
      </c>
      <c r="BF200" s="718">
        <f t="shared" ref="BF200" si="205">SUM(BF201:BF333)</f>
        <v>0</v>
      </c>
      <c r="BG200" s="718">
        <f t="shared" ref="BG200" si="206">SUM(BG201:BG333)</f>
        <v>0</v>
      </c>
      <c r="BH200" s="718">
        <f t="shared" ref="BH200" si="207">SUM(BH201:BH333)</f>
        <v>0</v>
      </c>
      <c r="BI200" s="718">
        <f t="shared" ref="BI200" si="208">SUM(BI201:BI333)</f>
        <v>0</v>
      </c>
      <c r="BJ200" s="718">
        <f t="shared" ref="BJ200" si="209">SUM(BJ201:BJ333)</f>
        <v>0</v>
      </c>
      <c r="BK200" s="718">
        <f t="shared" ref="BK200" si="210">SUM(BK201:BK333)</f>
        <v>0</v>
      </c>
      <c r="BL200" s="718">
        <f t="shared" ref="BL200" si="211">SUM(BL201:BL333)</f>
        <v>0</v>
      </c>
    </row>
    <row r="201" spans="1:64" s="83" customFormat="1" x14ac:dyDescent="0.25">
      <c r="A201" s="82"/>
      <c r="B201" s="178" t="str">
        <f>C201</f>
        <v>TFMEBDL100</v>
      </c>
      <c r="C201" s="178" t="s">
        <v>358</v>
      </c>
      <c r="D201" s="179" t="s">
        <v>826</v>
      </c>
      <c r="E201" s="407" t="s">
        <v>988</v>
      </c>
      <c r="F201" s="182"/>
      <c r="G201" s="181"/>
      <c r="H201" s="182"/>
      <c r="I201" s="183"/>
      <c r="J201" s="184"/>
      <c r="K201" s="184"/>
      <c r="L201" s="203" t="s">
        <v>1107</v>
      </c>
      <c r="M201" s="184" t="s">
        <v>1125</v>
      </c>
      <c r="N201" s="567">
        <f>10^-3</f>
        <v>1E-3</v>
      </c>
      <c r="O201" s="366">
        <f t="shared" ref="O201:AB201" si="212">$N201</f>
        <v>1E-3</v>
      </c>
      <c r="P201" s="366">
        <f t="shared" si="212"/>
        <v>1E-3</v>
      </c>
      <c r="Q201" s="366">
        <f t="shared" si="212"/>
        <v>1E-3</v>
      </c>
      <c r="R201" s="366">
        <f t="shared" si="212"/>
        <v>1E-3</v>
      </c>
      <c r="S201" s="366">
        <f t="shared" si="212"/>
        <v>1E-3</v>
      </c>
      <c r="T201" s="366">
        <f t="shared" si="212"/>
        <v>1E-3</v>
      </c>
      <c r="U201" s="366">
        <f t="shared" si="212"/>
        <v>1E-3</v>
      </c>
      <c r="V201" s="366">
        <f t="shared" si="212"/>
        <v>1E-3</v>
      </c>
      <c r="W201" s="366">
        <f t="shared" si="212"/>
        <v>1E-3</v>
      </c>
      <c r="X201" s="366">
        <f t="shared" si="212"/>
        <v>1E-3</v>
      </c>
      <c r="Y201" s="366">
        <f t="shared" si="212"/>
        <v>1E-3</v>
      </c>
      <c r="Z201" s="366">
        <f t="shared" si="212"/>
        <v>1E-3</v>
      </c>
      <c r="AA201" s="366">
        <f t="shared" si="212"/>
        <v>1E-3</v>
      </c>
      <c r="AB201" s="366">
        <f t="shared" si="212"/>
        <v>1E-3</v>
      </c>
      <c r="AD201" s="86" t="str">
        <f>MID(D201,14,3)</f>
        <v>BDL</v>
      </c>
      <c r="AE201" s="572">
        <f>SUM(AF201:AT201)</f>
        <v>0</v>
      </c>
      <c r="AF201" s="586">
        <f t="shared" ref="AF201:AT201" si="213">SUM(AF203:AF334)</f>
        <v>0</v>
      </c>
      <c r="AG201" s="586">
        <f t="shared" si="213"/>
        <v>0</v>
      </c>
      <c r="AH201" s="586">
        <f t="shared" si="213"/>
        <v>0</v>
      </c>
      <c r="AI201" s="586">
        <f t="shared" si="213"/>
        <v>0</v>
      </c>
      <c r="AJ201" s="586">
        <f t="shared" si="213"/>
        <v>0</v>
      </c>
      <c r="AK201" s="586">
        <f t="shared" si="213"/>
        <v>0</v>
      </c>
      <c r="AL201" s="586">
        <f t="shared" si="213"/>
        <v>0</v>
      </c>
      <c r="AM201" s="586">
        <f t="shared" si="213"/>
        <v>0</v>
      </c>
      <c r="AN201" s="586">
        <f t="shared" si="213"/>
        <v>0</v>
      </c>
      <c r="AO201" s="586">
        <f t="shared" si="213"/>
        <v>0</v>
      </c>
      <c r="AP201" s="586">
        <f t="shared" si="213"/>
        <v>0</v>
      </c>
      <c r="AQ201" s="586">
        <f t="shared" si="213"/>
        <v>0</v>
      </c>
      <c r="AR201" s="586">
        <f t="shared" si="213"/>
        <v>0</v>
      </c>
      <c r="AS201" s="586">
        <f t="shared" si="213"/>
        <v>0</v>
      </c>
      <c r="AT201" s="586">
        <f t="shared" si="213"/>
        <v>0</v>
      </c>
      <c r="AV201" s="700" t="str">
        <f>MID(E201,1,7)</f>
        <v>TRABDL</v>
      </c>
      <c r="AW201" s="568">
        <f>SUM(AX201:BL201)</f>
        <v>0</v>
      </c>
      <c r="AX201" s="568"/>
      <c r="AY201" s="568"/>
      <c r="AZ201" s="568"/>
      <c r="BA201" s="568"/>
      <c r="BB201" s="568"/>
      <c r="BC201" s="568"/>
      <c r="BD201" s="568"/>
      <c r="BE201" s="568"/>
      <c r="BF201" s="568"/>
      <c r="BG201" s="568"/>
      <c r="BH201" s="568"/>
      <c r="BI201" s="568"/>
      <c r="BJ201" s="568"/>
      <c r="BK201" s="568"/>
      <c r="BL201" s="568"/>
    </row>
    <row r="202" spans="1:64" s="83" customFormat="1" x14ac:dyDescent="0.25">
      <c r="B202" s="178" t="str">
        <f>B201</f>
        <v>TFMEBDL100</v>
      </c>
      <c r="C202" s="178"/>
      <c r="D202" s="179"/>
      <c r="E202" s="178"/>
      <c r="F202" s="182"/>
      <c r="G202" s="324" t="s">
        <v>435</v>
      </c>
      <c r="H202" s="182"/>
      <c r="I202" s="183"/>
      <c r="J202" s="184"/>
      <c r="K202" s="184"/>
      <c r="L202" s="184" t="s">
        <v>1126</v>
      </c>
      <c r="M202" s="184" t="s">
        <v>678</v>
      </c>
      <c r="N202" s="676">
        <f>T_CEFF!H180</f>
        <v>7.0400000000000004E-2</v>
      </c>
      <c r="O202" s="676">
        <f>T_CEFF!I180</f>
        <v>7.0400000000000004E-2</v>
      </c>
      <c r="P202" s="676">
        <f>T_CEFF!J180</f>
        <v>7.0400000000000004E-2</v>
      </c>
      <c r="Q202" s="676">
        <f>T_CEFF!K180</f>
        <v>7.0400000000000004E-2</v>
      </c>
      <c r="R202" s="676">
        <f>T_CEFF!L180</f>
        <v>7.0400000000000004E-2</v>
      </c>
      <c r="S202" s="676">
        <f>T_CEFF!M180</f>
        <v>7.0400000000000004E-2</v>
      </c>
      <c r="T202" s="676">
        <f>T_CEFF!N180</f>
        <v>7.0400000000000004E-2</v>
      </c>
      <c r="U202" s="676">
        <f>T_CEFF!O180</f>
        <v>7.0400000000000004E-2</v>
      </c>
      <c r="V202" s="676">
        <f>T_CEFF!P180</f>
        <v>7.0400000000000004E-2</v>
      </c>
      <c r="W202" s="676">
        <f>T_CEFF!Q180</f>
        <v>7.0400000000000004E-2</v>
      </c>
      <c r="X202" s="676">
        <f>T_CEFF!R180</f>
        <v>7.0400000000000004E-2</v>
      </c>
      <c r="Y202" s="676">
        <f>T_CEFF!S180</f>
        <v>7.0400000000000004E-2</v>
      </c>
      <c r="Z202" s="676">
        <f>T_CEFF!T180</f>
        <v>7.0400000000000004E-2</v>
      </c>
      <c r="AA202" s="676">
        <f>T_CEFF!U180</f>
        <v>7.0400000000000004E-2</v>
      </c>
      <c r="AB202" s="676">
        <f>T_CEFF!V180</f>
        <v>7.0400000000000004E-2</v>
      </c>
      <c r="AF202" s="333"/>
      <c r="AV202" s="700" t="str">
        <f>MID(E202,1,7)</f>
        <v/>
      </c>
      <c r="AW202" s="568"/>
      <c r="AX202" s="568"/>
      <c r="AY202" s="568"/>
      <c r="AZ202" s="568"/>
      <c r="BA202" s="568"/>
      <c r="BB202" s="568"/>
      <c r="BC202" s="568"/>
      <c r="BD202" s="568"/>
      <c r="BE202" s="568"/>
      <c r="BF202" s="568"/>
      <c r="BG202" s="568"/>
      <c r="BH202" s="568"/>
      <c r="BI202" s="568"/>
      <c r="BJ202" s="568"/>
      <c r="BK202" s="568"/>
      <c r="BL202" s="568"/>
    </row>
    <row r="203" spans="1:64" s="83" customFormat="1" x14ac:dyDescent="0.25">
      <c r="B203" s="178" t="str">
        <f t="shared" ref="B203:B212" si="214">B202</f>
        <v>TFMEBDL100</v>
      </c>
      <c r="C203" s="178"/>
      <c r="D203" s="179"/>
      <c r="E203" s="178"/>
      <c r="F203" s="182"/>
      <c r="G203" s="324" t="s">
        <v>433</v>
      </c>
      <c r="H203" s="182"/>
      <c r="I203" s="183"/>
      <c r="J203" s="184"/>
      <c r="K203" s="184"/>
      <c r="L203" s="184" t="s">
        <v>1126</v>
      </c>
      <c r="M203" s="184" t="s">
        <v>678</v>
      </c>
      <c r="N203" s="676">
        <f>T_CEFF!H181</f>
        <v>5.6320000000000002E-2</v>
      </c>
      <c r="O203" s="676">
        <f>T_CEFF!I181</f>
        <v>5.6320000000000002E-2</v>
      </c>
      <c r="P203" s="676">
        <f>T_CEFF!J181</f>
        <v>5.6320000000000002E-2</v>
      </c>
      <c r="Q203" s="676">
        <f>T_CEFF!K181</f>
        <v>5.6320000000000002E-2</v>
      </c>
      <c r="R203" s="676">
        <f>T_CEFF!L181</f>
        <v>5.6320000000000002E-2</v>
      </c>
      <c r="S203" s="676">
        <f>T_CEFF!M181</f>
        <v>5.6320000000000002E-2</v>
      </c>
      <c r="T203" s="676">
        <f>T_CEFF!N181</f>
        <v>5.6320000000000002E-2</v>
      </c>
      <c r="U203" s="676">
        <f>T_CEFF!O181</f>
        <v>5.6320000000000002E-2</v>
      </c>
      <c r="V203" s="676">
        <f>T_CEFF!P181</f>
        <v>5.6320000000000002E-2</v>
      </c>
      <c r="W203" s="676">
        <f>T_CEFF!Q181</f>
        <v>5.6320000000000002E-2</v>
      </c>
      <c r="X203" s="676">
        <f>T_CEFF!R181</f>
        <v>5.6320000000000002E-2</v>
      </c>
      <c r="Y203" s="676">
        <f>T_CEFF!S181</f>
        <v>5.6320000000000002E-2</v>
      </c>
      <c r="Z203" s="676">
        <f>T_CEFF!T181</f>
        <v>5.6320000000000002E-2</v>
      </c>
      <c r="AA203" s="676">
        <f>T_CEFF!U181</f>
        <v>5.6320000000000002E-2</v>
      </c>
      <c r="AB203" s="676">
        <f>T_CEFF!V181</f>
        <v>5.6320000000000002E-2</v>
      </c>
    </row>
    <row r="204" spans="1:64" s="83" customFormat="1" x14ac:dyDescent="0.25">
      <c r="B204" s="178" t="str">
        <f>B203</f>
        <v>TFMEBDL100</v>
      </c>
      <c r="C204" s="178"/>
      <c r="D204" s="179"/>
      <c r="E204" s="178"/>
      <c r="F204" s="182"/>
      <c r="G204" s="181"/>
      <c r="H204" s="182"/>
      <c r="I204" s="183"/>
      <c r="J204" s="184"/>
      <c r="K204" s="184" t="s">
        <v>749</v>
      </c>
      <c r="L204" s="184" t="s">
        <v>1128</v>
      </c>
      <c r="M204" s="184" t="s">
        <v>1175</v>
      </c>
      <c r="N204" s="388">
        <f>N$24</f>
        <v>0</v>
      </c>
      <c r="O204" s="388">
        <f t="shared" ref="O204:AB204" si="215">O$24</f>
        <v>0</v>
      </c>
      <c r="P204" s="388">
        <f t="shared" si="215"/>
        <v>0</v>
      </c>
      <c r="Q204" s="388">
        <f t="shared" si="215"/>
        <v>0</v>
      </c>
      <c r="R204" s="388">
        <f t="shared" si="215"/>
        <v>0</v>
      </c>
      <c r="S204" s="388">
        <f t="shared" si="215"/>
        <v>0</v>
      </c>
      <c r="T204" s="388">
        <f t="shared" si="215"/>
        <v>0</v>
      </c>
      <c r="U204" s="388">
        <f t="shared" si="215"/>
        <v>0</v>
      </c>
      <c r="V204" s="388">
        <f t="shared" si="215"/>
        <v>0</v>
      </c>
      <c r="W204" s="388">
        <f t="shared" si="215"/>
        <v>0</v>
      </c>
      <c r="X204" s="388">
        <f t="shared" si="215"/>
        <v>0</v>
      </c>
      <c r="Y204" s="388">
        <f t="shared" si="215"/>
        <v>0</v>
      </c>
      <c r="Z204" s="388">
        <f t="shared" si="215"/>
        <v>0</v>
      </c>
      <c r="AA204" s="388">
        <f t="shared" si="215"/>
        <v>0</v>
      </c>
      <c r="AB204" s="388">
        <f t="shared" si="215"/>
        <v>0</v>
      </c>
    </row>
    <row r="205" spans="1:64" s="83" customFormat="1" x14ac:dyDescent="0.25">
      <c r="B205" s="178" t="str">
        <f t="shared" si="214"/>
        <v>TFMEBDL100</v>
      </c>
      <c r="C205" s="178"/>
      <c r="D205" s="179"/>
      <c r="E205" s="178"/>
      <c r="F205" s="182"/>
      <c r="G205" s="181"/>
      <c r="H205" s="182"/>
      <c r="I205" s="183"/>
      <c r="J205" s="184"/>
      <c r="K205" s="184"/>
      <c r="L205" s="203" t="s">
        <v>1130</v>
      </c>
      <c r="M205" s="184" t="s">
        <v>1131</v>
      </c>
      <c r="N205" s="397">
        <f>LOOKUP($C$201, T_NCAP_AF!$C$155:$C$165, T_NCAP_AF!D$155:D$165)*(1+N195)</f>
        <v>0</v>
      </c>
      <c r="O205" s="397">
        <f>LOOKUP($C$201, T_NCAP_AF!$C$155:$C$165, T_NCAP_AF!E$155:E$165)*(1+O195)</f>
        <v>0</v>
      </c>
      <c r="P205" s="397">
        <f>LOOKUP($C$201, T_NCAP_AF!$C$155:$C$165, T_NCAP_AF!F$155:F$165)*(1+P195)</f>
        <v>0</v>
      </c>
      <c r="Q205" s="397">
        <f>LOOKUP($C$201, T_NCAP_AF!$C$155:$C$165, T_NCAP_AF!G$155:G$165)*(1+Q195)</f>
        <v>0</v>
      </c>
      <c r="R205" s="397">
        <f>LOOKUP($C$201, T_NCAP_AF!$C$155:$C$165, T_NCAP_AF!H$155:H$165)*(1+R195)</f>
        <v>0</v>
      </c>
      <c r="S205" s="397">
        <f>LOOKUP($C$201, T_NCAP_AF!$C$155:$C$165, T_NCAP_AF!I$155:I$165)*(1+S195)</f>
        <v>0</v>
      </c>
      <c r="T205" s="397">
        <f>LOOKUP($C$201, T_NCAP_AF!$C$155:$C$165, T_NCAP_AF!J$155:J$165)*(1+T195)</f>
        <v>0</v>
      </c>
      <c r="U205" s="397">
        <f>LOOKUP($C$201, T_NCAP_AF!$C$155:$C$165, T_NCAP_AF!K$155:K$165)*(1+U195)</f>
        <v>0</v>
      </c>
      <c r="V205" s="397">
        <f>LOOKUP($C$201, T_NCAP_AF!$C$155:$C$165, T_NCAP_AF!L$155:L$165)*(1+V195)</f>
        <v>0</v>
      </c>
      <c r="W205" s="397">
        <f>LOOKUP($C$201, T_NCAP_AF!$C$155:$C$165, T_NCAP_AF!M$155:M$165)*(1+W195)</f>
        <v>0</v>
      </c>
      <c r="X205" s="397">
        <f>LOOKUP($C$201, T_NCAP_AF!$C$155:$C$165, T_NCAP_AF!N$155:N$165)*(1+X195)</f>
        <v>0</v>
      </c>
      <c r="Y205" s="397">
        <f>LOOKUP($C$201, T_NCAP_AF!$C$155:$C$165, T_NCAP_AF!O$155:O$165)*(1+Y195)</f>
        <v>0</v>
      </c>
      <c r="Z205" s="397">
        <f>LOOKUP($C$201, T_NCAP_AF!$C$155:$C$165, T_NCAP_AF!P$155:P$165)*(1+Z195)</f>
        <v>0</v>
      </c>
      <c r="AA205" s="397">
        <f>LOOKUP($C$201, T_NCAP_AF!$C$155:$C$165, T_NCAP_AF!Q$155:Q$165)*(1+AA195)</f>
        <v>0</v>
      </c>
      <c r="AB205" s="397">
        <f>LOOKUP($C$201, T_NCAP_AF!$C$155:$C$165, T_NCAP_AF!R$155:R$165)*(1+AB195)</f>
        <v>0</v>
      </c>
      <c r="AE205" s="572">
        <f>SUM(AF205:AT205)</f>
        <v>0</v>
      </c>
      <c r="AF205" s="85">
        <f t="shared" ref="AF205:AT205" si="216">N204*N205*N206/1000</f>
        <v>0</v>
      </c>
      <c r="AG205" s="85">
        <f t="shared" si="216"/>
        <v>0</v>
      </c>
      <c r="AH205" s="85">
        <f t="shared" si="216"/>
        <v>0</v>
      </c>
      <c r="AI205" s="85">
        <f t="shared" si="216"/>
        <v>0</v>
      </c>
      <c r="AJ205" s="85">
        <f t="shared" si="216"/>
        <v>0</v>
      </c>
      <c r="AK205" s="85">
        <f t="shared" si="216"/>
        <v>0</v>
      </c>
      <c r="AL205" s="85">
        <f t="shared" si="216"/>
        <v>0</v>
      </c>
      <c r="AM205" s="85">
        <f t="shared" si="216"/>
        <v>0</v>
      </c>
      <c r="AN205" s="85">
        <f t="shared" si="216"/>
        <v>0</v>
      </c>
      <c r="AO205" s="85">
        <f t="shared" si="216"/>
        <v>0</v>
      </c>
      <c r="AP205" s="85">
        <f t="shared" si="216"/>
        <v>0</v>
      </c>
      <c r="AQ205" s="85">
        <f t="shared" si="216"/>
        <v>0</v>
      </c>
      <c r="AR205" s="85">
        <f t="shared" si="216"/>
        <v>0</v>
      </c>
      <c r="AS205" s="85">
        <f t="shared" si="216"/>
        <v>0</v>
      </c>
      <c r="AT205" s="85">
        <f t="shared" si="216"/>
        <v>0</v>
      </c>
    </row>
    <row r="206" spans="1:64" s="83" customFormat="1" x14ac:dyDescent="0.25">
      <c r="B206" s="178" t="str">
        <f>B205</f>
        <v>TFMEBDL100</v>
      </c>
      <c r="C206" s="178"/>
      <c r="D206" s="179"/>
      <c r="E206" s="178"/>
      <c r="F206" s="182"/>
      <c r="G206" s="181"/>
      <c r="H206" s="182"/>
      <c r="I206" s="183">
        <f>$M$3</f>
        <v>2019</v>
      </c>
      <c r="J206" s="184"/>
      <c r="K206" s="184"/>
      <c r="L206" s="203" t="s">
        <v>1065</v>
      </c>
      <c r="M206" s="184" t="s">
        <v>748</v>
      </c>
      <c r="N206" s="694">
        <f>LOOKUP($C$201, T_Stock_Private!$C$106:$C$117, T_Stock_Private!D$106:D$117)*(1+N196)</f>
        <v>0</v>
      </c>
      <c r="O206" s="694">
        <f>LOOKUP($C$201, T_Stock_Private!$C$106:$C$117, T_Stock_Private!E$106:E$117)*(1+O196)</f>
        <v>0</v>
      </c>
      <c r="P206" s="694">
        <f>LOOKUP($C$201, T_Stock_Private!$C$106:$C$117, T_Stock_Private!F$106:F$117)*(1+P196)</f>
        <v>0</v>
      </c>
      <c r="Q206" s="694">
        <f>LOOKUP($C$201, T_Stock_Private!$C$106:$C$117, T_Stock_Private!G$106:G$117)*(1+Q196)</f>
        <v>0</v>
      </c>
      <c r="R206" s="694">
        <f>LOOKUP($C$201, T_Stock_Private!$C$106:$C$117, T_Stock_Private!H$106:H$117)*(1+R196)</f>
        <v>0</v>
      </c>
      <c r="S206" s="694">
        <f>LOOKUP($C$201, T_Stock_Private!$C$106:$C$117, T_Stock_Private!I$106:I$117)*(1+S196)</f>
        <v>0</v>
      </c>
      <c r="T206" s="694">
        <f>LOOKUP($C$201, T_Stock_Private!$C$106:$C$117, T_Stock_Private!J$106:J$117)*(1+T196)</f>
        <v>0</v>
      </c>
      <c r="U206" s="694">
        <f>LOOKUP($C$201, T_Stock_Private!$C$106:$C$117, T_Stock_Private!K$106:K$117)*(1+U196)</f>
        <v>0</v>
      </c>
      <c r="V206" s="694">
        <f>LOOKUP($C$201, T_Stock_Private!$C$106:$C$117, T_Stock_Private!L$106:L$117)*(1+V196)</f>
        <v>0</v>
      </c>
      <c r="W206" s="694">
        <f>LOOKUP($C$201, T_Stock_Private!$C$106:$C$117, T_Stock_Private!M$106:M$117)*(1+W196)</f>
        <v>0</v>
      </c>
      <c r="X206" s="694">
        <f>LOOKUP($C$201, T_Stock_Private!$C$106:$C$117, T_Stock_Private!N$106:N$117)*(1+X196)</f>
        <v>0</v>
      </c>
      <c r="Y206" s="694">
        <f>LOOKUP($C$201, T_Stock_Private!$C$106:$C$117, T_Stock_Private!O$106:O$117)*(1+Y196)</f>
        <v>0</v>
      </c>
      <c r="Z206" s="694">
        <f>LOOKUP($C$201, T_Stock_Private!$C$106:$C$117, T_Stock_Private!P$106:P$117)*(1+Z196)</f>
        <v>0</v>
      </c>
      <c r="AA206" s="694">
        <f>LOOKUP($C$201, T_Stock_Private!$C$106:$C$117, T_Stock_Private!Q$106:Q$117)*(1+AA196)</f>
        <v>0</v>
      </c>
      <c r="AB206" s="694">
        <f>LOOKUP($C$201, T_Stock_Private!$C$106:$C$117, T_Stock_Private!R$106:R$117)*(1+AB196)</f>
        <v>0</v>
      </c>
    </row>
    <row r="207" spans="1:64" s="83" customFormat="1" x14ac:dyDescent="0.25">
      <c r="B207" s="178" t="str">
        <f t="shared" si="214"/>
        <v>TFMEBDL100</v>
      </c>
      <c r="C207" s="178"/>
      <c r="D207" s="179"/>
      <c r="E207" s="178"/>
      <c r="F207" s="182"/>
      <c r="G207" s="181"/>
      <c r="H207" s="182"/>
      <c r="I207" s="183">
        <f>AF$5</f>
        <v>2020</v>
      </c>
      <c r="J207" s="184"/>
      <c r="K207" s="184"/>
      <c r="L207" s="203" t="s">
        <v>1065</v>
      </c>
      <c r="M207" s="184" t="s">
        <v>748</v>
      </c>
      <c r="N207" s="694">
        <f t="shared" ref="N207:AB207" si="217">N206*LOOKUP($AD201,$AG$4:$AP$4,$AG$5:$AP$5)</f>
        <v>0</v>
      </c>
      <c r="O207" s="694">
        <f t="shared" si="217"/>
        <v>0</v>
      </c>
      <c r="P207" s="694">
        <f t="shared" si="217"/>
        <v>0</v>
      </c>
      <c r="Q207" s="694">
        <f t="shared" si="217"/>
        <v>0</v>
      </c>
      <c r="R207" s="694">
        <f t="shared" si="217"/>
        <v>0</v>
      </c>
      <c r="S207" s="694">
        <f t="shared" si="217"/>
        <v>0</v>
      </c>
      <c r="T207" s="694">
        <f t="shared" si="217"/>
        <v>0</v>
      </c>
      <c r="U207" s="694">
        <f t="shared" si="217"/>
        <v>0</v>
      </c>
      <c r="V207" s="694">
        <f t="shared" si="217"/>
        <v>0</v>
      </c>
      <c r="W207" s="694">
        <f t="shared" si="217"/>
        <v>0</v>
      </c>
      <c r="X207" s="694">
        <f t="shared" si="217"/>
        <v>0</v>
      </c>
      <c r="Y207" s="694">
        <f t="shared" si="217"/>
        <v>0</v>
      </c>
      <c r="Z207" s="694">
        <f t="shared" si="217"/>
        <v>0</v>
      </c>
      <c r="AA207" s="694">
        <f t="shared" si="217"/>
        <v>0</v>
      </c>
      <c r="AB207" s="694">
        <f t="shared" si="217"/>
        <v>0</v>
      </c>
    </row>
    <row r="208" spans="1:64" s="83" customFormat="1" x14ac:dyDescent="0.25">
      <c r="B208" s="178" t="str">
        <f t="shared" si="214"/>
        <v>TFMEBDL100</v>
      </c>
      <c r="C208" s="178"/>
      <c r="D208" s="179"/>
      <c r="E208" s="178"/>
      <c r="F208" s="182"/>
      <c r="G208" s="181"/>
      <c r="H208" s="182"/>
      <c r="I208" s="183">
        <f>AF$6</f>
        <v>2025</v>
      </c>
      <c r="J208" s="184"/>
      <c r="K208" s="184"/>
      <c r="L208" s="203" t="s">
        <v>1065</v>
      </c>
      <c r="M208" s="184" t="s">
        <v>748</v>
      </c>
      <c r="N208" s="694">
        <f t="shared" ref="N208:AB208" si="218">N206*LOOKUP($AD201,$AG$4:$AP$4,$AG$6:$AP$6)</f>
        <v>0</v>
      </c>
      <c r="O208" s="694">
        <f t="shared" si="218"/>
        <v>0</v>
      </c>
      <c r="P208" s="694">
        <f t="shared" si="218"/>
        <v>0</v>
      </c>
      <c r="Q208" s="694">
        <f t="shared" si="218"/>
        <v>0</v>
      </c>
      <c r="R208" s="694">
        <f t="shared" si="218"/>
        <v>0</v>
      </c>
      <c r="S208" s="694">
        <f t="shared" si="218"/>
        <v>0</v>
      </c>
      <c r="T208" s="694">
        <f t="shared" si="218"/>
        <v>0</v>
      </c>
      <c r="U208" s="694">
        <f t="shared" si="218"/>
        <v>0</v>
      </c>
      <c r="V208" s="694">
        <f t="shared" si="218"/>
        <v>0</v>
      </c>
      <c r="W208" s="694">
        <f t="shared" si="218"/>
        <v>0</v>
      </c>
      <c r="X208" s="694">
        <f t="shared" si="218"/>
        <v>0</v>
      </c>
      <c r="Y208" s="694">
        <f t="shared" si="218"/>
        <v>0</v>
      </c>
      <c r="Z208" s="694">
        <f t="shared" si="218"/>
        <v>0</v>
      </c>
      <c r="AA208" s="694">
        <f t="shared" si="218"/>
        <v>0</v>
      </c>
      <c r="AB208" s="694">
        <f t="shared" si="218"/>
        <v>0</v>
      </c>
    </row>
    <row r="209" spans="1:65" s="83" customFormat="1" x14ac:dyDescent="0.25">
      <c r="B209" s="178" t="str">
        <f t="shared" si="214"/>
        <v>TFMEBDL100</v>
      </c>
      <c r="C209" s="178"/>
      <c r="D209" s="179"/>
      <c r="E209" s="178"/>
      <c r="F209" s="182"/>
      <c r="G209" s="181"/>
      <c r="H209" s="182"/>
      <c r="I209" s="183">
        <f>AF$7</f>
        <v>2030</v>
      </c>
      <c r="J209" s="184"/>
      <c r="K209" s="184"/>
      <c r="L209" s="203" t="s">
        <v>1065</v>
      </c>
      <c r="M209" s="184" t="s">
        <v>748</v>
      </c>
      <c r="N209" s="694">
        <f t="shared" ref="N209:AB209" si="219">N206*LOOKUP($AD201,$AG$4:$AP$4,$AG$7:$AP$7)</f>
        <v>0</v>
      </c>
      <c r="O209" s="694">
        <f t="shared" si="219"/>
        <v>0</v>
      </c>
      <c r="P209" s="694">
        <f t="shared" si="219"/>
        <v>0</v>
      </c>
      <c r="Q209" s="694">
        <f t="shared" si="219"/>
        <v>0</v>
      </c>
      <c r="R209" s="694">
        <f t="shared" si="219"/>
        <v>0</v>
      </c>
      <c r="S209" s="694">
        <f t="shared" si="219"/>
        <v>0</v>
      </c>
      <c r="T209" s="694">
        <f t="shared" si="219"/>
        <v>0</v>
      </c>
      <c r="U209" s="694">
        <f t="shared" si="219"/>
        <v>0</v>
      </c>
      <c r="V209" s="694">
        <f t="shared" si="219"/>
        <v>0</v>
      </c>
      <c r="W209" s="694">
        <f t="shared" si="219"/>
        <v>0</v>
      </c>
      <c r="X209" s="694">
        <f t="shared" si="219"/>
        <v>0</v>
      </c>
      <c r="Y209" s="694">
        <f t="shared" si="219"/>
        <v>0</v>
      </c>
      <c r="Z209" s="694">
        <f t="shared" si="219"/>
        <v>0</v>
      </c>
      <c r="AA209" s="694">
        <f t="shared" si="219"/>
        <v>0</v>
      </c>
      <c r="AB209" s="694">
        <f t="shared" si="219"/>
        <v>0</v>
      </c>
    </row>
    <row r="210" spans="1:65" s="83" customFormat="1" x14ac:dyDescent="0.25">
      <c r="B210" s="178" t="str">
        <f t="shared" si="214"/>
        <v>TFMEBDL100</v>
      </c>
      <c r="C210" s="178"/>
      <c r="D210" s="179"/>
      <c r="E210" s="178"/>
      <c r="F210" s="182"/>
      <c r="G210" s="181"/>
      <c r="H210" s="182"/>
      <c r="I210" s="183">
        <f>AF$8</f>
        <v>2035</v>
      </c>
      <c r="J210" s="184"/>
      <c r="K210" s="184"/>
      <c r="L210" s="203" t="s">
        <v>1065</v>
      </c>
      <c r="M210" s="184" t="s">
        <v>748</v>
      </c>
      <c r="N210" s="694">
        <f t="shared" ref="N210:AB210" si="220">N206*LOOKUP($AD201,$AG$4:$AP$4,$AG$8:$AP$8)</f>
        <v>0</v>
      </c>
      <c r="O210" s="694">
        <f t="shared" si="220"/>
        <v>0</v>
      </c>
      <c r="P210" s="694">
        <f t="shared" si="220"/>
        <v>0</v>
      </c>
      <c r="Q210" s="694">
        <f t="shared" si="220"/>
        <v>0</v>
      </c>
      <c r="R210" s="694">
        <f t="shared" si="220"/>
        <v>0</v>
      </c>
      <c r="S210" s="694">
        <f t="shared" si="220"/>
        <v>0</v>
      </c>
      <c r="T210" s="694">
        <f t="shared" si="220"/>
        <v>0</v>
      </c>
      <c r="U210" s="694">
        <f t="shared" si="220"/>
        <v>0</v>
      </c>
      <c r="V210" s="694">
        <f t="shared" si="220"/>
        <v>0</v>
      </c>
      <c r="W210" s="694">
        <f t="shared" si="220"/>
        <v>0</v>
      </c>
      <c r="X210" s="694">
        <f t="shared" si="220"/>
        <v>0</v>
      </c>
      <c r="Y210" s="694">
        <f t="shared" si="220"/>
        <v>0</v>
      </c>
      <c r="Z210" s="694">
        <f t="shared" si="220"/>
        <v>0</v>
      </c>
      <c r="AA210" s="694">
        <f t="shared" si="220"/>
        <v>0</v>
      </c>
      <c r="AB210" s="694">
        <f t="shared" si="220"/>
        <v>0</v>
      </c>
    </row>
    <row r="211" spans="1:65" s="83" customFormat="1" x14ac:dyDescent="0.25">
      <c r="B211" s="178" t="str">
        <f t="shared" si="214"/>
        <v>TFMEBDL100</v>
      </c>
      <c r="C211" s="178"/>
      <c r="D211" s="179"/>
      <c r="E211" s="178"/>
      <c r="F211" s="182"/>
      <c r="G211" s="181"/>
      <c r="H211" s="182"/>
      <c r="I211" s="183">
        <f>AF$9</f>
        <v>2040</v>
      </c>
      <c r="J211" s="184"/>
      <c r="K211" s="184"/>
      <c r="L211" s="203" t="s">
        <v>1065</v>
      </c>
      <c r="M211" s="184" t="s">
        <v>748</v>
      </c>
      <c r="N211" s="694">
        <f t="shared" ref="N211:AB211" si="221">N206*LOOKUP($AD201,$AG$4:$AP$4,$AG$9:$AP$9)</f>
        <v>0</v>
      </c>
      <c r="O211" s="694">
        <f t="shared" si="221"/>
        <v>0</v>
      </c>
      <c r="P211" s="694">
        <f t="shared" si="221"/>
        <v>0</v>
      </c>
      <c r="Q211" s="694">
        <f t="shared" si="221"/>
        <v>0</v>
      </c>
      <c r="R211" s="694">
        <f t="shared" si="221"/>
        <v>0</v>
      </c>
      <c r="S211" s="694">
        <f t="shared" si="221"/>
        <v>0</v>
      </c>
      <c r="T211" s="694">
        <f t="shared" si="221"/>
        <v>0</v>
      </c>
      <c r="U211" s="694">
        <f t="shared" si="221"/>
        <v>0</v>
      </c>
      <c r="V211" s="694">
        <f t="shared" si="221"/>
        <v>0</v>
      </c>
      <c r="W211" s="694">
        <f t="shared" si="221"/>
        <v>0</v>
      </c>
      <c r="X211" s="694">
        <f t="shared" si="221"/>
        <v>0</v>
      </c>
      <c r="Y211" s="694">
        <f t="shared" si="221"/>
        <v>0</v>
      </c>
      <c r="Z211" s="694">
        <f t="shared" si="221"/>
        <v>0</v>
      </c>
      <c r="AA211" s="694">
        <f t="shared" si="221"/>
        <v>0</v>
      </c>
      <c r="AB211" s="694">
        <f t="shared" si="221"/>
        <v>0</v>
      </c>
    </row>
    <row r="212" spans="1:65" s="83" customFormat="1" x14ac:dyDescent="0.25">
      <c r="B212" s="204" t="str">
        <f t="shared" si="214"/>
        <v>TFMEBDL100</v>
      </c>
      <c r="C212" s="204"/>
      <c r="D212" s="205"/>
      <c r="E212" s="204"/>
      <c r="F212" s="206"/>
      <c r="G212" s="207"/>
      <c r="H212" s="206"/>
      <c r="I212" s="208">
        <f>AF$10</f>
        <v>2050</v>
      </c>
      <c r="J212" s="209"/>
      <c r="K212" s="209"/>
      <c r="L212" s="210" t="s">
        <v>1065</v>
      </c>
      <c r="M212" s="209" t="s">
        <v>748</v>
      </c>
      <c r="N212" s="695">
        <f t="shared" ref="N212:AB212" si="222">N206*LOOKUP($AD201,$AG$4:$AP$4,$AG$10:$AP$10)</f>
        <v>0</v>
      </c>
      <c r="O212" s="695">
        <f t="shared" si="222"/>
        <v>0</v>
      </c>
      <c r="P212" s="695">
        <f t="shared" si="222"/>
        <v>0</v>
      </c>
      <c r="Q212" s="695">
        <f t="shared" si="222"/>
        <v>0</v>
      </c>
      <c r="R212" s="695">
        <f t="shared" si="222"/>
        <v>0</v>
      </c>
      <c r="S212" s="695">
        <f t="shared" si="222"/>
        <v>0</v>
      </c>
      <c r="T212" s="695">
        <f t="shared" si="222"/>
        <v>0</v>
      </c>
      <c r="U212" s="695">
        <f t="shared" si="222"/>
        <v>0</v>
      </c>
      <c r="V212" s="695">
        <f t="shared" si="222"/>
        <v>0</v>
      </c>
      <c r="W212" s="695">
        <f t="shared" si="222"/>
        <v>0</v>
      </c>
      <c r="X212" s="695">
        <f t="shared" si="222"/>
        <v>0</v>
      </c>
      <c r="Y212" s="695">
        <f t="shared" si="222"/>
        <v>0</v>
      </c>
      <c r="Z212" s="695">
        <f t="shared" si="222"/>
        <v>0</v>
      </c>
      <c r="AA212" s="695">
        <f t="shared" si="222"/>
        <v>0</v>
      </c>
      <c r="AB212" s="695">
        <f t="shared" si="222"/>
        <v>0</v>
      </c>
    </row>
    <row r="213" spans="1:65" s="83" customFormat="1" x14ac:dyDescent="0.25">
      <c r="A213" s="82"/>
      <c r="B213" s="178" t="str">
        <f>C213</f>
        <v>TFMEDST100</v>
      </c>
      <c r="C213" s="178" t="s">
        <v>359</v>
      </c>
      <c r="D213" s="179" t="s">
        <v>828</v>
      </c>
      <c r="E213" s="407" t="s">
        <v>988</v>
      </c>
      <c r="F213" s="182"/>
      <c r="G213" s="181"/>
      <c r="H213" s="182"/>
      <c r="I213" s="183"/>
      <c r="J213" s="184"/>
      <c r="K213" s="184"/>
      <c r="L213" s="203" t="s">
        <v>1107</v>
      </c>
      <c r="M213" s="184" t="s">
        <v>1125</v>
      </c>
      <c r="N213" s="567">
        <f>10^-3</f>
        <v>1E-3</v>
      </c>
      <c r="O213" s="366">
        <f t="shared" ref="O213:AB213" si="223">$N213</f>
        <v>1E-3</v>
      </c>
      <c r="P213" s="366">
        <f t="shared" si="223"/>
        <v>1E-3</v>
      </c>
      <c r="Q213" s="366">
        <f t="shared" si="223"/>
        <v>1E-3</v>
      </c>
      <c r="R213" s="366">
        <f t="shared" si="223"/>
        <v>1E-3</v>
      </c>
      <c r="S213" s="366">
        <f t="shared" si="223"/>
        <v>1E-3</v>
      </c>
      <c r="T213" s="366">
        <f t="shared" si="223"/>
        <v>1E-3</v>
      </c>
      <c r="U213" s="366">
        <f t="shared" si="223"/>
        <v>1E-3</v>
      </c>
      <c r="V213" s="366">
        <f t="shared" si="223"/>
        <v>1E-3</v>
      </c>
      <c r="W213" s="366">
        <f t="shared" si="223"/>
        <v>1E-3</v>
      </c>
      <c r="X213" s="366">
        <f t="shared" si="223"/>
        <v>1E-3</v>
      </c>
      <c r="Y213" s="366">
        <f t="shared" si="223"/>
        <v>1E-3</v>
      </c>
      <c r="Z213" s="366">
        <f t="shared" si="223"/>
        <v>1E-3</v>
      </c>
      <c r="AA213" s="366">
        <f t="shared" si="223"/>
        <v>1E-3</v>
      </c>
      <c r="AB213" s="366">
        <f t="shared" si="223"/>
        <v>1E-3</v>
      </c>
      <c r="AD213" s="86" t="str">
        <f>MID(D213,14,3)</f>
        <v>DST</v>
      </c>
      <c r="AV213" s="700" t="str">
        <f t="shared" ref="AV213:AV216" si="224">MID(E213,1,7)</f>
        <v>TRABDL</v>
      </c>
      <c r="AW213" s="568">
        <f t="shared" ref="AW213:AW214" si="225">SUM(AX213:BL213)</f>
        <v>0</v>
      </c>
      <c r="AX213" s="721">
        <f>N$219*N$220*(1-N214)/N$217/1000</f>
        <v>0</v>
      </c>
      <c r="AY213" s="721">
        <f t="shared" ref="AY213:BL213" si="226">O$219*O$220*(1-O214)/O$217/1000</f>
        <v>0</v>
      </c>
      <c r="AZ213" s="721">
        <f t="shared" si="226"/>
        <v>0</v>
      </c>
      <c r="BA213" s="721">
        <f t="shared" si="226"/>
        <v>0</v>
      </c>
      <c r="BB213" s="721">
        <f t="shared" si="226"/>
        <v>0</v>
      </c>
      <c r="BC213" s="721">
        <f t="shared" si="226"/>
        <v>0</v>
      </c>
      <c r="BD213" s="721">
        <f t="shared" si="226"/>
        <v>0</v>
      </c>
      <c r="BE213" s="721">
        <f t="shared" si="226"/>
        <v>0</v>
      </c>
      <c r="BF213" s="721">
        <f t="shared" si="226"/>
        <v>0</v>
      </c>
      <c r="BG213" s="721">
        <f t="shared" si="226"/>
        <v>0</v>
      </c>
      <c r="BH213" s="721">
        <f t="shared" si="226"/>
        <v>0</v>
      </c>
      <c r="BI213" s="721">
        <f t="shared" si="226"/>
        <v>0</v>
      </c>
      <c r="BJ213" s="721">
        <f t="shared" si="226"/>
        <v>0</v>
      </c>
      <c r="BK213" s="721">
        <f t="shared" si="226"/>
        <v>0</v>
      </c>
      <c r="BL213" s="721">
        <f t="shared" si="226"/>
        <v>0</v>
      </c>
      <c r="BM213" s="721"/>
    </row>
    <row r="214" spans="1:65" s="83" customFormat="1" x14ac:dyDescent="0.25">
      <c r="A214" s="82"/>
      <c r="B214" s="178" t="str">
        <f>B213</f>
        <v>TFMEDST100</v>
      </c>
      <c r="C214" s="178"/>
      <c r="D214" s="179"/>
      <c r="E214" s="407" t="s">
        <v>185</v>
      </c>
      <c r="F214" s="182"/>
      <c r="G214" s="181"/>
      <c r="H214" s="182"/>
      <c r="I214" s="183"/>
      <c r="J214" s="184" t="s">
        <v>1157</v>
      </c>
      <c r="K214" s="184"/>
      <c r="L214" s="203" t="s">
        <v>101</v>
      </c>
      <c r="M214" s="184"/>
      <c r="N214" s="390">
        <f>1-N$29-N$28</f>
        <v>0.78</v>
      </c>
      <c r="O214" s="390">
        <f t="shared" ref="O214:AB214" si="227">1-O$29-O$28</f>
        <v>0.78</v>
      </c>
      <c r="P214" s="390">
        <f t="shared" si="227"/>
        <v>0.78</v>
      </c>
      <c r="Q214" s="390">
        <f t="shared" si="227"/>
        <v>0.78</v>
      </c>
      <c r="R214" s="390">
        <f t="shared" si="227"/>
        <v>0.78</v>
      </c>
      <c r="S214" s="390">
        <f t="shared" si="227"/>
        <v>0.78</v>
      </c>
      <c r="T214" s="390">
        <f t="shared" si="227"/>
        <v>0.78</v>
      </c>
      <c r="U214" s="390">
        <f t="shared" si="227"/>
        <v>0.78</v>
      </c>
      <c r="V214" s="390">
        <f t="shared" si="227"/>
        <v>0.78</v>
      </c>
      <c r="W214" s="390">
        <f t="shared" si="227"/>
        <v>0.78</v>
      </c>
      <c r="X214" s="390">
        <f t="shared" si="227"/>
        <v>0.78</v>
      </c>
      <c r="Y214" s="390">
        <f t="shared" si="227"/>
        <v>0.78</v>
      </c>
      <c r="Z214" s="390">
        <f t="shared" si="227"/>
        <v>0.78</v>
      </c>
      <c r="AA214" s="390">
        <f t="shared" si="227"/>
        <v>0.78</v>
      </c>
      <c r="AB214" s="390">
        <f t="shared" si="227"/>
        <v>0.78</v>
      </c>
      <c r="AD214" s="66" t="str">
        <f>IF(COUNTIF($AG$4:$AP$4,AD213)=1,"ok","MISSING")</f>
        <v>ok</v>
      </c>
      <c r="AF214" s="333"/>
      <c r="AV214" s="700" t="str">
        <f t="shared" si="224"/>
        <v>TRADST</v>
      </c>
      <c r="AW214" s="568">
        <f t="shared" si="225"/>
        <v>0</v>
      </c>
      <c r="AX214" s="721">
        <f>N$219*N$220*N214/N$217/1000</f>
        <v>0</v>
      </c>
      <c r="AY214" s="721">
        <f t="shared" ref="AY214:BL214" si="228">O$219*O$220*O214/O$217/1000</f>
        <v>0</v>
      </c>
      <c r="AZ214" s="721">
        <f t="shared" si="228"/>
        <v>0</v>
      </c>
      <c r="BA214" s="721">
        <f t="shared" si="228"/>
        <v>0</v>
      </c>
      <c r="BB214" s="721">
        <f t="shared" si="228"/>
        <v>0</v>
      </c>
      <c r="BC214" s="721">
        <f t="shared" si="228"/>
        <v>0</v>
      </c>
      <c r="BD214" s="721">
        <f t="shared" si="228"/>
        <v>0</v>
      </c>
      <c r="BE214" s="721">
        <f t="shared" si="228"/>
        <v>0</v>
      </c>
      <c r="BF214" s="721">
        <f t="shared" si="228"/>
        <v>0</v>
      </c>
      <c r="BG214" s="721">
        <f t="shared" si="228"/>
        <v>0</v>
      </c>
      <c r="BH214" s="721">
        <f t="shared" si="228"/>
        <v>0</v>
      </c>
      <c r="BI214" s="721">
        <f t="shared" si="228"/>
        <v>0</v>
      </c>
      <c r="BJ214" s="721">
        <f t="shared" si="228"/>
        <v>0</v>
      </c>
      <c r="BK214" s="721">
        <f t="shared" si="228"/>
        <v>0</v>
      </c>
      <c r="BL214" s="721">
        <f t="shared" si="228"/>
        <v>0</v>
      </c>
      <c r="BM214" s="721"/>
    </row>
    <row r="215" spans="1:65" s="83" customFormat="1" x14ac:dyDescent="0.25">
      <c r="A215" s="82"/>
      <c r="B215" s="178" t="str">
        <f t="shared" ref="B215" si="229">B214</f>
        <v>TFMEDST100</v>
      </c>
      <c r="C215" s="178"/>
      <c r="D215" s="179"/>
      <c r="E215" s="407" t="s">
        <v>990</v>
      </c>
      <c r="F215" s="182"/>
      <c r="G215" s="181"/>
      <c r="H215" s="182"/>
      <c r="I215" s="183"/>
      <c r="J215" s="184" t="s">
        <v>1157</v>
      </c>
      <c r="K215" s="184"/>
      <c r="L215" s="203" t="s">
        <v>101</v>
      </c>
      <c r="M215" s="184"/>
      <c r="N215" s="690">
        <f>N$28</f>
        <v>7.0000000000000007E-2</v>
      </c>
      <c r="O215" s="690">
        <f t="shared" ref="O215:AB215" si="230">O$28</f>
        <v>7.0000000000000007E-2</v>
      </c>
      <c r="P215" s="690">
        <f t="shared" si="230"/>
        <v>7.0000000000000007E-2</v>
      </c>
      <c r="Q215" s="690">
        <f t="shared" si="230"/>
        <v>7.0000000000000007E-2</v>
      </c>
      <c r="R215" s="690">
        <f t="shared" si="230"/>
        <v>7.0000000000000007E-2</v>
      </c>
      <c r="S215" s="690">
        <f t="shared" si="230"/>
        <v>7.0000000000000007E-2</v>
      </c>
      <c r="T215" s="690">
        <f t="shared" si="230"/>
        <v>7.0000000000000007E-2</v>
      </c>
      <c r="U215" s="690">
        <f t="shared" si="230"/>
        <v>7.0000000000000007E-2</v>
      </c>
      <c r="V215" s="690">
        <f t="shared" si="230"/>
        <v>7.0000000000000007E-2</v>
      </c>
      <c r="W215" s="690">
        <f t="shared" si="230"/>
        <v>7.0000000000000007E-2</v>
      </c>
      <c r="X215" s="690">
        <f t="shared" si="230"/>
        <v>7.0000000000000007E-2</v>
      </c>
      <c r="Y215" s="690">
        <f t="shared" si="230"/>
        <v>7.0000000000000007E-2</v>
      </c>
      <c r="Z215" s="690">
        <f t="shared" si="230"/>
        <v>7.0000000000000007E-2</v>
      </c>
      <c r="AA215" s="690">
        <f t="shared" si="230"/>
        <v>7.0000000000000007E-2</v>
      </c>
      <c r="AB215" s="690">
        <f t="shared" si="230"/>
        <v>7.0000000000000007E-2</v>
      </c>
      <c r="AD215" s="408"/>
      <c r="AE215" s="357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V215" s="700" t="str">
        <f t="shared" ref="AV215" si="231">MID(E215,1,7)</f>
        <v>TRABDLM</v>
      </c>
      <c r="AW215" s="568">
        <f t="shared" ref="AW215" si="232">SUM(AX215:BL215)</f>
        <v>0</v>
      </c>
      <c r="AX215" s="721">
        <f>N$219*N$220*N215/N$217/1000</f>
        <v>0</v>
      </c>
      <c r="AY215" s="721">
        <f t="shared" ref="AY215" si="233">O$219*O$220*O215/O$217/1000</f>
        <v>0</v>
      </c>
      <c r="AZ215" s="721">
        <f t="shared" ref="AZ215" si="234">P$219*P$220*P215/P$217/1000</f>
        <v>0</v>
      </c>
      <c r="BA215" s="721">
        <f t="shared" ref="BA215" si="235">Q$219*Q$220*Q215/Q$217/1000</f>
        <v>0</v>
      </c>
      <c r="BB215" s="721">
        <f t="shared" ref="BB215" si="236">R$219*R$220*R215/R$217/1000</f>
        <v>0</v>
      </c>
      <c r="BC215" s="721">
        <f t="shared" ref="BC215" si="237">S$219*S$220*S215/S$217/1000</f>
        <v>0</v>
      </c>
      <c r="BD215" s="721">
        <f t="shared" ref="BD215" si="238">T$219*T$220*T215/T$217/1000</f>
        <v>0</v>
      </c>
      <c r="BE215" s="721">
        <f t="shared" ref="BE215" si="239">U$219*U$220*U215/U$217/1000</f>
        <v>0</v>
      </c>
      <c r="BF215" s="721">
        <f t="shared" ref="BF215" si="240">V$219*V$220*V215/V$217/1000</f>
        <v>0</v>
      </c>
      <c r="BG215" s="721">
        <f t="shared" ref="BG215" si="241">W$219*W$220*W215/W$217/1000</f>
        <v>0</v>
      </c>
      <c r="BH215" s="721">
        <f t="shared" ref="BH215" si="242">X$219*X$220*X215/X$217/1000</f>
        <v>0</v>
      </c>
      <c r="BI215" s="721">
        <f t="shared" ref="BI215" si="243">Y$219*Y$220*Y215/Y$217/1000</f>
        <v>0</v>
      </c>
      <c r="BJ215" s="721">
        <f t="shared" ref="BJ215" si="244">Z$219*Z$220*Z215/Z$217/1000</f>
        <v>0</v>
      </c>
      <c r="BK215" s="721">
        <f t="shared" ref="BK215" si="245">AA$219*AA$220*AA215/AA$217/1000</f>
        <v>0</v>
      </c>
      <c r="BL215" s="721">
        <f t="shared" ref="BL215" si="246">AB$219*AB$220*AB215/AB$217/1000</f>
        <v>0</v>
      </c>
    </row>
    <row r="216" spans="1:65" s="83" customFormat="1" x14ac:dyDescent="0.25">
      <c r="B216" s="178" t="str">
        <f>B214</f>
        <v>TFMEDST100</v>
      </c>
      <c r="C216" s="178"/>
      <c r="D216" s="179"/>
      <c r="E216" s="178"/>
      <c r="F216" s="182"/>
      <c r="G216" s="324" t="s">
        <v>435</v>
      </c>
      <c r="H216" s="182"/>
      <c r="I216" s="183"/>
      <c r="J216" s="184"/>
      <c r="K216" s="184"/>
      <c r="L216" s="184" t="s">
        <v>1126</v>
      </c>
      <c r="M216" s="184" t="s">
        <v>678</v>
      </c>
      <c r="N216" s="676">
        <f>T_CEFF!H182</f>
        <v>7.0400000000000004E-2</v>
      </c>
      <c r="O216" s="676">
        <f>T_CEFF!I182</f>
        <v>7.0400000000000004E-2</v>
      </c>
      <c r="P216" s="676">
        <f>T_CEFF!J182</f>
        <v>7.0400000000000004E-2</v>
      </c>
      <c r="Q216" s="676">
        <f>T_CEFF!K182</f>
        <v>7.0400000000000004E-2</v>
      </c>
      <c r="R216" s="676">
        <f>T_CEFF!L182</f>
        <v>7.0400000000000004E-2</v>
      </c>
      <c r="S216" s="676">
        <f>T_CEFF!M182</f>
        <v>7.0400000000000004E-2</v>
      </c>
      <c r="T216" s="676">
        <f>T_CEFF!N182</f>
        <v>7.0400000000000004E-2</v>
      </c>
      <c r="U216" s="676">
        <f>T_CEFF!O182</f>
        <v>7.0400000000000004E-2</v>
      </c>
      <c r="V216" s="676">
        <f>T_CEFF!P182</f>
        <v>7.0400000000000004E-2</v>
      </c>
      <c r="W216" s="676">
        <f>T_CEFF!Q182</f>
        <v>7.0400000000000004E-2</v>
      </c>
      <c r="X216" s="676">
        <f>T_CEFF!R182</f>
        <v>7.0400000000000004E-2</v>
      </c>
      <c r="Y216" s="676">
        <f>T_CEFF!S182</f>
        <v>7.0400000000000004E-2</v>
      </c>
      <c r="Z216" s="676">
        <f>T_CEFF!T182</f>
        <v>7.0400000000000004E-2</v>
      </c>
      <c r="AA216" s="676">
        <f>T_CEFF!U182</f>
        <v>7.0400000000000004E-2</v>
      </c>
      <c r="AB216" s="676">
        <f>T_CEFF!V182</f>
        <v>7.0400000000000004E-2</v>
      </c>
      <c r="AV216" s="700" t="str">
        <f t="shared" si="224"/>
        <v/>
      </c>
      <c r="AW216" s="568"/>
    </row>
    <row r="217" spans="1:65" s="83" customFormat="1" x14ac:dyDescent="0.25">
      <c r="B217" s="178" t="str">
        <f t="shared" ref="B217:B226" si="247">B216</f>
        <v>TFMEDST100</v>
      </c>
      <c r="C217" s="178"/>
      <c r="D217" s="179"/>
      <c r="E217" s="178"/>
      <c r="F217" s="182"/>
      <c r="G217" s="324" t="s">
        <v>433</v>
      </c>
      <c r="H217" s="182"/>
      <c r="I217" s="183"/>
      <c r="J217" s="184"/>
      <c r="K217" s="184"/>
      <c r="L217" s="184" t="s">
        <v>1126</v>
      </c>
      <c r="M217" s="184" t="s">
        <v>678</v>
      </c>
      <c r="N217" s="676">
        <f>T_CEFF!H183</f>
        <v>5.6320000000000002E-2</v>
      </c>
      <c r="O217" s="676">
        <f>T_CEFF!I183</f>
        <v>5.6320000000000002E-2</v>
      </c>
      <c r="P217" s="676">
        <f>T_CEFF!J183</f>
        <v>5.6320000000000002E-2</v>
      </c>
      <c r="Q217" s="676">
        <f>T_CEFF!K183</f>
        <v>5.6320000000000002E-2</v>
      </c>
      <c r="R217" s="676">
        <f>T_CEFF!L183</f>
        <v>5.6320000000000002E-2</v>
      </c>
      <c r="S217" s="676">
        <f>T_CEFF!M183</f>
        <v>5.6320000000000002E-2</v>
      </c>
      <c r="T217" s="676">
        <f>T_CEFF!N183</f>
        <v>5.6320000000000002E-2</v>
      </c>
      <c r="U217" s="676">
        <f>T_CEFF!O183</f>
        <v>5.6320000000000002E-2</v>
      </c>
      <c r="V217" s="676">
        <f>T_CEFF!P183</f>
        <v>5.6320000000000002E-2</v>
      </c>
      <c r="W217" s="676">
        <f>T_CEFF!Q183</f>
        <v>5.6320000000000002E-2</v>
      </c>
      <c r="X217" s="676">
        <f>T_CEFF!R183</f>
        <v>5.6320000000000002E-2</v>
      </c>
      <c r="Y217" s="676">
        <f>T_CEFF!S183</f>
        <v>5.6320000000000002E-2</v>
      </c>
      <c r="Z217" s="676">
        <f>T_CEFF!T183</f>
        <v>5.6320000000000002E-2</v>
      </c>
      <c r="AA217" s="676">
        <f>T_CEFF!U183</f>
        <v>5.6320000000000002E-2</v>
      </c>
      <c r="AB217" s="676">
        <f>T_CEFF!V183</f>
        <v>5.6320000000000002E-2</v>
      </c>
    </row>
    <row r="218" spans="1:65" s="83" customFormat="1" x14ac:dyDescent="0.25">
      <c r="B218" s="178" t="str">
        <f>B217</f>
        <v>TFMEDST100</v>
      </c>
      <c r="C218" s="178"/>
      <c r="D218" s="179"/>
      <c r="E218" s="178"/>
      <c r="F218" s="182"/>
      <c r="G218" s="181"/>
      <c r="H218" s="182"/>
      <c r="I218" s="183"/>
      <c r="J218" s="184"/>
      <c r="K218" s="184" t="s">
        <v>749</v>
      </c>
      <c r="L218" s="184" t="s">
        <v>1128</v>
      </c>
      <c r="M218" s="184" t="s">
        <v>1175</v>
      </c>
      <c r="N218" s="388">
        <f>N$24</f>
        <v>0</v>
      </c>
      <c r="O218" s="388">
        <f t="shared" ref="O218:AB218" si="248">O$24</f>
        <v>0</v>
      </c>
      <c r="P218" s="388">
        <f t="shared" si="248"/>
        <v>0</v>
      </c>
      <c r="Q218" s="388">
        <f t="shared" si="248"/>
        <v>0</v>
      </c>
      <c r="R218" s="388">
        <f t="shared" si="248"/>
        <v>0</v>
      </c>
      <c r="S218" s="388">
        <f t="shared" si="248"/>
        <v>0</v>
      </c>
      <c r="T218" s="388">
        <f t="shared" si="248"/>
        <v>0</v>
      </c>
      <c r="U218" s="388">
        <f t="shared" si="248"/>
        <v>0</v>
      </c>
      <c r="V218" s="388">
        <f t="shared" si="248"/>
        <v>0</v>
      </c>
      <c r="W218" s="388">
        <f t="shared" si="248"/>
        <v>0</v>
      </c>
      <c r="X218" s="388">
        <f t="shared" si="248"/>
        <v>0</v>
      </c>
      <c r="Y218" s="388">
        <f t="shared" si="248"/>
        <v>0</v>
      </c>
      <c r="Z218" s="388">
        <f t="shared" si="248"/>
        <v>0</v>
      </c>
      <c r="AA218" s="388">
        <f t="shared" si="248"/>
        <v>0</v>
      </c>
      <c r="AB218" s="388">
        <f t="shared" si="248"/>
        <v>0</v>
      </c>
    </row>
    <row r="219" spans="1:65" s="83" customFormat="1" x14ac:dyDescent="0.25">
      <c r="B219" s="178" t="str">
        <f t="shared" si="247"/>
        <v>TFMEDST100</v>
      </c>
      <c r="C219" s="178"/>
      <c r="D219" s="179"/>
      <c r="E219" s="178"/>
      <c r="F219" s="182"/>
      <c r="G219" s="181"/>
      <c r="H219" s="182"/>
      <c r="I219" s="183"/>
      <c r="J219" s="184"/>
      <c r="K219" s="184"/>
      <c r="L219" s="203" t="s">
        <v>1130</v>
      </c>
      <c r="M219" s="184" t="s">
        <v>1131</v>
      </c>
      <c r="N219" s="397">
        <f>LOOKUP($C$213, T_NCAP_AF!$C$155:$C$165, T_NCAP_AF!D$155:D$165)*(1+N195)</f>
        <v>0</v>
      </c>
      <c r="O219" s="397">
        <f>LOOKUP($C$213, T_NCAP_AF!$C$155:$C$165, T_NCAP_AF!E$155:E$165)*(1+O195)</f>
        <v>0</v>
      </c>
      <c r="P219" s="397">
        <f>LOOKUP($C$213, T_NCAP_AF!$C$155:$C$165, T_NCAP_AF!F$155:F$165)*(1+P195)</f>
        <v>0</v>
      </c>
      <c r="Q219" s="397">
        <f>LOOKUP($C$213, T_NCAP_AF!$C$155:$C$165, T_NCAP_AF!G$155:G$165)*(1+Q195)</f>
        <v>0</v>
      </c>
      <c r="R219" s="397">
        <f>LOOKUP($C$213, T_NCAP_AF!$C$155:$C$165, T_NCAP_AF!H$155:H$165)*(1+R195)</f>
        <v>0</v>
      </c>
      <c r="S219" s="397">
        <f>LOOKUP($C$213, T_NCAP_AF!$C$155:$C$165, T_NCAP_AF!I$155:I$165)*(1+S195)</f>
        <v>0</v>
      </c>
      <c r="T219" s="397">
        <f>LOOKUP($C$213, T_NCAP_AF!$C$155:$C$165, T_NCAP_AF!J$155:J$165)*(1+T195)</f>
        <v>0</v>
      </c>
      <c r="U219" s="397">
        <f>LOOKUP($C$213, T_NCAP_AF!$C$155:$C$165, T_NCAP_AF!K$155:K$165)*(1+U195)</f>
        <v>0</v>
      </c>
      <c r="V219" s="397">
        <f>LOOKUP($C$213, T_NCAP_AF!$C$155:$C$165, T_NCAP_AF!L$155:L$165)*(1+V195)</f>
        <v>0</v>
      </c>
      <c r="W219" s="397">
        <f>LOOKUP($C$213, T_NCAP_AF!$C$155:$C$165, T_NCAP_AF!M$155:M$165)*(1+W195)</f>
        <v>0</v>
      </c>
      <c r="X219" s="397">
        <f>LOOKUP($C$213, T_NCAP_AF!$C$155:$C$165, T_NCAP_AF!N$155:N$165)*(1+X195)</f>
        <v>0</v>
      </c>
      <c r="Y219" s="397">
        <f>LOOKUP($C$213, T_NCAP_AF!$C$155:$C$165, T_NCAP_AF!O$155:O$165)*(1+Y195)</f>
        <v>0</v>
      </c>
      <c r="Z219" s="397">
        <f>LOOKUP($C$213, T_NCAP_AF!$C$155:$C$165, T_NCAP_AF!P$155:P$165)*(1+Z195)</f>
        <v>0</v>
      </c>
      <c r="AA219" s="397">
        <f>LOOKUP($C$213, T_NCAP_AF!$C$155:$C$165, T_NCAP_AF!Q$155:Q$165)*(1+AA195)</f>
        <v>0</v>
      </c>
      <c r="AB219" s="397">
        <f>LOOKUP($C$213, T_NCAP_AF!$C$155:$C$165, T_NCAP_AF!R$155:R$165)*(1+AB195)</f>
        <v>0</v>
      </c>
      <c r="AE219" s="572">
        <f>SUM(AF219:AT219)</f>
        <v>0</v>
      </c>
      <c r="AF219" s="85">
        <f t="shared" ref="AF219:AT219" si="249">N218*N219*N220/1000</f>
        <v>0</v>
      </c>
      <c r="AG219" s="85">
        <f t="shared" si="249"/>
        <v>0</v>
      </c>
      <c r="AH219" s="85">
        <f t="shared" si="249"/>
        <v>0</v>
      </c>
      <c r="AI219" s="85">
        <f t="shared" si="249"/>
        <v>0</v>
      </c>
      <c r="AJ219" s="85">
        <f t="shared" si="249"/>
        <v>0</v>
      </c>
      <c r="AK219" s="85">
        <f t="shared" si="249"/>
        <v>0</v>
      </c>
      <c r="AL219" s="85">
        <f t="shared" si="249"/>
        <v>0</v>
      </c>
      <c r="AM219" s="85">
        <f t="shared" si="249"/>
        <v>0</v>
      </c>
      <c r="AN219" s="85">
        <f t="shared" si="249"/>
        <v>0</v>
      </c>
      <c r="AO219" s="85">
        <f t="shared" si="249"/>
        <v>0</v>
      </c>
      <c r="AP219" s="85">
        <f t="shared" si="249"/>
        <v>0</v>
      </c>
      <c r="AQ219" s="85">
        <f t="shared" si="249"/>
        <v>0</v>
      </c>
      <c r="AR219" s="85">
        <f t="shared" si="249"/>
        <v>0</v>
      </c>
      <c r="AS219" s="85">
        <f t="shared" si="249"/>
        <v>0</v>
      </c>
      <c r="AT219" s="85">
        <f t="shared" si="249"/>
        <v>0</v>
      </c>
    </row>
    <row r="220" spans="1:65" s="83" customFormat="1" x14ac:dyDescent="0.25">
      <c r="B220" s="178" t="str">
        <f>B219</f>
        <v>TFMEDST100</v>
      </c>
      <c r="C220" s="178"/>
      <c r="D220" s="179"/>
      <c r="E220" s="178"/>
      <c r="F220" s="182"/>
      <c r="G220" s="181"/>
      <c r="H220" s="182"/>
      <c r="I220" s="183">
        <f>$M$3</f>
        <v>2019</v>
      </c>
      <c r="J220" s="184"/>
      <c r="K220" s="184"/>
      <c r="L220" s="203" t="s">
        <v>1065</v>
      </c>
      <c r="M220" s="184" t="s">
        <v>748</v>
      </c>
      <c r="N220" s="694">
        <f>LOOKUP($C$213, T_Stock_Private!$C$106:$C$117, T_Stock_Private!D$106:D$117)*(1+N196)</f>
        <v>0</v>
      </c>
      <c r="O220" s="694">
        <f>LOOKUP($C$213, T_Stock_Private!$C$106:$C$117, T_Stock_Private!E$106:E$117)*(1+O196)</f>
        <v>0</v>
      </c>
      <c r="P220" s="694">
        <f>LOOKUP($C$213, T_Stock_Private!$C$106:$C$117, T_Stock_Private!F$106:F$117)*(1+P196)</f>
        <v>0</v>
      </c>
      <c r="Q220" s="694">
        <f>LOOKUP($C$213, T_Stock_Private!$C$106:$C$117, T_Stock_Private!G$106:G$117)*(1+Q196)</f>
        <v>0</v>
      </c>
      <c r="R220" s="694">
        <f>LOOKUP($C$213, T_Stock_Private!$C$106:$C$117, T_Stock_Private!H$106:H$117)*(1+R196)</f>
        <v>0</v>
      </c>
      <c r="S220" s="694">
        <f>LOOKUP($C$213, T_Stock_Private!$C$106:$C$117, T_Stock_Private!I$106:I$117)*(1+S196)</f>
        <v>0</v>
      </c>
      <c r="T220" s="694">
        <f>LOOKUP($C$213, T_Stock_Private!$C$106:$C$117, T_Stock_Private!J$106:J$117)*(1+T196)</f>
        <v>0</v>
      </c>
      <c r="U220" s="694">
        <f>LOOKUP($C$213, T_Stock_Private!$C$106:$C$117, T_Stock_Private!K$106:K$117)*(1+U196)</f>
        <v>0</v>
      </c>
      <c r="V220" s="694">
        <f>LOOKUP($C$213, T_Stock_Private!$C$106:$C$117, T_Stock_Private!L$106:L$117)*(1+V196)</f>
        <v>0</v>
      </c>
      <c r="W220" s="694">
        <f>LOOKUP($C$213, T_Stock_Private!$C$106:$C$117, T_Stock_Private!M$106:M$117)*(1+W196)</f>
        <v>0</v>
      </c>
      <c r="X220" s="694">
        <f>LOOKUP($C$213, T_Stock_Private!$C$106:$C$117, T_Stock_Private!N$106:N$117)*(1+X196)</f>
        <v>0</v>
      </c>
      <c r="Y220" s="694">
        <f>LOOKUP($C$213, T_Stock_Private!$C$106:$C$117, T_Stock_Private!O$106:O$117)*(1+Y196)</f>
        <v>0</v>
      </c>
      <c r="Z220" s="694">
        <f>LOOKUP($C$213, T_Stock_Private!$C$106:$C$117, T_Stock_Private!P$106:P$117)*(1+Z196)</f>
        <v>0</v>
      </c>
      <c r="AA220" s="694">
        <f>LOOKUP($C$213, T_Stock_Private!$C$106:$C$117, T_Stock_Private!Q$106:Q$117)*(1+AA196)</f>
        <v>0</v>
      </c>
      <c r="AB220" s="694">
        <f>LOOKUP($C$213, T_Stock_Private!$C$106:$C$117, T_Stock_Private!R$106:R$117)*(1+AB196)</f>
        <v>0</v>
      </c>
    </row>
    <row r="221" spans="1:65" s="83" customFormat="1" x14ac:dyDescent="0.25">
      <c r="B221" s="178" t="str">
        <f t="shared" si="247"/>
        <v>TFMEDST100</v>
      </c>
      <c r="C221" s="178"/>
      <c r="D221" s="179"/>
      <c r="E221" s="178"/>
      <c r="F221" s="182"/>
      <c r="G221" s="181"/>
      <c r="H221" s="182"/>
      <c r="I221" s="183">
        <f>AF$5</f>
        <v>2020</v>
      </c>
      <c r="J221" s="184"/>
      <c r="K221" s="184"/>
      <c r="L221" s="203" t="s">
        <v>1065</v>
      </c>
      <c r="M221" s="184" t="s">
        <v>748</v>
      </c>
      <c r="N221" s="694">
        <f t="shared" ref="N221:AB221" si="250">N220*LOOKUP($AD213,$AG$4:$AP$4,$AG$5:$AP$5)</f>
        <v>0</v>
      </c>
      <c r="O221" s="694">
        <f t="shared" si="250"/>
        <v>0</v>
      </c>
      <c r="P221" s="694">
        <f t="shared" si="250"/>
        <v>0</v>
      </c>
      <c r="Q221" s="694">
        <f t="shared" si="250"/>
        <v>0</v>
      </c>
      <c r="R221" s="694">
        <f t="shared" si="250"/>
        <v>0</v>
      </c>
      <c r="S221" s="694">
        <f t="shared" si="250"/>
        <v>0</v>
      </c>
      <c r="T221" s="694">
        <f t="shared" si="250"/>
        <v>0</v>
      </c>
      <c r="U221" s="694">
        <f t="shared" si="250"/>
        <v>0</v>
      </c>
      <c r="V221" s="694">
        <f t="shared" si="250"/>
        <v>0</v>
      </c>
      <c r="W221" s="694">
        <f t="shared" si="250"/>
        <v>0</v>
      </c>
      <c r="X221" s="694">
        <f t="shared" si="250"/>
        <v>0</v>
      </c>
      <c r="Y221" s="694">
        <f t="shared" si="250"/>
        <v>0</v>
      </c>
      <c r="Z221" s="694">
        <f t="shared" si="250"/>
        <v>0</v>
      </c>
      <c r="AA221" s="694">
        <f t="shared" si="250"/>
        <v>0</v>
      </c>
      <c r="AB221" s="694">
        <f t="shared" si="250"/>
        <v>0</v>
      </c>
    </row>
    <row r="222" spans="1:65" s="83" customFormat="1" x14ac:dyDescent="0.25">
      <c r="B222" s="178" t="str">
        <f t="shared" si="247"/>
        <v>TFMEDST100</v>
      </c>
      <c r="C222" s="178"/>
      <c r="D222" s="179"/>
      <c r="E222" s="178"/>
      <c r="F222" s="182"/>
      <c r="G222" s="181"/>
      <c r="H222" s="182"/>
      <c r="I222" s="183">
        <f>AF$6</f>
        <v>2025</v>
      </c>
      <c r="J222" s="184"/>
      <c r="K222" s="184"/>
      <c r="L222" s="203" t="s">
        <v>1065</v>
      </c>
      <c r="M222" s="184" t="s">
        <v>748</v>
      </c>
      <c r="N222" s="694">
        <f t="shared" ref="N222:AB222" si="251">N220*LOOKUP($AD213,$AG$4:$AP$4,$AG$6:$AP$6)</f>
        <v>0</v>
      </c>
      <c r="O222" s="694">
        <f t="shared" si="251"/>
        <v>0</v>
      </c>
      <c r="P222" s="694">
        <f t="shared" si="251"/>
        <v>0</v>
      </c>
      <c r="Q222" s="694">
        <f t="shared" si="251"/>
        <v>0</v>
      </c>
      <c r="R222" s="694">
        <f t="shared" si="251"/>
        <v>0</v>
      </c>
      <c r="S222" s="694">
        <f t="shared" si="251"/>
        <v>0</v>
      </c>
      <c r="T222" s="694">
        <f t="shared" si="251"/>
        <v>0</v>
      </c>
      <c r="U222" s="694">
        <f t="shared" si="251"/>
        <v>0</v>
      </c>
      <c r="V222" s="694">
        <f t="shared" si="251"/>
        <v>0</v>
      </c>
      <c r="W222" s="694">
        <f t="shared" si="251"/>
        <v>0</v>
      </c>
      <c r="X222" s="694">
        <f t="shared" si="251"/>
        <v>0</v>
      </c>
      <c r="Y222" s="694">
        <f t="shared" si="251"/>
        <v>0</v>
      </c>
      <c r="Z222" s="694">
        <f t="shared" si="251"/>
        <v>0</v>
      </c>
      <c r="AA222" s="694">
        <f t="shared" si="251"/>
        <v>0</v>
      </c>
      <c r="AB222" s="694">
        <f t="shared" si="251"/>
        <v>0</v>
      </c>
    </row>
    <row r="223" spans="1:65" s="83" customFormat="1" x14ac:dyDescent="0.25">
      <c r="B223" s="178" t="str">
        <f t="shared" si="247"/>
        <v>TFMEDST100</v>
      </c>
      <c r="C223" s="178"/>
      <c r="D223" s="179"/>
      <c r="E223" s="178"/>
      <c r="F223" s="182"/>
      <c r="G223" s="181"/>
      <c r="H223" s="182"/>
      <c r="I223" s="183">
        <f>AF$7</f>
        <v>2030</v>
      </c>
      <c r="J223" s="184"/>
      <c r="K223" s="184"/>
      <c r="L223" s="203" t="s">
        <v>1065</v>
      </c>
      <c r="M223" s="184" t="s">
        <v>748</v>
      </c>
      <c r="N223" s="694">
        <f t="shared" ref="N223:AB223" si="252">N220*LOOKUP($AD213,$AG$4:$AP$4,$AG$7:$AP$7)</f>
        <v>0</v>
      </c>
      <c r="O223" s="694">
        <f t="shared" si="252"/>
        <v>0</v>
      </c>
      <c r="P223" s="694">
        <f t="shared" si="252"/>
        <v>0</v>
      </c>
      <c r="Q223" s="694">
        <f t="shared" si="252"/>
        <v>0</v>
      </c>
      <c r="R223" s="694">
        <f t="shared" si="252"/>
        <v>0</v>
      </c>
      <c r="S223" s="694">
        <f t="shared" si="252"/>
        <v>0</v>
      </c>
      <c r="T223" s="694">
        <f t="shared" si="252"/>
        <v>0</v>
      </c>
      <c r="U223" s="694">
        <f t="shared" si="252"/>
        <v>0</v>
      </c>
      <c r="V223" s="694">
        <f t="shared" si="252"/>
        <v>0</v>
      </c>
      <c r="W223" s="694">
        <f t="shared" si="252"/>
        <v>0</v>
      </c>
      <c r="X223" s="694">
        <f t="shared" si="252"/>
        <v>0</v>
      </c>
      <c r="Y223" s="694">
        <f t="shared" si="252"/>
        <v>0</v>
      </c>
      <c r="Z223" s="694">
        <f t="shared" si="252"/>
        <v>0</v>
      </c>
      <c r="AA223" s="694">
        <f t="shared" si="252"/>
        <v>0</v>
      </c>
      <c r="AB223" s="694">
        <f t="shared" si="252"/>
        <v>0</v>
      </c>
    </row>
    <row r="224" spans="1:65" s="83" customFormat="1" x14ac:dyDescent="0.25">
      <c r="B224" s="178" t="str">
        <f t="shared" si="247"/>
        <v>TFMEDST100</v>
      </c>
      <c r="C224" s="178"/>
      <c r="D224" s="179"/>
      <c r="E224" s="178"/>
      <c r="F224" s="182"/>
      <c r="G224" s="181"/>
      <c r="H224" s="182"/>
      <c r="I224" s="183">
        <f>AF$8</f>
        <v>2035</v>
      </c>
      <c r="J224" s="184"/>
      <c r="K224" s="184"/>
      <c r="L224" s="203" t="s">
        <v>1065</v>
      </c>
      <c r="M224" s="184" t="s">
        <v>748</v>
      </c>
      <c r="N224" s="694">
        <f t="shared" ref="N224:AB224" si="253">N220*LOOKUP($AD213,$AG$4:$AP$4,$AG$8:$AP$8)</f>
        <v>0</v>
      </c>
      <c r="O224" s="694">
        <f t="shared" si="253"/>
        <v>0</v>
      </c>
      <c r="P224" s="694">
        <f t="shared" si="253"/>
        <v>0</v>
      </c>
      <c r="Q224" s="694">
        <f t="shared" si="253"/>
        <v>0</v>
      </c>
      <c r="R224" s="694">
        <f t="shared" si="253"/>
        <v>0</v>
      </c>
      <c r="S224" s="694">
        <f t="shared" si="253"/>
        <v>0</v>
      </c>
      <c r="T224" s="694">
        <f t="shared" si="253"/>
        <v>0</v>
      </c>
      <c r="U224" s="694">
        <f t="shared" si="253"/>
        <v>0</v>
      </c>
      <c r="V224" s="694">
        <f t="shared" si="253"/>
        <v>0</v>
      </c>
      <c r="W224" s="694">
        <f t="shared" si="253"/>
        <v>0</v>
      </c>
      <c r="X224" s="694">
        <f t="shared" si="253"/>
        <v>0</v>
      </c>
      <c r="Y224" s="694">
        <f t="shared" si="253"/>
        <v>0</v>
      </c>
      <c r="Z224" s="694">
        <f t="shared" si="253"/>
        <v>0</v>
      </c>
      <c r="AA224" s="694">
        <f t="shared" si="253"/>
        <v>0</v>
      </c>
      <c r="AB224" s="694">
        <f t="shared" si="253"/>
        <v>0</v>
      </c>
    </row>
    <row r="225" spans="1:49" s="83" customFormat="1" x14ac:dyDescent="0.25">
      <c r="B225" s="178" t="str">
        <f t="shared" si="247"/>
        <v>TFMEDST100</v>
      </c>
      <c r="C225" s="178"/>
      <c r="D225" s="179"/>
      <c r="E225" s="178"/>
      <c r="F225" s="182"/>
      <c r="G225" s="181"/>
      <c r="H225" s="182"/>
      <c r="I225" s="183">
        <f>AF$9</f>
        <v>2040</v>
      </c>
      <c r="J225" s="184"/>
      <c r="K225" s="184"/>
      <c r="L225" s="203" t="s">
        <v>1065</v>
      </c>
      <c r="M225" s="184" t="s">
        <v>748</v>
      </c>
      <c r="N225" s="694">
        <f t="shared" ref="N225:AB225" si="254">N220*LOOKUP($AD213,$AG$4:$AP$4,$AG$9:$AP$9)</f>
        <v>0</v>
      </c>
      <c r="O225" s="694">
        <f t="shared" si="254"/>
        <v>0</v>
      </c>
      <c r="P225" s="694">
        <f t="shared" si="254"/>
        <v>0</v>
      </c>
      <c r="Q225" s="694">
        <f t="shared" si="254"/>
        <v>0</v>
      </c>
      <c r="R225" s="694">
        <f t="shared" si="254"/>
        <v>0</v>
      </c>
      <c r="S225" s="694">
        <f t="shared" si="254"/>
        <v>0</v>
      </c>
      <c r="T225" s="694">
        <f t="shared" si="254"/>
        <v>0</v>
      </c>
      <c r="U225" s="694">
        <f t="shared" si="254"/>
        <v>0</v>
      </c>
      <c r="V225" s="694">
        <f t="shared" si="254"/>
        <v>0</v>
      </c>
      <c r="W225" s="694">
        <f t="shared" si="254"/>
        <v>0</v>
      </c>
      <c r="X225" s="694">
        <f t="shared" si="254"/>
        <v>0</v>
      </c>
      <c r="Y225" s="694">
        <f t="shared" si="254"/>
        <v>0</v>
      </c>
      <c r="Z225" s="694">
        <f t="shared" si="254"/>
        <v>0</v>
      </c>
      <c r="AA225" s="694">
        <f t="shared" si="254"/>
        <v>0</v>
      </c>
      <c r="AB225" s="694">
        <f t="shared" si="254"/>
        <v>0</v>
      </c>
    </row>
    <row r="226" spans="1:49" s="83" customFormat="1" x14ac:dyDescent="0.25">
      <c r="B226" s="204" t="str">
        <f t="shared" si="247"/>
        <v>TFMEDST100</v>
      </c>
      <c r="C226" s="204"/>
      <c r="D226" s="205"/>
      <c r="E226" s="204"/>
      <c r="F226" s="206"/>
      <c r="G226" s="207"/>
      <c r="H226" s="206"/>
      <c r="I226" s="208">
        <f>AF$10</f>
        <v>2050</v>
      </c>
      <c r="J226" s="209"/>
      <c r="K226" s="209"/>
      <c r="L226" s="210" t="s">
        <v>1065</v>
      </c>
      <c r="M226" s="209" t="s">
        <v>748</v>
      </c>
      <c r="N226" s="695">
        <f t="shared" ref="N226:AB226" si="255">N220*LOOKUP($AD213,$AG$4:$AP$4,$AG$10:$AP$10)</f>
        <v>0</v>
      </c>
      <c r="O226" s="695">
        <f t="shared" si="255"/>
        <v>0</v>
      </c>
      <c r="P226" s="695">
        <f t="shared" si="255"/>
        <v>0</v>
      </c>
      <c r="Q226" s="695">
        <f t="shared" si="255"/>
        <v>0</v>
      </c>
      <c r="R226" s="695">
        <f t="shared" si="255"/>
        <v>0</v>
      </c>
      <c r="S226" s="695">
        <f t="shared" si="255"/>
        <v>0</v>
      </c>
      <c r="T226" s="695">
        <f t="shared" si="255"/>
        <v>0</v>
      </c>
      <c r="U226" s="695">
        <f t="shared" si="255"/>
        <v>0</v>
      </c>
      <c r="V226" s="695">
        <f t="shared" si="255"/>
        <v>0</v>
      </c>
      <c r="W226" s="695">
        <f t="shared" si="255"/>
        <v>0</v>
      </c>
      <c r="X226" s="695">
        <f t="shared" si="255"/>
        <v>0</v>
      </c>
      <c r="Y226" s="695">
        <f t="shared" si="255"/>
        <v>0</v>
      </c>
      <c r="Z226" s="695">
        <f t="shared" si="255"/>
        <v>0</v>
      </c>
      <c r="AA226" s="695">
        <f t="shared" si="255"/>
        <v>0</v>
      </c>
      <c r="AB226" s="695">
        <f t="shared" si="255"/>
        <v>0</v>
      </c>
    </row>
    <row r="227" spans="1:49" s="83" customFormat="1" x14ac:dyDescent="0.25">
      <c r="A227" s="82"/>
      <c r="B227" s="178" t="str">
        <f>C227</f>
        <v>TFMEELC100</v>
      </c>
      <c r="C227" s="178" t="s">
        <v>360</v>
      </c>
      <c r="D227" s="179" t="s">
        <v>830</v>
      </c>
      <c r="E227" s="180" t="s">
        <v>683</v>
      </c>
      <c r="F227" s="182"/>
      <c r="G227" s="181"/>
      <c r="H227" s="182"/>
      <c r="I227" s="183"/>
      <c r="J227" s="184"/>
      <c r="K227" s="184"/>
      <c r="L227" s="203" t="s">
        <v>1107</v>
      </c>
      <c r="M227" s="184" t="s">
        <v>1125</v>
      </c>
      <c r="N227" s="378">
        <f>N$502</f>
        <v>1E-3</v>
      </c>
      <c r="O227" s="378">
        <f t="shared" ref="O227:AB227" si="256">$N227</f>
        <v>1E-3</v>
      </c>
      <c r="P227" s="378">
        <f t="shared" si="256"/>
        <v>1E-3</v>
      </c>
      <c r="Q227" s="378">
        <f t="shared" si="256"/>
        <v>1E-3</v>
      </c>
      <c r="R227" s="378">
        <f t="shared" si="256"/>
        <v>1E-3</v>
      </c>
      <c r="S227" s="378">
        <f t="shared" si="256"/>
        <v>1E-3</v>
      </c>
      <c r="T227" s="378">
        <f t="shared" si="256"/>
        <v>1E-3</v>
      </c>
      <c r="U227" s="378">
        <f t="shared" si="256"/>
        <v>1E-3</v>
      </c>
      <c r="V227" s="378">
        <f t="shared" si="256"/>
        <v>1E-3</v>
      </c>
      <c r="W227" s="378">
        <f t="shared" si="256"/>
        <v>1E-3</v>
      </c>
      <c r="X227" s="378">
        <f t="shared" si="256"/>
        <v>1E-3</v>
      </c>
      <c r="Y227" s="378">
        <f t="shared" si="256"/>
        <v>1E-3</v>
      </c>
      <c r="Z227" s="378">
        <f t="shared" si="256"/>
        <v>1E-3</v>
      </c>
      <c r="AA227" s="378">
        <f t="shared" si="256"/>
        <v>1E-3</v>
      </c>
      <c r="AB227" s="378">
        <f t="shared" si="256"/>
        <v>1E-3</v>
      </c>
      <c r="AD227" s="410" t="str">
        <f>MID(D227,14,3)</f>
        <v>ELC</v>
      </c>
      <c r="AV227" s="700" t="str">
        <f t="shared" ref="AV227:AV229" si="257">MID(E227,1,7)</f>
        <v>TRAELC</v>
      </c>
      <c r="AW227" s="568">
        <f t="shared" ref="AW227" si="258">SUM(AX227:BL227)</f>
        <v>0</v>
      </c>
    </row>
    <row r="228" spans="1:49" s="83" customFormat="1" x14ac:dyDescent="0.25">
      <c r="A228" s="82"/>
      <c r="B228" s="178" t="str">
        <f>B227</f>
        <v>TFMEELC100</v>
      </c>
      <c r="C228" s="178"/>
      <c r="D228" s="179"/>
      <c r="E228" s="178"/>
      <c r="F228" s="182"/>
      <c r="G228" s="324" t="s">
        <v>435</v>
      </c>
      <c r="H228" s="182"/>
      <c r="I228" s="183"/>
      <c r="J228" s="184"/>
      <c r="K228" s="184"/>
      <c r="L228" s="184" t="s">
        <v>1126</v>
      </c>
      <c r="M228" s="184" t="s">
        <v>678</v>
      </c>
      <c r="N228" s="676">
        <f>T_CEFF!H184</f>
        <v>5.3330000000000002E-2</v>
      </c>
      <c r="O228" s="676">
        <f>T_CEFF!I184</f>
        <v>5.3330000000000002E-2</v>
      </c>
      <c r="P228" s="676">
        <f>T_CEFF!J184</f>
        <v>5.3330000000000002E-2</v>
      </c>
      <c r="Q228" s="676">
        <f>T_CEFF!K184</f>
        <v>5.3330000000000002E-2</v>
      </c>
      <c r="R228" s="676">
        <f>T_CEFF!L184</f>
        <v>5.3330000000000002E-2</v>
      </c>
      <c r="S228" s="676">
        <f>T_CEFF!M184</f>
        <v>5.3330000000000002E-2</v>
      </c>
      <c r="T228" s="676">
        <f>T_CEFF!N184</f>
        <v>5.3330000000000002E-2</v>
      </c>
      <c r="U228" s="676">
        <f>T_CEFF!O184</f>
        <v>5.3330000000000002E-2</v>
      </c>
      <c r="V228" s="676">
        <f>T_CEFF!P184</f>
        <v>5.3330000000000002E-2</v>
      </c>
      <c r="W228" s="676">
        <f>T_CEFF!Q184</f>
        <v>5.3330000000000002E-2</v>
      </c>
      <c r="X228" s="676">
        <f>T_CEFF!R184</f>
        <v>5.3330000000000002E-2</v>
      </c>
      <c r="Y228" s="676">
        <f>T_CEFF!S184</f>
        <v>5.3330000000000002E-2</v>
      </c>
      <c r="Z228" s="676">
        <f>T_CEFF!T184</f>
        <v>5.3330000000000002E-2</v>
      </c>
      <c r="AA228" s="676">
        <f>T_CEFF!U184</f>
        <v>5.3330000000000002E-2</v>
      </c>
      <c r="AB228" s="676">
        <f>T_CEFF!V184</f>
        <v>5.3330000000000002E-2</v>
      </c>
      <c r="AD228" s="66" t="str">
        <f>IF(COUNTIF($AG$4:$AP$4,AD227)=1,"ok","MISSING")</f>
        <v>ok</v>
      </c>
      <c r="AV228" s="700" t="str">
        <f t="shared" si="257"/>
        <v/>
      </c>
      <c r="AW228" s="568"/>
    </row>
    <row r="229" spans="1:49" s="83" customFormat="1" x14ac:dyDescent="0.25">
      <c r="A229" s="82"/>
      <c r="B229" s="178" t="str">
        <f t="shared" ref="B229:B238" si="259">B228</f>
        <v>TFMEELC100</v>
      </c>
      <c r="C229" s="178"/>
      <c r="D229" s="179"/>
      <c r="E229" s="178"/>
      <c r="F229" s="182"/>
      <c r="G229" s="324" t="s">
        <v>433</v>
      </c>
      <c r="H229" s="182"/>
      <c r="I229" s="183"/>
      <c r="J229" s="184"/>
      <c r="K229" s="184"/>
      <c r="L229" s="184" t="s">
        <v>1126</v>
      </c>
      <c r="M229" s="184" t="s">
        <v>678</v>
      </c>
      <c r="N229" s="676">
        <f>T_CEFF!H185</f>
        <v>0.13333</v>
      </c>
      <c r="O229" s="676">
        <f>T_CEFF!I185</f>
        <v>0.13333</v>
      </c>
      <c r="P229" s="676">
        <f>T_CEFF!J185</f>
        <v>0.13333</v>
      </c>
      <c r="Q229" s="676">
        <f>T_CEFF!K185</f>
        <v>0.13333</v>
      </c>
      <c r="R229" s="676">
        <f>T_CEFF!L185</f>
        <v>0.13333</v>
      </c>
      <c r="S229" s="676">
        <f>T_CEFF!M185</f>
        <v>0.13333</v>
      </c>
      <c r="T229" s="676">
        <f>T_CEFF!N185</f>
        <v>0.13333</v>
      </c>
      <c r="U229" s="676">
        <f>T_CEFF!O185</f>
        <v>0.13333</v>
      </c>
      <c r="V229" s="676">
        <f>T_CEFF!P185</f>
        <v>0.13333</v>
      </c>
      <c r="W229" s="676">
        <f>T_CEFF!Q185</f>
        <v>0.13333</v>
      </c>
      <c r="X229" s="676">
        <f>T_CEFF!R185</f>
        <v>0.13333</v>
      </c>
      <c r="Y229" s="676">
        <f>T_CEFF!S185</f>
        <v>0.13333</v>
      </c>
      <c r="Z229" s="676">
        <f>T_CEFF!T185</f>
        <v>0.13333</v>
      </c>
      <c r="AA229" s="676">
        <f>T_CEFF!U185</f>
        <v>0.13333</v>
      </c>
      <c r="AB229" s="676">
        <f>T_CEFF!V185</f>
        <v>0.13333</v>
      </c>
      <c r="AV229" s="700" t="str">
        <f t="shared" si="257"/>
        <v/>
      </c>
      <c r="AW229" s="568"/>
    </row>
    <row r="230" spans="1:49" s="83" customFormat="1" x14ac:dyDescent="0.25">
      <c r="A230" s="82"/>
      <c r="B230" s="178" t="str">
        <f>B229</f>
        <v>TFMEELC100</v>
      </c>
      <c r="C230" s="178"/>
      <c r="D230" s="179"/>
      <c r="E230" s="178"/>
      <c r="F230" s="182"/>
      <c r="G230" s="181"/>
      <c r="H230" s="182"/>
      <c r="I230" s="183"/>
      <c r="J230" s="184"/>
      <c r="K230" s="184" t="s">
        <v>749</v>
      </c>
      <c r="L230" s="184" t="s">
        <v>1128</v>
      </c>
      <c r="M230" s="184" t="s">
        <v>1175</v>
      </c>
      <c r="N230" s="388">
        <f>N$24</f>
        <v>0</v>
      </c>
      <c r="O230" s="388">
        <f t="shared" ref="O230:AB230" si="260">O$24</f>
        <v>0</v>
      </c>
      <c r="P230" s="388">
        <f t="shared" si="260"/>
        <v>0</v>
      </c>
      <c r="Q230" s="388">
        <f t="shared" si="260"/>
        <v>0</v>
      </c>
      <c r="R230" s="388">
        <f t="shared" si="260"/>
        <v>0</v>
      </c>
      <c r="S230" s="388">
        <f t="shared" si="260"/>
        <v>0</v>
      </c>
      <c r="T230" s="388">
        <f t="shared" si="260"/>
        <v>0</v>
      </c>
      <c r="U230" s="388">
        <f t="shared" si="260"/>
        <v>0</v>
      </c>
      <c r="V230" s="388">
        <f t="shared" si="260"/>
        <v>0</v>
      </c>
      <c r="W230" s="388">
        <f t="shared" si="260"/>
        <v>0</v>
      </c>
      <c r="X230" s="388">
        <f t="shared" si="260"/>
        <v>0</v>
      </c>
      <c r="Y230" s="388">
        <f t="shared" si="260"/>
        <v>0</v>
      </c>
      <c r="Z230" s="388">
        <f t="shared" si="260"/>
        <v>0</v>
      </c>
      <c r="AA230" s="388">
        <f t="shared" si="260"/>
        <v>0</v>
      </c>
      <c r="AB230" s="388">
        <f t="shared" si="260"/>
        <v>0</v>
      </c>
    </row>
    <row r="231" spans="1:49" s="83" customFormat="1" x14ac:dyDescent="0.25">
      <c r="A231" s="82"/>
      <c r="B231" s="178" t="str">
        <f t="shared" si="259"/>
        <v>TFMEELC100</v>
      </c>
      <c r="C231" s="178"/>
      <c r="D231" s="179"/>
      <c r="E231" s="178"/>
      <c r="F231" s="182"/>
      <c r="G231" s="181"/>
      <c r="H231" s="182"/>
      <c r="I231" s="183"/>
      <c r="J231" s="184"/>
      <c r="K231" s="184"/>
      <c r="L231" s="203" t="s">
        <v>1130</v>
      </c>
      <c r="M231" s="184" t="s">
        <v>1131</v>
      </c>
      <c r="N231" s="397">
        <f>LOOKUP($C$227, T_NCAP_AF!$C$155:$C$165, T_NCAP_AF!D$155:D$165)*(1+N195)</f>
        <v>0</v>
      </c>
      <c r="O231" s="397">
        <f>LOOKUP($C$227, T_NCAP_AF!$C$155:$C$165, T_NCAP_AF!E$155:E$165)*(1+O195)</f>
        <v>0</v>
      </c>
      <c r="P231" s="397">
        <f>LOOKUP($C$227, T_NCAP_AF!$C$155:$C$165, T_NCAP_AF!F$155:F$165)*(1+P195)</f>
        <v>0</v>
      </c>
      <c r="Q231" s="397">
        <f>LOOKUP($C$227, T_NCAP_AF!$C$155:$C$165, T_NCAP_AF!G$155:G$165)*(1+Q195)</f>
        <v>0</v>
      </c>
      <c r="R231" s="397">
        <f>LOOKUP($C$227, T_NCAP_AF!$C$155:$C$165, T_NCAP_AF!H$155:H$165)*(1+R195)</f>
        <v>0</v>
      </c>
      <c r="S231" s="397">
        <f>LOOKUP($C$227, T_NCAP_AF!$C$155:$C$165, T_NCAP_AF!I$155:I$165)*(1+S195)</f>
        <v>0</v>
      </c>
      <c r="T231" s="397">
        <f>LOOKUP($C$227, T_NCAP_AF!$C$155:$C$165, T_NCAP_AF!J$155:J$165)*(1+T195)</f>
        <v>0</v>
      </c>
      <c r="U231" s="397">
        <f>LOOKUP($C$227, T_NCAP_AF!$C$155:$C$165, T_NCAP_AF!K$155:K$165)*(1+U195)</f>
        <v>0</v>
      </c>
      <c r="V231" s="397">
        <f>LOOKUP($C$227, T_NCAP_AF!$C$155:$C$165, T_NCAP_AF!L$155:L$165)*(1+V195)</f>
        <v>0</v>
      </c>
      <c r="W231" s="397">
        <f>LOOKUP($C$227, T_NCAP_AF!$C$155:$C$165, T_NCAP_AF!M$155:M$165)*(1+W195)</f>
        <v>0</v>
      </c>
      <c r="X231" s="397">
        <f>LOOKUP($C$227, T_NCAP_AF!$C$155:$C$165, T_NCAP_AF!N$155:N$165)*(1+X195)</f>
        <v>0</v>
      </c>
      <c r="Y231" s="397">
        <f>LOOKUP($C$227, T_NCAP_AF!$C$155:$C$165, T_NCAP_AF!O$155:O$165)*(1+Y195)</f>
        <v>0</v>
      </c>
      <c r="Z231" s="397">
        <f>LOOKUP($C$227, T_NCAP_AF!$C$155:$C$165, T_NCAP_AF!P$155:P$165)*(1+Z195)</f>
        <v>0</v>
      </c>
      <c r="AA231" s="397">
        <f>LOOKUP($C$227, T_NCAP_AF!$C$155:$C$165, T_NCAP_AF!Q$155:Q$165)*(1+AA195)</f>
        <v>0</v>
      </c>
      <c r="AB231" s="397">
        <f>LOOKUP($C$227, T_NCAP_AF!$C$155:$C$165, T_NCAP_AF!R$155:R$165)*(1+AB195)</f>
        <v>0</v>
      </c>
      <c r="AE231" s="572">
        <f>SUM(AF231:AT231)</f>
        <v>0</v>
      </c>
      <c r="AF231" s="85">
        <f t="shared" ref="AF231:AT231" si="261">N230*N231*N232/1000</f>
        <v>0</v>
      </c>
      <c r="AG231" s="85">
        <f t="shared" si="261"/>
        <v>0</v>
      </c>
      <c r="AH231" s="85">
        <f t="shared" si="261"/>
        <v>0</v>
      </c>
      <c r="AI231" s="85">
        <f t="shared" si="261"/>
        <v>0</v>
      </c>
      <c r="AJ231" s="85">
        <f t="shared" si="261"/>
        <v>0</v>
      </c>
      <c r="AK231" s="85">
        <f t="shared" si="261"/>
        <v>0</v>
      </c>
      <c r="AL231" s="85">
        <f t="shared" si="261"/>
        <v>0</v>
      </c>
      <c r="AM231" s="85">
        <f t="shared" si="261"/>
        <v>0</v>
      </c>
      <c r="AN231" s="85">
        <f t="shared" si="261"/>
        <v>0</v>
      </c>
      <c r="AO231" s="85">
        <f t="shared" si="261"/>
        <v>0</v>
      </c>
      <c r="AP231" s="85">
        <f t="shared" si="261"/>
        <v>0</v>
      </c>
      <c r="AQ231" s="85">
        <f t="shared" si="261"/>
        <v>0</v>
      </c>
      <c r="AR231" s="85">
        <f t="shared" si="261"/>
        <v>0</v>
      </c>
      <c r="AS231" s="85">
        <f t="shared" si="261"/>
        <v>0</v>
      </c>
      <c r="AT231" s="85">
        <f t="shared" si="261"/>
        <v>0</v>
      </c>
    </row>
    <row r="232" spans="1:49" s="83" customFormat="1" x14ac:dyDescent="0.25">
      <c r="A232" s="82"/>
      <c r="B232" s="178" t="str">
        <f>B231</f>
        <v>TFMEELC100</v>
      </c>
      <c r="C232" s="178"/>
      <c r="D232" s="179"/>
      <c r="E232" s="178"/>
      <c r="F232" s="182"/>
      <c r="G232" s="181"/>
      <c r="H232" s="182"/>
      <c r="I232" s="183">
        <f>$M$3</f>
        <v>2019</v>
      </c>
      <c r="J232" s="184"/>
      <c r="K232" s="184"/>
      <c r="L232" s="203" t="s">
        <v>1065</v>
      </c>
      <c r="M232" s="184" t="s">
        <v>748</v>
      </c>
      <c r="N232" s="694">
        <f>LOOKUP($C$227, T_Stock_Private!$C$106:$C$117, T_Stock_Private!D$106:D$117)*(1+N196)</f>
        <v>0</v>
      </c>
      <c r="O232" s="694">
        <f>LOOKUP($C$227, T_Stock_Private!$C$106:$C$117, T_Stock_Private!E$106:E$117)*(1+O196)</f>
        <v>0</v>
      </c>
      <c r="P232" s="694">
        <f>LOOKUP($C$227, T_Stock_Private!$C$106:$C$117, T_Stock_Private!F$106:F$117)*(1+P196)</f>
        <v>0</v>
      </c>
      <c r="Q232" s="694">
        <f>LOOKUP($C$227, T_Stock_Private!$C$106:$C$117, T_Stock_Private!G$106:G$117)*(1+Q196)</f>
        <v>0</v>
      </c>
      <c r="R232" s="694">
        <f>LOOKUP($C$227, T_Stock_Private!$C$106:$C$117, T_Stock_Private!H$106:H$117)*(1+R196)</f>
        <v>0</v>
      </c>
      <c r="S232" s="694">
        <f>LOOKUP($C$227, T_Stock_Private!$C$106:$C$117, T_Stock_Private!I$106:I$117)*(1+S196)</f>
        <v>0</v>
      </c>
      <c r="T232" s="694">
        <f>LOOKUP($C$227, T_Stock_Private!$C$106:$C$117, T_Stock_Private!J$106:J$117)*(1+T196)</f>
        <v>0</v>
      </c>
      <c r="U232" s="694">
        <f>LOOKUP($C$227, T_Stock_Private!$C$106:$C$117, T_Stock_Private!K$106:K$117)*(1+U196)</f>
        <v>0</v>
      </c>
      <c r="V232" s="694">
        <f>LOOKUP($C$227, T_Stock_Private!$C$106:$C$117, T_Stock_Private!L$106:L$117)*(1+V196)</f>
        <v>0</v>
      </c>
      <c r="W232" s="694">
        <f>LOOKUP($C$227, T_Stock_Private!$C$106:$C$117, T_Stock_Private!M$106:M$117)*(1+W196)</f>
        <v>0</v>
      </c>
      <c r="X232" s="694">
        <f>LOOKUP($C$227, T_Stock_Private!$C$106:$C$117, T_Stock_Private!N$106:N$117)*(1+X196)</f>
        <v>0</v>
      </c>
      <c r="Y232" s="694">
        <f>LOOKUP($C$227, T_Stock_Private!$C$106:$C$117, T_Stock_Private!O$106:O$117)*(1+Y196)</f>
        <v>0</v>
      </c>
      <c r="Z232" s="694">
        <f>LOOKUP($C$227, T_Stock_Private!$C$106:$C$117, T_Stock_Private!P$106:P$117)*(1+Z196)</f>
        <v>0</v>
      </c>
      <c r="AA232" s="694">
        <f>LOOKUP($C$227, T_Stock_Private!$C$106:$C$117, T_Stock_Private!Q$106:Q$117)*(1+AA196)</f>
        <v>0</v>
      </c>
      <c r="AB232" s="694">
        <f>LOOKUP($C$227, T_Stock_Private!$C$106:$C$117, T_Stock_Private!R$106:R$117)*(1+AB196)</f>
        <v>0</v>
      </c>
    </row>
    <row r="233" spans="1:49" s="83" customFormat="1" x14ac:dyDescent="0.25">
      <c r="A233" s="82"/>
      <c r="B233" s="178" t="str">
        <f t="shared" si="259"/>
        <v>TFMEELC100</v>
      </c>
      <c r="C233" s="178"/>
      <c r="D233" s="179"/>
      <c r="E233" s="178"/>
      <c r="F233" s="182"/>
      <c r="G233" s="181"/>
      <c r="H233" s="182"/>
      <c r="I233" s="183">
        <f>AF$5</f>
        <v>2020</v>
      </c>
      <c r="J233" s="184"/>
      <c r="K233" s="184"/>
      <c r="L233" s="203" t="s">
        <v>1065</v>
      </c>
      <c r="M233" s="184" t="s">
        <v>748</v>
      </c>
      <c r="N233" s="694">
        <f t="shared" ref="N233:AB233" si="262">N232*LOOKUP($AD227,$AG$4:$AP$4,$AG$5:$AP$5)</f>
        <v>0</v>
      </c>
      <c r="O233" s="694">
        <f t="shared" si="262"/>
        <v>0</v>
      </c>
      <c r="P233" s="694">
        <f t="shared" si="262"/>
        <v>0</v>
      </c>
      <c r="Q233" s="694">
        <f t="shared" si="262"/>
        <v>0</v>
      </c>
      <c r="R233" s="694">
        <f t="shared" si="262"/>
        <v>0</v>
      </c>
      <c r="S233" s="694">
        <f t="shared" si="262"/>
        <v>0</v>
      </c>
      <c r="T233" s="694">
        <f t="shared" si="262"/>
        <v>0</v>
      </c>
      <c r="U233" s="694">
        <f t="shared" si="262"/>
        <v>0</v>
      </c>
      <c r="V233" s="694">
        <f t="shared" si="262"/>
        <v>0</v>
      </c>
      <c r="W233" s="694">
        <f t="shared" si="262"/>
        <v>0</v>
      </c>
      <c r="X233" s="694">
        <f t="shared" si="262"/>
        <v>0</v>
      </c>
      <c r="Y233" s="694">
        <f t="shared" si="262"/>
        <v>0</v>
      </c>
      <c r="Z233" s="694">
        <f t="shared" si="262"/>
        <v>0</v>
      </c>
      <c r="AA233" s="694">
        <f t="shared" si="262"/>
        <v>0</v>
      </c>
      <c r="AB233" s="694">
        <f t="shared" si="262"/>
        <v>0</v>
      </c>
    </row>
    <row r="234" spans="1:49" s="83" customFormat="1" x14ac:dyDescent="0.25">
      <c r="A234" s="82"/>
      <c r="B234" s="178" t="str">
        <f t="shared" si="259"/>
        <v>TFMEELC100</v>
      </c>
      <c r="C234" s="178"/>
      <c r="D234" s="179"/>
      <c r="E234" s="178"/>
      <c r="F234" s="182"/>
      <c r="G234" s="181"/>
      <c r="H234" s="182"/>
      <c r="I234" s="183">
        <f>AF$6</f>
        <v>2025</v>
      </c>
      <c r="J234" s="184"/>
      <c r="K234" s="184"/>
      <c r="L234" s="203" t="s">
        <v>1065</v>
      </c>
      <c r="M234" s="184" t="s">
        <v>748</v>
      </c>
      <c r="N234" s="694">
        <f t="shared" ref="N234:AB234" si="263">N232*LOOKUP($AD227,$AG$4:$AP$4,$AG$6:$AP$6)</f>
        <v>0</v>
      </c>
      <c r="O234" s="694">
        <f t="shared" si="263"/>
        <v>0</v>
      </c>
      <c r="P234" s="694">
        <f t="shared" si="263"/>
        <v>0</v>
      </c>
      <c r="Q234" s="694">
        <f t="shared" si="263"/>
        <v>0</v>
      </c>
      <c r="R234" s="694">
        <f t="shared" si="263"/>
        <v>0</v>
      </c>
      <c r="S234" s="694">
        <f t="shared" si="263"/>
        <v>0</v>
      </c>
      <c r="T234" s="694">
        <f t="shared" si="263"/>
        <v>0</v>
      </c>
      <c r="U234" s="694">
        <f t="shared" si="263"/>
        <v>0</v>
      </c>
      <c r="V234" s="694">
        <f t="shared" si="263"/>
        <v>0</v>
      </c>
      <c r="W234" s="694">
        <f t="shared" si="263"/>
        <v>0</v>
      </c>
      <c r="X234" s="694">
        <f t="shared" si="263"/>
        <v>0</v>
      </c>
      <c r="Y234" s="694">
        <f t="shared" si="263"/>
        <v>0</v>
      </c>
      <c r="Z234" s="694">
        <f t="shared" si="263"/>
        <v>0</v>
      </c>
      <c r="AA234" s="694">
        <f t="shared" si="263"/>
        <v>0</v>
      </c>
      <c r="AB234" s="694">
        <f t="shared" si="263"/>
        <v>0</v>
      </c>
    </row>
    <row r="235" spans="1:49" s="83" customFormat="1" x14ac:dyDescent="0.25">
      <c r="A235" s="82"/>
      <c r="B235" s="178" t="str">
        <f t="shared" si="259"/>
        <v>TFMEELC100</v>
      </c>
      <c r="C235" s="178"/>
      <c r="D235" s="179"/>
      <c r="E235" s="178"/>
      <c r="F235" s="182"/>
      <c r="G235" s="181"/>
      <c r="H235" s="182"/>
      <c r="I235" s="183">
        <f>AF$7</f>
        <v>2030</v>
      </c>
      <c r="J235" s="184"/>
      <c r="K235" s="184"/>
      <c r="L235" s="203" t="s">
        <v>1065</v>
      </c>
      <c r="M235" s="184" t="s">
        <v>748</v>
      </c>
      <c r="N235" s="694">
        <f t="shared" ref="N235:AB235" si="264">N232*LOOKUP($AD227,$AG$4:$AP$4,$AG$7:$AP$7)</f>
        <v>0</v>
      </c>
      <c r="O235" s="694">
        <f t="shared" si="264"/>
        <v>0</v>
      </c>
      <c r="P235" s="694">
        <f t="shared" si="264"/>
        <v>0</v>
      </c>
      <c r="Q235" s="694">
        <f t="shared" si="264"/>
        <v>0</v>
      </c>
      <c r="R235" s="694">
        <f t="shared" si="264"/>
        <v>0</v>
      </c>
      <c r="S235" s="694">
        <f t="shared" si="264"/>
        <v>0</v>
      </c>
      <c r="T235" s="694">
        <f t="shared" si="264"/>
        <v>0</v>
      </c>
      <c r="U235" s="694">
        <f t="shared" si="264"/>
        <v>0</v>
      </c>
      <c r="V235" s="694">
        <f t="shared" si="264"/>
        <v>0</v>
      </c>
      <c r="W235" s="694">
        <f t="shared" si="264"/>
        <v>0</v>
      </c>
      <c r="X235" s="694">
        <f t="shared" si="264"/>
        <v>0</v>
      </c>
      <c r="Y235" s="694">
        <f t="shared" si="264"/>
        <v>0</v>
      </c>
      <c r="Z235" s="694">
        <f t="shared" si="264"/>
        <v>0</v>
      </c>
      <c r="AA235" s="694">
        <f t="shared" si="264"/>
        <v>0</v>
      </c>
      <c r="AB235" s="694">
        <f t="shared" si="264"/>
        <v>0</v>
      </c>
    </row>
    <row r="236" spans="1:49" s="83" customFormat="1" x14ac:dyDescent="0.25">
      <c r="A236" s="82"/>
      <c r="B236" s="178" t="str">
        <f t="shared" si="259"/>
        <v>TFMEELC100</v>
      </c>
      <c r="C236" s="178"/>
      <c r="D236" s="179"/>
      <c r="E236" s="178"/>
      <c r="F236" s="182"/>
      <c r="G236" s="181"/>
      <c r="H236" s="182"/>
      <c r="I236" s="183">
        <f>AF$8</f>
        <v>2035</v>
      </c>
      <c r="J236" s="184"/>
      <c r="K236" s="184"/>
      <c r="L236" s="203" t="s">
        <v>1065</v>
      </c>
      <c r="M236" s="184" t="s">
        <v>748</v>
      </c>
      <c r="N236" s="694">
        <f t="shared" ref="N236:AB236" si="265">N232*LOOKUP($AD227,$AG$4:$AP$4,$AG$8:$AP$8)</f>
        <v>0</v>
      </c>
      <c r="O236" s="694">
        <f t="shared" si="265"/>
        <v>0</v>
      </c>
      <c r="P236" s="694">
        <f t="shared" si="265"/>
        <v>0</v>
      </c>
      <c r="Q236" s="694">
        <f t="shared" si="265"/>
        <v>0</v>
      </c>
      <c r="R236" s="694">
        <f t="shared" si="265"/>
        <v>0</v>
      </c>
      <c r="S236" s="694">
        <f t="shared" si="265"/>
        <v>0</v>
      </c>
      <c r="T236" s="694">
        <f t="shared" si="265"/>
        <v>0</v>
      </c>
      <c r="U236" s="694">
        <f t="shared" si="265"/>
        <v>0</v>
      </c>
      <c r="V236" s="694">
        <f t="shared" si="265"/>
        <v>0</v>
      </c>
      <c r="W236" s="694">
        <f t="shared" si="265"/>
        <v>0</v>
      </c>
      <c r="X236" s="694">
        <f t="shared" si="265"/>
        <v>0</v>
      </c>
      <c r="Y236" s="694">
        <f t="shared" si="265"/>
        <v>0</v>
      </c>
      <c r="Z236" s="694">
        <f t="shared" si="265"/>
        <v>0</v>
      </c>
      <c r="AA236" s="694">
        <f t="shared" si="265"/>
        <v>0</v>
      </c>
      <c r="AB236" s="694">
        <f t="shared" si="265"/>
        <v>0</v>
      </c>
    </row>
    <row r="237" spans="1:49" s="83" customFormat="1" x14ac:dyDescent="0.25">
      <c r="A237" s="82"/>
      <c r="B237" s="178" t="str">
        <f t="shared" si="259"/>
        <v>TFMEELC100</v>
      </c>
      <c r="C237" s="178"/>
      <c r="D237" s="179"/>
      <c r="E237" s="178"/>
      <c r="F237" s="182"/>
      <c r="G237" s="181"/>
      <c r="H237" s="182"/>
      <c r="I237" s="183">
        <f>AF$9</f>
        <v>2040</v>
      </c>
      <c r="J237" s="184"/>
      <c r="K237" s="184"/>
      <c r="L237" s="203" t="s">
        <v>1065</v>
      </c>
      <c r="M237" s="184" t="s">
        <v>748</v>
      </c>
      <c r="N237" s="694">
        <f t="shared" ref="N237:AB237" si="266">N232*LOOKUP($AD227,$AG$4:$AP$4,$AG$9:$AP$9)</f>
        <v>0</v>
      </c>
      <c r="O237" s="694">
        <f t="shared" si="266"/>
        <v>0</v>
      </c>
      <c r="P237" s="694">
        <f t="shared" si="266"/>
        <v>0</v>
      </c>
      <c r="Q237" s="694">
        <f t="shared" si="266"/>
        <v>0</v>
      </c>
      <c r="R237" s="694">
        <f t="shared" si="266"/>
        <v>0</v>
      </c>
      <c r="S237" s="694">
        <f t="shared" si="266"/>
        <v>0</v>
      </c>
      <c r="T237" s="694">
        <f t="shared" si="266"/>
        <v>0</v>
      </c>
      <c r="U237" s="694">
        <f t="shared" si="266"/>
        <v>0</v>
      </c>
      <c r="V237" s="694">
        <f t="shared" si="266"/>
        <v>0</v>
      </c>
      <c r="W237" s="694">
        <f t="shared" si="266"/>
        <v>0</v>
      </c>
      <c r="X237" s="694">
        <f t="shared" si="266"/>
        <v>0</v>
      </c>
      <c r="Y237" s="694">
        <f t="shared" si="266"/>
        <v>0</v>
      </c>
      <c r="Z237" s="694">
        <f t="shared" si="266"/>
        <v>0</v>
      </c>
      <c r="AA237" s="694">
        <f t="shared" si="266"/>
        <v>0</v>
      </c>
      <c r="AB237" s="694">
        <f t="shared" si="266"/>
        <v>0</v>
      </c>
    </row>
    <row r="238" spans="1:49" s="83" customFormat="1" x14ac:dyDescent="0.25">
      <c r="A238" s="82"/>
      <c r="B238" s="204" t="str">
        <f t="shared" si="259"/>
        <v>TFMEELC100</v>
      </c>
      <c r="C238" s="204"/>
      <c r="D238" s="205"/>
      <c r="E238" s="204"/>
      <c r="F238" s="206"/>
      <c r="G238" s="207"/>
      <c r="H238" s="206"/>
      <c r="I238" s="208">
        <f>AF$10</f>
        <v>2050</v>
      </c>
      <c r="J238" s="209"/>
      <c r="K238" s="209"/>
      <c r="L238" s="210" t="s">
        <v>1065</v>
      </c>
      <c r="M238" s="209" t="s">
        <v>748</v>
      </c>
      <c r="N238" s="695">
        <f t="shared" ref="N238:AB238" si="267">N232*LOOKUP($AD227,$AG$4:$AP$4,$AG$10:$AP$10)</f>
        <v>0</v>
      </c>
      <c r="O238" s="695">
        <f t="shared" si="267"/>
        <v>0</v>
      </c>
      <c r="P238" s="695">
        <f t="shared" si="267"/>
        <v>0</v>
      </c>
      <c r="Q238" s="695">
        <f t="shared" si="267"/>
        <v>0</v>
      </c>
      <c r="R238" s="695">
        <f t="shared" si="267"/>
        <v>0</v>
      </c>
      <c r="S238" s="695">
        <f t="shared" si="267"/>
        <v>0</v>
      </c>
      <c r="T238" s="695">
        <f t="shared" si="267"/>
        <v>0</v>
      </c>
      <c r="U238" s="695">
        <f t="shared" si="267"/>
        <v>0</v>
      </c>
      <c r="V238" s="695">
        <f t="shared" si="267"/>
        <v>0</v>
      </c>
      <c r="W238" s="695">
        <f t="shared" si="267"/>
        <v>0</v>
      </c>
      <c r="X238" s="695">
        <f t="shared" si="267"/>
        <v>0</v>
      </c>
      <c r="Y238" s="695">
        <f t="shared" si="267"/>
        <v>0</v>
      </c>
      <c r="Z238" s="695">
        <f t="shared" si="267"/>
        <v>0</v>
      </c>
      <c r="AA238" s="695">
        <f t="shared" si="267"/>
        <v>0</v>
      </c>
      <c r="AB238" s="695">
        <f t="shared" si="267"/>
        <v>0</v>
      </c>
    </row>
    <row r="239" spans="1:49" s="83" customFormat="1" x14ac:dyDescent="0.25">
      <c r="A239" s="82"/>
      <c r="B239" s="178" t="str">
        <f>C239</f>
        <v>TFMEETH100</v>
      </c>
      <c r="C239" s="178" t="s">
        <v>361</v>
      </c>
      <c r="D239" s="179" t="s">
        <v>832</v>
      </c>
      <c r="E239" s="180" t="s">
        <v>1010</v>
      </c>
      <c r="F239" s="182"/>
      <c r="G239" s="181"/>
      <c r="H239" s="182"/>
      <c r="I239" s="183"/>
      <c r="J239" s="184"/>
      <c r="K239" s="184"/>
      <c r="L239" s="203" t="s">
        <v>1107</v>
      </c>
      <c r="M239" s="184" t="s">
        <v>1125</v>
      </c>
      <c r="N239" s="378">
        <f>N$502</f>
        <v>1E-3</v>
      </c>
      <c r="O239" s="378">
        <f t="shared" ref="O239:AB239" si="268">$N239</f>
        <v>1E-3</v>
      </c>
      <c r="P239" s="378">
        <f t="shared" si="268"/>
        <v>1E-3</v>
      </c>
      <c r="Q239" s="378">
        <f t="shared" si="268"/>
        <v>1E-3</v>
      </c>
      <c r="R239" s="378">
        <f t="shared" si="268"/>
        <v>1E-3</v>
      </c>
      <c r="S239" s="378">
        <f t="shared" si="268"/>
        <v>1E-3</v>
      </c>
      <c r="T239" s="378">
        <f t="shared" si="268"/>
        <v>1E-3</v>
      </c>
      <c r="U239" s="378">
        <f t="shared" si="268"/>
        <v>1E-3</v>
      </c>
      <c r="V239" s="378">
        <f t="shared" si="268"/>
        <v>1E-3</v>
      </c>
      <c r="W239" s="378">
        <f t="shared" si="268"/>
        <v>1E-3</v>
      </c>
      <c r="X239" s="378">
        <f t="shared" si="268"/>
        <v>1E-3</v>
      </c>
      <c r="Y239" s="378">
        <f t="shared" si="268"/>
        <v>1E-3</v>
      </c>
      <c r="Z239" s="378">
        <f t="shared" si="268"/>
        <v>1E-3</v>
      </c>
      <c r="AA239" s="378">
        <f t="shared" si="268"/>
        <v>1E-3</v>
      </c>
      <c r="AB239" s="378">
        <f t="shared" si="268"/>
        <v>1E-3</v>
      </c>
      <c r="AD239" s="410" t="str">
        <f>MID(D239,14,3)</f>
        <v>ETH</v>
      </c>
      <c r="AV239" s="700" t="str">
        <f t="shared" ref="AV239:AV241" si="269">MID(E239,1,7)</f>
        <v>TRAETH</v>
      </c>
      <c r="AW239" s="568">
        <f t="shared" ref="AW239" si="270">SUM(AX239:BL239)</f>
        <v>0</v>
      </c>
    </row>
    <row r="240" spans="1:49" s="83" customFormat="1" x14ac:dyDescent="0.25">
      <c r="A240" s="82"/>
      <c r="B240" s="178" t="str">
        <f>B239</f>
        <v>TFMEETH100</v>
      </c>
      <c r="C240" s="178"/>
      <c r="D240" s="179"/>
      <c r="E240" s="178"/>
      <c r="F240" s="182"/>
      <c r="G240" s="324" t="s">
        <v>435</v>
      </c>
      <c r="H240" s="182"/>
      <c r="I240" s="183"/>
      <c r="J240" s="184"/>
      <c r="K240" s="184"/>
      <c r="L240" s="184" t="s">
        <v>1126</v>
      </c>
      <c r="M240" s="184" t="s">
        <v>678</v>
      </c>
      <c r="N240" s="676">
        <f>T_CEFF!H186</f>
        <v>7.0400000000000004E-2</v>
      </c>
      <c r="O240" s="676">
        <f>T_CEFF!I186</f>
        <v>7.0400000000000004E-2</v>
      </c>
      <c r="P240" s="676">
        <f>T_CEFF!J186</f>
        <v>7.0400000000000004E-2</v>
      </c>
      <c r="Q240" s="676">
        <f>T_CEFF!K186</f>
        <v>7.0400000000000004E-2</v>
      </c>
      <c r="R240" s="676">
        <f>T_CEFF!L186</f>
        <v>7.0400000000000004E-2</v>
      </c>
      <c r="S240" s="676">
        <f>T_CEFF!M186</f>
        <v>7.0400000000000004E-2</v>
      </c>
      <c r="T240" s="676">
        <f>T_CEFF!N186</f>
        <v>7.0400000000000004E-2</v>
      </c>
      <c r="U240" s="676">
        <f>T_CEFF!O186</f>
        <v>7.0400000000000004E-2</v>
      </c>
      <c r="V240" s="676">
        <f>T_CEFF!P186</f>
        <v>7.0400000000000004E-2</v>
      </c>
      <c r="W240" s="676">
        <f>T_CEFF!Q186</f>
        <v>7.0400000000000004E-2</v>
      </c>
      <c r="X240" s="676">
        <f>T_CEFF!R186</f>
        <v>7.0400000000000004E-2</v>
      </c>
      <c r="Y240" s="676">
        <f>T_CEFF!S186</f>
        <v>7.0400000000000004E-2</v>
      </c>
      <c r="Z240" s="676">
        <f>T_CEFF!T186</f>
        <v>7.0400000000000004E-2</v>
      </c>
      <c r="AA240" s="676">
        <f>T_CEFF!U186</f>
        <v>7.0400000000000004E-2</v>
      </c>
      <c r="AB240" s="676">
        <f>T_CEFF!V186</f>
        <v>7.0400000000000004E-2</v>
      </c>
      <c r="AV240" s="700" t="str">
        <f t="shared" si="269"/>
        <v/>
      </c>
      <c r="AW240" s="568"/>
    </row>
    <row r="241" spans="1:65" s="83" customFormat="1" x14ac:dyDescent="0.25">
      <c r="A241" s="82"/>
      <c r="B241" s="178" t="str">
        <f t="shared" ref="B241:B250" si="271">B240</f>
        <v>TFMEETH100</v>
      </c>
      <c r="C241" s="178"/>
      <c r="D241" s="179"/>
      <c r="E241" s="178"/>
      <c r="F241" s="182"/>
      <c r="G241" s="324" t="s">
        <v>433</v>
      </c>
      <c r="H241" s="182"/>
      <c r="I241" s="183"/>
      <c r="J241" s="184"/>
      <c r="K241" s="184"/>
      <c r="L241" s="184" t="s">
        <v>1126</v>
      </c>
      <c r="M241" s="184" t="s">
        <v>678</v>
      </c>
      <c r="N241" s="676">
        <f>T_CEFF!H187</f>
        <v>5.6320000000000002E-2</v>
      </c>
      <c r="O241" s="676">
        <f>T_CEFF!I187</f>
        <v>5.6320000000000002E-2</v>
      </c>
      <c r="P241" s="676">
        <f>T_CEFF!J187</f>
        <v>5.6320000000000002E-2</v>
      </c>
      <c r="Q241" s="676">
        <f>T_CEFF!K187</f>
        <v>5.6320000000000002E-2</v>
      </c>
      <c r="R241" s="676">
        <f>T_CEFF!L187</f>
        <v>5.6320000000000002E-2</v>
      </c>
      <c r="S241" s="676">
        <f>T_CEFF!M187</f>
        <v>5.6320000000000002E-2</v>
      </c>
      <c r="T241" s="676">
        <f>T_CEFF!N187</f>
        <v>5.6320000000000002E-2</v>
      </c>
      <c r="U241" s="676">
        <f>T_CEFF!O187</f>
        <v>5.6320000000000002E-2</v>
      </c>
      <c r="V241" s="676">
        <f>T_CEFF!P187</f>
        <v>5.6320000000000002E-2</v>
      </c>
      <c r="W241" s="676">
        <f>T_CEFF!Q187</f>
        <v>5.6320000000000002E-2</v>
      </c>
      <c r="X241" s="676">
        <f>T_CEFF!R187</f>
        <v>5.6320000000000002E-2</v>
      </c>
      <c r="Y241" s="676">
        <f>T_CEFF!S187</f>
        <v>5.6320000000000002E-2</v>
      </c>
      <c r="Z241" s="676">
        <f>T_CEFF!T187</f>
        <v>5.6320000000000002E-2</v>
      </c>
      <c r="AA241" s="676">
        <f>T_CEFF!U187</f>
        <v>5.6320000000000002E-2</v>
      </c>
      <c r="AB241" s="676">
        <f>T_CEFF!V187</f>
        <v>5.6320000000000002E-2</v>
      </c>
      <c r="AV241" s="700" t="str">
        <f t="shared" si="269"/>
        <v/>
      </c>
      <c r="AW241" s="568"/>
    </row>
    <row r="242" spans="1:65" s="83" customFormat="1" x14ac:dyDescent="0.25">
      <c r="A242" s="82"/>
      <c r="B242" s="178" t="str">
        <f>B241</f>
        <v>TFMEETH100</v>
      </c>
      <c r="C242" s="178"/>
      <c r="D242" s="179"/>
      <c r="E242" s="178"/>
      <c r="F242" s="182"/>
      <c r="G242" s="181"/>
      <c r="H242" s="182"/>
      <c r="I242" s="183"/>
      <c r="J242" s="184"/>
      <c r="K242" s="184" t="s">
        <v>749</v>
      </c>
      <c r="L242" s="184" t="s">
        <v>1128</v>
      </c>
      <c r="M242" s="184" t="s">
        <v>1175</v>
      </c>
      <c r="N242" s="388">
        <f>N$24</f>
        <v>0</v>
      </c>
      <c r="O242" s="388">
        <f t="shared" ref="O242:AB242" si="272">O$24</f>
        <v>0</v>
      </c>
      <c r="P242" s="388">
        <f t="shared" si="272"/>
        <v>0</v>
      </c>
      <c r="Q242" s="388">
        <f t="shared" si="272"/>
        <v>0</v>
      </c>
      <c r="R242" s="388">
        <f t="shared" si="272"/>
        <v>0</v>
      </c>
      <c r="S242" s="388">
        <f t="shared" si="272"/>
        <v>0</v>
      </c>
      <c r="T242" s="388">
        <f t="shared" si="272"/>
        <v>0</v>
      </c>
      <c r="U242" s="388">
        <f t="shared" si="272"/>
        <v>0</v>
      </c>
      <c r="V242" s="388">
        <f t="shared" si="272"/>
        <v>0</v>
      </c>
      <c r="W242" s="388">
        <f t="shared" si="272"/>
        <v>0</v>
      </c>
      <c r="X242" s="388">
        <f t="shared" si="272"/>
        <v>0</v>
      </c>
      <c r="Y242" s="388">
        <f t="shared" si="272"/>
        <v>0</v>
      </c>
      <c r="Z242" s="388">
        <f t="shared" si="272"/>
        <v>0</v>
      </c>
      <c r="AA242" s="388">
        <f t="shared" si="272"/>
        <v>0</v>
      </c>
      <c r="AB242" s="388">
        <f t="shared" si="272"/>
        <v>0</v>
      </c>
    </row>
    <row r="243" spans="1:65" s="83" customFormat="1" x14ac:dyDescent="0.25">
      <c r="A243" s="82"/>
      <c r="B243" s="178" t="str">
        <f t="shared" si="271"/>
        <v>TFMEETH100</v>
      </c>
      <c r="C243" s="178"/>
      <c r="D243" s="179"/>
      <c r="E243" s="178"/>
      <c r="F243" s="182"/>
      <c r="G243" s="181"/>
      <c r="H243" s="182"/>
      <c r="I243" s="183"/>
      <c r="J243" s="184"/>
      <c r="K243" s="184"/>
      <c r="L243" s="203" t="s">
        <v>1130</v>
      </c>
      <c r="M243" s="184" t="s">
        <v>1131</v>
      </c>
      <c r="N243" s="397">
        <f>LOOKUP($C$239, T_NCAP_AF!$C$155:$C$165, T_NCAP_AF!D$155:D$165)*(1+N195)</f>
        <v>0</v>
      </c>
      <c r="O243" s="397">
        <f>LOOKUP($C$239, T_NCAP_AF!$C$155:$C$165, T_NCAP_AF!E$155:E$165)*(1+O195)</f>
        <v>0</v>
      </c>
      <c r="P243" s="397">
        <f>LOOKUP($C$239, T_NCAP_AF!$C$155:$C$165, T_NCAP_AF!F$155:F$165)*(1+P195)</f>
        <v>0</v>
      </c>
      <c r="Q243" s="397">
        <f>LOOKUP($C$239, T_NCAP_AF!$C$155:$C$165, T_NCAP_AF!G$155:G$165)*(1+Q195)</f>
        <v>0</v>
      </c>
      <c r="R243" s="397">
        <f>LOOKUP($C$239, T_NCAP_AF!$C$155:$C$165, T_NCAP_AF!H$155:H$165)*(1+R195)</f>
        <v>0</v>
      </c>
      <c r="S243" s="397">
        <f>LOOKUP($C$239, T_NCAP_AF!$C$155:$C$165, T_NCAP_AF!I$155:I$165)*(1+S195)</f>
        <v>0</v>
      </c>
      <c r="T243" s="397">
        <f>LOOKUP($C$239, T_NCAP_AF!$C$155:$C$165, T_NCAP_AF!J$155:J$165)*(1+T195)</f>
        <v>0</v>
      </c>
      <c r="U243" s="397">
        <f>LOOKUP($C$239, T_NCAP_AF!$C$155:$C$165, T_NCAP_AF!K$155:K$165)*(1+U195)</f>
        <v>0</v>
      </c>
      <c r="V243" s="397">
        <f>LOOKUP($C$239, T_NCAP_AF!$C$155:$C$165, T_NCAP_AF!L$155:L$165)*(1+V195)</f>
        <v>0</v>
      </c>
      <c r="W243" s="397">
        <f>LOOKUP($C$239, T_NCAP_AF!$C$155:$C$165, T_NCAP_AF!M$155:M$165)*(1+W195)</f>
        <v>0</v>
      </c>
      <c r="X243" s="397">
        <f>LOOKUP($C$239, T_NCAP_AF!$C$155:$C$165, T_NCAP_AF!N$155:N$165)*(1+X195)</f>
        <v>0</v>
      </c>
      <c r="Y243" s="397">
        <f>LOOKUP($C$239, T_NCAP_AF!$C$155:$C$165, T_NCAP_AF!O$155:O$165)*(1+Y195)</f>
        <v>0</v>
      </c>
      <c r="Z243" s="397">
        <f>LOOKUP($C$239, T_NCAP_AF!$C$155:$C$165, T_NCAP_AF!P$155:P$165)*(1+Z195)</f>
        <v>0</v>
      </c>
      <c r="AA243" s="397">
        <f>LOOKUP($C$239, T_NCAP_AF!$C$155:$C$165, T_NCAP_AF!Q$155:Q$165)*(1+AA195)</f>
        <v>0</v>
      </c>
      <c r="AB243" s="397">
        <f>LOOKUP($C$239, T_NCAP_AF!$C$155:$C$165, T_NCAP_AF!R$155:R$165)*(1+AB195)</f>
        <v>0</v>
      </c>
      <c r="AE243" s="572">
        <f>SUM(AF243:AT243)</f>
        <v>0</v>
      </c>
      <c r="AF243" s="85">
        <f t="shared" ref="AF243:AT243" si="273">N242*N243*N244/1000</f>
        <v>0</v>
      </c>
      <c r="AG243" s="85">
        <f t="shared" si="273"/>
        <v>0</v>
      </c>
      <c r="AH243" s="85">
        <f t="shared" si="273"/>
        <v>0</v>
      </c>
      <c r="AI243" s="85">
        <f t="shared" si="273"/>
        <v>0</v>
      </c>
      <c r="AJ243" s="85">
        <f t="shared" si="273"/>
        <v>0</v>
      </c>
      <c r="AK243" s="85">
        <f t="shared" si="273"/>
        <v>0</v>
      </c>
      <c r="AL243" s="85">
        <f t="shared" si="273"/>
        <v>0</v>
      </c>
      <c r="AM243" s="85">
        <f t="shared" si="273"/>
        <v>0</v>
      </c>
      <c r="AN243" s="85">
        <f t="shared" si="273"/>
        <v>0</v>
      </c>
      <c r="AO243" s="85">
        <f t="shared" si="273"/>
        <v>0</v>
      </c>
      <c r="AP243" s="85">
        <f t="shared" si="273"/>
        <v>0</v>
      </c>
      <c r="AQ243" s="85">
        <f t="shared" si="273"/>
        <v>0</v>
      </c>
      <c r="AR243" s="85">
        <f t="shared" si="273"/>
        <v>0</v>
      </c>
      <c r="AS243" s="85">
        <f t="shared" si="273"/>
        <v>0</v>
      </c>
      <c r="AT243" s="85">
        <f t="shared" si="273"/>
        <v>0</v>
      </c>
    </row>
    <row r="244" spans="1:65" s="83" customFormat="1" x14ac:dyDescent="0.25">
      <c r="A244" s="82"/>
      <c r="B244" s="178" t="str">
        <f>B243</f>
        <v>TFMEETH100</v>
      </c>
      <c r="C244" s="178"/>
      <c r="D244" s="179"/>
      <c r="E244" s="178"/>
      <c r="F244" s="182"/>
      <c r="G244" s="181"/>
      <c r="H244" s="182"/>
      <c r="I244" s="183">
        <f>$M$3</f>
        <v>2019</v>
      </c>
      <c r="J244" s="184"/>
      <c r="K244" s="184"/>
      <c r="L244" s="203" t="s">
        <v>1065</v>
      </c>
      <c r="M244" s="184" t="s">
        <v>748</v>
      </c>
      <c r="N244" s="694">
        <f>LOOKUP($C$239, T_Stock_Private!$C$106:$C$117, T_Stock_Private!D$106:D$117)*(1+N196)</f>
        <v>0</v>
      </c>
      <c r="O244" s="694">
        <f>LOOKUP($C$239, T_Stock_Private!$C$106:$C$117, T_Stock_Private!E$106:E$117)*(1+O196)</f>
        <v>0</v>
      </c>
      <c r="P244" s="694">
        <f>LOOKUP($C$239, T_Stock_Private!$C$106:$C$117, T_Stock_Private!F$106:F$117)*(1+P196)</f>
        <v>0</v>
      </c>
      <c r="Q244" s="694">
        <f>LOOKUP($C$239, T_Stock_Private!$C$106:$C$117, T_Stock_Private!G$106:G$117)*(1+Q196)</f>
        <v>0</v>
      </c>
      <c r="R244" s="694">
        <f>LOOKUP($C$239, T_Stock_Private!$C$106:$C$117, T_Stock_Private!H$106:H$117)*(1+R196)</f>
        <v>0</v>
      </c>
      <c r="S244" s="694">
        <f>LOOKUP($C$239, T_Stock_Private!$C$106:$C$117, T_Stock_Private!I$106:I$117)*(1+S196)</f>
        <v>0</v>
      </c>
      <c r="T244" s="694">
        <f>LOOKUP($C$239, T_Stock_Private!$C$106:$C$117, T_Stock_Private!J$106:J$117)*(1+T196)</f>
        <v>0</v>
      </c>
      <c r="U244" s="694">
        <f>LOOKUP($C$239, T_Stock_Private!$C$106:$C$117, T_Stock_Private!K$106:K$117)*(1+U196)</f>
        <v>0</v>
      </c>
      <c r="V244" s="694">
        <f>LOOKUP($C$239, T_Stock_Private!$C$106:$C$117, T_Stock_Private!L$106:L$117)*(1+V196)</f>
        <v>0</v>
      </c>
      <c r="W244" s="694">
        <f>LOOKUP($C$239, T_Stock_Private!$C$106:$C$117, T_Stock_Private!M$106:M$117)*(1+W196)</f>
        <v>0</v>
      </c>
      <c r="X244" s="694">
        <f>LOOKUP($C$239, T_Stock_Private!$C$106:$C$117, T_Stock_Private!N$106:N$117)*(1+X196)</f>
        <v>0</v>
      </c>
      <c r="Y244" s="694">
        <f>LOOKUP($C$239, T_Stock_Private!$C$106:$C$117, T_Stock_Private!O$106:O$117)*(1+Y196)</f>
        <v>0</v>
      </c>
      <c r="Z244" s="694">
        <f>LOOKUP($C$239, T_Stock_Private!$C$106:$C$117, T_Stock_Private!P$106:P$117)*(1+Z196)</f>
        <v>0</v>
      </c>
      <c r="AA244" s="694">
        <f>LOOKUP($C$239, T_Stock_Private!$C$106:$C$117, T_Stock_Private!Q$106:Q$117)*(1+AA196)</f>
        <v>0</v>
      </c>
      <c r="AB244" s="694">
        <f>LOOKUP($C$239, T_Stock_Private!$C$106:$C$117, T_Stock_Private!R$106:R$117)*(1+AB196)</f>
        <v>0</v>
      </c>
    </row>
    <row r="245" spans="1:65" s="83" customFormat="1" x14ac:dyDescent="0.25">
      <c r="A245" s="82"/>
      <c r="B245" s="178" t="str">
        <f t="shared" si="271"/>
        <v>TFMEETH100</v>
      </c>
      <c r="C245" s="178"/>
      <c r="D245" s="179"/>
      <c r="E245" s="178"/>
      <c r="F245" s="182"/>
      <c r="G245" s="181"/>
      <c r="H245" s="182"/>
      <c r="I245" s="183">
        <f>AF$5</f>
        <v>2020</v>
      </c>
      <c r="J245" s="184"/>
      <c r="K245" s="184"/>
      <c r="L245" s="203" t="s">
        <v>1065</v>
      </c>
      <c r="M245" s="184" t="s">
        <v>748</v>
      </c>
      <c r="N245" s="694">
        <f t="shared" ref="N245:AB245" si="274">N244*LOOKUP($AD239,$AG$4:$AP$4,$AG$5:$AP$5)</f>
        <v>0</v>
      </c>
      <c r="O245" s="694">
        <f t="shared" si="274"/>
        <v>0</v>
      </c>
      <c r="P245" s="694">
        <f t="shared" si="274"/>
        <v>0</v>
      </c>
      <c r="Q245" s="694">
        <f t="shared" si="274"/>
        <v>0</v>
      </c>
      <c r="R245" s="694">
        <f t="shared" si="274"/>
        <v>0</v>
      </c>
      <c r="S245" s="694">
        <f t="shared" si="274"/>
        <v>0</v>
      </c>
      <c r="T245" s="694">
        <f t="shared" si="274"/>
        <v>0</v>
      </c>
      <c r="U245" s="694">
        <f t="shared" si="274"/>
        <v>0</v>
      </c>
      <c r="V245" s="694">
        <f t="shared" si="274"/>
        <v>0</v>
      </c>
      <c r="W245" s="694">
        <f t="shared" si="274"/>
        <v>0</v>
      </c>
      <c r="X245" s="694">
        <f t="shared" si="274"/>
        <v>0</v>
      </c>
      <c r="Y245" s="694">
        <f t="shared" si="274"/>
        <v>0</v>
      </c>
      <c r="Z245" s="694">
        <f t="shared" si="274"/>
        <v>0</v>
      </c>
      <c r="AA245" s="694">
        <f t="shared" si="274"/>
        <v>0</v>
      </c>
      <c r="AB245" s="694">
        <f t="shared" si="274"/>
        <v>0</v>
      </c>
    </row>
    <row r="246" spans="1:65" s="83" customFormat="1" x14ac:dyDescent="0.25">
      <c r="A246" s="82"/>
      <c r="B246" s="178" t="str">
        <f t="shared" si="271"/>
        <v>TFMEETH100</v>
      </c>
      <c r="C246" s="178"/>
      <c r="D246" s="179"/>
      <c r="E246" s="178"/>
      <c r="F246" s="182"/>
      <c r="G246" s="181"/>
      <c r="H246" s="182"/>
      <c r="I246" s="183">
        <f>AF$6</f>
        <v>2025</v>
      </c>
      <c r="J246" s="184"/>
      <c r="K246" s="184"/>
      <c r="L246" s="203" t="s">
        <v>1065</v>
      </c>
      <c r="M246" s="184" t="s">
        <v>748</v>
      </c>
      <c r="N246" s="694">
        <f t="shared" ref="N246:AB246" si="275">N244*LOOKUP($AD239,$AG$4:$AP$4,$AG$6:$AP$6)</f>
        <v>0</v>
      </c>
      <c r="O246" s="694">
        <f t="shared" si="275"/>
        <v>0</v>
      </c>
      <c r="P246" s="694">
        <f t="shared" si="275"/>
        <v>0</v>
      </c>
      <c r="Q246" s="694">
        <f t="shared" si="275"/>
        <v>0</v>
      </c>
      <c r="R246" s="694">
        <f t="shared" si="275"/>
        <v>0</v>
      </c>
      <c r="S246" s="694">
        <f t="shared" si="275"/>
        <v>0</v>
      </c>
      <c r="T246" s="694">
        <f t="shared" si="275"/>
        <v>0</v>
      </c>
      <c r="U246" s="694">
        <f t="shared" si="275"/>
        <v>0</v>
      </c>
      <c r="V246" s="694">
        <f t="shared" si="275"/>
        <v>0</v>
      </c>
      <c r="W246" s="694">
        <f t="shared" si="275"/>
        <v>0</v>
      </c>
      <c r="X246" s="694">
        <f t="shared" si="275"/>
        <v>0</v>
      </c>
      <c r="Y246" s="694">
        <f t="shared" si="275"/>
        <v>0</v>
      </c>
      <c r="Z246" s="694">
        <f t="shared" si="275"/>
        <v>0</v>
      </c>
      <c r="AA246" s="694">
        <f t="shared" si="275"/>
        <v>0</v>
      </c>
      <c r="AB246" s="694">
        <f t="shared" si="275"/>
        <v>0</v>
      </c>
    </row>
    <row r="247" spans="1:65" s="83" customFormat="1" x14ac:dyDescent="0.25">
      <c r="A247" s="82"/>
      <c r="B247" s="178" t="str">
        <f t="shared" si="271"/>
        <v>TFMEETH100</v>
      </c>
      <c r="C247" s="178"/>
      <c r="D247" s="179"/>
      <c r="E247" s="178"/>
      <c r="F247" s="182"/>
      <c r="G247" s="181"/>
      <c r="H247" s="182"/>
      <c r="I247" s="183">
        <f>AF$7</f>
        <v>2030</v>
      </c>
      <c r="J247" s="184"/>
      <c r="K247" s="184"/>
      <c r="L247" s="203" t="s">
        <v>1065</v>
      </c>
      <c r="M247" s="184" t="s">
        <v>748</v>
      </c>
      <c r="N247" s="694">
        <f t="shared" ref="N247:AB247" si="276">N244*LOOKUP($AD239,$AG$4:$AP$4,$AG$7:$AP$7)</f>
        <v>0</v>
      </c>
      <c r="O247" s="694">
        <f t="shared" si="276"/>
        <v>0</v>
      </c>
      <c r="P247" s="694">
        <f t="shared" si="276"/>
        <v>0</v>
      </c>
      <c r="Q247" s="694">
        <f t="shared" si="276"/>
        <v>0</v>
      </c>
      <c r="R247" s="694">
        <f t="shared" si="276"/>
        <v>0</v>
      </c>
      <c r="S247" s="694">
        <f t="shared" si="276"/>
        <v>0</v>
      </c>
      <c r="T247" s="694">
        <f t="shared" si="276"/>
        <v>0</v>
      </c>
      <c r="U247" s="694">
        <f t="shared" si="276"/>
        <v>0</v>
      </c>
      <c r="V247" s="694">
        <f t="shared" si="276"/>
        <v>0</v>
      </c>
      <c r="W247" s="694">
        <f t="shared" si="276"/>
        <v>0</v>
      </c>
      <c r="X247" s="694">
        <f t="shared" si="276"/>
        <v>0</v>
      </c>
      <c r="Y247" s="694">
        <f t="shared" si="276"/>
        <v>0</v>
      </c>
      <c r="Z247" s="694">
        <f t="shared" si="276"/>
        <v>0</v>
      </c>
      <c r="AA247" s="694">
        <f t="shared" si="276"/>
        <v>0</v>
      </c>
      <c r="AB247" s="694">
        <f t="shared" si="276"/>
        <v>0</v>
      </c>
    </row>
    <row r="248" spans="1:65" s="83" customFormat="1" x14ac:dyDescent="0.25">
      <c r="A248" s="82"/>
      <c r="B248" s="178" t="str">
        <f t="shared" si="271"/>
        <v>TFMEETH100</v>
      </c>
      <c r="C248" s="178"/>
      <c r="D248" s="179"/>
      <c r="E248" s="178"/>
      <c r="F248" s="182"/>
      <c r="G248" s="181"/>
      <c r="H248" s="182"/>
      <c r="I248" s="183">
        <f>AF$8</f>
        <v>2035</v>
      </c>
      <c r="J248" s="184"/>
      <c r="K248" s="184"/>
      <c r="L248" s="203" t="s">
        <v>1065</v>
      </c>
      <c r="M248" s="184" t="s">
        <v>748</v>
      </c>
      <c r="N248" s="694">
        <f t="shared" ref="N248:AB248" si="277">N244*LOOKUP($AD239,$AG$4:$AP$4,$AG$8:$AP$8)</f>
        <v>0</v>
      </c>
      <c r="O248" s="694">
        <f t="shared" si="277"/>
        <v>0</v>
      </c>
      <c r="P248" s="694">
        <f t="shared" si="277"/>
        <v>0</v>
      </c>
      <c r="Q248" s="694">
        <f t="shared" si="277"/>
        <v>0</v>
      </c>
      <c r="R248" s="694">
        <f t="shared" si="277"/>
        <v>0</v>
      </c>
      <c r="S248" s="694">
        <f t="shared" si="277"/>
        <v>0</v>
      </c>
      <c r="T248" s="694">
        <f t="shared" si="277"/>
        <v>0</v>
      </c>
      <c r="U248" s="694">
        <f t="shared" si="277"/>
        <v>0</v>
      </c>
      <c r="V248" s="694">
        <f t="shared" si="277"/>
        <v>0</v>
      </c>
      <c r="W248" s="694">
        <f t="shared" si="277"/>
        <v>0</v>
      </c>
      <c r="X248" s="694">
        <f t="shared" si="277"/>
        <v>0</v>
      </c>
      <c r="Y248" s="694">
        <f t="shared" si="277"/>
        <v>0</v>
      </c>
      <c r="Z248" s="694">
        <f t="shared" si="277"/>
        <v>0</v>
      </c>
      <c r="AA248" s="694">
        <f t="shared" si="277"/>
        <v>0</v>
      </c>
      <c r="AB248" s="694">
        <f t="shared" si="277"/>
        <v>0</v>
      </c>
    </row>
    <row r="249" spans="1:65" s="83" customFormat="1" x14ac:dyDescent="0.25">
      <c r="A249" s="82"/>
      <c r="B249" s="178" t="str">
        <f t="shared" si="271"/>
        <v>TFMEETH100</v>
      </c>
      <c r="C249" s="178"/>
      <c r="D249" s="179"/>
      <c r="E249" s="178"/>
      <c r="F249" s="182"/>
      <c r="G249" s="181"/>
      <c r="H249" s="182"/>
      <c r="I249" s="183">
        <f>AF$9</f>
        <v>2040</v>
      </c>
      <c r="J249" s="184"/>
      <c r="K249" s="184"/>
      <c r="L249" s="203" t="s">
        <v>1065</v>
      </c>
      <c r="M249" s="184" t="s">
        <v>748</v>
      </c>
      <c r="N249" s="694">
        <f t="shared" ref="N249:AB249" si="278">N244*LOOKUP($AD239,$AG$4:$AP$4,$AG$9:$AP$9)</f>
        <v>0</v>
      </c>
      <c r="O249" s="694">
        <f t="shared" si="278"/>
        <v>0</v>
      </c>
      <c r="P249" s="694">
        <f t="shared" si="278"/>
        <v>0</v>
      </c>
      <c r="Q249" s="694">
        <f t="shared" si="278"/>
        <v>0</v>
      </c>
      <c r="R249" s="694">
        <f t="shared" si="278"/>
        <v>0</v>
      </c>
      <c r="S249" s="694">
        <f t="shared" si="278"/>
        <v>0</v>
      </c>
      <c r="T249" s="694">
        <f t="shared" si="278"/>
        <v>0</v>
      </c>
      <c r="U249" s="694">
        <f t="shared" si="278"/>
        <v>0</v>
      </c>
      <c r="V249" s="694">
        <f t="shared" si="278"/>
        <v>0</v>
      </c>
      <c r="W249" s="694">
        <f t="shared" si="278"/>
        <v>0</v>
      </c>
      <c r="X249" s="694">
        <f t="shared" si="278"/>
        <v>0</v>
      </c>
      <c r="Y249" s="694">
        <f t="shared" si="278"/>
        <v>0</v>
      </c>
      <c r="Z249" s="694">
        <f t="shared" si="278"/>
        <v>0</v>
      </c>
      <c r="AA249" s="694">
        <f t="shared" si="278"/>
        <v>0</v>
      </c>
      <c r="AB249" s="694">
        <f t="shared" si="278"/>
        <v>0</v>
      </c>
    </row>
    <row r="250" spans="1:65" s="83" customFormat="1" x14ac:dyDescent="0.25">
      <c r="A250" s="82"/>
      <c r="B250" s="204" t="str">
        <f t="shared" si="271"/>
        <v>TFMEETH100</v>
      </c>
      <c r="C250" s="204"/>
      <c r="D250" s="205"/>
      <c r="E250" s="204"/>
      <c r="F250" s="206"/>
      <c r="G250" s="207"/>
      <c r="H250" s="206"/>
      <c r="I250" s="208">
        <f>AF$10</f>
        <v>2050</v>
      </c>
      <c r="J250" s="209"/>
      <c r="K250" s="209"/>
      <c r="L250" s="210" t="s">
        <v>1065</v>
      </c>
      <c r="M250" s="209" t="s">
        <v>748</v>
      </c>
      <c r="N250" s="695">
        <f t="shared" ref="N250:AB250" si="279">N244*LOOKUP($AD239,$AG$4:$AP$4,$AG$10:$AP$10)</f>
        <v>0</v>
      </c>
      <c r="O250" s="695">
        <f t="shared" si="279"/>
        <v>0</v>
      </c>
      <c r="P250" s="695">
        <f t="shared" si="279"/>
        <v>0</v>
      </c>
      <c r="Q250" s="695">
        <f t="shared" si="279"/>
        <v>0</v>
      </c>
      <c r="R250" s="695">
        <f t="shared" si="279"/>
        <v>0</v>
      </c>
      <c r="S250" s="695">
        <f t="shared" si="279"/>
        <v>0</v>
      </c>
      <c r="T250" s="695">
        <f t="shared" si="279"/>
        <v>0</v>
      </c>
      <c r="U250" s="695">
        <f t="shared" si="279"/>
        <v>0</v>
      </c>
      <c r="V250" s="695">
        <f t="shared" si="279"/>
        <v>0</v>
      </c>
      <c r="W250" s="695">
        <f t="shared" si="279"/>
        <v>0</v>
      </c>
      <c r="X250" s="695">
        <f t="shared" si="279"/>
        <v>0</v>
      </c>
      <c r="Y250" s="695">
        <f t="shared" si="279"/>
        <v>0</v>
      </c>
      <c r="Z250" s="695">
        <f t="shared" si="279"/>
        <v>0</v>
      </c>
      <c r="AA250" s="695">
        <f t="shared" si="279"/>
        <v>0</v>
      </c>
      <c r="AB250" s="695">
        <f t="shared" si="279"/>
        <v>0</v>
      </c>
    </row>
    <row r="251" spans="1:65" s="83" customFormat="1" x14ac:dyDescent="0.25">
      <c r="A251" s="82"/>
      <c r="B251" s="178" t="str">
        <f>C251</f>
        <v>TFMEGAS100</v>
      </c>
      <c r="C251" s="178" t="s">
        <v>362</v>
      </c>
      <c r="D251" s="179" t="s">
        <v>834</v>
      </c>
      <c r="E251" s="407" t="s">
        <v>994</v>
      </c>
      <c r="F251" s="182"/>
      <c r="G251" s="181"/>
      <c r="H251" s="182"/>
      <c r="I251" s="183"/>
      <c r="J251" s="184"/>
      <c r="K251" s="184"/>
      <c r="L251" s="203" t="s">
        <v>1107</v>
      </c>
      <c r="M251" s="184" t="s">
        <v>1125</v>
      </c>
      <c r="N251" s="378">
        <f>N$502</f>
        <v>1E-3</v>
      </c>
      <c r="O251" s="378">
        <f t="shared" ref="O251:AB251" si="280">$N251</f>
        <v>1E-3</v>
      </c>
      <c r="P251" s="378">
        <f t="shared" si="280"/>
        <v>1E-3</v>
      </c>
      <c r="Q251" s="378">
        <f t="shared" si="280"/>
        <v>1E-3</v>
      </c>
      <c r="R251" s="378">
        <f t="shared" si="280"/>
        <v>1E-3</v>
      </c>
      <c r="S251" s="378">
        <f t="shared" si="280"/>
        <v>1E-3</v>
      </c>
      <c r="T251" s="378">
        <f t="shared" si="280"/>
        <v>1E-3</v>
      </c>
      <c r="U251" s="378">
        <f t="shared" si="280"/>
        <v>1E-3</v>
      </c>
      <c r="V251" s="378">
        <f t="shared" si="280"/>
        <v>1E-3</v>
      </c>
      <c r="W251" s="378">
        <f t="shared" si="280"/>
        <v>1E-3</v>
      </c>
      <c r="X251" s="378">
        <f t="shared" si="280"/>
        <v>1E-3</v>
      </c>
      <c r="Y251" s="378">
        <f t="shared" si="280"/>
        <v>1E-3</v>
      </c>
      <c r="Z251" s="378">
        <f t="shared" si="280"/>
        <v>1E-3</v>
      </c>
      <c r="AA251" s="378">
        <f t="shared" si="280"/>
        <v>1E-3</v>
      </c>
      <c r="AB251" s="378">
        <f t="shared" si="280"/>
        <v>1E-3</v>
      </c>
      <c r="AD251" s="410" t="str">
        <f>MID(D251,14,3)</f>
        <v>GAS</v>
      </c>
      <c r="AV251" s="700" t="str">
        <f t="shared" ref="AV251:AV254" si="281">MID(E251,1,7)</f>
        <v>TRABGS</v>
      </c>
      <c r="AW251" s="568">
        <f t="shared" ref="AW251:AW252" si="282">SUM(AX251:BL251)</f>
        <v>0</v>
      </c>
      <c r="AX251" s="721">
        <f>N$257*N$256*(1-N252)/N$254/1000</f>
        <v>0</v>
      </c>
      <c r="AY251" s="721">
        <f t="shared" ref="AY251:BL251" si="283">O$257*O$256*(1-O252)/O$254/1000</f>
        <v>0</v>
      </c>
      <c r="AZ251" s="721">
        <f t="shared" si="283"/>
        <v>0</v>
      </c>
      <c r="BA251" s="721">
        <f t="shared" si="283"/>
        <v>0</v>
      </c>
      <c r="BB251" s="721">
        <f t="shared" si="283"/>
        <v>0</v>
      </c>
      <c r="BC251" s="721">
        <f t="shared" si="283"/>
        <v>0</v>
      </c>
      <c r="BD251" s="721">
        <f t="shared" si="283"/>
        <v>0</v>
      </c>
      <c r="BE251" s="721">
        <f t="shared" si="283"/>
        <v>0</v>
      </c>
      <c r="BF251" s="721">
        <f t="shared" si="283"/>
        <v>0</v>
      </c>
      <c r="BG251" s="721">
        <f t="shared" si="283"/>
        <v>0</v>
      </c>
      <c r="BH251" s="721">
        <f t="shared" si="283"/>
        <v>0</v>
      </c>
      <c r="BI251" s="721">
        <f t="shared" si="283"/>
        <v>0</v>
      </c>
      <c r="BJ251" s="721">
        <f t="shared" si="283"/>
        <v>0</v>
      </c>
      <c r="BK251" s="721">
        <f t="shared" si="283"/>
        <v>0</v>
      </c>
      <c r="BL251" s="721">
        <f t="shared" si="283"/>
        <v>0</v>
      </c>
      <c r="BM251" s="721"/>
    </row>
    <row r="252" spans="1:65" s="83" customFormat="1" x14ac:dyDescent="0.25">
      <c r="A252" s="82"/>
      <c r="B252" s="178" t="str">
        <f>B251</f>
        <v>TFMEGAS100</v>
      </c>
      <c r="C252" s="178"/>
      <c r="D252" s="179"/>
      <c r="E252" s="407" t="s">
        <v>1039</v>
      </c>
      <c r="F252" s="182"/>
      <c r="G252" s="180"/>
      <c r="H252" s="182"/>
      <c r="I252" s="183"/>
      <c r="J252" s="184" t="s">
        <v>1157</v>
      </c>
      <c r="K252" s="184"/>
      <c r="L252" s="203" t="s">
        <v>101</v>
      </c>
      <c r="M252" s="184"/>
      <c r="N252" s="390">
        <f t="shared" ref="N252:AB252" si="284">1-N27</f>
        <v>9.9999999999999978E-2</v>
      </c>
      <c r="O252" s="390">
        <f t="shared" si="284"/>
        <v>9.9999999999999978E-2</v>
      </c>
      <c r="P252" s="390">
        <f t="shared" si="284"/>
        <v>9.9999999999999978E-2</v>
      </c>
      <c r="Q252" s="390">
        <f t="shared" si="284"/>
        <v>9.9999999999999978E-2</v>
      </c>
      <c r="R252" s="390">
        <f t="shared" si="284"/>
        <v>9.9999999999999978E-2</v>
      </c>
      <c r="S252" s="390">
        <f t="shared" si="284"/>
        <v>9.9999999999999978E-2</v>
      </c>
      <c r="T252" s="390">
        <f t="shared" si="284"/>
        <v>9.9999999999999978E-2</v>
      </c>
      <c r="U252" s="390">
        <f t="shared" si="284"/>
        <v>9.9999999999999978E-2</v>
      </c>
      <c r="V252" s="390">
        <f t="shared" si="284"/>
        <v>9.9999999999999978E-2</v>
      </c>
      <c r="W252" s="390">
        <f t="shared" si="284"/>
        <v>9.9999999999999978E-2</v>
      </c>
      <c r="X252" s="390">
        <f t="shared" si="284"/>
        <v>9.9999999999999978E-2</v>
      </c>
      <c r="Y252" s="390">
        <f t="shared" si="284"/>
        <v>9.9999999999999978E-2</v>
      </c>
      <c r="Z252" s="390">
        <f t="shared" si="284"/>
        <v>9.9999999999999978E-2</v>
      </c>
      <c r="AA252" s="390">
        <f t="shared" si="284"/>
        <v>9.9999999999999978E-2</v>
      </c>
      <c r="AB252" s="390">
        <f t="shared" si="284"/>
        <v>9.9999999999999978E-2</v>
      </c>
      <c r="AD252" s="66" t="str">
        <f>IF(COUNTIF($AG$4:$AP$4,AD251)=1,"ok","MISSING")</f>
        <v>ok</v>
      </c>
      <c r="AV252" s="700" t="str">
        <f t="shared" si="281"/>
        <v>TRANGS</v>
      </c>
      <c r="AW252" s="568">
        <f t="shared" si="282"/>
        <v>0</v>
      </c>
      <c r="AX252" s="721">
        <f>N$257*N$256*N252/N$254/1000</f>
        <v>0</v>
      </c>
      <c r="AY252" s="721">
        <f t="shared" ref="AY252:BL252" si="285">O$257*O$256*O252/O$254/1000</f>
        <v>0</v>
      </c>
      <c r="AZ252" s="721">
        <f t="shared" si="285"/>
        <v>0</v>
      </c>
      <c r="BA252" s="721">
        <f t="shared" si="285"/>
        <v>0</v>
      </c>
      <c r="BB252" s="721">
        <f t="shared" si="285"/>
        <v>0</v>
      </c>
      <c r="BC252" s="721">
        <f t="shared" si="285"/>
        <v>0</v>
      </c>
      <c r="BD252" s="721">
        <f t="shared" si="285"/>
        <v>0</v>
      </c>
      <c r="BE252" s="721">
        <f t="shared" si="285"/>
        <v>0</v>
      </c>
      <c r="BF252" s="721">
        <f t="shared" si="285"/>
        <v>0</v>
      </c>
      <c r="BG252" s="721">
        <f t="shared" si="285"/>
        <v>0</v>
      </c>
      <c r="BH252" s="721">
        <f t="shared" si="285"/>
        <v>0</v>
      </c>
      <c r="BI252" s="721">
        <f t="shared" si="285"/>
        <v>0</v>
      </c>
      <c r="BJ252" s="721">
        <f t="shared" si="285"/>
        <v>0</v>
      </c>
      <c r="BK252" s="721">
        <f t="shared" si="285"/>
        <v>0</v>
      </c>
      <c r="BL252" s="721">
        <f t="shared" si="285"/>
        <v>0</v>
      </c>
      <c r="BM252" s="721"/>
    </row>
    <row r="253" spans="1:65" s="83" customFormat="1" x14ac:dyDescent="0.25">
      <c r="A253" s="82"/>
      <c r="B253" s="178" t="str">
        <f>B252</f>
        <v>TFMEGAS100</v>
      </c>
      <c r="C253" s="178"/>
      <c r="D253" s="179"/>
      <c r="E253" s="178"/>
      <c r="F253" s="182"/>
      <c r="G253" s="324" t="s">
        <v>435</v>
      </c>
      <c r="H253" s="182"/>
      <c r="I253" s="183"/>
      <c r="J253" s="184"/>
      <c r="K253" s="184"/>
      <c r="L253" s="184" t="s">
        <v>1126</v>
      </c>
      <c r="M253" s="184" t="s">
        <v>678</v>
      </c>
      <c r="N253" s="676">
        <f>T_CEFF!H188</f>
        <v>6.2859999999999999E-2</v>
      </c>
      <c r="O253" s="676">
        <f>T_CEFF!I188</f>
        <v>6.2859999999999999E-2</v>
      </c>
      <c r="P253" s="676">
        <f>T_CEFF!J188</f>
        <v>6.2859999999999999E-2</v>
      </c>
      <c r="Q253" s="676">
        <f>T_CEFF!K188</f>
        <v>6.2859999999999999E-2</v>
      </c>
      <c r="R253" s="676">
        <f>T_CEFF!L188</f>
        <v>6.2859999999999999E-2</v>
      </c>
      <c r="S253" s="676">
        <f>T_CEFF!M188</f>
        <v>6.2859999999999999E-2</v>
      </c>
      <c r="T253" s="676">
        <f>T_CEFF!N188</f>
        <v>6.2859999999999999E-2</v>
      </c>
      <c r="U253" s="676">
        <f>T_CEFF!O188</f>
        <v>6.2859999999999999E-2</v>
      </c>
      <c r="V253" s="676">
        <f>T_CEFF!P188</f>
        <v>6.2859999999999999E-2</v>
      </c>
      <c r="W253" s="676">
        <f>T_CEFF!Q188</f>
        <v>6.2859999999999999E-2</v>
      </c>
      <c r="X253" s="676">
        <f>T_CEFF!R188</f>
        <v>6.2859999999999999E-2</v>
      </c>
      <c r="Y253" s="676">
        <f>T_CEFF!S188</f>
        <v>6.2859999999999999E-2</v>
      </c>
      <c r="Z253" s="676">
        <f>T_CEFF!T188</f>
        <v>6.2859999999999999E-2</v>
      </c>
      <c r="AA253" s="676">
        <f>T_CEFF!U188</f>
        <v>6.2859999999999999E-2</v>
      </c>
      <c r="AB253" s="676">
        <f>T_CEFF!V188</f>
        <v>6.2859999999999999E-2</v>
      </c>
      <c r="AV253" s="700" t="str">
        <f t="shared" si="281"/>
        <v/>
      </c>
      <c r="AW253" s="568"/>
    </row>
    <row r="254" spans="1:65" s="83" customFormat="1" x14ac:dyDescent="0.25">
      <c r="A254" s="82"/>
      <c r="B254" s="178" t="str">
        <f t="shared" ref="B254:B263" si="286">B253</f>
        <v>TFMEGAS100</v>
      </c>
      <c r="C254" s="178"/>
      <c r="D254" s="179"/>
      <c r="E254" s="178"/>
      <c r="F254" s="182"/>
      <c r="G254" s="324" t="s">
        <v>433</v>
      </c>
      <c r="H254" s="182"/>
      <c r="I254" s="183"/>
      <c r="J254" s="184"/>
      <c r="K254" s="184"/>
      <c r="L254" s="184" t="s">
        <v>1126</v>
      </c>
      <c r="M254" s="184" t="s">
        <v>678</v>
      </c>
      <c r="N254" s="676">
        <f>T_CEFF!H189</f>
        <v>5.0290000000000001E-2</v>
      </c>
      <c r="O254" s="676">
        <f>T_CEFF!I189</f>
        <v>5.0290000000000001E-2</v>
      </c>
      <c r="P254" s="676">
        <f>T_CEFF!J189</f>
        <v>5.0290000000000001E-2</v>
      </c>
      <c r="Q254" s="676">
        <f>T_CEFF!K189</f>
        <v>5.0290000000000001E-2</v>
      </c>
      <c r="R254" s="676">
        <f>T_CEFF!L189</f>
        <v>5.0290000000000001E-2</v>
      </c>
      <c r="S254" s="676">
        <f>T_CEFF!M189</f>
        <v>5.0290000000000001E-2</v>
      </c>
      <c r="T254" s="676">
        <f>T_CEFF!N189</f>
        <v>5.0290000000000001E-2</v>
      </c>
      <c r="U254" s="676">
        <f>T_CEFF!O189</f>
        <v>5.0290000000000001E-2</v>
      </c>
      <c r="V254" s="676">
        <f>T_CEFF!P189</f>
        <v>5.0290000000000001E-2</v>
      </c>
      <c r="W254" s="676">
        <f>T_CEFF!Q189</f>
        <v>5.0290000000000001E-2</v>
      </c>
      <c r="X254" s="676">
        <f>T_CEFF!R189</f>
        <v>5.0290000000000001E-2</v>
      </c>
      <c r="Y254" s="676">
        <f>T_CEFF!S189</f>
        <v>5.0290000000000001E-2</v>
      </c>
      <c r="Z254" s="676">
        <f>T_CEFF!T189</f>
        <v>5.0290000000000001E-2</v>
      </c>
      <c r="AA254" s="676">
        <f>T_CEFF!U189</f>
        <v>5.0290000000000001E-2</v>
      </c>
      <c r="AB254" s="676">
        <f>T_CEFF!V189</f>
        <v>5.0290000000000001E-2</v>
      </c>
      <c r="AV254" s="700" t="str">
        <f t="shared" si="281"/>
        <v/>
      </c>
      <c r="AW254" s="568"/>
    </row>
    <row r="255" spans="1:65" s="83" customFormat="1" x14ac:dyDescent="0.25">
      <c r="A255" s="82"/>
      <c r="B255" s="178" t="str">
        <f t="shared" si="286"/>
        <v>TFMEGAS100</v>
      </c>
      <c r="C255" s="178"/>
      <c r="D255" s="179"/>
      <c r="E255" s="178"/>
      <c r="F255" s="182"/>
      <c r="G255" s="181"/>
      <c r="H255" s="182"/>
      <c r="I255" s="183"/>
      <c r="J255" s="184"/>
      <c r="K255" s="184" t="s">
        <v>749</v>
      </c>
      <c r="L255" s="184" t="s">
        <v>1128</v>
      </c>
      <c r="M255" s="184" t="s">
        <v>1175</v>
      </c>
      <c r="N255" s="388">
        <f>N$24</f>
        <v>0</v>
      </c>
      <c r="O255" s="388">
        <f t="shared" ref="O255:AB255" si="287">O$24</f>
        <v>0</v>
      </c>
      <c r="P255" s="388">
        <f t="shared" si="287"/>
        <v>0</v>
      </c>
      <c r="Q255" s="388">
        <f t="shared" si="287"/>
        <v>0</v>
      </c>
      <c r="R255" s="388">
        <f t="shared" si="287"/>
        <v>0</v>
      </c>
      <c r="S255" s="388">
        <f t="shared" si="287"/>
        <v>0</v>
      </c>
      <c r="T255" s="388">
        <f t="shared" si="287"/>
        <v>0</v>
      </c>
      <c r="U255" s="388">
        <f t="shared" si="287"/>
        <v>0</v>
      </c>
      <c r="V255" s="388">
        <f t="shared" si="287"/>
        <v>0</v>
      </c>
      <c r="W255" s="388">
        <f t="shared" si="287"/>
        <v>0</v>
      </c>
      <c r="X255" s="388">
        <f t="shared" si="287"/>
        <v>0</v>
      </c>
      <c r="Y255" s="388">
        <f t="shared" si="287"/>
        <v>0</v>
      </c>
      <c r="Z255" s="388">
        <f t="shared" si="287"/>
        <v>0</v>
      </c>
      <c r="AA255" s="388">
        <f t="shared" si="287"/>
        <v>0</v>
      </c>
      <c r="AB255" s="388">
        <f t="shared" si="287"/>
        <v>0</v>
      </c>
    </row>
    <row r="256" spans="1:65" s="83" customFormat="1" x14ac:dyDescent="0.25">
      <c r="A256" s="82"/>
      <c r="B256" s="178" t="str">
        <f t="shared" si="286"/>
        <v>TFMEGAS100</v>
      </c>
      <c r="C256" s="178"/>
      <c r="D256" s="179"/>
      <c r="E256" s="178"/>
      <c r="F256" s="182"/>
      <c r="G256" s="181"/>
      <c r="H256" s="182"/>
      <c r="I256" s="183"/>
      <c r="J256" s="184"/>
      <c r="K256" s="184"/>
      <c r="L256" s="203" t="s">
        <v>1130</v>
      </c>
      <c r="M256" s="184" t="s">
        <v>1131</v>
      </c>
      <c r="N256" s="397">
        <f>T_NCAP_AF!D164*(1+N195)</f>
        <v>0</v>
      </c>
      <c r="O256" s="397">
        <f>T_NCAP_AF!E164*(1+O195)</f>
        <v>0</v>
      </c>
      <c r="P256" s="397">
        <f>T_NCAP_AF!F164*(1+P195)</f>
        <v>0</v>
      </c>
      <c r="Q256" s="397">
        <f>T_NCAP_AF!G164*(1+Q195)</f>
        <v>0</v>
      </c>
      <c r="R256" s="397">
        <f>T_NCAP_AF!H164*(1+R195)</f>
        <v>0</v>
      </c>
      <c r="S256" s="397">
        <f>T_NCAP_AF!I164*(1+S195)</f>
        <v>0</v>
      </c>
      <c r="T256" s="397">
        <f>T_NCAP_AF!J164*(1+T195)</f>
        <v>0</v>
      </c>
      <c r="U256" s="397">
        <f>T_NCAP_AF!K164*(1+U195)</f>
        <v>0</v>
      </c>
      <c r="V256" s="397">
        <f>T_NCAP_AF!L164*(1+V195)</f>
        <v>0</v>
      </c>
      <c r="W256" s="397">
        <f>T_NCAP_AF!M164*(1+W195)</f>
        <v>0</v>
      </c>
      <c r="X256" s="397">
        <f>T_NCAP_AF!N164*(1+X195)</f>
        <v>0</v>
      </c>
      <c r="Y256" s="397">
        <f>T_NCAP_AF!O164*(1+Y195)</f>
        <v>0</v>
      </c>
      <c r="Z256" s="397">
        <f>T_NCAP_AF!P164*(1+Z195)</f>
        <v>0</v>
      </c>
      <c r="AA256" s="397">
        <f>T_NCAP_AF!Q164*(1+AA195)</f>
        <v>0</v>
      </c>
      <c r="AB256" s="397">
        <f>T_NCAP_AF!R164*(1+AB195)</f>
        <v>0</v>
      </c>
      <c r="AE256" s="572">
        <f>SUM(AF256:AT256)</f>
        <v>0</v>
      </c>
      <c r="AF256" s="85">
        <f t="shared" ref="AF256:AT256" si="288">N255*N256*N257/1000</f>
        <v>0</v>
      </c>
      <c r="AG256" s="85">
        <f t="shared" si="288"/>
        <v>0</v>
      </c>
      <c r="AH256" s="85">
        <f t="shared" si="288"/>
        <v>0</v>
      </c>
      <c r="AI256" s="85">
        <f t="shared" si="288"/>
        <v>0</v>
      </c>
      <c r="AJ256" s="85">
        <f t="shared" si="288"/>
        <v>0</v>
      </c>
      <c r="AK256" s="85">
        <f t="shared" si="288"/>
        <v>0</v>
      </c>
      <c r="AL256" s="85">
        <f t="shared" si="288"/>
        <v>0</v>
      </c>
      <c r="AM256" s="85">
        <f t="shared" si="288"/>
        <v>0</v>
      </c>
      <c r="AN256" s="85">
        <f t="shared" si="288"/>
        <v>0</v>
      </c>
      <c r="AO256" s="85">
        <f t="shared" si="288"/>
        <v>0</v>
      </c>
      <c r="AP256" s="85">
        <f t="shared" si="288"/>
        <v>0</v>
      </c>
      <c r="AQ256" s="85">
        <f t="shared" si="288"/>
        <v>0</v>
      </c>
      <c r="AR256" s="85">
        <f t="shared" si="288"/>
        <v>0</v>
      </c>
      <c r="AS256" s="85">
        <f t="shared" si="288"/>
        <v>0</v>
      </c>
      <c r="AT256" s="85">
        <f t="shared" si="288"/>
        <v>0</v>
      </c>
    </row>
    <row r="257" spans="1:49" s="83" customFormat="1" x14ac:dyDescent="0.25">
      <c r="A257" s="82"/>
      <c r="B257" s="178" t="str">
        <f t="shared" si="286"/>
        <v>TFMEGAS100</v>
      </c>
      <c r="C257" s="178"/>
      <c r="D257" s="179"/>
      <c r="E257" s="178"/>
      <c r="F257" s="182"/>
      <c r="G257" s="181"/>
      <c r="H257" s="182"/>
      <c r="I257" s="183">
        <f>$M$3</f>
        <v>2019</v>
      </c>
      <c r="J257" s="184"/>
      <c r="K257" s="184"/>
      <c r="L257" s="203" t="s">
        <v>1065</v>
      </c>
      <c r="M257" s="184" t="s">
        <v>748</v>
      </c>
      <c r="N257" s="694">
        <f>LOOKUP($C$251, T_Stock_Private!$C$106:$C$117, T_Stock_Private!D$106:D$117)*(1+N196)</f>
        <v>0</v>
      </c>
      <c r="O257" s="694">
        <f>LOOKUP($C$251, T_Stock_Private!$C$106:$C$117, T_Stock_Private!E$106:E$117)*(1+O196)</f>
        <v>0</v>
      </c>
      <c r="P257" s="694">
        <f>LOOKUP($C$251, T_Stock_Private!$C$106:$C$117, T_Stock_Private!F$106:F$117)*(1+P196)</f>
        <v>0</v>
      </c>
      <c r="Q257" s="694">
        <f>LOOKUP($C$251, T_Stock_Private!$C$106:$C$117, T_Stock_Private!G$106:G$117)*(1+Q196)</f>
        <v>0</v>
      </c>
      <c r="R257" s="694">
        <f>LOOKUP($C$251, T_Stock_Private!$C$106:$C$117, T_Stock_Private!H$106:H$117)*(1+R196)</f>
        <v>0</v>
      </c>
      <c r="S257" s="694">
        <f>LOOKUP($C$251, T_Stock_Private!$C$106:$C$117, T_Stock_Private!I$106:I$117)*(1+S196)</f>
        <v>0</v>
      </c>
      <c r="T257" s="694">
        <f>LOOKUP($C$251, T_Stock_Private!$C$106:$C$117, T_Stock_Private!J$106:J$117)*(1+T196)</f>
        <v>0</v>
      </c>
      <c r="U257" s="694">
        <f>LOOKUP($C$251, T_Stock_Private!$C$106:$C$117, T_Stock_Private!K$106:K$117)*(1+U196)</f>
        <v>0</v>
      </c>
      <c r="V257" s="694">
        <f>LOOKUP($C$251, T_Stock_Private!$C$106:$C$117, T_Stock_Private!L$106:L$117)*(1+V196)</f>
        <v>0</v>
      </c>
      <c r="W257" s="694">
        <f>LOOKUP($C$251, T_Stock_Private!$C$106:$C$117, T_Stock_Private!M$106:M$117)*(1+W196)</f>
        <v>0</v>
      </c>
      <c r="X257" s="694">
        <f>LOOKUP($C$251, T_Stock_Private!$C$106:$C$117, T_Stock_Private!N$106:N$117)*(1+X196)</f>
        <v>0</v>
      </c>
      <c r="Y257" s="694">
        <f>LOOKUP($C$251, T_Stock_Private!$C$106:$C$117, T_Stock_Private!O$106:O$117)*(1+Y196)</f>
        <v>0</v>
      </c>
      <c r="Z257" s="694">
        <f>LOOKUP($C$251, T_Stock_Private!$C$106:$C$117, T_Stock_Private!P$106:P$117)*(1+Z196)</f>
        <v>0</v>
      </c>
      <c r="AA257" s="694">
        <f>LOOKUP($C$251, T_Stock_Private!$C$106:$C$117, T_Stock_Private!Q$106:Q$117)*(1+AA196)</f>
        <v>0</v>
      </c>
      <c r="AB257" s="694">
        <f>LOOKUP($C$251, T_Stock_Private!$C$106:$C$117, T_Stock_Private!R$106:R$117)*(1+AB196)</f>
        <v>0</v>
      </c>
    </row>
    <row r="258" spans="1:49" s="83" customFormat="1" x14ac:dyDescent="0.25">
      <c r="A258" s="82"/>
      <c r="B258" s="178" t="str">
        <f t="shared" si="286"/>
        <v>TFMEGAS100</v>
      </c>
      <c r="C258" s="178"/>
      <c r="D258" s="179"/>
      <c r="E258" s="178"/>
      <c r="F258" s="182"/>
      <c r="G258" s="181"/>
      <c r="H258" s="182"/>
      <c r="I258" s="183">
        <f>AF$5</f>
        <v>2020</v>
      </c>
      <c r="J258" s="184"/>
      <c r="K258" s="184"/>
      <c r="L258" s="203" t="s">
        <v>1065</v>
      </c>
      <c r="M258" s="184" t="s">
        <v>748</v>
      </c>
      <c r="N258" s="694">
        <f t="shared" ref="N258:AB258" si="289">N257*LOOKUP($AD251,$AG$4:$AP$4,$AG$5:$AP$5)</f>
        <v>0</v>
      </c>
      <c r="O258" s="694">
        <f t="shared" si="289"/>
        <v>0</v>
      </c>
      <c r="P258" s="694">
        <f t="shared" si="289"/>
        <v>0</v>
      </c>
      <c r="Q258" s="694">
        <f t="shared" si="289"/>
        <v>0</v>
      </c>
      <c r="R258" s="694">
        <f t="shared" si="289"/>
        <v>0</v>
      </c>
      <c r="S258" s="694">
        <f t="shared" si="289"/>
        <v>0</v>
      </c>
      <c r="T258" s="694">
        <f t="shared" si="289"/>
        <v>0</v>
      </c>
      <c r="U258" s="694">
        <f t="shared" si="289"/>
        <v>0</v>
      </c>
      <c r="V258" s="694">
        <f t="shared" si="289"/>
        <v>0</v>
      </c>
      <c r="W258" s="694">
        <f t="shared" si="289"/>
        <v>0</v>
      </c>
      <c r="X258" s="694">
        <f t="shared" si="289"/>
        <v>0</v>
      </c>
      <c r="Y258" s="694">
        <f t="shared" si="289"/>
        <v>0</v>
      </c>
      <c r="Z258" s="694">
        <f t="shared" si="289"/>
        <v>0</v>
      </c>
      <c r="AA258" s="694">
        <f t="shared" si="289"/>
        <v>0</v>
      </c>
      <c r="AB258" s="694">
        <f t="shared" si="289"/>
        <v>0</v>
      </c>
    </row>
    <row r="259" spans="1:49" s="83" customFormat="1" x14ac:dyDescent="0.25">
      <c r="A259" s="82"/>
      <c r="B259" s="178" t="str">
        <f t="shared" si="286"/>
        <v>TFMEGAS100</v>
      </c>
      <c r="C259" s="178"/>
      <c r="D259" s="179"/>
      <c r="E259" s="178"/>
      <c r="F259" s="182"/>
      <c r="G259" s="181"/>
      <c r="H259" s="182"/>
      <c r="I259" s="183">
        <f>AF$6</f>
        <v>2025</v>
      </c>
      <c r="J259" s="184"/>
      <c r="K259" s="184"/>
      <c r="L259" s="203" t="s">
        <v>1065</v>
      </c>
      <c r="M259" s="184" t="s">
        <v>748</v>
      </c>
      <c r="N259" s="694">
        <f t="shared" ref="N259:AB259" si="290">N257*LOOKUP($AD251,$AG$4:$AP$4,$AG$6:$AP$6)</f>
        <v>0</v>
      </c>
      <c r="O259" s="694">
        <f t="shared" si="290"/>
        <v>0</v>
      </c>
      <c r="P259" s="694">
        <f t="shared" si="290"/>
        <v>0</v>
      </c>
      <c r="Q259" s="694">
        <f t="shared" si="290"/>
        <v>0</v>
      </c>
      <c r="R259" s="694">
        <f t="shared" si="290"/>
        <v>0</v>
      </c>
      <c r="S259" s="694">
        <f t="shared" si="290"/>
        <v>0</v>
      </c>
      <c r="T259" s="694">
        <f t="shared" si="290"/>
        <v>0</v>
      </c>
      <c r="U259" s="694">
        <f t="shared" si="290"/>
        <v>0</v>
      </c>
      <c r="V259" s="694">
        <f t="shared" si="290"/>
        <v>0</v>
      </c>
      <c r="W259" s="694">
        <f t="shared" si="290"/>
        <v>0</v>
      </c>
      <c r="X259" s="694">
        <f t="shared" si="290"/>
        <v>0</v>
      </c>
      <c r="Y259" s="694">
        <f t="shared" si="290"/>
        <v>0</v>
      </c>
      <c r="Z259" s="694">
        <f t="shared" si="290"/>
        <v>0</v>
      </c>
      <c r="AA259" s="694">
        <f t="shared" si="290"/>
        <v>0</v>
      </c>
      <c r="AB259" s="694">
        <f t="shared" si="290"/>
        <v>0</v>
      </c>
    </row>
    <row r="260" spans="1:49" s="83" customFormat="1" x14ac:dyDescent="0.25">
      <c r="A260" s="82"/>
      <c r="B260" s="178" t="str">
        <f t="shared" si="286"/>
        <v>TFMEGAS100</v>
      </c>
      <c r="C260" s="178"/>
      <c r="D260" s="179"/>
      <c r="E260" s="178"/>
      <c r="F260" s="182"/>
      <c r="G260" s="181"/>
      <c r="H260" s="182"/>
      <c r="I260" s="183">
        <f>AF$7</f>
        <v>2030</v>
      </c>
      <c r="J260" s="184"/>
      <c r="K260" s="184"/>
      <c r="L260" s="203" t="s">
        <v>1065</v>
      </c>
      <c r="M260" s="184" t="s">
        <v>748</v>
      </c>
      <c r="N260" s="694">
        <f t="shared" ref="N260:AB260" si="291">N257*LOOKUP($AD251,$AG$4:$AP$4,$AG$7:$AP$7)</f>
        <v>0</v>
      </c>
      <c r="O260" s="694">
        <f t="shared" si="291"/>
        <v>0</v>
      </c>
      <c r="P260" s="694">
        <f t="shared" si="291"/>
        <v>0</v>
      </c>
      <c r="Q260" s="694">
        <f t="shared" si="291"/>
        <v>0</v>
      </c>
      <c r="R260" s="694">
        <f t="shared" si="291"/>
        <v>0</v>
      </c>
      <c r="S260" s="694">
        <f t="shared" si="291"/>
        <v>0</v>
      </c>
      <c r="T260" s="694">
        <f t="shared" si="291"/>
        <v>0</v>
      </c>
      <c r="U260" s="694">
        <f t="shared" si="291"/>
        <v>0</v>
      </c>
      <c r="V260" s="694">
        <f t="shared" si="291"/>
        <v>0</v>
      </c>
      <c r="W260" s="694">
        <f t="shared" si="291"/>
        <v>0</v>
      </c>
      <c r="X260" s="694">
        <f t="shared" si="291"/>
        <v>0</v>
      </c>
      <c r="Y260" s="694">
        <f t="shared" si="291"/>
        <v>0</v>
      </c>
      <c r="Z260" s="694">
        <f t="shared" si="291"/>
        <v>0</v>
      </c>
      <c r="AA260" s="694">
        <f t="shared" si="291"/>
        <v>0</v>
      </c>
      <c r="AB260" s="694">
        <f t="shared" si="291"/>
        <v>0</v>
      </c>
    </row>
    <row r="261" spans="1:49" s="83" customFormat="1" x14ac:dyDescent="0.25">
      <c r="A261" s="82"/>
      <c r="B261" s="178" t="str">
        <f t="shared" si="286"/>
        <v>TFMEGAS100</v>
      </c>
      <c r="C261" s="178"/>
      <c r="D261" s="179"/>
      <c r="E261" s="178"/>
      <c r="F261" s="182"/>
      <c r="G261" s="181"/>
      <c r="H261" s="182"/>
      <c r="I261" s="183">
        <f>AF$8</f>
        <v>2035</v>
      </c>
      <c r="J261" s="184"/>
      <c r="K261" s="184"/>
      <c r="L261" s="203" t="s">
        <v>1065</v>
      </c>
      <c r="M261" s="184" t="s">
        <v>748</v>
      </c>
      <c r="N261" s="694">
        <f t="shared" ref="N261:AB261" si="292">N257*LOOKUP($AD251,$AG$4:$AP$4,$AG$8:$AP$8)</f>
        <v>0</v>
      </c>
      <c r="O261" s="694">
        <f t="shared" si="292"/>
        <v>0</v>
      </c>
      <c r="P261" s="694">
        <f t="shared" si="292"/>
        <v>0</v>
      </c>
      <c r="Q261" s="694">
        <f t="shared" si="292"/>
        <v>0</v>
      </c>
      <c r="R261" s="694">
        <f t="shared" si="292"/>
        <v>0</v>
      </c>
      <c r="S261" s="694">
        <f t="shared" si="292"/>
        <v>0</v>
      </c>
      <c r="T261" s="694">
        <f t="shared" si="292"/>
        <v>0</v>
      </c>
      <c r="U261" s="694">
        <f t="shared" si="292"/>
        <v>0</v>
      </c>
      <c r="V261" s="694">
        <f t="shared" si="292"/>
        <v>0</v>
      </c>
      <c r="W261" s="694">
        <f t="shared" si="292"/>
        <v>0</v>
      </c>
      <c r="X261" s="694">
        <f t="shared" si="292"/>
        <v>0</v>
      </c>
      <c r="Y261" s="694">
        <f t="shared" si="292"/>
        <v>0</v>
      </c>
      <c r="Z261" s="694">
        <f t="shared" si="292"/>
        <v>0</v>
      </c>
      <c r="AA261" s="694">
        <f t="shared" si="292"/>
        <v>0</v>
      </c>
      <c r="AB261" s="694">
        <f t="shared" si="292"/>
        <v>0</v>
      </c>
    </row>
    <row r="262" spans="1:49" s="83" customFormat="1" x14ac:dyDescent="0.25">
      <c r="A262" s="82"/>
      <c r="B262" s="178" t="str">
        <f t="shared" si="286"/>
        <v>TFMEGAS100</v>
      </c>
      <c r="C262" s="178"/>
      <c r="D262" s="179"/>
      <c r="E262" s="178"/>
      <c r="F262" s="182"/>
      <c r="G262" s="181"/>
      <c r="H262" s="182"/>
      <c r="I262" s="183">
        <f>AF$9</f>
        <v>2040</v>
      </c>
      <c r="J262" s="184"/>
      <c r="K262" s="184"/>
      <c r="L262" s="203" t="s">
        <v>1065</v>
      </c>
      <c r="M262" s="184" t="s">
        <v>748</v>
      </c>
      <c r="N262" s="694">
        <f t="shared" ref="N262:AB262" si="293">N257*LOOKUP($AD251,$AG$4:$AP$4,$AG$9:$AP$9)</f>
        <v>0</v>
      </c>
      <c r="O262" s="694">
        <f t="shared" si="293"/>
        <v>0</v>
      </c>
      <c r="P262" s="694">
        <f t="shared" si="293"/>
        <v>0</v>
      </c>
      <c r="Q262" s="694">
        <f t="shared" si="293"/>
        <v>0</v>
      </c>
      <c r="R262" s="694">
        <f t="shared" si="293"/>
        <v>0</v>
      </c>
      <c r="S262" s="694">
        <f t="shared" si="293"/>
        <v>0</v>
      </c>
      <c r="T262" s="694">
        <f t="shared" si="293"/>
        <v>0</v>
      </c>
      <c r="U262" s="694">
        <f t="shared" si="293"/>
        <v>0</v>
      </c>
      <c r="V262" s="694">
        <f t="shared" si="293"/>
        <v>0</v>
      </c>
      <c r="W262" s="694">
        <f t="shared" si="293"/>
        <v>0</v>
      </c>
      <c r="X262" s="694">
        <f t="shared" si="293"/>
        <v>0</v>
      </c>
      <c r="Y262" s="694">
        <f t="shared" si="293"/>
        <v>0</v>
      </c>
      <c r="Z262" s="694">
        <f t="shared" si="293"/>
        <v>0</v>
      </c>
      <c r="AA262" s="694">
        <f t="shared" si="293"/>
        <v>0</v>
      </c>
      <c r="AB262" s="694">
        <f t="shared" si="293"/>
        <v>0</v>
      </c>
    </row>
    <row r="263" spans="1:49" s="83" customFormat="1" x14ac:dyDescent="0.25">
      <c r="A263" s="82"/>
      <c r="B263" s="204" t="str">
        <f t="shared" si="286"/>
        <v>TFMEGAS100</v>
      </c>
      <c r="C263" s="204"/>
      <c r="D263" s="205"/>
      <c r="E263" s="204"/>
      <c r="F263" s="206"/>
      <c r="G263" s="207"/>
      <c r="H263" s="206"/>
      <c r="I263" s="208">
        <f>AF$10</f>
        <v>2050</v>
      </c>
      <c r="J263" s="209"/>
      <c r="K263" s="209"/>
      <c r="L263" s="210" t="s">
        <v>1065</v>
      </c>
      <c r="M263" s="209" t="s">
        <v>748</v>
      </c>
      <c r="N263" s="695">
        <f t="shared" ref="N263:AB263" si="294">N257*LOOKUP($AD251,$AG$4:$AP$4,$AG$10:$AP$10)</f>
        <v>0</v>
      </c>
      <c r="O263" s="695">
        <f t="shared" si="294"/>
        <v>0</v>
      </c>
      <c r="P263" s="695">
        <f t="shared" si="294"/>
        <v>0</v>
      </c>
      <c r="Q263" s="695">
        <f t="shared" si="294"/>
        <v>0</v>
      </c>
      <c r="R263" s="695">
        <f t="shared" si="294"/>
        <v>0</v>
      </c>
      <c r="S263" s="695">
        <f t="shared" si="294"/>
        <v>0</v>
      </c>
      <c r="T263" s="695">
        <f t="shared" si="294"/>
        <v>0</v>
      </c>
      <c r="U263" s="695">
        <f t="shared" si="294"/>
        <v>0</v>
      </c>
      <c r="V263" s="695">
        <f t="shared" si="294"/>
        <v>0</v>
      </c>
      <c r="W263" s="695">
        <f t="shared" si="294"/>
        <v>0</v>
      </c>
      <c r="X263" s="695">
        <f t="shared" si="294"/>
        <v>0</v>
      </c>
      <c r="Y263" s="695">
        <f t="shared" si="294"/>
        <v>0</v>
      </c>
      <c r="Z263" s="695">
        <f t="shared" si="294"/>
        <v>0</v>
      </c>
      <c r="AA263" s="695">
        <f t="shared" si="294"/>
        <v>0</v>
      </c>
      <c r="AB263" s="695">
        <f t="shared" si="294"/>
        <v>0</v>
      </c>
    </row>
    <row r="264" spans="1:49" s="83" customFormat="1" x14ac:dyDescent="0.25">
      <c r="A264" s="82"/>
      <c r="B264" s="178" t="str">
        <f>C264</f>
        <v>TFMEGSL100</v>
      </c>
      <c r="C264" s="178" t="s">
        <v>363</v>
      </c>
      <c r="D264" s="179" t="s">
        <v>836</v>
      </c>
      <c r="E264" s="407" t="s">
        <v>1014</v>
      </c>
      <c r="F264" s="182"/>
      <c r="G264" s="181"/>
      <c r="H264" s="182"/>
      <c r="I264" s="183"/>
      <c r="J264" s="184"/>
      <c r="K264" s="184"/>
      <c r="L264" s="203" t="s">
        <v>1107</v>
      </c>
      <c r="M264" s="184" t="s">
        <v>1125</v>
      </c>
      <c r="N264" s="378">
        <f>N$502</f>
        <v>1E-3</v>
      </c>
      <c r="O264" s="378">
        <f t="shared" ref="O264:AB264" si="295">$N264</f>
        <v>1E-3</v>
      </c>
      <c r="P264" s="378">
        <f t="shared" si="295"/>
        <v>1E-3</v>
      </c>
      <c r="Q264" s="378">
        <f t="shared" si="295"/>
        <v>1E-3</v>
      </c>
      <c r="R264" s="378">
        <f t="shared" si="295"/>
        <v>1E-3</v>
      </c>
      <c r="S264" s="378">
        <f t="shared" si="295"/>
        <v>1E-3</v>
      </c>
      <c r="T264" s="378">
        <f t="shared" si="295"/>
        <v>1E-3</v>
      </c>
      <c r="U264" s="378">
        <f t="shared" si="295"/>
        <v>1E-3</v>
      </c>
      <c r="V264" s="378">
        <f t="shared" si="295"/>
        <v>1E-3</v>
      </c>
      <c r="W264" s="378">
        <f t="shared" si="295"/>
        <v>1E-3</v>
      </c>
      <c r="X264" s="378">
        <f t="shared" si="295"/>
        <v>1E-3</v>
      </c>
      <c r="Y264" s="378">
        <f t="shared" si="295"/>
        <v>1E-3</v>
      </c>
      <c r="Z264" s="378">
        <f t="shared" si="295"/>
        <v>1E-3</v>
      </c>
      <c r="AA264" s="378">
        <f t="shared" si="295"/>
        <v>1E-3</v>
      </c>
      <c r="AB264" s="378">
        <f t="shared" si="295"/>
        <v>1E-3</v>
      </c>
      <c r="AD264" s="410" t="str">
        <f>MID(D264,14,3)</f>
        <v>GSL</v>
      </c>
      <c r="AV264" s="700" t="str">
        <f t="shared" ref="AV264:AV266" si="296">MID(E264,1,7)</f>
        <v>TRAGSL</v>
      </c>
      <c r="AW264" s="568">
        <f t="shared" ref="AW264:AW265" si="297">SUM(AX264:BL264)</f>
        <v>0</v>
      </c>
    </row>
    <row r="265" spans="1:49" s="83" customFormat="1" x14ac:dyDescent="0.25">
      <c r="A265" s="82"/>
      <c r="B265" s="178" t="str">
        <f>B264</f>
        <v>TFMEGSL100</v>
      </c>
      <c r="C265" s="178"/>
      <c r="D265" s="179"/>
      <c r="E265" s="407" t="s">
        <v>1012</v>
      </c>
      <c r="F265" s="182"/>
      <c r="G265" s="181"/>
      <c r="H265" s="182"/>
      <c r="I265" s="183"/>
      <c r="J265" s="184" t="s">
        <v>1127</v>
      </c>
      <c r="K265" s="184"/>
      <c r="L265" s="203" t="s">
        <v>101</v>
      </c>
      <c r="M265" s="184"/>
      <c r="N265" s="390">
        <f>N$30</f>
        <v>0.03</v>
      </c>
      <c r="O265" s="390">
        <f t="shared" ref="O265:AB265" si="298">O$30</f>
        <v>0.03</v>
      </c>
      <c r="P265" s="390">
        <f t="shared" si="298"/>
        <v>0.03</v>
      </c>
      <c r="Q265" s="390">
        <f t="shared" si="298"/>
        <v>0.03</v>
      </c>
      <c r="R265" s="390">
        <f t="shared" si="298"/>
        <v>0.03</v>
      </c>
      <c r="S265" s="390">
        <f t="shared" si="298"/>
        <v>0.03</v>
      </c>
      <c r="T265" s="390">
        <f t="shared" si="298"/>
        <v>0.03</v>
      </c>
      <c r="U265" s="390">
        <f t="shared" si="298"/>
        <v>0.03</v>
      </c>
      <c r="V265" s="390">
        <f t="shared" si="298"/>
        <v>0.03</v>
      </c>
      <c r="W265" s="390">
        <f t="shared" si="298"/>
        <v>0.03</v>
      </c>
      <c r="X265" s="390">
        <f t="shared" si="298"/>
        <v>0.03</v>
      </c>
      <c r="Y265" s="390">
        <f t="shared" si="298"/>
        <v>0.03</v>
      </c>
      <c r="Z265" s="390">
        <f t="shared" si="298"/>
        <v>0.03</v>
      </c>
      <c r="AA265" s="390">
        <f t="shared" si="298"/>
        <v>0.03</v>
      </c>
      <c r="AB265" s="390">
        <f t="shared" si="298"/>
        <v>0.03</v>
      </c>
      <c r="AD265" s="66" t="str">
        <f>IF(COUNTIF($AG$4:$AP$4,AD264)=1,"ok","MISSING")</f>
        <v>ok</v>
      </c>
      <c r="AV265" s="700" t="str">
        <f t="shared" si="296"/>
        <v>TRAETHM</v>
      </c>
      <c r="AW265" s="568">
        <f t="shared" si="297"/>
        <v>0</v>
      </c>
    </row>
    <row r="266" spans="1:49" s="83" customFormat="1" x14ac:dyDescent="0.25">
      <c r="A266" s="82"/>
      <c r="B266" s="178" t="str">
        <f>B265</f>
        <v>TFMEGSL100</v>
      </c>
      <c r="C266" s="178"/>
      <c r="D266" s="179"/>
      <c r="E266" s="178"/>
      <c r="F266" s="182"/>
      <c r="G266" s="324" t="s">
        <v>435</v>
      </c>
      <c r="H266" s="182"/>
      <c r="I266" s="183"/>
      <c r="J266" s="184"/>
      <c r="K266" s="184"/>
      <c r="L266" s="184" t="s">
        <v>1126</v>
      </c>
      <c r="M266" s="184" t="s">
        <v>678</v>
      </c>
      <c r="N266" s="676">
        <f>T_CEFF!H190</f>
        <v>7.3950000000000002E-2</v>
      </c>
      <c r="O266" s="676">
        <f>T_CEFF!I190</f>
        <v>7.3950000000000002E-2</v>
      </c>
      <c r="P266" s="676">
        <f>T_CEFF!J190</f>
        <v>7.3950000000000002E-2</v>
      </c>
      <c r="Q266" s="676">
        <f>T_CEFF!K190</f>
        <v>7.3950000000000002E-2</v>
      </c>
      <c r="R266" s="676">
        <f>T_CEFF!L190</f>
        <v>7.3950000000000002E-2</v>
      </c>
      <c r="S266" s="676">
        <f>T_CEFF!M190</f>
        <v>7.3950000000000002E-2</v>
      </c>
      <c r="T266" s="676">
        <f>T_CEFF!N190</f>
        <v>7.3950000000000002E-2</v>
      </c>
      <c r="U266" s="676">
        <f>T_CEFF!O190</f>
        <v>7.3950000000000002E-2</v>
      </c>
      <c r="V266" s="676">
        <f>T_CEFF!P190</f>
        <v>7.3950000000000002E-2</v>
      </c>
      <c r="W266" s="676">
        <f>T_CEFF!Q190</f>
        <v>7.3950000000000002E-2</v>
      </c>
      <c r="X266" s="676">
        <f>T_CEFF!R190</f>
        <v>7.3950000000000002E-2</v>
      </c>
      <c r="Y266" s="676">
        <f>T_CEFF!S190</f>
        <v>7.3950000000000002E-2</v>
      </c>
      <c r="Z266" s="676">
        <f>T_CEFF!T190</f>
        <v>7.3950000000000002E-2</v>
      </c>
      <c r="AA266" s="676">
        <f>T_CEFF!U190</f>
        <v>7.3950000000000002E-2</v>
      </c>
      <c r="AB266" s="676">
        <f>T_CEFF!V190</f>
        <v>7.3950000000000002E-2</v>
      </c>
      <c r="AV266" s="700" t="str">
        <f t="shared" si="296"/>
        <v/>
      </c>
      <c r="AW266" s="568"/>
    </row>
    <row r="267" spans="1:49" s="83" customFormat="1" x14ac:dyDescent="0.25">
      <c r="A267" s="82"/>
      <c r="B267" s="178" t="str">
        <f>B266</f>
        <v>TFMEGSL100</v>
      </c>
      <c r="C267" s="178"/>
      <c r="D267" s="179"/>
      <c r="E267" s="178"/>
      <c r="F267" s="182"/>
      <c r="G267" s="324" t="s">
        <v>433</v>
      </c>
      <c r="H267" s="182"/>
      <c r="I267" s="183"/>
      <c r="J267" s="184"/>
      <c r="K267" s="184"/>
      <c r="L267" s="184" t="s">
        <v>1126</v>
      </c>
      <c r="M267" s="184" t="s">
        <v>678</v>
      </c>
      <c r="N267" s="676">
        <f>T_CEFF!H191</f>
        <v>5.9159999999999997E-2</v>
      </c>
      <c r="O267" s="676">
        <f>T_CEFF!I191</f>
        <v>5.9159999999999997E-2</v>
      </c>
      <c r="P267" s="676">
        <f>T_CEFF!J191</f>
        <v>5.9159999999999997E-2</v>
      </c>
      <c r="Q267" s="676">
        <f>T_CEFF!K191</f>
        <v>5.9159999999999997E-2</v>
      </c>
      <c r="R267" s="676">
        <f>T_CEFF!L191</f>
        <v>5.9159999999999997E-2</v>
      </c>
      <c r="S267" s="676">
        <f>T_CEFF!M191</f>
        <v>5.9159999999999997E-2</v>
      </c>
      <c r="T267" s="676">
        <f>T_CEFF!N191</f>
        <v>5.9159999999999997E-2</v>
      </c>
      <c r="U267" s="676">
        <f>T_CEFF!O191</f>
        <v>5.9159999999999997E-2</v>
      </c>
      <c r="V267" s="676">
        <f>T_CEFF!P191</f>
        <v>5.9159999999999997E-2</v>
      </c>
      <c r="W267" s="676">
        <f>T_CEFF!Q191</f>
        <v>5.9159999999999997E-2</v>
      </c>
      <c r="X267" s="676">
        <f>T_CEFF!R191</f>
        <v>5.9159999999999997E-2</v>
      </c>
      <c r="Y267" s="676">
        <f>T_CEFF!S191</f>
        <v>5.9159999999999997E-2</v>
      </c>
      <c r="Z267" s="676">
        <f>T_CEFF!T191</f>
        <v>5.9159999999999997E-2</v>
      </c>
      <c r="AA267" s="676">
        <f>T_CEFF!U191</f>
        <v>5.9159999999999997E-2</v>
      </c>
      <c r="AB267" s="676">
        <f>T_CEFF!V191</f>
        <v>5.9159999999999997E-2</v>
      </c>
      <c r="AV267" s="700" t="str">
        <f t="shared" ref="AV267:AV268" si="299">MID(E267,1,7)</f>
        <v/>
      </c>
      <c r="AW267" s="568"/>
    </row>
    <row r="268" spans="1:49" s="83" customFormat="1" x14ac:dyDescent="0.25">
      <c r="A268" s="82"/>
      <c r="B268" s="178" t="str">
        <f t="shared" ref="B268:B276" si="300">B267</f>
        <v>TFMEGSL100</v>
      </c>
      <c r="C268" s="178"/>
      <c r="D268" s="179"/>
      <c r="E268" s="178"/>
      <c r="F268" s="182"/>
      <c r="G268" s="181"/>
      <c r="H268" s="182"/>
      <c r="I268" s="183"/>
      <c r="J268" s="184"/>
      <c r="K268" s="184" t="s">
        <v>749</v>
      </c>
      <c r="L268" s="184" t="s">
        <v>1128</v>
      </c>
      <c r="M268" s="184" t="s">
        <v>1175</v>
      </c>
      <c r="N268" s="388">
        <f>N$24</f>
        <v>0</v>
      </c>
      <c r="O268" s="388">
        <f t="shared" ref="O268:AB268" si="301">O$24</f>
        <v>0</v>
      </c>
      <c r="P268" s="388">
        <f t="shared" si="301"/>
        <v>0</v>
      </c>
      <c r="Q268" s="388">
        <f t="shared" si="301"/>
        <v>0</v>
      </c>
      <c r="R268" s="388">
        <f t="shared" si="301"/>
        <v>0</v>
      </c>
      <c r="S268" s="388">
        <f t="shared" si="301"/>
        <v>0</v>
      </c>
      <c r="T268" s="388">
        <f t="shared" si="301"/>
        <v>0</v>
      </c>
      <c r="U268" s="388">
        <f t="shared" si="301"/>
        <v>0</v>
      </c>
      <c r="V268" s="388">
        <f t="shared" si="301"/>
        <v>0</v>
      </c>
      <c r="W268" s="388">
        <f t="shared" si="301"/>
        <v>0</v>
      </c>
      <c r="X268" s="388">
        <f t="shared" si="301"/>
        <v>0</v>
      </c>
      <c r="Y268" s="388">
        <f t="shared" si="301"/>
        <v>0</v>
      </c>
      <c r="Z268" s="388">
        <f t="shared" si="301"/>
        <v>0</v>
      </c>
      <c r="AA268" s="388">
        <f t="shared" si="301"/>
        <v>0</v>
      </c>
      <c r="AB268" s="388">
        <f t="shared" si="301"/>
        <v>0</v>
      </c>
      <c r="AV268" s="700" t="str">
        <f t="shared" si="299"/>
        <v/>
      </c>
      <c r="AW268" s="568"/>
    </row>
    <row r="269" spans="1:49" s="83" customFormat="1" x14ac:dyDescent="0.25">
      <c r="A269" s="82"/>
      <c r="B269" s="178" t="str">
        <f t="shared" si="300"/>
        <v>TFMEGSL100</v>
      </c>
      <c r="C269" s="178"/>
      <c r="D269" s="179"/>
      <c r="E269" s="178"/>
      <c r="F269" s="182"/>
      <c r="G269" s="181"/>
      <c r="H269" s="182"/>
      <c r="I269" s="183"/>
      <c r="J269" s="184"/>
      <c r="K269" s="184"/>
      <c r="L269" s="203" t="s">
        <v>1130</v>
      </c>
      <c r="M269" s="184" t="s">
        <v>1131</v>
      </c>
      <c r="N269" s="397">
        <f>LOOKUP($C$264, T_NCAP_AF!$C$155:$C$165, T_NCAP_AF!D$155:D$165)*(1+N195)</f>
        <v>0</v>
      </c>
      <c r="O269" s="397">
        <f>LOOKUP($C$264, T_NCAP_AF!$C$155:$C$165, T_NCAP_AF!E$155:E$165)*(1+O195)</f>
        <v>0</v>
      </c>
      <c r="P269" s="397">
        <f>LOOKUP($C$264, T_NCAP_AF!$C$155:$C$165, T_NCAP_AF!F$155:F$165)*(1+P195)</f>
        <v>0</v>
      </c>
      <c r="Q269" s="397">
        <f>LOOKUP($C$264, T_NCAP_AF!$C$155:$C$165, T_NCAP_AF!G$155:G$165)*(1+Q195)</f>
        <v>0</v>
      </c>
      <c r="R269" s="397">
        <f>LOOKUP($C$264, T_NCAP_AF!$C$155:$C$165, T_NCAP_AF!H$155:H$165)*(1+R195)</f>
        <v>0</v>
      </c>
      <c r="S269" s="397">
        <f>LOOKUP($C$264, T_NCAP_AF!$C$155:$C$165, T_NCAP_AF!I$155:I$165)*(1+S195)</f>
        <v>0</v>
      </c>
      <c r="T269" s="397">
        <f>LOOKUP($C$264, T_NCAP_AF!$C$155:$C$165, T_NCAP_AF!J$155:J$165)*(1+T195)</f>
        <v>0</v>
      </c>
      <c r="U269" s="397">
        <f>LOOKUP($C$264, T_NCAP_AF!$C$155:$C$165, T_NCAP_AF!K$155:K$165)*(1+U195)</f>
        <v>0</v>
      </c>
      <c r="V269" s="397">
        <f>LOOKUP($C$264, T_NCAP_AF!$C$155:$C$165, T_NCAP_AF!L$155:L$165)*(1+V195)</f>
        <v>0</v>
      </c>
      <c r="W269" s="397">
        <f>LOOKUP($C$264, T_NCAP_AF!$C$155:$C$165, T_NCAP_AF!M$155:M$165)*(1+W195)</f>
        <v>0</v>
      </c>
      <c r="X269" s="397">
        <f>LOOKUP($C$264, T_NCAP_AF!$C$155:$C$165, T_NCAP_AF!N$155:N$165)*(1+X195)</f>
        <v>0</v>
      </c>
      <c r="Y269" s="397">
        <f>LOOKUP($C$264, T_NCAP_AF!$C$155:$C$165, T_NCAP_AF!O$155:O$165)*(1+Y195)</f>
        <v>0</v>
      </c>
      <c r="Z269" s="397">
        <f>LOOKUP($C$264, T_NCAP_AF!$C$155:$C$165, T_NCAP_AF!P$155:P$165)*(1+Z195)</f>
        <v>0</v>
      </c>
      <c r="AA269" s="397">
        <f>LOOKUP($C$264, T_NCAP_AF!$C$155:$C$165, T_NCAP_AF!Q$155:Q$165)*(1+AA195)</f>
        <v>0</v>
      </c>
      <c r="AB269" s="397">
        <f>LOOKUP($C$264, T_NCAP_AF!$C$155:$C$165, T_NCAP_AF!R$155:R$165)*(1+AB195)</f>
        <v>0</v>
      </c>
      <c r="AE269" s="572">
        <f>SUM(AF269:AT269)</f>
        <v>0</v>
      </c>
      <c r="AF269" s="85">
        <f t="shared" ref="AF269:AT269" si="302">N268*N269*N270/1000</f>
        <v>0</v>
      </c>
      <c r="AG269" s="85">
        <f t="shared" si="302"/>
        <v>0</v>
      </c>
      <c r="AH269" s="85">
        <f t="shared" si="302"/>
        <v>0</v>
      </c>
      <c r="AI269" s="85">
        <f t="shared" si="302"/>
        <v>0</v>
      </c>
      <c r="AJ269" s="85">
        <f t="shared" si="302"/>
        <v>0</v>
      </c>
      <c r="AK269" s="85">
        <f t="shared" si="302"/>
        <v>0</v>
      </c>
      <c r="AL269" s="85">
        <f t="shared" si="302"/>
        <v>0</v>
      </c>
      <c r="AM269" s="85">
        <f t="shared" si="302"/>
        <v>0</v>
      </c>
      <c r="AN269" s="85">
        <f t="shared" si="302"/>
        <v>0</v>
      </c>
      <c r="AO269" s="85">
        <f t="shared" si="302"/>
        <v>0</v>
      </c>
      <c r="AP269" s="85">
        <f t="shared" si="302"/>
        <v>0</v>
      </c>
      <c r="AQ269" s="85">
        <f t="shared" si="302"/>
        <v>0</v>
      </c>
      <c r="AR269" s="85">
        <f t="shared" si="302"/>
        <v>0</v>
      </c>
      <c r="AS269" s="85">
        <f t="shared" si="302"/>
        <v>0</v>
      </c>
      <c r="AT269" s="85">
        <f t="shared" si="302"/>
        <v>0</v>
      </c>
    </row>
    <row r="270" spans="1:49" s="83" customFormat="1" x14ac:dyDescent="0.25">
      <c r="A270" s="82"/>
      <c r="B270" s="178" t="str">
        <f t="shared" si="300"/>
        <v>TFMEGSL100</v>
      </c>
      <c r="C270" s="178"/>
      <c r="D270" s="179"/>
      <c r="E270" s="178"/>
      <c r="F270" s="182"/>
      <c r="G270" s="181"/>
      <c r="H270" s="182"/>
      <c r="I270" s="183">
        <f>$M$3</f>
        <v>2019</v>
      </c>
      <c r="J270" s="184"/>
      <c r="K270" s="184"/>
      <c r="L270" s="203" t="s">
        <v>1065</v>
      </c>
      <c r="M270" s="184" t="s">
        <v>748</v>
      </c>
      <c r="N270" s="694">
        <f>LOOKUP($C$264, T_Stock_Private!$C$106:$C$117, T_Stock_Private!D$106:D$117)*(1+N196)</f>
        <v>0</v>
      </c>
      <c r="O270" s="694">
        <f>LOOKUP($C$264, T_Stock_Private!$C$106:$C$117, T_Stock_Private!E$106:E$117)*(1+O196)</f>
        <v>0</v>
      </c>
      <c r="P270" s="694">
        <f>LOOKUP($C$264, T_Stock_Private!$C$106:$C$117, T_Stock_Private!F$106:F$117)*(1+P196)</f>
        <v>0</v>
      </c>
      <c r="Q270" s="694">
        <f>LOOKUP($C$264, T_Stock_Private!$C$106:$C$117, T_Stock_Private!G$106:G$117)*(1+Q196)</f>
        <v>0</v>
      </c>
      <c r="R270" s="694">
        <f>LOOKUP($C$264, T_Stock_Private!$C$106:$C$117, T_Stock_Private!H$106:H$117)*(1+R196)</f>
        <v>0</v>
      </c>
      <c r="S270" s="694">
        <f>LOOKUP($C$264, T_Stock_Private!$C$106:$C$117, T_Stock_Private!I$106:I$117)*(1+S196)</f>
        <v>0</v>
      </c>
      <c r="T270" s="694">
        <f>LOOKUP($C$264, T_Stock_Private!$C$106:$C$117, T_Stock_Private!J$106:J$117)*(1+T196)</f>
        <v>0</v>
      </c>
      <c r="U270" s="694">
        <f>LOOKUP($C$264, T_Stock_Private!$C$106:$C$117, T_Stock_Private!K$106:K$117)*(1+U196)</f>
        <v>0</v>
      </c>
      <c r="V270" s="694">
        <f>LOOKUP($C$264, T_Stock_Private!$C$106:$C$117, T_Stock_Private!L$106:L$117)*(1+V196)</f>
        <v>0</v>
      </c>
      <c r="W270" s="694">
        <f>LOOKUP($C$264, T_Stock_Private!$C$106:$C$117, T_Stock_Private!M$106:M$117)*(1+W196)</f>
        <v>0</v>
      </c>
      <c r="X270" s="694">
        <f>LOOKUP($C$264, T_Stock_Private!$C$106:$C$117, T_Stock_Private!N$106:N$117)*(1+X196)</f>
        <v>0</v>
      </c>
      <c r="Y270" s="694">
        <f>LOOKUP($C$264, T_Stock_Private!$C$106:$C$117, T_Stock_Private!O$106:O$117)*(1+Y196)</f>
        <v>0</v>
      </c>
      <c r="Z270" s="694">
        <f>LOOKUP($C$264, T_Stock_Private!$C$106:$C$117, T_Stock_Private!P$106:P$117)*(1+Z196)</f>
        <v>0</v>
      </c>
      <c r="AA270" s="694">
        <f>LOOKUP($C$264, T_Stock_Private!$C$106:$C$117, T_Stock_Private!Q$106:Q$117)*(1+AA196)</f>
        <v>0</v>
      </c>
      <c r="AB270" s="694">
        <f>LOOKUP($C$264, T_Stock_Private!$C$106:$C$117, T_Stock_Private!R$106:R$117)*(1+AB196)</f>
        <v>0</v>
      </c>
    </row>
    <row r="271" spans="1:49" s="83" customFormat="1" x14ac:dyDescent="0.25">
      <c r="A271" s="82"/>
      <c r="B271" s="178" t="str">
        <f t="shared" si="300"/>
        <v>TFMEGSL100</v>
      </c>
      <c r="C271" s="178"/>
      <c r="D271" s="179"/>
      <c r="E271" s="178"/>
      <c r="F271" s="182"/>
      <c r="G271" s="181"/>
      <c r="H271" s="182"/>
      <c r="I271" s="183">
        <f>AF$5</f>
        <v>2020</v>
      </c>
      <c r="J271" s="184"/>
      <c r="K271" s="184"/>
      <c r="L271" s="203" t="s">
        <v>1065</v>
      </c>
      <c r="M271" s="184" t="s">
        <v>748</v>
      </c>
      <c r="N271" s="694">
        <f t="shared" ref="N271:AB271" si="303">N270*LOOKUP($AD264,$AG$4:$AP$4,$AG$5:$AP$5)</f>
        <v>0</v>
      </c>
      <c r="O271" s="694">
        <f t="shared" si="303"/>
        <v>0</v>
      </c>
      <c r="P271" s="694">
        <f t="shared" si="303"/>
        <v>0</v>
      </c>
      <c r="Q271" s="694">
        <f t="shared" si="303"/>
        <v>0</v>
      </c>
      <c r="R271" s="694">
        <f t="shared" si="303"/>
        <v>0</v>
      </c>
      <c r="S271" s="694">
        <f t="shared" si="303"/>
        <v>0</v>
      </c>
      <c r="T271" s="694">
        <f t="shared" si="303"/>
        <v>0</v>
      </c>
      <c r="U271" s="694">
        <f t="shared" si="303"/>
        <v>0</v>
      </c>
      <c r="V271" s="694">
        <f t="shared" si="303"/>
        <v>0</v>
      </c>
      <c r="W271" s="694">
        <f t="shared" si="303"/>
        <v>0</v>
      </c>
      <c r="X271" s="694">
        <f t="shared" si="303"/>
        <v>0</v>
      </c>
      <c r="Y271" s="694">
        <f t="shared" si="303"/>
        <v>0</v>
      </c>
      <c r="Z271" s="694">
        <f t="shared" si="303"/>
        <v>0</v>
      </c>
      <c r="AA271" s="694">
        <f t="shared" si="303"/>
        <v>0</v>
      </c>
      <c r="AB271" s="694">
        <f t="shared" si="303"/>
        <v>0</v>
      </c>
    </row>
    <row r="272" spans="1:49" s="83" customFormat="1" x14ac:dyDescent="0.25">
      <c r="A272" s="82"/>
      <c r="B272" s="178" t="str">
        <f t="shared" si="300"/>
        <v>TFMEGSL100</v>
      </c>
      <c r="C272" s="178"/>
      <c r="D272" s="179"/>
      <c r="E272" s="178"/>
      <c r="F272" s="182"/>
      <c r="G272" s="181"/>
      <c r="H272" s="182"/>
      <c r="I272" s="183">
        <f>AF$6</f>
        <v>2025</v>
      </c>
      <c r="J272" s="184"/>
      <c r="K272" s="184"/>
      <c r="L272" s="203" t="s">
        <v>1065</v>
      </c>
      <c r="M272" s="184" t="s">
        <v>748</v>
      </c>
      <c r="N272" s="694">
        <f t="shared" ref="N272:AB272" si="304">N270*LOOKUP($AD264,$AG$4:$AP$4,$AG$6:$AP$6)</f>
        <v>0</v>
      </c>
      <c r="O272" s="694">
        <f t="shared" si="304"/>
        <v>0</v>
      </c>
      <c r="P272" s="694">
        <f t="shared" si="304"/>
        <v>0</v>
      </c>
      <c r="Q272" s="694">
        <f t="shared" si="304"/>
        <v>0</v>
      </c>
      <c r="R272" s="694">
        <f t="shared" si="304"/>
        <v>0</v>
      </c>
      <c r="S272" s="694">
        <f t="shared" si="304"/>
        <v>0</v>
      </c>
      <c r="T272" s="694">
        <f t="shared" si="304"/>
        <v>0</v>
      </c>
      <c r="U272" s="694">
        <f t="shared" si="304"/>
        <v>0</v>
      </c>
      <c r="V272" s="694">
        <f t="shared" si="304"/>
        <v>0</v>
      </c>
      <c r="W272" s="694">
        <f t="shared" si="304"/>
        <v>0</v>
      </c>
      <c r="X272" s="694">
        <f t="shared" si="304"/>
        <v>0</v>
      </c>
      <c r="Y272" s="694">
        <f t="shared" si="304"/>
        <v>0</v>
      </c>
      <c r="Z272" s="694">
        <f t="shared" si="304"/>
        <v>0</v>
      </c>
      <c r="AA272" s="694">
        <f t="shared" si="304"/>
        <v>0</v>
      </c>
      <c r="AB272" s="694">
        <f t="shared" si="304"/>
        <v>0</v>
      </c>
    </row>
    <row r="273" spans="1:64" s="83" customFormat="1" x14ac:dyDescent="0.25">
      <c r="A273" s="82"/>
      <c r="B273" s="178" t="str">
        <f t="shared" si="300"/>
        <v>TFMEGSL100</v>
      </c>
      <c r="C273" s="178"/>
      <c r="D273" s="179"/>
      <c r="E273" s="178"/>
      <c r="F273" s="182"/>
      <c r="G273" s="181"/>
      <c r="H273" s="182"/>
      <c r="I273" s="183">
        <f>AF$7</f>
        <v>2030</v>
      </c>
      <c r="J273" s="184"/>
      <c r="K273" s="184"/>
      <c r="L273" s="203" t="s">
        <v>1065</v>
      </c>
      <c r="M273" s="184" t="s">
        <v>748</v>
      </c>
      <c r="N273" s="694">
        <f t="shared" ref="N273:AB273" si="305">N270*LOOKUP($AD264,$AG$4:$AP$4,$AG$7:$AP$7)</f>
        <v>0</v>
      </c>
      <c r="O273" s="694">
        <f t="shared" si="305"/>
        <v>0</v>
      </c>
      <c r="P273" s="694">
        <f t="shared" si="305"/>
        <v>0</v>
      </c>
      <c r="Q273" s="694">
        <f t="shared" si="305"/>
        <v>0</v>
      </c>
      <c r="R273" s="694">
        <f t="shared" si="305"/>
        <v>0</v>
      </c>
      <c r="S273" s="694">
        <f t="shared" si="305"/>
        <v>0</v>
      </c>
      <c r="T273" s="694">
        <f t="shared" si="305"/>
        <v>0</v>
      </c>
      <c r="U273" s="694">
        <f t="shared" si="305"/>
        <v>0</v>
      </c>
      <c r="V273" s="694">
        <f t="shared" si="305"/>
        <v>0</v>
      </c>
      <c r="W273" s="694">
        <f t="shared" si="305"/>
        <v>0</v>
      </c>
      <c r="X273" s="694">
        <f t="shared" si="305"/>
        <v>0</v>
      </c>
      <c r="Y273" s="694">
        <f t="shared" si="305"/>
        <v>0</v>
      </c>
      <c r="Z273" s="694">
        <f t="shared" si="305"/>
        <v>0</v>
      </c>
      <c r="AA273" s="694">
        <f t="shared" si="305"/>
        <v>0</v>
      </c>
      <c r="AB273" s="694">
        <f t="shared" si="305"/>
        <v>0</v>
      </c>
    </row>
    <row r="274" spans="1:64" s="83" customFormat="1" x14ac:dyDescent="0.25">
      <c r="A274" s="82"/>
      <c r="B274" s="178" t="str">
        <f t="shared" si="300"/>
        <v>TFMEGSL100</v>
      </c>
      <c r="C274" s="178"/>
      <c r="D274" s="179"/>
      <c r="E274" s="178"/>
      <c r="F274" s="182"/>
      <c r="G274" s="181"/>
      <c r="H274" s="182"/>
      <c r="I274" s="183">
        <f>AF$8</f>
        <v>2035</v>
      </c>
      <c r="J274" s="184"/>
      <c r="K274" s="184"/>
      <c r="L274" s="203" t="s">
        <v>1065</v>
      </c>
      <c r="M274" s="184" t="s">
        <v>748</v>
      </c>
      <c r="N274" s="694">
        <f t="shared" ref="N274:AB274" si="306">N270*LOOKUP($AD264,$AG$4:$AP$4,$AG$8:$AP$8)</f>
        <v>0</v>
      </c>
      <c r="O274" s="694">
        <f t="shared" si="306"/>
        <v>0</v>
      </c>
      <c r="P274" s="694">
        <f t="shared" si="306"/>
        <v>0</v>
      </c>
      <c r="Q274" s="694">
        <f t="shared" si="306"/>
        <v>0</v>
      </c>
      <c r="R274" s="694">
        <f t="shared" si="306"/>
        <v>0</v>
      </c>
      <c r="S274" s="694">
        <f t="shared" si="306"/>
        <v>0</v>
      </c>
      <c r="T274" s="694">
        <f t="shared" si="306"/>
        <v>0</v>
      </c>
      <c r="U274" s="694">
        <f t="shared" si="306"/>
        <v>0</v>
      </c>
      <c r="V274" s="694">
        <f t="shared" si="306"/>
        <v>0</v>
      </c>
      <c r="W274" s="694">
        <f t="shared" si="306"/>
        <v>0</v>
      </c>
      <c r="X274" s="694">
        <f t="shared" si="306"/>
        <v>0</v>
      </c>
      <c r="Y274" s="694">
        <f t="shared" si="306"/>
        <v>0</v>
      </c>
      <c r="Z274" s="694">
        <f t="shared" si="306"/>
        <v>0</v>
      </c>
      <c r="AA274" s="694">
        <f t="shared" si="306"/>
        <v>0</v>
      </c>
      <c r="AB274" s="694">
        <f t="shared" si="306"/>
        <v>0</v>
      </c>
    </row>
    <row r="275" spans="1:64" s="83" customFormat="1" x14ac:dyDescent="0.25">
      <c r="A275" s="82"/>
      <c r="B275" s="178" t="str">
        <f t="shared" si="300"/>
        <v>TFMEGSL100</v>
      </c>
      <c r="C275" s="178"/>
      <c r="D275" s="179"/>
      <c r="E275" s="178"/>
      <c r="F275" s="182"/>
      <c r="G275" s="181"/>
      <c r="H275" s="182"/>
      <c r="I275" s="183">
        <f>AF$9</f>
        <v>2040</v>
      </c>
      <c r="J275" s="184"/>
      <c r="K275" s="184"/>
      <c r="L275" s="203" t="s">
        <v>1065</v>
      </c>
      <c r="M275" s="184" t="s">
        <v>748</v>
      </c>
      <c r="N275" s="694">
        <f t="shared" ref="N275:AB275" si="307">N270*LOOKUP($AD264,$AG$4:$AP$4,$AG$9:$AP$9)</f>
        <v>0</v>
      </c>
      <c r="O275" s="694">
        <f t="shared" si="307"/>
        <v>0</v>
      </c>
      <c r="P275" s="694">
        <f t="shared" si="307"/>
        <v>0</v>
      </c>
      <c r="Q275" s="694">
        <f t="shared" si="307"/>
        <v>0</v>
      </c>
      <c r="R275" s="694">
        <f t="shared" si="307"/>
        <v>0</v>
      </c>
      <c r="S275" s="694">
        <f t="shared" si="307"/>
        <v>0</v>
      </c>
      <c r="T275" s="694">
        <f t="shared" si="307"/>
        <v>0</v>
      </c>
      <c r="U275" s="694">
        <f t="shared" si="307"/>
        <v>0</v>
      </c>
      <c r="V275" s="694">
        <f t="shared" si="307"/>
        <v>0</v>
      </c>
      <c r="W275" s="694">
        <f t="shared" si="307"/>
        <v>0</v>
      </c>
      <c r="X275" s="694">
        <f t="shared" si="307"/>
        <v>0</v>
      </c>
      <c r="Y275" s="694">
        <f t="shared" si="307"/>
        <v>0</v>
      </c>
      <c r="Z275" s="694">
        <f t="shared" si="307"/>
        <v>0</v>
      </c>
      <c r="AA275" s="694">
        <f t="shared" si="307"/>
        <v>0</v>
      </c>
      <c r="AB275" s="694">
        <f t="shared" si="307"/>
        <v>0</v>
      </c>
    </row>
    <row r="276" spans="1:64" s="83" customFormat="1" x14ac:dyDescent="0.25">
      <c r="A276" s="82"/>
      <c r="B276" s="204" t="str">
        <f t="shared" si="300"/>
        <v>TFMEGSL100</v>
      </c>
      <c r="C276" s="204"/>
      <c r="D276" s="205"/>
      <c r="E276" s="204"/>
      <c r="F276" s="206"/>
      <c r="G276" s="207"/>
      <c r="H276" s="206"/>
      <c r="I276" s="208">
        <f>AF$10</f>
        <v>2050</v>
      </c>
      <c r="J276" s="209"/>
      <c r="K276" s="209"/>
      <c r="L276" s="210" t="s">
        <v>1065</v>
      </c>
      <c r="M276" s="209" t="s">
        <v>748</v>
      </c>
      <c r="N276" s="695">
        <f t="shared" ref="N276:AB276" si="308">N270*LOOKUP($AD264,$AG$4:$AP$4,$AG$10:$AP$10)</f>
        <v>0</v>
      </c>
      <c r="O276" s="695">
        <f t="shared" si="308"/>
        <v>0</v>
      </c>
      <c r="P276" s="695">
        <f t="shared" si="308"/>
        <v>0</v>
      </c>
      <c r="Q276" s="695">
        <f t="shared" si="308"/>
        <v>0</v>
      </c>
      <c r="R276" s="695">
        <f t="shared" si="308"/>
        <v>0</v>
      </c>
      <c r="S276" s="695">
        <f t="shared" si="308"/>
        <v>0</v>
      </c>
      <c r="T276" s="695">
        <f t="shared" si="308"/>
        <v>0</v>
      </c>
      <c r="U276" s="695">
        <f t="shared" si="308"/>
        <v>0</v>
      </c>
      <c r="V276" s="695">
        <f t="shared" si="308"/>
        <v>0</v>
      </c>
      <c r="W276" s="695">
        <f t="shared" si="308"/>
        <v>0</v>
      </c>
      <c r="X276" s="695">
        <f t="shared" si="308"/>
        <v>0</v>
      </c>
      <c r="Y276" s="695">
        <f t="shared" si="308"/>
        <v>0</v>
      </c>
      <c r="Z276" s="695">
        <f t="shared" si="308"/>
        <v>0</v>
      </c>
      <c r="AA276" s="695">
        <f t="shared" si="308"/>
        <v>0</v>
      </c>
      <c r="AB276" s="695">
        <f t="shared" si="308"/>
        <v>0</v>
      </c>
    </row>
    <row r="277" spans="1:64" s="83" customFormat="1" x14ac:dyDescent="0.25">
      <c r="A277" s="82"/>
      <c r="B277" s="178" t="str">
        <f>C277</f>
        <v>TFMEHYD100</v>
      </c>
      <c r="C277" s="178" t="s">
        <v>364</v>
      </c>
      <c r="D277" s="179" t="s">
        <v>838</v>
      </c>
      <c r="E277" s="407" t="s">
        <v>988</v>
      </c>
      <c r="F277" s="182"/>
      <c r="G277" s="181"/>
      <c r="H277" s="182"/>
      <c r="I277" s="183"/>
      <c r="J277" s="184"/>
      <c r="K277" s="184"/>
      <c r="L277" s="203" t="s">
        <v>1107</v>
      </c>
      <c r="M277" s="184" t="s">
        <v>1125</v>
      </c>
      <c r="N277" s="378">
        <f>N$502</f>
        <v>1E-3</v>
      </c>
      <c r="O277" s="378">
        <f t="shared" ref="O277:AB277" si="309">$N277</f>
        <v>1E-3</v>
      </c>
      <c r="P277" s="378">
        <f t="shared" si="309"/>
        <v>1E-3</v>
      </c>
      <c r="Q277" s="378">
        <f t="shared" si="309"/>
        <v>1E-3</v>
      </c>
      <c r="R277" s="378">
        <f t="shared" si="309"/>
        <v>1E-3</v>
      </c>
      <c r="S277" s="378">
        <f t="shared" si="309"/>
        <v>1E-3</v>
      </c>
      <c r="T277" s="378">
        <f t="shared" si="309"/>
        <v>1E-3</v>
      </c>
      <c r="U277" s="378">
        <f t="shared" si="309"/>
        <v>1E-3</v>
      </c>
      <c r="V277" s="378">
        <f t="shared" si="309"/>
        <v>1E-3</v>
      </c>
      <c r="W277" s="378">
        <f t="shared" si="309"/>
        <v>1E-3</v>
      </c>
      <c r="X277" s="378">
        <f t="shared" si="309"/>
        <v>1E-3</v>
      </c>
      <c r="Y277" s="378">
        <f t="shared" si="309"/>
        <v>1E-3</v>
      </c>
      <c r="Z277" s="378">
        <f t="shared" si="309"/>
        <v>1E-3</v>
      </c>
      <c r="AA277" s="378">
        <f t="shared" si="309"/>
        <v>1E-3</v>
      </c>
      <c r="AB277" s="378">
        <f t="shared" si="309"/>
        <v>1E-3</v>
      </c>
      <c r="AD277" s="410" t="str">
        <f>MID(D277,14,3)</f>
        <v>Hyb</v>
      </c>
      <c r="AV277" s="700" t="str">
        <f t="shared" ref="AV277:AV278" si="310">MID(E277,1,7)</f>
        <v>TRABDL</v>
      </c>
      <c r="AW277" s="568">
        <f t="shared" ref="AW277:AW278" si="311">SUM(AX277:BL277)</f>
        <v>0</v>
      </c>
    </row>
    <row r="278" spans="1:64" s="83" customFormat="1" x14ac:dyDescent="0.25">
      <c r="A278" s="82"/>
      <c r="B278" s="178" t="str">
        <f>B277</f>
        <v>TFMEHYD100</v>
      </c>
      <c r="C278" s="178"/>
      <c r="D278" s="179"/>
      <c r="E278" s="407" t="s">
        <v>185</v>
      </c>
      <c r="F278" s="182"/>
      <c r="G278" s="181"/>
      <c r="H278" s="182"/>
      <c r="I278" s="183"/>
      <c r="J278" s="184" t="str">
        <f>$J$214</f>
        <v>UP</v>
      </c>
      <c r="K278" s="184"/>
      <c r="L278" s="203" t="s">
        <v>101</v>
      </c>
      <c r="M278" s="184"/>
      <c r="N278" s="390">
        <f>1-N$29-N$28</f>
        <v>0.78</v>
      </c>
      <c r="O278" s="390">
        <f t="shared" ref="O278:AB278" si="312">1-O$29-O$28</f>
        <v>0.78</v>
      </c>
      <c r="P278" s="390">
        <f t="shared" si="312"/>
        <v>0.78</v>
      </c>
      <c r="Q278" s="390">
        <f t="shared" si="312"/>
        <v>0.78</v>
      </c>
      <c r="R278" s="390">
        <f t="shared" si="312"/>
        <v>0.78</v>
      </c>
      <c r="S278" s="390">
        <f t="shared" si="312"/>
        <v>0.78</v>
      </c>
      <c r="T278" s="390">
        <f t="shared" si="312"/>
        <v>0.78</v>
      </c>
      <c r="U278" s="390">
        <f t="shared" si="312"/>
        <v>0.78</v>
      </c>
      <c r="V278" s="390">
        <f t="shared" si="312"/>
        <v>0.78</v>
      </c>
      <c r="W278" s="390">
        <f t="shared" si="312"/>
        <v>0.78</v>
      </c>
      <c r="X278" s="390">
        <f t="shared" si="312"/>
        <v>0.78</v>
      </c>
      <c r="Y278" s="390">
        <f t="shared" si="312"/>
        <v>0.78</v>
      </c>
      <c r="Z278" s="390">
        <f t="shared" si="312"/>
        <v>0.78</v>
      </c>
      <c r="AA278" s="390">
        <f t="shared" si="312"/>
        <v>0.78</v>
      </c>
      <c r="AB278" s="390">
        <f t="shared" si="312"/>
        <v>0.78</v>
      </c>
      <c r="AD278" s="66" t="str">
        <f>IF(COUNTIF($AG$4:$AP$4,AD277)=1,"ok","MISSING")</f>
        <v>ok</v>
      </c>
      <c r="AF278" s="333"/>
      <c r="AV278" s="700" t="str">
        <f t="shared" si="310"/>
        <v>TRADST</v>
      </c>
      <c r="AW278" s="568">
        <f t="shared" si="311"/>
        <v>0</v>
      </c>
    </row>
    <row r="279" spans="1:64" s="83" customFormat="1" x14ac:dyDescent="0.25">
      <c r="A279" s="82"/>
      <c r="B279" s="178" t="str">
        <f t="shared" ref="B279" si="313">B278</f>
        <v>TFMEHYD100</v>
      </c>
      <c r="C279" s="178"/>
      <c r="D279" s="179"/>
      <c r="E279" s="407" t="s">
        <v>990</v>
      </c>
      <c r="F279" s="182"/>
      <c r="G279" s="181"/>
      <c r="H279" s="182"/>
      <c r="I279" s="183"/>
      <c r="J279" s="184" t="s">
        <v>1157</v>
      </c>
      <c r="K279" s="184"/>
      <c r="L279" s="203" t="s">
        <v>101</v>
      </c>
      <c r="M279" s="184"/>
      <c r="N279" s="690">
        <f>N$28</f>
        <v>7.0000000000000007E-2</v>
      </c>
      <c r="O279" s="690">
        <f t="shared" ref="O279:AB279" si="314">O$28</f>
        <v>7.0000000000000007E-2</v>
      </c>
      <c r="P279" s="690">
        <f t="shared" si="314"/>
        <v>7.0000000000000007E-2</v>
      </c>
      <c r="Q279" s="690">
        <f t="shared" si="314"/>
        <v>7.0000000000000007E-2</v>
      </c>
      <c r="R279" s="690">
        <f t="shared" si="314"/>
        <v>7.0000000000000007E-2</v>
      </c>
      <c r="S279" s="690">
        <f t="shared" si="314"/>
        <v>7.0000000000000007E-2</v>
      </c>
      <c r="T279" s="690">
        <f t="shared" si="314"/>
        <v>7.0000000000000007E-2</v>
      </c>
      <c r="U279" s="690">
        <f t="shared" si="314"/>
        <v>7.0000000000000007E-2</v>
      </c>
      <c r="V279" s="690">
        <f t="shared" si="314"/>
        <v>7.0000000000000007E-2</v>
      </c>
      <c r="W279" s="690">
        <f t="shared" si="314"/>
        <v>7.0000000000000007E-2</v>
      </c>
      <c r="X279" s="690">
        <f t="shared" si="314"/>
        <v>7.0000000000000007E-2</v>
      </c>
      <c r="Y279" s="690">
        <f t="shared" si="314"/>
        <v>7.0000000000000007E-2</v>
      </c>
      <c r="Z279" s="690">
        <f t="shared" si="314"/>
        <v>7.0000000000000007E-2</v>
      </c>
      <c r="AA279" s="690">
        <f t="shared" si="314"/>
        <v>7.0000000000000007E-2</v>
      </c>
      <c r="AB279" s="690">
        <f t="shared" si="314"/>
        <v>7.0000000000000007E-2</v>
      </c>
      <c r="AD279" s="408"/>
      <c r="AE279" s="357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V279" s="700"/>
      <c r="AW279" s="568"/>
      <c r="AX279" s="708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</row>
    <row r="280" spans="1:64" s="83" customFormat="1" x14ac:dyDescent="0.25">
      <c r="B280" s="178" t="str">
        <f t="shared" ref="B280:B289" si="315">B279</f>
        <v>TFMEHYD100</v>
      </c>
      <c r="C280" s="178"/>
      <c r="D280" s="179"/>
      <c r="E280" s="178"/>
      <c r="F280" s="182"/>
      <c r="G280" s="324" t="s">
        <v>433</v>
      </c>
      <c r="H280" s="182"/>
      <c r="I280" s="183"/>
      <c r="J280" s="184"/>
      <c r="K280" s="184"/>
      <c r="L280" s="184" t="s">
        <v>1126</v>
      </c>
      <c r="M280" s="184" t="s">
        <v>678</v>
      </c>
      <c r="N280" s="676">
        <f>T_CEFF!H193</f>
        <v>6.2579999999999997E-2</v>
      </c>
      <c r="O280" s="676">
        <f>T_CEFF!I193</f>
        <v>6.2579999999999997E-2</v>
      </c>
      <c r="P280" s="676">
        <f>T_CEFF!J193</f>
        <v>6.2579999999999997E-2</v>
      </c>
      <c r="Q280" s="676">
        <f>T_CEFF!K193</f>
        <v>6.2579999999999997E-2</v>
      </c>
      <c r="R280" s="676">
        <f>T_CEFF!L193</f>
        <v>6.2579999999999997E-2</v>
      </c>
      <c r="S280" s="676">
        <f>T_CEFF!M193</f>
        <v>6.2579999999999997E-2</v>
      </c>
      <c r="T280" s="676">
        <f>T_CEFF!N193</f>
        <v>6.2579999999999997E-2</v>
      </c>
      <c r="U280" s="676">
        <f>T_CEFF!O193</f>
        <v>6.2579999999999997E-2</v>
      </c>
      <c r="V280" s="676">
        <f>T_CEFF!P193</f>
        <v>6.2579999999999997E-2</v>
      </c>
      <c r="W280" s="676">
        <f>T_CEFF!Q193</f>
        <v>6.2579999999999997E-2</v>
      </c>
      <c r="X280" s="676">
        <f>T_CEFF!R193</f>
        <v>6.2579999999999997E-2</v>
      </c>
      <c r="Y280" s="676">
        <f>T_CEFF!S193</f>
        <v>6.2579999999999997E-2</v>
      </c>
      <c r="Z280" s="676">
        <f>T_CEFF!T193</f>
        <v>6.2579999999999997E-2</v>
      </c>
      <c r="AA280" s="676">
        <f>T_CEFF!U193</f>
        <v>6.2579999999999997E-2</v>
      </c>
      <c r="AB280" s="676">
        <f>T_CEFF!V193</f>
        <v>6.2579999999999997E-2</v>
      </c>
      <c r="AV280" s="700" t="str">
        <f t="shared" ref="AV280:AV281" si="316">MID(E280,1,7)</f>
        <v/>
      </c>
      <c r="AW280" s="568"/>
    </row>
    <row r="281" spans="1:64" s="83" customFormat="1" x14ac:dyDescent="0.25">
      <c r="B281" s="178" t="str">
        <f>B280</f>
        <v>TFMEHYD100</v>
      </c>
      <c r="C281" s="178"/>
      <c r="D281" s="179"/>
      <c r="E281" s="178"/>
      <c r="F281" s="182"/>
      <c r="G281" s="181"/>
      <c r="H281" s="182"/>
      <c r="I281" s="183"/>
      <c r="J281" s="184"/>
      <c r="K281" s="184" t="s">
        <v>749</v>
      </c>
      <c r="L281" s="184" t="s">
        <v>1128</v>
      </c>
      <c r="M281" s="184" t="s">
        <v>1175</v>
      </c>
      <c r="N281" s="388">
        <f>N$24</f>
        <v>0</v>
      </c>
      <c r="O281" s="388">
        <f t="shared" ref="O281:AB281" si="317">O$24</f>
        <v>0</v>
      </c>
      <c r="P281" s="388">
        <f t="shared" si="317"/>
        <v>0</v>
      </c>
      <c r="Q281" s="388">
        <f t="shared" si="317"/>
        <v>0</v>
      </c>
      <c r="R281" s="388">
        <f t="shared" si="317"/>
        <v>0</v>
      </c>
      <c r="S281" s="388">
        <f t="shared" si="317"/>
        <v>0</v>
      </c>
      <c r="T281" s="388">
        <f t="shared" si="317"/>
        <v>0</v>
      </c>
      <c r="U281" s="388">
        <f t="shared" si="317"/>
        <v>0</v>
      </c>
      <c r="V281" s="388">
        <f t="shared" si="317"/>
        <v>0</v>
      </c>
      <c r="W281" s="388">
        <f t="shared" si="317"/>
        <v>0</v>
      </c>
      <c r="X281" s="388">
        <f t="shared" si="317"/>
        <v>0</v>
      </c>
      <c r="Y281" s="388">
        <f t="shared" si="317"/>
        <v>0</v>
      </c>
      <c r="Z281" s="388">
        <f t="shared" si="317"/>
        <v>0</v>
      </c>
      <c r="AA281" s="388">
        <f t="shared" si="317"/>
        <v>0</v>
      </c>
      <c r="AB281" s="388">
        <f t="shared" si="317"/>
        <v>0</v>
      </c>
      <c r="AV281" s="700" t="str">
        <f t="shared" si="316"/>
        <v/>
      </c>
      <c r="AW281" s="568"/>
    </row>
    <row r="282" spans="1:64" s="83" customFormat="1" x14ac:dyDescent="0.25">
      <c r="B282" s="178" t="str">
        <f t="shared" si="315"/>
        <v>TFMEHYD100</v>
      </c>
      <c r="C282" s="178"/>
      <c r="D282" s="179"/>
      <c r="E282" s="178"/>
      <c r="F282" s="182"/>
      <c r="G282" s="181"/>
      <c r="H282" s="182"/>
      <c r="I282" s="183"/>
      <c r="J282" s="184"/>
      <c r="K282" s="184"/>
      <c r="L282" s="203" t="s">
        <v>1130</v>
      </c>
      <c r="M282" s="184" t="s">
        <v>1131</v>
      </c>
      <c r="N282" s="397">
        <f>LOOKUP($C$290, T_NCAP_AF!$C$155:$C$165, T_NCAP_AF!D$155:D$165)*(1+N195)</f>
        <v>0</v>
      </c>
      <c r="O282" s="397">
        <f>LOOKUP($C$290, T_NCAP_AF!$C$155:$C$165, T_NCAP_AF!E$155:E$165)*(1+O195)</f>
        <v>0</v>
      </c>
      <c r="P282" s="397">
        <f>LOOKUP($C$290, T_NCAP_AF!$C$155:$C$165, T_NCAP_AF!F$155:F$165)*(1+P195)</f>
        <v>0</v>
      </c>
      <c r="Q282" s="397">
        <f>LOOKUP($C$290, T_NCAP_AF!$C$155:$C$165, T_NCAP_AF!G$155:G$165)*(1+Q195)</f>
        <v>0</v>
      </c>
      <c r="R282" s="397">
        <f>LOOKUP($C$290, T_NCAP_AF!$C$155:$C$165, T_NCAP_AF!H$155:H$165)*(1+R195)</f>
        <v>0</v>
      </c>
      <c r="S282" s="397">
        <f>LOOKUP($C$290, T_NCAP_AF!$C$155:$C$165, T_NCAP_AF!I$155:I$165)*(1+S195)</f>
        <v>0</v>
      </c>
      <c r="T282" s="397">
        <f>LOOKUP($C$290, T_NCAP_AF!$C$155:$C$165, T_NCAP_AF!J$155:J$165)*(1+T195)</f>
        <v>0</v>
      </c>
      <c r="U282" s="397">
        <f>LOOKUP($C$290, T_NCAP_AF!$C$155:$C$165, T_NCAP_AF!K$155:K$165)*(1+U195)</f>
        <v>0</v>
      </c>
      <c r="V282" s="397">
        <f>LOOKUP($C$290, T_NCAP_AF!$C$155:$C$165, T_NCAP_AF!L$155:L$165)*(1+V195)</f>
        <v>0</v>
      </c>
      <c r="W282" s="397">
        <f>LOOKUP($C$290, T_NCAP_AF!$C$155:$C$165, T_NCAP_AF!M$155:M$165)*(1+W195)</f>
        <v>0</v>
      </c>
      <c r="X282" s="397">
        <f>LOOKUP($C$290, T_NCAP_AF!$C$155:$C$165, T_NCAP_AF!N$155:N$165)*(1+X195)</f>
        <v>0</v>
      </c>
      <c r="Y282" s="397">
        <f>LOOKUP($C$290, T_NCAP_AF!$C$155:$C$165, T_NCAP_AF!O$155:O$165)*(1+Y195)</f>
        <v>0</v>
      </c>
      <c r="Z282" s="397">
        <f>LOOKUP($C$290, T_NCAP_AF!$C$155:$C$165, T_NCAP_AF!P$155:P$165)*(1+Z195)</f>
        <v>0</v>
      </c>
      <c r="AA282" s="397">
        <f>LOOKUP($C$290, T_NCAP_AF!$C$155:$C$165, T_NCAP_AF!Q$155:Q$165)*(1+AA195)</f>
        <v>0</v>
      </c>
      <c r="AB282" s="397">
        <f>LOOKUP($C$290, T_NCAP_AF!$C$155:$C$165, T_NCAP_AF!R$155:R$165)*(1+AB195)</f>
        <v>0</v>
      </c>
      <c r="AE282" s="572">
        <f>SUM(AF282:AT282)</f>
        <v>0</v>
      </c>
      <c r="AF282" s="85">
        <f t="shared" ref="AF282:AT282" si="318">N281*N282*N283/1000</f>
        <v>0</v>
      </c>
      <c r="AG282" s="85">
        <f t="shared" si="318"/>
        <v>0</v>
      </c>
      <c r="AH282" s="85">
        <f t="shared" si="318"/>
        <v>0</v>
      </c>
      <c r="AI282" s="85">
        <f t="shared" si="318"/>
        <v>0</v>
      </c>
      <c r="AJ282" s="85">
        <f t="shared" si="318"/>
        <v>0</v>
      </c>
      <c r="AK282" s="85">
        <f t="shared" si="318"/>
        <v>0</v>
      </c>
      <c r="AL282" s="85">
        <f t="shared" si="318"/>
        <v>0</v>
      </c>
      <c r="AM282" s="85">
        <f t="shared" si="318"/>
        <v>0</v>
      </c>
      <c r="AN282" s="85">
        <f t="shared" si="318"/>
        <v>0</v>
      </c>
      <c r="AO282" s="85">
        <f t="shared" si="318"/>
        <v>0</v>
      </c>
      <c r="AP282" s="85">
        <f t="shared" si="318"/>
        <v>0</v>
      </c>
      <c r="AQ282" s="85">
        <f t="shared" si="318"/>
        <v>0</v>
      </c>
      <c r="AR282" s="85">
        <f t="shared" si="318"/>
        <v>0</v>
      </c>
      <c r="AS282" s="85">
        <f t="shared" si="318"/>
        <v>0</v>
      </c>
      <c r="AT282" s="85">
        <f t="shared" si="318"/>
        <v>0</v>
      </c>
    </row>
    <row r="283" spans="1:64" s="83" customFormat="1" x14ac:dyDescent="0.25">
      <c r="B283" s="178" t="str">
        <f>B282</f>
        <v>TFMEHYD100</v>
      </c>
      <c r="C283" s="178"/>
      <c r="D283" s="179"/>
      <c r="E283" s="178"/>
      <c r="F283" s="182"/>
      <c r="G283" s="181"/>
      <c r="H283" s="182"/>
      <c r="I283" s="183">
        <f>$M$3</f>
        <v>2019</v>
      </c>
      <c r="J283" s="184"/>
      <c r="K283" s="184"/>
      <c r="L283" s="203" t="s">
        <v>1065</v>
      </c>
      <c r="M283" s="184" t="s">
        <v>748</v>
      </c>
      <c r="N283" s="694">
        <f>LOOKUP($C$277, T_Stock_Private!$C$106:$C$117, T_Stock_Private!D$106:D$117)*(1+N196)</f>
        <v>0</v>
      </c>
      <c r="O283" s="694">
        <f>LOOKUP($C$277, T_Stock_Private!$C$106:$C$117, T_Stock_Private!E$106:E$117)*(1+O196)</f>
        <v>0</v>
      </c>
      <c r="P283" s="694">
        <f>LOOKUP($C$277, T_Stock_Private!$C$106:$C$117, T_Stock_Private!F$106:F$117)*(1+P196)</f>
        <v>0</v>
      </c>
      <c r="Q283" s="694">
        <f>LOOKUP($C$277, T_Stock_Private!$C$106:$C$117, T_Stock_Private!G$106:G$117)*(1+Q196)</f>
        <v>0</v>
      </c>
      <c r="R283" s="694">
        <f>LOOKUP($C$277, T_Stock_Private!$C$106:$C$117, T_Stock_Private!H$106:H$117)*(1+R196)</f>
        <v>0</v>
      </c>
      <c r="S283" s="694">
        <f>LOOKUP($C$277, T_Stock_Private!$C$106:$C$117, T_Stock_Private!I$106:I$117)*(1+S196)</f>
        <v>0</v>
      </c>
      <c r="T283" s="694">
        <f>LOOKUP($C$277, T_Stock_Private!$C$106:$C$117, T_Stock_Private!J$106:J$117)*(1+T196)</f>
        <v>0</v>
      </c>
      <c r="U283" s="694">
        <f>LOOKUP($C$277, T_Stock_Private!$C$106:$C$117, T_Stock_Private!K$106:K$117)*(1+U196)</f>
        <v>0</v>
      </c>
      <c r="V283" s="694">
        <f>LOOKUP($C$277, T_Stock_Private!$C$106:$C$117, T_Stock_Private!L$106:L$117)*(1+V196)</f>
        <v>0</v>
      </c>
      <c r="W283" s="694">
        <f>LOOKUP($C$277, T_Stock_Private!$C$106:$C$117, T_Stock_Private!M$106:M$117)*(1+W196)</f>
        <v>0</v>
      </c>
      <c r="X283" s="694">
        <f>LOOKUP($C$277, T_Stock_Private!$C$106:$C$117, T_Stock_Private!N$106:N$117)*(1+X196)</f>
        <v>0</v>
      </c>
      <c r="Y283" s="694">
        <f>LOOKUP($C$277, T_Stock_Private!$C$106:$C$117, T_Stock_Private!O$106:O$117)*(1+Y196)</f>
        <v>0</v>
      </c>
      <c r="Z283" s="694">
        <f>LOOKUP($C$277, T_Stock_Private!$C$106:$C$117, T_Stock_Private!P$106:P$117)*(1+Z196)</f>
        <v>0</v>
      </c>
      <c r="AA283" s="694">
        <f>LOOKUP($C$277, T_Stock_Private!$C$106:$C$117, T_Stock_Private!Q$106:Q$117)*(1+AA196)</f>
        <v>0</v>
      </c>
      <c r="AB283" s="694">
        <f>LOOKUP($C$277, T_Stock_Private!$C$106:$C$117, T_Stock_Private!R$106:R$117)*(1+AB196)</f>
        <v>0</v>
      </c>
    </row>
    <row r="284" spans="1:64" s="83" customFormat="1" x14ac:dyDescent="0.25">
      <c r="B284" s="178" t="str">
        <f t="shared" si="315"/>
        <v>TFMEHYD100</v>
      </c>
      <c r="C284" s="178"/>
      <c r="D284" s="179"/>
      <c r="E284" s="178"/>
      <c r="F284" s="182"/>
      <c r="G284" s="181"/>
      <c r="H284" s="182"/>
      <c r="I284" s="183">
        <f>AF$5</f>
        <v>2020</v>
      </c>
      <c r="J284" s="184"/>
      <c r="K284" s="184"/>
      <c r="L284" s="203" t="s">
        <v>1065</v>
      </c>
      <c r="M284" s="184" t="s">
        <v>748</v>
      </c>
      <c r="N284" s="694">
        <f t="shared" ref="N284:AB284" si="319">N283*LOOKUP($AD277,$AG$4:$AP$4,$AG$5:$AP$5)</f>
        <v>0</v>
      </c>
      <c r="O284" s="694">
        <f t="shared" si="319"/>
        <v>0</v>
      </c>
      <c r="P284" s="694">
        <f t="shared" si="319"/>
        <v>0</v>
      </c>
      <c r="Q284" s="694">
        <f t="shared" si="319"/>
        <v>0</v>
      </c>
      <c r="R284" s="694">
        <f t="shared" si="319"/>
        <v>0</v>
      </c>
      <c r="S284" s="694">
        <f t="shared" si="319"/>
        <v>0</v>
      </c>
      <c r="T284" s="694">
        <f t="shared" si="319"/>
        <v>0</v>
      </c>
      <c r="U284" s="694">
        <f t="shared" si="319"/>
        <v>0</v>
      </c>
      <c r="V284" s="694">
        <f t="shared" si="319"/>
        <v>0</v>
      </c>
      <c r="W284" s="694">
        <f t="shared" si="319"/>
        <v>0</v>
      </c>
      <c r="X284" s="694">
        <f t="shared" si="319"/>
        <v>0</v>
      </c>
      <c r="Y284" s="694">
        <f t="shared" si="319"/>
        <v>0</v>
      </c>
      <c r="Z284" s="694">
        <f t="shared" si="319"/>
        <v>0</v>
      </c>
      <c r="AA284" s="694">
        <f t="shared" si="319"/>
        <v>0</v>
      </c>
      <c r="AB284" s="694">
        <f t="shared" si="319"/>
        <v>0</v>
      </c>
    </row>
    <row r="285" spans="1:64" s="83" customFormat="1" x14ac:dyDescent="0.25">
      <c r="B285" s="178" t="str">
        <f t="shared" si="315"/>
        <v>TFMEHYD100</v>
      </c>
      <c r="C285" s="178"/>
      <c r="D285" s="179"/>
      <c r="E285" s="178"/>
      <c r="F285" s="182"/>
      <c r="G285" s="181"/>
      <c r="H285" s="182"/>
      <c r="I285" s="183">
        <f>AF$6</f>
        <v>2025</v>
      </c>
      <c r="J285" s="184"/>
      <c r="K285" s="184"/>
      <c r="L285" s="203" t="s">
        <v>1065</v>
      </c>
      <c r="M285" s="184" t="s">
        <v>748</v>
      </c>
      <c r="N285" s="694">
        <f t="shared" ref="N285:AB285" si="320">N283*LOOKUP($AD277,$AG$4:$AP$4,$AG$6:$AP$6)</f>
        <v>0</v>
      </c>
      <c r="O285" s="694">
        <f t="shared" si="320"/>
        <v>0</v>
      </c>
      <c r="P285" s="694">
        <f t="shared" si="320"/>
        <v>0</v>
      </c>
      <c r="Q285" s="694">
        <f t="shared" si="320"/>
        <v>0</v>
      </c>
      <c r="R285" s="694">
        <f t="shared" si="320"/>
        <v>0</v>
      </c>
      <c r="S285" s="694">
        <f t="shared" si="320"/>
        <v>0</v>
      </c>
      <c r="T285" s="694">
        <f t="shared" si="320"/>
        <v>0</v>
      </c>
      <c r="U285" s="694">
        <f t="shared" si="320"/>
        <v>0</v>
      </c>
      <c r="V285" s="694">
        <f t="shared" si="320"/>
        <v>0</v>
      </c>
      <c r="W285" s="694">
        <f t="shared" si="320"/>
        <v>0</v>
      </c>
      <c r="X285" s="694">
        <f t="shared" si="320"/>
        <v>0</v>
      </c>
      <c r="Y285" s="694">
        <f t="shared" si="320"/>
        <v>0</v>
      </c>
      <c r="Z285" s="694">
        <f t="shared" si="320"/>
        <v>0</v>
      </c>
      <c r="AA285" s="694">
        <f t="shared" si="320"/>
        <v>0</v>
      </c>
      <c r="AB285" s="694">
        <f t="shared" si="320"/>
        <v>0</v>
      </c>
    </row>
    <row r="286" spans="1:64" s="83" customFormat="1" x14ac:dyDescent="0.25">
      <c r="B286" s="178" t="str">
        <f t="shared" si="315"/>
        <v>TFMEHYD100</v>
      </c>
      <c r="C286" s="178"/>
      <c r="D286" s="179"/>
      <c r="E286" s="178"/>
      <c r="F286" s="182"/>
      <c r="G286" s="181"/>
      <c r="H286" s="182"/>
      <c r="I286" s="183">
        <f>AF$7</f>
        <v>2030</v>
      </c>
      <c r="J286" s="184"/>
      <c r="K286" s="184"/>
      <c r="L286" s="203" t="s">
        <v>1065</v>
      </c>
      <c r="M286" s="184" t="s">
        <v>748</v>
      </c>
      <c r="N286" s="694">
        <f t="shared" ref="N286:AB286" si="321">N283*LOOKUP($AD277,$AG$4:$AP$4,$AG$7:$AP$7)</f>
        <v>0</v>
      </c>
      <c r="O286" s="694">
        <f t="shared" si="321"/>
        <v>0</v>
      </c>
      <c r="P286" s="694">
        <f t="shared" si="321"/>
        <v>0</v>
      </c>
      <c r="Q286" s="694">
        <f t="shared" si="321"/>
        <v>0</v>
      </c>
      <c r="R286" s="694">
        <f t="shared" si="321"/>
        <v>0</v>
      </c>
      <c r="S286" s="694">
        <f t="shared" si="321"/>
        <v>0</v>
      </c>
      <c r="T286" s="694">
        <f t="shared" si="321"/>
        <v>0</v>
      </c>
      <c r="U286" s="694">
        <f t="shared" si="321"/>
        <v>0</v>
      </c>
      <c r="V286" s="694">
        <f t="shared" si="321"/>
        <v>0</v>
      </c>
      <c r="W286" s="694">
        <f t="shared" si="321"/>
        <v>0</v>
      </c>
      <c r="X286" s="694">
        <f t="shared" si="321"/>
        <v>0</v>
      </c>
      <c r="Y286" s="694">
        <f t="shared" si="321"/>
        <v>0</v>
      </c>
      <c r="Z286" s="694">
        <f t="shared" si="321"/>
        <v>0</v>
      </c>
      <c r="AA286" s="694">
        <f t="shared" si="321"/>
        <v>0</v>
      </c>
      <c r="AB286" s="694">
        <f t="shared" si="321"/>
        <v>0</v>
      </c>
    </row>
    <row r="287" spans="1:64" s="83" customFormat="1" x14ac:dyDescent="0.25">
      <c r="B287" s="178" t="str">
        <f t="shared" si="315"/>
        <v>TFMEHYD100</v>
      </c>
      <c r="C287" s="178"/>
      <c r="D287" s="179"/>
      <c r="E287" s="178"/>
      <c r="F287" s="182"/>
      <c r="G287" s="181"/>
      <c r="H287" s="182"/>
      <c r="I287" s="183">
        <f>AF$8</f>
        <v>2035</v>
      </c>
      <c r="J287" s="184"/>
      <c r="K287" s="184"/>
      <c r="L287" s="203" t="s">
        <v>1065</v>
      </c>
      <c r="M287" s="184" t="s">
        <v>748</v>
      </c>
      <c r="N287" s="694">
        <f t="shared" ref="N287:AB287" si="322">N283*LOOKUP($AD277,$AG$4:$AP$4,$AG$8:$AP$8)</f>
        <v>0</v>
      </c>
      <c r="O287" s="694">
        <f t="shared" si="322"/>
        <v>0</v>
      </c>
      <c r="P287" s="694">
        <f t="shared" si="322"/>
        <v>0</v>
      </c>
      <c r="Q287" s="694">
        <f t="shared" si="322"/>
        <v>0</v>
      </c>
      <c r="R287" s="694">
        <f t="shared" si="322"/>
        <v>0</v>
      </c>
      <c r="S287" s="694">
        <f t="shared" si="322"/>
        <v>0</v>
      </c>
      <c r="T287" s="694">
        <f t="shared" si="322"/>
        <v>0</v>
      </c>
      <c r="U287" s="694">
        <f t="shared" si="322"/>
        <v>0</v>
      </c>
      <c r="V287" s="694">
        <f t="shared" si="322"/>
        <v>0</v>
      </c>
      <c r="W287" s="694">
        <f t="shared" si="322"/>
        <v>0</v>
      </c>
      <c r="X287" s="694">
        <f t="shared" si="322"/>
        <v>0</v>
      </c>
      <c r="Y287" s="694">
        <f t="shared" si="322"/>
        <v>0</v>
      </c>
      <c r="Z287" s="694">
        <f t="shared" si="322"/>
        <v>0</v>
      </c>
      <c r="AA287" s="694">
        <f t="shared" si="322"/>
        <v>0</v>
      </c>
      <c r="AB287" s="694">
        <f t="shared" si="322"/>
        <v>0</v>
      </c>
    </row>
    <row r="288" spans="1:64" s="83" customFormat="1" x14ac:dyDescent="0.25">
      <c r="B288" s="178" t="str">
        <f t="shared" si="315"/>
        <v>TFMEHYD100</v>
      </c>
      <c r="C288" s="178"/>
      <c r="D288" s="179"/>
      <c r="E288" s="178"/>
      <c r="F288" s="182"/>
      <c r="G288" s="181"/>
      <c r="H288" s="182"/>
      <c r="I288" s="183">
        <f>AF$9</f>
        <v>2040</v>
      </c>
      <c r="J288" s="184"/>
      <c r="K288" s="184"/>
      <c r="L288" s="203" t="s">
        <v>1065</v>
      </c>
      <c r="M288" s="184" t="s">
        <v>748</v>
      </c>
      <c r="N288" s="694">
        <f t="shared" ref="N288:AB288" si="323">N283*LOOKUP($AD277,$AG$4:$AP$4,$AG$9:$AP$9)</f>
        <v>0</v>
      </c>
      <c r="O288" s="694">
        <f t="shared" si="323"/>
        <v>0</v>
      </c>
      <c r="P288" s="694">
        <f t="shared" si="323"/>
        <v>0</v>
      </c>
      <c r="Q288" s="694">
        <f t="shared" si="323"/>
        <v>0</v>
      </c>
      <c r="R288" s="694">
        <f t="shared" si="323"/>
        <v>0</v>
      </c>
      <c r="S288" s="694">
        <f t="shared" si="323"/>
        <v>0</v>
      </c>
      <c r="T288" s="694">
        <f t="shared" si="323"/>
        <v>0</v>
      </c>
      <c r="U288" s="694">
        <f t="shared" si="323"/>
        <v>0</v>
      </c>
      <c r="V288" s="694">
        <f t="shared" si="323"/>
        <v>0</v>
      </c>
      <c r="W288" s="694">
        <f t="shared" si="323"/>
        <v>0</v>
      </c>
      <c r="X288" s="694">
        <f t="shared" si="323"/>
        <v>0</v>
      </c>
      <c r="Y288" s="694">
        <f t="shared" si="323"/>
        <v>0</v>
      </c>
      <c r="Z288" s="694">
        <f t="shared" si="323"/>
        <v>0</v>
      </c>
      <c r="AA288" s="694">
        <f t="shared" si="323"/>
        <v>0</v>
      </c>
      <c r="AB288" s="694">
        <f t="shared" si="323"/>
        <v>0</v>
      </c>
    </row>
    <row r="289" spans="1:64" s="83" customFormat="1" x14ac:dyDescent="0.25">
      <c r="B289" s="204" t="str">
        <f t="shared" si="315"/>
        <v>TFMEHYD100</v>
      </c>
      <c r="C289" s="204"/>
      <c r="D289" s="205"/>
      <c r="E289" s="204"/>
      <c r="F289" s="206"/>
      <c r="G289" s="207"/>
      <c r="H289" s="206"/>
      <c r="I289" s="208">
        <f>AF$10</f>
        <v>2050</v>
      </c>
      <c r="J289" s="209"/>
      <c r="K289" s="209"/>
      <c r="L289" s="210" t="s">
        <v>1065</v>
      </c>
      <c r="M289" s="209" t="s">
        <v>748</v>
      </c>
      <c r="N289" s="695">
        <f t="shared" ref="N289:AB289" si="324">N283*LOOKUP($AD277,$AG$4:$AP$4,$AG$10:$AP$10)</f>
        <v>0</v>
      </c>
      <c r="O289" s="695">
        <f t="shared" si="324"/>
        <v>0</v>
      </c>
      <c r="P289" s="695">
        <f t="shared" si="324"/>
        <v>0</v>
      </c>
      <c r="Q289" s="695">
        <f t="shared" si="324"/>
        <v>0</v>
      </c>
      <c r="R289" s="695">
        <f t="shared" si="324"/>
        <v>0</v>
      </c>
      <c r="S289" s="695">
        <f t="shared" si="324"/>
        <v>0</v>
      </c>
      <c r="T289" s="695">
        <f t="shared" si="324"/>
        <v>0</v>
      </c>
      <c r="U289" s="695">
        <f t="shared" si="324"/>
        <v>0</v>
      </c>
      <c r="V289" s="695">
        <f t="shared" si="324"/>
        <v>0</v>
      </c>
      <c r="W289" s="695">
        <f t="shared" si="324"/>
        <v>0</v>
      </c>
      <c r="X289" s="695">
        <f t="shared" si="324"/>
        <v>0</v>
      </c>
      <c r="Y289" s="695">
        <f t="shared" si="324"/>
        <v>0</v>
      </c>
      <c r="Z289" s="695">
        <f t="shared" si="324"/>
        <v>0</v>
      </c>
      <c r="AA289" s="695">
        <f t="shared" si="324"/>
        <v>0</v>
      </c>
      <c r="AB289" s="695">
        <f t="shared" si="324"/>
        <v>0</v>
      </c>
    </row>
    <row r="290" spans="1:64" s="83" customFormat="1" x14ac:dyDescent="0.25">
      <c r="A290" s="82"/>
      <c r="B290" s="178" t="str">
        <f>C290</f>
        <v>TFMEHYG100</v>
      </c>
      <c r="C290" s="178" t="s">
        <v>365</v>
      </c>
      <c r="D290" s="179" t="s">
        <v>840</v>
      </c>
      <c r="E290" s="407" t="s">
        <v>1014</v>
      </c>
      <c r="F290" s="182"/>
      <c r="G290" s="181"/>
      <c r="H290" s="182"/>
      <c r="I290" s="183"/>
      <c r="J290" s="184"/>
      <c r="K290" s="184"/>
      <c r="L290" s="203" t="s">
        <v>1107</v>
      </c>
      <c r="M290" s="184" t="s">
        <v>1125</v>
      </c>
      <c r="N290" s="378">
        <f>N$502</f>
        <v>1E-3</v>
      </c>
      <c r="O290" s="378">
        <f t="shared" ref="O290:AB290" si="325">$N290</f>
        <v>1E-3</v>
      </c>
      <c r="P290" s="378">
        <f t="shared" si="325"/>
        <v>1E-3</v>
      </c>
      <c r="Q290" s="378">
        <f t="shared" si="325"/>
        <v>1E-3</v>
      </c>
      <c r="R290" s="378">
        <f t="shared" si="325"/>
        <v>1E-3</v>
      </c>
      <c r="S290" s="378">
        <f t="shared" si="325"/>
        <v>1E-3</v>
      </c>
      <c r="T290" s="378">
        <f t="shared" si="325"/>
        <v>1E-3</v>
      </c>
      <c r="U290" s="378">
        <f t="shared" si="325"/>
        <v>1E-3</v>
      </c>
      <c r="V290" s="378">
        <f t="shared" si="325"/>
        <v>1E-3</v>
      </c>
      <c r="W290" s="378">
        <f t="shared" si="325"/>
        <v>1E-3</v>
      </c>
      <c r="X290" s="378">
        <f t="shared" si="325"/>
        <v>1E-3</v>
      </c>
      <c r="Y290" s="378">
        <f t="shared" si="325"/>
        <v>1E-3</v>
      </c>
      <c r="Z290" s="378">
        <f t="shared" si="325"/>
        <v>1E-3</v>
      </c>
      <c r="AA290" s="378">
        <f t="shared" si="325"/>
        <v>1E-3</v>
      </c>
      <c r="AB290" s="378">
        <f t="shared" si="325"/>
        <v>1E-3</v>
      </c>
      <c r="AD290" s="410" t="str">
        <f>MID(D290,14,3)</f>
        <v>Hyb</v>
      </c>
      <c r="AV290" s="700" t="str">
        <f t="shared" ref="AV290:AV292" si="326">MID(E290,1,7)</f>
        <v>TRAGSL</v>
      </c>
      <c r="AW290" s="568">
        <f t="shared" ref="AW290:AW291" si="327">SUM(AX290:BL290)</f>
        <v>0</v>
      </c>
    </row>
    <row r="291" spans="1:64" s="83" customFormat="1" x14ac:dyDescent="0.25">
      <c r="A291" s="82"/>
      <c r="B291" s="178" t="str">
        <f>B290</f>
        <v>TFMEHYG100</v>
      </c>
      <c r="C291" s="178"/>
      <c r="D291" s="179"/>
      <c r="E291" s="407" t="s">
        <v>1012</v>
      </c>
      <c r="F291" s="182"/>
      <c r="G291" s="181"/>
      <c r="H291" s="182"/>
      <c r="I291" s="183"/>
      <c r="J291" s="184" t="s">
        <v>1127</v>
      </c>
      <c r="K291" s="184"/>
      <c r="L291" s="203" t="s">
        <v>101</v>
      </c>
      <c r="M291" s="184"/>
      <c r="N291" s="696">
        <f>N$30</f>
        <v>0.03</v>
      </c>
      <c r="O291" s="696">
        <f t="shared" ref="O291:AB291" si="328">O$30</f>
        <v>0.03</v>
      </c>
      <c r="P291" s="696">
        <f t="shared" si="328"/>
        <v>0.03</v>
      </c>
      <c r="Q291" s="696">
        <f t="shared" si="328"/>
        <v>0.03</v>
      </c>
      <c r="R291" s="696">
        <f t="shared" si="328"/>
        <v>0.03</v>
      </c>
      <c r="S291" s="696">
        <f t="shared" si="328"/>
        <v>0.03</v>
      </c>
      <c r="T291" s="696">
        <f t="shared" si="328"/>
        <v>0.03</v>
      </c>
      <c r="U291" s="696">
        <f t="shared" si="328"/>
        <v>0.03</v>
      </c>
      <c r="V291" s="696">
        <f t="shared" si="328"/>
        <v>0.03</v>
      </c>
      <c r="W291" s="696">
        <f t="shared" si="328"/>
        <v>0.03</v>
      </c>
      <c r="X291" s="696">
        <f t="shared" si="328"/>
        <v>0.03</v>
      </c>
      <c r="Y291" s="696">
        <f t="shared" si="328"/>
        <v>0.03</v>
      </c>
      <c r="Z291" s="696">
        <f t="shared" si="328"/>
        <v>0.03</v>
      </c>
      <c r="AA291" s="696">
        <f t="shared" si="328"/>
        <v>0.03</v>
      </c>
      <c r="AB291" s="696">
        <f t="shared" si="328"/>
        <v>0.03</v>
      </c>
      <c r="AD291" s="66" t="str">
        <f>IF(COUNTIF($AG$4:$AP$4,AD290)=1,"ok","MISSING")</f>
        <v>ok</v>
      </c>
      <c r="AF291" s="333"/>
      <c r="AV291" s="700" t="str">
        <f t="shared" si="326"/>
        <v>TRAETHM</v>
      </c>
      <c r="AW291" s="568">
        <f t="shared" si="327"/>
        <v>0</v>
      </c>
    </row>
    <row r="292" spans="1:64" s="83" customFormat="1" x14ac:dyDescent="0.25">
      <c r="B292" s="178" t="str">
        <f t="shared" ref="B292:B302" si="329">B291</f>
        <v>TFMEHYG100</v>
      </c>
      <c r="C292" s="178"/>
      <c r="D292" s="179"/>
      <c r="E292" s="178"/>
      <c r="F292" s="182"/>
      <c r="G292" s="324" t="s">
        <v>435</v>
      </c>
      <c r="H292" s="182"/>
      <c r="I292" s="183"/>
      <c r="J292" s="184"/>
      <c r="K292" s="184"/>
      <c r="L292" s="184" t="s">
        <v>1126</v>
      </c>
      <c r="M292" s="184" t="s">
        <v>678</v>
      </c>
      <c r="N292" s="676">
        <f>T_CEFF!H194</f>
        <v>9.2630000000000004E-2</v>
      </c>
      <c r="O292" s="676">
        <f>T_CEFF!I194</f>
        <v>9.2630000000000004E-2</v>
      </c>
      <c r="P292" s="676">
        <f>T_CEFF!J194</f>
        <v>9.2630000000000004E-2</v>
      </c>
      <c r="Q292" s="676">
        <f>T_CEFF!K194</f>
        <v>9.2630000000000004E-2</v>
      </c>
      <c r="R292" s="676">
        <f>T_CEFF!L194</f>
        <v>9.2630000000000004E-2</v>
      </c>
      <c r="S292" s="676">
        <f>T_CEFF!M194</f>
        <v>9.2630000000000004E-2</v>
      </c>
      <c r="T292" s="676">
        <f>T_CEFF!N194</f>
        <v>9.2630000000000004E-2</v>
      </c>
      <c r="U292" s="676">
        <f>T_CEFF!O194</f>
        <v>9.2630000000000004E-2</v>
      </c>
      <c r="V292" s="676">
        <f>T_CEFF!P194</f>
        <v>9.2630000000000004E-2</v>
      </c>
      <c r="W292" s="676">
        <f>T_CEFF!Q194</f>
        <v>9.2630000000000004E-2</v>
      </c>
      <c r="X292" s="676">
        <f>T_CEFF!R194</f>
        <v>9.2630000000000004E-2</v>
      </c>
      <c r="Y292" s="676">
        <f>T_CEFF!S194</f>
        <v>9.2630000000000004E-2</v>
      </c>
      <c r="Z292" s="676">
        <f>T_CEFF!T194</f>
        <v>9.2630000000000004E-2</v>
      </c>
      <c r="AA292" s="676">
        <f>T_CEFF!U194</f>
        <v>9.2630000000000004E-2</v>
      </c>
      <c r="AB292" s="676">
        <f>T_CEFF!V194</f>
        <v>9.2630000000000004E-2</v>
      </c>
      <c r="AV292" s="700" t="str">
        <f t="shared" si="326"/>
        <v/>
      </c>
      <c r="AW292" s="568"/>
    </row>
    <row r="293" spans="1:64" s="83" customFormat="1" x14ac:dyDescent="0.25">
      <c r="B293" s="178" t="str">
        <f t="shared" si="329"/>
        <v>TFMEHYG100</v>
      </c>
      <c r="C293" s="178"/>
      <c r="D293" s="179"/>
      <c r="E293" s="178"/>
      <c r="F293" s="182"/>
      <c r="G293" s="324" t="s">
        <v>433</v>
      </c>
      <c r="H293" s="182"/>
      <c r="I293" s="183"/>
      <c r="J293" s="184"/>
      <c r="K293" s="184"/>
      <c r="L293" s="184" t="s">
        <v>1126</v>
      </c>
      <c r="M293" s="184" t="s">
        <v>678</v>
      </c>
      <c r="N293" s="676">
        <f>T_CEFF!H195</f>
        <v>7.4109999999999995E-2</v>
      </c>
      <c r="O293" s="676">
        <f>T_CEFF!I195</f>
        <v>7.4109999999999995E-2</v>
      </c>
      <c r="P293" s="676">
        <f>T_CEFF!J195</f>
        <v>7.4109999999999995E-2</v>
      </c>
      <c r="Q293" s="676">
        <f>T_CEFF!K195</f>
        <v>7.4109999999999995E-2</v>
      </c>
      <c r="R293" s="676">
        <f>T_CEFF!L195</f>
        <v>7.4109999999999995E-2</v>
      </c>
      <c r="S293" s="676">
        <f>T_CEFF!M195</f>
        <v>7.4109999999999995E-2</v>
      </c>
      <c r="T293" s="676">
        <f>T_CEFF!N195</f>
        <v>7.4109999999999995E-2</v>
      </c>
      <c r="U293" s="676">
        <f>T_CEFF!O195</f>
        <v>7.4109999999999995E-2</v>
      </c>
      <c r="V293" s="676">
        <f>T_CEFF!P195</f>
        <v>7.4109999999999995E-2</v>
      </c>
      <c r="W293" s="676">
        <f>T_CEFF!Q195</f>
        <v>7.4109999999999995E-2</v>
      </c>
      <c r="X293" s="676">
        <f>T_CEFF!R195</f>
        <v>7.4109999999999995E-2</v>
      </c>
      <c r="Y293" s="676">
        <f>T_CEFF!S195</f>
        <v>7.4109999999999995E-2</v>
      </c>
      <c r="Z293" s="676">
        <f>T_CEFF!T195</f>
        <v>7.4109999999999995E-2</v>
      </c>
      <c r="AA293" s="676">
        <f>T_CEFF!U195</f>
        <v>7.4109999999999995E-2</v>
      </c>
      <c r="AB293" s="676">
        <f>T_CEFF!V195</f>
        <v>7.4109999999999995E-2</v>
      </c>
      <c r="AV293" s="700" t="str">
        <f t="shared" ref="AV293:AV294" si="330">MID(E293,1,7)</f>
        <v/>
      </c>
      <c r="AW293" s="568"/>
    </row>
    <row r="294" spans="1:64" s="83" customFormat="1" x14ac:dyDescent="0.25">
      <c r="B294" s="178" t="str">
        <f>B293</f>
        <v>TFMEHYG100</v>
      </c>
      <c r="C294" s="178"/>
      <c r="D294" s="179"/>
      <c r="E294" s="178"/>
      <c r="F294" s="182"/>
      <c r="G294" s="181"/>
      <c r="H294" s="182"/>
      <c r="I294" s="183"/>
      <c r="J294" s="184"/>
      <c r="K294" s="184" t="s">
        <v>749</v>
      </c>
      <c r="L294" s="184" t="s">
        <v>1128</v>
      </c>
      <c r="M294" s="184" t="s">
        <v>1175</v>
      </c>
      <c r="N294" s="388">
        <f>N$24</f>
        <v>0</v>
      </c>
      <c r="O294" s="388">
        <f t="shared" ref="O294:AB294" si="331">O$24</f>
        <v>0</v>
      </c>
      <c r="P294" s="388">
        <f t="shared" si="331"/>
        <v>0</v>
      </c>
      <c r="Q294" s="388">
        <f t="shared" si="331"/>
        <v>0</v>
      </c>
      <c r="R294" s="388">
        <f t="shared" si="331"/>
        <v>0</v>
      </c>
      <c r="S294" s="388">
        <f t="shared" si="331"/>
        <v>0</v>
      </c>
      <c r="T294" s="388">
        <f t="shared" si="331"/>
        <v>0</v>
      </c>
      <c r="U294" s="388">
        <f t="shared" si="331"/>
        <v>0</v>
      </c>
      <c r="V294" s="388">
        <f t="shared" si="331"/>
        <v>0</v>
      </c>
      <c r="W294" s="388">
        <f t="shared" si="331"/>
        <v>0</v>
      </c>
      <c r="X294" s="388">
        <f t="shared" si="331"/>
        <v>0</v>
      </c>
      <c r="Y294" s="388">
        <f t="shared" si="331"/>
        <v>0</v>
      </c>
      <c r="Z294" s="388">
        <f t="shared" si="331"/>
        <v>0</v>
      </c>
      <c r="AA294" s="388">
        <f t="shared" si="331"/>
        <v>0</v>
      </c>
      <c r="AB294" s="388">
        <f t="shared" si="331"/>
        <v>0</v>
      </c>
      <c r="AV294" s="700" t="str">
        <f t="shared" si="330"/>
        <v/>
      </c>
      <c r="AW294" s="568"/>
    </row>
    <row r="295" spans="1:64" s="83" customFormat="1" x14ac:dyDescent="0.25">
      <c r="B295" s="178" t="str">
        <f t="shared" si="329"/>
        <v>TFMEHYG100</v>
      </c>
      <c r="C295" s="178"/>
      <c r="D295" s="179"/>
      <c r="E295" s="178"/>
      <c r="F295" s="182"/>
      <c r="G295" s="181"/>
      <c r="H295" s="182"/>
      <c r="I295" s="183"/>
      <c r="J295" s="184"/>
      <c r="K295" s="184"/>
      <c r="L295" s="203" t="s">
        <v>1130</v>
      </c>
      <c r="M295" s="184" t="s">
        <v>1131</v>
      </c>
      <c r="N295" s="397">
        <f>LOOKUP($C$290, T_NCAP_AF!$C$155:$C$165, T_NCAP_AF!D$155:D$165)*(1+N195)</f>
        <v>0</v>
      </c>
      <c r="O295" s="397">
        <f>LOOKUP($C$290, T_NCAP_AF!$C$155:$C$165, T_NCAP_AF!E$155:E$165)*(1+O195)</f>
        <v>0</v>
      </c>
      <c r="P295" s="397">
        <f>LOOKUP($C$290, T_NCAP_AF!$C$155:$C$165, T_NCAP_AF!F$155:F$165)*(1+P195)</f>
        <v>0</v>
      </c>
      <c r="Q295" s="397">
        <f>LOOKUP($C$290, T_NCAP_AF!$C$155:$C$165, T_NCAP_AF!G$155:G$165)*(1+Q195)</f>
        <v>0</v>
      </c>
      <c r="R295" s="397">
        <f>LOOKUP($C$290, T_NCAP_AF!$C$155:$C$165, T_NCAP_AF!H$155:H$165)*(1+R195)</f>
        <v>0</v>
      </c>
      <c r="S295" s="397">
        <f>LOOKUP($C$290, T_NCAP_AF!$C$155:$C$165, T_NCAP_AF!I$155:I$165)*(1+S195)</f>
        <v>0</v>
      </c>
      <c r="T295" s="397">
        <f>LOOKUP($C$290, T_NCAP_AF!$C$155:$C$165, T_NCAP_AF!J$155:J$165)*(1+T195)</f>
        <v>0</v>
      </c>
      <c r="U295" s="397">
        <f>LOOKUP($C$290, T_NCAP_AF!$C$155:$C$165, T_NCAP_AF!K$155:K$165)*(1+U195)</f>
        <v>0</v>
      </c>
      <c r="V295" s="397">
        <f>LOOKUP($C$290, T_NCAP_AF!$C$155:$C$165, T_NCAP_AF!L$155:L$165)*(1+V195)</f>
        <v>0</v>
      </c>
      <c r="W295" s="397">
        <f>LOOKUP($C$290, T_NCAP_AF!$C$155:$C$165, T_NCAP_AF!M$155:M$165)*(1+W195)</f>
        <v>0</v>
      </c>
      <c r="X295" s="397">
        <f>LOOKUP($C$290, T_NCAP_AF!$C$155:$C$165, T_NCAP_AF!N$155:N$165)*(1+X195)</f>
        <v>0</v>
      </c>
      <c r="Y295" s="397">
        <f>LOOKUP($C$290, T_NCAP_AF!$C$155:$C$165, T_NCAP_AF!O$155:O$165)*(1+Y195)</f>
        <v>0</v>
      </c>
      <c r="Z295" s="397">
        <f>LOOKUP($C$290, T_NCAP_AF!$C$155:$C$165, T_NCAP_AF!P$155:P$165)*(1+Z195)</f>
        <v>0</v>
      </c>
      <c r="AA295" s="397">
        <f>LOOKUP($C$290, T_NCAP_AF!$C$155:$C$165, T_NCAP_AF!Q$155:Q$165)*(1+AA195)</f>
        <v>0</v>
      </c>
      <c r="AB295" s="397">
        <f>LOOKUP($C$290, T_NCAP_AF!$C$155:$C$165, T_NCAP_AF!R$155:R$165)*(1+AB195)</f>
        <v>0</v>
      </c>
      <c r="AE295" s="572">
        <f>SUM(AF295:AT295)</f>
        <v>0</v>
      </c>
      <c r="AF295" s="85">
        <f t="shared" ref="AF295:AT295" si="332">N294*N295*N296/1000</f>
        <v>0</v>
      </c>
      <c r="AG295" s="85">
        <f t="shared" si="332"/>
        <v>0</v>
      </c>
      <c r="AH295" s="85">
        <f t="shared" si="332"/>
        <v>0</v>
      </c>
      <c r="AI295" s="85">
        <f t="shared" si="332"/>
        <v>0</v>
      </c>
      <c r="AJ295" s="85">
        <f t="shared" si="332"/>
        <v>0</v>
      </c>
      <c r="AK295" s="85">
        <f t="shared" si="332"/>
        <v>0</v>
      </c>
      <c r="AL295" s="85">
        <f t="shared" si="332"/>
        <v>0</v>
      </c>
      <c r="AM295" s="85">
        <f t="shared" si="332"/>
        <v>0</v>
      </c>
      <c r="AN295" s="85">
        <f t="shared" si="332"/>
        <v>0</v>
      </c>
      <c r="AO295" s="85">
        <f t="shared" si="332"/>
        <v>0</v>
      </c>
      <c r="AP295" s="85">
        <f t="shared" si="332"/>
        <v>0</v>
      </c>
      <c r="AQ295" s="85">
        <f t="shared" si="332"/>
        <v>0</v>
      </c>
      <c r="AR295" s="85">
        <f t="shared" si="332"/>
        <v>0</v>
      </c>
      <c r="AS295" s="85">
        <f t="shared" si="332"/>
        <v>0</v>
      </c>
      <c r="AT295" s="85">
        <f t="shared" si="332"/>
        <v>0</v>
      </c>
    </row>
    <row r="296" spans="1:64" s="83" customFormat="1" x14ac:dyDescent="0.25">
      <c r="B296" s="178" t="str">
        <f>B295</f>
        <v>TFMEHYG100</v>
      </c>
      <c r="C296" s="178"/>
      <c r="D296" s="179"/>
      <c r="E296" s="178"/>
      <c r="F296" s="182"/>
      <c r="G296" s="181"/>
      <c r="H296" s="182"/>
      <c r="I296" s="183">
        <f>$M$3</f>
        <v>2019</v>
      </c>
      <c r="J296" s="184"/>
      <c r="K296" s="184"/>
      <c r="L296" s="203" t="s">
        <v>1065</v>
      </c>
      <c r="M296" s="184" t="s">
        <v>748</v>
      </c>
      <c r="N296" s="694">
        <f>LOOKUP($C$290, T_Stock_Private!$C$106:$C$117, T_Stock_Private!D$106:D$117)*(1+N196)</f>
        <v>0</v>
      </c>
      <c r="O296" s="694">
        <f>LOOKUP($C$290, T_Stock_Private!$C$106:$C$117, T_Stock_Private!E$106:E$117)*(1+O196)</f>
        <v>0</v>
      </c>
      <c r="P296" s="694">
        <f>LOOKUP($C$290, T_Stock_Private!$C$106:$C$117, T_Stock_Private!F$106:F$117)*(1+P196)</f>
        <v>0</v>
      </c>
      <c r="Q296" s="694">
        <f>LOOKUP($C$290, T_Stock_Private!$C$106:$C$117, T_Stock_Private!G$106:G$117)*(1+Q196)</f>
        <v>0</v>
      </c>
      <c r="R296" s="694">
        <f>LOOKUP($C$290, T_Stock_Private!$C$106:$C$117, T_Stock_Private!H$106:H$117)*(1+R196)</f>
        <v>0</v>
      </c>
      <c r="S296" s="694">
        <f>LOOKUP($C$290, T_Stock_Private!$C$106:$C$117, T_Stock_Private!I$106:I$117)*(1+S196)</f>
        <v>0</v>
      </c>
      <c r="T296" s="694">
        <f>LOOKUP($C$290, T_Stock_Private!$C$106:$C$117, T_Stock_Private!J$106:J$117)*(1+T196)</f>
        <v>0</v>
      </c>
      <c r="U296" s="694">
        <f>LOOKUP($C$290, T_Stock_Private!$C$106:$C$117, T_Stock_Private!K$106:K$117)*(1+U196)</f>
        <v>0</v>
      </c>
      <c r="V296" s="694">
        <f>LOOKUP($C$290, T_Stock_Private!$C$106:$C$117, T_Stock_Private!L$106:L$117)*(1+V196)</f>
        <v>0</v>
      </c>
      <c r="W296" s="694">
        <f>LOOKUP($C$290, T_Stock_Private!$C$106:$C$117, T_Stock_Private!M$106:M$117)*(1+W196)</f>
        <v>0</v>
      </c>
      <c r="X296" s="694">
        <f>LOOKUP($C$290, T_Stock_Private!$C$106:$C$117, T_Stock_Private!N$106:N$117)*(1+X196)</f>
        <v>0</v>
      </c>
      <c r="Y296" s="694">
        <f>LOOKUP($C$290, T_Stock_Private!$C$106:$C$117, T_Stock_Private!O$106:O$117)*(1+Y196)</f>
        <v>0</v>
      </c>
      <c r="Z296" s="694">
        <f>LOOKUP($C$290, T_Stock_Private!$C$106:$C$117, T_Stock_Private!P$106:P$117)*(1+Z196)</f>
        <v>0</v>
      </c>
      <c r="AA296" s="694">
        <f>LOOKUP($C$290, T_Stock_Private!$C$106:$C$117, T_Stock_Private!Q$106:Q$117)*(1+AA196)</f>
        <v>0</v>
      </c>
      <c r="AB296" s="694">
        <f>LOOKUP($C$290, T_Stock_Private!$C$106:$C$117, T_Stock_Private!R$106:R$117)*(1+AB196)</f>
        <v>0</v>
      </c>
    </row>
    <row r="297" spans="1:64" s="83" customFormat="1" x14ac:dyDescent="0.25">
      <c r="B297" s="178" t="str">
        <f t="shared" si="329"/>
        <v>TFMEHYG100</v>
      </c>
      <c r="C297" s="178"/>
      <c r="D297" s="179"/>
      <c r="E297" s="178"/>
      <c r="F297" s="182"/>
      <c r="G297" s="181"/>
      <c r="H297" s="182"/>
      <c r="I297" s="183">
        <f>AF$5</f>
        <v>2020</v>
      </c>
      <c r="J297" s="184"/>
      <c r="K297" s="184"/>
      <c r="L297" s="203" t="s">
        <v>1065</v>
      </c>
      <c r="M297" s="184" t="s">
        <v>748</v>
      </c>
      <c r="N297" s="694">
        <f t="shared" ref="N297:AB297" si="333">N296*LOOKUP($AD290,$AG$4:$AP$4,$AG$5:$AP$5)</f>
        <v>0</v>
      </c>
      <c r="O297" s="694">
        <f t="shared" si="333"/>
        <v>0</v>
      </c>
      <c r="P297" s="694">
        <f t="shared" si="333"/>
        <v>0</v>
      </c>
      <c r="Q297" s="694">
        <f t="shared" si="333"/>
        <v>0</v>
      </c>
      <c r="R297" s="694">
        <f t="shared" si="333"/>
        <v>0</v>
      </c>
      <c r="S297" s="694">
        <f t="shared" si="333"/>
        <v>0</v>
      </c>
      <c r="T297" s="694">
        <f t="shared" si="333"/>
        <v>0</v>
      </c>
      <c r="U297" s="694">
        <f t="shared" si="333"/>
        <v>0</v>
      </c>
      <c r="V297" s="694">
        <f t="shared" si="333"/>
        <v>0</v>
      </c>
      <c r="W297" s="694">
        <f t="shared" si="333"/>
        <v>0</v>
      </c>
      <c r="X297" s="694">
        <f t="shared" si="333"/>
        <v>0</v>
      </c>
      <c r="Y297" s="694">
        <f t="shared" si="333"/>
        <v>0</v>
      </c>
      <c r="Z297" s="694">
        <f t="shared" si="333"/>
        <v>0</v>
      </c>
      <c r="AA297" s="694">
        <f t="shared" si="333"/>
        <v>0</v>
      </c>
      <c r="AB297" s="694">
        <f t="shared" si="333"/>
        <v>0</v>
      </c>
    </row>
    <row r="298" spans="1:64" s="83" customFormat="1" x14ac:dyDescent="0.25">
      <c r="B298" s="178" t="str">
        <f t="shared" si="329"/>
        <v>TFMEHYG100</v>
      </c>
      <c r="C298" s="178"/>
      <c r="D298" s="179"/>
      <c r="E298" s="178"/>
      <c r="F298" s="182"/>
      <c r="G298" s="181"/>
      <c r="H298" s="182"/>
      <c r="I298" s="183">
        <f>AF$6</f>
        <v>2025</v>
      </c>
      <c r="J298" s="184"/>
      <c r="K298" s="184"/>
      <c r="L298" s="203" t="s">
        <v>1065</v>
      </c>
      <c r="M298" s="184" t="s">
        <v>748</v>
      </c>
      <c r="N298" s="694">
        <f t="shared" ref="N298:AB298" si="334">N296*LOOKUP($AD290,$AG$4:$AP$4,$AG$6:$AP$6)</f>
        <v>0</v>
      </c>
      <c r="O298" s="694">
        <f t="shared" si="334"/>
        <v>0</v>
      </c>
      <c r="P298" s="694">
        <f t="shared" si="334"/>
        <v>0</v>
      </c>
      <c r="Q298" s="694">
        <f t="shared" si="334"/>
        <v>0</v>
      </c>
      <c r="R298" s="694">
        <f t="shared" si="334"/>
        <v>0</v>
      </c>
      <c r="S298" s="694">
        <f t="shared" si="334"/>
        <v>0</v>
      </c>
      <c r="T298" s="694">
        <f t="shared" si="334"/>
        <v>0</v>
      </c>
      <c r="U298" s="694">
        <f t="shared" si="334"/>
        <v>0</v>
      </c>
      <c r="V298" s="694">
        <f t="shared" si="334"/>
        <v>0</v>
      </c>
      <c r="W298" s="694">
        <f t="shared" si="334"/>
        <v>0</v>
      </c>
      <c r="X298" s="694">
        <f t="shared" si="334"/>
        <v>0</v>
      </c>
      <c r="Y298" s="694">
        <f t="shared" si="334"/>
        <v>0</v>
      </c>
      <c r="Z298" s="694">
        <f t="shared" si="334"/>
        <v>0</v>
      </c>
      <c r="AA298" s="694">
        <f t="shared" si="334"/>
        <v>0</v>
      </c>
      <c r="AB298" s="694">
        <f t="shared" si="334"/>
        <v>0</v>
      </c>
    </row>
    <row r="299" spans="1:64" s="83" customFormat="1" x14ac:dyDescent="0.25">
      <c r="B299" s="178" t="str">
        <f t="shared" si="329"/>
        <v>TFMEHYG100</v>
      </c>
      <c r="C299" s="178"/>
      <c r="D299" s="179"/>
      <c r="E299" s="178"/>
      <c r="F299" s="182"/>
      <c r="G299" s="181"/>
      <c r="H299" s="182"/>
      <c r="I299" s="183">
        <f>AF$7</f>
        <v>2030</v>
      </c>
      <c r="J299" s="184"/>
      <c r="K299" s="184"/>
      <c r="L299" s="203" t="s">
        <v>1065</v>
      </c>
      <c r="M299" s="184" t="s">
        <v>748</v>
      </c>
      <c r="N299" s="694">
        <f t="shared" ref="N299:AB299" si="335">N296*LOOKUP($AD290,$AG$4:$AP$4,$AG$7:$AP$7)</f>
        <v>0</v>
      </c>
      <c r="O299" s="694">
        <f t="shared" si="335"/>
        <v>0</v>
      </c>
      <c r="P299" s="694">
        <f t="shared" si="335"/>
        <v>0</v>
      </c>
      <c r="Q299" s="694">
        <f t="shared" si="335"/>
        <v>0</v>
      </c>
      <c r="R299" s="694">
        <f t="shared" si="335"/>
        <v>0</v>
      </c>
      <c r="S299" s="694">
        <f t="shared" si="335"/>
        <v>0</v>
      </c>
      <c r="T299" s="694">
        <f t="shared" si="335"/>
        <v>0</v>
      </c>
      <c r="U299" s="694">
        <f t="shared" si="335"/>
        <v>0</v>
      </c>
      <c r="V299" s="694">
        <f t="shared" si="335"/>
        <v>0</v>
      </c>
      <c r="W299" s="694">
        <f t="shared" si="335"/>
        <v>0</v>
      </c>
      <c r="X299" s="694">
        <f t="shared" si="335"/>
        <v>0</v>
      </c>
      <c r="Y299" s="694">
        <f t="shared" si="335"/>
        <v>0</v>
      </c>
      <c r="Z299" s="694">
        <f t="shared" si="335"/>
        <v>0</v>
      </c>
      <c r="AA299" s="694">
        <f t="shared" si="335"/>
        <v>0</v>
      </c>
      <c r="AB299" s="694">
        <f t="shared" si="335"/>
        <v>0</v>
      </c>
    </row>
    <row r="300" spans="1:64" s="83" customFormat="1" x14ac:dyDescent="0.25">
      <c r="B300" s="178" t="str">
        <f t="shared" si="329"/>
        <v>TFMEHYG100</v>
      </c>
      <c r="C300" s="178"/>
      <c r="D300" s="179"/>
      <c r="E300" s="178"/>
      <c r="F300" s="182"/>
      <c r="G300" s="181"/>
      <c r="H300" s="182"/>
      <c r="I300" s="183">
        <f>AF$8</f>
        <v>2035</v>
      </c>
      <c r="J300" s="184"/>
      <c r="K300" s="184"/>
      <c r="L300" s="203" t="s">
        <v>1065</v>
      </c>
      <c r="M300" s="184" t="s">
        <v>748</v>
      </c>
      <c r="N300" s="694">
        <f t="shared" ref="N300:AB300" si="336">N296*LOOKUP($AD290,$AG$4:$AP$4,$AG$8:$AP$8)</f>
        <v>0</v>
      </c>
      <c r="O300" s="694">
        <f t="shared" si="336"/>
        <v>0</v>
      </c>
      <c r="P300" s="694">
        <f t="shared" si="336"/>
        <v>0</v>
      </c>
      <c r="Q300" s="694">
        <f t="shared" si="336"/>
        <v>0</v>
      </c>
      <c r="R300" s="694">
        <f t="shared" si="336"/>
        <v>0</v>
      </c>
      <c r="S300" s="694">
        <f t="shared" si="336"/>
        <v>0</v>
      </c>
      <c r="T300" s="694">
        <f t="shared" si="336"/>
        <v>0</v>
      </c>
      <c r="U300" s="694">
        <f t="shared" si="336"/>
        <v>0</v>
      </c>
      <c r="V300" s="694">
        <f t="shared" si="336"/>
        <v>0</v>
      </c>
      <c r="W300" s="694">
        <f t="shared" si="336"/>
        <v>0</v>
      </c>
      <c r="X300" s="694">
        <f t="shared" si="336"/>
        <v>0</v>
      </c>
      <c r="Y300" s="694">
        <f t="shared" si="336"/>
        <v>0</v>
      </c>
      <c r="Z300" s="694">
        <f t="shared" si="336"/>
        <v>0</v>
      </c>
      <c r="AA300" s="694">
        <f t="shared" si="336"/>
        <v>0</v>
      </c>
      <c r="AB300" s="694">
        <f t="shared" si="336"/>
        <v>0</v>
      </c>
    </row>
    <row r="301" spans="1:64" s="83" customFormat="1" x14ac:dyDescent="0.25">
      <c r="B301" s="178" t="str">
        <f t="shared" si="329"/>
        <v>TFMEHYG100</v>
      </c>
      <c r="C301" s="178"/>
      <c r="D301" s="179"/>
      <c r="E301" s="178"/>
      <c r="F301" s="182"/>
      <c r="G301" s="181"/>
      <c r="H301" s="182"/>
      <c r="I301" s="183">
        <f>AF$9</f>
        <v>2040</v>
      </c>
      <c r="J301" s="184"/>
      <c r="K301" s="184"/>
      <c r="L301" s="203" t="s">
        <v>1065</v>
      </c>
      <c r="M301" s="184" t="s">
        <v>748</v>
      </c>
      <c r="N301" s="694">
        <f t="shared" ref="N301:AB301" si="337">N296*LOOKUP($AD290,$AG$4:$AP$4,$AG$9:$AP$9)</f>
        <v>0</v>
      </c>
      <c r="O301" s="694">
        <f t="shared" si="337"/>
        <v>0</v>
      </c>
      <c r="P301" s="694">
        <f t="shared" si="337"/>
        <v>0</v>
      </c>
      <c r="Q301" s="694">
        <f t="shared" si="337"/>
        <v>0</v>
      </c>
      <c r="R301" s="694">
        <f t="shared" si="337"/>
        <v>0</v>
      </c>
      <c r="S301" s="694">
        <f t="shared" si="337"/>
        <v>0</v>
      </c>
      <c r="T301" s="694">
        <f t="shared" si="337"/>
        <v>0</v>
      </c>
      <c r="U301" s="694">
        <f t="shared" si="337"/>
        <v>0</v>
      </c>
      <c r="V301" s="694">
        <f t="shared" si="337"/>
        <v>0</v>
      </c>
      <c r="W301" s="694">
        <f t="shared" si="337"/>
        <v>0</v>
      </c>
      <c r="X301" s="694">
        <f t="shared" si="337"/>
        <v>0</v>
      </c>
      <c r="Y301" s="694">
        <f t="shared" si="337"/>
        <v>0</v>
      </c>
      <c r="Z301" s="694">
        <f t="shared" si="337"/>
        <v>0</v>
      </c>
      <c r="AA301" s="694">
        <f t="shared" si="337"/>
        <v>0</v>
      </c>
      <c r="AB301" s="694">
        <f t="shared" si="337"/>
        <v>0</v>
      </c>
    </row>
    <row r="302" spans="1:64" s="83" customFormat="1" x14ac:dyDescent="0.25">
      <c r="B302" s="204" t="str">
        <f t="shared" si="329"/>
        <v>TFMEHYG100</v>
      </c>
      <c r="C302" s="204"/>
      <c r="D302" s="205"/>
      <c r="E302" s="204"/>
      <c r="F302" s="206"/>
      <c r="G302" s="207"/>
      <c r="H302" s="206"/>
      <c r="I302" s="208">
        <f>AF$10</f>
        <v>2050</v>
      </c>
      <c r="J302" s="209"/>
      <c r="K302" s="209"/>
      <c r="L302" s="210" t="s">
        <v>1065</v>
      </c>
      <c r="M302" s="209" t="s">
        <v>748</v>
      </c>
      <c r="N302" s="695">
        <f t="shared" ref="N302:AB302" si="338">N296*LOOKUP($AD290,$AG$4:$AP$4,$AG$10:$AP$10)</f>
        <v>0</v>
      </c>
      <c r="O302" s="695">
        <f t="shared" si="338"/>
        <v>0</v>
      </c>
      <c r="P302" s="695">
        <f t="shared" si="338"/>
        <v>0</v>
      </c>
      <c r="Q302" s="695">
        <f t="shared" si="338"/>
        <v>0</v>
      </c>
      <c r="R302" s="695">
        <f t="shared" si="338"/>
        <v>0</v>
      </c>
      <c r="S302" s="695">
        <f t="shared" si="338"/>
        <v>0</v>
      </c>
      <c r="T302" s="695">
        <f t="shared" si="338"/>
        <v>0</v>
      </c>
      <c r="U302" s="695">
        <f t="shared" si="338"/>
        <v>0</v>
      </c>
      <c r="V302" s="695">
        <f t="shared" si="338"/>
        <v>0</v>
      </c>
      <c r="W302" s="695">
        <f t="shared" si="338"/>
        <v>0</v>
      </c>
      <c r="X302" s="695">
        <f t="shared" si="338"/>
        <v>0</v>
      </c>
      <c r="Y302" s="695">
        <f t="shared" si="338"/>
        <v>0</v>
      </c>
      <c r="Z302" s="695">
        <f t="shared" si="338"/>
        <v>0</v>
      </c>
      <c r="AA302" s="695">
        <f t="shared" si="338"/>
        <v>0</v>
      </c>
      <c r="AB302" s="695">
        <f t="shared" si="338"/>
        <v>0</v>
      </c>
    </row>
    <row r="303" spans="1:64" s="83" customFormat="1" x14ac:dyDescent="0.25">
      <c r="A303" s="82"/>
      <c r="B303" s="178" t="str">
        <f>C303</f>
        <v>TFMELPG100</v>
      </c>
      <c r="C303" s="178" t="s">
        <v>366</v>
      </c>
      <c r="D303" s="179" t="s">
        <v>842</v>
      </c>
      <c r="E303" s="180" t="s">
        <v>1033</v>
      </c>
      <c r="F303" s="182"/>
      <c r="G303" s="181"/>
      <c r="H303" s="182"/>
      <c r="I303" s="183"/>
      <c r="J303" s="184"/>
      <c r="K303" s="184"/>
      <c r="L303" s="203" t="s">
        <v>1107</v>
      </c>
      <c r="M303" s="184" t="s">
        <v>1125</v>
      </c>
      <c r="N303" s="378">
        <f>N$502</f>
        <v>1E-3</v>
      </c>
      <c r="O303" s="378">
        <f t="shared" ref="O303:AB303" si="339">$N303</f>
        <v>1E-3</v>
      </c>
      <c r="P303" s="378">
        <f t="shared" si="339"/>
        <v>1E-3</v>
      </c>
      <c r="Q303" s="378">
        <f t="shared" si="339"/>
        <v>1E-3</v>
      </c>
      <c r="R303" s="378">
        <f t="shared" si="339"/>
        <v>1E-3</v>
      </c>
      <c r="S303" s="378">
        <f t="shared" si="339"/>
        <v>1E-3</v>
      </c>
      <c r="T303" s="378">
        <f t="shared" si="339"/>
        <v>1E-3</v>
      </c>
      <c r="U303" s="378">
        <f t="shared" si="339"/>
        <v>1E-3</v>
      </c>
      <c r="V303" s="378">
        <f t="shared" si="339"/>
        <v>1E-3</v>
      </c>
      <c r="W303" s="378">
        <f t="shared" si="339"/>
        <v>1E-3</v>
      </c>
      <c r="X303" s="378">
        <f t="shared" si="339"/>
        <v>1E-3</v>
      </c>
      <c r="Y303" s="378">
        <f t="shared" si="339"/>
        <v>1E-3</v>
      </c>
      <c r="Z303" s="378">
        <f t="shared" si="339"/>
        <v>1E-3</v>
      </c>
      <c r="AA303" s="378">
        <f t="shared" si="339"/>
        <v>1E-3</v>
      </c>
      <c r="AB303" s="378">
        <f t="shared" si="339"/>
        <v>1E-3</v>
      </c>
      <c r="AD303" s="402" t="str">
        <f>MID(D303,14,3)</f>
        <v>LPG</v>
      </c>
      <c r="AV303" s="700" t="str">
        <f t="shared" ref="AV303:AV305" si="340">MID(E303,1,7)</f>
        <v>TRALPG</v>
      </c>
      <c r="AW303" s="568">
        <f t="shared" ref="AW303" si="341">SUM(AX303:BL303)</f>
        <v>0</v>
      </c>
    </row>
    <row r="304" spans="1:64" x14ac:dyDescent="0.25">
      <c r="A304" s="22"/>
      <c r="B304" s="186" t="str">
        <f t="shared" ref="B304:B314" si="342">B303</f>
        <v>TFMELPG100</v>
      </c>
      <c r="C304" s="186"/>
      <c r="D304" s="187"/>
      <c r="E304" s="186"/>
      <c r="F304" s="170"/>
      <c r="G304" s="324" t="s">
        <v>435</v>
      </c>
      <c r="H304" s="170"/>
      <c r="I304" s="190"/>
      <c r="J304" s="191"/>
      <c r="K304" s="191"/>
      <c r="L304" s="191" t="s">
        <v>1126</v>
      </c>
      <c r="M304" s="191" t="s">
        <v>678</v>
      </c>
      <c r="N304" s="676">
        <f>T_CEFF!H196</f>
        <v>7.3950000000000002E-2</v>
      </c>
      <c r="O304" s="676">
        <f>T_CEFF!I196</f>
        <v>7.3950000000000002E-2</v>
      </c>
      <c r="P304" s="676">
        <f>T_CEFF!J196</f>
        <v>7.3950000000000002E-2</v>
      </c>
      <c r="Q304" s="676">
        <f>T_CEFF!K196</f>
        <v>7.3950000000000002E-2</v>
      </c>
      <c r="R304" s="676">
        <f>T_CEFF!L196</f>
        <v>7.3950000000000002E-2</v>
      </c>
      <c r="S304" s="676">
        <f>T_CEFF!M196</f>
        <v>7.3950000000000002E-2</v>
      </c>
      <c r="T304" s="676">
        <f>T_CEFF!N196</f>
        <v>7.3950000000000002E-2</v>
      </c>
      <c r="U304" s="676">
        <f>T_CEFF!O196</f>
        <v>7.3950000000000002E-2</v>
      </c>
      <c r="V304" s="676">
        <f>T_CEFF!P196</f>
        <v>7.3950000000000002E-2</v>
      </c>
      <c r="W304" s="676">
        <f>T_CEFF!Q196</f>
        <v>7.3950000000000002E-2</v>
      </c>
      <c r="X304" s="676">
        <f>T_CEFF!R196</f>
        <v>7.3950000000000002E-2</v>
      </c>
      <c r="Y304" s="676">
        <f>T_CEFF!S196</f>
        <v>7.3950000000000002E-2</v>
      </c>
      <c r="Z304" s="676">
        <f>T_CEFF!T196</f>
        <v>7.3950000000000002E-2</v>
      </c>
      <c r="AA304" s="676">
        <f>T_CEFF!U196</f>
        <v>7.3950000000000002E-2</v>
      </c>
      <c r="AB304" s="676">
        <f>T_CEFF!V196</f>
        <v>7.3950000000000002E-2</v>
      </c>
      <c r="AD304" s="66" t="str">
        <f>IF(COUNTIF($AG$4:$AP$4,AD303)=1,"ok","MISSING")</f>
        <v>ok</v>
      </c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V304" s="700" t="str">
        <f t="shared" si="340"/>
        <v/>
      </c>
      <c r="AW304" s="568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  <c r="BL304" s="83"/>
    </row>
    <row r="305" spans="1:64" x14ac:dyDescent="0.25">
      <c r="A305" s="22"/>
      <c r="B305" s="186" t="str">
        <f t="shared" si="342"/>
        <v>TFMELPG100</v>
      </c>
      <c r="C305" s="186"/>
      <c r="D305" s="187"/>
      <c r="E305" s="186"/>
      <c r="F305" s="170"/>
      <c r="G305" s="324" t="s">
        <v>433</v>
      </c>
      <c r="H305" s="170"/>
      <c r="I305" s="190"/>
      <c r="J305" s="191"/>
      <c r="K305" s="191"/>
      <c r="L305" s="191" t="s">
        <v>1126</v>
      </c>
      <c r="M305" s="191" t="s">
        <v>678</v>
      </c>
      <c r="N305" s="676">
        <f>T_CEFF!H197</f>
        <v>5.9159999999999997E-2</v>
      </c>
      <c r="O305" s="676">
        <f>T_CEFF!I197</f>
        <v>5.9159999999999997E-2</v>
      </c>
      <c r="P305" s="676">
        <f>T_CEFF!J197</f>
        <v>5.9159999999999997E-2</v>
      </c>
      <c r="Q305" s="676">
        <f>T_CEFF!K197</f>
        <v>5.9159999999999997E-2</v>
      </c>
      <c r="R305" s="676">
        <f>T_CEFF!L197</f>
        <v>5.9159999999999997E-2</v>
      </c>
      <c r="S305" s="676">
        <f>T_CEFF!M197</f>
        <v>5.9159999999999997E-2</v>
      </c>
      <c r="T305" s="676">
        <f>T_CEFF!N197</f>
        <v>5.9159999999999997E-2</v>
      </c>
      <c r="U305" s="676">
        <f>T_CEFF!O197</f>
        <v>5.9159999999999997E-2</v>
      </c>
      <c r="V305" s="676">
        <f>T_CEFF!P197</f>
        <v>5.9159999999999997E-2</v>
      </c>
      <c r="W305" s="676">
        <f>T_CEFF!Q197</f>
        <v>5.9159999999999997E-2</v>
      </c>
      <c r="X305" s="676">
        <f>T_CEFF!R197</f>
        <v>5.9159999999999997E-2</v>
      </c>
      <c r="Y305" s="676">
        <f>T_CEFF!S197</f>
        <v>5.9159999999999997E-2</v>
      </c>
      <c r="Z305" s="676">
        <f>T_CEFF!T197</f>
        <v>5.9159999999999997E-2</v>
      </c>
      <c r="AA305" s="676">
        <f>T_CEFF!U197</f>
        <v>5.9159999999999997E-2</v>
      </c>
      <c r="AB305" s="676">
        <f>T_CEFF!V197</f>
        <v>5.9159999999999997E-2</v>
      </c>
      <c r="AV305" s="700" t="str">
        <f t="shared" si="340"/>
        <v/>
      </c>
      <c r="AW305" s="568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  <c r="BL305" s="83"/>
    </row>
    <row r="306" spans="1:64" x14ac:dyDescent="0.25">
      <c r="A306" s="22"/>
      <c r="B306" s="186" t="str">
        <f t="shared" si="342"/>
        <v>TFMELPG100</v>
      </c>
      <c r="C306" s="186"/>
      <c r="D306" s="187"/>
      <c r="E306" s="186"/>
      <c r="F306" s="170"/>
      <c r="G306" s="189"/>
      <c r="H306" s="170"/>
      <c r="I306" s="190"/>
      <c r="J306" s="191"/>
      <c r="K306" s="191" t="s">
        <v>749</v>
      </c>
      <c r="L306" s="191" t="s">
        <v>1128</v>
      </c>
      <c r="M306" s="191" t="s">
        <v>1175</v>
      </c>
      <c r="N306" s="388">
        <f>N$24</f>
        <v>0</v>
      </c>
      <c r="O306" s="388">
        <f t="shared" ref="O306:AB306" si="343">O$24</f>
        <v>0</v>
      </c>
      <c r="P306" s="388">
        <f t="shared" si="343"/>
        <v>0</v>
      </c>
      <c r="Q306" s="388">
        <f t="shared" si="343"/>
        <v>0</v>
      </c>
      <c r="R306" s="388">
        <f t="shared" si="343"/>
        <v>0</v>
      </c>
      <c r="S306" s="388">
        <f t="shared" si="343"/>
        <v>0</v>
      </c>
      <c r="T306" s="388">
        <f t="shared" si="343"/>
        <v>0</v>
      </c>
      <c r="U306" s="388">
        <f t="shared" si="343"/>
        <v>0</v>
      </c>
      <c r="V306" s="388">
        <f t="shared" si="343"/>
        <v>0</v>
      </c>
      <c r="W306" s="388">
        <f t="shared" si="343"/>
        <v>0</v>
      </c>
      <c r="X306" s="388">
        <f t="shared" si="343"/>
        <v>0</v>
      </c>
      <c r="Y306" s="388">
        <f t="shared" si="343"/>
        <v>0</v>
      </c>
      <c r="Z306" s="388">
        <f t="shared" si="343"/>
        <v>0</v>
      </c>
      <c r="AA306" s="388">
        <f t="shared" si="343"/>
        <v>0</v>
      </c>
      <c r="AB306" s="388">
        <f t="shared" si="343"/>
        <v>0</v>
      </c>
      <c r="AV306" s="700" t="str">
        <f t="shared" ref="AV306:AV307" si="344">MID(E306,1,7)</f>
        <v/>
      </c>
      <c r="AW306" s="568"/>
    </row>
    <row r="307" spans="1:64" x14ac:dyDescent="0.25">
      <c r="A307" s="22"/>
      <c r="B307" s="186" t="str">
        <f t="shared" si="342"/>
        <v>TFMELPG100</v>
      </c>
      <c r="C307" s="186"/>
      <c r="D307" s="187"/>
      <c r="E307" s="186"/>
      <c r="F307" s="170"/>
      <c r="G307" s="189"/>
      <c r="H307" s="170"/>
      <c r="I307" s="190"/>
      <c r="J307" s="191"/>
      <c r="K307" s="191"/>
      <c r="L307" s="211" t="s">
        <v>1130</v>
      </c>
      <c r="M307" s="191" t="s">
        <v>1131</v>
      </c>
      <c r="N307" s="397">
        <f>LOOKUP($C$303, T_NCAP_AF!$C$155:$C$165, T_NCAP_AF!D$155:D$165)*(1+N195)</f>
        <v>0</v>
      </c>
      <c r="O307" s="397">
        <f>LOOKUP($C$303, T_NCAP_AF!$C$155:$C$165, T_NCAP_AF!E$155:E$165)*(1+O195)</f>
        <v>0</v>
      </c>
      <c r="P307" s="397">
        <f>LOOKUP($C$303, T_NCAP_AF!$C$155:$C$165, T_NCAP_AF!F$155:F$165)*(1+P195)</f>
        <v>0</v>
      </c>
      <c r="Q307" s="397">
        <f>LOOKUP($C$303, T_NCAP_AF!$C$155:$C$165, T_NCAP_AF!G$155:G$165)*(1+Q195)</f>
        <v>0</v>
      </c>
      <c r="R307" s="397">
        <f>LOOKUP($C$303, T_NCAP_AF!$C$155:$C$165, T_NCAP_AF!H$155:H$165)*(1+R195)</f>
        <v>0</v>
      </c>
      <c r="S307" s="397">
        <f>LOOKUP($C$303, T_NCAP_AF!$C$155:$C$165, T_NCAP_AF!I$155:I$165)*(1+S195)</f>
        <v>0</v>
      </c>
      <c r="T307" s="397">
        <f>LOOKUP($C$303, T_NCAP_AF!$C$155:$C$165, T_NCAP_AF!J$155:J$165)*(1+T195)</f>
        <v>0</v>
      </c>
      <c r="U307" s="397">
        <f>LOOKUP($C$303, T_NCAP_AF!$C$155:$C$165, T_NCAP_AF!K$155:K$165)*(1+U195)</f>
        <v>0</v>
      </c>
      <c r="V307" s="397">
        <f>LOOKUP($C$303, T_NCAP_AF!$C$155:$C$165, T_NCAP_AF!L$155:L$165)*(1+V195)</f>
        <v>0</v>
      </c>
      <c r="W307" s="397">
        <f>LOOKUP($C$303, T_NCAP_AF!$C$155:$C$165, T_NCAP_AF!M$155:M$165)*(1+W195)</f>
        <v>0</v>
      </c>
      <c r="X307" s="397">
        <f>LOOKUP($C$303, T_NCAP_AF!$C$155:$C$165, T_NCAP_AF!N$155:N$165)*(1+X195)</f>
        <v>0</v>
      </c>
      <c r="Y307" s="397">
        <f>LOOKUP($C$303, T_NCAP_AF!$C$155:$C$165, T_NCAP_AF!O$155:O$165)*(1+Y195)</f>
        <v>0</v>
      </c>
      <c r="Z307" s="397">
        <f>LOOKUP($C$303, T_NCAP_AF!$C$155:$C$165, T_NCAP_AF!P$155:P$165)*(1+Z195)</f>
        <v>0</v>
      </c>
      <c r="AA307" s="397">
        <f>LOOKUP($C$303, T_NCAP_AF!$C$155:$C$165, T_NCAP_AF!Q$155:Q$165)*(1+AA195)</f>
        <v>0</v>
      </c>
      <c r="AB307" s="397">
        <f>LOOKUP($C$303, T_NCAP_AF!$C$155:$C$165, T_NCAP_AF!R$155:R$165)*(1+AB195)</f>
        <v>0</v>
      </c>
      <c r="AE307" s="572">
        <f>SUM(AF307:AT307)</f>
        <v>0</v>
      </c>
      <c r="AF307" s="85">
        <f t="shared" ref="AF307:AT307" si="345">N306*N307*N308/1000</f>
        <v>0</v>
      </c>
      <c r="AG307" s="85">
        <f t="shared" si="345"/>
        <v>0</v>
      </c>
      <c r="AH307" s="85">
        <f t="shared" si="345"/>
        <v>0</v>
      </c>
      <c r="AI307" s="85">
        <f t="shared" si="345"/>
        <v>0</v>
      </c>
      <c r="AJ307" s="85">
        <f t="shared" si="345"/>
        <v>0</v>
      </c>
      <c r="AK307" s="85">
        <f t="shared" si="345"/>
        <v>0</v>
      </c>
      <c r="AL307" s="85">
        <f t="shared" si="345"/>
        <v>0</v>
      </c>
      <c r="AM307" s="85">
        <f t="shared" si="345"/>
        <v>0</v>
      </c>
      <c r="AN307" s="85">
        <f t="shared" si="345"/>
        <v>0</v>
      </c>
      <c r="AO307" s="85">
        <f t="shared" si="345"/>
        <v>0</v>
      </c>
      <c r="AP307" s="85">
        <f t="shared" si="345"/>
        <v>0</v>
      </c>
      <c r="AQ307" s="85">
        <f t="shared" si="345"/>
        <v>0</v>
      </c>
      <c r="AR307" s="85">
        <f t="shared" si="345"/>
        <v>0</v>
      </c>
      <c r="AS307" s="85">
        <f t="shared" si="345"/>
        <v>0</v>
      </c>
      <c r="AT307" s="85">
        <f t="shared" si="345"/>
        <v>0</v>
      </c>
      <c r="AV307" s="700" t="str">
        <f t="shared" si="344"/>
        <v/>
      </c>
      <c r="AW307" s="568"/>
    </row>
    <row r="308" spans="1:64" x14ac:dyDescent="0.25">
      <c r="A308" s="22"/>
      <c r="B308" s="186" t="str">
        <f t="shared" si="342"/>
        <v>TFMELPG100</v>
      </c>
      <c r="C308" s="186"/>
      <c r="D308" s="187"/>
      <c r="E308" s="186"/>
      <c r="F308" s="170"/>
      <c r="G308" s="189"/>
      <c r="H308" s="170"/>
      <c r="I308" s="190">
        <f>$M$3</f>
        <v>2019</v>
      </c>
      <c r="J308" s="191"/>
      <c r="K308" s="191"/>
      <c r="L308" s="211" t="s">
        <v>1065</v>
      </c>
      <c r="M308" s="191" t="s">
        <v>748</v>
      </c>
      <c r="N308" s="694">
        <f>LOOKUP($C$303, T_Stock_Private!$C$106:$C$117, T_Stock_Private!D$106:D$117)*(1+N196)</f>
        <v>0</v>
      </c>
      <c r="O308" s="694">
        <f>LOOKUP($C$303, T_Stock_Private!$C$106:$C$117, T_Stock_Private!E$106:E$117)*(1+O196)</f>
        <v>0</v>
      </c>
      <c r="P308" s="694">
        <f>LOOKUP($C$303, T_Stock_Private!$C$106:$C$117, T_Stock_Private!F$106:F$117)*(1+P196)</f>
        <v>0</v>
      </c>
      <c r="Q308" s="694">
        <f>LOOKUP($C$303, T_Stock_Private!$C$106:$C$117, T_Stock_Private!G$106:G$117)*(1+Q196)</f>
        <v>0</v>
      </c>
      <c r="R308" s="694">
        <f>LOOKUP($C$303, T_Stock_Private!$C$106:$C$117, T_Stock_Private!H$106:H$117)*(1+R196)</f>
        <v>0</v>
      </c>
      <c r="S308" s="694">
        <f>LOOKUP($C$303, T_Stock_Private!$C$106:$C$117, T_Stock_Private!I$106:I$117)*(1+S196)</f>
        <v>0</v>
      </c>
      <c r="T308" s="694">
        <f>LOOKUP($C$303, T_Stock_Private!$C$106:$C$117, T_Stock_Private!J$106:J$117)*(1+T196)</f>
        <v>0</v>
      </c>
      <c r="U308" s="694">
        <f>LOOKUP($C$303, T_Stock_Private!$C$106:$C$117, T_Stock_Private!K$106:K$117)*(1+U196)</f>
        <v>0</v>
      </c>
      <c r="V308" s="694">
        <f>LOOKUP($C$303, T_Stock_Private!$C$106:$C$117, T_Stock_Private!L$106:L$117)*(1+V196)</f>
        <v>0</v>
      </c>
      <c r="W308" s="694">
        <f>LOOKUP($C$303, T_Stock_Private!$C$106:$C$117, T_Stock_Private!M$106:M$117)*(1+W196)</f>
        <v>0</v>
      </c>
      <c r="X308" s="694">
        <f>LOOKUP($C$303, T_Stock_Private!$C$106:$C$117, T_Stock_Private!N$106:N$117)*(1+X196)</f>
        <v>0</v>
      </c>
      <c r="Y308" s="694">
        <f>LOOKUP($C$303, T_Stock_Private!$C$106:$C$117, T_Stock_Private!O$106:O$117)*(1+Y196)</f>
        <v>0</v>
      </c>
      <c r="Z308" s="694">
        <f>LOOKUP($C$303, T_Stock_Private!$C$106:$C$117, T_Stock_Private!P$106:P$117)*(1+Z196)</f>
        <v>0</v>
      </c>
      <c r="AA308" s="694">
        <f>LOOKUP($C$303, T_Stock_Private!$C$106:$C$117, T_Stock_Private!Q$106:Q$117)*(1+AA196)</f>
        <v>0</v>
      </c>
      <c r="AB308" s="694">
        <f>LOOKUP($C$303, T_Stock_Private!$C$106:$C$117, T_Stock_Private!R$106:R$117)*(1+AB196)</f>
        <v>0</v>
      </c>
    </row>
    <row r="309" spans="1:64" x14ac:dyDescent="0.25">
      <c r="A309" s="22"/>
      <c r="B309" s="186" t="str">
        <f t="shared" si="342"/>
        <v>TFMELPG100</v>
      </c>
      <c r="C309" s="186"/>
      <c r="D309" s="187"/>
      <c r="E309" s="186"/>
      <c r="F309" s="170"/>
      <c r="G309" s="189"/>
      <c r="H309" s="170"/>
      <c r="I309" s="190">
        <f>AF$5</f>
        <v>2020</v>
      </c>
      <c r="J309" s="191"/>
      <c r="K309" s="191"/>
      <c r="L309" s="211" t="s">
        <v>1065</v>
      </c>
      <c r="M309" s="191" t="s">
        <v>748</v>
      </c>
      <c r="N309" s="694">
        <f t="shared" ref="N309:AB309" si="346">N308*LOOKUP($AD303,$AG$4:$AP$4,$AG$5:$AP$5)</f>
        <v>0</v>
      </c>
      <c r="O309" s="694">
        <f t="shared" si="346"/>
        <v>0</v>
      </c>
      <c r="P309" s="694">
        <f t="shared" si="346"/>
        <v>0</v>
      </c>
      <c r="Q309" s="694">
        <f t="shared" si="346"/>
        <v>0</v>
      </c>
      <c r="R309" s="694">
        <f t="shared" si="346"/>
        <v>0</v>
      </c>
      <c r="S309" s="694">
        <f t="shared" si="346"/>
        <v>0</v>
      </c>
      <c r="T309" s="694">
        <f t="shared" si="346"/>
        <v>0</v>
      </c>
      <c r="U309" s="694">
        <f t="shared" si="346"/>
        <v>0</v>
      </c>
      <c r="V309" s="694">
        <f t="shared" si="346"/>
        <v>0</v>
      </c>
      <c r="W309" s="694">
        <f t="shared" si="346"/>
        <v>0</v>
      </c>
      <c r="X309" s="694">
        <f t="shared" si="346"/>
        <v>0</v>
      </c>
      <c r="Y309" s="694">
        <f t="shared" si="346"/>
        <v>0</v>
      </c>
      <c r="Z309" s="694">
        <f t="shared" si="346"/>
        <v>0</v>
      </c>
      <c r="AA309" s="694">
        <f t="shared" si="346"/>
        <v>0</v>
      </c>
      <c r="AB309" s="694">
        <f t="shared" si="346"/>
        <v>0</v>
      </c>
    </row>
    <row r="310" spans="1:64" x14ac:dyDescent="0.25">
      <c r="A310" s="22"/>
      <c r="B310" s="186" t="str">
        <f t="shared" si="342"/>
        <v>TFMELPG100</v>
      </c>
      <c r="C310" s="186"/>
      <c r="D310" s="187"/>
      <c r="E310" s="186"/>
      <c r="F310" s="170"/>
      <c r="G310" s="189"/>
      <c r="H310" s="170"/>
      <c r="I310" s="190">
        <f>AF$6</f>
        <v>2025</v>
      </c>
      <c r="J310" s="191"/>
      <c r="K310" s="191"/>
      <c r="L310" s="211" t="s">
        <v>1065</v>
      </c>
      <c r="M310" s="191" t="s">
        <v>748</v>
      </c>
      <c r="N310" s="694">
        <f t="shared" ref="N310:AB310" si="347">N308*LOOKUP($AD303,$AG$4:$AP$4,$AG$6:$AP$6)</f>
        <v>0</v>
      </c>
      <c r="O310" s="694">
        <f t="shared" si="347"/>
        <v>0</v>
      </c>
      <c r="P310" s="694">
        <f t="shared" si="347"/>
        <v>0</v>
      </c>
      <c r="Q310" s="694">
        <f t="shared" si="347"/>
        <v>0</v>
      </c>
      <c r="R310" s="694">
        <f t="shared" si="347"/>
        <v>0</v>
      </c>
      <c r="S310" s="694">
        <f t="shared" si="347"/>
        <v>0</v>
      </c>
      <c r="T310" s="694">
        <f t="shared" si="347"/>
        <v>0</v>
      </c>
      <c r="U310" s="694">
        <f t="shared" si="347"/>
        <v>0</v>
      </c>
      <c r="V310" s="694">
        <f t="shared" si="347"/>
        <v>0</v>
      </c>
      <c r="W310" s="694">
        <f t="shared" si="347"/>
        <v>0</v>
      </c>
      <c r="X310" s="694">
        <f t="shared" si="347"/>
        <v>0</v>
      </c>
      <c r="Y310" s="694">
        <f t="shared" si="347"/>
        <v>0</v>
      </c>
      <c r="Z310" s="694">
        <f t="shared" si="347"/>
        <v>0</v>
      </c>
      <c r="AA310" s="694">
        <f t="shared" si="347"/>
        <v>0</v>
      </c>
      <c r="AB310" s="694">
        <f t="shared" si="347"/>
        <v>0</v>
      </c>
    </row>
    <row r="311" spans="1:64" x14ac:dyDescent="0.25">
      <c r="A311" s="22"/>
      <c r="B311" s="186" t="str">
        <f t="shared" si="342"/>
        <v>TFMELPG100</v>
      </c>
      <c r="C311" s="186"/>
      <c r="D311" s="187"/>
      <c r="E311" s="186"/>
      <c r="F311" s="170"/>
      <c r="G311" s="189"/>
      <c r="H311" s="170"/>
      <c r="I311" s="190">
        <f>AF$7</f>
        <v>2030</v>
      </c>
      <c r="J311" s="191"/>
      <c r="K311" s="191"/>
      <c r="L311" s="211" t="s">
        <v>1065</v>
      </c>
      <c r="M311" s="191" t="s">
        <v>748</v>
      </c>
      <c r="N311" s="694">
        <f t="shared" ref="N311:AB311" si="348">N308*LOOKUP($AD303,$AG$4:$AP$4,$AG$7:$AP$7)</f>
        <v>0</v>
      </c>
      <c r="O311" s="694">
        <f t="shared" si="348"/>
        <v>0</v>
      </c>
      <c r="P311" s="694">
        <f t="shared" si="348"/>
        <v>0</v>
      </c>
      <c r="Q311" s="694">
        <f t="shared" si="348"/>
        <v>0</v>
      </c>
      <c r="R311" s="694">
        <f t="shared" si="348"/>
        <v>0</v>
      </c>
      <c r="S311" s="694">
        <f t="shared" si="348"/>
        <v>0</v>
      </c>
      <c r="T311" s="694">
        <f t="shared" si="348"/>
        <v>0</v>
      </c>
      <c r="U311" s="694">
        <f t="shared" si="348"/>
        <v>0</v>
      </c>
      <c r="V311" s="694">
        <f t="shared" si="348"/>
        <v>0</v>
      </c>
      <c r="W311" s="694">
        <f t="shared" si="348"/>
        <v>0</v>
      </c>
      <c r="X311" s="694">
        <f t="shared" si="348"/>
        <v>0</v>
      </c>
      <c r="Y311" s="694">
        <f t="shared" si="348"/>
        <v>0</v>
      </c>
      <c r="Z311" s="694">
        <f t="shared" si="348"/>
        <v>0</v>
      </c>
      <c r="AA311" s="694">
        <f t="shared" si="348"/>
        <v>0</v>
      </c>
      <c r="AB311" s="694">
        <f t="shared" si="348"/>
        <v>0</v>
      </c>
    </row>
    <row r="312" spans="1:64" x14ac:dyDescent="0.25">
      <c r="A312" s="22"/>
      <c r="B312" s="186" t="str">
        <f t="shared" si="342"/>
        <v>TFMELPG100</v>
      </c>
      <c r="C312" s="186"/>
      <c r="D312" s="187"/>
      <c r="E312" s="186"/>
      <c r="F312" s="170"/>
      <c r="G312" s="189"/>
      <c r="H312" s="170"/>
      <c r="I312" s="190">
        <f>AF$8</f>
        <v>2035</v>
      </c>
      <c r="J312" s="191"/>
      <c r="K312" s="191"/>
      <c r="L312" s="211" t="s">
        <v>1065</v>
      </c>
      <c r="M312" s="191" t="s">
        <v>748</v>
      </c>
      <c r="N312" s="694">
        <f t="shared" ref="N312:AB312" si="349">N308*LOOKUP($AD303,$AG$4:$AP$4,$AG$8:$AP$8)</f>
        <v>0</v>
      </c>
      <c r="O312" s="694">
        <f t="shared" si="349"/>
        <v>0</v>
      </c>
      <c r="P312" s="694">
        <f t="shared" si="349"/>
        <v>0</v>
      </c>
      <c r="Q312" s="694">
        <f t="shared" si="349"/>
        <v>0</v>
      </c>
      <c r="R312" s="694">
        <f t="shared" si="349"/>
        <v>0</v>
      </c>
      <c r="S312" s="694">
        <f t="shared" si="349"/>
        <v>0</v>
      </c>
      <c r="T312" s="694">
        <f t="shared" si="349"/>
        <v>0</v>
      </c>
      <c r="U312" s="694">
        <f t="shared" si="349"/>
        <v>0</v>
      </c>
      <c r="V312" s="694">
        <f t="shared" si="349"/>
        <v>0</v>
      </c>
      <c r="W312" s="694">
        <f t="shared" si="349"/>
        <v>0</v>
      </c>
      <c r="X312" s="694">
        <f t="shared" si="349"/>
        <v>0</v>
      </c>
      <c r="Y312" s="694">
        <f t="shared" si="349"/>
        <v>0</v>
      </c>
      <c r="Z312" s="694">
        <f t="shared" si="349"/>
        <v>0</v>
      </c>
      <c r="AA312" s="694">
        <f t="shared" si="349"/>
        <v>0</v>
      </c>
      <c r="AB312" s="694">
        <f t="shared" si="349"/>
        <v>0</v>
      </c>
    </row>
    <row r="313" spans="1:64" x14ac:dyDescent="0.25">
      <c r="A313" s="22"/>
      <c r="B313" s="186" t="str">
        <f t="shared" si="342"/>
        <v>TFMELPG100</v>
      </c>
      <c r="C313" s="186"/>
      <c r="D313" s="187"/>
      <c r="E313" s="186"/>
      <c r="F313" s="170"/>
      <c r="G313" s="189"/>
      <c r="H313" s="170"/>
      <c r="I313" s="190">
        <f>AF$9</f>
        <v>2040</v>
      </c>
      <c r="J313" s="191"/>
      <c r="K313" s="191"/>
      <c r="L313" s="211" t="s">
        <v>1065</v>
      </c>
      <c r="M313" s="191" t="s">
        <v>748</v>
      </c>
      <c r="N313" s="694">
        <f t="shared" ref="N313:AB313" si="350">N308*LOOKUP($AD303,$AG$4:$AP$4,$AG$9:$AP$9)</f>
        <v>0</v>
      </c>
      <c r="O313" s="694">
        <f t="shared" si="350"/>
        <v>0</v>
      </c>
      <c r="P313" s="694">
        <f t="shared" si="350"/>
        <v>0</v>
      </c>
      <c r="Q313" s="694">
        <f t="shared" si="350"/>
        <v>0</v>
      </c>
      <c r="R313" s="694">
        <f t="shared" si="350"/>
        <v>0</v>
      </c>
      <c r="S313" s="694">
        <f t="shared" si="350"/>
        <v>0</v>
      </c>
      <c r="T313" s="694">
        <f t="shared" si="350"/>
        <v>0</v>
      </c>
      <c r="U313" s="694">
        <f t="shared" si="350"/>
        <v>0</v>
      </c>
      <c r="V313" s="694">
        <f t="shared" si="350"/>
        <v>0</v>
      </c>
      <c r="W313" s="694">
        <f t="shared" si="350"/>
        <v>0</v>
      </c>
      <c r="X313" s="694">
        <f t="shared" si="350"/>
        <v>0</v>
      </c>
      <c r="Y313" s="694">
        <f t="shared" si="350"/>
        <v>0</v>
      </c>
      <c r="Z313" s="694">
        <f t="shared" si="350"/>
        <v>0</v>
      </c>
      <c r="AA313" s="694">
        <f t="shared" si="350"/>
        <v>0</v>
      </c>
      <c r="AB313" s="694">
        <f t="shared" si="350"/>
        <v>0</v>
      </c>
    </row>
    <row r="314" spans="1:64" x14ac:dyDescent="0.25">
      <c r="A314" s="22"/>
      <c r="B314" s="193" t="str">
        <f t="shared" si="342"/>
        <v>TFMELPG100</v>
      </c>
      <c r="C314" s="193"/>
      <c r="D314" s="194"/>
      <c r="E314" s="193"/>
      <c r="F314" s="196"/>
      <c r="G314" s="195"/>
      <c r="H314" s="196"/>
      <c r="I314" s="197">
        <f>AF$10</f>
        <v>2050</v>
      </c>
      <c r="J314" s="198"/>
      <c r="K314" s="198"/>
      <c r="L314" s="212" t="s">
        <v>1065</v>
      </c>
      <c r="M314" s="198" t="s">
        <v>748</v>
      </c>
      <c r="N314" s="695">
        <f t="shared" ref="N314:AB314" si="351">N308*LOOKUP($AD303,$AG$4:$AP$4,$AG$10:$AP$10)</f>
        <v>0</v>
      </c>
      <c r="O314" s="695">
        <f t="shared" si="351"/>
        <v>0</v>
      </c>
      <c r="P314" s="695">
        <f t="shared" si="351"/>
        <v>0</v>
      </c>
      <c r="Q314" s="695">
        <f t="shared" si="351"/>
        <v>0</v>
      </c>
      <c r="R314" s="695">
        <f t="shared" si="351"/>
        <v>0</v>
      </c>
      <c r="S314" s="695">
        <f t="shared" si="351"/>
        <v>0</v>
      </c>
      <c r="T314" s="695">
        <f t="shared" si="351"/>
        <v>0</v>
      </c>
      <c r="U314" s="695">
        <f t="shared" si="351"/>
        <v>0</v>
      </c>
      <c r="V314" s="695">
        <f t="shared" si="351"/>
        <v>0</v>
      </c>
      <c r="W314" s="695">
        <f t="shared" si="351"/>
        <v>0</v>
      </c>
      <c r="X314" s="695">
        <f t="shared" si="351"/>
        <v>0</v>
      </c>
      <c r="Y314" s="695">
        <f t="shared" si="351"/>
        <v>0</v>
      </c>
      <c r="Z314" s="695">
        <f t="shared" si="351"/>
        <v>0</v>
      </c>
      <c r="AA314" s="695">
        <f t="shared" si="351"/>
        <v>0</v>
      </c>
      <c r="AB314" s="695">
        <f t="shared" si="351"/>
        <v>0</v>
      </c>
    </row>
    <row r="315" spans="1:64" s="83" customFormat="1" ht="15" customHeight="1" x14ac:dyDescent="0.25">
      <c r="A315" s="82"/>
      <c r="B315" s="178" t="str">
        <f>C315</f>
        <v>TFMEPYD100</v>
      </c>
      <c r="C315" s="178" t="s">
        <v>367</v>
      </c>
      <c r="D315" s="179" t="s">
        <v>844</v>
      </c>
      <c r="E315" s="407" t="s">
        <v>988</v>
      </c>
      <c r="F315" s="182"/>
      <c r="G315" s="181"/>
      <c r="H315" s="182"/>
      <c r="I315" s="183"/>
      <c r="J315" s="184"/>
      <c r="K315" s="184"/>
      <c r="L315" s="203" t="s">
        <v>1107</v>
      </c>
      <c r="M315" s="184" t="s">
        <v>1125</v>
      </c>
      <c r="N315" s="378">
        <f>N$502</f>
        <v>1E-3</v>
      </c>
      <c r="O315" s="378">
        <f t="shared" ref="O315:AB315" si="352">$N315</f>
        <v>1E-3</v>
      </c>
      <c r="P315" s="378">
        <f t="shared" si="352"/>
        <v>1E-3</v>
      </c>
      <c r="Q315" s="378">
        <f t="shared" si="352"/>
        <v>1E-3</v>
      </c>
      <c r="R315" s="378">
        <f t="shared" si="352"/>
        <v>1E-3</v>
      </c>
      <c r="S315" s="378">
        <f t="shared" si="352"/>
        <v>1E-3</v>
      </c>
      <c r="T315" s="378">
        <f t="shared" si="352"/>
        <v>1E-3</v>
      </c>
      <c r="U315" s="378">
        <f t="shared" si="352"/>
        <v>1E-3</v>
      </c>
      <c r="V315" s="378">
        <f t="shared" si="352"/>
        <v>1E-3</v>
      </c>
      <c r="W315" s="378">
        <f t="shared" si="352"/>
        <v>1E-3</v>
      </c>
      <c r="X315" s="378">
        <f t="shared" si="352"/>
        <v>1E-3</v>
      </c>
      <c r="Y315" s="378">
        <f t="shared" si="352"/>
        <v>1E-3</v>
      </c>
      <c r="Z315" s="378">
        <f t="shared" si="352"/>
        <v>1E-3</v>
      </c>
      <c r="AA315" s="378">
        <f t="shared" si="352"/>
        <v>1E-3</v>
      </c>
      <c r="AB315" s="378">
        <f t="shared" si="352"/>
        <v>1E-3</v>
      </c>
      <c r="AD315" s="410" t="str">
        <f>MID(D315,14,3)</f>
        <v>Plu</v>
      </c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V315" s="700" t="str">
        <f t="shared" ref="AV315:AV318" si="353">MID(E315,1,7)</f>
        <v>TRABDL</v>
      </c>
      <c r="AW315" s="568">
        <f t="shared" ref="AW315:AW316" si="354">SUM(AX315:BL315)</f>
        <v>0</v>
      </c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</row>
    <row r="316" spans="1:64" s="83" customFormat="1" x14ac:dyDescent="0.25">
      <c r="A316" s="82"/>
      <c r="B316" s="178" t="str">
        <f>B315</f>
        <v>TFMEPYD100</v>
      </c>
      <c r="C316" s="178"/>
      <c r="D316" s="179"/>
      <c r="E316" s="407" t="s">
        <v>185</v>
      </c>
      <c r="F316" s="182"/>
      <c r="G316" s="181"/>
      <c r="H316" s="182"/>
      <c r="I316" s="183"/>
      <c r="J316" s="184" t="str">
        <f>$J$214</f>
        <v>UP</v>
      </c>
      <c r="K316" s="184"/>
      <c r="L316" s="203" t="s">
        <v>101</v>
      </c>
      <c r="M316" s="184"/>
      <c r="N316" s="390">
        <f>1-N$29-N$28</f>
        <v>0.78</v>
      </c>
      <c r="O316" s="390">
        <f t="shared" ref="O316:AB316" si="355">1-O$29-O$28</f>
        <v>0.78</v>
      </c>
      <c r="P316" s="390">
        <f t="shared" si="355"/>
        <v>0.78</v>
      </c>
      <c r="Q316" s="390">
        <f t="shared" si="355"/>
        <v>0.78</v>
      </c>
      <c r="R316" s="390">
        <f t="shared" si="355"/>
        <v>0.78</v>
      </c>
      <c r="S316" s="390">
        <f t="shared" si="355"/>
        <v>0.78</v>
      </c>
      <c r="T316" s="390">
        <f t="shared" si="355"/>
        <v>0.78</v>
      </c>
      <c r="U316" s="390">
        <f t="shared" si="355"/>
        <v>0.78</v>
      </c>
      <c r="V316" s="390">
        <f t="shared" si="355"/>
        <v>0.78</v>
      </c>
      <c r="W316" s="390">
        <f t="shared" si="355"/>
        <v>0.78</v>
      </c>
      <c r="X316" s="390">
        <f t="shared" si="355"/>
        <v>0.78</v>
      </c>
      <c r="Y316" s="390">
        <f t="shared" si="355"/>
        <v>0.78</v>
      </c>
      <c r="Z316" s="390">
        <f t="shared" si="355"/>
        <v>0.78</v>
      </c>
      <c r="AA316" s="390">
        <f t="shared" si="355"/>
        <v>0.78</v>
      </c>
      <c r="AB316" s="390">
        <f t="shared" si="355"/>
        <v>0.78</v>
      </c>
      <c r="AD316" s="66" t="str">
        <f>IF(COUNTIF($AG$4:$AP$4,AD315)=1,"ok","MISSING")</f>
        <v>ok</v>
      </c>
      <c r="AF316" s="333"/>
      <c r="AV316" s="700" t="str">
        <f t="shared" si="353"/>
        <v>TRADST</v>
      </c>
      <c r="AW316" s="568">
        <f t="shared" si="354"/>
        <v>0</v>
      </c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</row>
    <row r="317" spans="1:64" s="83" customFormat="1" x14ac:dyDescent="0.25">
      <c r="A317" s="82"/>
      <c r="B317" s="178" t="str">
        <f t="shared" ref="B317" si="356">B316</f>
        <v>TFMEPYD100</v>
      </c>
      <c r="C317" s="178"/>
      <c r="D317" s="179"/>
      <c r="E317" s="407" t="s">
        <v>990</v>
      </c>
      <c r="F317" s="182"/>
      <c r="G317" s="181"/>
      <c r="H317" s="182"/>
      <c r="I317" s="183"/>
      <c r="J317" s="184" t="s">
        <v>1157</v>
      </c>
      <c r="K317" s="184"/>
      <c r="L317" s="203" t="s">
        <v>101</v>
      </c>
      <c r="M317" s="184"/>
      <c r="N317" s="690">
        <f>N$28</f>
        <v>7.0000000000000007E-2</v>
      </c>
      <c r="O317" s="690">
        <f t="shared" ref="O317:AB317" si="357">O$28</f>
        <v>7.0000000000000007E-2</v>
      </c>
      <c r="P317" s="690">
        <f t="shared" si="357"/>
        <v>7.0000000000000007E-2</v>
      </c>
      <c r="Q317" s="690">
        <f t="shared" si="357"/>
        <v>7.0000000000000007E-2</v>
      </c>
      <c r="R317" s="690">
        <f t="shared" si="357"/>
        <v>7.0000000000000007E-2</v>
      </c>
      <c r="S317" s="690">
        <f t="shared" si="357"/>
        <v>7.0000000000000007E-2</v>
      </c>
      <c r="T317" s="690">
        <f t="shared" si="357"/>
        <v>7.0000000000000007E-2</v>
      </c>
      <c r="U317" s="690">
        <f t="shared" si="357"/>
        <v>7.0000000000000007E-2</v>
      </c>
      <c r="V317" s="690">
        <f t="shared" si="357"/>
        <v>7.0000000000000007E-2</v>
      </c>
      <c r="W317" s="690">
        <f t="shared" si="357"/>
        <v>7.0000000000000007E-2</v>
      </c>
      <c r="X317" s="690">
        <f t="shared" si="357"/>
        <v>7.0000000000000007E-2</v>
      </c>
      <c r="Y317" s="690">
        <f t="shared" si="357"/>
        <v>7.0000000000000007E-2</v>
      </c>
      <c r="Z317" s="690">
        <f t="shared" si="357"/>
        <v>7.0000000000000007E-2</v>
      </c>
      <c r="AA317" s="690">
        <f t="shared" si="357"/>
        <v>7.0000000000000007E-2</v>
      </c>
      <c r="AB317" s="690">
        <f t="shared" si="357"/>
        <v>7.0000000000000007E-2</v>
      </c>
      <c r="AD317" s="408"/>
      <c r="AE317" s="357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V317" s="700"/>
      <c r="AW317" s="568"/>
      <c r="AX317" s="708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</row>
    <row r="318" spans="1:64" s="83" customFormat="1" x14ac:dyDescent="0.25">
      <c r="B318" s="178" t="str">
        <f>B316</f>
        <v>TFMEPYD100</v>
      </c>
      <c r="C318" s="178"/>
      <c r="D318" s="179"/>
      <c r="E318" s="178"/>
      <c r="F318" s="182"/>
      <c r="G318" s="324" t="s">
        <v>435</v>
      </c>
      <c r="H318" s="182"/>
      <c r="I318" s="183"/>
      <c r="J318" s="184"/>
      <c r="K318" s="184"/>
      <c r="L318" s="184" t="s">
        <v>1126</v>
      </c>
      <c r="M318" s="184" t="s">
        <v>678</v>
      </c>
      <c r="N318" s="676">
        <f>T_CEFF!H198</f>
        <v>8.2339999999999997E-2</v>
      </c>
      <c r="O318" s="676">
        <f>T_CEFF!I198</f>
        <v>8.2339999999999997E-2</v>
      </c>
      <c r="P318" s="676">
        <f>T_CEFF!J198</f>
        <v>8.2339999999999997E-2</v>
      </c>
      <c r="Q318" s="676">
        <f>T_CEFF!K198</f>
        <v>8.2339999999999997E-2</v>
      </c>
      <c r="R318" s="676">
        <f>T_CEFF!L198</f>
        <v>8.2339999999999997E-2</v>
      </c>
      <c r="S318" s="676">
        <f>T_CEFF!M198</f>
        <v>8.2339999999999997E-2</v>
      </c>
      <c r="T318" s="676">
        <f>T_CEFF!N198</f>
        <v>8.2339999999999997E-2</v>
      </c>
      <c r="U318" s="676">
        <f>T_CEFF!O198</f>
        <v>8.2339999999999997E-2</v>
      </c>
      <c r="V318" s="676">
        <f>T_CEFF!P198</f>
        <v>8.2339999999999997E-2</v>
      </c>
      <c r="W318" s="676">
        <f>T_CEFF!Q198</f>
        <v>8.2339999999999997E-2</v>
      </c>
      <c r="X318" s="676">
        <f>T_CEFF!R198</f>
        <v>8.2339999999999997E-2</v>
      </c>
      <c r="Y318" s="676">
        <f>T_CEFF!S198</f>
        <v>8.2339999999999997E-2</v>
      </c>
      <c r="Z318" s="676">
        <f>T_CEFF!T198</f>
        <v>8.2339999999999997E-2</v>
      </c>
      <c r="AA318" s="676">
        <f>T_CEFF!U198</f>
        <v>8.2339999999999997E-2</v>
      </c>
      <c r="AB318" s="676">
        <f>T_CEFF!V198</f>
        <v>8.2339999999999997E-2</v>
      </c>
      <c r="AV318" s="700" t="str">
        <f t="shared" si="353"/>
        <v/>
      </c>
      <c r="AW318" s="568"/>
    </row>
    <row r="319" spans="1:64" s="83" customFormat="1" x14ac:dyDescent="0.25">
      <c r="B319" s="178" t="str">
        <f t="shared" ref="B319:B328" si="358">B318</f>
        <v>TFMEPYD100</v>
      </c>
      <c r="C319" s="178"/>
      <c r="D319" s="179"/>
      <c r="E319" s="178"/>
      <c r="F319" s="182"/>
      <c r="G319" s="324" t="s">
        <v>433</v>
      </c>
      <c r="H319" s="182"/>
      <c r="I319" s="183"/>
      <c r="J319" s="184"/>
      <c r="K319" s="184"/>
      <c r="L319" s="184" t="s">
        <v>1126</v>
      </c>
      <c r="M319" s="184" t="s">
        <v>678</v>
      </c>
      <c r="N319" s="676">
        <f>T_CEFF!H199</f>
        <v>6.5869999999999998E-2</v>
      </c>
      <c r="O319" s="676">
        <f>T_CEFF!I199</f>
        <v>6.5869999999999998E-2</v>
      </c>
      <c r="P319" s="676">
        <f>T_CEFF!J199</f>
        <v>6.5869999999999998E-2</v>
      </c>
      <c r="Q319" s="676">
        <f>T_CEFF!K199</f>
        <v>6.5869999999999998E-2</v>
      </c>
      <c r="R319" s="676">
        <f>T_CEFF!L199</f>
        <v>6.5869999999999998E-2</v>
      </c>
      <c r="S319" s="676">
        <f>T_CEFF!M199</f>
        <v>6.5869999999999998E-2</v>
      </c>
      <c r="T319" s="676">
        <f>T_CEFF!N199</f>
        <v>6.5869999999999998E-2</v>
      </c>
      <c r="U319" s="676">
        <f>T_CEFF!O199</f>
        <v>6.5869999999999998E-2</v>
      </c>
      <c r="V319" s="676">
        <f>T_CEFF!P199</f>
        <v>6.5869999999999998E-2</v>
      </c>
      <c r="W319" s="676">
        <f>T_CEFF!Q199</f>
        <v>6.5869999999999998E-2</v>
      </c>
      <c r="X319" s="676">
        <f>T_CEFF!R199</f>
        <v>6.5869999999999998E-2</v>
      </c>
      <c r="Y319" s="676">
        <f>T_CEFF!S199</f>
        <v>6.5869999999999998E-2</v>
      </c>
      <c r="Z319" s="676">
        <f>T_CEFF!T199</f>
        <v>6.5869999999999998E-2</v>
      </c>
      <c r="AA319" s="676">
        <f>T_CEFF!U199</f>
        <v>6.5869999999999998E-2</v>
      </c>
      <c r="AB319" s="676">
        <f>T_CEFF!V199</f>
        <v>6.5869999999999998E-2</v>
      </c>
      <c r="AV319" s="700" t="str">
        <f t="shared" ref="AV319:AV320" si="359">MID(E319,1,7)</f>
        <v/>
      </c>
      <c r="AW319" s="568"/>
    </row>
    <row r="320" spans="1:64" s="83" customFormat="1" x14ac:dyDescent="0.25">
      <c r="B320" s="178" t="str">
        <f>B319</f>
        <v>TFMEPYD100</v>
      </c>
      <c r="C320" s="178"/>
      <c r="D320" s="179"/>
      <c r="E320" s="178"/>
      <c r="F320" s="182"/>
      <c r="G320" s="181"/>
      <c r="H320" s="182"/>
      <c r="I320" s="183"/>
      <c r="J320" s="184"/>
      <c r="K320" s="184" t="s">
        <v>749</v>
      </c>
      <c r="L320" s="184" t="s">
        <v>1128</v>
      </c>
      <c r="M320" s="184" t="s">
        <v>1175</v>
      </c>
      <c r="N320" s="388">
        <f>N$24</f>
        <v>0</v>
      </c>
      <c r="O320" s="388">
        <f t="shared" ref="O320:AB320" si="360">O$24</f>
        <v>0</v>
      </c>
      <c r="P320" s="388">
        <f t="shared" si="360"/>
        <v>0</v>
      </c>
      <c r="Q320" s="388">
        <f t="shared" si="360"/>
        <v>0</v>
      </c>
      <c r="R320" s="388">
        <f t="shared" si="360"/>
        <v>0</v>
      </c>
      <c r="S320" s="388">
        <f t="shared" si="360"/>
        <v>0</v>
      </c>
      <c r="T320" s="388">
        <f t="shared" si="360"/>
        <v>0</v>
      </c>
      <c r="U320" s="388">
        <f t="shared" si="360"/>
        <v>0</v>
      </c>
      <c r="V320" s="388">
        <f t="shared" si="360"/>
        <v>0</v>
      </c>
      <c r="W320" s="388">
        <f t="shared" si="360"/>
        <v>0</v>
      </c>
      <c r="X320" s="388">
        <f t="shared" si="360"/>
        <v>0</v>
      </c>
      <c r="Y320" s="388">
        <f t="shared" si="360"/>
        <v>0</v>
      </c>
      <c r="Z320" s="388">
        <f t="shared" si="360"/>
        <v>0</v>
      </c>
      <c r="AA320" s="388">
        <f t="shared" si="360"/>
        <v>0</v>
      </c>
      <c r="AB320" s="388">
        <f t="shared" si="360"/>
        <v>0</v>
      </c>
      <c r="AV320" s="700" t="str">
        <f t="shared" si="359"/>
        <v/>
      </c>
      <c r="AW320" s="568"/>
    </row>
    <row r="321" spans="1:49" s="83" customFormat="1" x14ac:dyDescent="0.25">
      <c r="B321" s="178" t="str">
        <f t="shared" si="358"/>
        <v>TFMEPYD100</v>
      </c>
      <c r="C321" s="178"/>
      <c r="D321" s="179"/>
      <c r="E321" s="178"/>
      <c r="F321" s="182"/>
      <c r="G321" s="181"/>
      <c r="H321" s="182"/>
      <c r="I321" s="183"/>
      <c r="J321" s="184"/>
      <c r="K321" s="184"/>
      <c r="L321" s="203" t="s">
        <v>1130</v>
      </c>
      <c r="M321" s="184" t="s">
        <v>1131</v>
      </c>
      <c r="N321" s="397">
        <f>LOOKUP($C$315, T_NCAP_AF!$C$155:$C$165, T_NCAP_AF!D$155:D$165)*(1+N195)</f>
        <v>0</v>
      </c>
      <c r="O321" s="397">
        <f>LOOKUP($C$315, T_NCAP_AF!$C$155:$C$165, T_NCAP_AF!E$155:E$165)*(1+O195)</f>
        <v>0</v>
      </c>
      <c r="P321" s="397">
        <f>LOOKUP($C$315, T_NCAP_AF!$C$155:$C$165, T_NCAP_AF!F$155:F$165)*(1+P195)</f>
        <v>0</v>
      </c>
      <c r="Q321" s="397">
        <f>LOOKUP($C$315, T_NCAP_AF!$C$155:$C$165, T_NCAP_AF!G$155:G$165)*(1+Q195)</f>
        <v>0</v>
      </c>
      <c r="R321" s="397">
        <f>LOOKUP($C$315, T_NCAP_AF!$C$155:$C$165, T_NCAP_AF!H$155:H$165)*(1+R195)</f>
        <v>0</v>
      </c>
      <c r="S321" s="397">
        <f>LOOKUP($C$315, T_NCAP_AF!$C$155:$C$165, T_NCAP_AF!I$155:I$165)*(1+S195)</f>
        <v>0</v>
      </c>
      <c r="T321" s="397">
        <f>LOOKUP($C$315, T_NCAP_AF!$C$155:$C$165, T_NCAP_AF!J$155:J$165)*(1+T195)</f>
        <v>0</v>
      </c>
      <c r="U321" s="397">
        <f>LOOKUP($C$315, T_NCAP_AF!$C$155:$C$165, T_NCAP_AF!K$155:K$165)*(1+U195)</f>
        <v>0</v>
      </c>
      <c r="V321" s="397">
        <f>LOOKUP($C$315, T_NCAP_AF!$C$155:$C$165, T_NCAP_AF!L$155:L$165)*(1+V195)</f>
        <v>0</v>
      </c>
      <c r="W321" s="397">
        <f>LOOKUP($C$315, T_NCAP_AF!$C$155:$C$165, T_NCAP_AF!M$155:M$165)*(1+W195)</f>
        <v>0</v>
      </c>
      <c r="X321" s="397">
        <f>LOOKUP($C$315, T_NCAP_AF!$C$155:$C$165, T_NCAP_AF!N$155:N$165)*(1+X195)</f>
        <v>0</v>
      </c>
      <c r="Y321" s="397">
        <f>LOOKUP($C$315, T_NCAP_AF!$C$155:$C$165, T_NCAP_AF!O$155:O$165)*(1+Y195)</f>
        <v>0</v>
      </c>
      <c r="Z321" s="397">
        <f>LOOKUP($C$315, T_NCAP_AF!$C$155:$C$165, T_NCAP_AF!P$155:P$165)*(1+Z195)</f>
        <v>0</v>
      </c>
      <c r="AA321" s="397">
        <f>LOOKUP($C$315, T_NCAP_AF!$C$155:$C$165, T_NCAP_AF!Q$155:Q$165)*(1+AA195)</f>
        <v>0</v>
      </c>
      <c r="AB321" s="397">
        <f>LOOKUP($C$315, T_NCAP_AF!$C$155:$C$165, T_NCAP_AF!R$155:R$165)*(1+AB195)</f>
        <v>0</v>
      </c>
      <c r="AE321" s="572">
        <f>SUM(AF321:AT321)</f>
        <v>0</v>
      </c>
      <c r="AF321" s="85">
        <f t="shared" ref="AF321:AT321" si="361">N320*N321*N322/1000</f>
        <v>0</v>
      </c>
      <c r="AG321" s="85">
        <f t="shared" si="361"/>
        <v>0</v>
      </c>
      <c r="AH321" s="85">
        <f t="shared" si="361"/>
        <v>0</v>
      </c>
      <c r="AI321" s="85">
        <f t="shared" si="361"/>
        <v>0</v>
      </c>
      <c r="AJ321" s="85">
        <f t="shared" si="361"/>
        <v>0</v>
      </c>
      <c r="AK321" s="85">
        <f t="shared" si="361"/>
        <v>0</v>
      </c>
      <c r="AL321" s="85">
        <f t="shared" si="361"/>
        <v>0</v>
      </c>
      <c r="AM321" s="85">
        <f t="shared" si="361"/>
        <v>0</v>
      </c>
      <c r="AN321" s="85">
        <f t="shared" si="361"/>
        <v>0</v>
      </c>
      <c r="AO321" s="85">
        <f t="shared" si="361"/>
        <v>0</v>
      </c>
      <c r="AP321" s="85">
        <f t="shared" si="361"/>
        <v>0</v>
      </c>
      <c r="AQ321" s="85">
        <f t="shared" si="361"/>
        <v>0</v>
      </c>
      <c r="AR321" s="85">
        <f t="shared" si="361"/>
        <v>0</v>
      </c>
      <c r="AS321" s="85">
        <f t="shared" si="361"/>
        <v>0</v>
      </c>
      <c r="AT321" s="85">
        <f t="shared" si="361"/>
        <v>0</v>
      </c>
    </row>
    <row r="322" spans="1:49" s="83" customFormat="1" x14ac:dyDescent="0.25">
      <c r="B322" s="178" t="str">
        <f>B321</f>
        <v>TFMEPYD100</v>
      </c>
      <c r="C322" s="178"/>
      <c r="D322" s="179"/>
      <c r="E322" s="178"/>
      <c r="F322" s="182"/>
      <c r="G322" s="181"/>
      <c r="H322" s="182"/>
      <c r="I322" s="183">
        <f>$M$3</f>
        <v>2019</v>
      </c>
      <c r="J322" s="184"/>
      <c r="K322" s="184"/>
      <c r="L322" s="203" t="s">
        <v>1065</v>
      </c>
      <c r="M322" s="184" t="s">
        <v>748</v>
      </c>
      <c r="N322" s="694">
        <f>LOOKUP($C$315, T_Stock_Private!$C$106:$C$117, T_Stock_Private!D$106:D$117)*(1+N196)</f>
        <v>0</v>
      </c>
      <c r="O322" s="694">
        <f>LOOKUP($C$315, T_Stock_Private!$C$106:$C$117, T_Stock_Private!E$106:E$117)*(1+O196)</f>
        <v>0</v>
      </c>
      <c r="P322" s="694">
        <f>LOOKUP($C$315, T_Stock_Private!$C$106:$C$117, T_Stock_Private!F$106:F$117)*(1+P196)</f>
        <v>0</v>
      </c>
      <c r="Q322" s="694">
        <f>LOOKUP($C$315, T_Stock_Private!$C$106:$C$117, T_Stock_Private!G$106:G$117)*(1+Q196)</f>
        <v>0</v>
      </c>
      <c r="R322" s="694">
        <f>LOOKUP($C$315, T_Stock_Private!$C$106:$C$117, T_Stock_Private!H$106:H$117)*(1+R196)</f>
        <v>0</v>
      </c>
      <c r="S322" s="694">
        <f>LOOKUP($C$315, T_Stock_Private!$C$106:$C$117, T_Stock_Private!I$106:I$117)*(1+S196)</f>
        <v>0</v>
      </c>
      <c r="T322" s="694">
        <f>LOOKUP($C$315, T_Stock_Private!$C$106:$C$117, T_Stock_Private!J$106:J$117)*(1+T196)</f>
        <v>0</v>
      </c>
      <c r="U322" s="694">
        <f>LOOKUP($C$315, T_Stock_Private!$C$106:$C$117, T_Stock_Private!K$106:K$117)*(1+U196)</f>
        <v>0</v>
      </c>
      <c r="V322" s="694">
        <f>LOOKUP($C$315, T_Stock_Private!$C$106:$C$117, T_Stock_Private!L$106:L$117)*(1+V196)</f>
        <v>0</v>
      </c>
      <c r="W322" s="694">
        <f>LOOKUP($C$315, T_Stock_Private!$C$106:$C$117, T_Stock_Private!M$106:M$117)*(1+W196)</f>
        <v>0</v>
      </c>
      <c r="X322" s="694">
        <f>LOOKUP($C$315, T_Stock_Private!$C$106:$C$117, T_Stock_Private!N$106:N$117)*(1+X196)</f>
        <v>0</v>
      </c>
      <c r="Y322" s="694">
        <f>LOOKUP($C$315, T_Stock_Private!$C$106:$C$117, T_Stock_Private!O$106:O$117)*(1+Y196)</f>
        <v>0</v>
      </c>
      <c r="Z322" s="694">
        <f>LOOKUP($C$315, T_Stock_Private!$C$106:$C$117, T_Stock_Private!P$106:P$117)*(1+Z196)</f>
        <v>0</v>
      </c>
      <c r="AA322" s="694">
        <f>LOOKUP($C$315, T_Stock_Private!$C$106:$C$117, T_Stock_Private!Q$106:Q$117)*(1+AA196)</f>
        <v>0</v>
      </c>
      <c r="AB322" s="694">
        <f>LOOKUP($C$315, T_Stock_Private!$C$106:$C$117, T_Stock_Private!R$106:R$117)*(1+AB196)</f>
        <v>0</v>
      </c>
    </row>
    <row r="323" spans="1:49" s="83" customFormat="1" x14ac:dyDescent="0.25">
      <c r="B323" s="178" t="str">
        <f t="shared" si="358"/>
        <v>TFMEPYD100</v>
      </c>
      <c r="C323" s="178"/>
      <c r="D323" s="179"/>
      <c r="E323" s="178"/>
      <c r="F323" s="182"/>
      <c r="G323" s="181"/>
      <c r="H323" s="182"/>
      <c r="I323" s="183">
        <f>AF$5</f>
        <v>2020</v>
      </c>
      <c r="J323" s="184"/>
      <c r="K323" s="184"/>
      <c r="L323" s="203" t="s">
        <v>1065</v>
      </c>
      <c r="M323" s="184" t="s">
        <v>748</v>
      </c>
      <c r="N323" s="694">
        <f t="shared" ref="N323:AB323" si="362">N322*LOOKUP($AD315,$AG$4:$AP$4,$AG$5:$AP$5)</f>
        <v>0</v>
      </c>
      <c r="O323" s="694">
        <f t="shared" si="362"/>
        <v>0</v>
      </c>
      <c r="P323" s="694">
        <f t="shared" si="362"/>
        <v>0</v>
      </c>
      <c r="Q323" s="694">
        <f t="shared" si="362"/>
        <v>0</v>
      </c>
      <c r="R323" s="694">
        <f t="shared" si="362"/>
        <v>0</v>
      </c>
      <c r="S323" s="694">
        <f t="shared" si="362"/>
        <v>0</v>
      </c>
      <c r="T323" s="694">
        <f t="shared" si="362"/>
        <v>0</v>
      </c>
      <c r="U323" s="694">
        <f t="shared" si="362"/>
        <v>0</v>
      </c>
      <c r="V323" s="694">
        <f t="shared" si="362"/>
        <v>0</v>
      </c>
      <c r="W323" s="694">
        <f t="shared" si="362"/>
        <v>0</v>
      </c>
      <c r="X323" s="694">
        <f t="shared" si="362"/>
        <v>0</v>
      </c>
      <c r="Y323" s="694">
        <f t="shared" si="362"/>
        <v>0</v>
      </c>
      <c r="Z323" s="694">
        <f t="shared" si="362"/>
        <v>0</v>
      </c>
      <c r="AA323" s="694">
        <f t="shared" si="362"/>
        <v>0</v>
      </c>
      <c r="AB323" s="694">
        <f t="shared" si="362"/>
        <v>0</v>
      </c>
    </row>
    <row r="324" spans="1:49" s="83" customFormat="1" x14ac:dyDescent="0.25">
      <c r="B324" s="178" t="str">
        <f t="shared" si="358"/>
        <v>TFMEPYD100</v>
      </c>
      <c r="C324" s="178"/>
      <c r="D324" s="179"/>
      <c r="E324" s="178"/>
      <c r="F324" s="182"/>
      <c r="G324" s="181"/>
      <c r="H324" s="182"/>
      <c r="I324" s="183">
        <f>AF$6</f>
        <v>2025</v>
      </c>
      <c r="J324" s="184"/>
      <c r="K324" s="184"/>
      <c r="L324" s="203" t="s">
        <v>1065</v>
      </c>
      <c r="M324" s="184" t="s">
        <v>748</v>
      </c>
      <c r="N324" s="694">
        <f t="shared" ref="N324:AB324" si="363">N322*LOOKUP($AD315,$AG$4:$AP$4,$AG$6:$AP$6)</f>
        <v>0</v>
      </c>
      <c r="O324" s="694">
        <f t="shared" si="363"/>
        <v>0</v>
      </c>
      <c r="P324" s="694">
        <f t="shared" si="363"/>
        <v>0</v>
      </c>
      <c r="Q324" s="694">
        <f t="shared" si="363"/>
        <v>0</v>
      </c>
      <c r="R324" s="694">
        <f t="shared" si="363"/>
        <v>0</v>
      </c>
      <c r="S324" s="694">
        <f t="shared" si="363"/>
        <v>0</v>
      </c>
      <c r="T324" s="694">
        <f t="shared" si="363"/>
        <v>0</v>
      </c>
      <c r="U324" s="694">
        <f t="shared" si="363"/>
        <v>0</v>
      </c>
      <c r="V324" s="694">
        <f t="shared" si="363"/>
        <v>0</v>
      </c>
      <c r="W324" s="694">
        <f t="shared" si="363"/>
        <v>0</v>
      </c>
      <c r="X324" s="694">
        <f t="shared" si="363"/>
        <v>0</v>
      </c>
      <c r="Y324" s="694">
        <f t="shared" si="363"/>
        <v>0</v>
      </c>
      <c r="Z324" s="694">
        <f t="shared" si="363"/>
        <v>0</v>
      </c>
      <c r="AA324" s="694">
        <f t="shared" si="363"/>
        <v>0</v>
      </c>
      <c r="AB324" s="694">
        <f t="shared" si="363"/>
        <v>0</v>
      </c>
    </row>
    <row r="325" spans="1:49" s="83" customFormat="1" x14ac:dyDescent="0.25">
      <c r="B325" s="178" t="str">
        <f t="shared" si="358"/>
        <v>TFMEPYD100</v>
      </c>
      <c r="C325" s="178"/>
      <c r="D325" s="179"/>
      <c r="E325" s="178"/>
      <c r="F325" s="182"/>
      <c r="G325" s="181"/>
      <c r="H325" s="182"/>
      <c r="I325" s="183">
        <f>AF$7</f>
        <v>2030</v>
      </c>
      <c r="J325" s="184"/>
      <c r="K325" s="184"/>
      <c r="L325" s="203" t="s">
        <v>1065</v>
      </c>
      <c r="M325" s="184" t="s">
        <v>748</v>
      </c>
      <c r="N325" s="694">
        <f t="shared" ref="N325:AB325" si="364">N322*LOOKUP($AD315,$AG$4:$AP$4,$AG$7:$AP$7)</f>
        <v>0</v>
      </c>
      <c r="O325" s="694">
        <f t="shared" si="364"/>
        <v>0</v>
      </c>
      <c r="P325" s="694">
        <f t="shared" si="364"/>
        <v>0</v>
      </c>
      <c r="Q325" s="694">
        <f t="shared" si="364"/>
        <v>0</v>
      </c>
      <c r="R325" s="694">
        <f t="shared" si="364"/>
        <v>0</v>
      </c>
      <c r="S325" s="694">
        <f t="shared" si="364"/>
        <v>0</v>
      </c>
      <c r="T325" s="694">
        <f t="shared" si="364"/>
        <v>0</v>
      </c>
      <c r="U325" s="694">
        <f t="shared" si="364"/>
        <v>0</v>
      </c>
      <c r="V325" s="694">
        <f t="shared" si="364"/>
        <v>0</v>
      </c>
      <c r="W325" s="694">
        <f t="shared" si="364"/>
        <v>0</v>
      </c>
      <c r="X325" s="694">
        <f t="shared" si="364"/>
        <v>0</v>
      </c>
      <c r="Y325" s="694">
        <f t="shared" si="364"/>
        <v>0</v>
      </c>
      <c r="Z325" s="694">
        <f t="shared" si="364"/>
        <v>0</v>
      </c>
      <c r="AA325" s="694">
        <f t="shared" si="364"/>
        <v>0</v>
      </c>
      <c r="AB325" s="694">
        <f t="shared" si="364"/>
        <v>0</v>
      </c>
    </row>
    <row r="326" spans="1:49" s="83" customFormat="1" x14ac:dyDescent="0.25">
      <c r="B326" s="178" t="str">
        <f t="shared" si="358"/>
        <v>TFMEPYD100</v>
      </c>
      <c r="C326" s="178"/>
      <c r="D326" s="179"/>
      <c r="E326" s="178"/>
      <c r="F326" s="182"/>
      <c r="G326" s="181"/>
      <c r="H326" s="182"/>
      <c r="I326" s="183">
        <f>AF$8</f>
        <v>2035</v>
      </c>
      <c r="J326" s="184"/>
      <c r="K326" s="184"/>
      <c r="L326" s="203" t="s">
        <v>1065</v>
      </c>
      <c r="M326" s="184" t="s">
        <v>748</v>
      </c>
      <c r="N326" s="694">
        <f t="shared" ref="N326:AB326" si="365">N322*LOOKUP($AD315,$AG$4:$AP$4,$AG$8:$AP$8)</f>
        <v>0</v>
      </c>
      <c r="O326" s="694">
        <f t="shared" si="365"/>
        <v>0</v>
      </c>
      <c r="P326" s="694">
        <f t="shared" si="365"/>
        <v>0</v>
      </c>
      <c r="Q326" s="694">
        <f t="shared" si="365"/>
        <v>0</v>
      </c>
      <c r="R326" s="694">
        <f t="shared" si="365"/>
        <v>0</v>
      </c>
      <c r="S326" s="694">
        <f t="shared" si="365"/>
        <v>0</v>
      </c>
      <c r="T326" s="694">
        <f t="shared" si="365"/>
        <v>0</v>
      </c>
      <c r="U326" s="694">
        <f t="shared" si="365"/>
        <v>0</v>
      </c>
      <c r="V326" s="694">
        <f t="shared" si="365"/>
        <v>0</v>
      </c>
      <c r="W326" s="694">
        <f t="shared" si="365"/>
        <v>0</v>
      </c>
      <c r="X326" s="694">
        <f t="shared" si="365"/>
        <v>0</v>
      </c>
      <c r="Y326" s="694">
        <f t="shared" si="365"/>
        <v>0</v>
      </c>
      <c r="Z326" s="694">
        <f t="shared" si="365"/>
        <v>0</v>
      </c>
      <c r="AA326" s="694">
        <f t="shared" si="365"/>
        <v>0</v>
      </c>
      <c r="AB326" s="694">
        <f t="shared" si="365"/>
        <v>0</v>
      </c>
    </row>
    <row r="327" spans="1:49" s="83" customFormat="1" x14ac:dyDescent="0.25">
      <c r="B327" s="178" t="str">
        <f t="shared" si="358"/>
        <v>TFMEPYD100</v>
      </c>
      <c r="C327" s="178"/>
      <c r="D327" s="179"/>
      <c r="E327" s="178"/>
      <c r="F327" s="182"/>
      <c r="G327" s="181"/>
      <c r="H327" s="182"/>
      <c r="I327" s="183">
        <f>AF$9</f>
        <v>2040</v>
      </c>
      <c r="J327" s="184"/>
      <c r="K327" s="184"/>
      <c r="L327" s="203" t="s">
        <v>1065</v>
      </c>
      <c r="M327" s="184" t="s">
        <v>748</v>
      </c>
      <c r="N327" s="694">
        <f t="shared" ref="N327:AB327" si="366">N322*LOOKUP($AD315,$AG$4:$AP$4,$AG$9:$AP$9)</f>
        <v>0</v>
      </c>
      <c r="O327" s="694">
        <f t="shared" si="366"/>
        <v>0</v>
      </c>
      <c r="P327" s="694">
        <f t="shared" si="366"/>
        <v>0</v>
      </c>
      <c r="Q327" s="694">
        <f t="shared" si="366"/>
        <v>0</v>
      </c>
      <c r="R327" s="694">
        <f t="shared" si="366"/>
        <v>0</v>
      </c>
      <c r="S327" s="694">
        <f t="shared" si="366"/>
        <v>0</v>
      </c>
      <c r="T327" s="694">
        <f t="shared" si="366"/>
        <v>0</v>
      </c>
      <c r="U327" s="694">
        <f t="shared" si="366"/>
        <v>0</v>
      </c>
      <c r="V327" s="694">
        <f t="shared" si="366"/>
        <v>0</v>
      </c>
      <c r="W327" s="694">
        <f t="shared" si="366"/>
        <v>0</v>
      </c>
      <c r="X327" s="694">
        <f t="shared" si="366"/>
        <v>0</v>
      </c>
      <c r="Y327" s="694">
        <f t="shared" si="366"/>
        <v>0</v>
      </c>
      <c r="Z327" s="694">
        <f t="shared" si="366"/>
        <v>0</v>
      </c>
      <c r="AA327" s="694">
        <f t="shared" si="366"/>
        <v>0</v>
      </c>
      <c r="AB327" s="694">
        <f t="shared" si="366"/>
        <v>0</v>
      </c>
    </row>
    <row r="328" spans="1:49" s="83" customFormat="1" x14ac:dyDescent="0.25">
      <c r="B328" s="204" t="str">
        <f t="shared" si="358"/>
        <v>TFMEPYD100</v>
      </c>
      <c r="C328" s="204"/>
      <c r="D328" s="205"/>
      <c r="E328" s="204"/>
      <c r="F328" s="206"/>
      <c r="G328" s="207"/>
      <c r="H328" s="206"/>
      <c r="I328" s="208">
        <f>AF$10</f>
        <v>2050</v>
      </c>
      <c r="J328" s="209"/>
      <c r="K328" s="209"/>
      <c r="L328" s="210" t="s">
        <v>1065</v>
      </c>
      <c r="M328" s="209" t="s">
        <v>748</v>
      </c>
      <c r="N328" s="695">
        <f t="shared" ref="N328:AB328" si="367">N322*LOOKUP($AD315,$AG$4:$AP$4,$AG$10:$AP$10)</f>
        <v>0</v>
      </c>
      <c r="O328" s="695">
        <f t="shared" si="367"/>
        <v>0</v>
      </c>
      <c r="P328" s="695">
        <f t="shared" si="367"/>
        <v>0</v>
      </c>
      <c r="Q328" s="695">
        <f t="shared" si="367"/>
        <v>0</v>
      </c>
      <c r="R328" s="695">
        <f t="shared" si="367"/>
        <v>0</v>
      </c>
      <c r="S328" s="695">
        <f t="shared" si="367"/>
        <v>0</v>
      </c>
      <c r="T328" s="695">
        <f t="shared" si="367"/>
        <v>0</v>
      </c>
      <c r="U328" s="695">
        <f t="shared" si="367"/>
        <v>0</v>
      </c>
      <c r="V328" s="695">
        <f t="shared" si="367"/>
        <v>0</v>
      </c>
      <c r="W328" s="695">
        <f t="shared" si="367"/>
        <v>0</v>
      </c>
      <c r="X328" s="695">
        <f t="shared" si="367"/>
        <v>0</v>
      </c>
      <c r="Y328" s="695">
        <f t="shared" si="367"/>
        <v>0</v>
      </c>
      <c r="Z328" s="695">
        <f t="shared" si="367"/>
        <v>0</v>
      </c>
      <c r="AA328" s="695">
        <f t="shared" si="367"/>
        <v>0</v>
      </c>
      <c r="AB328" s="695">
        <f t="shared" si="367"/>
        <v>0</v>
      </c>
    </row>
    <row r="329" spans="1:49" s="83" customFormat="1" ht="15" customHeight="1" x14ac:dyDescent="0.25">
      <c r="A329" s="82"/>
      <c r="B329" s="178" t="str">
        <f>C329</f>
        <v>TFMEPYG100</v>
      </c>
      <c r="C329" s="178" t="s">
        <v>368</v>
      </c>
      <c r="D329" s="179" t="s">
        <v>846</v>
      </c>
      <c r="E329" s="407" t="s">
        <v>1014</v>
      </c>
      <c r="F329" s="182"/>
      <c r="G329" s="181"/>
      <c r="H329" s="182"/>
      <c r="I329" s="183"/>
      <c r="J329" s="184"/>
      <c r="K329" s="184"/>
      <c r="L329" s="203" t="s">
        <v>1107</v>
      </c>
      <c r="M329" s="184" t="s">
        <v>1125</v>
      </c>
      <c r="N329" s="378">
        <f>N$502</f>
        <v>1E-3</v>
      </c>
      <c r="O329" s="378">
        <f t="shared" ref="O329:AB329" si="368">$N329</f>
        <v>1E-3</v>
      </c>
      <c r="P329" s="378">
        <f t="shared" si="368"/>
        <v>1E-3</v>
      </c>
      <c r="Q329" s="378">
        <f t="shared" si="368"/>
        <v>1E-3</v>
      </c>
      <c r="R329" s="378">
        <f t="shared" si="368"/>
        <v>1E-3</v>
      </c>
      <c r="S329" s="378">
        <f t="shared" si="368"/>
        <v>1E-3</v>
      </c>
      <c r="T329" s="378">
        <f t="shared" si="368"/>
        <v>1E-3</v>
      </c>
      <c r="U329" s="378">
        <f t="shared" si="368"/>
        <v>1E-3</v>
      </c>
      <c r="V329" s="378">
        <f t="shared" si="368"/>
        <v>1E-3</v>
      </c>
      <c r="W329" s="378">
        <f t="shared" si="368"/>
        <v>1E-3</v>
      </c>
      <c r="X329" s="378">
        <f t="shared" si="368"/>
        <v>1E-3</v>
      </c>
      <c r="Y329" s="378">
        <f t="shared" si="368"/>
        <v>1E-3</v>
      </c>
      <c r="Z329" s="378">
        <f t="shared" si="368"/>
        <v>1E-3</v>
      </c>
      <c r="AA329" s="378">
        <f t="shared" si="368"/>
        <v>1E-3</v>
      </c>
      <c r="AB329" s="378">
        <f t="shared" si="368"/>
        <v>1E-3</v>
      </c>
      <c r="AD329" s="410" t="str">
        <f>MID(D329,14,3)</f>
        <v>Plu</v>
      </c>
      <c r="AV329" s="700" t="str">
        <f t="shared" ref="AV329:AV331" si="369">MID(E329,1,7)</f>
        <v>TRAGSL</v>
      </c>
      <c r="AW329" s="568">
        <f t="shared" ref="AW329:AW330" si="370">SUM(AX329:BL329)</f>
        <v>0</v>
      </c>
    </row>
    <row r="330" spans="1:49" s="83" customFormat="1" x14ac:dyDescent="0.25">
      <c r="A330" s="82"/>
      <c r="B330" s="178" t="str">
        <f>B329</f>
        <v>TFMEPYG100</v>
      </c>
      <c r="C330" s="178"/>
      <c r="D330" s="179"/>
      <c r="E330" s="407" t="s">
        <v>1012</v>
      </c>
      <c r="F330" s="182"/>
      <c r="G330" s="181"/>
      <c r="H330" s="182"/>
      <c r="I330" s="183"/>
      <c r="J330" s="184" t="s">
        <v>1127</v>
      </c>
      <c r="K330" s="184"/>
      <c r="L330" s="203" t="s">
        <v>101</v>
      </c>
      <c r="M330" s="184"/>
      <c r="N330" s="390">
        <f>N$30</f>
        <v>0.03</v>
      </c>
      <c r="O330" s="390">
        <f t="shared" ref="O330:AB330" si="371">O$30</f>
        <v>0.03</v>
      </c>
      <c r="P330" s="390">
        <f t="shared" si="371"/>
        <v>0.03</v>
      </c>
      <c r="Q330" s="390">
        <f t="shared" si="371"/>
        <v>0.03</v>
      </c>
      <c r="R330" s="390">
        <f t="shared" si="371"/>
        <v>0.03</v>
      </c>
      <c r="S330" s="390">
        <f t="shared" si="371"/>
        <v>0.03</v>
      </c>
      <c r="T330" s="390">
        <f t="shared" si="371"/>
        <v>0.03</v>
      </c>
      <c r="U330" s="390">
        <f t="shared" si="371"/>
        <v>0.03</v>
      </c>
      <c r="V330" s="390">
        <f t="shared" si="371"/>
        <v>0.03</v>
      </c>
      <c r="W330" s="390">
        <f t="shared" si="371"/>
        <v>0.03</v>
      </c>
      <c r="X330" s="390">
        <f t="shared" si="371"/>
        <v>0.03</v>
      </c>
      <c r="Y330" s="390">
        <f t="shared" si="371"/>
        <v>0.03</v>
      </c>
      <c r="Z330" s="390">
        <f t="shared" si="371"/>
        <v>0.03</v>
      </c>
      <c r="AA330" s="390">
        <f t="shared" si="371"/>
        <v>0.03</v>
      </c>
      <c r="AB330" s="390">
        <f t="shared" si="371"/>
        <v>0.03</v>
      </c>
      <c r="AD330" s="66" t="str">
        <f>IF(COUNTIF($AG$4:$AP$4,AD329)=1,"ok","MISSING")</f>
        <v>ok</v>
      </c>
      <c r="AF330" s="333"/>
      <c r="AV330" s="700" t="str">
        <f t="shared" si="369"/>
        <v>TRAETHM</v>
      </c>
      <c r="AW330" s="568">
        <f t="shared" si="370"/>
        <v>0</v>
      </c>
    </row>
    <row r="331" spans="1:49" s="83" customFormat="1" x14ac:dyDescent="0.25">
      <c r="B331" s="178" t="str">
        <f t="shared" ref="B331:B341" si="372">B330</f>
        <v>TFMEPYG100</v>
      </c>
      <c r="C331" s="178"/>
      <c r="D331" s="179"/>
      <c r="E331" s="178"/>
      <c r="F331" s="182"/>
      <c r="G331" s="324" t="s">
        <v>435</v>
      </c>
      <c r="H331" s="182"/>
      <c r="I331" s="183"/>
      <c r="J331" s="184"/>
      <c r="K331" s="184"/>
      <c r="L331" s="184" t="s">
        <v>1126</v>
      </c>
      <c r="M331" s="184" t="s">
        <v>678</v>
      </c>
      <c r="N331" s="676">
        <f>T_CEFF!H200</f>
        <v>72.727270000000004</v>
      </c>
      <c r="O331" s="676">
        <f>T_CEFF!I200</f>
        <v>72.727270000000004</v>
      </c>
      <c r="P331" s="676">
        <f>T_CEFF!J200</f>
        <v>72.727270000000004</v>
      </c>
      <c r="Q331" s="676">
        <f>T_CEFF!K200</f>
        <v>72.727270000000004</v>
      </c>
      <c r="R331" s="676">
        <f>T_CEFF!L200</f>
        <v>72.727270000000004</v>
      </c>
      <c r="S331" s="676">
        <f>T_CEFF!M200</f>
        <v>72.727270000000004</v>
      </c>
      <c r="T331" s="676">
        <f>T_CEFF!N200</f>
        <v>72.727270000000004</v>
      </c>
      <c r="U331" s="676">
        <f>T_CEFF!O200</f>
        <v>72.727270000000004</v>
      </c>
      <c r="V331" s="676">
        <f>T_CEFF!P200</f>
        <v>72.727270000000004</v>
      </c>
      <c r="W331" s="676">
        <f>T_CEFF!Q200</f>
        <v>72.727270000000004</v>
      </c>
      <c r="X331" s="676">
        <f>T_CEFF!R200</f>
        <v>72.727270000000004</v>
      </c>
      <c r="Y331" s="676">
        <f>T_CEFF!S200</f>
        <v>72.727270000000004</v>
      </c>
      <c r="Z331" s="676">
        <f>T_CEFF!T200</f>
        <v>72.727270000000004</v>
      </c>
      <c r="AA331" s="676">
        <f>T_CEFF!U200</f>
        <v>72.727270000000004</v>
      </c>
      <c r="AB331" s="676">
        <f>T_CEFF!V200</f>
        <v>72.727270000000004</v>
      </c>
      <c r="AV331" s="700" t="str">
        <f t="shared" si="369"/>
        <v/>
      </c>
      <c r="AW331" s="568"/>
    </row>
    <row r="332" spans="1:49" s="83" customFormat="1" x14ac:dyDescent="0.25">
      <c r="B332" s="178" t="str">
        <f t="shared" si="372"/>
        <v>TFMEPYG100</v>
      </c>
      <c r="C332" s="178"/>
      <c r="D332" s="179"/>
      <c r="E332" s="178"/>
      <c r="F332" s="182"/>
      <c r="G332" s="324" t="s">
        <v>433</v>
      </c>
      <c r="H332" s="182"/>
      <c r="I332" s="183"/>
      <c r="J332" s="184"/>
      <c r="K332" s="184"/>
      <c r="L332" s="184" t="s">
        <v>1126</v>
      </c>
      <c r="M332" s="184" t="s">
        <v>678</v>
      </c>
      <c r="N332" s="676">
        <f>T_CEFF!H201</f>
        <v>72.727270000000004</v>
      </c>
      <c r="O332" s="676">
        <f>T_CEFF!I201</f>
        <v>72.727270000000004</v>
      </c>
      <c r="P332" s="676">
        <f>T_CEFF!J201</f>
        <v>72.727270000000004</v>
      </c>
      <c r="Q332" s="676">
        <f>T_CEFF!K201</f>
        <v>72.727270000000004</v>
      </c>
      <c r="R332" s="676">
        <f>T_CEFF!L201</f>
        <v>72.727270000000004</v>
      </c>
      <c r="S332" s="676">
        <f>T_CEFF!M201</f>
        <v>72.727270000000004</v>
      </c>
      <c r="T332" s="676">
        <f>T_CEFF!N201</f>
        <v>72.727270000000004</v>
      </c>
      <c r="U332" s="676">
        <f>T_CEFF!O201</f>
        <v>72.727270000000004</v>
      </c>
      <c r="V332" s="676">
        <f>T_CEFF!P201</f>
        <v>72.727270000000004</v>
      </c>
      <c r="W332" s="676">
        <f>T_CEFF!Q201</f>
        <v>72.727270000000004</v>
      </c>
      <c r="X332" s="676">
        <f>T_CEFF!R201</f>
        <v>72.727270000000004</v>
      </c>
      <c r="Y332" s="676">
        <f>T_CEFF!S201</f>
        <v>72.727270000000004</v>
      </c>
      <c r="Z332" s="676">
        <f>T_CEFF!T201</f>
        <v>72.727270000000004</v>
      </c>
      <c r="AA332" s="676">
        <f>T_CEFF!U201</f>
        <v>72.727270000000004</v>
      </c>
      <c r="AB332" s="676">
        <f>T_CEFF!V201</f>
        <v>72.727270000000004</v>
      </c>
      <c r="AV332" s="700" t="str">
        <f t="shared" ref="AV332:AV333" si="373">MID(E332,1,7)</f>
        <v/>
      </c>
      <c r="AW332" s="568"/>
    </row>
    <row r="333" spans="1:49" s="83" customFormat="1" x14ac:dyDescent="0.25">
      <c r="B333" s="178" t="str">
        <f>B332</f>
        <v>TFMEPYG100</v>
      </c>
      <c r="C333" s="178"/>
      <c r="D333" s="179"/>
      <c r="E333" s="178"/>
      <c r="F333" s="182"/>
      <c r="G333" s="181"/>
      <c r="H333" s="182"/>
      <c r="I333" s="183"/>
      <c r="J333" s="184"/>
      <c r="K333" s="184" t="s">
        <v>749</v>
      </c>
      <c r="L333" s="184" t="s">
        <v>1128</v>
      </c>
      <c r="M333" s="184" t="s">
        <v>1175</v>
      </c>
      <c r="N333" s="388">
        <f>N$24</f>
        <v>0</v>
      </c>
      <c r="O333" s="388">
        <f t="shared" ref="O333:AB333" si="374">O$24</f>
        <v>0</v>
      </c>
      <c r="P333" s="388">
        <f t="shared" si="374"/>
        <v>0</v>
      </c>
      <c r="Q333" s="388">
        <f t="shared" si="374"/>
        <v>0</v>
      </c>
      <c r="R333" s="388">
        <f t="shared" si="374"/>
        <v>0</v>
      </c>
      <c r="S333" s="388">
        <f t="shared" si="374"/>
        <v>0</v>
      </c>
      <c r="T333" s="388">
        <f t="shared" si="374"/>
        <v>0</v>
      </c>
      <c r="U333" s="388">
        <f t="shared" si="374"/>
        <v>0</v>
      </c>
      <c r="V333" s="388">
        <f t="shared" si="374"/>
        <v>0</v>
      </c>
      <c r="W333" s="388">
        <f t="shared" si="374"/>
        <v>0</v>
      </c>
      <c r="X333" s="388">
        <f t="shared" si="374"/>
        <v>0</v>
      </c>
      <c r="Y333" s="388">
        <f t="shared" si="374"/>
        <v>0</v>
      </c>
      <c r="Z333" s="388">
        <f t="shared" si="374"/>
        <v>0</v>
      </c>
      <c r="AA333" s="388">
        <f t="shared" si="374"/>
        <v>0</v>
      </c>
      <c r="AB333" s="388">
        <f t="shared" si="374"/>
        <v>0</v>
      </c>
      <c r="AV333" s="700" t="str">
        <f t="shared" si="373"/>
        <v/>
      </c>
      <c r="AW333" s="568"/>
    </row>
    <row r="334" spans="1:49" s="83" customFormat="1" x14ac:dyDescent="0.25">
      <c r="B334" s="178" t="str">
        <f t="shared" si="372"/>
        <v>TFMEPYG100</v>
      </c>
      <c r="C334" s="178"/>
      <c r="D334" s="179"/>
      <c r="E334" s="178"/>
      <c r="F334" s="182"/>
      <c r="G334" s="181"/>
      <c r="H334" s="182"/>
      <c r="I334" s="183"/>
      <c r="J334" s="184"/>
      <c r="K334" s="184"/>
      <c r="L334" s="203" t="s">
        <v>1130</v>
      </c>
      <c r="M334" s="184" t="s">
        <v>1131</v>
      </c>
      <c r="N334" s="397">
        <f>LOOKUP($C$329, T_NCAP_AF!$C$155:$C$165, T_NCAP_AF!D$155:D$165)*(1+N195)</f>
        <v>0</v>
      </c>
      <c r="O334" s="397">
        <f>LOOKUP($C$329, T_NCAP_AF!$C$155:$C$165, T_NCAP_AF!E$155:E$165)*(1+O195)</f>
        <v>0</v>
      </c>
      <c r="P334" s="397">
        <f>LOOKUP($C$329, T_NCAP_AF!$C$155:$C$165, T_NCAP_AF!F$155:F$165)*(1+P195)</f>
        <v>0</v>
      </c>
      <c r="Q334" s="397">
        <f>LOOKUP($C$329, T_NCAP_AF!$C$155:$C$165, T_NCAP_AF!G$155:G$165)*(1+Q195)</f>
        <v>0</v>
      </c>
      <c r="R334" s="397">
        <f>LOOKUP($C$329, T_NCAP_AF!$C$155:$C$165, T_NCAP_AF!H$155:H$165)*(1+R195)</f>
        <v>0</v>
      </c>
      <c r="S334" s="397">
        <f>LOOKUP($C$329, T_NCAP_AF!$C$155:$C$165, T_NCAP_AF!I$155:I$165)*(1+S195)</f>
        <v>0</v>
      </c>
      <c r="T334" s="397">
        <f>LOOKUP($C$329, T_NCAP_AF!$C$155:$C$165, T_NCAP_AF!J$155:J$165)*(1+T195)</f>
        <v>0</v>
      </c>
      <c r="U334" s="397">
        <f>LOOKUP($C$329, T_NCAP_AF!$C$155:$C$165, T_NCAP_AF!K$155:K$165)*(1+U195)</f>
        <v>0</v>
      </c>
      <c r="V334" s="397">
        <f>LOOKUP($C$329, T_NCAP_AF!$C$155:$C$165, T_NCAP_AF!L$155:L$165)*(1+V195)</f>
        <v>0</v>
      </c>
      <c r="W334" s="397">
        <f>LOOKUP($C$329, T_NCAP_AF!$C$155:$C$165, T_NCAP_AF!M$155:M$165)*(1+W195)</f>
        <v>0</v>
      </c>
      <c r="X334" s="397">
        <f>LOOKUP($C$329, T_NCAP_AF!$C$155:$C$165, T_NCAP_AF!N$155:N$165)*(1+X195)</f>
        <v>0</v>
      </c>
      <c r="Y334" s="397">
        <f>LOOKUP($C$329, T_NCAP_AF!$C$155:$C$165, T_NCAP_AF!O$155:O$165)*(1+Y195)</f>
        <v>0</v>
      </c>
      <c r="Z334" s="397">
        <f>LOOKUP($C$329, T_NCAP_AF!$C$155:$C$165, T_NCAP_AF!P$155:P$165)*(1+Z195)</f>
        <v>0</v>
      </c>
      <c r="AA334" s="397">
        <f>LOOKUP($C$329, T_NCAP_AF!$C$155:$C$165, T_NCAP_AF!Q$155:Q$165)*(1+AA195)</f>
        <v>0</v>
      </c>
      <c r="AB334" s="397">
        <f>LOOKUP($C$329, T_NCAP_AF!$C$155:$C$165, T_NCAP_AF!R$155:R$165)*(1+AB195)</f>
        <v>0</v>
      </c>
      <c r="AE334" s="572">
        <f>SUM(AF334:AT334)</f>
        <v>0</v>
      </c>
      <c r="AF334" s="85">
        <f t="shared" ref="AF334:AT334" si="375">N333*N334*N335/1000</f>
        <v>0</v>
      </c>
      <c r="AG334" s="85">
        <f t="shared" si="375"/>
        <v>0</v>
      </c>
      <c r="AH334" s="85">
        <f t="shared" si="375"/>
        <v>0</v>
      </c>
      <c r="AI334" s="85">
        <f t="shared" si="375"/>
        <v>0</v>
      </c>
      <c r="AJ334" s="85">
        <f t="shared" si="375"/>
        <v>0</v>
      </c>
      <c r="AK334" s="85">
        <f t="shared" si="375"/>
        <v>0</v>
      </c>
      <c r="AL334" s="85">
        <f t="shared" si="375"/>
        <v>0</v>
      </c>
      <c r="AM334" s="85">
        <f t="shared" si="375"/>
        <v>0</v>
      </c>
      <c r="AN334" s="85">
        <f t="shared" si="375"/>
        <v>0</v>
      </c>
      <c r="AO334" s="85">
        <f t="shared" si="375"/>
        <v>0</v>
      </c>
      <c r="AP334" s="85">
        <f t="shared" si="375"/>
        <v>0</v>
      </c>
      <c r="AQ334" s="85">
        <f t="shared" si="375"/>
        <v>0</v>
      </c>
      <c r="AR334" s="85">
        <f t="shared" si="375"/>
        <v>0</v>
      </c>
      <c r="AS334" s="85">
        <f t="shared" si="375"/>
        <v>0</v>
      </c>
      <c r="AT334" s="85">
        <f t="shared" si="375"/>
        <v>0</v>
      </c>
    </row>
    <row r="335" spans="1:49" s="83" customFormat="1" x14ac:dyDescent="0.25">
      <c r="B335" s="178" t="str">
        <f>B334</f>
        <v>TFMEPYG100</v>
      </c>
      <c r="C335" s="178"/>
      <c r="D335" s="179"/>
      <c r="E335" s="178"/>
      <c r="F335" s="182"/>
      <c r="G335" s="181"/>
      <c r="H335" s="182"/>
      <c r="I335" s="183">
        <f>$M$3</f>
        <v>2019</v>
      </c>
      <c r="J335" s="184"/>
      <c r="K335" s="184"/>
      <c r="L335" s="203" t="s">
        <v>1065</v>
      </c>
      <c r="M335" s="184" t="s">
        <v>748</v>
      </c>
      <c r="N335" s="694">
        <f>LOOKUP($C$329, T_Stock_Private!$C$106:$C$117, T_Stock_Private!D$106:D$117)*(1+N196)</f>
        <v>0</v>
      </c>
      <c r="O335" s="694">
        <f>LOOKUP($C$329, T_Stock_Private!$C$106:$C$117, T_Stock_Private!E$106:E$117)*(1+O196)</f>
        <v>0</v>
      </c>
      <c r="P335" s="694">
        <f>LOOKUP($C$329, T_Stock_Private!$C$106:$C$117, T_Stock_Private!F$106:F$117)*(1+P196)</f>
        <v>0</v>
      </c>
      <c r="Q335" s="694">
        <f>LOOKUP($C$329, T_Stock_Private!$C$106:$C$117, T_Stock_Private!G$106:G$117)*(1+Q196)</f>
        <v>0</v>
      </c>
      <c r="R335" s="694">
        <f>LOOKUP($C$329, T_Stock_Private!$C$106:$C$117, T_Stock_Private!H$106:H$117)*(1+R196)</f>
        <v>0</v>
      </c>
      <c r="S335" s="694">
        <f>LOOKUP($C$329, T_Stock_Private!$C$106:$C$117, T_Stock_Private!I$106:I$117)*(1+S196)</f>
        <v>0</v>
      </c>
      <c r="T335" s="694">
        <f>LOOKUP($C$329, T_Stock_Private!$C$106:$C$117, T_Stock_Private!J$106:J$117)*(1+T196)</f>
        <v>0</v>
      </c>
      <c r="U335" s="694">
        <f>LOOKUP($C$329, T_Stock_Private!$C$106:$C$117, T_Stock_Private!K$106:K$117)*(1+U196)</f>
        <v>0</v>
      </c>
      <c r="V335" s="694">
        <f>LOOKUP($C$329, T_Stock_Private!$C$106:$C$117, T_Stock_Private!L$106:L$117)*(1+V196)</f>
        <v>0</v>
      </c>
      <c r="W335" s="694">
        <f>LOOKUP($C$329, T_Stock_Private!$C$106:$C$117, T_Stock_Private!M$106:M$117)*(1+W196)</f>
        <v>0</v>
      </c>
      <c r="X335" s="694">
        <f>LOOKUP($C$329, T_Stock_Private!$C$106:$C$117, T_Stock_Private!N$106:N$117)*(1+X196)</f>
        <v>0</v>
      </c>
      <c r="Y335" s="694">
        <f>LOOKUP($C$329, T_Stock_Private!$C$106:$C$117, T_Stock_Private!O$106:O$117)*(1+Y196)</f>
        <v>0</v>
      </c>
      <c r="Z335" s="694">
        <f>LOOKUP($C$329, T_Stock_Private!$C$106:$C$117, T_Stock_Private!P$106:P$117)*(1+Z196)</f>
        <v>0</v>
      </c>
      <c r="AA335" s="694">
        <f>LOOKUP($C$329, T_Stock_Private!$C$106:$C$117, T_Stock_Private!Q$106:Q$117)*(1+AA196)</f>
        <v>0</v>
      </c>
      <c r="AB335" s="694">
        <f>LOOKUP($C$329, T_Stock_Private!$C$106:$C$117, T_Stock_Private!R$106:R$117)*(1+AB196)</f>
        <v>0</v>
      </c>
    </row>
    <row r="336" spans="1:49" s="83" customFormat="1" x14ac:dyDescent="0.25">
      <c r="B336" s="178" t="str">
        <f t="shared" si="372"/>
        <v>TFMEPYG100</v>
      </c>
      <c r="C336" s="178"/>
      <c r="D336" s="179"/>
      <c r="E336" s="178"/>
      <c r="F336" s="182"/>
      <c r="G336" s="181"/>
      <c r="H336" s="182"/>
      <c r="I336" s="183">
        <f>AF$5</f>
        <v>2020</v>
      </c>
      <c r="J336" s="184"/>
      <c r="K336" s="184"/>
      <c r="L336" s="203" t="s">
        <v>1065</v>
      </c>
      <c r="M336" s="184" t="s">
        <v>748</v>
      </c>
      <c r="N336" s="694">
        <f t="shared" ref="N336:AB336" si="376">N335*LOOKUP($AD329,$AG$4:$AP$4,$AG$5:$AP$5)</f>
        <v>0</v>
      </c>
      <c r="O336" s="694">
        <f t="shared" si="376"/>
        <v>0</v>
      </c>
      <c r="P336" s="694">
        <f t="shared" si="376"/>
        <v>0</v>
      </c>
      <c r="Q336" s="694">
        <f t="shared" si="376"/>
        <v>0</v>
      </c>
      <c r="R336" s="694">
        <f t="shared" si="376"/>
        <v>0</v>
      </c>
      <c r="S336" s="694">
        <f t="shared" si="376"/>
        <v>0</v>
      </c>
      <c r="T336" s="694">
        <f t="shared" si="376"/>
        <v>0</v>
      </c>
      <c r="U336" s="694">
        <f t="shared" si="376"/>
        <v>0</v>
      </c>
      <c r="V336" s="694">
        <f t="shared" si="376"/>
        <v>0</v>
      </c>
      <c r="W336" s="694">
        <f t="shared" si="376"/>
        <v>0</v>
      </c>
      <c r="X336" s="694">
        <f t="shared" si="376"/>
        <v>0</v>
      </c>
      <c r="Y336" s="694">
        <f t="shared" si="376"/>
        <v>0</v>
      </c>
      <c r="Z336" s="694">
        <f t="shared" si="376"/>
        <v>0</v>
      </c>
      <c r="AA336" s="694">
        <f t="shared" si="376"/>
        <v>0</v>
      </c>
      <c r="AB336" s="694">
        <f t="shared" si="376"/>
        <v>0</v>
      </c>
    </row>
    <row r="337" spans="1:64" s="83" customFormat="1" x14ac:dyDescent="0.25">
      <c r="B337" s="178" t="str">
        <f t="shared" si="372"/>
        <v>TFMEPYG100</v>
      </c>
      <c r="C337" s="178"/>
      <c r="D337" s="179"/>
      <c r="E337" s="178"/>
      <c r="F337" s="182"/>
      <c r="G337" s="181"/>
      <c r="H337" s="182"/>
      <c r="I337" s="183">
        <f>AF$6</f>
        <v>2025</v>
      </c>
      <c r="J337" s="184"/>
      <c r="K337" s="184"/>
      <c r="L337" s="203" t="s">
        <v>1065</v>
      </c>
      <c r="M337" s="184" t="s">
        <v>748</v>
      </c>
      <c r="N337" s="694">
        <f t="shared" ref="N337:AB337" si="377">N335*LOOKUP($AD329,$AG$4:$AP$4,$AG$6:$AP$6)</f>
        <v>0</v>
      </c>
      <c r="O337" s="694">
        <f t="shared" si="377"/>
        <v>0</v>
      </c>
      <c r="P337" s="694">
        <f t="shared" si="377"/>
        <v>0</v>
      </c>
      <c r="Q337" s="694">
        <f t="shared" si="377"/>
        <v>0</v>
      </c>
      <c r="R337" s="694">
        <f t="shared" si="377"/>
        <v>0</v>
      </c>
      <c r="S337" s="694">
        <f t="shared" si="377"/>
        <v>0</v>
      </c>
      <c r="T337" s="694">
        <f t="shared" si="377"/>
        <v>0</v>
      </c>
      <c r="U337" s="694">
        <f t="shared" si="377"/>
        <v>0</v>
      </c>
      <c r="V337" s="694">
        <f t="shared" si="377"/>
        <v>0</v>
      </c>
      <c r="W337" s="694">
        <f t="shared" si="377"/>
        <v>0</v>
      </c>
      <c r="X337" s="694">
        <f t="shared" si="377"/>
        <v>0</v>
      </c>
      <c r="Y337" s="694">
        <f t="shared" si="377"/>
        <v>0</v>
      </c>
      <c r="Z337" s="694">
        <f t="shared" si="377"/>
        <v>0</v>
      </c>
      <c r="AA337" s="694">
        <f t="shared" si="377"/>
        <v>0</v>
      </c>
      <c r="AB337" s="694">
        <f t="shared" si="377"/>
        <v>0</v>
      </c>
    </row>
    <row r="338" spans="1:64" s="83" customFormat="1" x14ac:dyDescent="0.25">
      <c r="B338" s="178" t="str">
        <f t="shared" si="372"/>
        <v>TFMEPYG100</v>
      </c>
      <c r="C338" s="178"/>
      <c r="D338" s="179"/>
      <c r="E338" s="178"/>
      <c r="F338" s="182"/>
      <c r="G338" s="181"/>
      <c r="H338" s="182"/>
      <c r="I338" s="183">
        <f>AF$7</f>
        <v>2030</v>
      </c>
      <c r="J338" s="184"/>
      <c r="K338" s="184"/>
      <c r="L338" s="203" t="s">
        <v>1065</v>
      </c>
      <c r="M338" s="184" t="s">
        <v>748</v>
      </c>
      <c r="N338" s="694">
        <f t="shared" ref="N338:AB338" si="378">N335*LOOKUP($AD329,$AG$4:$AP$4,$AG$7:$AP$7)</f>
        <v>0</v>
      </c>
      <c r="O338" s="694">
        <f t="shared" si="378"/>
        <v>0</v>
      </c>
      <c r="P338" s="694">
        <f t="shared" si="378"/>
        <v>0</v>
      </c>
      <c r="Q338" s="694">
        <f t="shared" si="378"/>
        <v>0</v>
      </c>
      <c r="R338" s="694">
        <f t="shared" si="378"/>
        <v>0</v>
      </c>
      <c r="S338" s="694">
        <f t="shared" si="378"/>
        <v>0</v>
      </c>
      <c r="T338" s="694">
        <f t="shared" si="378"/>
        <v>0</v>
      </c>
      <c r="U338" s="694">
        <f t="shared" si="378"/>
        <v>0</v>
      </c>
      <c r="V338" s="694">
        <f t="shared" si="378"/>
        <v>0</v>
      </c>
      <c r="W338" s="694">
        <f t="shared" si="378"/>
        <v>0</v>
      </c>
      <c r="X338" s="694">
        <f t="shared" si="378"/>
        <v>0</v>
      </c>
      <c r="Y338" s="694">
        <f t="shared" si="378"/>
        <v>0</v>
      </c>
      <c r="Z338" s="694">
        <f t="shared" si="378"/>
        <v>0</v>
      </c>
      <c r="AA338" s="694">
        <f t="shared" si="378"/>
        <v>0</v>
      </c>
      <c r="AB338" s="694">
        <f t="shared" si="378"/>
        <v>0</v>
      </c>
    </row>
    <row r="339" spans="1:64" s="83" customFormat="1" x14ac:dyDescent="0.25">
      <c r="B339" s="178" t="str">
        <f t="shared" si="372"/>
        <v>TFMEPYG100</v>
      </c>
      <c r="C339" s="178"/>
      <c r="D339" s="179"/>
      <c r="E339" s="178"/>
      <c r="F339" s="182"/>
      <c r="G339" s="181"/>
      <c r="H339" s="182"/>
      <c r="I339" s="183">
        <f>AF$8</f>
        <v>2035</v>
      </c>
      <c r="J339" s="184"/>
      <c r="K339" s="184"/>
      <c r="L339" s="203" t="s">
        <v>1065</v>
      </c>
      <c r="M339" s="184" t="s">
        <v>748</v>
      </c>
      <c r="N339" s="694">
        <f t="shared" ref="N339:AB339" si="379">N335*LOOKUP($AD329,$AG$4:$AP$4,$AG$8:$AP$8)</f>
        <v>0</v>
      </c>
      <c r="O339" s="694">
        <f t="shared" si="379"/>
        <v>0</v>
      </c>
      <c r="P339" s="694">
        <f t="shared" si="379"/>
        <v>0</v>
      </c>
      <c r="Q339" s="694">
        <f t="shared" si="379"/>
        <v>0</v>
      </c>
      <c r="R339" s="694">
        <f t="shared" si="379"/>
        <v>0</v>
      </c>
      <c r="S339" s="694">
        <f t="shared" si="379"/>
        <v>0</v>
      </c>
      <c r="T339" s="694">
        <f t="shared" si="379"/>
        <v>0</v>
      </c>
      <c r="U339" s="694">
        <f t="shared" si="379"/>
        <v>0</v>
      </c>
      <c r="V339" s="694">
        <f t="shared" si="379"/>
        <v>0</v>
      </c>
      <c r="W339" s="694">
        <f t="shared" si="379"/>
        <v>0</v>
      </c>
      <c r="X339" s="694">
        <f t="shared" si="379"/>
        <v>0</v>
      </c>
      <c r="Y339" s="694">
        <f t="shared" si="379"/>
        <v>0</v>
      </c>
      <c r="Z339" s="694">
        <f t="shared" si="379"/>
        <v>0</v>
      </c>
      <c r="AA339" s="694">
        <f t="shared" si="379"/>
        <v>0</v>
      </c>
      <c r="AB339" s="694">
        <f t="shared" si="379"/>
        <v>0</v>
      </c>
    </row>
    <row r="340" spans="1:64" s="83" customFormat="1" x14ac:dyDescent="0.25">
      <c r="B340" s="178" t="str">
        <f t="shared" si="372"/>
        <v>TFMEPYG100</v>
      </c>
      <c r="C340" s="178"/>
      <c r="D340" s="179"/>
      <c r="E340" s="178"/>
      <c r="F340" s="182"/>
      <c r="G340" s="181"/>
      <c r="H340" s="182"/>
      <c r="I340" s="183">
        <f>AF$9</f>
        <v>2040</v>
      </c>
      <c r="J340" s="184"/>
      <c r="K340" s="184"/>
      <c r="L340" s="203" t="s">
        <v>1065</v>
      </c>
      <c r="M340" s="184" t="s">
        <v>748</v>
      </c>
      <c r="N340" s="694">
        <f t="shared" ref="N340:AB340" si="380">N335*LOOKUP($AD329,$AG$4:$AP$4,$AG$9:$AP$9)</f>
        <v>0</v>
      </c>
      <c r="O340" s="694">
        <f t="shared" si="380"/>
        <v>0</v>
      </c>
      <c r="P340" s="694">
        <f t="shared" si="380"/>
        <v>0</v>
      </c>
      <c r="Q340" s="694">
        <f t="shared" si="380"/>
        <v>0</v>
      </c>
      <c r="R340" s="694">
        <f t="shared" si="380"/>
        <v>0</v>
      </c>
      <c r="S340" s="694">
        <f t="shared" si="380"/>
        <v>0</v>
      </c>
      <c r="T340" s="694">
        <f t="shared" si="380"/>
        <v>0</v>
      </c>
      <c r="U340" s="694">
        <f t="shared" si="380"/>
        <v>0</v>
      </c>
      <c r="V340" s="694">
        <f t="shared" si="380"/>
        <v>0</v>
      </c>
      <c r="W340" s="694">
        <f t="shared" si="380"/>
        <v>0</v>
      </c>
      <c r="X340" s="694">
        <f t="shared" si="380"/>
        <v>0</v>
      </c>
      <c r="Y340" s="694">
        <f t="shared" si="380"/>
        <v>0</v>
      </c>
      <c r="Z340" s="694">
        <f t="shared" si="380"/>
        <v>0</v>
      </c>
      <c r="AA340" s="694">
        <f t="shared" si="380"/>
        <v>0</v>
      </c>
      <c r="AB340" s="694">
        <f t="shared" si="380"/>
        <v>0</v>
      </c>
    </row>
    <row r="341" spans="1:64" s="83" customFormat="1" x14ac:dyDescent="0.25">
      <c r="B341" s="204" t="str">
        <f t="shared" si="372"/>
        <v>TFMEPYG100</v>
      </c>
      <c r="C341" s="204"/>
      <c r="D341" s="205"/>
      <c r="E341" s="204"/>
      <c r="F341" s="206"/>
      <c r="G341" s="207"/>
      <c r="H341" s="206"/>
      <c r="I341" s="208">
        <f>AF$10</f>
        <v>2050</v>
      </c>
      <c r="J341" s="209"/>
      <c r="K341" s="209"/>
      <c r="L341" s="210" t="s">
        <v>1065</v>
      </c>
      <c r="M341" s="209" t="s">
        <v>748</v>
      </c>
      <c r="N341" s="695">
        <f t="shared" ref="N341:AB341" si="381">N335*LOOKUP($AD329,$AG$4:$AP$4,$AG$10:$AP$10)</f>
        <v>0</v>
      </c>
      <c r="O341" s="695">
        <f t="shared" si="381"/>
        <v>0</v>
      </c>
      <c r="P341" s="695">
        <f t="shared" si="381"/>
        <v>0</v>
      </c>
      <c r="Q341" s="695">
        <f t="shared" si="381"/>
        <v>0</v>
      </c>
      <c r="R341" s="695">
        <f t="shared" si="381"/>
        <v>0</v>
      </c>
      <c r="S341" s="695">
        <f t="shared" si="381"/>
        <v>0</v>
      </c>
      <c r="T341" s="695">
        <f t="shared" si="381"/>
        <v>0</v>
      </c>
      <c r="U341" s="695">
        <f t="shared" si="381"/>
        <v>0</v>
      </c>
      <c r="V341" s="695">
        <f t="shared" si="381"/>
        <v>0</v>
      </c>
      <c r="W341" s="695">
        <f t="shared" si="381"/>
        <v>0</v>
      </c>
      <c r="X341" s="695">
        <f t="shared" si="381"/>
        <v>0</v>
      </c>
      <c r="Y341" s="695">
        <f t="shared" si="381"/>
        <v>0</v>
      </c>
      <c r="Z341" s="695">
        <f t="shared" si="381"/>
        <v>0</v>
      </c>
      <c r="AA341" s="695">
        <f t="shared" si="381"/>
        <v>0</v>
      </c>
      <c r="AB341" s="695">
        <f t="shared" si="381"/>
        <v>0</v>
      </c>
    </row>
    <row r="342" spans="1:64" x14ac:dyDescent="0.25"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  <c r="BL342" s="83"/>
    </row>
    <row r="343" spans="1:64" x14ac:dyDescent="0.25"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  <c r="BL343" s="83"/>
    </row>
    <row r="344" spans="1:64" x14ac:dyDescent="0.25">
      <c r="D344" s="44"/>
      <c r="M344" s="473" t="s">
        <v>1152</v>
      </c>
      <c r="N344" s="482">
        <v>0.19381209999999999</v>
      </c>
      <c r="O344" s="482">
        <v>0</v>
      </c>
      <c r="P344" s="482">
        <v>0</v>
      </c>
      <c r="Q344" s="482">
        <v>0</v>
      </c>
      <c r="R344" s="482">
        <v>0</v>
      </c>
      <c r="S344" s="482">
        <v>0</v>
      </c>
      <c r="T344" s="482">
        <v>0</v>
      </c>
      <c r="U344" s="482">
        <v>0</v>
      </c>
      <c r="V344" s="482">
        <v>0</v>
      </c>
      <c r="W344" s="482">
        <v>0</v>
      </c>
      <c r="X344" s="482">
        <v>0</v>
      </c>
      <c r="Y344" s="482">
        <v>0</v>
      </c>
      <c r="Z344" s="482">
        <v>0</v>
      </c>
      <c r="AA344" s="482">
        <v>0</v>
      </c>
      <c r="AB344" s="482">
        <v>0</v>
      </c>
      <c r="AF344" s="821"/>
      <c r="AG344" s="821"/>
      <c r="AH344" s="821"/>
      <c r="AI344" s="821"/>
      <c r="AJ344" s="821"/>
      <c r="AK344" s="821"/>
      <c r="AL344" s="821"/>
      <c r="AM344" s="821"/>
      <c r="AN344" s="821"/>
      <c r="AO344" s="821"/>
      <c r="AP344" s="821"/>
      <c r="AQ344" s="821"/>
      <c r="AR344" s="821"/>
      <c r="AS344" s="821"/>
      <c r="AT344" s="821"/>
    </row>
    <row r="345" spans="1:64" x14ac:dyDescent="0.25">
      <c r="B345" s="32" t="s">
        <v>1179</v>
      </c>
      <c r="C345" s="26"/>
      <c r="D345" s="26"/>
      <c r="I345" s="36"/>
      <c r="M345" s="473" t="s">
        <v>1154</v>
      </c>
      <c r="N345" s="482">
        <v>0</v>
      </c>
      <c r="O345" s="482">
        <v>0</v>
      </c>
      <c r="P345" s="482">
        <v>0</v>
      </c>
      <c r="Q345" s="482">
        <v>0</v>
      </c>
      <c r="R345" s="482">
        <v>0</v>
      </c>
      <c r="S345" s="482">
        <v>0</v>
      </c>
      <c r="T345" s="482">
        <v>0</v>
      </c>
      <c r="U345" s="482">
        <v>0</v>
      </c>
      <c r="V345" s="482">
        <v>0</v>
      </c>
      <c r="W345" s="482">
        <v>0</v>
      </c>
      <c r="X345" s="482">
        <v>0</v>
      </c>
      <c r="Y345" s="482">
        <v>0</v>
      </c>
      <c r="Z345" s="482">
        <v>0</v>
      </c>
      <c r="AA345" s="482">
        <v>0</v>
      </c>
      <c r="AB345" s="482">
        <v>0</v>
      </c>
      <c r="AF345" s="866">
        <f t="shared" ref="AF345:AT345" si="382">SUM(N14:N15)/AF350-1</f>
        <v>-1.0592600813433828E-3</v>
      </c>
      <c r="AG345" s="866" t="e">
        <f t="shared" si="382"/>
        <v>#DIV/0!</v>
      </c>
      <c r="AH345" s="866" t="e">
        <f t="shared" si="382"/>
        <v>#DIV/0!</v>
      </c>
      <c r="AI345" s="866" t="e">
        <f t="shared" si="382"/>
        <v>#DIV/0!</v>
      </c>
      <c r="AJ345" s="866" t="e">
        <f t="shared" si="382"/>
        <v>#DIV/0!</v>
      </c>
      <c r="AK345" s="866" t="e">
        <f t="shared" si="382"/>
        <v>#DIV/0!</v>
      </c>
      <c r="AL345" s="866" t="e">
        <f t="shared" si="382"/>
        <v>#DIV/0!</v>
      </c>
      <c r="AM345" s="866" t="e">
        <f t="shared" si="382"/>
        <v>#DIV/0!</v>
      </c>
      <c r="AN345" s="866" t="e">
        <f t="shared" si="382"/>
        <v>#DIV/0!</v>
      </c>
      <c r="AO345" s="866" t="e">
        <f t="shared" si="382"/>
        <v>#DIV/0!</v>
      </c>
      <c r="AP345" s="866" t="e">
        <f t="shared" si="382"/>
        <v>#DIV/0!</v>
      </c>
      <c r="AQ345" s="866" t="e">
        <f t="shared" si="382"/>
        <v>#DIV/0!</v>
      </c>
      <c r="AR345" s="866" t="e">
        <f t="shared" si="382"/>
        <v>#DIV/0!</v>
      </c>
      <c r="AS345" s="866" t="e">
        <f t="shared" si="382"/>
        <v>#DIV/0!</v>
      </c>
      <c r="AT345" s="866" t="e">
        <f t="shared" si="382"/>
        <v>#DIV/0!</v>
      </c>
    </row>
    <row r="346" spans="1:64" x14ac:dyDescent="0.25">
      <c r="M346" s="35"/>
      <c r="AF346" s="866"/>
      <c r="AG346" s="866"/>
      <c r="AH346" s="866"/>
      <c r="AI346" s="866"/>
      <c r="AJ346" s="866"/>
      <c r="AK346" s="866"/>
      <c r="AL346" s="866"/>
      <c r="AM346" s="866"/>
      <c r="AN346" s="866"/>
      <c r="AO346" s="866"/>
      <c r="AP346" s="866"/>
      <c r="AQ346" s="866"/>
      <c r="AR346" s="866"/>
      <c r="AS346" s="866"/>
      <c r="AT346" s="866"/>
    </row>
    <row r="347" spans="1:64" s="22" customFormat="1" x14ac:dyDescent="0.25">
      <c r="A347" s="35"/>
      <c r="B347" s="35"/>
      <c r="C347" s="50"/>
      <c r="D347" s="50"/>
      <c r="E347" s="35"/>
      <c r="F347" s="35"/>
      <c r="G347" s="35"/>
      <c r="H347" s="41"/>
      <c r="I347" s="51"/>
      <c r="J347" s="41"/>
      <c r="K347" s="41"/>
      <c r="L347" s="40" t="str">
        <f>IF(SUM(N14:AB15)&gt;0,"~FI_T","Not in use")</f>
        <v>~FI_T</v>
      </c>
      <c r="M347" s="40"/>
      <c r="N347" s="35"/>
      <c r="O347" s="35"/>
      <c r="P347" s="35"/>
      <c r="Q347" s="35"/>
      <c r="R347" s="41"/>
      <c r="S347" s="35"/>
      <c r="T347" s="35"/>
      <c r="U347" s="35"/>
      <c r="V347" s="35"/>
      <c r="W347" s="41"/>
      <c r="X347" s="35"/>
      <c r="Y347" s="35"/>
      <c r="Z347" s="35"/>
      <c r="AA347" s="35"/>
      <c r="AB347" s="35"/>
      <c r="AC347" s="41"/>
      <c r="AD347" s="49" t="str">
        <f>CONCATENATE("TEST: ",B345)</f>
        <v>TEST: Base-year: Heavy Trucks (HGV) &gt;18 tons</v>
      </c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V347" s="471" t="s">
        <v>1052</v>
      </c>
    </row>
    <row r="348" spans="1:64" s="22" customFormat="1" x14ac:dyDescent="0.25">
      <c r="A348" s="35"/>
      <c r="B348" s="52" t="s">
        <v>1053</v>
      </c>
      <c r="C348" s="26" t="s">
        <v>104</v>
      </c>
      <c r="D348" s="26" t="s">
        <v>1054</v>
      </c>
      <c r="E348" s="26" t="s">
        <v>673</v>
      </c>
      <c r="F348" s="26" t="s">
        <v>1155</v>
      </c>
      <c r="G348" s="26" t="s">
        <v>674</v>
      </c>
      <c r="H348" s="26" t="s">
        <v>1055</v>
      </c>
      <c r="I348" s="53" t="s">
        <v>1056</v>
      </c>
      <c r="J348" s="26" t="s">
        <v>982</v>
      </c>
      <c r="K348" s="42" t="s">
        <v>1123</v>
      </c>
      <c r="L348" s="26" t="s">
        <v>1057</v>
      </c>
      <c r="M348" s="26" t="s">
        <v>1058</v>
      </c>
      <c r="N348" s="26" t="str">
        <f t="shared" ref="N348:AB348" si="383">N$2</f>
        <v>Z01</v>
      </c>
      <c r="O348" s="26" t="str">
        <f t="shared" si="383"/>
        <v>Z02</v>
      </c>
      <c r="P348" s="26" t="str">
        <f t="shared" si="383"/>
        <v>Z03</v>
      </c>
      <c r="Q348" s="26" t="str">
        <f t="shared" si="383"/>
        <v>Z04</v>
      </c>
      <c r="R348" s="26" t="str">
        <f t="shared" si="383"/>
        <v>Z05</v>
      </c>
      <c r="S348" s="26" t="str">
        <f t="shared" si="383"/>
        <v>Z06</v>
      </c>
      <c r="T348" s="26" t="str">
        <f t="shared" si="383"/>
        <v>Z07</v>
      </c>
      <c r="U348" s="26" t="str">
        <f t="shared" si="383"/>
        <v>Z08</v>
      </c>
      <c r="V348" s="26" t="str">
        <f t="shared" si="383"/>
        <v>Z09</v>
      </c>
      <c r="W348" s="26" t="str">
        <f t="shared" si="383"/>
        <v>Z10</v>
      </c>
      <c r="X348" s="26" t="str">
        <f t="shared" si="383"/>
        <v>Z11</v>
      </c>
      <c r="Y348" s="26" t="str">
        <f t="shared" si="383"/>
        <v>Z12</v>
      </c>
      <c r="Z348" s="26" t="str">
        <f t="shared" si="383"/>
        <v>Z13</v>
      </c>
      <c r="AA348" s="26" t="str">
        <f t="shared" si="383"/>
        <v>Z14</v>
      </c>
      <c r="AB348" s="26" t="str">
        <f t="shared" si="383"/>
        <v>Z15</v>
      </c>
      <c r="AC348" s="48"/>
      <c r="AD348" s="42"/>
      <c r="AE348" s="42" t="s">
        <v>421</v>
      </c>
      <c r="AF348" s="42" t="str">
        <f t="shared" ref="AF348:AT348" si="384">N348</f>
        <v>Z01</v>
      </c>
      <c r="AG348" s="42" t="str">
        <f t="shared" si="384"/>
        <v>Z02</v>
      </c>
      <c r="AH348" s="42" t="str">
        <f t="shared" si="384"/>
        <v>Z03</v>
      </c>
      <c r="AI348" s="42" t="str">
        <f t="shared" si="384"/>
        <v>Z04</v>
      </c>
      <c r="AJ348" s="42" t="str">
        <f t="shared" si="384"/>
        <v>Z05</v>
      </c>
      <c r="AK348" s="42" t="str">
        <f t="shared" si="384"/>
        <v>Z06</v>
      </c>
      <c r="AL348" s="42" t="str">
        <f t="shared" si="384"/>
        <v>Z07</v>
      </c>
      <c r="AM348" s="42" t="str">
        <f t="shared" si="384"/>
        <v>Z08</v>
      </c>
      <c r="AN348" s="42" t="str">
        <f t="shared" si="384"/>
        <v>Z09</v>
      </c>
      <c r="AO348" s="42" t="str">
        <f t="shared" si="384"/>
        <v>Z10</v>
      </c>
      <c r="AP348" s="42" t="str">
        <f t="shared" si="384"/>
        <v>Z11</v>
      </c>
      <c r="AQ348" s="42" t="str">
        <f t="shared" si="384"/>
        <v>Z12</v>
      </c>
      <c r="AR348" s="42" t="str">
        <f t="shared" si="384"/>
        <v>Z13</v>
      </c>
      <c r="AS348" s="42" t="str">
        <f t="shared" si="384"/>
        <v>Z14</v>
      </c>
      <c r="AT348" s="42" t="str">
        <f t="shared" si="384"/>
        <v>Z15</v>
      </c>
      <c r="AV348" s="701" t="s">
        <v>85</v>
      </c>
      <c r="AW348" s="701" t="s">
        <v>421</v>
      </c>
      <c r="AX348" s="701" t="str">
        <f t="shared" ref="AX348:BL348" si="385">N$2</f>
        <v>Z01</v>
      </c>
      <c r="AY348" s="701" t="str">
        <f t="shared" si="385"/>
        <v>Z02</v>
      </c>
      <c r="AZ348" s="701" t="str">
        <f t="shared" si="385"/>
        <v>Z03</v>
      </c>
      <c r="BA348" s="701" t="str">
        <f t="shared" si="385"/>
        <v>Z04</v>
      </c>
      <c r="BB348" s="701" t="str">
        <f t="shared" si="385"/>
        <v>Z05</v>
      </c>
      <c r="BC348" s="701" t="str">
        <f t="shared" si="385"/>
        <v>Z06</v>
      </c>
      <c r="BD348" s="701" t="str">
        <f t="shared" si="385"/>
        <v>Z07</v>
      </c>
      <c r="BE348" s="701" t="str">
        <f t="shared" si="385"/>
        <v>Z08</v>
      </c>
      <c r="BF348" s="701" t="str">
        <f t="shared" si="385"/>
        <v>Z09</v>
      </c>
      <c r="BG348" s="701" t="str">
        <f t="shared" si="385"/>
        <v>Z10</v>
      </c>
      <c r="BH348" s="701" t="str">
        <f t="shared" si="385"/>
        <v>Z11</v>
      </c>
      <c r="BI348" s="701" t="str">
        <f t="shared" si="385"/>
        <v>Z12</v>
      </c>
      <c r="BJ348" s="701" t="str">
        <f t="shared" si="385"/>
        <v>Z13</v>
      </c>
      <c r="BK348" s="701" t="str">
        <f t="shared" si="385"/>
        <v>Z14</v>
      </c>
      <c r="BL348" s="701" t="str">
        <f t="shared" si="385"/>
        <v>Z15</v>
      </c>
    </row>
    <row r="349" spans="1:64" s="22" customFormat="1" x14ac:dyDescent="0.25">
      <c r="A349" s="35"/>
      <c r="B349" s="176"/>
      <c r="C349" s="176"/>
      <c r="D349" s="176" t="s">
        <v>1062</v>
      </c>
      <c r="E349" s="176"/>
      <c r="F349" s="176"/>
      <c r="G349" s="176"/>
      <c r="H349" s="176"/>
      <c r="I349" s="177"/>
      <c r="J349" s="176"/>
      <c r="K349" s="176"/>
      <c r="L349" s="176"/>
      <c r="M349" s="202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35"/>
      <c r="AD349" s="398" t="s">
        <v>1124</v>
      </c>
      <c r="AE349" s="625" t="str">
        <f>IF(AE350-SUM(AD14:AD15)&lt;0,"too small",IF(AE350-SUM(AD14:AD15)&gt;0.001,"Too big","ok"))</f>
        <v>Too big</v>
      </c>
      <c r="AF349" s="619" t="str">
        <f t="shared" ref="AF349:AT349" si="386">IF(AF350-SUM(N14:N15)&lt;0,"too small",IF(AF350-SUM(N14:N15)&gt;0.0001,"Too big","ok"))</f>
        <v>Too big</v>
      </c>
      <c r="AG349" s="619" t="str">
        <f t="shared" si="386"/>
        <v>ok</v>
      </c>
      <c r="AH349" s="619" t="str">
        <f t="shared" si="386"/>
        <v>ok</v>
      </c>
      <c r="AI349" s="619" t="str">
        <f t="shared" si="386"/>
        <v>ok</v>
      </c>
      <c r="AJ349" s="619" t="str">
        <f t="shared" si="386"/>
        <v>ok</v>
      </c>
      <c r="AK349" s="619" t="str">
        <f t="shared" si="386"/>
        <v>ok</v>
      </c>
      <c r="AL349" s="619" t="str">
        <f t="shared" si="386"/>
        <v>ok</v>
      </c>
      <c r="AM349" s="619" t="str">
        <f t="shared" si="386"/>
        <v>ok</v>
      </c>
      <c r="AN349" s="619" t="str">
        <f t="shared" si="386"/>
        <v>ok</v>
      </c>
      <c r="AO349" s="619" t="str">
        <f t="shared" si="386"/>
        <v>ok</v>
      </c>
      <c r="AP349" s="619" t="str">
        <f t="shared" si="386"/>
        <v>ok</v>
      </c>
      <c r="AQ349" s="619" t="str">
        <f t="shared" si="386"/>
        <v>ok</v>
      </c>
      <c r="AR349" s="619" t="str">
        <f t="shared" si="386"/>
        <v>ok</v>
      </c>
      <c r="AS349" s="619" t="str">
        <f t="shared" si="386"/>
        <v>ok</v>
      </c>
      <c r="AT349" s="619" t="str">
        <f t="shared" si="386"/>
        <v>ok</v>
      </c>
      <c r="AV349" s="398" t="s">
        <v>103</v>
      </c>
      <c r="AW349" s="717">
        <f>SUM(AX349:BL349)</f>
        <v>7514.9686118368891</v>
      </c>
      <c r="AX349" s="718">
        <f t="shared" ref="AX349:BL349" si="387">SUM(AX350:AX484)</f>
        <v>7514.9686118368891</v>
      </c>
      <c r="AY349" s="718">
        <f t="shared" si="387"/>
        <v>0</v>
      </c>
      <c r="AZ349" s="718">
        <f t="shared" si="387"/>
        <v>0</v>
      </c>
      <c r="BA349" s="718">
        <f t="shared" si="387"/>
        <v>0</v>
      </c>
      <c r="BB349" s="718">
        <f t="shared" si="387"/>
        <v>0</v>
      </c>
      <c r="BC349" s="718">
        <f t="shared" si="387"/>
        <v>0</v>
      </c>
      <c r="BD349" s="718">
        <f t="shared" si="387"/>
        <v>0</v>
      </c>
      <c r="BE349" s="718">
        <f t="shared" si="387"/>
        <v>0</v>
      </c>
      <c r="BF349" s="718">
        <f t="shared" si="387"/>
        <v>0</v>
      </c>
      <c r="BG349" s="718">
        <f t="shared" si="387"/>
        <v>0</v>
      </c>
      <c r="BH349" s="718">
        <f t="shared" si="387"/>
        <v>0</v>
      </c>
      <c r="BI349" s="718">
        <f t="shared" si="387"/>
        <v>0</v>
      </c>
      <c r="BJ349" s="718">
        <f t="shared" si="387"/>
        <v>0</v>
      </c>
      <c r="BK349" s="718">
        <f t="shared" si="387"/>
        <v>0</v>
      </c>
      <c r="BL349" s="718">
        <f t="shared" si="387"/>
        <v>0</v>
      </c>
    </row>
    <row r="350" spans="1:64" s="83" customFormat="1" x14ac:dyDescent="0.25">
      <c r="A350" s="82"/>
      <c r="B350" s="178" t="str">
        <f>C350</f>
        <v>TFREBDL100</v>
      </c>
      <c r="C350" s="178" t="s">
        <v>369</v>
      </c>
      <c r="D350" s="179" t="s">
        <v>848</v>
      </c>
      <c r="E350" s="407" t="s">
        <v>988</v>
      </c>
      <c r="F350" s="182"/>
      <c r="G350" s="181"/>
      <c r="H350" s="182"/>
      <c r="I350" s="183"/>
      <c r="J350" s="184"/>
      <c r="K350" s="184"/>
      <c r="L350" s="203" t="s">
        <v>1107</v>
      </c>
      <c r="M350" s="184" t="s">
        <v>1125</v>
      </c>
      <c r="N350" s="378">
        <f>N$58</f>
        <v>1E-3</v>
      </c>
      <c r="O350" s="378">
        <f t="shared" ref="O350:AB350" si="388">$N350</f>
        <v>1E-3</v>
      </c>
      <c r="P350" s="378">
        <f t="shared" si="388"/>
        <v>1E-3</v>
      </c>
      <c r="Q350" s="378">
        <f t="shared" si="388"/>
        <v>1E-3</v>
      </c>
      <c r="R350" s="378">
        <f t="shared" si="388"/>
        <v>1E-3</v>
      </c>
      <c r="S350" s="378">
        <f t="shared" si="388"/>
        <v>1E-3</v>
      </c>
      <c r="T350" s="378">
        <f t="shared" si="388"/>
        <v>1E-3</v>
      </c>
      <c r="U350" s="378">
        <f t="shared" si="388"/>
        <v>1E-3</v>
      </c>
      <c r="V350" s="378">
        <f t="shared" si="388"/>
        <v>1E-3</v>
      </c>
      <c r="W350" s="378">
        <f t="shared" si="388"/>
        <v>1E-3</v>
      </c>
      <c r="X350" s="378">
        <f t="shared" si="388"/>
        <v>1E-3</v>
      </c>
      <c r="Y350" s="378">
        <f t="shared" si="388"/>
        <v>1E-3</v>
      </c>
      <c r="Z350" s="378">
        <f t="shared" si="388"/>
        <v>1E-3</v>
      </c>
      <c r="AA350" s="378">
        <f t="shared" si="388"/>
        <v>1E-3</v>
      </c>
      <c r="AB350" s="378">
        <f t="shared" si="388"/>
        <v>1E-3</v>
      </c>
      <c r="AD350" s="56" t="str">
        <f>MID(D350,13,3)</f>
        <v>BDL</v>
      </c>
      <c r="AE350" s="93">
        <f>SUM(AF350:AT350)</f>
        <v>3324.5215329494199</v>
      </c>
      <c r="AF350" s="322">
        <f t="shared" ref="AF350:AT350" si="389">SUM(AF351:AF492)</f>
        <v>3324.5215329494199</v>
      </c>
      <c r="AG350" s="322">
        <f t="shared" si="389"/>
        <v>0</v>
      </c>
      <c r="AH350" s="322">
        <f t="shared" si="389"/>
        <v>0</v>
      </c>
      <c r="AI350" s="322">
        <f t="shared" si="389"/>
        <v>0</v>
      </c>
      <c r="AJ350" s="322">
        <f t="shared" si="389"/>
        <v>0</v>
      </c>
      <c r="AK350" s="322">
        <f t="shared" si="389"/>
        <v>0</v>
      </c>
      <c r="AL350" s="322">
        <f t="shared" si="389"/>
        <v>0</v>
      </c>
      <c r="AM350" s="322">
        <f t="shared" si="389"/>
        <v>0</v>
      </c>
      <c r="AN350" s="322">
        <f t="shared" si="389"/>
        <v>0</v>
      </c>
      <c r="AO350" s="322">
        <f t="shared" si="389"/>
        <v>0</v>
      </c>
      <c r="AP350" s="322">
        <f t="shared" si="389"/>
        <v>0</v>
      </c>
      <c r="AQ350" s="322">
        <f t="shared" si="389"/>
        <v>0</v>
      </c>
      <c r="AR350" s="322">
        <f t="shared" si="389"/>
        <v>0</v>
      </c>
      <c r="AS350" s="322">
        <f t="shared" si="389"/>
        <v>0</v>
      </c>
      <c r="AT350" s="322">
        <f t="shared" si="389"/>
        <v>0</v>
      </c>
      <c r="AV350" s="700" t="str">
        <f>MID(E350,1,7)</f>
        <v>TRABDL</v>
      </c>
      <c r="AW350" s="568">
        <f>SUM(AX350:BL350)</f>
        <v>0</v>
      </c>
      <c r="AX350" s="568"/>
      <c r="AY350" s="568"/>
      <c r="AZ350" s="568"/>
      <c r="BA350" s="568"/>
      <c r="BB350" s="568"/>
      <c r="BC350" s="568"/>
      <c r="BD350" s="568"/>
      <c r="BE350" s="568"/>
      <c r="BF350" s="568"/>
      <c r="BG350" s="568"/>
      <c r="BH350" s="568"/>
      <c r="BI350" s="568"/>
      <c r="BJ350" s="568"/>
      <c r="BK350" s="568"/>
      <c r="BL350" s="568"/>
    </row>
    <row r="351" spans="1:64" x14ac:dyDescent="0.25">
      <c r="B351" s="186" t="str">
        <f>B350</f>
        <v>TFREBDL100</v>
      </c>
      <c r="C351" s="186"/>
      <c r="D351" s="187"/>
      <c r="E351" s="186"/>
      <c r="F351" s="170"/>
      <c r="G351" s="173" t="s">
        <v>439</v>
      </c>
      <c r="H351" s="170"/>
      <c r="I351" s="190"/>
      <c r="J351" s="191"/>
      <c r="K351" s="191"/>
      <c r="L351" s="191" t="s">
        <v>1126</v>
      </c>
      <c r="M351" s="191" t="s">
        <v>678</v>
      </c>
      <c r="N351" s="377">
        <f>T_CEFF!H202</f>
        <v>6.4000000000000001E-2</v>
      </c>
      <c r="O351" s="377">
        <f>T_CEFF!I202</f>
        <v>6.4000000000000001E-2</v>
      </c>
      <c r="P351" s="377">
        <f>T_CEFF!J202</f>
        <v>6.4000000000000001E-2</v>
      </c>
      <c r="Q351" s="377">
        <f>T_CEFF!K202</f>
        <v>6.4000000000000001E-2</v>
      </c>
      <c r="R351" s="377">
        <f>T_CEFF!L202</f>
        <v>6.4000000000000001E-2</v>
      </c>
      <c r="S351" s="377">
        <f>T_CEFF!M202</f>
        <v>6.4000000000000001E-2</v>
      </c>
      <c r="T351" s="377">
        <f>T_CEFF!N202</f>
        <v>6.4000000000000001E-2</v>
      </c>
      <c r="U351" s="377">
        <f>T_CEFF!O202</f>
        <v>6.4000000000000001E-2</v>
      </c>
      <c r="V351" s="377">
        <f>T_CEFF!P202</f>
        <v>6.4000000000000001E-2</v>
      </c>
      <c r="W351" s="377">
        <f>T_CEFF!Q202</f>
        <v>6.4000000000000001E-2</v>
      </c>
      <c r="X351" s="377">
        <f>T_CEFF!R202</f>
        <v>6.4000000000000001E-2</v>
      </c>
      <c r="Y351" s="377">
        <f>T_CEFF!S202</f>
        <v>6.4000000000000001E-2</v>
      </c>
      <c r="Z351" s="377">
        <f>T_CEFF!T202</f>
        <v>6.4000000000000001E-2</v>
      </c>
      <c r="AA351" s="377">
        <f>T_CEFF!U202</f>
        <v>6.4000000000000001E-2</v>
      </c>
      <c r="AB351" s="377">
        <f>T_CEFF!V202</f>
        <v>6.4000000000000001E-2</v>
      </c>
      <c r="AD351" s="66" t="str">
        <f>IF(COUNTIF($AG$4:$AP$4,AD350)=1,"ok","MISSING")</f>
        <v>ok</v>
      </c>
      <c r="AE351" s="83"/>
      <c r="AF351" s="89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V351" s="700" t="str">
        <f>MID(E351,1,7)</f>
        <v/>
      </c>
      <c r="AW351" s="568"/>
      <c r="AX351" s="568"/>
      <c r="AY351" s="568"/>
      <c r="AZ351" s="568"/>
      <c r="BA351" s="568"/>
      <c r="BB351" s="568"/>
      <c r="BC351" s="568"/>
      <c r="BD351" s="568"/>
      <c r="BE351" s="568"/>
      <c r="BF351" s="568"/>
      <c r="BG351" s="568"/>
      <c r="BH351" s="568"/>
      <c r="BI351" s="568"/>
      <c r="BJ351" s="568"/>
      <c r="BK351" s="568"/>
      <c r="BL351" s="568"/>
    </row>
    <row r="352" spans="1:64" x14ac:dyDescent="0.25">
      <c r="B352" s="186" t="str">
        <f t="shared" ref="B352:B361" si="390">B351</f>
        <v>TFREBDL100</v>
      </c>
      <c r="C352" s="186"/>
      <c r="D352" s="187"/>
      <c r="E352" s="186"/>
      <c r="F352" s="170"/>
      <c r="G352" s="173" t="s">
        <v>437</v>
      </c>
      <c r="H352" s="170"/>
      <c r="I352" s="190"/>
      <c r="J352" s="191"/>
      <c r="K352" s="191"/>
      <c r="L352" s="191" t="s">
        <v>1126</v>
      </c>
      <c r="M352" s="191" t="s">
        <v>678</v>
      </c>
      <c r="N352" s="377">
        <f>T_CEFF!H203</f>
        <v>5.1200000000000002E-2</v>
      </c>
      <c r="O352" s="377">
        <f>T_CEFF!I203</f>
        <v>5.1200000000000002E-2</v>
      </c>
      <c r="P352" s="377">
        <f>T_CEFF!J203</f>
        <v>5.1200000000000002E-2</v>
      </c>
      <c r="Q352" s="377">
        <f>T_CEFF!K203</f>
        <v>5.1200000000000002E-2</v>
      </c>
      <c r="R352" s="377">
        <f>T_CEFF!L203</f>
        <v>5.1200000000000002E-2</v>
      </c>
      <c r="S352" s="377">
        <f>T_CEFF!M203</f>
        <v>5.1200000000000002E-2</v>
      </c>
      <c r="T352" s="377">
        <f>T_CEFF!N203</f>
        <v>5.1200000000000002E-2</v>
      </c>
      <c r="U352" s="377">
        <f>T_CEFF!O203</f>
        <v>5.1200000000000002E-2</v>
      </c>
      <c r="V352" s="377">
        <f>T_CEFF!P203</f>
        <v>5.1200000000000002E-2</v>
      </c>
      <c r="W352" s="377">
        <f>T_CEFF!Q203</f>
        <v>5.1200000000000002E-2</v>
      </c>
      <c r="X352" s="377">
        <f>T_CEFF!R203</f>
        <v>5.1200000000000002E-2</v>
      </c>
      <c r="Y352" s="377">
        <f>T_CEFF!S203</f>
        <v>5.1200000000000002E-2</v>
      </c>
      <c r="Z352" s="377">
        <f>T_CEFF!T203</f>
        <v>5.1200000000000002E-2</v>
      </c>
      <c r="AA352" s="377">
        <f>T_CEFF!U203</f>
        <v>5.1200000000000002E-2</v>
      </c>
      <c r="AB352" s="377">
        <f>T_CEFF!V203</f>
        <v>5.1200000000000002E-2</v>
      </c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  <c r="BL352" s="83"/>
    </row>
    <row r="353" spans="1:64" x14ac:dyDescent="0.25">
      <c r="B353" s="186" t="str">
        <f t="shared" si="390"/>
        <v>TFREBDL100</v>
      </c>
      <c r="C353" s="186"/>
      <c r="D353" s="187"/>
      <c r="E353" s="186"/>
      <c r="F353" s="170"/>
      <c r="G353" s="189"/>
      <c r="H353" s="170"/>
      <c r="I353" s="190"/>
      <c r="J353" s="191"/>
      <c r="K353" s="191" t="s">
        <v>749</v>
      </c>
      <c r="L353" s="191" t="s">
        <v>1128</v>
      </c>
      <c r="M353" s="191" t="s">
        <v>1175</v>
      </c>
      <c r="N353" s="368">
        <f t="shared" ref="N353:AB353" si="391">N$25</f>
        <v>8.61</v>
      </c>
      <c r="O353" s="368">
        <f t="shared" si="391"/>
        <v>0</v>
      </c>
      <c r="P353" s="368">
        <f t="shared" si="391"/>
        <v>0</v>
      </c>
      <c r="Q353" s="368">
        <f t="shared" si="391"/>
        <v>0</v>
      </c>
      <c r="R353" s="368">
        <f t="shared" si="391"/>
        <v>0</v>
      </c>
      <c r="S353" s="368">
        <f t="shared" si="391"/>
        <v>0</v>
      </c>
      <c r="T353" s="368">
        <f t="shared" si="391"/>
        <v>0</v>
      </c>
      <c r="U353" s="368">
        <f t="shared" si="391"/>
        <v>0</v>
      </c>
      <c r="V353" s="368">
        <f t="shared" si="391"/>
        <v>0</v>
      </c>
      <c r="W353" s="368">
        <f t="shared" si="391"/>
        <v>0</v>
      </c>
      <c r="X353" s="368">
        <f t="shared" si="391"/>
        <v>0</v>
      </c>
      <c r="Y353" s="368">
        <f t="shared" si="391"/>
        <v>0</v>
      </c>
      <c r="Z353" s="368">
        <f t="shared" si="391"/>
        <v>0</v>
      </c>
      <c r="AA353" s="368">
        <f t="shared" si="391"/>
        <v>0</v>
      </c>
      <c r="AB353" s="368">
        <f t="shared" si="391"/>
        <v>0</v>
      </c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  <c r="BL353" s="83"/>
    </row>
    <row r="354" spans="1:64" x14ac:dyDescent="0.25">
      <c r="B354" s="186" t="str">
        <f t="shared" si="390"/>
        <v>TFREBDL100</v>
      </c>
      <c r="C354" s="186"/>
      <c r="D354" s="187"/>
      <c r="E354" s="186"/>
      <c r="F354" s="170"/>
      <c r="G354" s="189"/>
      <c r="H354" s="170"/>
      <c r="I354" s="190"/>
      <c r="J354" s="191"/>
      <c r="K354" s="191"/>
      <c r="L354" s="211" t="s">
        <v>1130</v>
      </c>
      <c r="M354" s="191" t="s">
        <v>1131</v>
      </c>
      <c r="N354" s="369">
        <f>LOOKUP($C$350, T_NCAP_AF!$C$185:$C$195, T_NCAP_AF!D$185:D$195)*(1+N344)</f>
        <v>0</v>
      </c>
      <c r="O354" s="369">
        <f>LOOKUP($C$350, T_NCAP_AF!$C$185:$C$195, T_NCAP_AF!E$185:E$195)*(1+O344)</f>
        <v>0</v>
      </c>
      <c r="P354" s="369">
        <f>LOOKUP($C$350, T_NCAP_AF!$C$185:$C$195, T_NCAP_AF!F$185:F$195)*(1+P344)</f>
        <v>0</v>
      </c>
      <c r="Q354" s="369">
        <f>LOOKUP($C$350, T_NCAP_AF!$C$185:$C$195, T_NCAP_AF!G$185:G$195)*(1+Q344)</f>
        <v>0</v>
      </c>
      <c r="R354" s="369">
        <f>LOOKUP($C$350, T_NCAP_AF!$C$185:$C$195, T_NCAP_AF!H$185:H$195)*(1+R344)</f>
        <v>0</v>
      </c>
      <c r="S354" s="369">
        <f>LOOKUP($C$350, T_NCAP_AF!$C$185:$C$195, T_NCAP_AF!I$185:I$195)*(1+S344)</f>
        <v>0</v>
      </c>
      <c r="T354" s="369">
        <f>LOOKUP($C$350, T_NCAP_AF!$C$185:$C$195, T_NCAP_AF!J$185:J$195)*(1+T344)</f>
        <v>0</v>
      </c>
      <c r="U354" s="369">
        <f>LOOKUP($C$350, T_NCAP_AF!$C$185:$C$195, T_NCAP_AF!K$185:K$195)*(1+U344)</f>
        <v>0</v>
      </c>
      <c r="V354" s="369">
        <f>LOOKUP($C$350, T_NCAP_AF!$C$185:$C$195, T_NCAP_AF!L$185:L$195)*(1+V344)</f>
        <v>0</v>
      </c>
      <c r="W354" s="369">
        <f>LOOKUP($C$350, T_NCAP_AF!$C$185:$C$195, T_NCAP_AF!M$185:M$195)*(1+W344)</f>
        <v>0</v>
      </c>
      <c r="X354" s="369">
        <f>LOOKUP($C$350, T_NCAP_AF!$C$185:$C$195, T_NCAP_AF!N$185:N$195)*(1+X344)</f>
        <v>0</v>
      </c>
      <c r="Y354" s="369">
        <f>LOOKUP($C$350, T_NCAP_AF!$C$185:$C$195, T_NCAP_AF!O$185:O$195)*(1+Y344)</f>
        <v>0</v>
      </c>
      <c r="Z354" s="369">
        <f>LOOKUP($C$350, T_NCAP_AF!$C$185:$C$195, T_NCAP_AF!P$185:P$195)*(1+Z344)</f>
        <v>0</v>
      </c>
      <c r="AA354" s="369">
        <f>LOOKUP($C$350, T_NCAP_AF!$C$185:$C$195, T_NCAP_AF!Q$185:Q$195)*(1+AA344)</f>
        <v>0</v>
      </c>
      <c r="AB354" s="369">
        <f>LOOKUP($C$350, T_NCAP_AF!$C$185:$C$195, T_NCAP_AF!R$185:R$195)*(1+AB344)</f>
        <v>0</v>
      </c>
      <c r="AC354" s="83"/>
      <c r="AE354" s="572">
        <f>SUM(AF354:AT354)</f>
        <v>0</v>
      </c>
      <c r="AF354" s="85">
        <f t="shared" ref="AF354:AT354" si="392">N353*N354*N355/1000</f>
        <v>0</v>
      </c>
      <c r="AG354" s="85">
        <f t="shared" si="392"/>
        <v>0</v>
      </c>
      <c r="AH354" s="85">
        <f t="shared" si="392"/>
        <v>0</v>
      </c>
      <c r="AI354" s="85">
        <f t="shared" si="392"/>
        <v>0</v>
      </c>
      <c r="AJ354" s="85">
        <f t="shared" si="392"/>
        <v>0</v>
      </c>
      <c r="AK354" s="85">
        <f t="shared" si="392"/>
        <v>0</v>
      </c>
      <c r="AL354" s="85">
        <f t="shared" si="392"/>
        <v>0</v>
      </c>
      <c r="AM354" s="85">
        <f t="shared" si="392"/>
        <v>0</v>
      </c>
      <c r="AN354" s="85">
        <f t="shared" si="392"/>
        <v>0</v>
      </c>
      <c r="AO354" s="85">
        <f t="shared" si="392"/>
        <v>0</v>
      </c>
      <c r="AP354" s="85">
        <f t="shared" si="392"/>
        <v>0</v>
      </c>
      <c r="AQ354" s="85">
        <f t="shared" si="392"/>
        <v>0</v>
      </c>
      <c r="AR354" s="85">
        <f t="shared" si="392"/>
        <v>0</v>
      </c>
      <c r="AS354" s="85">
        <f t="shared" si="392"/>
        <v>0</v>
      </c>
      <c r="AT354" s="85">
        <f t="shared" si="392"/>
        <v>0</v>
      </c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  <c r="BL354" s="83"/>
    </row>
    <row r="355" spans="1:64" x14ac:dyDescent="0.25">
      <c r="B355" s="186" t="str">
        <f t="shared" si="390"/>
        <v>TFREBDL100</v>
      </c>
      <c r="C355" s="186"/>
      <c r="D355" s="187"/>
      <c r="E355" s="186"/>
      <c r="F355" s="170"/>
      <c r="G355" s="189"/>
      <c r="H355" s="170"/>
      <c r="I355" s="190">
        <f>$M$3</f>
        <v>2019</v>
      </c>
      <c r="J355" s="191"/>
      <c r="K355" s="191"/>
      <c r="L355" s="211" t="s">
        <v>1065</v>
      </c>
      <c r="M355" s="191" t="s">
        <v>748</v>
      </c>
      <c r="N355" s="694">
        <f>LOOKUP($C$350, T_Stock_Private!$C$122:$C$133,T_Stock_Private!D$122:D$133)*(1+N345)</f>
        <v>0</v>
      </c>
      <c r="O355" s="694">
        <f>LOOKUP($C$350, T_Stock_Private!$C$122:$C$133,T_Stock_Private!E$122:E$133)*(1+O345)</f>
        <v>0</v>
      </c>
      <c r="P355" s="694">
        <f>LOOKUP($C$350, T_Stock_Private!$C$122:$C$133,T_Stock_Private!F$122:F$133)*(1+P345)</f>
        <v>0</v>
      </c>
      <c r="Q355" s="694">
        <f>LOOKUP($C$350, T_Stock_Private!$C$122:$C$133,T_Stock_Private!G$122:G$133)*(1+Q345)</f>
        <v>0</v>
      </c>
      <c r="R355" s="694">
        <f>LOOKUP($C$350, T_Stock_Private!$C$122:$C$133,T_Stock_Private!H$122:H$133)*(1+R345)</f>
        <v>0</v>
      </c>
      <c r="S355" s="694">
        <f>LOOKUP($C$350, T_Stock_Private!$C$122:$C$133,T_Stock_Private!I$122:I$133)*(1+S345)</f>
        <v>0</v>
      </c>
      <c r="T355" s="694">
        <f>LOOKUP($C$350, T_Stock_Private!$C$122:$C$133,T_Stock_Private!J$122:J$133)*(1+T345)</f>
        <v>0</v>
      </c>
      <c r="U355" s="694">
        <f>LOOKUP($C$350, T_Stock_Private!$C$122:$C$133,T_Stock_Private!K$122:K$133)*(1+U345)</f>
        <v>0</v>
      </c>
      <c r="V355" s="694">
        <f>LOOKUP($C$350, T_Stock_Private!$C$122:$C$133,T_Stock_Private!L$122:L$133)*(1+V345)</f>
        <v>0</v>
      </c>
      <c r="W355" s="694">
        <f>LOOKUP($C$350, T_Stock_Private!$C$122:$C$133,T_Stock_Private!M$122:M$133)*(1+W345)</f>
        <v>0</v>
      </c>
      <c r="X355" s="694">
        <f>LOOKUP($C$350, T_Stock_Private!$C$122:$C$133,T_Stock_Private!N$122:N$133)*(1+X345)</f>
        <v>0</v>
      </c>
      <c r="Y355" s="694">
        <f>LOOKUP($C$350, T_Stock_Private!$C$122:$C$133,T_Stock_Private!O$122:O$133)*(1+Y345)</f>
        <v>0</v>
      </c>
      <c r="Z355" s="694">
        <f>LOOKUP($C$350, T_Stock_Private!$C$122:$C$133,T_Stock_Private!P$122:P$133)*(1+Z345)</f>
        <v>0</v>
      </c>
      <c r="AA355" s="694">
        <f>LOOKUP($C$350, T_Stock_Private!$C$122:$C$133,T_Stock_Private!Q$122:Q$133)*(1+AA345)</f>
        <v>0</v>
      </c>
      <c r="AB355" s="694">
        <f>LOOKUP($C$350, T_Stock_Private!$C$122:$C$133,T_Stock_Private!R$122:R$133)*(1+AB345)</f>
        <v>0</v>
      </c>
      <c r="AC355" s="89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  <c r="BL355" s="83"/>
    </row>
    <row r="356" spans="1:64" x14ac:dyDescent="0.25">
      <c r="B356" s="186" t="str">
        <f t="shared" si="390"/>
        <v>TFREBDL100</v>
      </c>
      <c r="C356" s="186"/>
      <c r="D356" s="187"/>
      <c r="E356" s="186"/>
      <c r="F356" s="170"/>
      <c r="G356" s="189"/>
      <c r="H356" s="170"/>
      <c r="I356" s="190">
        <f>AF$5</f>
        <v>2020</v>
      </c>
      <c r="J356" s="191"/>
      <c r="K356" s="191"/>
      <c r="L356" s="211" t="s">
        <v>1065</v>
      </c>
      <c r="M356" s="191" t="s">
        <v>748</v>
      </c>
      <c r="N356" s="694">
        <f t="shared" ref="N356:AB356" si="393">N355*LOOKUP($AD350,$AG$4:$AP$4,$AG$5:$AP$5)</f>
        <v>0</v>
      </c>
      <c r="O356" s="694">
        <f t="shared" si="393"/>
        <v>0</v>
      </c>
      <c r="P356" s="694">
        <f t="shared" si="393"/>
        <v>0</v>
      </c>
      <c r="Q356" s="694">
        <f t="shared" si="393"/>
        <v>0</v>
      </c>
      <c r="R356" s="694">
        <f t="shared" si="393"/>
        <v>0</v>
      </c>
      <c r="S356" s="694">
        <f t="shared" si="393"/>
        <v>0</v>
      </c>
      <c r="T356" s="694">
        <f t="shared" si="393"/>
        <v>0</v>
      </c>
      <c r="U356" s="694">
        <f t="shared" si="393"/>
        <v>0</v>
      </c>
      <c r="V356" s="694">
        <f t="shared" si="393"/>
        <v>0</v>
      </c>
      <c r="W356" s="694">
        <f t="shared" si="393"/>
        <v>0</v>
      </c>
      <c r="X356" s="694">
        <f t="shared" si="393"/>
        <v>0</v>
      </c>
      <c r="Y356" s="694">
        <f t="shared" si="393"/>
        <v>0</v>
      </c>
      <c r="Z356" s="694">
        <f t="shared" si="393"/>
        <v>0</v>
      </c>
      <c r="AA356" s="694">
        <f t="shared" si="393"/>
        <v>0</v>
      </c>
      <c r="AB356" s="694">
        <f t="shared" si="393"/>
        <v>0</v>
      </c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  <c r="BL356" s="83"/>
    </row>
    <row r="357" spans="1:64" x14ac:dyDescent="0.25">
      <c r="B357" s="186" t="str">
        <f t="shared" si="390"/>
        <v>TFREBDL100</v>
      </c>
      <c r="C357" s="186"/>
      <c r="D357" s="187"/>
      <c r="E357" s="186"/>
      <c r="F357" s="170"/>
      <c r="G357" s="189"/>
      <c r="H357" s="170"/>
      <c r="I357" s="190">
        <f>AF$6</f>
        <v>2025</v>
      </c>
      <c r="J357" s="191"/>
      <c r="K357" s="191"/>
      <c r="L357" s="211" t="s">
        <v>1065</v>
      </c>
      <c r="M357" s="191" t="s">
        <v>748</v>
      </c>
      <c r="N357" s="694">
        <f t="shared" ref="N357:AB357" si="394">N355*LOOKUP($AD350,$AG$4:$AP$4,$AG$6:$AP$6)</f>
        <v>0</v>
      </c>
      <c r="O357" s="694">
        <f t="shared" si="394"/>
        <v>0</v>
      </c>
      <c r="P357" s="694">
        <f t="shared" si="394"/>
        <v>0</v>
      </c>
      <c r="Q357" s="694">
        <f t="shared" si="394"/>
        <v>0</v>
      </c>
      <c r="R357" s="694">
        <f t="shared" si="394"/>
        <v>0</v>
      </c>
      <c r="S357" s="694">
        <f t="shared" si="394"/>
        <v>0</v>
      </c>
      <c r="T357" s="694">
        <f t="shared" si="394"/>
        <v>0</v>
      </c>
      <c r="U357" s="694">
        <f t="shared" si="394"/>
        <v>0</v>
      </c>
      <c r="V357" s="694">
        <f t="shared" si="394"/>
        <v>0</v>
      </c>
      <c r="W357" s="694">
        <f t="shared" si="394"/>
        <v>0</v>
      </c>
      <c r="X357" s="694">
        <f t="shared" si="394"/>
        <v>0</v>
      </c>
      <c r="Y357" s="694">
        <f t="shared" si="394"/>
        <v>0</v>
      </c>
      <c r="Z357" s="694">
        <f t="shared" si="394"/>
        <v>0</v>
      </c>
      <c r="AA357" s="694">
        <f t="shared" si="394"/>
        <v>0</v>
      </c>
      <c r="AB357" s="694">
        <f t="shared" si="394"/>
        <v>0</v>
      </c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  <c r="BL357" s="83"/>
    </row>
    <row r="358" spans="1:64" x14ac:dyDescent="0.25">
      <c r="B358" s="186" t="str">
        <f t="shared" si="390"/>
        <v>TFREBDL100</v>
      </c>
      <c r="C358" s="186"/>
      <c r="D358" s="187"/>
      <c r="E358" s="186"/>
      <c r="F358" s="170"/>
      <c r="G358" s="189"/>
      <c r="H358" s="170"/>
      <c r="I358" s="190">
        <f>AF$7</f>
        <v>2030</v>
      </c>
      <c r="J358" s="191"/>
      <c r="K358" s="191"/>
      <c r="L358" s="211" t="s">
        <v>1065</v>
      </c>
      <c r="M358" s="191" t="s">
        <v>748</v>
      </c>
      <c r="N358" s="694">
        <f t="shared" ref="N358:AB358" si="395">N355*LOOKUP($AD350,$AG$4:$AP$4,$AG$7:$AP$7)</f>
        <v>0</v>
      </c>
      <c r="O358" s="694">
        <f t="shared" si="395"/>
        <v>0</v>
      </c>
      <c r="P358" s="694">
        <f t="shared" si="395"/>
        <v>0</v>
      </c>
      <c r="Q358" s="694">
        <f t="shared" si="395"/>
        <v>0</v>
      </c>
      <c r="R358" s="694">
        <f t="shared" si="395"/>
        <v>0</v>
      </c>
      <c r="S358" s="694">
        <f t="shared" si="395"/>
        <v>0</v>
      </c>
      <c r="T358" s="694">
        <f t="shared" si="395"/>
        <v>0</v>
      </c>
      <c r="U358" s="694">
        <f t="shared" si="395"/>
        <v>0</v>
      </c>
      <c r="V358" s="694">
        <f t="shared" si="395"/>
        <v>0</v>
      </c>
      <c r="W358" s="694">
        <f t="shared" si="395"/>
        <v>0</v>
      </c>
      <c r="X358" s="694">
        <f t="shared" si="395"/>
        <v>0</v>
      </c>
      <c r="Y358" s="694">
        <f t="shared" si="395"/>
        <v>0</v>
      </c>
      <c r="Z358" s="694">
        <f t="shared" si="395"/>
        <v>0</v>
      </c>
      <c r="AA358" s="694">
        <f t="shared" si="395"/>
        <v>0</v>
      </c>
      <c r="AB358" s="694">
        <f t="shared" si="395"/>
        <v>0</v>
      </c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  <c r="BL358" s="83"/>
    </row>
    <row r="359" spans="1:64" x14ac:dyDescent="0.25">
      <c r="B359" s="186" t="str">
        <f t="shared" si="390"/>
        <v>TFREBDL100</v>
      </c>
      <c r="C359" s="186"/>
      <c r="D359" s="187"/>
      <c r="E359" s="186"/>
      <c r="F359" s="170"/>
      <c r="G359" s="189"/>
      <c r="H359" s="170"/>
      <c r="I359" s="190">
        <f>AF$8</f>
        <v>2035</v>
      </c>
      <c r="J359" s="191"/>
      <c r="K359" s="191"/>
      <c r="L359" s="211" t="s">
        <v>1065</v>
      </c>
      <c r="M359" s="191" t="s">
        <v>748</v>
      </c>
      <c r="N359" s="694">
        <f t="shared" ref="N359:AB359" si="396">N355*LOOKUP($AD350,$AG$4:$AP$4,$AG$8:$AP$8)</f>
        <v>0</v>
      </c>
      <c r="O359" s="694">
        <f t="shared" si="396"/>
        <v>0</v>
      </c>
      <c r="P359" s="694">
        <f t="shared" si="396"/>
        <v>0</v>
      </c>
      <c r="Q359" s="694">
        <f t="shared" si="396"/>
        <v>0</v>
      </c>
      <c r="R359" s="694">
        <f t="shared" si="396"/>
        <v>0</v>
      </c>
      <c r="S359" s="694">
        <f t="shared" si="396"/>
        <v>0</v>
      </c>
      <c r="T359" s="694">
        <f t="shared" si="396"/>
        <v>0</v>
      </c>
      <c r="U359" s="694">
        <f t="shared" si="396"/>
        <v>0</v>
      </c>
      <c r="V359" s="694">
        <f t="shared" si="396"/>
        <v>0</v>
      </c>
      <c r="W359" s="694">
        <f t="shared" si="396"/>
        <v>0</v>
      </c>
      <c r="X359" s="694">
        <f t="shared" si="396"/>
        <v>0</v>
      </c>
      <c r="Y359" s="694">
        <f t="shared" si="396"/>
        <v>0</v>
      </c>
      <c r="Z359" s="694">
        <f t="shared" si="396"/>
        <v>0</v>
      </c>
      <c r="AA359" s="694">
        <f t="shared" si="396"/>
        <v>0</v>
      </c>
      <c r="AB359" s="694">
        <f t="shared" si="396"/>
        <v>0</v>
      </c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  <c r="BL359" s="83"/>
    </row>
    <row r="360" spans="1:64" x14ac:dyDescent="0.25">
      <c r="B360" s="186" t="str">
        <f t="shared" si="390"/>
        <v>TFREBDL100</v>
      </c>
      <c r="C360" s="186"/>
      <c r="D360" s="187"/>
      <c r="E360" s="186"/>
      <c r="F360" s="170"/>
      <c r="G360" s="189"/>
      <c r="H360" s="170"/>
      <c r="I360" s="190">
        <f>AF$9</f>
        <v>2040</v>
      </c>
      <c r="J360" s="191"/>
      <c r="K360" s="191"/>
      <c r="L360" s="211" t="s">
        <v>1065</v>
      </c>
      <c r="M360" s="191" t="s">
        <v>748</v>
      </c>
      <c r="N360" s="694">
        <f t="shared" ref="N360:AB360" si="397">N355*LOOKUP($AD350,$AG$4:$AP$4,$AG$9:$AP$9)</f>
        <v>0</v>
      </c>
      <c r="O360" s="694">
        <f t="shared" si="397"/>
        <v>0</v>
      </c>
      <c r="P360" s="694">
        <f t="shared" si="397"/>
        <v>0</v>
      </c>
      <c r="Q360" s="694">
        <f t="shared" si="397"/>
        <v>0</v>
      </c>
      <c r="R360" s="694">
        <f t="shared" si="397"/>
        <v>0</v>
      </c>
      <c r="S360" s="694">
        <f t="shared" si="397"/>
        <v>0</v>
      </c>
      <c r="T360" s="694">
        <f t="shared" si="397"/>
        <v>0</v>
      </c>
      <c r="U360" s="694">
        <f t="shared" si="397"/>
        <v>0</v>
      </c>
      <c r="V360" s="694">
        <f t="shared" si="397"/>
        <v>0</v>
      </c>
      <c r="W360" s="694">
        <f t="shared" si="397"/>
        <v>0</v>
      </c>
      <c r="X360" s="694">
        <f t="shared" si="397"/>
        <v>0</v>
      </c>
      <c r="Y360" s="694">
        <f t="shared" si="397"/>
        <v>0</v>
      </c>
      <c r="Z360" s="694">
        <f t="shared" si="397"/>
        <v>0</v>
      </c>
      <c r="AA360" s="694">
        <f t="shared" si="397"/>
        <v>0</v>
      </c>
      <c r="AB360" s="694">
        <f t="shared" si="397"/>
        <v>0</v>
      </c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  <c r="BL360" s="83"/>
    </row>
    <row r="361" spans="1:64" x14ac:dyDescent="0.25">
      <c r="B361" s="193" t="str">
        <f t="shared" si="390"/>
        <v>TFREBDL100</v>
      </c>
      <c r="C361" s="193"/>
      <c r="D361" s="194"/>
      <c r="E361" s="193"/>
      <c r="F361" s="196"/>
      <c r="G361" s="195"/>
      <c r="H361" s="196"/>
      <c r="I361" s="197">
        <f>AF$10</f>
        <v>2050</v>
      </c>
      <c r="J361" s="198"/>
      <c r="K361" s="198"/>
      <c r="L361" s="212" t="s">
        <v>1065</v>
      </c>
      <c r="M361" s="198" t="s">
        <v>748</v>
      </c>
      <c r="N361" s="695">
        <f t="shared" ref="N361:AB361" si="398">N355*LOOKUP($AD350,$AG$4:$AP$4,$AG$10:$AP$10)</f>
        <v>0</v>
      </c>
      <c r="O361" s="695">
        <f t="shared" si="398"/>
        <v>0</v>
      </c>
      <c r="P361" s="695">
        <f t="shared" si="398"/>
        <v>0</v>
      </c>
      <c r="Q361" s="695">
        <f t="shared" si="398"/>
        <v>0</v>
      </c>
      <c r="R361" s="695">
        <f t="shared" si="398"/>
        <v>0</v>
      </c>
      <c r="S361" s="695">
        <f t="shared" si="398"/>
        <v>0</v>
      </c>
      <c r="T361" s="695">
        <f t="shared" si="398"/>
        <v>0</v>
      </c>
      <c r="U361" s="695">
        <f t="shared" si="398"/>
        <v>0</v>
      </c>
      <c r="V361" s="695">
        <f t="shared" si="398"/>
        <v>0</v>
      </c>
      <c r="W361" s="695">
        <f t="shared" si="398"/>
        <v>0</v>
      </c>
      <c r="X361" s="695">
        <f t="shared" si="398"/>
        <v>0</v>
      </c>
      <c r="Y361" s="695">
        <f t="shared" si="398"/>
        <v>0</v>
      </c>
      <c r="Z361" s="695">
        <f t="shared" si="398"/>
        <v>0</v>
      </c>
      <c r="AA361" s="695">
        <f t="shared" si="398"/>
        <v>0</v>
      </c>
      <c r="AB361" s="695">
        <f t="shared" si="398"/>
        <v>0</v>
      </c>
      <c r="AD361" s="400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  <c r="BL361" s="83"/>
    </row>
    <row r="362" spans="1:64" s="83" customFormat="1" x14ac:dyDescent="0.25">
      <c r="A362" s="82"/>
      <c r="B362" s="178" t="str">
        <f>C362</f>
        <v>TFREDST100</v>
      </c>
      <c r="C362" s="178" t="s">
        <v>370</v>
      </c>
      <c r="D362" s="179" t="s">
        <v>850</v>
      </c>
      <c r="E362" s="407" t="s">
        <v>988</v>
      </c>
      <c r="F362" s="182"/>
      <c r="G362" s="181"/>
      <c r="H362" s="182"/>
      <c r="I362" s="183"/>
      <c r="J362" s="184"/>
      <c r="K362" s="184"/>
      <c r="L362" s="203" t="s">
        <v>1107</v>
      </c>
      <c r="M362" s="184" t="s">
        <v>1125</v>
      </c>
      <c r="N362" s="378">
        <f>N$58</f>
        <v>1E-3</v>
      </c>
      <c r="O362" s="378">
        <f t="shared" ref="O362:AB362" si="399">$N362</f>
        <v>1E-3</v>
      </c>
      <c r="P362" s="378">
        <f t="shared" si="399"/>
        <v>1E-3</v>
      </c>
      <c r="Q362" s="378">
        <f t="shared" si="399"/>
        <v>1E-3</v>
      </c>
      <c r="R362" s="378">
        <f t="shared" si="399"/>
        <v>1E-3</v>
      </c>
      <c r="S362" s="378">
        <f t="shared" si="399"/>
        <v>1E-3</v>
      </c>
      <c r="T362" s="378">
        <f t="shared" si="399"/>
        <v>1E-3</v>
      </c>
      <c r="U362" s="378">
        <f t="shared" si="399"/>
        <v>1E-3</v>
      </c>
      <c r="V362" s="378">
        <f t="shared" si="399"/>
        <v>1E-3</v>
      </c>
      <c r="W362" s="378">
        <f t="shared" si="399"/>
        <v>1E-3</v>
      </c>
      <c r="X362" s="378">
        <f t="shared" si="399"/>
        <v>1E-3</v>
      </c>
      <c r="Y362" s="378">
        <f t="shared" si="399"/>
        <v>1E-3</v>
      </c>
      <c r="Z362" s="378">
        <f t="shared" si="399"/>
        <v>1E-3</v>
      </c>
      <c r="AA362" s="378">
        <f t="shared" si="399"/>
        <v>1E-3</v>
      </c>
      <c r="AB362" s="378">
        <f t="shared" si="399"/>
        <v>1E-3</v>
      </c>
      <c r="AD362" s="56" t="str">
        <f>MID(D362,13,3)</f>
        <v>DST</v>
      </c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V362" s="700" t="str">
        <f t="shared" ref="AV362:AV365" si="400">MID(E362,1,7)</f>
        <v>TRABDL</v>
      </c>
      <c r="AW362" s="568">
        <f t="shared" ref="AW362:AW363" si="401">SUM(AX362:BL362)</f>
        <v>1087.7643255251596</v>
      </c>
      <c r="AX362" s="721">
        <f>N$368*N$369*(1-N363-N364)/N$366/1000</f>
        <v>1087.7643255251596</v>
      </c>
      <c r="AY362" s="721">
        <f t="shared" ref="AY362:BL362" si="402">O$368*O$369*(1-O363-O364)/O$366/1000</f>
        <v>0</v>
      </c>
      <c r="AZ362" s="721">
        <f t="shared" si="402"/>
        <v>0</v>
      </c>
      <c r="BA362" s="721">
        <f t="shared" si="402"/>
        <v>0</v>
      </c>
      <c r="BB362" s="721">
        <f t="shared" si="402"/>
        <v>0</v>
      </c>
      <c r="BC362" s="721">
        <f t="shared" si="402"/>
        <v>0</v>
      </c>
      <c r="BD362" s="721">
        <f t="shared" si="402"/>
        <v>0</v>
      </c>
      <c r="BE362" s="721">
        <f t="shared" si="402"/>
        <v>0</v>
      </c>
      <c r="BF362" s="721">
        <f t="shared" si="402"/>
        <v>0</v>
      </c>
      <c r="BG362" s="721">
        <f t="shared" si="402"/>
        <v>0</v>
      </c>
      <c r="BH362" s="721">
        <f t="shared" si="402"/>
        <v>0</v>
      </c>
      <c r="BI362" s="721">
        <f t="shared" si="402"/>
        <v>0</v>
      </c>
      <c r="BJ362" s="721">
        <f t="shared" si="402"/>
        <v>0</v>
      </c>
      <c r="BK362" s="721">
        <f t="shared" si="402"/>
        <v>0</v>
      </c>
      <c r="BL362" s="721">
        <f t="shared" si="402"/>
        <v>0</v>
      </c>
    </row>
    <row r="363" spans="1:64" x14ac:dyDescent="0.25">
      <c r="A363" s="22"/>
      <c r="B363" s="186" t="str">
        <f>B362</f>
        <v>TFREDST100</v>
      </c>
      <c r="C363" s="186"/>
      <c r="D363" s="187"/>
      <c r="E363" s="258" t="s">
        <v>185</v>
      </c>
      <c r="F363" s="170"/>
      <c r="G363" s="189"/>
      <c r="H363" s="170"/>
      <c r="I363" s="190"/>
      <c r="J363" s="191" t="s">
        <v>1157</v>
      </c>
      <c r="K363" s="191"/>
      <c r="L363" s="211" t="s">
        <v>101</v>
      </c>
      <c r="M363" s="191"/>
      <c r="N363" s="390">
        <f>1-N$29-N$28</f>
        <v>0.78</v>
      </c>
      <c r="O363" s="390">
        <f t="shared" ref="O363:AB363" si="403">1-O$29-O$28</f>
        <v>0.78</v>
      </c>
      <c r="P363" s="390">
        <f t="shared" si="403"/>
        <v>0.78</v>
      </c>
      <c r="Q363" s="390">
        <f t="shared" si="403"/>
        <v>0.78</v>
      </c>
      <c r="R363" s="390">
        <f t="shared" si="403"/>
        <v>0.78</v>
      </c>
      <c r="S363" s="390">
        <f t="shared" si="403"/>
        <v>0.78</v>
      </c>
      <c r="T363" s="390">
        <f t="shared" si="403"/>
        <v>0.78</v>
      </c>
      <c r="U363" s="390">
        <f t="shared" si="403"/>
        <v>0.78</v>
      </c>
      <c r="V363" s="390">
        <f t="shared" si="403"/>
        <v>0.78</v>
      </c>
      <c r="W363" s="390">
        <f t="shared" si="403"/>
        <v>0.78</v>
      </c>
      <c r="X363" s="390">
        <f t="shared" si="403"/>
        <v>0.78</v>
      </c>
      <c r="Y363" s="390">
        <f t="shared" si="403"/>
        <v>0.78</v>
      </c>
      <c r="Z363" s="390">
        <f t="shared" si="403"/>
        <v>0.78</v>
      </c>
      <c r="AA363" s="390">
        <f t="shared" si="403"/>
        <v>0.78</v>
      </c>
      <c r="AB363" s="390">
        <f t="shared" si="403"/>
        <v>0.78</v>
      </c>
      <c r="AD363" s="66" t="str">
        <f>IF(COUNTIF($AG$4:$AP$4,AD362)=1,"ok","MISSING")</f>
        <v>ok</v>
      </c>
      <c r="AE363" s="83"/>
      <c r="AF363" s="89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V363" s="700" t="str">
        <f t="shared" si="400"/>
        <v>TRADST</v>
      </c>
      <c r="AW363" s="568">
        <f t="shared" si="401"/>
        <v>5656.3744927308317</v>
      </c>
      <c r="AX363" s="721">
        <f>N$368*N$369*N363/N$366/1000</f>
        <v>5656.3744927308317</v>
      </c>
      <c r="AY363" s="721">
        <f t="shared" ref="AY363:BL363" si="404">O$368*O$369*O363/O$366/1000</f>
        <v>0</v>
      </c>
      <c r="AZ363" s="721">
        <f t="shared" si="404"/>
        <v>0</v>
      </c>
      <c r="BA363" s="721">
        <f t="shared" si="404"/>
        <v>0</v>
      </c>
      <c r="BB363" s="721">
        <f t="shared" si="404"/>
        <v>0</v>
      </c>
      <c r="BC363" s="721">
        <f t="shared" si="404"/>
        <v>0</v>
      </c>
      <c r="BD363" s="721">
        <f t="shared" si="404"/>
        <v>0</v>
      </c>
      <c r="BE363" s="721">
        <f t="shared" si="404"/>
        <v>0</v>
      </c>
      <c r="BF363" s="721">
        <f t="shared" si="404"/>
        <v>0</v>
      </c>
      <c r="BG363" s="721">
        <f t="shared" si="404"/>
        <v>0</v>
      </c>
      <c r="BH363" s="721">
        <f t="shared" si="404"/>
        <v>0</v>
      </c>
      <c r="BI363" s="721">
        <f t="shared" si="404"/>
        <v>0</v>
      </c>
      <c r="BJ363" s="721">
        <f t="shared" si="404"/>
        <v>0</v>
      </c>
      <c r="BK363" s="721">
        <f t="shared" si="404"/>
        <v>0</v>
      </c>
      <c r="BL363" s="721">
        <f t="shared" si="404"/>
        <v>0</v>
      </c>
    </row>
    <row r="364" spans="1:64" s="83" customFormat="1" x14ac:dyDescent="0.25">
      <c r="A364" s="82"/>
      <c r="B364" s="178" t="str">
        <f t="shared" ref="B364" si="405">B363</f>
        <v>TFREDST100</v>
      </c>
      <c r="C364" s="178"/>
      <c r="D364" s="179"/>
      <c r="E364" s="407" t="s">
        <v>990</v>
      </c>
      <c r="F364" s="182"/>
      <c r="G364" s="181"/>
      <c r="H364" s="182"/>
      <c r="I364" s="183"/>
      <c r="J364" s="184" t="s">
        <v>1157</v>
      </c>
      <c r="K364" s="184"/>
      <c r="L364" s="203" t="s">
        <v>101</v>
      </c>
      <c r="M364" s="184"/>
      <c r="N364" s="690">
        <f>N$28</f>
        <v>7.0000000000000007E-2</v>
      </c>
      <c r="O364" s="690">
        <f t="shared" ref="O364:AB364" si="406">O$28</f>
        <v>7.0000000000000007E-2</v>
      </c>
      <c r="P364" s="690">
        <f t="shared" si="406"/>
        <v>7.0000000000000007E-2</v>
      </c>
      <c r="Q364" s="690">
        <f t="shared" si="406"/>
        <v>7.0000000000000007E-2</v>
      </c>
      <c r="R364" s="690">
        <f t="shared" si="406"/>
        <v>7.0000000000000007E-2</v>
      </c>
      <c r="S364" s="690">
        <f t="shared" si="406"/>
        <v>7.0000000000000007E-2</v>
      </c>
      <c r="T364" s="690">
        <f t="shared" si="406"/>
        <v>7.0000000000000007E-2</v>
      </c>
      <c r="U364" s="690">
        <f t="shared" si="406"/>
        <v>7.0000000000000007E-2</v>
      </c>
      <c r="V364" s="690">
        <f t="shared" si="406"/>
        <v>7.0000000000000007E-2</v>
      </c>
      <c r="W364" s="690">
        <f t="shared" si="406"/>
        <v>7.0000000000000007E-2</v>
      </c>
      <c r="X364" s="690">
        <f t="shared" si="406"/>
        <v>7.0000000000000007E-2</v>
      </c>
      <c r="Y364" s="690">
        <f t="shared" si="406"/>
        <v>7.0000000000000007E-2</v>
      </c>
      <c r="Z364" s="690">
        <f t="shared" si="406"/>
        <v>7.0000000000000007E-2</v>
      </c>
      <c r="AA364" s="690">
        <f t="shared" si="406"/>
        <v>7.0000000000000007E-2</v>
      </c>
      <c r="AB364" s="690">
        <f t="shared" si="406"/>
        <v>7.0000000000000007E-2</v>
      </c>
      <c r="AD364" s="408"/>
      <c r="AE364" s="357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V364" s="700" t="str">
        <f t="shared" ref="AV364" si="407">MID(E364,1,7)</f>
        <v>TRABDLM</v>
      </c>
      <c r="AW364" s="568">
        <f t="shared" ref="AW364" si="408">SUM(AX364:BL364)</f>
        <v>507.62335191174145</v>
      </c>
      <c r="AX364" s="721">
        <f>N$368*N$369*N364/N$366/1000</f>
        <v>507.62335191174145</v>
      </c>
      <c r="AY364" s="721">
        <f t="shared" ref="AY364" si="409">O$368*O$369*O364/O$366/1000</f>
        <v>0</v>
      </c>
      <c r="AZ364" s="721">
        <f t="shared" ref="AZ364" si="410">P$368*P$369*P364/P$366/1000</f>
        <v>0</v>
      </c>
      <c r="BA364" s="721">
        <f t="shared" ref="BA364" si="411">Q$368*Q$369*Q364/Q$366/1000</f>
        <v>0</v>
      </c>
      <c r="BB364" s="721">
        <f t="shared" ref="BB364" si="412">R$368*R$369*R364/R$366/1000</f>
        <v>0</v>
      </c>
      <c r="BC364" s="721">
        <f t="shared" ref="BC364" si="413">S$368*S$369*S364/S$366/1000</f>
        <v>0</v>
      </c>
      <c r="BD364" s="721">
        <f t="shared" ref="BD364" si="414">T$368*T$369*T364/T$366/1000</f>
        <v>0</v>
      </c>
      <c r="BE364" s="721">
        <f t="shared" ref="BE364" si="415">U$368*U$369*U364/U$366/1000</f>
        <v>0</v>
      </c>
      <c r="BF364" s="721">
        <f t="shared" ref="BF364" si="416">V$368*V$369*V364/V$366/1000</f>
        <v>0</v>
      </c>
      <c r="BG364" s="721">
        <f t="shared" ref="BG364" si="417">W$368*W$369*W364/W$366/1000</f>
        <v>0</v>
      </c>
      <c r="BH364" s="721">
        <f t="shared" ref="BH364" si="418">X$368*X$369*X364/X$366/1000</f>
        <v>0</v>
      </c>
      <c r="BI364" s="721">
        <f t="shared" ref="BI364" si="419">Y$368*Y$369*Y364/Y$366/1000</f>
        <v>0</v>
      </c>
      <c r="BJ364" s="721">
        <f t="shared" ref="BJ364" si="420">Z$368*Z$369*Z364/Z$366/1000</f>
        <v>0</v>
      </c>
      <c r="BK364" s="721">
        <f t="shared" ref="BK364" si="421">AA$368*AA$369*AA364/AA$366/1000</f>
        <v>0</v>
      </c>
      <c r="BL364" s="721">
        <f t="shared" ref="BL364" si="422">AB$368*AB$369*AB364/AB$366/1000</f>
        <v>0</v>
      </c>
    </row>
    <row r="365" spans="1:64" x14ac:dyDescent="0.25">
      <c r="B365" s="186" t="str">
        <f>B363</f>
        <v>TFREDST100</v>
      </c>
      <c r="C365" s="186"/>
      <c r="D365" s="187"/>
      <c r="E365" s="186"/>
      <c r="F365" s="170"/>
      <c r="G365" s="173" t="s">
        <v>439</v>
      </c>
      <c r="H365" s="170"/>
      <c r="I365" s="190"/>
      <c r="J365" s="191"/>
      <c r="K365" s="191"/>
      <c r="L365" s="191" t="s">
        <v>1126</v>
      </c>
      <c r="M365" s="191" t="s">
        <v>678</v>
      </c>
      <c r="N365" s="377">
        <f>T_CEFF!H204</f>
        <v>6.4000000000000001E-2</v>
      </c>
      <c r="O365" s="377">
        <f>T_CEFF!I204</f>
        <v>6.4000000000000001E-2</v>
      </c>
      <c r="P365" s="377">
        <f>T_CEFF!J204</f>
        <v>6.4000000000000001E-2</v>
      </c>
      <c r="Q365" s="377">
        <f>T_CEFF!K204</f>
        <v>6.4000000000000001E-2</v>
      </c>
      <c r="R365" s="377">
        <f>T_CEFF!L204</f>
        <v>6.4000000000000001E-2</v>
      </c>
      <c r="S365" s="377">
        <f>T_CEFF!M204</f>
        <v>6.4000000000000001E-2</v>
      </c>
      <c r="T365" s="377">
        <f>T_CEFF!N204</f>
        <v>6.4000000000000001E-2</v>
      </c>
      <c r="U365" s="377">
        <f>T_CEFF!O204</f>
        <v>6.4000000000000001E-2</v>
      </c>
      <c r="V365" s="377">
        <f>T_CEFF!P204</f>
        <v>6.4000000000000001E-2</v>
      </c>
      <c r="W365" s="377">
        <f>T_CEFF!Q204</f>
        <v>6.4000000000000001E-2</v>
      </c>
      <c r="X365" s="377">
        <f>T_CEFF!R204</f>
        <v>6.4000000000000001E-2</v>
      </c>
      <c r="Y365" s="377">
        <f>T_CEFF!S204</f>
        <v>6.4000000000000001E-2</v>
      </c>
      <c r="Z365" s="377">
        <f>T_CEFF!T204</f>
        <v>6.4000000000000001E-2</v>
      </c>
      <c r="AA365" s="377">
        <f>T_CEFF!U204</f>
        <v>6.4000000000000001E-2</v>
      </c>
      <c r="AB365" s="377">
        <f>T_CEFF!V204</f>
        <v>6.4000000000000001E-2</v>
      </c>
      <c r="AV365" s="700" t="str">
        <f t="shared" si="400"/>
        <v/>
      </c>
      <c r="AW365" s="568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  <c r="BL365" s="83"/>
    </row>
    <row r="366" spans="1:64" x14ac:dyDescent="0.25">
      <c r="B366" s="186" t="str">
        <f t="shared" ref="B366:B375" si="423">B365</f>
        <v>TFREDST100</v>
      </c>
      <c r="C366" s="186"/>
      <c r="D366" s="187"/>
      <c r="E366" s="186"/>
      <c r="F366" s="170"/>
      <c r="G366" s="173" t="s">
        <v>437</v>
      </c>
      <c r="H366" s="170"/>
      <c r="I366" s="190"/>
      <c r="J366" s="191"/>
      <c r="K366" s="191"/>
      <c r="L366" s="191" t="s">
        <v>1126</v>
      </c>
      <c r="M366" s="191" t="s">
        <v>678</v>
      </c>
      <c r="N366" s="377">
        <f>T_CEFF!H205</f>
        <v>5.1200000000000002E-2</v>
      </c>
      <c r="O366" s="377">
        <f>T_CEFF!I205</f>
        <v>5.1200000000000002E-2</v>
      </c>
      <c r="P366" s="377">
        <f>T_CEFF!J205</f>
        <v>5.1200000000000002E-2</v>
      </c>
      <c r="Q366" s="377">
        <f>T_CEFF!K205</f>
        <v>5.1200000000000002E-2</v>
      </c>
      <c r="R366" s="377">
        <f>T_CEFF!L205</f>
        <v>5.1200000000000002E-2</v>
      </c>
      <c r="S366" s="377">
        <f>T_CEFF!M205</f>
        <v>5.1200000000000002E-2</v>
      </c>
      <c r="T366" s="377">
        <f>T_CEFF!N205</f>
        <v>5.1200000000000002E-2</v>
      </c>
      <c r="U366" s="377">
        <f>T_CEFF!O205</f>
        <v>5.1200000000000002E-2</v>
      </c>
      <c r="V366" s="377">
        <f>T_CEFF!P205</f>
        <v>5.1200000000000002E-2</v>
      </c>
      <c r="W366" s="377">
        <f>T_CEFF!Q205</f>
        <v>5.1200000000000002E-2</v>
      </c>
      <c r="X366" s="377">
        <f>T_CEFF!R205</f>
        <v>5.1200000000000002E-2</v>
      </c>
      <c r="Y366" s="377">
        <f>T_CEFF!S205</f>
        <v>5.1200000000000002E-2</v>
      </c>
      <c r="Z366" s="377">
        <f>T_CEFF!T205</f>
        <v>5.1200000000000002E-2</v>
      </c>
      <c r="AA366" s="377">
        <f>T_CEFF!U205</f>
        <v>5.1200000000000002E-2</v>
      </c>
      <c r="AB366" s="377">
        <f>T_CEFF!V205</f>
        <v>5.1200000000000002E-2</v>
      </c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  <c r="BL366" s="83"/>
    </row>
    <row r="367" spans="1:64" x14ac:dyDescent="0.25">
      <c r="B367" s="186" t="str">
        <f t="shared" si="423"/>
        <v>TFREDST100</v>
      </c>
      <c r="C367" s="186"/>
      <c r="D367" s="187"/>
      <c r="E367" s="186"/>
      <c r="F367" s="170"/>
      <c r="G367" s="189"/>
      <c r="H367" s="170"/>
      <c r="I367" s="190"/>
      <c r="J367" s="191"/>
      <c r="K367" s="191" t="s">
        <v>749</v>
      </c>
      <c r="L367" s="191" t="s">
        <v>1128</v>
      </c>
      <c r="M367" s="191" t="s">
        <v>1175</v>
      </c>
      <c r="N367" s="368">
        <f t="shared" ref="N367:AB367" si="424">N$25</f>
        <v>8.61</v>
      </c>
      <c r="O367" s="368">
        <f t="shared" si="424"/>
        <v>0</v>
      </c>
      <c r="P367" s="368">
        <f t="shared" si="424"/>
        <v>0</v>
      </c>
      <c r="Q367" s="368">
        <f t="shared" si="424"/>
        <v>0</v>
      </c>
      <c r="R367" s="368">
        <f t="shared" si="424"/>
        <v>0</v>
      </c>
      <c r="S367" s="368">
        <f t="shared" si="424"/>
        <v>0</v>
      </c>
      <c r="T367" s="368">
        <f t="shared" si="424"/>
        <v>0</v>
      </c>
      <c r="U367" s="368">
        <f t="shared" si="424"/>
        <v>0</v>
      </c>
      <c r="V367" s="368">
        <f t="shared" si="424"/>
        <v>0</v>
      </c>
      <c r="W367" s="368">
        <f t="shared" si="424"/>
        <v>0</v>
      </c>
      <c r="X367" s="368">
        <f t="shared" si="424"/>
        <v>0</v>
      </c>
      <c r="Y367" s="368">
        <f t="shared" si="424"/>
        <v>0</v>
      </c>
      <c r="Z367" s="368">
        <f t="shared" si="424"/>
        <v>0</v>
      </c>
      <c r="AA367" s="368">
        <f t="shared" si="424"/>
        <v>0</v>
      </c>
      <c r="AB367" s="368">
        <f t="shared" si="424"/>
        <v>0</v>
      </c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</row>
    <row r="368" spans="1:64" x14ac:dyDescent="0.25">
      <c r="B368" s="186" t="str">
        <f t="shared" si="423"/>
        <v>TFREDST100</v>
      </c>
      <c r="C368" s="186"/>
      <c r="D368" s="187"/>
      <c r="E368" s="186"/>
      <c r="F368" s="170"/>
      <c r="G368" s="189"/>
      <c r="H368" s="170"/>
      <c r="I368" s="190"/>
      <c r="J368" s="191"/>
      <c r="K368" s="191"/>
      <c r="L368" s="211" t="s">
        <v>1130</v>
      </c>
      <c r="M368" s="191" t="s">
        <v>1131</v>
      </c>
      <c r="N368" s="369">
        <f>LOOKUP($C$362, T_NCAP_AF!$C$185:$C$195, T_NCAP_AF!D$185:D$195)*(1+N344)</f>
        <v>27.266668363999997</v>
      </c>
      <c r="O368" s="369">
        <f>LOOKUP($C$362, T_NCAP_AF!$C$185:$C$195, T_NCAP_AF!E$185:E$195)*(1+O344)</f>
        <v>0</v>
      </c>
      <c r="P368" s="369">
        <f>LOOKUP($C$362, T_NCAP_AF!$C$185:$C$195, T_NCAP_AF!F$185:F$195)*(1+P344)</f>
        <v>0</v>
      </c>
      <c r="Q368" s="369">
        <f>LOOKUP($C$362, T_NCAP_AF!$C$185:$C$195, T_NCAP_AF!G$185:G$195)*(1+Q344)</f>
        <v>0</v>
      </c>
      <c r="R368" s="369">
        <f>LOOKUP($C$362, T_NCAP_AF!$C$185:$C$195, T_NCAP_AF!H$185:H$195)*(1+R344)</f>
        <v>0</v>
      </c>
      <c r="S368" s="369">
        <f>LOOKUP($C$362, T_NCAP_AF!$C$185:$C$195, T_NCAP_AF!I$185:I$195)*(1+S344)</f>
        <v>0</v>
      </c>
      <c r="T368" s="369">
        <f>LOOKUP($C$362, T_NCAP_AF!$C$185:$C$195, T_NCAP_AF!J$185:J$195)*(1+T344)</f>
        <v>0</v>
      </c>
      <c r="U368" s="369">
        <f>LOOKUP($C$362, T_NCAP_AF!$C$185:$C$195, T_NCAP_AF!K$185:K$195)*(1+U344)</f>
        <v>0</v>
      </c>
      <c r="V368" s="369">
        <f>LOOKUP($C$362, T_NCAP_AF!$C$185:$C$195, T_NCAP_AF!L$185:L$195)*(1+V344)</f>
        <v>0</v>
      </c>
      <c r="W368" s="369">
        <f>LOOKUP($C$362, T_NCAP_AF!$C$185:$C$195, T_NCAP_AF!M$185:M$195)*(1+W344)</f>
        <v>0</v>
      </c>
      <c r="X368" s="369">
        <f>LOOKUP($C$362, T_NCAP_AF!$C$185:$C$195, T_NCAP_AF!N$185:N$195)*(1+X344)</f>
        <v>0</v>
      </c>
      <c r="Y368" s="369">
        <f>LOOKUP($C$362, T_NCAP_AF!$C$185:$C$195, T_NCAP_AF!O$185:O$195)*(1+Y344)</f>
        <v>0</v>
      </c>
      <c r="Z368" s="369">
        <f>LOOKUP($C$362, T_NCAP_AF!$C$185:$C$195, T_NCAP_AF!P$185:P$195)*(1+Z344)</f>
        <v>0</v>
      </c>
      <c r="AA368" s="369">
        <f>LOOKUP($C$362, T_NCAP_AF!$C$185:$C$195, T_NCAP_AF!Q$185:Q$195)*(1+AA344)</f>
        <v>0</v>
      </c>
      <c r="AB368" s="369">
        <f>LOOKUP($C$362, T_NCAP_AF!$C$185:$C$195, T_NCAP_AF!R$185:R$195)*(1+AB344)</f>
        <v>0</v>
      </c>
      <c r="AC368" s="83"/>
      <c r="AE368" s="572">
        <f>SUM(AF368:AT368)</f>
        <v>3196.8088209993821</v>
      </c>
      <c r="AF368" s="85">
        <f t="shared" ref="AF368:AT368" si="425">N367*N368*N369/1000</f>
        <v>3196.8088209993821</v>
      </c>
      <c r="AG368" s="85">
        <f t="shared" si="425"/>
        <v>0</v>
      </c>
      <c r="AH368" s="85">
        <f t="shared" si="425"/>
        <v>0</v>
      </c>
      <c r="AI368" s="85">
        <f t="shared" si="425"/>
        <v>0</v>
      </c>
      <c r="AJ368" s="85">
        <f t="shared" si="425"/>
        <v>0</v>
      </c>
      <c r="AK368" s="85">
        <f t="shared" si="425"/>
        <v>0</v>
      </c>
      <c r="AL368" s="85">
        <f t="shared" si="425"/>
        <v>0</v>
      </c>
      <c r="AM368" s="85">
        <f t="shared" si="425"/>
        <v>0</v>
      </c>
      <c r="AN368" s="85">
        <f t="shared" si="425"/>
        <v>0</v>
      </c>
      <c r="AO368" s="85">
        <f t="shared" si="425"/>
        <v>0</v>
      </c>
      <c r="AP368" s="85">
        <f t="shared" si="425"/>
        <v>0</v>
      </c>
      <c r="AQ368" s="85">
        <f t="shared" si="425"/>
        <v>0</v>
      </c>
      <c r="AR368" s="85">
        <f t="shared" si="425"/>
        <v>0</v>
      </c>
      <c r="AS368" s="85">
        <f t="shared" si="425"/>
        <v>0</v>
      </c>
      <c r="AT368" s="85">
        <f t="shared" si="425"/>
        <v>0</v>
      </c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  <c r="BL368" s="83"/>
    </row>
    <row r="369" spans="1:64" x14ac:dyDescent="0.25">
      <c r="B369" s="186" t="str">
        <f t="shared" si="423"/>
        <v>TFREDST100</v>
      </c>
      <c r="C369" s="186"/>
      <c r="D369" s="187"/>
      <c r="E369" s="186"/>
      <c r="F369" s="170"/>
      <c r="G369" s="189"/>
      <c r="H369" s="170"/>
      <c r="I369" s="190">
        <f>$M$3</f>
        <v>2019</v>
      </c>
      <c r="J369" s="191"/>
      <c r="K369" s="191"/>
      <c r="L369" s="211" t="s">
        <v>1065</v>
      </c>
      <c r="M369" s="191" t="s">
        <v>748</v>
      </c>
      <c r="N369" s="694">
        <f>LOOKUP($C$362, T_Stock_Private!$C$122:$C$133,T_Stock_Private!D$122:D$133)*(1+N345)</f>
        <v>13617</v>
      </c>
      <c r="O369" s="694">
        <f>LOOKUP($C$362, T_Stock_Private!$C$122:$C$133,T_Stock_Private!E$122:E$133)*(1+O345)</f>
        <v>0</v>
      </c>
      <c r="P369" s="694">
        <f>LOOKUP($C$362, T_Stock_Private!$C$122:$C$133,T_Stock_Private!F$122:F$133)*(1+P345)</f>
        <v>0</v>
      </c>
      <c r="Q369" s="694">
        <f>LOOKUP($C$362, T_Stock_Private!$C$122:$C$133,T_Stock_Private!G$122:G$133)*(1+Q345)</f>
        <v>0</v>
      </c>
      <c r="R369" s="694">
        <f>LOOKUP($C$362, T_Stock_Private!$C$122:$C$133,T_Stock_Private!H$122:H$133)*(1+R345)</f>
        <v>0</v>
      </c>
      <c r="S369" s="694">
        <f>LOOKUP($C$362, T_Stock_Private!$C$122:$C$133,T_Stock_Private!I$122:I$133)*(1+S345)</f>
        <v>0</v>
      </c>
      <c r="T369" s="694">
        <f>LOOKUP($C$362, T_Stock_Private!$C$122:$C$133,T_Stock_Private!J$122:J$133)*(1+T345)</f>
        <v>0</v>
      </c>
      <c r="U369" s="694">
        <f>LOOKUP($C$362, T_Stock_Private!$C$122:$C$133,T_Stock_Private!K$122:K$133)*(1+U345)</f>
        <v>0</v>
      </c>
      <c r="V369" s="694">
        <f>LOOKUP($C$362, T_Stock_Private!$C$122:$C$133,T_Stock_Private!L$122:L$133)*(1+V345)</f>
        <v>0</v>
      </c>
      <c r="W369" s="694">
        <f>LOOKUP($C$362, T_Stock_Private!$C$122:$C$133,T_Stock_Private!M$122:M$133)*(1+W345)</f>
        <v>0</v>
      </c>
      <c r="X369" s="694">
        <f>LOOKUP($C$362, T_Stock_Private!$C$122:$C$133,T_Stock_Private!N$122:N$133)*(1+X345)</f>
        <v>0</v>
      </c>
      <c r="Y369" s="694">
        <f>LOOKUP($C$362, T_Stock_Private!$C$122:$C$133,T_Stock_Private!O$122:O$133)*(1+Y345)</f>
        <v>0</v>
      </c>
      <c r="Z369" s="694">
        <f>LOOKUP($C$362, T_Stock_Private!$C$122:$C$133,T_Stock_Private!P$122:P$133)*(1+Z345)</f>
        <v>0</v>
      </c>
      <c r="AA369" s="694">
        <f>LOOKUP($C$362, T_Stock_Private!$C$122:$C$133,T_Stock_Private!Q$122:Q$133)*(1+AA345)</f>
        <v>0</v>
      </c>
      <c r="AB369" s="694">
        <f>LOOKUP($C$362, T_Stock_Private!$C$122:$C$133,T_Stock_Private!R$122:R$133)*(1+AB345)</f>
        <v>0</v>
      </c>
      <c r="AC369" s="89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  <c r="BL369" s="83"/>
    </row>
    <row r="370" spans="1:64" x14ac:dyDescent="0.25">
      <c r="B370" s="186" t="str">
        <f t="shared" si="423"/>
        <v>TFREDST100</v>
      </c>
      <c r="C370" s="186"/>
      <c r="D370" s="187"/>
      <c r="E370" s="186"/>
      <c r="F370" s="170"/>
      <c r="G370" s="189"/>
      <c r="H370" s="170"/>
      <c r="I370" s="190">
        <f>AF$5</f>
        <v>2020</v>
      </c>
      <c r="J370" s="191"/>
      <c r="K370" s="191"/>
      <c r="L370" s="211" t="s">
        <v>1065</v>
      </c>
      <c r="M370" s="191" t="s">
        <v>748</v>
      </c>
      <c r="N370" s="694">
        <f t="shared" ref="N370:AB370" si="426">N369*LOOKUP($AD362,$AG$4:$AP$4,$AG$5:$AP$5)</f>
        <v>12936.15</v>
      </c>
      <c r="O370" s="694">
        <f t="shared" si="426"/>
        <v>0</v>
      </c>
      <c r="P370" s="694">
        <f t="shared" si="426"/>
        <v>0</v>
      </c>
      <c r="Q370" s="694">
        <f t="shared" si="426"/>
        <v>0</v>
      </c>
      <c r="R370" s="694">
        <f t="shared" si="426"/>
        <v>0</v>
      </c>
      <c r="S370" s="694">
        <f t="shared" si="426"/>
        <v>0</v>
      </c>
      <c r="T370" s="694">
        <f t="shared" si="426"/>
        <v>0</v>
      </c>
      <c r="U370" s="694">
        <f t="shared" si="426"/>
        <v>0</v>
      </c>
      <c r="V370" s="694">
        <f t="shared" si="426"/>
        <v>0</v>
      </c>
      <c r="W370" s="694">
        <f t="shared" si="426"/>
        <v>0</v>
      </c>
      <c r="X370" s="694">
        <f t="shared" si="426"/>
        <v>0</v>
      </c>
      <c r="Y370" s="694">
        <f t="shared" si="426"/>
        <v>0</v>
      </c>
      <c r="Z370" s="694">
        <f t="shared" si="426"/>
        <v>0</v>
      </c>
      <c r="AA370" s="694">
        <f t="shared" si="426"/>
        <v>0</v>
      </c>
      <c r="AB370" s="694">
        <f t="shared" si="426"/>
        <v>0</v>
      </c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  <c r="BL370" s="83"/>
    </row>
    <row r="371" spans="1:64" x14ac:dyDescent="0.25">
      <c r="B371" s="186" t="str">
        <f t="shared" si="423"/>
        <v>TFREDST100</v>
      </c>
      <c r="C371" s="186"/>
      <c r="D371" s="187"/>
      <c r="E371" s="186"/>
      <c r="F371" s="170"/>
      <c r="G371" s="189"/>
      <c r="H371" s="170"/>
      <c r="I371" s="190">
        <f>AF$6</f>
        <v>2025</v>
      </c>
      <c r="J371" s="191"/>
      <c r="K371" s="191"/>
      <c r="L371" s="211" t="s">
        <v>1065</v>
      </c>
      <c r="M371" s="191" t="s">
        <v>748</v>
      </c>
      <c r="N371" s="694">
        <f t="shared" ref="N371:AB371" si="427">N369*LOOKUP($AD362,$AG$4:$AP$4,$AG$6:$AP$6)</f>
        <v>9531.9</v>
      </c>
      <c r="O371" s="694">
        <f t="shared" si="427"/>
        <v>0</v>
      </c>
      <c r="P371" s="694">
        <f t="shared" si="427"/>
        <v>0</v>
      </c>
      <c r="Q371" s="694">
        <f t="shared" si="427"/>
        <v>0</v>
      </c>
      <c r="R371" s="694">
        <f t="shared" si="427"/>
        <v>0</v>
      </c>
      <c r="S371" s="694">
        <f t="shared" si="427"/>
        <v>0</v>
      </c>
      <c r="T371" s="694">
        <f t="shared" si="427"/>
        <v>0</v>
      </c>
      <c r="U371" s="694">
        <f t="shared" si="427"/>
        <v>0</v>
      </c>
      <c r="V371" s="694">
        <f t="shared" si="427"/>
        <v>0</v>
      </c>
      <c r="W371" s="694">
        <f t="shared" si="427"/>
        <v>0</v>
      </c>
      <c r="X371" s="694">
        <f t="shared" si="427"/>
        <v>0</v>
      </c>
      <c r="Y371" s="694">
        <f t="shared" si="427"/>
        <v>0</v>
      </c>
      <c r="Z371" s="694">
        <f t="shared" si="427"/>
        <v>0</v>
      </c>
      <c r="AA371" s="694">
        <f t="shared" si="427"/>
        <v>0</v>
      </c>
      <c r="AB371" s="694">
        <f t="shared" si="427"/>
        <v>0</v>
      </c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  <c r="BL371" s="83"/>
    </row>
    <row r="372" spans="1:64" x14ac:dyDescent="0.25">
      <c r="B372" s="186" t="str">
        <f t="shared" si="423"/>
        <v>TFREDST100</v>
      </c>
      <c r="C372" s="186"/>
      <c r="D372" s="187"/>
      <c r="E372" s="186"/>
      <c r="F372" s="170"/>
      <c r="G372" s="189"/>
      <c r="H372" s="170"/>
      <c r="I372" s="190">
        <f>AF$7</f>
        <v>2030</v>
      </c>
      <c r="J372" s="191"/>
      <c r="K372" s="191"/>
      <c r="L372" s="211" t="s">
        <v>1065</v>
      </c>
      <c r="M372" s="191" t="s">
        <v>748</v>
      </c>
      <c r="N372" s="694">
        <f t="shared" ref="N372:AB372" si="428">N369*LOOKUP($AD362,$AG$4:$AP$4,$AG$7:$AP$7)</f>
        <v>5446.8</v>
      </c>
      <c r="O372" s="694">
        <f t="shared" si="428"/>
        <v>0</v>
      </c>
      <c r="P372" s="694">
        <f t="shared" si="428"/>
        <v>0</v>
      </c>
      <c r="Q372" s="694">
        <f t="shared" si="428"/>
        <v>0</v>
      </c>
      <c r="R372" s="694">
        <f t="shared" si="428"/>
        <v>0</v>
      </c>
      <c r="S372" s="694">
        <f t="shared" si="428"/>
        <v>0</v>
      </c>
      <c r="T372" s="694">
        <f t="shared" si="428"/>
        <v>0</v>
      </c>
      <c r="U372" s="694">
        <f t="shared" si="428"/>
        <v>0</v>
      </c>
      <c r="V372" s="694">
        <f t="shared" si="428"/>
        <v>0</v>
      </c>
      <c r="W372" s="694">
        <f t="shared" si="428"/>
        <v>0</v>
      </c>
      <c r="X372" s="694">
        <f t="shared" si="428"/>
        <v>0</v>
      </c>
      <c r="Y372" s="694">
        <f t="shared" si="428"/>
        <v>0</v>
      </c>
      <c r="Z372" s="694">
        <f t="shared" si="428"/>
        <v>0</v>
      </c>
      <c r="AA372" s="694">
        <f t="shared" si="428"/>
        <v>0</v>
      </c>
      <c r="AB372" s="694">
        <f t="shared" si="428"/>
        <v>0</v>
      </c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</row>
    <row r="373" spans="1:64" x14ac:dyDescent="0.25">
      <c r="B373" s="186" t="str">
        <f t="shared" si="423"/>
        <v>TFREDST100</v>
      </c>
      <c r="C373" s="186"/>
      <c r="D373" s="187"/>
      <c r="E373" s="186"/>
      <c r="F373" s="170"/>
      <c r="G373" s="189"/>
      <c r="H373" s="170"/>
      <c r="I373" s="190">
        <f>AF$8</f>
        <v>2035</v>
      </c>
      <c r="J373" s="191"/>
      <c r="K373" s="191"/>
      <c r="L373" s="211" t="s">
        <v>1065</v>
      </c>
      <c r="M373" s="191" t="s">
        <v>748</v>
      </c>
      <c r="N373" s="694">
        <f t="shared" ref="N373:AB373" si="429">N369*LOOKUP($AD362,$AG$4:$AP$4,$AG$8:$AP$8)</f>
        <v>2042.55</v>
      </c>
      <c r="O373" s="694">
        <f t="shared" si="429"/>
        <v>0</v>
      </c>
      <c r="P373" s="694">
        <f t="shared" si="429"/>
        <v>0</v>
      </c>
      <c r="Q373" s="694">
        <f t="shared" si="429"/>
        <v>0</v>
      </c>
      <c r="R373" s="694">
        <f t="shared" si="429"/>
        <v>0</v>
      </c>
      <c r="S373" s="694">
        <f t="shared" si="429"/>
        <v>0</v>
      </c>
      <c r="T373" s="694">
        <f t="shared" si="429"/>
        <v>0</v>
      </c>
      <c r="U373" s="694">
        <f t="shared" si="429"/>
        <v>0</v>
      </c>
      <c r="V373" s="694">
        <f t="shared" si="429"/>
        <v>0</v>
      </c>
      <c r="W373" s="694">
        <f t="shared" si="429"/>
        <v>0</v>
      </c>
      <c r="X373" s="694">
        <f t="shared" si="429"/>
        <v>0</v>
      </c>
      <c r="Y373" s="694">
        <f t="shared" si="429"/>
        <v>0</v>
      </c>
      <c r="Z373" s="694">
        <f t="shared" si="429"/>
        <v>0</v>
      </c>
      <c r="AA373" s="694">
        <f t="shared" si="429"/>
        <v>0</v>
      </c>
      <c r="AB373" s="694">
        <f t="shared" si="429"/>
        <v>0</v>
      </c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  <c r="BL373" s="83"/>
    </row>
    <row r="374" spans="1:64" x14ac:dyDescent="0.25">
      <c r="B374" s="186" t="str">
        <f t="shared" si="423"/>
        <v>TFREDST100</v>
      </c>
      <c r="C374" s="186"/>
      <c r="D374" s="187"/>
      <c r="E374" s="186"/>
      <c r="F374" s="170"/>
      <c r="G374" s="189"/>
      <c r="H374" s="170"/>
      <c r="I374" s="190">
        <f>AF$9</f>
        <v>2040</v>
      </c>
      <c r="J374" s="191"/>
      <c r="K374" s="191"/>
      <c r="L374" s="211" t="s">
        <v>1065</v>
      </c>
      <c r="M374" s="191" t="s">
        <v>748</v>
      </c>
      <c r="N374" s="694">
        <f t="shared" ref="N374:AB374" si="430">N369*LOOKUP($AD362,$AG$4:$AP$4,$AG$9:$AP$9)</f>
        <v>68.085000000000008</v>
      </c>
      <c r="O374" s="694">
        <f t="shared" si="430"/>
        <v>0</v>
      </c>
      <c r="P374" s="694">
        <f t="shared" si="430"/>
        <v>0</v>
      </c>
      <c r="Q374" s="694">
        <f t="shared" si="430"/>
        <v>0</v>
      </c>
      <c r="R374" s="694">
        <f t="shared" si="430"/>
        <v>0</v>
      </c>
      <c r="S374" s="694">
        <f t="shared" si="430"/>
        <v>0</v>
      </c>
      <c r="T374" s="694">
        <f t="shared" si="430"/>
        <v>0</v>
      </c>
      <c r="U374" s="694">
        <f t="shared" si="430"/>
        <v>0</v>
      </c>
      <c r="V374" s="694">
        <f t="shared" si="430"/>
        <v>0</v>
      </c>
      <c r="W374" s="694">
        <f t="shared" si="430"/>
        <v>0</v>
      </c>
      <c r="X374" s="694">
        <f t="shared" si="430"/>
        <v>0</v>
      </c>
      <c r="Y374" s="694">
        <f t="shared" si="430"/>
        <v>0</v>
      </c>
      <c r="Z374" s="694">
        <f t="shared" si="430"/>
        <v>0</v>
      </c>
      <c r="AA374" s="694">
        <f t="shared" si="430"/>
        <v>0</v>
      </c>
      <c r="AB374" s="694">
        <f t="shared" si="430"/>
        <v>0</v>
      </c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</row>
    <row r="375" spans="1:64" x14ac:dyDescent="0.25">
      <c r="B375" s="193" t="str">
        <f t="shared" si="423"/>
        <v>TFREDST100</v>
      </c>
      <c r="C375" s="193"/>
      <c r="D375" s="194"/>
      <c r="E375" s="193"/>
      <c r="F375" s="196"/>
      <c r="G375" s="195"/>
      <c r="H375" s="196"/>
      <c r="I375" s="197">
        <f>AF$10</f>
        <v>2050</v>
      </c>
      <c r="J375" s="198"/>
      <c r="K375" s="198"/>
      <c r="L375" s="212" t="s">
        <v>1065</v>
      </c>
      <c r="M375" s="198" t="s">
        <v>748</v>
      </c>
      <c r="N375" s="695">
        <f t="shared" ref="N375:AB375" si="431">N369*LOOKUP($AD362,$AG$4:$AP$4,$AG$10:$AP$10)</f>
        <v>0</v>
      </c>
      <c r="O375" s="695">
        <f t="shared" si="431"/>
        <v>0</v>
      </c>
      <c r="P375" s="695">
        <f t="shared" si="431"/>
        <v>0</v>
      </c>
      <c r="Q375" s="695">
        <f t="shared" si="431"/>
        <v>0</v>
      </c>
      <c r="R375" s="695">
        <f t="shared" si="431"/>
        <v>0</v>
      </c>
      <c r="S375" s="695">
        <f t="shared" si="431"/>
        <v>0</v>
      </c>
      <c r="T375" s="695">
        <f t="shared" si="431"/>
        <v>0</v>
      </c>
      <c r="U375" s="695">
        <f t="shared" si="431"/>
        <v>0</v>
      </c>
      <c r="V375" s="695">
        <f t="shared" si="431"/>
        <v>0</v>
      </c>
      <c r="W375" s="695">
        <f t="shared" si="431"/>
        <v>0</v>
      </c>
      <c r="X375" s="695">
        <f t="shared" si="431"/>
        <v>0</v>
      </c>
      <c r="Y375" s="695">
        <f t="shared" si="431"/>
        <v>0</v>
      </c>
      <c r="Z375" s="695">
        <f t="shared" si="431"/>
        <v>0</v>
      </c>
      <c r="AA375" s="695">
        <f t="shared" si="431"/>
        <v>0</v>
      </c>
      <c r="AB375" s="695">
        <f t="shared" si="431"/>
        <v>0</v>
      </c>
      <c r="AD375" s="400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  <c r="BL375" s="83"/>
    </row>
    <row r="376" spans="1:64" s="83" customFormat="1" x14ac:dyDescent="0.25">
      <c r="A376" s="82"/>
      <c r="B376" s="178" t="str">
        <f>C376</f>
        <v>TFREELC100</v>
      </c>
      <c r="C376" s="178" t="s">
        <v>371</v>
      </c>
      <c r="D376" s="179" t="s">
        <v>852</v>
      </c>
      <c r="E376" s="407" t="s">
        <v>683</v>
      </c>
      <c r="F376" s="182"/>
      <c r="G376" s="181"/>
      <c r="H376" s="182"/>
      <c r="I376" s="183"/>
      <c r="J376" s="184"/>
      <c r="K376" s="184"/>
      <c r="L376" s="203" t="s">
        <v>1107</v>
      </c>
      <c r="M376" s="184" t="s">
        <v>1125</v>
      </c>
      <c r="N376" s="378">
        <f>N$58</f>
        <v>1E-3</v>
      </c>
      <c r="O376" s="378">
        <f t="shared" ref="O376:AB376" si="432">$N376</f>
        <v>1E-3</v>
      </c>
      <c r="P376" s="378">
        <f t="shared" si="432"/>
        <v>1E-3</v>
      </c>
      <c r="Q376" s="378">
        <f t="shared" si="432"/>
        <v>1E-3</v>
      </c>
      <c r="R376" s="378">
        <f t="shared" si="432"/>
        <v>1E-3</v>
      </c>
      <c r="S376" s="378">
        <f t="shared" si="432"/>
        <v>1E-3</v>
      </c>
      <c r="T376" s="378">
        <f t="shared" si="432"/>
        <v>1E-3</v>
      </c>
      <c r="U376" s="378">
        <f t="shared" si="432"/>
        <v>1E-3</v>
      </c>
      <c r="V376" s="378">
        <f t="shared" si="432"/>
        <v>1E-3</v>
      </c>
      <c r="W376" s="378">
        <f t="shared" si="432"/>
        <v>1E-3</v>
      </c>
      <c r="X376" s="378">
        <f t="shared" si="432"/>
        <v>1E-3</v>
      </c>
      <c r="Y376" s="378">
        <f t="shared" si="432"/>
        <v>1E-3</v>
      </c>
      <c r="Z376" s="378">
        <f t="shared" si="432"/>
        <v>1E-3</v>
      </c>
      <c r="AA376" s="378">
        <f t="shared" si="432"/>
        <v>1E-3</v>
      </c>
      <c r="AB376" s="378">
        <f t="shared" si="432"/>
        <v>1E-3</v>
      </c>
      <c r="AD376" s="56" t="str">
        <f>MID(D376,13,3)</f>
        <v>ELC</v>
      </c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V376" s="700" t="str">
        <f t="shared" ref="AV376:AV378" si="433">MID(E376,1,7)</f>
        <v>TRAELC</v>
      </c>
      <c r="AW376" s="568">
        <f t="shared" ref="AW376" si="434">SUM(AX376:BL376)</f>
        <v>0</v>
      </c>
    </row>
    <row r="377" spans="1:64" x14ac:dyDescent="0.25">
      <c r="B377" s="186" t="str">
        <f>B376</f>
        <v>TFREELC100</v>
      </c>
      <c r="C377" s="186"/>
      <c r="D377" s="187"/>
      <c r="E377" s="186"/>
      <c r="F377" s="170"/>
      <c r="G377" s="173" t="s">
        <v>439</v>
      </c>
      <c r="H377" s="170"/>
      <c r="I377" s="190"/>
      <c r="J377" s="191"/>
      <c r="K377" s="191"/>
      <c r="L377" s="191" t="s">
        <v>1126</v>
      </c>
      <c r="M377" s="191" t="s">
        <v>678</v>
      </c>
      <c r="N377" s="377">
        <f>T_CEFF!H206</f>
        <v>72.727270000000004</v>
      </c>
      <c r="O377" s="377">
        <f>T_CEFF!I206</f>
        <v>72.727270000000004</v>
      </c>
      <c r="P377" s="377">
        <f>T_CEFF!J206</f>
        <v>72.727270000000004</v>
      </c>
      <c r="Q377" s="377">
        <f>T_CEFF!K206</f>
        <v>72.727270000000004</v>
      </c>
      <c r="R377" s="377">
        <f>T_CEFF!L206</f>
        <v>72.727270000000004</v>
      </c>
      <c r="S377" s="377">
        <f>T_CEFF!M206</f>
        <v>72.727270000000004</v>
      </c>
      <c r="T377" s="377">
        <f>T_CEFF!N206</f>
        <v>72.727270000000004</v>
      </c>
      <c r="U377" s="377">
        <f>T_CEFF!O206</f>
        <v>72.727270000000004</v>
      </c>
      <c r="V377" s="377">
        <f>T_CEFF!P206</f>
        <v>72.727270000000004</v>
      </c>
      <c r="W377" s="377">
        <f>T_CEFF!Q206</f>
        <v>72.727270000000004</v>
      </c>
      <c r="X377" s="377">
        <f>T_CEFF!R206</f>
        <v>72.727270000000004</v>
      </c>
      <c r="Y377" s="377">
        <f>T_CEFF!S206</f>
        <v>72.727270000000004</v>
      </c>
      <c r="Z377" s="377">
        <f>T_CEFF!T206</f>
        <v>72.727270000000004</v>
      </c>
      <c r="AA377" s="377">
        <f>T_CEFF!U206</f>
        <v>72.727270000000004</v>
      </c>
      <c r="AB377" s="377">
        <f>T_CEFF!V206</f>
        <v>72.727270000000004</v>
      </c>
      <c r="AD377" s="66" t="str">
        <f>IF(COUNTIF($AG$4:$AP$4,AD376)=1,"ok","MISSING")</f>
        <v>ok</v>
      </c>
      <c r="AE377" s="83"/>
      <c r="AF377" s="89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V377" s="700" t="str">
        <f t="shared" si="433"/>
        <v/>
      </c>
      <c r="AW377" s="568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  <c r="BL377" s="83"/>
    </row>
    <row r="378" spans="1:64" x14ac:dyDescent="0.25">
      <c r="B378" s="186" t="str">
        <f t="shared" ref="B378:B387" si="435">B377</f>
        <v>TFREELC100</v>
      </c>
      <c r="C378" s="186"/>
      <c r="D378" s="187"/>
      <c r="E378" s="186"/>
      <c r="F378" s="170"/>
      <c r="G378" s="173" t="s">
        <v>437</v>
      </c>
      <c r="H378" s="170"/>
      <c r="I378" s="190"/>
      <c r="J378" s="191"/>
      <c r="K378" s="191"/>
      <c r="L378" s="191" t="s">
        <v>1126</v>
      </c>
      <c r="M378" s="191" t="s">
        <v>678</v>
      </c>
      <c r="N378" s="377">
        <f>T_CEFF!H207</f>
        <v>72.727270000000004</v>
      </c>
      <c r="O378" s="377">
        <f>T_CEFF!I207</f>
        <v>72.727270000000004</v>
      </c>
      <c r="P378" s="377">
        <f>T_CEFF!J207</f>
        <v>72.727270000000004</v>
      </c>
      <c r="Q378" s="377">
        <f>T_CEFF!K207</f>
        <v>72.727270000000004</v>
      </c>
      <c r="R378" s="377">
        <f>T_CEFF!L207</f>
        <v>72.727270000000004</v>
      </c>
      <c r="S378" s="377">
        <f>T_CEFF!M207</f>
        <v>72.727270000000004</v>
      </c>
      <c r="T378" s="377">
        <f>T_CEFF!N207</f>
        <v>72.727270000000004</v>
      </c>
      <c r="U378" s="377">
        <f>T_CEFF!O207</f>
        <v>72.727270000000004</v>
      </c>
      <c r="V378" s="377">
        <f>T_CEFF!P207</f>
        <v>72.727270000000004</v>
      </c>
      <c r="W378" s="377">
        <f>T_CEFF!Q207</f>
        <v>72.727270000000004</v>
      </c>
      <c r="X378" s="377">
        <f>T_CEFF!R207</f>
        <v>72.727270000000004</v>
      </c>
      <c r="Y378" s="377">
        <f>T_CEFF!S207</f>
        <v>72.727270000000004</v>
      </c>
      <c r="Z378" s="377">
        <f>T_CEFF!T207</f>
        <v>72.727270000000004</v>
      </c>
      <c r="AA378" s="377">
        <f>T_CEFF!U207</f>
        <v>72.727270000000004</v>
      </c>
      <c r="AB378" s="377">
        <f>T_CEFF!V207</f>
        <v>72.727270000000004</v>
      </c>
      <c r="AV378" s="700" t="str">
        <f t="shared" si="433"/>
        <v/>
      </c>
      <c r="AW378" s="568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  <c r="BL378" s="83"/>
    </row>
    <row r="379" spans="1:64" x14ac:dyDescent="0.25">
      <c r="B379" s="186" t="str">
        <f t="shared" si="435"/>
        <v>TFREELC100</v>
      </c>
      <c r="C379" s="186"/>
      <c r="D379" s="187"/>
      <c r="E379" s="186"/>
      <c r="F379" s="170"/>
      <c r="G379" s="189"/>
      <c r="H379" s="170"/>
      <c r="I379" s="190"/>
      <c r="J379" s="191"/>
      <c r="K379" s="191" t="s">
        <v>749</v>
      </c>
      <c r="L379" s="191" t="s">
        <v>1128</v>
      </c>
      <c r="M379" s="191" t="s">
        <v>1175</v>
      </c>
      <c r="N379" s="368">
        <f t="shared" ref="N379:AB379" si="436">N$25</f>
        <v>8.61</v>
      </c>
      <c r="O379" s="368">
        <f t="shared" si="436"/>
        <v>0</v>
      </c>
      <c r="P379" s="368">
        <f t="shared" si="436"/>
        <v>0</v>
      </c>
      <c r="Q379" s="368">
        <f t="shared" si="436"/>
        <v>0</v>
      </c>
      <c r="R379" s="368">
        <f t="shared" si="436"/>
        <v>0</v>
      </c>
      <c r="S379" s="368">
        <f t="shared" si="436"/>
        <v>0</v>
      </c>
      <c r="T379" s="368">
        <f t="shared" si="436"/>
        <v>0</v>
      </c>
      <c r="U379" s="368">
        <f t="shared" si="436"/>
        <v>0</v>
      </c>
      <c r="V379" s="368">
        <f t="shared" si="436"/>
        <v>0</v>
      </c>
      <c r="W379" s="368">
        <f t="shared" si="436"/>
        <v>0</v>
      </c>
      <c r="X379" s="368">
        <f t="shared" si="436"/>
        <v>0</v>
      </c>
      <c r="Y379" s="368">
        <f t="shared" si="436"/>
        <v>0</v>
      </c>
      <c r="Z379" s="368">
        <f t="shared" si="436"/>
        <v>0</v>
      </c>
      <c r="AA379" s="368">
        <f t="shared" si="436"/>
        <v>0</v>
      </c>
      <c r="AB379" s="368">
        <f t="shared" si="436"/>
        <v>0</v>
      </c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  <c r="BL379" s="83"/>
    </row>
    <row r="380" spans="1:64" x14ac:dyDescent="0.25">
      <c r="B380" s="186" t="str">
        <f t="shared" si="435"/>
        <v>TFREELC100</v>
      </c>
      <c r="C380" s="186"/>
      <c r="D380" s="187"/>
      <c r="E380" s="186"/>
      <c r="F380" s="170"/>
      <c r="G380" s="189"/>
      <c r="H380" s="170"/>
      <c r="I380" s="190"/>
      <c r="J380" s="191"/>
      <c r="K380" s="191"/>
      <c r="L380" s="211" t="s">
        <v>1130</v>
      </c>
      <c r="M380" s="191" t="s">
        <v>1131</v>
      </c>
      <c r="N380" s="369">
        <f>LOOKUP($C$376, T_NCAP_AF!$C$185:$C$195, T_NCAP_AF!D$185:D$195)*(1+N344)</f>
        <v>27.266668363999997</v>
      </c>
      <c r="O380" s="369">
        <f>LOOKUP($C$376, T_NCAP_AF!$C$185:$C$195, T_NCAP_AF!E$185:E$195)*(1+O344)</f>
        <v>0</v>
      </c>
      <c r="P380" s="369">
        <f>LOOKUP($C$376, T_NCAP_AF!$C$185:$C$195, T_NCAP_AF!F$185:F$195)*(1+P344)</f>
        <v>0</v>
      </c>
      <c r="Q380" s="369">
        <f>LOOKUP($C$376, T_NCAP_AF!$C$185:$C$195, T_NCAP_AF!G$185:G$195)*(1+Q344)</f>
        <v>0</v>
      </c>
      <c r="R380" s="369">
        <f>LOOKUP($C$376, T_NCAP_AF!$C$185:$C$195, T_NCAP_AF!H$185:H$195)*(1+R344)</f>
        <v>0</v>
      </c>
      <c r="S380" s="369">
        <f>LOOKUP($C$376, T_NCAP_AF!$C$185:$C$195, T_NCAP_AF!I$185:I$195)*(1+S344)</f>
        <v>0</v>
      </c>
      <c r="T380" s="369">
        <f>LOOKUP($C$376, T_NCAP_AF!$C$185:$C$195, T_NCAP_AF!J$185:J$195)*(1+T344)</f>
        <v>0</v>
      </c>
      <c r="U380" s="369">
        <f>LOOKUP($C$376, T_NCAP_AF!$C$185:$C$195, T_NCAP_AF!K$185:K$195)*(1+U344)</f>
        <v>0</v>
      </c>
      <c r="V380" s="369">
        <f>LOOKUP($C$376, T_NCAP_AF!$C$185:$C$195, T_NCAP_AF!L$185:L$195)*(1+V344)</f>
        <v>0</v>
      </c>
      <c r="W380" s="369">
        <f>LOOKUP($C$376, T_NCAP_AF!$C$185:$C$195, T_NCAP_AF!M$185:M$195)*(1+W344)</f>
        <v>0</v>
      </c>
      <c r="X380" s="369">
        <f>LOOKUP($C$376, T_NCAP_AF!$C$185:$C$195, T_NCAP_AF!N$185:N$195)*(1+X344)</f>
        <v>0</v>
      </c>
      <c r="Y380" s="369">
        <f>LOOKUP($C$376, T_NCAP_AF!$C$185:$C$195, T_NCAP_AF!O$185:O$195)*(1+Y344)</f>
        <v>0</v>
      </c>
      <c r="Z380" s="369">
        <f>LOOKUP($C$376, T_NCAP_AF!$C$185:$C$195, T_NCAP_AF!P$185:P$195)*(1+Z344)</f>
        <v>0</v>
      </c>
      <c r="AA380" s="369">
        <f>LOOKUP($C$376, T_NCAP_AF!$C$185:$C$195, T_NCAP_AF!Q$185:Q$195)*(1+AA344)</f>
        <v>0</v>
      </c>
      <c r="AB380" s="369">
        <f>LOOKUP($C$376, T_NCAP_AF!$C$185:$C$195, T_NCAP_AF!R$185:R$195)*(1+AB344)</f>
        <v>0</v>
      </c>
      <c r="AC380" s="83"/>
      <c r="AE380" s="572">
        <f>SUM(AF380:AT380)</f>
        <v>0.70429804384211991</v>
      </c>
      <c r="AF380" s="85">
        <f t="shared" ref="AF380:AT380" si="437">N379*N380*N381/1000</f>
        <v>0.70429804384211991</v>
      </c>
      <c r="AG380" s="85">
        <f t="shared" si="437"/>
        <v>0</v>
      </c>
      <c r="AH380" s="85">
        <f t="shared" si="437"/>
        <v>0</v>
      </c>
      <c r="AI380" s="85">
        <f t="shared" si="437"/>
        <v>0</v>
      </c>
      <c r="AJ380" s="85">
        <f t="shared" si="437"/>
        <v>0</v>
      </c>
      <c r="AK380" s="85">
        <f t="shared" si="437"/>
        <v>0</v>
      </c>
      <c r="AL380" s="85">
        <f t="shared" si="437"/>
        <v>0</v>
      </c>
      <c r="AM380" s="85">
        <f t="shared" si="437"/>
        <v>0</v>
      </c>
      <c r="AN380" s="85">
        <f t="shared" si="437"/>
        <v>0</v>
      </c>
      <c r="AO380" s="85">
        <f t="shared" si="437"/>
        <v>0</v>
      </c>
      <c r="AP380" s="85">
        <f t="shared" si="437"/>
        <v>0</v>
      </c>
      <c r="AQ380" s="85">
        <f t="shared" si="437"/>
        <v>0</v>
      </c>
      <c r="AR380" s="85">
        <f t="shared" si="437"/>
        <v>0</v>
      </c>
      <c r="AS380" s="85">
        <f t="shared" si="437"/>
        <v>0</v>
      </c>
      <c r="AT380" s="85">
        <f t="shared" si="437"/>
        <v>0</v>
      </c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  <c r="BL380" s="83"/>
    </row>
    <row r="381" spans="1:64" x14ac:dyDescent="0.25">
      <c r="B381" s="186" t="str">
        <f t="shared" si="435"/>
        <v>TFREELC100</v>
      </c>
      <c r="C381" s="186"/>
      <c r="D381" s="187"/>
      <c r="E381" s="186"/>
      <c r="F381" s="170"/>
      <c r="G381" s="189"/>
      <c r="H381" s="170"/>
      <c r="I381" s="190">
        <f>$M$3</f>
        <v>2019</v>
      </c>
      <c r="J381" s="191"/>
      <c r="K381" s="191"/>
      <c r="L381" s="211" t="s">
        <v>1065</v>
      </c>
      <c r="M381" s="191" t="s">
        <v>748</v>
      </c>
      <c r="N381" s="694">
        <f>LOOKUP($C$376, T_Stock_Private!$C$122:$C$133,T_Stock_Private!D$122:D$133)*(1+N345)</f>
        <v>3</v>
      </c>
      <c r="O381" s="694">
        <f>LOOKUP($C$376, T_Stock_Private!$C$122:$C$133,T_Stock_Private!E$122:E$133)*(1+O345)</f>
        <v>0</v>
      </c>
      <c r="P381" s="694">
        <f>LOOKUP($C$376, T_Stock_Private!$C$122:$C$133,T_Stock_Private!F$122:F$133)*(1+P345)</f>
        <v>0</v>
      </c>
      <c r="Q381" s="694">
        <f>LOOKUP($C$376, T_Stock_Private!$C$122:$C$133,T_Stock_Private!G$122:G$133)*(1+Q345)</f>
        <v>0</v>
      </c>
      <c r="R381" s="694">
        <f>LOOKUP($C$376, T_Stock_Private!$C$122:$C$133,T_Stock_Private!H$122:H$133)*(1+R345)</f>
        <v>0</v>
      </c>
      <c r="S381" s="694">
        <f>LOOKUP($C$376, T_Stock_Private!$C$122:$C$133,T_Stock_Private!I$122:I$133)*(1+S345)</f>
        <v>0</v>
      </c>
      <c r="T381" s="694">
        <f>LOOKUP($C$376, T_Stock_Private!$C$122:$C$133,T_Stock_Private!J$122:J$133)*(1+T345)</f>
        <v>0</v>
      </c>
      <c r="U381" s="694">
        <f>LOOKUP($C$376, T_Stock_Private!$C$122:$C$133,T_Stock_Private!K$122:K$133)*(1+U345)</f>
        <v>0</v>
      </c>
      <c r="V381" s="694">
        <f>LOOKUP($C$376, T_Stock_Private!$C$122:$C$133,T_Stock_Private!L$122:L$133)*(1+V345)</f>
        <v>0</v>
      </c>
      <c r="W381" s="694">
        <f>LOOKUP($C$376, T_Stock_Private!$C$122:$C$133,T_Stock_Private!M$122:M$133)*(1+W345)</f>
        <v>0</v>
      </c>
      <c r="X381" s="694">
        <f>LOOKUP($C$376, T_Stock_Private!$C$122:$C$133,T_Stock_Private!N$122:N$133)*(1+X345)</f>
        <v>0</v>
      </c>
      <c r="Y381" s="694">
        <f>LOOKUP($C$376, T_Stock_Private!$C$122:$C$133,T_Stock_Private!O$122:O$133)*(1+Y345)</f>
        <v>0</v>
      </c>
      <c r="Z381" s="694">
        <f>LOOKUP($C$376, T_Stock_Private!$C$122:$C$133,T_Stock_Private!P$122:P$133)*(1+Z345)</f>
        <v>0</v>
      </c>
      <c r="AA381" s="694">
        <f>LOOKUP($C$376, T_Stock_Private!$C$122:$C$133,T_Stock_Private!Q$122:Q$133)*(1+AA345)</f>
        <v>0</v>
      </c>
      <c r="AB381" s="694">
        <f>LOOKUP($C$376, T_Stock_Private!$C$122:$C$133,T_Stock_Private!R$122:R$133)*(1+AB345)</f>
        <v>0</v>
      </c>
      <c r="AC381" s="89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  <c r="BL381" s="83"/>
    </row>
    <row r="382" spans="1:64" x14ac:dyDescent="0.25">
      <c r="B382" s="186" t="str">
        <f t="shared" si="435"/>
        <v>TFREELC100</v>
      </c>
      <c r="C382" s="186"/>
      <c r="D382" s="187"/>
      <c r="E382" s="186"/>
      <c r="F382" s="170"/>
      <c r="G382" s="189"/>
      <c r="H382" s="170"/>
      <c r="I382" s="190">
        <f>AF$5</f>
        <v>2020</v>
      </c>
      <c r="J382" s="191"/>
      <c r="K382" s="191"/>
      <c r="L382" s="211" t="s">
        <v>1065</v>
      </c>
      <c r="M382" s="191" t="s">
        <v>748</v>
      </c>
      <c r="N382" s="694">
        <f t="shared" ref="N382:AB382" si="438">N381*LOOKUP($AD376,$AG$4:$AP$4,$AG$5:$AP$5)</f>
        <v>2.9699999999999998</v>
      </c>
      <c r="O382" s="694">
        <f t="shared" si="438"/>
        <v>0</v>
      </c>
      <c r="P382" s="694">
        <f t="shared" si="438"/>
        <v>0</v>
      </c>
      <c r="Q382" s="694">
        <f t="shared" si="438"/>
        <v>0</v>
      </c>
      <c r="R382" s="694">
        <f t="shared" si="438"/>
        <v>0</v>
      </c>
      <c r="S382" s="694">
        <f t="shared" si="438"/>
        <v>0</v>
      </c>
      <c r="T382" s="694">
        <f t="shared" si="438"/>
        <v>0</v>
      </c>
      <c r="U382" s="694">
        <f t="shared" si="438"/>
        <v>0</v>
      </c>
      <c r="V382" s="694">
        <f t="shared" si="438"/>
        <v>0</v>
      </c>
      <c r="W382" s="694">
        <f t="shared" si="438"/>
        <v>0</v>
      </c>
      <c r="X382" s="694">
        <f t="shared" si="438"/>
        <v>0</v>
      </c>
      <c r="Y382" s="694">
        <f t="shared" si="438"/>
        <v>0</v>
      </c>
      <c r="Z382" s="694">
        <f t="shared" si="438"/>
        <v>0</v>
      </c>
      <c r="AA382" s="694">
        <f t="shared" si="438"/>
        <v>0</v>
      </c>
      <c r="AB382" s="694">
        <f t="shared" si="438"/>
        <v>0</v>
      </c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  <c r="BL382" s="83"/>
    </row>
    <row r="383" spans="1:64" x14ac:dyDescent="0.25">
      <c r="B383" s="186" t="str">
        <f t="shared" si="435"/>
        <v>TFREELC100</v>
      </c>
      <c r="C383" s="186"/>
      <c r="D383" s="187"/>
      <c r="E383" s="186"/>
      <c r="F383" s="170"/>
      <c r="G383" s="189"/>
      <c r="H383" s="170"/>
      <c r="I383" s="190">
        <f>AF$6</f>
        <v>2025</v>
      </c>
      <c r="J383" s="191"/>
      <c r="K383" s="191"/>
      <c r="L383" s="211" t="s">
        <v>1065</v>
      </c>
      <c r="M383" s="191" t="s">
        <v>748</v>
      </c>
      <c r="N383" s="694">
        <f t="shared" ref="N383:AB383" si="439">N381*LOOKUP($AD376,$AG$4:$AP$4,$AG$6:$AP$6)</f>
        <v>2.25</v>
      </c>
      <c r="O383" s="694">
        <f t="shared" si="439"/>
        <v>0</v>
      </c>
      <c r="P383" s="694">
        <f t="shared" si="439"/>
        <v>0</v>
      </c>
      <c r="Q383" s="694">
        <f t="shared" si="439"/>
        <v>0</v>
      </c>
      <c r="R383" s="694">
        <f t="shared" si="439"/>
        <v>0</v>
      </c>
      <c r="S383" s="694">
        <f t="shared" si="439"/>
        <v>0</v>
      </c>
      <c r="T383" s="694">
        <f t="shared" si="439"/>
        <v>0</v>
      </c>
      <c r="U383" s="694">
        <f t="shared" si="439"/>
        <v>0</v>
      </c>
      <c r="V383" s="694">
        <f t="shared" si="439"/>
        <v>0</v>
      </c>
      <c r="W383" s="694">
        <f t="shared" si="439"/>
        <v>0</v>
      </c>
      <c r="X383" s="694">
        <f t="shared" si="439"/>
        <v>0</v>
      </c>
      <c r="Y383" s="694">
        <f t="shared" si="439"/>
        <v>0</v>
      </c>
      <c r="Z383" s="694">
        <f t="shared" si="439"/>
        <v>0</v>
      </c>
      <c r="AA383" s="694">
        <f t="shared" si="439"/>
        <v>0</v>
      </c>
      <c r="AB383" s="694">
        <f t="shared" si="439"/>
        <v>0</v>
      </c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  <c r="BL383" s="83"/>
    </row>
    <row r="384" spans="1:64" x14ac:dyDescent="0.25">
      <c r="B384" s="186" t="str">
        <f t="shared" si="435"/>
        <v>TFREELC100</v>
      </c>
      <c r="C384" s="186"/>
      <c r="D384" s="187"/>
      <c r="E384" s="186"/>
      <c r="F384" s="170"/>
      <c r="G384" s="189"/>
      <c r="H384" s="170"/>
      <c r="I384" s="190">
        <f>AF$7</f>
        <v>2030</v>
      </c>
      <c r="J384" s="191"/>
      <c r="K384" s="191"/>
      <c r="L384" s="211" t="s">
        <v>1065</v>
      </c>
      <c r="M384" s="191" t="s">
        <v>748</v>
      </c>
      <c r="N384" s="694">
        <f t="shared" ref="N384:AB384" si="440">N381*LOOKUP($AD376,$AG$4:$AP$4,$AG$7:$AP$7)</f>
        <v>1.5</v>
      </c>
      <c r="O384" s="694">
        <f t="shared" si="440"/>
        <v>0</v>
      </c>
      <c r="P384" s="694">
        <f t="shared" si="440"/>
        <v>0</v>
      </c>
      <c r="Q384" s="694">
        <f t="shared" si="440"/>
        <v>0</v>
      </c>
      <c r="R384" s="694">
        <f t="shared" si="440"/>
        <v>0</v>
      </c>
      <c r="S384" s="694">
        <f t="shared" si="440"/>
        <v>0</v>
      </c>
      <c r="T384" s="694">
        <f t="shared" si="440"/>
        <v>0</v>
      </c>
      <c r="U384" s="694">
        <f t="shared" si="440"/>
        <v>0</v>
      </c>
      <c r="V384" s="694">
        <f t="shared" si="440"/>
        <v>0</v>
      </c>
      <c r="W384" s="694">
        <f t="shared" si="440"/>
        <v>0</v>
      </c>
      <c r="X384" s="694">
        <f t="shared" si="440"/>
        <v>0</v>
      </c>
      <c r="Y384" s="694">
        <f t="shared" si="440"/>
        <v>0</v>
      </c>
      <c r="Z384" s="694">
        <f t="shared" si="440"/>
        <v>0</v>
      </c>
      <c r="AA384" s="694">
        <f t="shared" si="440"/>
        <v>0</v>
      </c>
      <c r="AB384" s="694">
        <f t="shared" si="440"/>
        <v>0</v>
      </c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  <c r="BL384" s="83"/>
    </row>
    <row r="385" spans="1:64" x14ac:dyDescent="0.25">
      <c r="B385" s="186" t="str">
        <f t="shared" si="435"/>
        <v>TFREELC100</v>
      </c>
      <c r="C385" s="186"/>
      <c r="D385" s="187"/>
      <c r="E385" s="186"/>
      <c r="F385" s="170"/>
      <c r="G385" s="189"/>
      <c r="H385" s="170"/>
      <c r="I385" s="190">
        <f>AF$8</f>
        <v>2035</v>
      </c>
      <c r="J385" s="191"/>
      <c r="K385" s="191"/>
      <c r="L385" s="211" t="s">
        <v>1065</v>
      </c>
      <c r="M385" s="191" t="s">
        <v>748</v>
      </c>
      <c r="N385" s="694">
        <f t="shared" ref="N385:AB385" si="441">N381*LOOKUP($AD376,$AG$4:$AP$4,$AG$8:$AP$8)</f>
        <v>0.44999999999999996</v>
      </c>
      <c r="O385" s="694">
        <f t="shared" si="441"/>
        <v>0</v>
      </c>
      <c r="P385" s="694">
        <f t="shared" si="441"/>
        <v>0</v>
      </c>
      <c r="Q385" s="694">
        <f t="shared" si="441"/>
        <v>0</v>
      </c>
      <c r="R385" s="694">
        <f t="shared" si="441"/>
        <v>0</v>
      </c>
      <c r="S385" s="694">
        <f t="shared" si="441"/>
        <v>0</v>
      </c>
      <c r="T385" s="694">
        <f t="shared" si="441"/>
        <v>0</v>
      </c>
      <c r="U385" s="694">
        <f t="shared" si="441"/>
        <v>0</v>
      </c>
      <c r="V385" s="694">
        <f t="shared" si="441"/>
        <v>0</v>
      </c>
      <c r="W385" s="694">
        <f t="shared" si="441"/>
        <v>0</v>
      </c>
      <c r="X385" s="694">
        <f t="shared" si="441"/>
        <v>0</v>
      </c>
      <c r="Y385" s="694">
        <f t="shared" si="441"/>
        <v>0</v>
      </c>
      <c r="Z385" s="694">
        <f t="shared" si="441"/>
        <v>0</v>
      </c>
      <c r="AA385" s="694">
        <f t="shared" si="441"/>
        <v>0</v>
      </c>
      <c r="AB385" s="694">
        <f t="shared" si="441"/>
        <v>0</v>
      </c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  <c r="BL385" s="83"/>
    </row>
    <row r="386" spans="1:64" x14ac:dyDescent="0.25">
      <c r="B386" s="186" t="str">
        <f t="shared" si="435"/>
        <v>TFREELC100</v>
      </c>
      <c r="C386" s="186"/>
      <c r="D386" s="187"/>
      <c r="E386" s="186"/>
      <c r="F386" s="170"/>
      <c r="G386" s="189"/>
      <c r="H386" s="170"/>
      <c r="I386" s="190">
        <f>AF$9</f>
        <v>2040</v>
      </c>
      <c r="J386" s="191"/>
      <c r="K386" s="191"/>
      <c r="L386" s="211" t="s">
        <v>1065</v>
      </c>
      <c r="M386" s="191" t="s">
        <v>748</v>
      </c>
      <c r="N386" s="694">
        <f t="shared" ref="N386:AB386" si="442">N381*LOOKUP($AD376,$AG$4:$AP$4,$AG$9:$AP$9)</f>
        <v>1.4999999999999999E-2</v>
      </c>
      <c r="O386" s="694">
        <f t="shared" si="442"/>
        <v>0</v>
      </c>
      <c r="P386" s="694">
        <f t="shared" si="442"/>
        <v>0</v>
      </c>
      <c r="Q386" s="694">
        <f t="shared" si="442"/>
        <v>0</v>
      </c>
      <c r="R386" s="694">
        <f t="shared" si="442"/>
        <v>0</v>
      </c>
      <c r="S386" s="694">
        <f t="shared" si="442"/>
        <v>0</v>
      </c>
      <c r="T386" s="694">
        <f t="shared" si="442"/>
        <v>0</v>
      </c>
      <c r="U386" s="694">
        <f t="shared" si="442"/>
        <v>0</v>
      </c>
      <c r="V386" s="694">
        <f t="shared" si="442"/>
        <v>0</v>
      </c>
      <c r="W386" s="694">
        <f t="shared" si="442"/>
        <v>0</v>
      </c>
      <c r="X386" s="694">
        <f t="shared" si="442"/>
        <v>0</v>
      </c>
      <c r="Y386" s="694">
        <f t="shared" si="442"/>
        <v>0</v>
      </c>
      <c r="Z386" s="694">
        <f t="shared" si="442"/>
        <v>0</v>
      </c>
      <c r="AA386" s="694">
        <f t="shared" si="442"/>
        <v>0</v>
      </c>
      <c r="AB386" s="694">
        <f t="shared" si="442"/>
        <v>0</v>
      </c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  <c r="BL386" s="83"/>
    </row>
    <row r="387" spans="1:64" x14ac:dyDescent="0.25">
      <c r="B387" s="193" t="str">
        <f t="shared" si="435"/>
        <v>TFREELC100</v>
      </c>
      <c r="C387" s="193"/>
      <c r="D387" s="194"/>
      <c r="E387" s="193"/>
      <c r="F387" s="196"/>
      <c r="G387" s="195"/>
      <c r="H387" s="196"/>
      <c r="I387" s="197">
        <f>AF$10</f>
        <v>2050</v>
      </c>
      <c r="J387" s="198"/>
      <c r="K387" s="198"/>
      <c r="L387" s="212" t="s">
        <v>1065</v>
      </c>
      <c r="M387" s="198" t="s">
        <v>748</v>
      </c>
      <c r="N387" s="695">
        <f t="shared" ref="N387:AB387" si="443">N381*LOOKUP($AD376,$AG$4:$AP$4,$AG$10:$AP$10)</f>
        <v>0</v>
      </c>
      <c r="O387" s="695">
        <f t="shared" si="443"/>
        <v>0</v>
      </c>
      <c r="P387" s="695">
        <f t="shared" si="443"/>
        <v>0</v>
      </c>
      <c r="Q387" s="695">
        <f t="shared" si="443"/>
        <v>0</v>
      </c>
      <c r="R387" s="695">
        <f t="shared" si="443"/>
        <v>0</v>
      </c>
      <c r="S387" s="695">
        <f t="shared" si="443"/>
        <v>0</v>
      </c>
      <c r="T387" s="695">
        <f t="shared" si="443"/>
        <v>0</v>
      </c>
      <c r="U387" s="695">
        <f t="shared" si="443"/>
        <v>0</v>
      </c>
      <c r="V387" s="695">
        <f t="shared" si="443"/>
        <v>0</v>
      </c>
      <c r="W387" s="695">
        <f t="shared" si="443"/>
        <v>0</v>
      </c>
      <c r="X387" s="695">
        <f t="shared" si="443"/>
        <v>0</v>
      </c>
      <c r="Y387" s="695">
        <f t="shared" si="443"/>
        <v>0</v>
      </c>
      <c r="Z387" s="695">
        <f t="shared" si="443"/>
        <v>0</v>
      </c>
      <c r="AA387" s="695">
        <f t="shared" si="443"/>
        <v>0</v>
      </c>
      <c r="AB387" s="695">
        <f t="shared" si="443"/>
        <v>0</v>
      </c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  <c r="BL387" s="83"/>
    </row>
    <row r="388" spans="1:64" s="83" customFormat="1" x14ac:dyDescent="0.25">
      <c r="A388" s="82"/>
      <c r="B388" s="178" t="str">
        <f>C388</f>
        <v>TFREETH100</v>
      </c>
      <c r="C388" s="178" t="s">
        <v>372</v>
      </c>
      <c r="D388" s="179" t="s">
        <v>854</v>
      </c>
      <c r="E388" s="180" t="s">
        <v>1010</v>
      </c>
      <c r="F388" s="182"/>
      <c r="G388" s="181"/>
      <c r="H388" s="182"/>
      <c r="I388" s="183"/>
      <c r="J388" s="184"/>
      <c r="K388" s="184"/>
      <c r="L388" s="203" t="s">
        <v>1107</v>
      </c>
      <c r="M388" s="184" t="s">
        <v>1125</v>
      </c>
      <c r="N388" s="378">
        <f>N$58</f>
        <v>1E-3</v>
      </c>
      <c r="O388" s="378">
        <f t="shared" ref="O388:AB388" si="444">$N388</f>
        <v>1E-3</v>
      </c>
      <c r="P388" s="378">
        <f t="shared" si="444"/>
        <v>1E-3</v>
      </c>
      <c r="Q388" s="378">
        <f t="shared" si="444"/>
        <v>1E-3</v>
      </c>
      <c r="R388" s="378">
        <f t="shared" si="444"/>
        <v>1E-3</v>
      </c>
      <c r="S388" s="378">
        <f t="shared" si="444"/>
        <v>1E-3</v>
      </c>
      <c r="T388" s="378">
        <f t="shared" si="444"/>
        <v>1E-3</v>
      </c>
      <c r="U388" s="378">
        <f t="shared" si="444"/>
        <v>1E-3</v>
      </c>
      <c r="V388" s="378">
        <f t="shared" si="444"/>
        <v>1E-3</v>
      </c>
      <c r="W388" s="378">
        <f t="shared" si="444"/>
        <v>1E-3</v>
      </c>
      <c r="X388" s="378">
        <f t="shared" si="444"/>
        <v>1E-3</v>
      </c>
      <c r="Y388" s="378">
        <f t="shared" si="444"/>
        <v>1E-3</v>
      </c>
      <c r="Z388" s="378">
        <f t="shared" si="444"/>
        <v>1E-3</v>
      </c>
      <c r="AA388" s="378">
        <f t="shared" si="444"/>
        <v>1E-3</v>
      </c>
      <c r="AB388" s="378">
        <f t="shared" si="444"/>
        <v>1E-3</v>
      </c>
      <c r="AD388" s="402" t="str">
        <f>MID(D388,13,3)</f>
        <v>ETH</v>
      </c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V388" s="700" t="str">
        <f t="shared" ref="AV388:AV390" si="445">MID(E388,1,7)</f>
        <v>TRAETH</v>
      </c>
      <c r="AW388" s="568">
        <f t="shared" ref="AW388" si="446">SUM(AX388:BL388)</f>
        <v>0</v>
      </c>
    </row>
    <row r="389" spans="1:64" x14ac:dyDescent="0.25">
      <c r="A389" s="22"/>
      <c r="B389" s="186" t="str">
        <f>B388</f>
        <v>TFREETH100</v>
      </c>
      <c r="C389" s="186"/>
      <c r="D389" s="187"/>
      <c r="E389" s="186"/>
      <c r="F389" s="170"/>
      <c r="G389" s="173" t="s">
        <v>439</v>
      </c>
      <c r="H389" s="170"/>
      <c r="I389" s="190"/>
      <c r="J389" s="191"/>
      <c r="K389" s="191"/>
      <c r="L389" s="191" t="s">
        <v>1126</v>
      </c>
      <c r="M389" s="191" t="s">
        <v>678</v>
      </c>
      <c r="N389" s="377">
        <f>T_CEFF!H208</f>
        <v>6.4000000000000001E-2</v>
      </c>
      <c r="O389" s="377">
        <f>T_CEFF!I208</f>
        <v>6.4000000000000001E-2</v>
      </c>
      <c r="P389" s="377">
        <f>T_CEFF!J208</f>
        <v>6.4000000000000001E-2</v>
      </c>
      <c r="Q389" s="377">
        <f>T_CEFF!K208</f>
        <v>6.4000000000000001E-2</v>
      </c>
      <c r="R389" s="377">
        <f>T_CEFF!L208</f>
        <v>6.4000000000000001E-2</v>
      </c>
      <c r="S389" s="377">
        <f>T_CEFF!M208</f>
        <v>6.4000000000000001E-2</v>
      </c>
      <c r="T389" s="377">
        <f>T_CEFF!N208</f>
        <v>6.4000000000000001E-2</v>
      </c>
      <c r="U389" s="377">
        <f>T_CEFF!O208</f>
        <v>6.4000000000000001E-2</v>
      </c>
      <c r="V389" s="377">
        <f>T_CEFF!P208</f>
        <v>6.4000000000000001E-2</v>
      </c>
      <c r="W389" s="377">
        <f>T_CEFF!Q208</f>
        <v>6.4000000000000001E-2</v>
      </c>
      <c r="X389" s="377">
        <f>T_CEFF!R208</f>
        <v>6.4000000000000001E-2</v>
      </c>
      <c r="Y389" s="377">
        <f>T_CEFF!S208</f>
        <v>6.4000000000000001E-2</v>
      </c>
      <c r="Z389" s="377">
        <f>T_CEFF!T208</f>
        <v>6.4000000000000001E-2</v>
      </c>
      <c r="AA389" s="377">
        <f>T_CEFF!U208</f>
        <v>6.4000000000000001E-2</v>
      </c>
      <c r="AB389" s="377">
        <f>T_CEFF!V208</f>
        <v>6.4000000000000001E-2</v>
      </c>
      <c r="AV389" s="700" t="str">
        <f t="shared" si="445"/>
        <v/>
      </c>
      <c r="AW389" s="568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  <c r="BL389" s="83"/>
    </row>
    <row r="390" spans="1:64" x14ac:dyDescent="0.25">
      <c r="A390" s="22"/>
      <c r="B390" s="186" t="str">
        <f t="shared" ref="B390:B399" si="447">B389</f>
        <v>TFREETH100</v>
      </c>
      <c r="C390" s="186"/>
      <c r="D390" s="187"/>
      <c r="E390" s="186"/>
      <c r="F390" s="170"/>
      <c r="G390" s="173" t="s">
        <v>437</v>
      </c>
      <c r="H390" s="170"/>
      <c r="I390" s="190"/>
      <c r="J390" s="191"/>
      <c r="K390" s="191"/>
      <c r="L390" s="191" t="s">
        <v>1126</v>
      </c>
      <c r="M390" s="191" t="s">
        <v>678</v>
      </c>
      <c r="N390" s="377">
        <f>T_CEFF!H209</f>
        <v>5.1200000000000002E-2</v>
      </c>
      <c r="O390" s="377">
        <f>T_CEFF!I209</f>
        <v>5.1200000000000002E-2</v>
      </c>
      <c r="P390" s="377">
        <f>T_CEFF!J209</f>
        <v>5.1200000000000002E-2</v>
      </c>
      <c r="Q390" s="377">
        <f>T_CEFF!K209</f>
        <v>5.1200000000000002E-2</v>
      </c>
      <c r="R390" s="377">
        <f>T_CEFF!L209</f>
        <v>5.1200000000000002E-2</v>
      </c>
      <c r="S390" s="377">
        <f>T_CEFF!M209</f>
        <v>5.1200000000000002E-2</v>
      </c>
      <c r="T390" s="377">
        <f>T_CEFF!N209</f>
        <v>5.1200000000000002E-2</v>
      </c>
      <c r="U390" s="377">
        <f>T_CEFF!O209</f>
        <v>5.1200000000000002E-2</v>
      </c>
      <c r="V390" s="377">
        <f>T_CEFF!P209</f>
        <v>5.1200000000000002E-2</v>
      </c>
      <c r="W390" s="377">
        <f>T_CEFF!Q209</f>
        <v>5.1200000000000002E-2</v>
      </c>
      <c r="X390" s="377">
        <f>T_CEFF!R209</f>
        <v>5.1200000000000002E-2</v>
      </c>
      <c r="Y390" s="377">
        <f>T_CEFF!S209</f>
        <v>5.1200000000000002E-2</v>
      </c>
      <c r="Z390" s="377">
        <f>T_CEFF!T209</f>
        <v>5.1200000000000002E-2</v>
      </c>
      <c r="AA390" s="377">
        <f>T_CEFF!U209</f>
        <v>5.1200000000000002E-2</v>
      </c>
      <c r="AB390" s="377">
        <f>T_CEFF!V209</f>
        <v>5.1200000000000002E-2</v>
      </c>
      <c r="AV390" s="700" t="str">
        <f t="shared" si="445"/>
        <v/>
      </c>
      <c r="AW390" s="568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  <c r="BL390" s="83"/>
    </row>
    <row r="391" spans="1:64" x14ac:dyDescent="0.25">
      <c r="A391" s="22"/>
      <c r="B391" s="186" t="str">
        <f>B390</f>
        <v>TFREETH100</v>
      </c>
      <c r="C391" s="186"/>
      <c r="D391" s="187"/>
      <c r="E391" s="186"/>
      <c r="F391" s="170"/>
      <c r="G391" s="189"/>
      <c r="H391" s="170"/>
      <c r="I391" s="190"/>
      <c r="J391" s="191"/>
      <c r="K391" s="191" t="s">
        <v>749</v>
      </c>
      <c r="L391" s="191" t="s">
        <v>1128</v>
      </c>
      <c r="M391" s="191" t="s">
        <v>1175</v>
      </c>
      <c r="N391" s="368">
        <f t="shared" ref="N391:AB391" si="448">N$25</f>
        <v>8.61</v>
      </c>
      <c r="O391" s="368">
        <f t="shared" si="448"/>
        <v>0</v>
      </c>
      <c r="P391" s="368">
        <f t="shared" si="448"/>
        <v>0</v>
      </c>
      <c r="Q391" s="368">
        <f t="shared" si="448"/>
        <v>0</v>
      </c>
      <c r="R391" s="368">
        <f t="shared" si="448"/>
        <v>0</v>
      </c>
      <c r="S391" s="368">
        <f t="shared" si="448"/>
        <v>0</v>
      </c>
      <c r="T391" s="368">
        <f t="shared" si="448"/>
        <v>0</v>
      </c>
      <c r="U391" s="368">
        <f t="shared" si="448"/>
        <v>0</v>
      </c>
      <c r="V391" s="368">
        <f t="shared" si="448"/>
        <v>0</v>
      </c>
      <c r="W391" s="368">
        <f t="shared" si="448"/>
        <v>0</v>
      </c>
      <c r="X391" s="368">
        <f t="shared" si="448"/>
        <v>0</v>
      </c>
      <c r="Y391" s="368">
        <f t="shared" si="448"/>
        <v>0</v>
      </c>
      <c r="Z391" s="368">
        <f t="shared" si="448"/>
        <v>0</v>
      </c>
      <c r="AA391" s="368">
        <f t="shared" si="448"/>
        <v>0</v>
      </c>
      <c r="AB391" s="368">
        <f t="shared" si="448"/>
        <v>0</v>
      </c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  <c r="BL391" s="83"/>
    </row>
    <row r="392" spans="1:64" x14ac:dyDescent="0.25">
      <c r="A392" s="22"/>
      <c r="B392" s="186" t="str">
        <f t="shared" si="447"/>
        <v>TFREETH100</v>
      </c>
      <c r="C392" s="186"/>
      <c r="D392" s="187"/>
      <c r="E392" s="186"/>
      <c r="F392" s="170"/>
      <c r="G392" s="189"/>
      <c r="H392" s="170"/>
      <c r="I392" s="190"/>
      <c r="J392" s="191"/>
      <c r="K392" s="191"/>
      <c r="L392" s="211" t="s">
        <v>1130</v>
      </c>
      <c r="M392" s="191" t="s">
        <v>1131</v>
      </c>
      <c r="N392" s="369">
        <f>LOOKUP($C$388, T_NCAP_AF!$C$185:$C$195, T_NCAP_AF!D$185:D$195)*(1+N344)</f>
        <v>27.266668363999997</v>
      </c>
      <c r="O392" s="369">
        <f>LOOKUP($C$388, T_NCAP_AF!$C$185:$C$195, T_NCAP_AF!E$185:E$195)*(1+O344)</f>
        <v>0</v>
      </c>
      <c r="P392" s="369">
        <f>LOOKUP($C$388, T_NCAP_AF!$C$185:$C$195, T_NCAP_AF!F$185:F$195)*(1+P344)</f>
        <v>0</v>
      </c>
      <c r="Q392" s="369">
        <f>LOOKUP($C$388, T_NCAP_AF!$C$185:$C$195, T_NCAP_AF!G$185:G$195)*(1+Q344)</f>
        <v>0</v>
      </c>
      <c r="R392" s="369">
        <f>LOOKUP($C$388, T_NCAP_AF!$C$185:$C$195, T_NCAP_AF!H$185:H$195)*(1+R344)</f>
        <v>0</v>
      </c>
      <c r="S392" s="369">
        <f>LOOKUP($C$388, T_NCAP_AF!$C$185:$C$195, T_NCAP_AF!I$185:I$195)*(1+S344)</f>
        <v>0</v>
      </c>
      <c r="T392" s="369">
        <f>LOOKUP($C$388, T_NCAP_AF!$C$185:$C$195, T_NCAP_AF!J$185:J$195)*(1+T344)</f>
        <v>0</v>
      </c>
      <c r="U392" s="369">
        <f>LOOKUP($C$388, T_NCAP_AF!$C$185:$C$195, T_NCAP_AF!K$185:K$195)*(1+U344)</f>
        <v>0</v>
      </c>
      <c r="V392" s="369">
        <f>LOOKUP($C$388, T_NCAP_AF!$C$185:$C$195, T_NCAP_AF!L$185:L$195)*(1+V344)</f>
        <v>0</v>
      </c>
      <c r="W392" s="369">
        <f>LOOKUP($C$388, T_NCAP_AF!$C$185:$C$195, T_NCAP_AF!M$185:M$195)*(1+W344)</f>
        <v>0</v>
      </c>
      <c r="X392" s="369">
        <f>LOOKUP($C$388, T_NCAP_AF!$C$185:$C$195, T_NCAP_AF!N$185:N$195)*(1+X344)</f>
        <v>0</v>
      </c>
      <c r="Y392" s="369">
        <f>LOOKUP($C$388, T_NCAP_AF!$C$185:$C$195, T_NCAP_AF!O$185:O$195)*(1+Y344)</f>
        <v>0</v>
      </c>
      <c r="Z392" s="369">
        <f>LOOKUP($C$388, T_NCAP_AF!$C$185:$C$195, T_NCAP_AF!P$185:P$195)*(1+Z344)</f>
        <v>0</v>
      </c>
      <c r="AA392" s="369">
        <f>LOOKUP($C$388, T_NCAP_AF!$C$185:$C$195, T_NCAP_AF!Q$185:Q$195)*(1+AA344)</f>
        <v>0</v>
      </c>
      <c r="AB392" s="369">
        <f>LOOKUP($C$388, T_NCAP_AF!$C$185:$C$195, T_NCAP_AF!R$185:R$195)*(1+AB344)</f>
        <v>0</v>
      </c>
      <c r="AC392" s="83"/>
      <c r="AE392" s="572">
        <f>SUM(AF392:AT392)</f>
        <v>14.085960876842396</v>
      </c>
      <c r="AF392" s="85">
        <f t="shared" ref="AF392:AT392" si="449">N391*N392*N393/1000</f>
        <v>14.085960876842396</v>
      </c>
      <c r="AG392" s="85">
        <f t="shared" si="449"/>
        <v>0</v>
      </c>
      <c r="AH392" s="85">
        <f t="shared" si="449"/>
        <v>0</v>
      </c>
      <c r="AI392" s="85">
        <f t="shared" si="449"/>
        <v>0</v>
      </c>
      <c r="AJ392" s="85">
        <f t="shared" si="449"/>
        <v>0</v>
      </c>
      <c r="AK392" s="85">
        <f t="shared" si="449"/>
        <v>0</v>
      </c>
      <c r="AL392" s="85">
        <f t="shared" si="449"/>
        <v>0</v>
      </c>
      <c r="AM392" s="85">
        <f t="shared" si="449"/>
        <v>0</v>
      </c>
      <c r="AN392" s="85">
        <f t="shared" si="449"/>
        <v>0</v>
      </c>
      <c r="AO392" s="85">
        <f t="shared" si="449"/>
        <v>0</v>
      </c>
      <c r="AP392" s="85">
        <f t="shared" si="449"/>
        <v>0</v>
      </c>
      <c r="AQ392" s="85">
        <f t="shared" si="449"/>
        <v>0</v>
      </c>
      <c r="AR392" s="85">
        <f t="shared" si="449"/>
        <v>0</v>
      </c>
      <c r="AS392" s="85">
        <f t="shared" si="449"/>
        <v>0</v>
      </c>
      <c r="AT392" s="85">
        <f t="shared" si="449"/>
        <v>0</v>
      </c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</row>
    <row r="393" spans="1:64" x14ac:dyDescent="0.25">
      <c r="A393" s="22"/>
      <c r="B393" s="186" t="str">
        <f>B392</f>
        <v>TFREETH100</v>
      </c>
      <c r="C393" s="186"/>
      <c r="D393" s="187"/>
      <c r="E393" s="186"/>
      <c r="F393" s="170"/>
      <c r="G393" s="189"/>
      <c r="H393" s="170"/>
      <c r="I393" s="190">
        <f>$M$3</f>
        <v>2019</v>
      </c>
      <c r="J393" s="191"/>
      <c r="K393" s="191"/>
      <c r="L393" s="211" t="s">
        <v>1065</v>
      </c>
      <c r="M393" s="191" t="s">
        <v>748</v>
      </c>
      <c r="N393" s="694">
        <f>LOOKUP($C$388, T_Stock_Private!$C$122:$C$133,T_Stock_Private!D$122:D$133)*(1+N345)</f>
        <v>60</v>
      </c>
      <c r="O393" s="694">
        <f>LOOKUP($C$388, T_Stock_Private!$C$122:$C$133,T_Stock_Private!E$122:E$133)*(1+O345)</f>
        <v>0</v>
      </c>
      <c r="P393" s="694">
        <f>LOOKUP($C$388, T_Stock_Private!$C$122:$C$133,T_Stock_Private!F$122:F$133)*(1+P345)</f>
        <v>0</v>
      </c>
      <c r="Q393" s="694">
        <f>LOOKUP($C$388, T_Stock_Private!$C$122:$C$133,T_Stock_Private!G$122:G$133)*(1+Q345)</f>
        <v>0</v>
      </c>
      <c r="R393" s="694">
        <f>LOOKUP($C$388, T_Stock_Private!$C$122:$C$133,T_Stock_Private!H$122:H$133)*(1+R345)</f>
        <v>0</v>
      </c>
      <c r="S393" s="694">
        <f>LOOKUP($C$388, T_Stock_Private!$C$122:$C$133,T_Stock_Private!I$122:I$133)*(1+S345)</f>
        <v>0</v>
      </c>
      <c r="T393" s="694">
        <f>LOOKUP($C$388, T_Stock_Private!$C$122:$C$133,T_Stock_Private!J$122:J$133)*(1+T345)</f>
        <v>0</v>
      </c>
      <c r="U393" s="694">
        <f>LOOKUP($C$388, T_Stock_Private!$C$122:$C$133,T_Stock_Private!K$122:K$133)*(1+U345)</f>
        <v>0</v>
      </c>
      <c r="V393" s="694">
        <f>LOOKUP($C$388, T_Stock_Private!$C$122:$C$133,T_Stock_Private!L$122:L$133)*(1+V345)</f>
        <v>0</v>
      </c>
      <c r="W393" s="694">
        <f>LOOKUP($C$388, T_Stock_Private!$C$122:$C$133,T_Stock_Private!M$122:M$133)*(1+W345)</f>
        <v>0</v>
      </c>
      <c r="X393" s="694">
        <f>LOOKUP($C$388, T_Stock_Private!$C$122:$C$133,T_Stock_Private!N$122:N$133)*(1+X345)</f>
        <v>0</v>
      </c>
      <c r="Y393" s="694">
        <f>LOOKUP($C$388, T_Stock_Private!$C$122:$C$133,T_Stock_Private!O$122:O$133)*(1+Y345)</f>
        <v>0</v>
      </c>
      <c r="Z393" s="694">
        <f>LOOKUP($C$388, T_Stock_Private!$C$122:$C$133,T_Stock_Private!P$122:P$133)*(1+Z345)</f>
        <v>0</v>
      </c>
      <c r="AA393" s="694">
        <f>LOOKUP($C$388, T_Stock_Private!$C$122:$C$133,T_Stock_Private!Q$122:Q$133)*(1+AA345)</f>
        <v>0</v>
      </c>
      <c r="AB393" s="694">
        <f>LOOKUP($C$388, T_Stock_Private!$C$122:$C$133,T_Stock_Private!R$122:R$133)*(1+AB345)</f>
        <v>0</v>
      </c>
      <c r="AC393" s="89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  <c r="BL393" s="83"/>
    </row>
    <row r="394" spans="1:64" x14ac:dyDescent="0.25">
      <c r="A394" s="22"/>
      <c r="B394" s="186" t="str">
        <f t="shared" si="447"/>
        <v>TFREETH100</v>
      </c>
      <c r="C394" s="186"/>
      <c r="D394" s="187"/>
      <c r="E394" s="186"/>
      <c r="F394" s="170"/>
      <c r="G394" s="189"/>
      <c r="H394" s="170"/>
      <c r="I394" s="190">
        <f>AF$5</f>
        <v>2020</v>
      </c>
      <c r="J394" s="191"/>
      <c r="K394" s="191"/>
      <c r="L394" s="211" t="s">
        <v>1065</v>
      </c>
      <c r="M394" s="191" t="s">
        <v>748</v>
      </c>
      <c r="N394" s="694">
        <f t="shared" ref="N394:AB394" si="450">N393*LOOKUP($AD388,$AG$4:$AP$4,$AG$5:$AP$5)</f>
        <v>57</v>
      </c>
      <c r="O394" s="694">
        <f t="shared" si="450"/>
        <v>0</v>
      </c>
      <c r="P394" s="694">
        <f t="shared" si="450"/>
        <v>0</v>
      </c>
      <c r="Q394" s="694">
        <f t="shared" si="450"/>
        <v>0</v>
      </c>
      <c r="R394" s="694">
        <f t="shared" si="450"/>
        <v>0</v>
      </c>
      <c r="S394" s="694">
        <f t="shared" si="450"/>
        <v>0</v>
      </c>
      <c r="T394" s="694">
        <f t="shared" si="450"/>
        <v>0</v>
      </c>
      <c r="U394" s="694">
        <f t="shared" si="450"/>
        <v>0</v>
      </c>
      <c r="V394" s="694">
        <f t="shared" si="450"/>
        <v>0</v>
      </c>
      <c r="W394" s="694">
        <f t="shared" si="450"/>
        <v>0</v>
      </c>
      <c r="X394" s="694">
        <f t="shared" si="450"/>
        <v>0</v>
      </c>
      <c r="Y394" s="694">
        <f t="shared" si="450"/>
        <v>0</v>
      </c>
      <c r="Z394" s="694">
        <f t="shared" si="450"/>
        <v>0</v>
      </c>
      <c r="AA394" s="694">
        <f t="shared" si="450"/>
        <v>0</v>
      </c>
      <c r="AB394" s="694">
        <f t="shared" si="450"/>
        <v>0</v>
      </c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  <c r="BL394" s="83"/>
    </row>
    <row r="395" spans="1:64" x14ac:dyDescent="0.25">
      <c r="A395" s="22"/>
      <c r="B395" s="186" t="str">
        <f t="shared" si="447"/>
        <v>TFREETH100</v>
      </c>
      <c r="C395" s="186"/>
      <c r="D395" s="187"/>
      <c r="E395" s="186"/>
      <c r="F395" s="170"/>
      <c r="G395" s="189"/>
      <c r="H395" s="170"/>
      <c r="I395" s="190">
        <f>AF$6</f>
        <v>2025</v>
      </c>
      <c r="J395" s="191"/>
      <c r="K395" s="191"/>
      <c r="L395" s="211" t="s">
        <v>1065</v>
      </c>
      <c r="M395" s="191" t="s">
        <v>748</v>
      </c>
      <c r="N395" s="694">
        <f t="shared" ref="N395:AB395" si="451">N393*LOOKUP($AD388,$AG$4:$AP$4,$AG$6:$AP$6)</f>
        <v>42</v>
      </c>
      <c r="O395" s="694">
        <f t="shared" si="451"/>
        <v>0</v>
      </c>
      <c r="P395" s="694">
        <f t="shared" si="451"/>
        <v>0</v>
      </c>
      <c r="Q395" s="694">
        <f t="shared" si="451"/>
        <v>0</v>
      </c>
      <c r="R395" s="694">
        <f t="shared" si="451"/>
        <v>0</v>
      </c>
      <c r="S395" s="694">
        <f t="shared" si="451"/>
        <v>0</v>
      </c>
      <c r="T395" s="694">
        <f t="shared" si="451"/>
        <v>0</v>
      </c>
      <c r="U395" s="694">
        <f t="shared" si="451"/>
        <v>0</v>
      </c>
      <c r="V395" s="694">
        <f t="shared" si="451"/>
        <v>0</v>
      </c>
      <c r="W395" s="694">
        <f t="shared" si="451"/>
        <v>0</v>
      </c>
      <c r="X395" s="694">
        <f t="shared" si="451"/>
        <v>0</v>
      </c>
      <c r="Y395" s="694">
        <f t="shared" si="451"/>
        <v>0</v>
      </c>
      <c r="Z395" s="694">
        <f t="shared" si="451"/>
        <v>0</v>
      </c>
      <c r="AA395" s="694">
        <f t="shared" si="451"/>
        <v>0</v>
      </c>
      <c r="AB395" s="694">
        <f t="shared" si="451"/>
        <v>0</v>
      </c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  <c r="BL395" s="83"/>
    </row>
    <row r="396" spans="1:64" x14ac:dyDescent="0.25">
      <c r="A396" s="22"/>
      <c r="B396" s="186" t="str">
        <f t="shared" si="447"/>
        <v>TFREETH100</v>
      </c>
      <c r="C396" s="186"/>
      <c r="D396" s="186"/>
      <c r="E396" s="186"/>
      <c r="F396" s="170"/>
      <c r="G396" s="189"/>
      <c r="H396" s="170"/>
      <c r="I396" s="190">
        <f>AF$7</f>
        <v>2030</v>
      </c>
      <c r="J396" s="191"/>
      <c r="K396" s="191"/>
      <c r="L396" s="211" t="s">
        <v>1065</v>
      </c>
      <c r="M396" s="191" t="s">
        <v>748</v>
      </c>
      <c r="N396" s="694">
        <f t="shared" ref="N396:AB396" si="452">N393*LOOKUP($AD388,$AG$4:$AP$4,$AG$7:$AP$7)</f>
        <v>24</v>
      </c>
      <c r="O396" s="694">
        <f t="shared" si="452"/>
        <v>0</v>
      </c>
      <c r="P396" s="694">
        <f t="shared" si="452"/>
        <v>0</v>
      </c>
      <c r="Q396" s="694">
        <f t="shared" si="452"/>
        <v>0</v>
      </c>
      <c r="R396" s="694">
        <f t="shared" si="452"/>
        <v>0</v>
      </c>
      <c r="S396" s="694">
        <f t="shared" si="452"/>
        <v>0</v>
      </c>
      <c r="T396" s="694">
        <f t="shared" si="452"/>
        <v>0</v>
      </c>
      <c r="U396" s="694">
        <f t="shared" si="452"/>
        <v>0</v>
      </c>
      <c r="V396" s="694">
        <f t="shared" si="452"/>
        <v>0</v>
      </c>
      <c r="W396" s="694">
        <f t="shared" si="452"/>
        <v>0</v>
      </c>
      <c r="X396" s="694">
        <f t="shared" si="452"/>
        <v>0</v>
      </c>
      <c r="Y396" s="694">
        <f t="shared" si="452"/>
        <v>0</v>
      </c>
      <c r="Z396" s="694">
        <f t="shared" si="452"/>
        <v>0</v>
      </c>
      <c r="AA396" s="694">
        <f t="shared" si="452"/>
        <v>0</v>
      </c>
      <c r="AB396" s="694">
        <f t="shared" si="452"/>
        <v>0</v>
      </c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  <c r="BL396" s="83"/>
    </row>
    <row r="397" spans="1:64" x14ac:dyDescent="0.25">
      <c r="A397" s="22"/>
      <c r="B397" s="186" t="str">
        <f t="shared" si="447"/>
        <v>TFREETH100</v>
      </c>
      <c r="C397" s="186"/>
      <c r="D397" s="186"/>
      <c r="E397" s="186"/>
      <c r="F397" s="170"/>
      <c r="G397" s="189"/>
      <c r="H397" s="170"/>
      <c r="I397" s="190">
        <f>AF$8</f>
        <v>2035</v>
      </c>
      <c r="J397" s="191"/>
      <c r="K397" s="191"/>
      <c r="L397" s="211" t="s">
        <v>1065</v>
      </c>
      <c r="M397" s="191" t="s">
        <v>748</v>
      </c>
      <c r="N397" s="694">
        <f t="shared" ref="N397:AB397" si="453">N393*LOOKUP($AD388,$AG$4:$AP$4,$AG$8:$AP$8)</f>
        <v>9</v>
      </c>
      <c r="O397" s="694">
        <f t="shared" si="453"/>
        <v>0</v>
      </c>
      <c r="P397" s="694">
        <f t="shared" si="453"/>
        <v>0</v>
      </c>
      <c r="Q397" s="694">
        <f t="shared" si="453"/>
        <v>0</v>
      </c>
      <c r="R397" s="694">
        <f t="shared" si="453"/>
        <v>0</v>
      </c>
      <c r="S397" s="694">
        <f t="shared" si="453"/>
        <v>0</v>
      </c>
      <c r="T397" s="694">
        <f t="shared" si="453"/>
        <v>0</v>
      </c>
      <c r="U397" s="694">
        <f t="shared" si="453"/>
        <v>0</v>
      </c>
      <c r="V397" s="694">
        <f t="shared" si="453"/>
        <v>0</v>
      </c>
      <c r="W397" s="694">
        <f t="shared" si="453"/>
        <v>0</v>
      </c>
      <c r="X397" s="694">
        <f t="shared" si="453"/>
        <v>0</v>
      </c>
      <c r="Y397" s="694">
        <f t="shared" si="453"/>
        <v>0</v>
      </c>
      <c r="Z397" s="694">
        <f t="shared" si="453"/>
        <v>0</v>
      </c>
      <c r="AA397" s="694">
        <f t="shared" si="453"/>
        <v>0</v>
      </c>
      <c r="AB397" s="694">
        <f t="shared" si="453"/>
        <v>0</v>
      </c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  <c r="BL397" s="83"/>
    </row>
    <row r="398" spans="1:64" x14ac:dyDescent="0.25">
      <c r="A398" s="22"/>
      <c r="B398" s="186" t="str">
        <f t="shared" si="447"/>
        <v>TFREETH100</v>
      </c>
      <c r="C398" s="186"/>
      <c r="D398" s="186"/>
      <c r="E398" s="186"/>
      <c r="F398" s="170"/>
      <c r="G398" s="189"/>
      <c r="H398" s="170"/>
      <c r="I398" s="190">
        <f>AF$9</f>
        <v>2040</v>
      </c>
      <c r="J398" s="191"/>
      <c r="K398" s="191"/>
      <c r="L398" s="211" t="s">
        <v>1065</v>
      </c>
      <c r="M398" s="191" t="s">
        <v>748</v>
      </c>
      <c r="N398" s="694">
        <f t="shared" ref="N398:AB398" si="454">N393*LOOKUP($AD388,$AG$4:$AP$4,$AG$9:$AP$9)</f>
        <v>0.3</v>
      </c>
      <c r="O398" s="694">
        <f t="shared" si="454"/>
        <v>0</v>
      </c>
      <c r="P398" s="694">
        <f t="shared" si="454"/>
        <v>0</v>
      </c>
      <c r="Q398" s="694">
        <f t="shared" si="454"/>
        <v>0</v>
      </c>
      <c r="R398" s="694">
        <f t="shared" si="454"/>
        <v>0</v>
      </c>
      <c r="S398" s="694">
        <f t="shared" si="454"/>
        <v>0</v>
      </c>
      <c r="T398" s="694">
        <f t="shared" si="454"/>
        <v>0</v>
      </c>
      <c r="U398" s="694">
        <f t="shared" si="454"/>
        <v>0</v>
      </c>
      <c r="V398" s="694">
        <f t="shared" si="454"/>
        <v>0</v>
      </c>
      <c r="W398" s="694">
        <f t="shared" si="454"/>
        <v>0</v>
      </c>
      <c r="X398" s="694">
        <f t="shared" si="454"/>
        <v>0</v>
      </c>
      <c r="Y398" s="694">
        <f t="shared" si="454"/>
        <v>0</v>
      </c>
      <c r="Z398" s="694">
        <f t="shared" si="454"/>
        <v>0</v>
      </c>
      <c r="AA398" s="694">
        <f t="shared" si="454"/>
        <v>0</v>
      </c>
      <c r="AB398" s="694">
        <f t="shared" si="454"/>
        <v>0</v>
      </c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  <c r="BL398" s="83"/>
    </row>
    <row r="399" spans="1:64" x14ac:dyDescent="0.25">
      <c r="A399" s="22"/>
      <c r="B399" s="193" t="str">
        <f t="shared" si="447"/>
        <v>TFREETH100</v>
      </c>
      <c r="C399" s="193"/>
      <c r="D399" s="193"/>
      <c r="E399" s="193"/>
      <c r="F399" s="196"/>
      <c r="G399" s="195"/>
      <c r="H399" s="196"/>
      <c r="I399" s="197">
        <f>AF$10</f>
        <v>2050</v>
      </c>
      <c r="J399" s="198"/>
      <c r="K399" s="198"/>
      <c r="L399" s="212" t="s">
        <v>1065</v>
      </c>
      <c r="M399" s="198" t="s">
        <v>748</v>
      </c>
      <c r="N399" s="695">
        <f t="shared" ref="N399:AB399" si="455">N393*LOOKUP($AD388,$AG$4:$AP$4,$AG$10:$AP$10)</f>
        <v>0</v>
      </c>
      <c r="O399" s="695">
        <f t="shared" si="455"/>
        <v>0</v>
      </c>
      <c r="P399" s="695">
        <f t="shared" si="455"/>
        <v>0</v>
      </c>
      <c r="Q399" s="695">
        <f t="shared" si="455"/>
        <v>0</v>
      </c>
      <c r="R399" s="695">
        <f t="shared" si="455"/>
        <v>0</v>
      </c>
      <c r="S399" s="695">
        <f t="shared" si="455"/>
        <v>0</v>
      </c>
      <c r="T399" s="695">
        <f t="shared" si="455"/>
        <v>0</v>
      </c>
      <c r="U399" s="695">
        <f t="shared" si="455"/>
        <v>0</v>
      </c>
      <c r="V399" s="695">
        <f t="shared" si="455"/>
        <v>0</v>
      </c>
      <c r="W399" s="695">
        <f t="shared" si="455"/>
        <v>0</v>
      </c>
      <c r="X399" s="695">
        <f t="shared" si="455"/>
        <v>0</v>
      </c>
      <c r="Y399" s="695">
        <f t="shared" si="455"/>
        <v>0</v>
      </c>
      <c r="Z399" s="695">
        <f t="shared" si="455"/>
        <v>0</v>
      </c>
      <c r="AA399" s="695">
        <f t="shared" si="455"/>
        <v>0</v>
      </c>
      <c r="AB399" s="695">
        <f t="shared" si="455"/>
        <v>0</v>
      </c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  <c r="BL399" s="83"/>
    </row>
    <row r="400" spans="1:64" s="83" customFormat="1" x14ac:dyDescent="0.25">
      <c r="A400" s="82"/>
      <c r="B400" s="178" t="str">
        <f>C400</f>
        <v>TFREGAS100</v>
      </c>
      <c r="C400" s="178" t="s">
        <v>373</v>
      </c>
      <c r="D400" s="179" t="s">
        <v>856</v>
      </c>
      <c r="E400" s="407" t="s">
        <v>994</v>
      </c>
      <c r="F400" s="182"/>
      <c r="G400" s="181"/>
      <c r="H400" s="182"/>
      <c r="I400" s="183"/>
      <c r="J400" s="184"/>
      <c r="K400" s="184"/>
      <c r="L400" s="203" t="s">
        <v>1107</v>
      </c>
      <c r="M400" s="184" t="s">
        <v>1125</v>
      </c>
      <c r="N400" s="378">
        <f>N$58</f>
        <v>1E-3</v>
      </c>
      <c r="O400" s="378">
        <f t="shared" ref="O400:AB400" si="456">$N400</f>
        <v>1E-3</v>
      </c>
      <c r="P400" s="378">
        <f t="shared" si="456"/>
        <v>1E-3</v>
      </c>
      <c r="Q400" s="378">
        <f t="shared" si="456"/>
        <v>1E-3</v>
      </c>
      <c r="R400" s="378">
        <f t="shared" si="456"/>
        <v>1E-3</v>
      </c>
      <c r="S400" s="378">
        <f t="shared" si="456"/>
        <v>1E-3</v>
      </c>
      <c r="T400" s="378">
        <f t="shared" si="456"/>
        <v>1E-3</v>
      </c>
      <c r="U400" s="378">
        <f t="shared" si="456"/>
        <v>1E-3</v>
      </c>
      <c r="V400" s="378">
        <f t="shared" si="456"/>
        <v>1E-3</v>
      </c>
      <c r="W400" s="378">
        <f t="shared" si="456"/>
        <v>1E-3</v>
      </c>
      <c r="X400" s="378">
        <f t="shared" si="456"/>
        <v>1E-3</v>
      </c>
      <c r="Y400" s="378">
        <f t="shared" si="456"/>
        <v>1E-3</v>
      </c>
      <c r="Z400" s="378">
        <f t="shared" si="456"/>
        <v>1E-3</v>
      </c>
      <c r="AA400" s="378">
        <f t="shared" si="456"/>
        <v>1E-3</v>
      </c>
      <c r="AB400" s="378">
        <f t="shared" si="456"/>
        <v>1E-3</v>
      </c>
      <c r="AD400" s="402" t="str">
        <f>MID(D400,13,3)</f>
        <v>GAS</v>
      </c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V400" s="700" t="str">
        <f t="shared" ref="AV400" si="457">MID(E400,1,7)</f>
        <v>TRABGS</v>
      </c>
      <c r="AW400" s="568">
        <f t="shared" ref="AW400" si="458">SUM(AX400:BL400)</f>
        <v>161.59572215724347</v>
      </c>
      <c r="AX400" s="721">
        <f>N$405*N$406*(1-N401)/N$403/1000</f>
        <v>161.59572215724347</v>
      </c>
      <c r="AY400" s="721">
        <f t="shared" ref="AY400:BL400" si="459">O$405*O$406*(1-O401)/O$403/1000</f>
        <v>0</v>
      </c>
      <c r="AZ400" s="721">
        <f t="shared" si="459"/>
        <v>0</v>
      </c>
      <c r="BA400" s="721">
        <f t="shared" si="459"/>
        <v>0</v>
      </c>
      <c r="BB400" s="721">
        <f t="shared" si="459"/>
        <v>0</v>
      </c>
      <c r="BC400" s="721">
        <f t="shared" si="459"/>
        <v>0</v>
      </c>
      <c r="BD400" s="721">
        <f t="shared" si="459"/>
        <v>0</v>
      </c>
      <c r="BE400" s="721">
        <f t="shared" si="459"/>
        <v>0</v>
      </c>
      <c r="BF400" s="721">
        <f t="shared" si="459"/>
        <v>0</v>
      </c>
      <c r="BG400" s="721">
        <f t="shared" si="459"/>
        <v>0</v>
      </c>
      <c r="BH400" s="721">
        <f t="shared" si="459"/>
        <v>0</v>
      </c>
      <c r="BI400" s="721">
        <f t="shared" si="459"/>
        <v>0</v>
      </c>
      <c r="BJ400" s="721">
        <f t="shared" si="459"/>
        <v>0</v>
      </c>
      <c r="BK400" s="721">
        <f t="shared" si="459"/>
        <v>0</v>
      </c>
      <c r="BL400" s="721">
        <f t="shared" si="459"/>
        <v>0</v>
      </c>
    </row>
    <row r="401" spans="1:64" x14ac:dyDescent="0.25">
      <c r="A401" s="22"/>
      <c r="B401" s="186" t="str">
        <f>B400</f>
        <v>TFREGAS100</v>
      </c>
      <c r="C401" s="186"/>
      <c r="D401" s="187"/>
      <c r="E401" s="258" t="s">
        <v>1039</v>
      </c>
      <c r="F401" s="170"/>
      <c r="G401" s="188"/>
      <c r="H401" s="170"/>
      <c r="I401" s="190"/>
      <c r="J401" s="191" t="s">
        <v>1157</v>
      </c>
      <c r="K401" s="191"/>
      <c r="L401" s="211" t="s">
        <v>101</v>
      </c>
      <c r="M401" s="191"/>
      <c r="N401" s="377">
        <f t="shared" ref="N401:AB401" si="460">1-N27</f>
        <v>9.9999999999999978E-2</v>
      </c>
      <c r="O401" s="377">
        <f t="shared" si="460"/>
        <v>9.9999999999999978E-2</v>
      </c>
      <c r="P401" s="377">
        <f t="shared" si="460"/>
        <v>9.9999999999999978E-2</v>
      </c>
      <c r="Q401" s="377">
        <f t="shared" si="460"/>
        <v>9.9999999999999978E-2</v>
      </c>
      <c r="R401" s="377">
        <f t="shared" si="460"/>
        <v>9.9999999999999978E-2</v>
      </c>
      <c r="S401" s="377">
        <f t="shared" si="460"/>
        <v>9.9999999999999978E-2</v>
      </c>
      <c r="T401" s="377">
        <f t="shared" si="460"/>
        <v>9.9999999999999978E-2</v>
      </c>
      <c r="U401" s="377">
        <f t="shared" si="460"/>
        <v>9.9999999999999978E-2</v>
      </c>
      <c r="V401" s="377">
        <f t="shared" si="460"/>
        <v>9.9999999999999978E-2</v>
      </c>
      <c r="W401" s="377">
        <f t="shared" si="460"/>
        <v>9.9999999999999978E-2</v>
      </c>
      <c r="X401" s="377">
        <f t="shared" si="460"/>
        <v>9.9999999999999978E-2</v>
      </c>
      <c r="Y401" s="377">
        <f t="shared" si="460"/>
        <v>9.9999999999999978E-2</v>
      </c>
      <c r="Z401" s="377">
        <f t="shared" si="460"/>
        <v>9.9999999999999978E-2</v>
      </c>
      <c r="AA401" s="377">
        <f t="shared" si="460"/>
        <v>9.9999999999999978E-2</v>
      </c>
      <c r="AB401" s="377">
        <f t="shared" si="460"/>
        <v>9.9999999999999978E-2</v>
      </c>
      <c r="AD401" s="66" t="str">
        <f>IF(COUNTIF($AG$4:$AP$4,AD400)=1,"ok","MISSING")</f>
        <v>ok</v>
      </c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V401" s="700" t="str">
        <f t="shared" ref="AV401:AV403" si="461">MID(E401,1,7)</f>
        <v>TRANGS</v>
      </c>
      <c r="AW401" s="568">
        <f t="shared" ref="AW401" si="462">SUM(AX401:BL401)</f>
        <v>17.955080239693714</v>
      </c>
      <c r="AX401" s="721">
        <f>N$405*N$406*N401/N$403/1000</f>
        <v>17.955080239693714</v>
      </c>
      <c r="AY401" s="721">
        <f t="shared" ref="AY401:BL401" si="463">O$405*O$406*O401/O$403/1000</f>
        <v>0</v>
      </c>
      <c r="AZ401" s="721">
        <f t="shared" si="463"/>
        <v>0</v>
      </c>
      <c r="BA401" s="721">
        <f t="shared" si="463"/>
        <v>0</v>
      </c>
      <c r="BB401" s="721">
        <f t="shared" si="463"/>
        <v>0</v>
      </c>
      <c r="BC401" s="721">
        <f t="shared" si="463"/>
        <v>0</v>
      </c>
      <c r="BD401" s="721">
        <f t="shared" si="463"/>
        <v>0</v>
      </c>
      <c r="BE401" s="721">
        <f t="shared" si="463"/>
        <v>0</v>
      </c>
      <c r="BF401" s="721">
        <f t="shared" si="463"/>
        <v>0</v>
      </c>
      <c r="BG401" s="721">
        <f t="shared" si="463"/>
        <v>0</v>
      </c>
      <c r="BH401" s="721">
        <f t="shared" si="463"/>
        <v>0</v>
      </c>
      <c r="BI401" s="721">
        <f t="shared" si="463"/>
        <v>0</v>
      </c>
      <c r="BJ401" s="721">
        <f t="shared" si="463"/>
        <v>0</v>
      </c>
      <c r="BK401" s="721">
        <f t="shared" si="463"/>
        <v>0</v>
      </c>
      <c r="BL401" s="721">
        <f t="shared" si="463"/>
        <v>0</v>
      </c>
    </row>
    <row r="402" spans="1:64" x14ac:dyDescent="0.25">
      <c r="A402" s="22"/>
      <c r="B402" s="186" t="str">
        <f>B401</f>
        <v>TFREGAS100</v>
      </c>
      <c r="C402" s="186"/>
      <c r="D402" s="187"/>
      <c r="E402" s="186"/>
      <c r="F402" s="170"/>
      <c r="G402" s="173" t="s">
        <v>439</v>
      </c>
      <c r="H402" s="170"/>
      <c r="I402" s="190"/>
      <c r="J402" s="191"/>
      <c r="K402" s="191"/>
      <c r="L402" s="191" t="s">
        <v>1126</v>
      </c>
      <c r="M402" s="191" t="s">
        <v>678</v>
      </c>
      <c r="N402" s="377">
        <f>T_CEFF!H210</f>
        <v>5.7140000000000003E-2</v>
      </c>
      <c r="O402" s="377">
        <f>T_CEFF!I210</f>
        <v>5.7140000000000003E-2</v>
      </c>
      <c r="P402" s="377">
        <f>T_CEFF!J210</f>
        <v>5.7140000000000003E-2</v>
      </c>
      <c r="Q402" s="377">
        <f>T_CEFF!K210</f>
        <v>5.7140000000000003E-2</v>
      </c>
      <c r="R402" s="377">
        <f>T_CEFF!L210</f>
        <v>5.7140000000000003E-2</v>
      </c>
      <c r="S402" s="377">
        <f>T_CEFF!M210</f>
        <v>5.7140000000000003E-2</v>
      </c>
      <c r="T402" s="377">
        <f>T_CEFF!N210</f>
        <v>5.7140000000000003E-2</v>
      </c>
      <c r="U402" s="377">
        <f>T_CEFF!O210</f>
        <v>5.7140000000000003E-2</v>
      </c>
      <c r="V402" s="377">
        <f>T_CEFF!P210</f>
        <v>5.7140000000000003E-2</v>
      </c>
      <c r="W402" s="377">
        <f>T_CEFF!Q210</f>
        <v>5.7140000000000003E-2</v>
      </c>
      <c r="X402" s="377">
        <f>T_CEFF!R210</f>
        <v>5.7140000000000003E-2</v>
      </c>
      <c r="Y402" s="377">
        <f>T_CEFF!S210</f>
        <v>5.7140000000000003E-2</v>
      </c>
      <c r="Z402" s="377">
        <f>T_CEFF!T210</f>
        <v>5.7140000000000003E-2</v>
      </c>
      <c r="AA402" s="377">
        <f>T_CEFF!U210</f>
        <v>5.7140000000000003E-2</v>
      </c>
      <c r="AB402" s="377">
        <f>T_CEFF!V210</f>
        <v>5.7140000000000003E-2</v>
      </c>
      <c r="AV402" s="700" t="str">
        <f t="shared" si="461"/>
        <v/>
      </c>
      <c r="AW402" s="568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  <c r="BL402" s="83"/>
    </row>
    <row r="403" spans="1:64" x14ac:dyDescent="0.25">
      <c r="A403" s="22"/>
      <c r="B403" s="186" t="str">
        <f t="shared" ref="B403:B412" si="464">B402</f>
        <v>TFREGAS100</v>
      </c>
      <c r="C403" s="186"/>
      <c r="D403" s="187"/>
      <c r="E403" s="186"/>
      <c r="F403" s="170"/>
      <c r="G403" s="173" t="s">
        <v>437</v>
      </c>
      <c r="H403" s="170"/>
      <c r="I403" s="190"/>
      <c r="J403" s="191"/>
      <c r="K403" s="191"/>
      <c r="L403" s="191" t="s">
        <v>1126</v>
      </c>
      <c r="M403" s="191" t="s">
        <v>678</v>
      </c>
      <c r="N403" s="377">
        <f>T_CEFF!H211</f>
        <v>4.5710000000000001E-2</v>
      </c>
      <c r="O403" s="377">
        <f>T_CEFF!I211</f>
        <v>4.5710000000000001E-2</v>
      </c>
      <c r="P403" s="377">
        <f>T_CEFF!J211</f>
        <v>4.5710000000000001E-2</v>
      </c>
      <c r="Q403" s="377">
        <f>T_CEFF!K211</f>
        <v>4.5710000000000001E-2</v>
      </c>
      <c r="R403" s="377">
        <f>T_CEFF!L211</f>
        <v>4.5710000000000001E-2</v>
      </c>
      <c r="S403" s="377">
        <f>T_CEFF!M211</f>
        <v>4.5710000000000001E-2</v>
      </c>
      <c r="T403" s="377">
        <f>T_CEFF!N211</f>
        <v>4.5710000000000001E-2</v>
      </c>
      <c r="U403" s="377">
        <f>T_CEFF!O211</f>
        <v>4.5710000000000001E-2</v>
      </c>
      <c r="V403" s="377">
        <f>T_CEFF!P211</f>
        <v>4.5710000000000001E-2</v>
      </c>
      <c r="W403" s="377">
        <f>T_CEFF!Q211</f>
        <v>4.5710000000000001E-2</v>
      </c>
      <c r="X403" s="377">
        <f>T_CEFF!R211</f>
        <v>4.5710000000000001E-2</v>
      </c>
      <c r="Y403" s="377">
        <f>T_CEFF!S211</f>
        <v>4.5710000000000001E-2</v>
      </c>
      <c r="Z403" s="377">
        <f>T_CEFF!T211</f>
        <v>4.5710000000000001E-2</v>
      </c>
      <c r="AA403" s="377">
        <f>T_CEFF!U211</f>
        <v>4.5710000000000001E-2</v>
      </c>
      <c r="AB403" s="377">
        <f>T_CEFF!V211</f>
        <v>4.5710000000000001E-2</v>
      </c>
      <c r="AV403" s="700" t="str">
        <f t="shared" si="461"/>
        <v/>
      </c>
      <c r="AW403" s="568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</row>
    <row r="404" spans="1:64" x14ac:dyDescent="0.25">
      <c r="A404" s="22"/>
      <c r="B404" s="186" t="str">
        <f t="shared" si="464"/>
        <v>TFREGAS100</v>
      </c>
      <c r="C404" s="186"/>
      <c r="D404" s="187"/>
      <c r="E404" s="186"/>
      <c r="F404" s="170"/>
      <c r="G404" s="189"/>
      <c r="H404" s="170"/>
      <c r="I404" s="190"/>
      <c r="J404" s="191"/>
      <c r="K404" s="191" t="s">
        <v>749</v>
      </c>
      <c r="L404" s="191" t="s">
        <v>1128</v>
      </c>
      <c r="M404" s="191" t="s">
        <v>1175</v>
      </c>
      <c r="N404" s="368">
        <f t="shared" ref="N404:AB404" si="465">N$25</f>
        <v>8.61</v>
      </c>
      <c r="O404" s="368">
        <f t="shared" si="465"/>
        <v>0</v>
      </c>
      <c r="P404" s="368">
        <f t="shared" si="465"/>
        <v>0</v>
      </c>
      <c r="Q404" s="368">
        <f t="shared" si="465"/>
        <v>0</v>
      </c>
      <c r="R404" s="368">
        <f t="shared" si="465"/>
        <v>0</v>
      </c>
      <c r="S404" s="368">
        <f t="shared" si="465"/>
        <v>0</v>
      </c>
      <c r="T404" s="368">
        <f t="shared" si="465"/>
        <v>0</v>
      </c>
      <c r="U404" s="368">
        <f t="shared" si="465"/>
        <v>0</v>
      </c>
      <c r="V404" s="368">
        <f t="shared" si="465"/>
        <v>0</v>
      </c>
      <c r="W404" s="368">
        <f t="shared" si="465"/>
        <v>0</v>
      </c>
      <c r="X404" s="368">
        <f t="shared" si="465"/>
        <v>0</v>
      </c>
      <c r="Y404" s="368">
        <f t="shared" si="465"/>
        <v>0</v>
      </c>
      <c r="Z404" s="368">
        <f t="shared" si="465"/>
        <v>0</v>
      </c>
      <c r="AA404" s="368">
        <f t="shared" si="465"/>
        <v>0</v>
      </c>
      <c r="AB404" s="368">
        <f t="shared" si="465"/>
        <v>0</v>
      </c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</row>
    <row r="405" spans="1:64" x14ac:dyDescent="0.25">
      <c r="A405" s="22"/>
      <c r="B405" s="186" t="str">
        <f t="shared" si="464"/>
        <v>TFREGAS100</v>
      </c>
      <c r="C405" s="186"/>
      <c r="D405" s="187"/>
      <c r="E405" s="186"/>
      <c r="F405" s="170"/>
      <c r="G405" s="189"/>
      <c r="H405" s="170"/>
      <c r="I405" s="190"/>
      <c r="J405" s="191"/>
      <c r="K405" s="191"/>
      <c r="L405" s="211" t="s">
        <v>1130</v>
      </c>
      <c r="M405" s="191" t="s">
        <v>1131</v>
      </c>
      <c r="N405" s="369">
        <f>LOOKUP($C$400, T_NCAP_AF!$C$185:$C$195, T_NCAP_AF!D$185:D$195)*(1+N344)</f>
        <v>27.266668363999997</v>
      </c>
      <c r="O405" s="369">
        <f>LOOKUP($C$400, T_NCAP_AF!$C$185:$C$195, T_NCAP_AF!E$185:E$195)*(1+O344)</f>
        <v>0</v>
      </c>
      <c r="P405" s="369">
        <f>LOOKUP($C$400, T_NCAP_AF!$C$185:$C$195, T_NCAP_AF!F$185:F$195)*(1+P344)</f>
        <v>0</v>
      </c>
      <c r="Q405" s="369">
        <f>LOOKUP($C$400, T_NCAP_AF!$C$185:$C$195, T_NCAP_AF!G$185:G$195)*(1+Q344)</f>
        <v>0</v>
      </c>
      <c r="R405" s="369">
        <f>LOOKUP($C$400, T_NCAP_AF!$C$185:$C$195, T_NCAP_AF!H$185:H$195)*(1+R344)</f>
        <v>0</v>
      </c>
      <c r="S405" s="369">
        <f>LOOKUP($C$400, T_NCAP_AF!$C$185:$C$195, T_NCAP_AF!I$185:I$195)*(1+S344)</f>
        <v>0</v>
      </c>
      <c r="T405" s="369">
        <f>LOOKUP($C$400, T_NCAP_AF!$C$185:$C$195, T_NCAP_AF!J$185:J$195)*(1+T344)</f>
        <v>0</v>
      </c>
      <c r="U405" s="369">
        <f>LOOKUP($C$400, T_NCAP_AF!$C$185:$C$195, T_NCAP_AF!K$185:K$195)*(1+U344)</f>
        <v>0</v>
      </c>
      <c r="V405" s="369">
        <f>LOOKUP($C$400, T_NCAP_AF!$C$185:$C$195, T_NCAP_AF!L$185:L$195)*(1+V344)</f>
        <v>0</v>
      </c>
      <c r="W405" s="369">
        <f>LOOKUP($C$400, T_NCAP_AF!$C$185:$C$195, T_NCAP_AF!M$185:M$195)*(1+W344)</f>
        <v>0</v>
      </c>
      <c r="X405" s="369">
        <f>LOOKUP($C$400, T_NCAP_AF!$C$185:$C$195, T_NCAP_AF!N$185:N$195)*(1+X344)</f>
        <v>0</v>
      </c>
      <c r="Y405" s="369">
        <f>LOOKUP($C$400, T_NCAP_AF!$C$185:$C$195, T_NCAP_AF!O$185:O$195)*(1+Y344)</f>
        <v>0</v>
      </c>
      <c r="Z405" s="369">
        <f>LOOKUP($C$400, T_NCAP_AF!$C$185:$C$195, T_NCAP_AF!P$185:P$195)*(1+Z344)</f>
        <v>0</v>
      </c>
      <c r="AA405" s="369">
        <f>LOOKUP($C$400, T_NCAP_AF!$C$185:$C$195, T_NCAP_AF!Q$185:Q$195)*(1+AA344)</f>
        <v>0</v>
      </c>
      <c r="AB405" s="369">
        <f>LOOKUP($C$400, T_NCAP_AF!$C$185:$C$195, T_NCAP_AF!R$185:R$195)*(1+AB344)</f>
        <v>0</v>
      </c>
      <c r="AC405" s="83"/>
      <c r="AE405" s="572">
        <f>SUM(AF405:AT405)</f>
        <v>70.664570398826015</v>
      </c>
      <c r="AF405" s="85">
        <f t="shared" ref="AF405:AT405" si="466">N404*N405*N406/1000</f>
        <v>70.664570398826015</v>
      </c>
      <c r="AG405" s="85">
        <f t="shared" si="466"/>
        <v>0</v>
      </c>
      <c r="AH405" s="85">
        <f t="shared" si="466"/>
        <v>0</v>
      </c>
      <c r="AI405" s="85">
        <f t="shared" si="466"/>
        <v>0</v>
      </c>
      <c r="AJ405" s="85">
        <f t="shared" si="466"/>
        <v>0</v>
      </c>
      <c r="AK405" s="85">
        <f t="shared" si="466"/>
        <v>0</v>
      </c>
      <c r="AL405" s="85">
        <f t="shared" si="466"/>
        <v>0</v>
      </c>
      <c r="AM405" s="85">
        <f t="shared" si="466"/>
        <v>0</v>
      </c>
      <c r="AN405" s="85">
        <f t="shared" si="466"/>
        <v>0</v>
      </c>
      <c r="AO405" s="85">
        <f t="shared" si="466"/>
        <v>0</v>
      </c>
      <c r="AP405" s="85">
        <f t="shared" si="466"/>
        <v>0</v>
      </c>
      <c r="AQ405" s="85">
        <f t="shared" si="466"/>
        <v>0</v>
      </c>
      <c r="AR405" s="85">
        <f t="shared" si="466"/>
        <v>0</v>
      </c>
      <c r="AS405" s="85">
        <f t="shared" si="466"/>
        <v>0</v>
      </c>
      <c r="AT405" s="85">
        <f t="shared" si="466"/>
        <v>0</v>
      </c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  <c r="BL405" s="83"/>
    </row>
    <row r="406" spans="1:64" x14ac:dyDescent="0.25">
      <c r="A406" s="22"/>
      <c r="B406" s="186" t="str">
        <f t="shared" si="464"/>
        <v>TFREGAS100</v>
      </c>
      <c r="C406" s="186"/>
      <c r="D406" s="187"/>
      <c r="E406" s="186"/>
      <c r="F406" s="170"/>
      <c r="G406" s="189"/>
      <c r="H406" s="170"/>
      <c r="I406" s="190">
        <f>$M$3</f>
        <v>2019</v>
      </c>
      <c r="J406" s="191"/>
      <c r="K406" s="191"/>
      <c r="L406" s="211" t="s">
        <v>1065</v>
      </c>
      <c r="M406" s="191" t="s">
        <v>748</v>
      </c>
      <c r="N406" s="694">
        <f>LOOKUP($C$400, T_Stock_Private!$C$122:$C$133,T_Stock_Private!D$122:D$133)*(1+N345)</f>
        <v>301</v>
      </c>
      <c r="O406" s="694">
        <f>LOOKUP($C$400, T_Stock_Private!$C$122:$C$133,T_Stock_Private!E$122:E$133)*(1+O345)</f>
        <v>0</v>
      </c>
      <c r="P406" s="694">
        <f>LOOKUP($C$400, T_Stock_Private!$C$122:$C$133,T_Stock_Private!F$122:F$133)*(1+P345)</f>
        <v>0</v>
      </c>
      <c r="Q406" s="694">
        <f>LOOKUP($C$400, T_Stock_Private!$C$122:$C$133,T_Stock_Private!G$122:G$133)*(1+Q345)</f>
        <v>0</v>
      </c>
      <c r="R406" s="694">
        <f>LOOKUP($C$400, T_Stock_Private!$C$122:$C$133,T_Stock_Private!H$122:H$133)*(1+R345)</f>
        <v>0</v>
      </c>
      <c r="S406" s="694">
        <f>LOOKUP($C$400, T_Stock_Private!$C$122:$C$133,T_Stock_Private!I$122:I$133)*(1+S345)</f>
        <v>0</v>
      </c>
      <c r="T406" s="694">
        <f>LOOKUP($C$400, T_Stock_Private!$C$122:$C$133,T_Stock_Private!J$122:J$133)*(1+T345)</f>
        <v>0</v>
      </c>
      <c r="U406" s="694">
        <f>LOOKUP($C$400, T_Stock_Private!$C$122:$C$133,T_Stock_Private!K$122:K$133)*(1+U345)</f>
        <v>0</v>
      </c>
      <c r="V406" s="694">
        <f>LOOKUP($C$400, T_Stock_Private!$C$122:$C$133,T_Stock_Private!L$122:L$133)*(1+V345)</f>
        <v>0</v>
      </c>
      <c r="W406" s="694">
        <f>LOOKUP($C$400, T_Stock_Private!$C$122:$C$133,T_Stock_Private!M$122:M$133)*(1+W345)</f>
        <v>0</v>
      </c>
      <c r="X406" s="694">
        <f>LOOKUP($C$400, T_Stock_Private!$C$122:$C$133,T_Stock_Private!N$122:N$133)*(1+X345)</f>
        <v>0</v>
      </c>
      <c r="Y406" s="694">
        <f>LOOKUP($C$400, T_Stock_Private!$C$122:$C$133,T_Stock_Private!O$122:O$133)*(1+Y345)</f>
        <v>0</v>
      </c>
      <c r="Z406" s="694">
        <f>LOOKUP($C$400, T_Stock_Private!$C$122:$C$133,T_Stock_Private!P$122:P$133)*(1+Z345)</f>
        <v>0</v>
      </c>
      <c r="AA406" s="694">
        <f>LOOKUP($C$400, T_Stock_Private!$C$122:$C$133,T_Stock_Private!Q$122:Q$133)*(1+AA345)</f>
        <v>0</v>
      </c>
      <c r="AB406" s="694">
        <f>LOOKUP($C$400, T_Stock_Private!$C$122:$C$133,T_Stock_Private!R$122:R$133)*(1+AB345)</f>
        <v>0</v>
      </c>
      <c r="AC406" s="89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  <c r="BL406" s="83"/>
    </row>
    <row r="407" spans="1:64" x14ac:dyDescent="0.25">
      <c r="A407" s="22"/>
      <c r="B407" s="186" t="str">
        <f t="shared" si="464"/>
        <v>TFREGAS100</v>
      </c>
      <c r="C407" s="186"/>
      <c r="D407" s="187"/>
      <c r="E407" s="186"/>
      <c r="F407" s="170"/>
      <c r="G407" s="189"/>
      <c r="H407" s="170"/>
      <c r="I407" s="190">
        <f>AF$5</f>
        <v>2020</v>
      </c>
      <c r="J407" s="191"/>
      <c r="K407" s="191"/>
      <c r="L407" s="211" t="s">
        <v>1065</v>
      </c>
      <c r="M407" s="191" t="s">
        <v>748</v>
      </c>
      <c r="N407" s="694">
        <f t="shared" ref="N407:AB407" si="467">N406*LOOKUP($AD400,$AG$4:$AP$4,$AG$5:$AP$5)</f>
        <v>285.95</v>
      </c>
      <c r="O407" s="694">
        <f t="shared" si="467"/>
        <v>0</v>
      </c>
      <c r="P407" s="694">
        <f t="shared" si="467"/>
        <v>0</v>
      </c>
      <c r="Q407" s="694">
        <f t="shared" si="467"/>
        <v>0</v>
      </c>
      <c r="R407" s="694">
        <f t="shared" si="467"/>
        <v>0</v>
      </c>
      <c r="S407" s="694">
        <f t="shared" si="467"/>
        <v>0</v>
      </c>
      <c r="T407" s="694">
        <f t="shared" si="467"/>
        <v>0</v>
      </c>
      <c r="U407" s="694">
        <f t="shared" si="467"/>
        <v>0</v>
      </c>
      <c r="V407" s="694">
        <f t="shared" si="467"/>
        <v>0</v>
      </c>
      <c r="W407" s="694">
        <f t="shared" si="467"/>
        <v>0</v>
      </c>
      <c r="X407" s="694">
        <f t="shared" si="467"/>
        <v>0</v>
      </c>
      <c r="Y407" s="694">
        <f t="shared" si="467"/>
        <v>0</v>
      </c>
      <c r="Z407" s="694">
        <f t="shared" si="467"/>
        <v>0</v>
      </c>
      <c r="AA407" s="694">
        <f t="shared" si="467"/>
        <v>0</v>
      </c>
      <c r="AB407" s="694">
        <f t="shared" si="467"/>
        <v>0</v>
      </c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  <c r="BL407" s="83"/>
    </row>
    <row r="408" spans="1:64" x14ac:dyDescent="0.25">
      <c r="A408" s="22"/>
      <c r="B408" s="186" t="str">
        <f t="shared" si="464"/>
        <v>TFREGAS100</v>
      </c>
      <c r="C408" s="186"/>
      <c r="D408" s="186"/>
      <c r="E408" s="186"/>
      <c r="F408" s="170"/>
      <c r="G408" s="189"/>
      <c r="H408" s="170"/>
      <c r="I408" s="190">
        <f>AF$6</f>
        <v>2025</v>
      </c>
      <c r="J408" s="191"/>
      <c r="K408" s="191"/>
      <c r="L408" s="211" t="s">
        <v>1065</v>
      </c>
      <c r="M408" s="191" t="s">
        <v>748</v>
      </c>
      <c r="N408" s="694">
        <f t="shared" ref="N408:AB408" si="468">N406*LOOKUP($AD400,$AG$4:$AP$4,$AG$6:$AP$6)</f>
        <v>210.7</v>
      </c>
      <c r="O408" s="694">
        <f t="shared" si="468"/>
        <v>0</v>
      </c>
      <c r="P408" s="694">
        <f t="shared" si="468"/>
        <v>0</v>
      </c>
      <c r="Q408" s="694">
        <f t="shared" si="468"/>
        <v>0</v>
      </c>
      <c r="R408" s="694">
        <f t="shared" si="468"/>
        <v>0</v>
      </c>
      <c r="S408" s="694">
        <f t="shared" si="468"/>
        <v>0</v>
      </c>
      <c r="T408" s="694">
        <f t="shared" si="468"/>
        <v>0</v>
      </c>
      <c r="U408" s="694">
        <f t="shared" si="468"/>
        <v>0</v>
      </c>
      <c r="V408" s="694">
        <f t="shared" si="468"/>
        <v>0</v>
      </c>
      <c r="W408" s="694">
        <f t="shared" si="468"/>
        <v>0</v>
      </c>
      <c r="X408" s="694">
        <f t="shared" si="468"/>
        <v>0</v>
      </c>
      <c r="Y408" s="694">
        <f t="shared" si="468"/>
        <v>0</v>
      </c>
      <c r="Z408" s="694">
        <f t="shared" si="468"/>
        <v>0</v>
      </c>
      <c r="AA408" s="694">
        <f t="shared" si="468"/>
        <v>0</v>
      </c>
      <c r="AB408" s="694">
        <f t="shared" si="468"/>
        <v>0</v>
      </c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  <c r="BL408" s="83"/>
    </row>
    <row r="409" spans="1:64" x14ac:dyDescent="0.25">
      <c r="A409" s="22"/>
      <c r="B409" s="186" t="str">
        <f t="shared" si="464"/>
        <v>TFREGAS100</v>
      </c>
      <c r="C409" s="186"/>
      <c r="D409" s="186"/>
      <c r="E409" s="186"/>
      <c r="F409" s="170"/>
      <c r="G409" s="189"/>
      <c r="H409" s="170"/>
      <c r="I409" s="190">
        <f>AF$7</f>
        <v>2030</v>
      </c>
      <c r="J409" s="191"/>
      <c r="K409" s="191"/>
      <c r="L409" s="211" t="s">
        <v>1065</v>
      </c>
      <c r="M409" s="191" t="s">
        <v>748</v>
      </c>
      <c r="N409" s="694">
        <f t="shared" ref="N409:AB409" si="469">N406*LOOKUP($AD400,$AG$4:$AP$4,$AG$7:$AP$7)</f>
        <v>120.4</v>
      </c>
      <c r="O409" s="694">
        <f t="shared" si="469"/>
        <v>0</v>
      </c>
      <c r="P409" s="694">
        <f t="shared" si="469"/>
        <v>0</v>
      </c>
      <c r="Q409" s="694">
        <f t="shared" si="469"/>
        <v>0</v>
      </c>
      <c r="R409" s="694">
        <f t="shared" si="469"/>
        <v>0</v>
      </c>
      <c r="S409" s="694">
        <f t="shared" si="469"/>
        <v>0</v>
      </c>
      <c r="T409" s="694">
        <f t="shared" si="469"/>
        <v>0</v>
      </c>
      <c r="U409" s="694">
        <f t="shared" si="469"/>
        <v>0</v>
      </c>
      <c r="V409" s="694">
        <f t="shared" si="469"/>
        <v>0</v>
      </c>
      <c r="W409" s="694">
        <f t="shared" si="469"/>
        <v>0</v>
      </c>
      <c r="X409" s="694">
        <f t="shared" si="469"/>
        <v>0</v>
      </c>
      <c r="Y409" s="694">
        <f t="shared" si="469"/>
        <v>0</v>
      </c>
      <c r="Z409" s="694">
        <f t="shared" si="469"/>
        <v>0</v>
      </c>
      <c r="AA409" s="694">
        <f t="shared" si="469"/>
        <v>0</v>
      </c>
      <c r="AB409" s="694">
        <f t="shared" si="469"/>
        <v>0</v>
      </c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  <c r="BL409" s="83"/>
    </row>
    <row r="410" spans="1:64" x14ac:dyDescent="0.25">
      <c r="A410" s="22"/>
      <c r="B410" s="186" t="str">
        <f t="shared" si="464"/>
        <v>TFREGAS100</v>
      </c>
      <c r="C410" s="186"/>
      <c r="D410" s="186"/>
      <c r="E410" s="186"/>
      <c r="F410" s="170"/>
      <c r="G410" s="189"/>
      <c r="H410" s="170"/>
      <c r="I410" s="190">
        <f>AF$8</f>
        <v>2035</v>
      </c>
      <c r="J410" s="191"/>
      <c r="K410" s="191"/>
      <c r="L410" s="211" t="s">
        <v>1065</v>
      </c>
      <c r="M410" s="191" t="s">
        <v>748</v>
      </c>
      <c r="N410" s="694">
        <f t="shared" ref="N410:AB410" si="470">N406*LOOKUP($AD400,$AG$4:$AP$4,$AG$8:$AP$8)</f>
        <v>45.15</v>
      </c>
      <c r="O410" s="694">
        <f t="shared" si="470"/>
        <v>0</v>
      </c>
      <c r="P410" s="694">
        <f t="shared" si="470"/>
        <v>0</v>
      </c>
      <c r="Q410" s="694">
        <f t="shared" si="470"/>
        <v>0</v>
      </c>
      <c r="R410" s="694">
        <f t="shared" si="470"/>
        <v>0</v>
      </c>
      <c r="S410" s="694">
        <f t="shared" si="470"/>
        <v>0</v>
      </c>
      <c r="T410" s="694">
        <f t="shared" si="470"/>
        <v>0</v>
      </c>
      <c r="U410" s="694">
        <f t="shared" si="470"/>
        <v>0</v>
      </c>
      <c r="V410" s="694">
        <f t="shared" si="470"/>
        <v>0</v>
      </c>
      <c r="W410" s="694">
        <f t="shared" si="470"/>
        <v>0</v>
      </c>
      <c r="X410" s="694">
        <f t="shared" si="470"/>
        <v>0</v>
      </c>
      <c r="Y410" s="694">
        <f t="shared" si="470"/>
        <v>0</v>
      </c>
      <c r="Z410" s="694">
        <f t="shared" si="470"/>
        <v>0</v>
      </c>
      <c r="AA410" s="694">
        <f t="shared" si="470"/>
        <v>0</v>
      </c>
      <c r="AB410" s="694">
        <f t="shared" si="470"/>
        <v>0</v>
      </c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  <c r="BL410" s="83"/>
    </row>
    <row r="411" spans="1:64" x14ac:dyDescent="0.25">
      <c r="A411" s="22"/>
      <c r="B411" s="186" t="str">
        <f t="shared" si="464"/>
        <v>TFREGAS100</v>
      </c>
      <c r="C411" s="186"/>
      <c r="D411" s="186"/>
      <c r="E411" s="186"/>
      <c r="F411" s="170"/>
      <c r="G411" s="189"/>
      <c r="H411" s="170"/>
      <c r="I411" s="190">
        <f>AF$9</f>
        <v>2040</v>
      </c>
      <c r="J411" s="191"/>
      <c r="K411" s="191"/>
      <c r="L411" s="211" t="s">
        <v>1065</v>
      </c>
      <c r="M411" s="191" t="s">
        <v>748</v>
      </c>
      <c r="N411" s="694">
        <f t="shared" ref="N411:AB411" si="471">N406*LOOKUP($AD400,$AG$4:$AP$4,$AG$9:$AP$9)</f>
        <v>1.5050000000000001</v>
      </c>
      <c r="O411" s="694">
        <f t="shared" si="471"/>
        <v>0</v>
      </c>
      <c r="P411" s="694">
        <f t="shared" si="471"/>
        <v>0</v>
      </c>
      <c r="Q411" s="694">
        <f t="shared" si="471"/>
        <v>0</v>
      </c>
      <c r="R411" s="694">
        <f t="shared" si="471"/>
        <v>0</v>
      </c>
      <c r="S411" s="694">
        <f t="shared" si="471"/>
        <v>0</v>
      </c>
      <c r="T411" s="694">
        <f t="shared" si="471"/>
        <v>0</v>
      </c>
      <c r="U411" s="694">
        <f t="shared" si="471"/>
        <v>0</v>
      </c>
      <c r="V411" s="694">
        <f t="shared" si="471"/>
        <v>0</v>
      </c>
      <c r="W411" s="694">
        <f t="shared" si="471"/>
        <v>0</v>
      </c>
      <c r="X411" s="694">
        <f t="shared" si="471"/>
        <v>0</v>
      </c>
      <c r="Y411" s="694">
        <f t="shared" si="471"/>
        <v>0</v>
      </c>
      <c r="Z411" s="694">
        <f t="shared" si="471"/>
        <v>0</v>
      </c>
      <c r="AA411" s="694">
        <f t="shared" si="471"/>
        <v>0</v>
      </c>
      <c r="AB411" s="694">
        <f t="shared" si="471"/>
        <v>0</v>
      </c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  <c r="BL411" s="83"/>
    </row>
    <row r="412" spans="1:64" x14ac:dyDescent="0.25">
      <c r="A412" s="22"/>
      <c r="B412" s="193" t="str">
        <f t="shared" si="464"/>
        <v>TFREGAS100</v>
      </c>
      <c r="C412" s="193"/>
      <c r="D412" s="193"/>
      <c r="E412" s="193"/>
      <c r="F412" s="196"/>
      <c r="G412" s="195"/>
      <c r="H412" s="196"/>
      <c r="I412" s="197">
        <f>AF$10</f>
        <v>2050</v>
      </c>
      <c r="J412" s="198"/>
      <c r="K412" s="198"/>
      <c r="L412" s="212" t="s">
        <v>1065</v>
      </c>
      <c r="M412" s="198" t="s">
        <v>748</v>
      </c>
      <c r="N412" s="695">
        <f t="shared" ref="N412:AB412" si="472">N406*LOOKUP($AD400,$AG$4:$AP$4,$AG$10:$AP$10)</f>
        <v>0</v>
      </c>
      <c r="O412" s="695">
        <f t="shared" si="472"/>
        <v>0</v>
      </c>
      <c r="P412" s="695">
        <f t="shared" si="472"/>
        <v>0</v>
      </c>
      <c r="Q412" s="695">
        <f t="shared" si="472"/>
        <v>0</v>
      </c>
      <c r="R412" s="695">
        <f t="shared" si="472"/>
        <v>0</v>
      </c>
      <c r="S412" s="695">
        <f t="shared" si="472"/>
        <v>0</v>
      </c>
      <c r="T412" s="695">
        <f t="shared" si="472"/>
        <v>0</v>
      </c>
      <c r="U412" s="695">
        <f t="shared" si="472"/>
        <v>0</v>
      </c>
      <c r="V412" s="695">
        <f t="shared" si="472"/>
        <v>0</v>
      </c>
      <c r="W412" s="695">
        <f t="shared" si="472"/>
        <v>0</v>
      </c>
      <c r="X412" s="695">
        <f t="shared" si="472"/>
        <v>0</v>
      </c>
      <c r="Y412" s="695">
        <f t="shared" si="472"/>
        <v>0</v>
      </c>
      <c r="Z412" s="695">
        <f t="shared" si="472"/>
        <v>0</v>
      </c>
      <c r="AA412" s="695">
        <f t="shared" si="472"/>
        <v>0</v>
      </c>
      <c r="AB412" s="695">
        <f t="shared" si="472"/>
        <v>0</v>
      </c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  <c r="BL412" s="83"/>
    </row>
    <row r="413" spans="1:64" s="83" customFormat="1" x14ac:dyDescent="0.25">
      <c r="A413" s="82"/>
      <c r="B413" s="178" t="str">
        <f>C413</f>
        <v>TFREGSL100</v>
      </c>
      <c r="C413" s="178" t="s">
        <v>374</v>
      </c>
      <c r="D413" s="179" t="s">
        <v>858</v>
      </c>
      <c r="E413" s="407" t="s">
        <v>1014</v>
      </c>
      <c r="F413" s="182"/>
      <c r="G413" s="181"/>
      <c r="H413" s="182"/>
      <c r="I413" s="183"/>
      <c r="J413" s="184"/>
      <c r="K413" s="184"/>
      <c r="L413" s="203" t="s">
        <v>1107</v>
      </c>
      <c r="M413" s="184" t="s">
        <v>1125</v>
      </c>
      <c r="N413" s="378">
        <f>N$58</f>
        <v>1E-3</v>
      </c>
      <c r="O413" s="378">
        <f t="shared" ref="O413:AB413" si="473">$N413</f>
        <v>1E-3</v>
      </c>
      <c r="P413" s="378">
        <f t="shared" si="473"/>
        <v>1E-3</v>
      </c>
      <c r="Q413" s="378">
        <f t="shared" si="473"/>
        <v>1E-3</v>
      </c>
      <c r="R413" s="378">
        <f t="shared" si="473"/>
        <v>1E-3</v>
      </c>
      <c r="S413" s="378">
        <f t="shared" si="473"/>
        <v>1E-3</v>
      </c>
      <c r="T413" s="378">
        <f t="shared" si="473"/>
        <v>1E-3</v>
      </c>
      <c r="U413" s="378">
        <f t="shared" si="473"/>
        <v>1E-3</v>
      </c>
      <c r="V413" s="378">
        <f t="shared" si="473"/>
        <v>1E-3</v>
      </c>
      <c r="W413" s="378">
        <f t="shared" si="473"/>
        <v>1E-3</v>
      </c>
      <c r="X413" s="378">
        <f t="shared" si="473"/>
        <v>1E-3</v>
      </c>
      <c r="Y413" s="378">
        <f t="shared" si="473"/>
        <v>1E-3</v>
      </c>
      <c r="Z413" s="378">
        <f t="shared" si="473"/>
        <v>1E-3</v>
      </c>
      <c r="AA413" s="378">
        <f t="shared" si="473"/>
        <v>1E-3</v>
      </c>
      <c r="AB413" s="378">
        <f t="shared" si="473"/>
        <v>1E-3</v>
      </c>
      <c r="AD413" s="402" t="str">
        <f>MID(D413,13,3)</f>
        <v>GSL</v>
      </c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V413" s="700" t="str">
        <f t="shared" ref="AV413:AV416" si="474">MID(E413,1,7)</f>
        <v>TRAGSL</v>
      </c>
      <c r="AW413" s="568">
        <f t="shared" ref="AW413:AW414" si="475">SUM(AX413:BL413)</f>
        <v>81.145970094053538</v>
      </c>
      <c r="AX413" s="721">
        <f t="shared" ref="AX413:BL413" si="476">N$419*N$420*(1-N414)/N$417/1000</f>
        <v>81.145970094053538</v>
      </c>
      <c r="AY413" s="721">
        <f t="shared" si="476"/>
        <v>0</v>
      </c>
      <c r="AZ413" s="721">
        <f t="shared" si="476"/>
        <v>0</v>
      </c>
      <c r="BA413" s="721">
        <f t="shared" si="476"/>
        <v>0</v>
      </c>
      <c r="BB413" s="721">
        <f t="shared" si="476"/>
        <v>0</v>
      </c>
      <c r="BC413" s="721">
        <f t="shared" si="476"/>
        <v>0</v>
      </c>
      <c r="BD413" s="721">
        <f t="shared" si="476"/>
        <v>0</v>
      </c>
      <c r="BE413" s="721">
        <f t="shared" si="476"/>
        <v>0</v>
      </c>
      <c r="BF413" s="721">
        <f t="shared" si="476"/>
        <v>0</v>
      </c>
      <c r="BG413" s="721">
        <f t="shared" si="476"/>
        <v>0</v>
      </c>
      <c r="BH413" s="721">
        <f t="shared" si="476"/>
        <v>0</v>
      </c>
      <c r="BI413" s="721">
        <f t="shared" si="476"/>
        <v>0</v>
      </c>
      <c r="BJ413" s="721">
        <f t="shared" si="476"/>
        <v>0</v>
      </c>
      <c r="BK413" s="721">
        <f t="shared" si="476"/>
        <v>0</v>
      </c>
      <c r="BL413" s="721">
        <f t="shared" si="476"/>
        <v>0</v>
      </c>
    </row>
    <row r="414" spans="1:64" x14ac:dyDescent="0.25">
      <c r="A414" s="22"/>
      <c r="B414" s="186" t="str">
        <f>B413</f>
        <v>TFREGSL100</v>
      </c>
      <c r="C414" s="186"/>
      <c r="D414" s="187"/>
      <c r="E414" s="407" t="s">
        <v>1012</v>
      </c>
      <c r="F414" s="170"/>
      <c r="G414" s="189"/>
      <c r="H414" s="170"/>
      <c r="I414" s="190"/>
      <c r="J414" s="191" t="s">
        <v>1127</v>
      </c>
      <c r="K414" s="191"/>
      <c r="L414" s="211" t="s">
        <v>101</v>
      </c>
      <c r="M414" s="191"/>
      <c r="N414" s="377">
        <f>N$30</f>
        <v>0.03</v>
      </c>
      <c r="O414" s="377">
        <f t="shared" ref="O414:AB414" si="477">O$30</f>
        <v>0.03</v>
      </c>
      <c r="P414" s="377">
        <f t="shared" si="477"/>
        <v>0.03</v>
      </c>
      <c r="Q414" s="377">
        <f t="shared" si="477"/>
        <v>0.03</v>
      </c>
      <c r="R414" s="377">
        <f t="shared" si="477"/>
        <v>0.03</v>
      </c>
      <c r="S414" s="377">
        <f t="shared" si="477"/>
        <v>0.03</v>
      </c>
      <c r="T414" s="377">
        <f t="shared" si="477"/>
        <v>0.03</v>
      </c>
      <c r="U414" s="377">
        <f t="shared" si="477"/>
        <v>0.03</v>
      </c>
      <c r="V414" s="377">
        <f t="shared" si="477"/>
        <v>0.03</v>
      </c>
      <c r="W414" s="377">
        <f t="shared" si="477"/>
        <v>0.03</v>
      </c>
      <c r="X414" s="377">
        <f t="shared" si="477"/>
        <v>0.03</v>
      </c>
      <c r="Y414" s="377">
        <f t="shared" si="477"/>
        <v>0.03</v>
      </c>
      <c r="Z414" s="377">
        <f t="shared" si="477"/>
        <v>0.03</v>
      </c>
      <c r="AA414" s="377">
        <f t="shared" si="477"/>
        <v>0.03</v>
      </c>
      <c r="AB414" s="377">
        <f t="shared" si="477"/>
        <v>0.03</v>
      </c>
      <c r="AD414" s="66" t="str">
        <f>IF(COUNTIF($AG$4:$AP$4,AD413)=1,"ok","MISSING")</f>
        <v>ok</v>
      </c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V414" s="700" t="str">
        <f t="shared" si="474"/>
        <v>TRAETHM</v>
      </c>
      <c r="AW414" s="568">
        <f t="shared" si="475"/>
        <v>2.5096691781666047</v>
      </c>
      <c r="AX414" s="721">
        <f t="shared" ref="AX414:BL414" si="478">N$419*N$420*N414/N$417/1000</f>
        <v>2.5096691781666047</v>
      </c>
      <c r="AY414" s="721">
        <f t="shared" si="478"/>
        <v>0</v>
      </c>
      <c r="AZ414" s="721">
        <f t="shared" si="478"/>
        <v>0</v>
      </c>
      <c r="BA414" s="721">
        <f t="shared" si="478"/>
        <v>0</v>
      </c>
      <c r="BB414" s="721">
        <f t="shared" si="478"/>
        <v>0</v>
      </c>
      <c r="BC414" s="721">
        <f t="shared" si="478"/>
        <v>0</v>
      </c>
      <c r="BD414" s="721">
        <f t="shared" si="478"/>
        <v>0</v>
      </c>
      <c r="BE414" s="721">
        <f t="shared" si="478"/>
        <v>0</v>
      </c>
      <c r="BF414" s="721">
        <f t="shared" si="478"/>
        <v>0</v>
      </c>
      <c r="BG414" s="721">
        <f t="shared" si="478"/>
        <v>0</v>
      </c>
      <c r="BH414" s="721">
        <f t="shared" si="478"/>
        <v>0</v>
      </c>
      <c r="BI414" s="721">
        <f t="shared" si="478"/>
        <v>0</v>
      </c>
      <c r="BJ414" s="721">
        <f t="shared" si="478"/>
        <v>0</v>
      </c>
      <c r="BK414" s="721">
        <f t="shared" si="478"/>
        <v>0</v>
      </c>
      <c r="BL414" s="721">
        <f t="shared" si="478"/>
        <v>0</v>
      </c>
    </row>
    <row r="415" spans="1:64" x14ac:dyDescent="0.25">
      <c r="A415" s="22"/>
      <c r="B415" s="186" t="str">
        <f t="shared" ref="B415:B426" si="479">B414</f>
        <v>TFREGSL100</v>
      </c>
      <c r="C415" s="186"/>
      <c r="D415" s="187"/>
      <c r="E415" s="407" t="s">
        <v>996</v>
      </c>
      <c r="F415" s="170"/>
      <c r="G415" s="189"/>
      <c r="H415" s="170"/>
      <c r="I415" s="190"/>
      <c r="J415" s="191" t="s">
        <v>1157</v>
      </c>
      <c r="K415" s="191"/>
      <c r="L415" s="211" t="s">
        <v>101</v>
      </c>
      <c r="M415" s="191"/>
      <c r="N415" s="377">
        <f>N$31</f>
        <v>0</v>
      </c>
      <c r="O415" s="377">
        <f t="shared" ref="O415:AB415" si="480">O$31</f>
        <v>0</v>
      </c>
      <c r="P415" s="377">
        <f t="shared" si="480"/>
        <v>0</v>
      </c>
      <c r="Q415" s="377">
        <f t="shared" si="480"/>
        <v>0</v>
      </c>
      <c r="R415" s="377">
        <f t="shared" si="480"/>
        <v>0</v>
      </c>
      <c r="S415" s="377">
        <f t="shared" si="480"/>
        <v>0</v>
      </c>
      <c r="T415" s="377">
        <f t="shared" si="480"/>
        <v>0</v>
      </c>
      <c r="U415" s="377">
        <f t="shared" si="480"/>
        <v>0</v>
      </c>
      <c r="V415" s="377">
        <f t="shared" si="480"/>
        <v>0</v>
      </c>
      <c r="W415" s="377">
        <f t="shared" si="480"/>
        <v>0</v>
      </c>
      <c r="X415" s="377">
        <f t="shared" si="480"/>
        <v>0</v>
      </c>
      <c r="Y415" s="377">
        <f t="shared" si="480"/>
        <v>0</v>
      </c>
      <c r="Z415" s="377">
        <f t="shared" si="480"/>
        <v>0</v>
      </c>
      <c r="AA415" s="377">
        <f t="shared" si="480"/>
        <v>0</v>
      </c>
      <c r="AB415" s="377">
        <f t="shared" si="480"/>
        <v>0</v>
      </c>
      <c r="AD415" s="66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V415" s="700"/>
      <c r="AW415" s="568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21"/>
      <c r="BL415" s="721"/>
    </row>
    <row r="416" spans="1:64" x14ac:dyDescent="0.25">
      <c r="A416" s="22"/>
      <c r="B416" s="186" t="str">
        <f t="shared" si="479"/>
        <v>TFREGSL100</v>
      </c>
      <c r="C416" s="186"/>
      <c r="D416" s="187"/>
      <c r="E416" s="186"/>
      <c r="F416" s="170"/>
      <c r="G416" s="173" t="s">
        <v>439</v>
      </c>
      <c r="H416" s="170"/>
      <c r="I416" s="190"/>
      <c r="J416" s="191"/>
      <c r="K416" s="191"/>
      <c r="L416" s="191" t="s">
        <v>1126</v>
      </c>
      <c r="M416" s="191" t="s">
        <v>678</v>
      </c>
      <c r="N416" s="377">
        <f>T_CEFF!H212</f>
        <v>6.7229999999999998E-2</v>
      </c>
      <c r="O416" s="377">
        <f>T_CEFF!I212</f>
        <v>6.7229999999999998E-2</v>
      </c>
      <c r="P416" s="377">
        <f>T_CEFF!J212</f>
        <v>6.7229999999999998E-2</v>
      </c>
      <c r="Q416" s="377">
        <f>T_CEFF!K212</f>
        <v>6.7229999999999998E-2</v>
      </c>
      <c r="R416" s="377">
        <f>T_CEFF!L212</f>
        <v>6.7229999999999998E-2</v>
      </c>
      <c r="S416" s="377">
        <f>T_CEFF!M212</f>
        <v>6.7229999999999998E-2</v>
      </c>
      <c r="T416" s="377">
        <f>T_CEFF!N212</f>
        <v>6.7229999999999998E-2</v>
      </c>
      <c r="U416" s="377">
        <f>T_CEFF!O212</f>
        <v>6.7229999999999998E-2</v>
      </c>
      <c r="V416" s="377">
        <f>T_CEFF!P212</f>
        <v>6.7229999999999998E-2</v>
      </c>
      <c r="W416" s="377">
        <f>T_CEFF!Q212</f>
        <v>6.7229999999999998E-2</v>
      </c>
      <c r="X416" s="377">
        <f>T_CEFF!R212</f>
        <v>6.7229999999999998E-2</v>
      </c>
      <c r="Y416" s="377">
        <f>T_CEFF!S212</f>
        <v>6.7229999999999998E-2</v>
      </c>
      <c r="Z416" s="377">
        <f>T_CEFF!T212</f>
        <v>6.7229999999999998E-2</v>
      </c>
      <c r="AA416" s="377">
        <f>T_CEFF!U212</f>
        <v>6.7229999999999998E-2</v>
      </c>
      <c r="AB416" s="377">
        <f>T_CEFF!V212</f>
        <v>6.7229999999999998E-2</v>
      </c>
      <c r="AV416" s="700" t="str">
        <f t="shared" si="474"/>
        <v/>
      </c>
      <c r="AW416" s="568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  <c r="BL416" s="83"/>
    </row>
    <row r="417" spans="1:64" x14ac:dyDescent="0.25">
      <c r="A417" s="22"/>
      <c r="B417" s="186" t="str">
        <f t="shared" si="479"/>
        <v>TFREGSL100</v>
      </c>
      <c r="C417" s="186"/>
      <c r="D417" s="187"/>
      <c r="E417" s="186"/>
      <c r="F417" s="170"/>
      <c r="G417" s="173" t="s">
        <v>437</v>
      </c>
      <c r="H417" s="170"/>
      <c r="I417" s="190"/>
      <c r="J417" s="191"/>
      <c r="K417" s="191"/>
      <c r="L417" s="191" t="s">
        <v>1126</v>
      </c>
      <c r="M417" s="191" t="s">
        <v>678</v>
      </c>
      <c r="N417" s="377">
        <f>T_CEFF!H213</f>
        <v>5.3780000000000001E-2</v>
      </c>
      <c r="O417" s="377">
        <f>T_CEFF!I213</f>
        <v>5.3780000000000001E-2</v>
      </c>
      <c r="P417" s="377">
        <f>T_CEFF!J213</f>
        <v>5.3780000000000001E-2</v>
      </c>
      <c r="Q417" s="377">
        <f>T_CEFF!K213</f>
        <v>5.3780000000000001E-2</v>
      </c>
      <c r="R417" s="377">
        <f>T_CEFF!L213</f>
        <v>5.3780000000000001E-2</v>
      </c>
      <c r="S417" s="377">
        <f>T_CEFF!M213</f>
        <v>5.3780000000000001E-2</v>
      </c>
      <c r="T417" s="377">
        <f>T_CEFF!N213</f>
        <v>5.3780000000000001E-2</v>
      </c>
      <c r="U417" s="377">
        <f>T_CEFF!O213</f>
        <v>5.3780000000000001E-2</v>
      </c>
      <c r="V417" s="377">
        <f>T_CEFF!P213</f>
        <v>5.3780000000000001E-2</v>
      </c>
      <c r="W417" s="377">
        <f>T_CEFF!Q213</f>
        <v>5.3780000000000001E-2</v>
      </c>
      <c r="X417" s="377">
        <f>T_CEFF!R213</f>
        <v>5.3780000000000001E-2</v>
      </c>
      <c r="Y417" s="377">
        <f>T_CEFF!S213</f>
        <v>5.3780000000000001E-2</v>
      </c>
      <c r="Z417" s="377">
        <f>T_CEFF!T213</f>
        <v>5.3780000000000001E-2</v>
      </c>
      <c r="AA417" s="377">
        <f>T_CEFF!U213</f>
        <v>5.3780000000000001E-2</v>
      </c>
      <c r="AB417" s="377">
        <f>T_CEFF!V213</f>
        <v>5.3780000000000001E-2</v>
      </c>
      <c r="AV417" s="700" t="str">
        <f t="shared" ref="AV417:AV418" si="481">MID(E417,1,7)</f>
        <v/>
      </c>
      <c r="AW417" s="568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  <c r="BL417" s="83"/>
    </row>
    <row r="418" spans="1:64" x14ac:dyDescent="0.25">
      <c r="A418" s="22"/>
      <c r="B418" s="186" t="str">
        <f t="shared" si="479"/>
        <v>TFREGSL100</v>
      </c>
      <c r="C418" s="186"/>
      <c r="D418" s="187"/>
      <c r="E418" s="186"/>
      <c r="F418" s="170"/>
      <c r="G418" s="189"/>
      <c r="H418" s="170"/>
      <c r="I418" s="190"/>
      <c r="J418" s="191"/>
      <c r="K418" s="191" t="s">
        <v>749</v>
      </c>
      <c r="L418" s="191" t="s">
        <v>1128</v>
      </c>
      <c r="M418" s="191" t="s">
        <v>1175</v>
      </c>
      <c r="N418" s="368">
        <f t="shared" ref="N418:AB418" si="482">N$25</f>
        <v>8.61</v>
      </c>
      <c r="O418" s="368">
        <f t="shared" si="482"/>
        <v>0</v>
      </c>
      <c r="P418" s="368">
        <f t="shared" si="482"/>
        <v>0</v>
      </c>
      <c r="Q418" s="368">
        <f t="shared" si="482"/>
        <v>0</v>
      </c>
      <c r="R418" s="368">
        <f t="shared" si="482"/>
        <v>0</v>
      </c>
      <c r="S418" s="368">
        <f t="shared" si="482"/>
        <v>0</v>
      </c>
      <c r="T418" s="368">
        <f t="shared" si="482"/>
        <v>0</v>
      </c>
      <c r="U418" s="368">
        <f t="shared" si="482"/>
        <v>0</v>
      </c>
      <c r="V418" s="368">
        <f t="shared" si="482"/>
        <v>0</v>
      </c>
      <c r="W418" s="368">
        <f t="shared" si="482"/>
        <v>0</v>
      </c>
      <c r="X418" s="368">
        <f t="shared" si="482"/>
        <v>0</v>
      </c>
      <c r="Y418" s="368">
        <f t="shared" si="482"/>
        <v>0</v>
      </c>
      <c r="Z418" s="368">
        <f t="shared" si="482"/>
        <v>0</v>
      </c>
      <c r="AA418" s="368">
        <f t="shared" si="482"/>
        <v>0</v>
      </c>
      <c r="AB418" s="368">
        <f t="shared" si="482"/>
        <v>0</v>
      </c>
      <c r="AV418" s="700" t="str">
        <f t="shared" si="481"/>
        <v/>
      </c>
      <c r="AW418" s="568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  <c r="BL418" s="83"/>
    </row>
    <row r="419" spans="1:64" x14ac:dyDescent="0.25">
      <c r="A419" s="22"/>
      <c r="B419" s="186" t="str">
        <f t="shared" si="479"/>
        <v>TFREGSL100</v>
      </c>
      <c r="C419" s="186"/>
      <c r="D419" s="187"/>
      <c r="E419" s="186"/>
      <c r="F419" s="170"/>
      <c r="G419" s="189"/>
      <c r="H419" s="170"/>
      <c r="I419" s="190"/>
      <c r="J419" s="191"/>
      <c r="K419" s="191"/>
      <c r="L419" s="211" t="s">
        <v>1130</v>
      </c>
      <c r="M419" s="191" t="s">
        <v>1131</v>
      </c>
      <c r="N419" s="369">
        <f>LOOKUP($C$413, T_NCAP_AF!$C$185:$C$195, T_NCAP_AF!D$185:D$195)*(1+N344)</f>
        <v>27.266668363999997</v>
      </c>
      <c r="O419" s="369">
        <f>LOOKUP($C$413, T_NCAP_AF!$C$185:$C$195, T_NCAP_AF!E$185:E$195)*(1+O344)</f>
        <v>0</v>
      </c>
      <c r="P419" s="369">
        <f>LOOKUP($C$413, T_NCAP_AF!$C$185:$C$195, T_NCAP_AF!F$185:F$195)*(1+P344)</f>
        <v>0</v>
      </c>
      <c r="Q419" s="369">
        <f>LOOKUP($C$413, T_NCAP_AF!$C$185:$C$195, T_NCAP_AF!G$185:G$195)*(1+Q344)</f>
        <v>0</v>
      </c>
      <c r="R419" s="369">
        <f>LOOKUP($C$413, T_NCAP_AF!$C$185:$C$195, T_NCAP_AF!H$185:H$195)*(1+R344)</f>
        <v>0</v>
      </c>
      <c r="S419" s="369">
        <f>LOOKUP($C$413, T_NCAP_AF!$C$185:$C$195, T_NCAP_AF!I$185:I$195)*(1+S344)</f>
        <v>0</v>
      </c>
      <c r="T419" s="369">
        <f>LOOKUP($C$413, T_NCAP_AF!$C$185:$C$195, T_NCAP_AF!J$185:J$195)*(1+T344)</f>
        <v>0</v>
      </c>
      <c r="U419" s="369">
        <f>LOOKUP($C$413, T_NCAP_AF!$C$185:$C$195, T_NCAP_AF!K$185:K$195)*(1+U344)</f>
        <v>0</v>
      </c>
      <c r="V419" s="369">
        <f>LOOKUP($C$413, T_NCAP_AF!$C$185:$C$195, T_NCAP_AF!L$185:L$195)*(1+V344)</f>
        <v>0</v>
      </c>
      <c r="W419" s="369">
        <f>LOOKUP($C$413, T_NCAP_AF!$C$185:$C$195, T_NCAP_AF!M$185:M$195)*(1+W344)</f>
        <v>0</v>
      </c>
      <c r="X419" s="369">
        <f>LOOKUP($C$413, T_NCAP_AF!$C$185:$C$195, T_NCAP_AF!N$185:N$195)*(1+X344)</f>
        <v>0</v>
      </c>
      <c r="Y419" s="369">
        <f>LOOKUP($C$413, T_NCAP_AF!$C$185:$C$195, T_NCAP_AF!O$185:O$195)*(1+Y344)</f>
        <v>0</v>
      </c>
      <c r="Z419" s="369">
        <f>LOOKUP($C$413, T_NCAP_AF!$C$185:$C$195, T_NCAP_AF!P$185:P$195)*(1+Z344)</f>
        <v>0</v>
      </c>
      <c r="AA419" s="369">
        <f>LOOKUP($C$413, T_NCAP_AF!$C$185:$C$195, T_NCAP_AF!Q$185:Q$195)*(1+AA344)</f>
        <v>0</v>
      </c>
      <c r="AB419" s="369">
        <f>LOOKUP($C$413, T_NCAP_AF!$C$185:$C$195, T_NCAP_AF!R$185:R$195)*(1+AB344)</f>
        <v>0</v>
      </c>
      <c r="AC419" s="83"/>
      <c r="AE419" s="572">
        <f>SUM(AF419:AT419)</f>
        <v>38.736392411316594</v>
      </c>
      <c r="AF419" s="85">
        <f t="shared" ref="AF419:AT419" si="483">N418*N419*N420/1000</f>
        <v>38.736392411316594</v>
      </c>
      <c r="AG419" s="85">
        <f t="shared" si="483"/>
        <v>0</v>
      </c>
      <c r="AH419" s="85">
        <f t="shared" si="483"/>
        <v>0</v>
      </c>
      <c r="AI419" s="85">
        <f t="shared" si="483"/>
        <v>0</v>
      </c>
      <c r="AJ419" s="85">
        <f t="shared" si="483"/>
        <v>0</v>
      </c>
      <c r="AK419" s="85">
        <f t="shared" si="483"/>
        <v>0</v>
      </c>
      <c r="AL419" s="85">
        <f t="shared" si="483"/>
        <v>0</v>
      </c>
      <c r="AM419" s="85">
        <f t="shared" si="483"/>
        <v>0</v>
      </c>
      <c r="AN419" s="85">
        <f t="shared" si="483"/>
        <v>0</v>
      </c>
      <c r="AO419" s="85">
        <f t="shared" si="483"/>
        <v>0</v>
      </c>
      <c r="AP419" s="85">
        <f t="shared" si="483"/>
        <v>0</v>
      </c>
      <c r="AQ419" s="85">
        <f t="shared" si="483"/>
        <v>0</v>
      </c>
      <c r="AR419" s="85">
        <f t="shared" si="483"/>
        <v>0</v>
      </c>
      <c r="AS419" s="85">
        <f t="shared" si="483"/>
        <v>0</v>
      </c>
      <c r="AT419" s="85">
        <f t="shared" si="483"/>
        <v>0</v>
      </c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  <c r="BL419" s="83"/>
    </row>
    <row r="420" spans="1:64" x14ac:dyDescent="0.25">
      <c r="A420" s="22"/>
      <c r="B420" s="186" t="str">
        <f t="shared" si="479"/>
        <v>TFREGSL100</v>
      </c>
      <c r="C420" s="186"/>
      <c r="D420" s="187"/>
      <c r="E420" s="186"/>
      <c r="F420" s="170"/>
      <c r="G420" s="189"/>
      <c r="H420" s="170"/>
      <c r="I420" s="190">
        <f>$M$3</f>
        <v>2019</v>
      </c>
      <c r="J420" s="191"/>
      <c r="K420" s="191"/>
      <c r="L420" s="211" t="s">
        <v>1065</v>
      </c>
      <c r="M420" s="191" t="s">
        <v>748</v>
      </c>
      <c r="N420" s="694">
        <f>LOOKUP($C$413, T_Stock_Private!$C$122:$C$133,T_Stock_Private!D$122:D$133)*(1+N345)</f>
        <v>165</v>
      </c>
      <c r="O420" s="694">
        <f>LOOKUP($C$413, T_Stock_Private!$C$122:$C$133,T_Stock_Private!E$122:E$133)*(1+O345)</f>
        <v>0</v>
      </c>
      <c r="P420" s="694">
        <f>LOOKUP($C$413, T_Stock_Private!$C$122:$C$133,T_Stock_Private!F$122:F$133)*(1+P345)</f>
        <v>0</v>
      </c>
      <c r="Q420" s="694">
        <f>LOOKUP($C$413, T_Stock_Private!$C$122:$C$133,T_Stock_Private!G$122:G$133)*(1+Q345)</f>
        <v>0</v>
      </c>
      <c r="R420" s="694">
        <f>LOOKUP($C$413, T_Stock_Private!$C$122:$C$133,T_Stock_Private!H$122:H$133)*(1+R345)</f>
        <v>0</v>
      </c>
      <c r="S420" s="694">
        <f>LOOKUP($C$413, T_Stock_Private!$C$122:$C$133,T_Stock_Private!I$122:I$133)*(1+S345)</f>
        <v>0</v>
      </c>
      <c r="T420" s="694">
        <f>LOOKUP($C$413, T_Stock_Private!$C$122:$C$133,T_Stock_Private!J$122:J$133)*(1+T345)</f>
        <v>0</v>
      </c>
      <c r="U420" s="694">
        <f>LOOKUP($C$413, T_Stock_Private!$C$122:$C$133,T_Stock_Private!K$122:K$133)*(1+U345)</f>
        <v>0</v>
      </c>
      <c r="V420" s="694">
        <f>LOOKUP($C$413, T_Stock_Private!$C$122:$C$133,T_Stock_Private!L$122:L$133)*(1+V345)</f>
        <v>0</v>
      </c>
      <c r="W420" s="694">
        <f>LOOKUP($C$413, T_Stock_Private!$C$122:$C$133,T_Stock_Private!M$122:M$133)*(1+W345)</f>
        <v>0</v>
      </c>
      <c r="X420" s="694">
        <f>LOOKUP($C$413, T_Stock_Private!$C$122:$C$133,T_Stock_Private!N$122:N$133)*(1+X345)</f>
        <v>0</v>
      </c>
      <c r="Y420" s="694">
        <f>LOOKUP($C$413, T_Stock_Private!$C$122:$C$133,T_Stock_Private!O$122:O$133)*(1+Y345)</f>
        <v>0</v>
      </c>
      <c r="Z420" s="694">
        <f>LOOKUP($C$413, T_Stock_Private!$C$122:$C$133,T_Stock_Private!P$122:P$133)*(1+Z345)</f>
        <v>0</v>
      </c>
      <c r="AA420" s="694">
        <f>LOOKUP($C$413, T_Stock_Private!$C$122:$C$133,T_Stock_Private!Q$122:Q$133)*(1+AA345)</f>
        <v>0</v>
      </c>
      <c r="AB420" s="694">
        <f>LOOKUP($C$413, T_Stock_Private!$C$122:$C$133,T_Stock_Private!R$122:R$133)*(1+AB345)</f>
        <v>0</v>
      </c>
      <c r="AC420" s="89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  <c r="BL420" s="83"/>
    </row>
    <row r="421" spans="1:64" x14ac:dyDescent="0.25">
      <c r="A421" s="22"/>
      <c r="B421" s="186" t="str">
        <f t="shared" si="479"/>
        <v>TFREGSL100</v>
      </c>
      <c r="C421" s="186"/>
      <c r="D421" s="186"/>
      <c r="E421" s="186"/>
      <c r="F421" s="170"/>
      <c r="G421" s="189"/>
      <c r="H421" s="170"/>
      <c r="I421" s="190">
        <f>AF$5</f>
        <v>2020</v>
      </c>
      <c r="J421" s="191"/>
      <c r="K421" s="191"/>
      <c r="L421" s="211" t="s">
        <v>1065</v>
      </c>
      <c r="M421" s="191" t="s">
        <v>748</v>
      </c>
      <c r="N421" s="694">
        <f t="shared" ref="N421:AB421" si="484">N420*LOOKUP($AD413,$AG$4:$AP$4,$AG$5:$AP$5)</f>
        <v>156.75</v>
      </c>
      <c r="O421" s="694">
        <f t="shared" si="484"/>
        <v>0</v>
      </c>
      <c r="P421" s="694">
        <f t="shared" si="484"/>
        <v>0</v>
      </c>
      <c r="Q421" s="694">
        <f t="shared" si="484"/>
        <v>0</v>
      </c>
      <c r="R421" s="694">
        <f t="shared" si="484"/>
        <v>0</v>
      </c>
      <c r="S421" s="694">
        <f t="shared" si="484"/>
        <v>0</v>
      </c>
      <c r="T421" s="694">
        <f t="shared" si="484"/>
        <v>0</v>
      </c>
      <c r="U421" s="694">
        <f t="shared" si="484"/>
        <v>0</v>
      </c>
      <c r="V421" s="694">
        <f t="shared" si="484"/>
        <v>0</v>
      </c>
      <c r="W421" s="694">
        <f t="shared" si="484"/>
        <v>0</v>
      </c>
      <c r="X421" s="694">
        <f t="shared" si="484"/>
        <v>0</v>
      </c>
      <c r="Y421" s="694">
        <f t="shared" si="484"/>
        <v>0</v>
      </c>
      <c r="Z421" s="694">
        <f t="shared" si="484"/>
        <v>0</v>
      </c>
      <c r="AA421" s="694">
        <f t="shared" si="484"/>
        <v>0</v>
      </c>
      <c r="AB421" s="694">
        <f t="shared" si="484"/>
        <v>0</v>
      </c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  <c r="BL421" s="83"/>
    </row>
    <row r="422" spans="1:64" x14ac:dyDescent="0.25">
      <c r="A422" s="22"/>
      <c r="B422" s="186" t="str">
        <f t="shared" si="479"/>
        <v>TFREGSL100</v>
      </c>
      <c r="C422" s="186"/>
      <c r="D422" s="186"/>
      <c r="E422" s="186"/>
      <c r="F422" s="170"/>
      <c r="G422" s="189"/>
      <c r="H422" s="170"/>
      <c r="I422" s="190">
        <f>AF$6</f>
        <v>2025</v>
      </c>
      <c r="J422" s="191"/>
      <c r="K422" s="191"/>
      <c r="L422" s="211" t="s">
        <v>1065</v>
      </c>
      <c r="M422" s="191" t="s">
        <v>748</v>
      </c>
      <c r="N422" s="694">
        <f t="shared" ref="N422:AB422" si="485">N420*LOOKUP($AD413,$AG$4:$AP$4,$AG$6:$AP$6)</f>
        <v>115.49999999999999</v>
      </c>
      <c r="O422" s="694">
        <f t="shared" si="485"/>
        <v>0</v>
      </c>
      <c r="P422" s="694">
        <f t="shared" si="485"/>
        <v>0</v>
      </c>
      <c r="Q422" s="694">
        <f t="shared" si="485"/>
        <v>0</v>
      </c>
      <c r="R422" s="694">
        <f t="shared" si="485"/>
        <v>0</v>
      </c>
      <c r="S422" s="694">
        <f t="shared" si="485"/>
        <v>0</v>
      </c>
      <c r="T422" s="694">
        <f t="shared" si="485"/>
        <v>0</v>
      </c>
      <c r="U422" s="694">
        <f t="shared" si="485"/>
        <v>0</v>
      </c>
      <c r="V422" s="694">
        <f t="shared" si="485"/>
        <v>0</v>
      </c>
      <c r="W422" s="694">
        <f t="shared" si="485"/>
        <v>0</v>
      </c>
      <c r="X422" s="694">
        <f t="shared" si="485"/>
        <v>0</v>
      </c>
      <c r="Y422" s="694">
        <f t="shared" si="485"/>
        <v>0</v>
      </c>
      <c r="Z422" s="694">
        <f t="shared" si="485"/>
        <v>0</v>
      </c>
      <c r="AA422" s="694">
        <f t="shared" si="485"/>
        <v>0</v>
      </c>
      <c r="AB422" s="694">
        <f t="shared" si="485"/>
        <v>0</v>
      </c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  <c r="BL422" s="83"/>
    </row>
    <row r="423" spans="1:64" x14ac:dyDescent="0.25">
      <c r="A423" s="22"/>
      <c r="B423" s="186" t="str">
        <f t="shared" si="479"/>
        <v>TFREGSL100</v>
      </c>
      <c r="C423" s="186"/>
      <c r="D423" s="186"/>
      <c r="E423" s="186"/>
      <c r="F423" s="170"/>
      <c r="G423" s="189"/>
      <c r="H423" s="170"/>
      <c r="I423" s="190">
        <f>AF$7</f>
        <v>2030</v>
      </c>
      <c r="J423" s="191"/>
      <c r="K423" s="191"/>
      <c r="L423" s="211" t="s">
        <v>1065</v>
      </c>
      <c r="M423" s="191" t="s">
        <v>748</v>
      </c>
      <c r="N423" s="694">
        <f t="shared" ref="N423:AB423" si="486">N420*LOOKUP($AD413,$AG$4:$AP$4,$AG$7:$AP$7)</f>
        <v>66</v>
      </c>
      <c r="O423" s="694">
        <f t="shared" si="486"/>
        <v>0</v>
      </c>
      <c r="P423" s="694">
        <f t="shared" si="486"/>
        <v>0</v>
      </c>
      <c r="Q423" s="694">
        <f t="shared" si="486"/>
        <v>0</v>
      </c>
      <c r="R423" s="694">
        <f t="shared" si="486"/>
        <v>0</v>
      </c>
      <c r="S423" s="694">
        <f t="shared" si="486"/>
        <v>0</v>
      </c>
      <c r="T423" s="694">
        <f t="shared" si="486"/>
        <v>0</v>
      </c>
      <c r="U423" s="694">
        <f t="shared" si="486"/>
        <v>0</v>
      </c>
      <c r="V423" s="694">
        <f t="shared" si="486"/>
        <v>0</v>
      </c>
      <c r="W423" s="694">
        <f t="shared" si="486"/>
        <v>0</v>
      </c>
      <c r="X423" s="694">
        <f t="shared" si="486"/>
        <v>0</v>
      </c>
      <c r="Y423" s="694">
        <f t="shared" si="486"/>
        <v>0</v>
      </c>
      <c r="Z423" s="694">
        <f t="shared" si="486"/>
        <v>0</v>
      </c>
      <c r="AA423" s="694">
        <f t="shared" si="486"/>
        <v>0</v>
      </c>
      <c r="AB423" s="694">
        <f t="shared" si="486"/>
        <v>0</v>
      </c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  <c r="BL423" s="83"/>
    </row>
    <row r="424" spans="1:64" x14ac:dyDescent="0.25">
      <c r="A424" s="22"/>
      <c r="B424" s="186" t="str">
        <f t="shared" si="479"/>
        <v>TFREGSL100</v>
      </c>
      <c r="C424" s="186"/>
      <c r="D424" s="186"/>
      <c r="E424" s="186"/>
      <c r="F424" s="170"/>
      <c r="G424" s="189"/>
      <c r="H424" s="170"/>
      <c r="I424" s="190">
        <f>AF$8</f>
        <v>2035</v>
      </c>
      <c r="J424" s="191"/>
      <c r="K424" s="191"/>
      <c r="L424" s="211" t="s">
        <v>1065</v>
      </c>
      <c r="M424" s="191" t="s">
        <v>748</v>
      </c>
      <c r="N424" s="694">
        <f t="shared" ref="N424:AB424" si="487">N420*LOOKUP($AD413,$AG$4:$AP$4,$AG$8:$AP$8)</f>
        <v>24.75</v>
      </c>
      <c r="O424" s="694">
        <f t="shared" si="487"/>
        <v>0</v>
      </c>
      <c r="P424" s="694">
        <f t="shared" si="487"/>
        <v>0</v>
      </c>
      <c r="Q424" s="694">
        <f t="shared" si="487"/>
        <v>0</v>
      </c>
      <c r="R424" s="694">
        <f t="shared" si="487"/>
        <v>0</v>
      </c>
      <c r="S424" s="694">
        <f t="shared" si="487"/>
        <v>0</v>
      </c>
      <c r="T424" s="694">
        <f t="shared" si="487"/>
        <v>0</v>
      </c>
      <c r="U424" s="694">
        <f t="shared" si="487"/>
        <v>0</v>
      </c>
      <c r="V424" s="694">
        <f t="shared" si="487"/>
        <v>0</v>
      </c>
      <c r="W424" s="694">
        <f t="shared" si="487"/>
        <v>0</v>
      </c>
      <c r="X424" s="694">
        <f t="shared" si="487"/>
        <v>0</v>
      </c>
      <c r="Y424" s="694">
        <f t="shared" si="487"/>
        <v>0</v>
      </c>
      <c r="Z424" s="694">
        <f t="shared" si="487"/>
        <v>0</v>
      </c>
      <c r="AA424" s="694">
        <f t="shared" si="487"/>
        <v>0</v>
      </c>
      <c r="AB424" s="694">
        <f t="shared" si="487"/>
        <v>0</v>
      </c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  <c r="BL424" s="83"/>
    </row>
    <row r="425" spans="1:64" x14ac:dyDescent="0.25">
      <c r="A425" s="22"/>
      <c r="B425" s="186" t="str">
        <f t="shared" si="479"/>
        <v>TFREGSL100</v>
      </c>
      <c r="C425" s="186"/>
      <c r="D425" s="186"/>
      <c r="E425" s="186"/>
      <c r="F425" s="170"/>
      <c r="G425" s="189"/>
      <c r="H425" s="170"/>
      <c r="I425" s="190">
        <f>AF$9</f>
        <v>2040</v>
      </c>
      <c r="J425" s="191"/>
      <c r="K425" s="191"/>
      <c r="L425" s="211" t="s">
        <v>1065</v>
      </c>
      <c r="M425" s="191" t="s">
        <v>748</v>
      </c>
      <c r="N425" s="694">
        <f t="shared" ref="N425:AB425" si="488">N420*LOOKUP($AD413,$AG$4:$AP$4,$AG$9:$AP$9)</f>
        <v>0.82500000000000007</v>
      </c>
      <c r="O425" s="694">
        <f t="shared" si="488"/>
        <v>0</v>
      </c>
      <c r="P425" s="694">
        <f t="shared" si="488"/>
        <v>0</v>
      </c>
      <c r="Q425" s="694">
        <f t="shared" si="488"/>
        <v>0</v>
      </c>
      <c r="R425" s="694">
        <f t="shared" si="488"/>
        <v>0</v>
      </c>
      <c r="S425" s="694">
        <f t="shared" si="488"/>
        <v>0</v>
      </c>
      <c r="T425" s="694">
        <f t="shared" si="488"/>
        <v>0</v>
      </c>
      <c r="U425" s="694">
        <f t="shared" si="488"/>
        <v>0</v>
      </c>
      <c r="V425" s="694">
        <f t="shared" si="488"/>
        <v>0</v>
      </c>
      <c r="W425" s="694">
        <f t="shared" si="488"/>
        <v>0</v>
      </c>
      <c r="X425" s="694">
        <f t="shared" si="488"/>
        <v>0</v>
      </c>
      <c r="Y425" s="694">
        <f t="shared" si="488"/>
        <v>0</v>
      </c>
      <c r="Z425" s="694">
        <f t="shared" si="488"/>
        <v>0</v>
      </c>
      <c r="AA425" s="694">
        <f t="shared" si="488"/>
        <v>0</v>
      </c>
      <c r="AB425" s="694">
        <f t="shared" si="488"/>
        <v>0</v>
      </c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  <c r="BL425" s="83"/>
    </row>
    <row r="426" spans="1:64" x14ac:dyDescent="0.25">
      <c r="A426" s="22"/>
      <c r="B426" s="193" t="str">
        <f t="shared" si="479"/>
        <v>TFREGSL100</v>
      </c>
      <c r="C426" s="193"/>
      <c r="D426" s="193"/>
      <c r="E426" s="193"/>
      <c r="F426" s="196"/>
      <c r="G426" s="195"/>
      <c r="H426" s="196"/>
      <c r="I426" s="197">
        <f>AF$10</f>
        <v>2050</v>
      </c>
      <c r="J426" s="198"/>
      <c r="K426" s="198"/>
      <c r="L426" s="212" t="s">
        <v>1065</v>
      </c>
      <c r="M426" s="198" t="s">
        <v>748</v>
      </c>
      <c r="N426" s="695">
        <f t="shared" ref="N426:AB426" si="489">N420*LOOKUP($AD413,$AG$4:$AP$4,$AG$10:$AP$10)</f>
        <v>0</v>
      </c>
      <c r="O426" s="695">
        <f t="shared" si="489"/>
        <v>0</v>
      </c>
      <c r="P426" s="695">
        <f t="shared" si="489"/>
        <v>0</v>
      </c>
      <c r="Q426" s="695">
        <f t="shared" si="489"/>
        <v>0</v>
      </c>
      <c r="R426" s="695">
        <f t="shared" si="489"/>
        <v>0</v>
      </c>
      <c r="S426" s="695">
        <f t="shared" si="489"/>
        <v>0</v>
      </c>
      <c r="T426" s="695">
        <f t="shared" si="489"/>
        <v>0</v>
      </c>
      <c r="U426" s="695">
        <f t="shared" si="489"/>
        <v>0</v>
      </c>
      <c r="V426" s="695">
        <f t="shared" si="489"/>
        <v>0</v>
      </c>
      <c r="W426" s="695">
        <f t="shared" si="489"/>
        <v>0</v>
      </c>
      <c r="X426" s="695">
        <f t="shared" si="489"/>
        <v>0</v>
      </c>
      <c r="Y426" s="695">
        <f t="shared" si="489"/>
        <v>0</v>
      </c>
      <c r="Z426" s="695">
        <f t="shared" si="489"/>
        <v>0</v>
      </c>
      <c r="AA426" s="695">
        <f t="shared" si="489"/>
        <v>0</v>
      </c>
      <c r="AB426" s="695">
        <f t="shared" si="489"/>
        <v>0</v>
      </c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  <c r="BL426" s="83"/>
    </row>
    <row r="427" spans="1:64" s="83" customFormat="1" x14ac:dyDescent="0.25">
      <c r="A427" s="82"/>
      <c r="B427" s="178" t="str">
        <f>C427</f>
        <v>TFREHYD100</v>
      </c>
      <c r="C427" s="178" t="s">
        <v>375</v>
      </c>
      <c r="D427" s="179" t="s">
        <v>860</v>
      </c>
      <c r="E427" s="407" t="s">
        <v>988</v>
      </c>
      <c r="F427" s="182"/>
      <c r="G427" s="181"/>
      <c r="H427" s="182"/>
      <c r="I427" s="183"/>
      <c r="J427" s="184"/>
      <c r="K427" s="184"/>
      <c r="L427" s="203" t="s">
        <v>1107</v>
      </c>
      <c r="M427" s="184" t="s">
        <v>1125</v>
      </c>
      <c r="N427" s="378">
        <f>N$58</f>
        <v>1E-3</v>
      </c>
      <c r="O427" s="378">
        <f t="shared" ref="O427:AB427" si="490">$N427</f>
        <v>1E-3</v>
      </c>
      <c r="P427" s="378">
        <f t="shared" si="490"/>
        <v>1E-3</v>
      </c>
      <c r="Q427" s="378">
        <f t="shared" si="490"/>
        <v>1E-3</v>
      </c>
      <c r="R427" s="378">
        <f t="shared" si="490"/>
        <v>1E-3</v>
      </c>
      <c r="S427" s="378">
        <f t="shared" si="490"/>
        <v>1E-3</v>
      </c>
      <c r="T427" s="378">
        <f t="shared" si="490"/>
        <v>1E-3</v>
      </c>
      <c r="U427" s="378">
        <f t="shared" si="490"/>
        <v>1E-3</v>
      </c>
      <c r="V427" s="378">
        <f t="shared" si="490"/>
        <v>1E-3</v>
      </c>
      <c r="W427" s="378">
        <f t="shared" si="490"/>
        <v>1E-3</v>
      </c>
      <c r="X427" s="378">
        <f t="shared" si="490"/>
        <v>1E-3</v>
      </c>
      <c r="Y427" s="378">
        <f t="shared" si="490"/>
        <v>1E-3</v>
      </c>
      <c r="Z427" s="378">
        <f t="shared" si="490"/>
        <v>1E-3</v>
      </c>
      <c r="AA427" s="378">
        <f t="shared" si="490"/>
        <v>1E-3</v>
      </c>
      <c r="AB427" s="378">
        <f t="shared" si="490"/>
        <v>1E-3</v>
      </c>
      <c r="AD427" s="402" t="str">
        <f>MID(D427,13,3)</f>
        <v>Hyb</v>
      </c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V427" s="700" t="str">
        <f t="shared" ref="AV427:AV428" si="491">MID(E427,1,7)</f>
        <v>TRABDL</v>
      </c>
      <c r="AW427" s="568">
        <f t="shared" ref="AW427:AW428" si="492">SUM(AX427:BL427)</f>
        <v>0</v>
      </c>
      <c r="AX427" s="721">
        <f>N$433*N$434*(1-N428)/N$431/1000</f>
        <v>0</v>
      </c>
      <c r="AY427" s="721">
        <f t="shared" ref="AY427:BL427" si="493">O$433*O$434*(1-O428)/O$431/1000</f>
        <v>0</v>
      </c>
      <c r="AZ427" s="721">
        <f t="shared" si="493"/>
        <v>0</v>
      </c>
      <c r="BA427" s="721">
        <f t="shared" si="493"/>
        <v>0</v>
      </c>
      <c r="BB427" s="721">
        <f t="shared" si="493"/>
        <v>0</v>
      </c>
      <c r="BC427" s="721">
        <f t="shared" si="493"/>
        <v>0</v>
      </c>
      <c r="BD427" s="721">
        <f t="shared" si="493"/>
        <v>0</v>
      </c>
      <c r="BE427" s="721">
        <f t="shared" si="493"/>
        <v>0</v>
      </c>
      <c r="BF427" s="721">
        <f t="shared" si="493"/>
        <v>0</v>
      </c>
      <c r="BG427" s="721">
        <f t="shared" si="493"/>
        <v>0</v>
      </c>
      <c r="BH427" s="721">
        <f t="shared" si="493"/>
        <v>0</v>
      </c>
      <c r="BI427" s="721">
        <f t="shared" si="493"/>
        <v>0</v>
      </c>
      <c r="BJ427" s="721">
        <f t="shared" si="493"/>
        <v>0</v>
      </c>
      <c r="BK427" s="721">
        <f t="shared" si="493"/>
        <v>0</v>
      </c>
      <c r="BL427" s="721">
        <f t="shared" si="493"/>
        <v>0</v>
      </c>
    </row>
    <row r="428" spans="1:64" x14ac:dyDescent="0.25">
      <c r="A428" s="22"/>
      <c r="B428" s="186" t="str">
        <f>B427</f>
        <v>TFREHYD100</v>
      </c>
      <c r="C428" s="186"/>
      <c r="D428" s="187"/>
      <c r="E428" s="258" t="s">
        <v>185</v>
      </c>
      <c r="F428" s="170"/>
      <c r="G428" s="189"/>
      <c r="H428" s="170"/>
      <c r="I428" s="190"/>
      <c r="J428" s="191" t="str">
        <f>$J$363</f>
        <v>UP</v>
      </c>
      <c r="K428" s="191"/>
      <c r="L428" s="211" t="s">
        <v>101</v>
      </c>
      <c r="M428" s="191"/>
      <c r="N428" s="390">
        <f>1-N$29-N$28</f>
        <v>0.78</v>
      </c>
      <c r="O428" s="390">
        <f t="shared" ref="O428:AB428" si="494">1-O$29-O$28</f>
        <v>0.78</v>
      </c>
      <c r="P428" s="390">
        <f t="shared" si="494"/>
        <v>0.78</v>
      </c>
      <c r="Q428" s="390">
        <f t="shared" si="494"/>
        <v>0.78</v>
      </c>
      <c r="R428" s="390">
        <f t="shared" si="494"/>
        <v>0.78</v>
      </c>
      <c r="S428" s="390">
        <f t="shared" si="494"/>
        <v>0.78</v>
      </c>
      <c r="T428" s="390">
        <f t="shared" si="494"/>
        <v>0.78</v>
      </c>
      <c r="U428" s="390">
        <f t="shared" si="494"/>
        <v>0.78</v>
      </c>
      <c r="V428" s="390">
        <f t="shared" si="494"/>
        <v>0.78</v>
      </c>
      <c r="W428" s="390">
        <f t="shared" si="494"/>
        <v>0.78</v>
      </c>
      <c r="X428" s="390">
        <f t="shared" si="494"/>
        <v>0.78</v>
      </c>
      <c r="Y428" s="390">
        <f t="shared" si="494"/>
        <v>0.78</v>
      </c>
      <c r="Z428" s="390">
        <f t="shared" si="494"/>
        <v>0.78</v>
      </c>
      <c r="AA428" s="390">
        <f t="shared" si="494"/>
        <v>0.78</v>
      </c>
      <c r="AB428" s="390">
        <f t="shared" si="494"/>
        <v>0.78</v>
      </c>
      <c r="AD428" s="66" t="str">
        <f>IF(COUNTIF($AG$4:$AP$4,AD427)=1,"ok","MISSING")</f>
        <v>ok</v>
      </c>
      <c r="AE428" s="83"/>
      <c r="AF428" s="89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V428" s="700" t="str">
        <f t="shared" si="491"/>
        <v>TRADST</v>
      </c>
      <c r="AW428" s="568">
        <f t="shared" si="492"/>
        <v>0</v>
      </c>
      <c r="AX428" s="721">
        <f>N$433*N$434*N428/N$431/1000</f>
        <v>0</v>
      </c>
      <c r="AY428" s="721">
        <f t="shared" ref="AY428:BL428" si="495">O$433*O$434*O428/O$431/1000</f>
        <v>0</v>
      </c>
      <c r="AZ428" s="721">
        <f t="shared" si="495"/>
        <v>0</v>
      </c>
      <c r="BA428" s="721">
        <f t="shared" si="495"/>
        <v>0</v>
      </c>
      <c r="BB428" s="721">
        <f t="shared" si="495"/>
        <v>0</v>
      </c>
      <c r="BC428" s="721">
        <f t="shared" si="495"/>
        <v>0</v>
      </c>
      <c r="BD428" s="721">
        <f t="shared" si="495"/>
        <v>0</v>
      </c>
      <c r="BE428" s="721">
        <f t="shared" si="495"/>
        <v>0</v>
      </c>
      <c r="BF428" s="721">
        <f t="shared" si="495"/>
        <v>0</v>
      </c>
      <c r="BG428" s="721">
        <f t="shared" si="495"/>
        <v>0</v>
      </c>
      <c r="BH428" s="721">
        <f t="shared" si="495"/>
        <v>0</v>
      </c>
      <c r="BI428" s="721">
        <f t="shared" si="495"/>
        <v>0</v>
      </c>
      <c r="BJ428" s="721">
        <f t="shared" si="495"/>
        <v>0</v>
      </c>
      <c r="BK428" s="721">
        <f t="shared" si="495"/>
        <v>0</v>
      </c>
      <c r="BL428" s="721">
        <f t="shared" si="495"/>
        <v>0</v>
      </c>
    </row>
    <row r="429" spans="1:64" s="83" customFormat="1" x14ac:dyDescent="0.25">
      <c r="A429" s="82"/>
      <c r="B429" s="178" t="str">
        <f t="shared" ref="B429" si="496">B428</f>
        <v>TFREHYD100</v>
      </c>
      <c r="C429" s="178"/>
      <c r="D429" s="179"/>
      <c r="E429" s="407" t="s">
        <v>990</v>
      </c>
      <c r="F429" s="182"/>
      <c r="G429" s="181"/>
      <c r="H429" s="182"/>
      <c r="I429" s="183"/>
      <c r="J429" s="184" t="s">
        <v>1157</v>
      </c>
      <c r="K429" s="184"/>
      <c r="L429" s="203" t="s">
        <v>101</v>
      </c>
      <c r="M429" s="184"/>
      <c r="N429" s="690">
        <f>N$28</f>
        <v>7.0000000000000007E-2</v>
      </c>
      <c r="O429" s="690">
        <f t="shared" ref="O429:AB429" si="497">O$28</f>
        <v>7.0000000000000007E-2</v>
      </c>
      <c r="P429" s="690">
        <f t="shared" si="497"/>
        <v>7.0000000000000007E-2</v>
      </c>
      <c r="Q429" s="690">
        <f t="shared" si="497"/>
        <v>7.0000000000000007E-2</v>
      </c>
      <c r="R429" s="690">
        <f t="shared" si="497"/>
        <v>7.0000000000000007E-2</v>
      </c>
      <c r="S429" s="690">
        <f t="shared" si="497"/>
        <v>7.0000000000000007E-2</v>
      </c>
      <c r="T429" s="690">
        <f t="shared" si="497"/>
        <v>7.0000000000000007E-2</v>
      </c>
      <c r="U429" s="690">
        <f t="shared" si="497"/>
        <v>7.0000000000000007E-2</v>
      </c>
      <c r="V429" s="690">
        <f t="shared" si="497"/>
        <v>7.0000000000000007E-2</v>
      </c>
      <c r="W429" s="690">
        <f t="shared" si="497"/>
        <v>7.0000000000000007E-2</v>
      </c>
      <c r="X429" s="690">
        <f t="shared" si="497"/>
        <v>7.0000000000000007E-2</v>
      </c>
      <c r="Y429" s="690">
        <f t="shared" si="497"/>
        <v>7.0000000000000007E-2</v>
      </c>
      <c r="Z429" s="690">
        <f t="shared" si="497"/>
        <v>7.0000000000000007E-2</v>
      </c>
      <c r="AA429" s="690">
        <f t="shared" si="497"/>
        <v>7.0000000000000007E-2</v>
      </c>
      <c r="AB429" s="690">
        <f t="shared" si="497"/>
        <v>7.0000000000000007E-2</v>
      </c>
      <c r="AD429" s="408"/>
      <c r="AE429" s="357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V429" s="700"/>
      <c r="AW429" s="568"/>
      <c r="AX429" s="708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</row>
    <row r="430" spans="1:64" x14ac:dyDescent="0.25">
      <c r="B430" s="186" t="str">
        <f>B428</f>
        <v>TFREHYD100</v>
      </c>
      <c r="C430" s="186"/>
      <c r="D430" s="187"/>
      <c r="E430" s="186"/>
      <c r="F430" s="170"/>
      <c r="G430" s="173" t="s">
        <v>439</v>
      </c>
      <c r="H430" s="170"/>
      <c r="I430" s="190"/>
      <c r="J430" s="191"/>
      <c r="K430" s="191"/>
      <c r="L430" s="191" t="s">
        <v>1126</v>
      </c>
      <c r="M430" s="191" t="s">
        <v>678</v>
      </c>
      <c r="N430" s="377">
        <f>T_CEFF!H214</f>
        <v>7.1110000000000007E-2</v>
      </c>
      <c r="O430" s="377">
        <f>T_CEFF!I214</f>
        <v>7.1110000000000007E-2</v>
      </c>
      <c r="P430" s="377">
        <f>T_CEFF!J214</f>
        <v>7.1110000000000007E-2</v>
      </c>
      <c r="Q430" s="377">
        <f>T_CEFF!K214</f>
        <v>7.1110000000000007E-2</v>
      </c>
      <c r="R430" s="377">
        <f>T_CEFF!L214</f>
        <v>7.1110000000000007E-2</v>
      </c>
      <c r="S430" s="377">
        <f>T_CEFF!M214</f>
        <v>7.1110000000000007E-2</v>
      </c>
      <c r="T430" s="377">
        <f>T_CEFF!N214</f>
        <v>7.1110000000000007E-2</v>
      </c>
      <c r="U430" s="377">
        <f>T_CEFF!O214</f>
        <v>7.1110000000000007E-2</v>
      </c>
      <c r="V430" s="377">
        <f>T_CEFF!P214</f>
        <v>7.1110000000000007E-2</v>
      </c>
      <c r="W430" s="377">
        <f>T_CEFF!Q214</f>
        <v>7.1110000000000007E-2</v>
      </c>
      <c r="X430" s="377">
        <f>T_CEFF!R214</f>
        <v>7.1110000000000007E-2</v>
      </c>
      <c r="Y430" s="377">
        <f>T_CEFF!S214</f>
        <v>7.1110000000000007E-2</v>
      </c>
      <c r="Z430" s="377">
        <f>T_CEFF!T214</f>
        <v>7.1110000000000007E-2</v>
      </c>
      <c r="AA430" s="377">
        <f>T_CEFF!U214</f>
        <v>7.1110000000000007E-2</v>
      </c>
      <c r="AB430" s="377">
        <f>T_CEFF!V214</f>
        <v>7.1110000000000007E-2</v>
      </c>
      <c r="AV430" s="700" t="str">
        <f t="shared" ref="AV430:AV432" si="498">MID(E430,1,7)</f>
        <v/>
      </c>
      <c r="AW430" s="568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  <c r="BL430" s="83"/>
    </row>
    <row r="431" spans="1:64" x14ac:dyDescent="0.25">
      <c r="B431" s="186" t="str">
        <f t="shared" ref="B431:B440" si="499">B430</f>
        <v>TFREHYD100</v>
      </c>
      <c r="C431" s="186"/>
      <c r="D431" s="187"/>
      <c r="E431" s="186"/>
      <c r="F431" s="170"/>
      <c r="G431" s="173" t="s">
        <v>437</v>
      </c>
      <c r="H431" s="170"/>
      <c r="I431" s="190"/>
      <c r="J431" s="191"/>
      <c r="K431" s="191"/>
      <c r="L431" s="191" t="s">
        <v>1126</v>
      </c>
      <c r="M431" s="191" t="s">
        <v>678</v>
      </c>
      <c r="N431" s="377">
        <f>T_CEFF!H215</f>
        <v>5.6890000000000003E-2</v>
      </c>
      <c r="O431" s="377">
        <f>T_CEFF!I215</f>
        <v>5.6890000000000003E-2</v>
      </c>
      <c r="P431" s="377">
        <f>T_CEFF!J215</f>
        <v>5.6890000000000003E-2</v>
      </c>
      <c r="Q431" s="377">
        <f>T_CEFF!K215</f>
        <v>5.6890000000000003E-2</v>
      </c>
      <c r="R431" s="377">
        <f>T_CEFF!L215</f>
        <v>5.6890000000000003E-2</v>
      </c>
      <c r="S431" s="377">
        <f>T_CEFF!M215</f>
        <v>5.6890000000000003E-2</v>
      </c>
      <c r="T431" s="377">
        <f>T_CEFF!N215</f>
        <v>5.6890000000000003E-2</v>
      </c>
      <c r="U431" s="377">
        <f>T_CEFF!O215</f>
        <v>5.6890000000000003E-2</v>
      </c>
      <c r="V431" s="377">
        <f>T_CEFF!P215</f>
        <v>5.6890000000000003E-2</v>
      </c>
      <c r="W431" s="377">
        <f>T_CEFF!Q215</f>
        <v>5.6890000000000003E-2</v>
      </c>
      <c r="X431" s="377">
        <f>T_CEFF!R215</f>
        <v>5.6890000000000003E-2</v>
      </c>
      <c r="Y431" s="377">
        <f>T_CEFF!S215</f>
        <v>5.6890000000000003E-2</v>
      </c>
      <c r="Z431" s="377">
        <f>T_CEFF!T215</f>
        <v>5.6890000000000003E-2</v>
      </c>
      <c r="AA431" s="377">
        <f>T_CEFF!U215</f>
        <v>5.6890000000000003E-2</v>
      </c>
      <c r="AB431" s="377">
        <f>T_CEFF!V215</f>
        <v>5.6890000000000003E-2</v>
      </c>
      <c r="AV431" s="700" t="str">
        <f t="shared" si="498"/>
        <v/>
      </c>
      <c r="AW431" s="568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  <c r="BL431" s="83"/>
    </row>
    <row r="432" spans="1:64" x14ac:dyDescent="0.25">
      <c r="B432" s="186" t="str">
        <f t="shared" si="499"/>
        <v>TFREHYD100</v>
      </c>
      <c r="C432" s="186"/>
      <c r="D432" s="187"/>
      <c r="E432" s="186"/>
      <c r="F432" s="170"/>
      <c r="G432" s="189"/>
      <c r="H432" s="170"/>
      <c r="I432" s="190"/>
      <c r="J432" s="191"/>
      <c r="K432" s="191" t="s">
        <v>749</v>
      </c>
      <c r="L432" s="191" t="s">
        <v>1128</v>
      </c>
      <c r="M432" s="191" t="s">
        <v>1175</v>
      </c>
      <c r="N432" s="368">
        <f t="shared" ref="N432:AB432" si="500">N$25</f>
        <v>8.61</v>
      </c>
      <c r="O432" s="368">
        <f t="shared" si="500"/>
        <v>0</v>
      </c>
      <c r="P432" s="368">
        <f t="shared" si="500"/>
        <v>0</v>
      </c>
      <c r="Q432" s="368">
        <f t="shared" si="500"/>
        <v>0</v>
      </c>
      <c r="R432" s="368">
        <f t="shared" si="500"/>
        <v>0</v>
      </c>
      <c r="S432" s="368">
        <f t="shared" si="500"/>
        <v>0</v>
      </c>
      <c r="T432" s="368">
        <f t="shared" si="500"/>
        <v>0</v>
      </c>
      <c r="U432" s="368">
        <f t="shared" si="500"/>
        <v>0</v>
      </c>
      <c r="V432" s="368">
        <f t="shared" si="500"/>
        <v>0</v>
      </c>
      <c r="W432" s="368">
        <f t="shared" si="500"/>
        <v>0</v>
      </c>
      <c r="X432" s="368">
        <f t="shared" si="500"/>
        <v>0</v>
      </c>
      <c r="Y432" s="368">
        <f t="shared" si="500"/>
        <v>0</v>
      </c>
      <c r="Z432" s="368">
        <f t="shared" si="500"/>
        <v>0</v>
      </c>
      <c r="AA432" s="368">
        <f t="shared" si="500"/>
        <v>0</v>
      </c>
      <c r="AB432" s="368">
        <f t="shared" si="500"/>
        <v>0</v>
      </c>
      <c r="AV432" s="700" t="str">
        <f t="shared" si="498"/>
        <v/>
      </c>
      <c r="AW432" s="568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  <c r="BL432" s="83"/>
    </row>
    <row r="433" spans="1:64" x14ac:dyDescent="0.25">
      <c r="B433" s="186" t="str">
        <f t="shared" si="499"/>
        <v>TFREHYD100</v>
      </c>
      <c r="C433" s="186"/>
      <c r="D433" s="187"/>
      <c r="E433" s="186"/>
      <c r="F433" s="170"/>
      <c r="G433" s="189"/>
      <c r="H433" s="170"/>
      <c r="I433" s="190"/>
      <c r="J433" s="191"/>
      <c r="K433" s="191"/>
      <c r="L433" s="211" t="s">
        <v>1130</v>
      </c>
      <c r="M433" s="191" t="s">
        <v>1131</v>
      </c>
      <c r="N433" s="369">
        <f>LOOKUP($C$427, T_NCAP_AF!$C$185:$C$195, T_NCAP_AF!D$185:D$195)*(1+N344)</f>
        <v>27.266668363999997</v>
      </c>
      <c r="O433" s="369">
        <f>LOOKUP($C$427, T_NCAP_AF!$C$185:$C$195, T_NCAP_AF!E$185:E$195)*(1+O344)</f>
        <v>0</v>
      </c>
      <c r="P433" s="369">
        <f>LOOKUP($C$427, T_NCAP_AF!$C$185:$C$195, T_NCAP_AF!F$185:F$195)*(1+P344)</f>
        <v>0</v>
      </c>
      <c r="Q433" s="369">
        <f>LOOKUP($C$427, T_NCAP_AF!$C$185:$C$195, T_NCAP_AF!G$185:G$195)*(1+Q344)</f>
        <v>0</v>
      </c>
      <c r="R433" s="369">
        <f>LOOKUP($C$427, T_NCAP_AF!$C$185:$C$195, T_NCAP_AF!H$185:H$195)*(1+R344)</f>
        <v>0</v>
      </c>
      <c r="S433" s="369">
        <f>LOOKUP($C$427, T_NCAP_AF!$C$185:$C$195, T_NCAP_AF!I$185:I$195)*(1+S344)</f>
        <v>0</v>
      </c>
      <c r="T433" s="369">
        <f>LOOKUP($C$427, T_NCAP_AF!$C$185:$C$195, T_NCAP_AF!J$185:J$195)*(1+T344)</f>
        <v>0</v>
      </c>
      <c r="U433" s="369">
        <f>LOOKUP($C$427, T_NCAP_AF!$C$185:$C$195, T_NCAP_AF!K$185:K$195)*(1+U344)</f>
        <v>0</v>
      </c>
      <c r="V433" s="369">
        <f>LOOKUP($C$427, T_NCAP_AF!$C$185:$C$195, T_NCAP_AF!L$185:L$195)*(1+V344)</f>
        <v>0</v>
      </c>
      <c r="W433" s="369">
        <f>LOOKUP($C$427, T_NCAP_AF!$C$185:$C$195, T_NCAP_AF!M$185:M$195)*(1+W344)</f>
        <v>0</v>
      </c>
      <c r="X433" s="369">
        <f>LOOKUP($C$427, T_NCAP_AF!$C$185:$C$195, T_NCAP_AF!N$185:N$195)*(1+X344)</f>
        <v>0</v>
      </c>
      <c r="Y433" s="369">
        <f>LOOKUP($C$427, T_NCAP_AF!$C$185:$C$195, T_NCAP_AF!O$185:O$195)*(1+Y344)</f>
        <v>0</v>
      </c>
      <c r="Z433" s="369">
        <f>LOOKUP($C$427, T_NCAP_AF!$C$185:$C$195, T_NCAP_AF!P$185:P$195)*(1+Z344)</f>
        <v>0</v>
      </c>
      <c r="AA433" s="369">
        <f>LOOKUP($C$427, T_NCAP_AF!$C$185:$C$195, T_NCAP_AF!Q$185:Q$195)*(1+AA344)</f>
        <v>0</v>
      </c>
      <c r="AB433" s="369">
        <f>LOOKUP($C$427, T_NCAP_AF!$C$185:$C$195, T_NCAP_AF!R$185:R$195)*(1+AB344)</f>
        <v>0</v>
      </c>
      <c r="AC433" s="83"/>
      <c r="AE433" s="572">
        <f>SUM(AF433:AT433)</f>
        <v>0</v>
      </c>
      <c r="AF433" s="85">
        <f t="shared" ref="AF433:AT433" si="501">N432*N433*N434/1000</f>
        <v>0</v>
      </c>
      <c r="AG433" s="85">
        <f t="shared" si="501"/>
        <v>0</v>
      </c>
      <c r="AH433" s="85">
        <f t="shared" si="501"/>
        <v>0</v>
      </c>
      <c r="AI433" s="85">
        <f t="shared" si="501"/>
        <v>0</v>
      </c>
      <c r="AJ433" s="85">
        <f t="shared" si="501"/>
        <v>0</v>
      </c>
      <c r="AK433" s="85">
        <f t="shared" si="501"/>
        <v>0</v>
      </c>
      <c r="AL433" s="85">
        <f t="shared" si="501"/>
        <v>0</v>
      </c>
      <c r="AM433" s="85">
        <f t="shared" si="501"/>
        <v>0</v>
      </c>
      <c r="AN433" s="85">
        <f t="shared" si="501"/>
        <v>0</v>
      </c>
      <c r="AO433" s="85">
        <f t="shared" si="501"/>
        <v>0</v>
      </c>
      <c r="AP433" s="85">
        <f t="shared" si="501"/>
        <v>0</v>
      </c>
      <c r="AQ433" s="85">
        <f t="shared" si="501"/>
        <v>0</v>
      </c>
      <c r="AR433" s="85">
        <f t="shared" si="501"/>
        <v>0</v>
      </c>
      <c r="AS433" s="85">
        <f t="shared" si="501"/>
        <v>0</v>
      </c>
      <c r="AT433" s="85">
        <f t="shared" si="501"/>
        <v>0</v>
      </c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  <c r="BL433" s="83"/>
    </row>
    <row r="434" spans="1:64" x14ac:dyDescent="0.25">
      <c r="B434" s="186" t="str">
        <f t="shared" si="499"/>
        <v>TFREHYD100</v>
      </c>
      <c r="C434" s="186"/>
      <c r="D434" s="187"/>
      <c r="E434" s="186"/>
      <c r="F434" s="170"/>
      <c r="G434" s="189"/>
      <c r="H434" s="170"/>
      <c r="I434" s="190">
        <f>$M$3</f>
        <v>2019</v>
      </c>
      <c r="J434" s="191"/>
      <c r="K434" s="191"/>
      <c r="L434" s="211" t="s">
        <v>1065</v>
      </c>
      <c r="M434" s="191" t="s">
        <v>748</v>
      </c>
      <c r="N434" s="694">
        <f>LOOKUP($C$427, T_Stock_Private!$C$122:$C$133,T_Stock_Private!D$122:D$133)*(1+N345)</f>
        <v>0</v>
      </c>
      <c r="O434" s="694">
        <f>LOOKUP($C$427, T_Stock_Private!$C$122:$C$133,T_Stock_Private!E$122:E$133)*(1+O345)</f>
        <v>0</v>
      </c>
      <c r="P434" s="694">
        <f>LOOKUP($C$427, T_Stock_Private!$C$122:$C$133,T_Stock_Private!F$122:F$133)*(1+P345)</f>
        <v>0</v>
      </c>
      <c r="Q434" s="694">
        <f>LOOKUP($C$427, T_Stock_Private!$C$122:$C$133,T_Stock_Private!G$122:G$133)*(1+Q345)</f>
        <v>0</v>
      </c>
      <c r="R434" s="694">
        <f>LOOKUP($C$427, T_Stock_Private!$C$122:$C$133,T_Stock_Private!H$122:H$133)*(1+R345)</f>
        <v>0</v>
      </c>
      <c r="S434" s="694">
        <f>LOOKUP($C$427, T_Stock_Private!$C$122:$C$133,T_Stock_Private!I$122:I$133)*(1+S345)</f>
        <v>0</v>
      </c>
      <c r="T434" s="694">
        <f>LOOKUP($C$427, T_Stock_Private!$C$122:$C$133,T_Stock_Private!J$122:J$133)*(1+T345)</f>
        <v>0</v>
      </c>
      <c r="U434" s="694">
        <f>LOOKUP($C$427, T_Stock_Private!$C$122:$C$133,T_Stock_Private!K$122:K$133)*(1+U345)</f>
        <v>0</v>
      </c>
      <c r="V434" s="694">
        <f>LOOKUP($C$427, T_Stock_Private!$C$122:$C$133,T_Stock_Private!L$122:L$133)*(1+V345)</f>
        <v>0</v>
      </c>
      <c r="W434" s="694">
        <f>LOOKUP($C$427, T_Stock_Private!$C$122:$C$133,T_Stock_Private!M$122:M$133)*(1+W345)</f>
        <v>0</v>
      </c>
      <c r="X434" s="694">
        <f>LOOKUP($C$427, T_Stock_Private!$C$122:$C$133,T_Stock_Private!N$122:N$133)*(1+X345)</f>
        <v>0</v>
      </c>
      <c r="Y434" s="694">
        <f>LOOKUP($C$427, T_Stock_Private!$C$122:$C$133,T_Stock_Private!O$122:O$133)*(1+Y345)</f>
        <v>0</v>
      </c>
      <c r="Z434" s="694">
        <f>LOOKUP($C$427, T_Stock_Private!$C$122:$C$133,T_Stock_Private!P$122:P$133)*(1+Z345)</f>
        <v>0</v>
      </c>
      <c r="AA434" s="694">
        <f>LOOKUP($C$427, T_Stock_Private!$C$122:$C$133,T_Stock_Private!Q$122:Q$133)*(1+AA345)</f>
        <v>0</v>
      </c>
      <c r="AB434" s="694">
        <f>LOOKUP($C$427, T_Stock_Private!$C$122:$C$133,T_Stock_Private!R$122:R$133)*(1+AB345)</f>
        <v>0</v>
      </c>
      <c r="AC434" s="89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  <c r="BL434" s="83"/>
    </row>
    <row r="435" spans="1:64" x14ac:dyDescent="0.25">
      <c r="B435" s="186" t="str">
        <f t="shared" si="499"/>
        <v>TFREHYD100</v>
      </c>
      <c r="C435" s="186"/>
      <c r="D435" s="187"/>
      <c r="E435" s="186"/>
      <c r="F435" s="170"/>
      <c r="G435" s="189"/>
      <c r="H435" s="170"/>
      <c r="I435" s="190">
        <f>AF$5</f>
        <v>2020</v>
      </c>
      <c r="J435" s="191"/>
      <c r="K435" s="191"/>
      <c r="L435" s="211" t="s">
        <v>1065</v>
      </c>
      <c r="M435" s="191" t="s">
        <v>748</v>
      </c>
      <c r="N435" s="694">
        <f t="shared" ref="N435:AB435" si="502">N434*LOOKUP($AD427,$AG$4:$AP$4,$AG$5:$AP$5)</f>
        <v>0</v>
      </c>
      <c r="O435" s="694">
        <f t="shared" si="502"/>
        <v>0</v>
      </c>
      <c r="P435" s="694">
        <f t="shared" si="502"/>
        <v>0</v>
      </c>
      <c r="Q435" s="694">
        <f t="shared" si="502"/>
        <v>0</v>
      </c>
      <c r="R435" s="694">
        <f t="shared" si="502"/>
        <v>0</v>
      </c>
      <c r="S435" s="694">
        <f t="shared" si="502"/>
        <v>0</v>
      </c>
      <c r="T435" s="694">
        <f t="shared" si="502"/>
        <v>0</v>
      </c>
      <c r="U435" s="694">
        <f t="shared" si="502"/>
        <v>0</v>
      </c>
      <c r="V435" s="694">
        <f t="shared" si="502"/>
        <v>0</v>
      </c>
      <c r="W435" s="694">
        <f t="shared" si="502"/>
        <v>0</v>
      </c>
      <c r="X435" s="694">
        <f t="shared" si="502"/>
        <v>0</v>
      </c>
      <c r="Y435" s="694">
        <f t="shared" si="502"/>
        <v>0</v>
      </c>
      <c r="Z435" s="694">
        <f t="shared" si="502"/>
        <v>0</v>
      </c>
      <c r="AA435" s="694">
        <f t="shared" si="502"/>
        <v>0</v>
      </c>
      <c r="AB435" s="694">
        <f t="shared" si="502"/>
        <v>0</v>
      </c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  <c r="BL435" s="83"/>
    </row>
    <row r="436" spans="1:64" x14ac:dyDescent="0.25">
      <c r="B436" s="186" t="str">
        <f t="shared" si="499"/>
        <v>TFREHYD100</v>
      </c>
      <c r="C436" s="186"/>
      <c r="D436" s="187"/>
      <c r="E436" s="186"/>
      <c r="F436" s="170"/>
      <c r="G436" s="189"/>
      <c r="H436" s="170"/>
      <c r="I436" s="190">
        <f>AF$6</f>
        <v>2025</v>
      </c>
      <c r="J436" s="191"/>
      <c r="K436" s="191"/>
      <c r="L436" s="211" t="s">
        <v>1065</v>
      </c>
      <c r="M436" s="191" t="s">
        <v>748</v>
      </c>
      <c r="N436" s="694">
        <f t="shared" ref="N436:AB436" si="503">N434*LOOKUP($AD427,$AG$4:$AP$4,$AG$6:$AP$6)</f>
        <v>0</v>
      </c>
      <c r="O436" s="694">
        <f t="shared" si="503"/>
        <v>0</v>
      </c>
      <c r="P436" s="694">
        <f t="shared" si="503"/>
        <v>0</v>
      </c>
      <c r="Q436" s="694">
        <f t="shared" si="503"/>
        <v>0</v>
      </c>
      <c r="R436" s="694">
        <f t="shared" si="503"/>
        <v>0</v>
      </c>
      <c r="S436" s="694">
        <f t="shared" si="503"/>
        <v>0</v>
      </c>
      <c r="T436" s="694">
        <f t="shared" si="503"/>
        <v>0</v>
      </c>
      <c r="U436" s="694">
        <f t="shared" si="503"/>
        <v>0</v>
      </c>
      <c r="V436" s="694">
        <f t="shared" si="503"/>
        <v>0</v>
      </c>
      <c r="W436" s="694">
        <f t="shared" si="503"/>
        <v>0</v>
      </c>
      <c r="X436" s="694">
        <f t="shared" si="503"/>
        <v>0</v>
      </c>
      <c r="Y436" s="694">
        <f t="shared" si="503"/>
        <v>0</v>
      </c>
      <c r="Z436" s="694">
        <f t="shared" si="503"/>
        <v>0</v>
      </c>
      <c r="AA436" s="694">
        <f t="shared" si="503"/>
        <v>0</v>
      </c>
      <c r="AB436" s="694">
        <f t="shared" si="503"/>
        <v>0</v>
      </c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  <c r="BL436" s="83"/>
    </row>
    <row r="437" spans="1:64" x14ac:dyDescent="0.25">
      <c r="B437" s="186" t="str">
        <f t="shared" si="499"/>
        <v>TFREHYD100</v>
      </c>
      <c r="C437" s="186"/>
      <c r="D437" s="187"/>
      <c r="E437" s="186"/>
      <c r="F437" s="170"/>
      <c r="G437" s="189"/>
      <c r="H437" s="170"/>
      <c r="I437" s="190">
        <f>AF$7</f>
        <v>2030</v>
      </c>
      <c r="J437" s="191"/>
      <c r="K437" s="191"/>
      <c r="L437" s="211" t="s">
        <v>1065</v>
      </c>
      <c r="M437" s="191" t="s">
        <v>748</v>
      </c>
      <c r="N437" s="694">
        <f t="shared" ref="N437:AB437" si="504">N434*LOOKUP($AD427,$AG$4:$AP$4,$AG$7:$AP$7)</f>
        <v>0</v>
      </c>
      <c r="O437" s="694">
        <f t="shared" si="504"/>
        <v>0</v>
      </c>
      <c r="P437" s="694">
        <f t="shared" si="504"/>
        <v>0</v>
      </c>
      <c r="Q437" s="694">
        <f t="shared" si="504"/>
        <v>0</v>
      </c>
      <c r="R437" s="694">
        <f t="shared" si="504"/>
        <v>0</v>
      </c>
      <c r="S437" s="694">
        <f t="shared" si="504"/>
        <v>0</v>
      </c>
      <c r="T437" s="694">
        <f t="shared" si="504"/>
        <v>0</v>
      </c>
      <c r="U437" s="694">
        <f t="shared" si="504"/>
        <v>0</v>
      </c>
      <c r="V437" s="694">
        <f t="shared" si="504"/>
        <v>0</v>
      </c>
      <c r="W437" s="694">
        <f t="shared" si="504"/>
        <v>0</v>
      </c>
      <c r="X437" s="694">
        <f t="shared" si="504"/>
        <v>0</v>
      </c>
      <c r="Y437" s="694">
        <f t="shared" si="504"/>
        <v>0</v>
      </c>
      <c r="Z437" s="694">
        <f t="shared" si="504"/>
        <v>0</v>
      </c>
      <c r="AA437" s="694">
        <f t="shared" si="504"/>
        <v>0</v>
      </c>
      <c r="AB437" s="694">
        <f t="shared" si="504"/>
        <v>0</v>
      </c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  <c r="BL437" s="83"/>
    </row>
    <row r="438" spans="1:64" x14ac:dyDescent="0.25">
      <c r="B438" s="186" t="str">
        <f t="shared" si="499"/>
        <v>TFREHYD100</v>
      </c>
      <c r="C438" s="186"/>
      <c r="D438" s="187"/>
      <c r="E438" s="186"/>
      <c r="F438" s="170"/>
      <c r="G438" s="189"/>
      <c r="H438" s="170"/>
      <c r="I438" s="190">
        <f>AF$8</f>
        <v>2035</v>
      </c>
      <c r="J438" s="191"/>
      <c r="K438" s="191"/>
      <c r="L438" s="211" t="s">
        <v>1065</v>
      </c>
      <c r="M438" s="191" t="s">
        <v>748</v>
      </c>
      <c r="N438" s="694">
        <f t="shared" ref="N438:AB438" si="505">N434*LOOKUP($AD427,$AG$4:$AP$4,$AG$8:$AP$8)</f>
        <v>0</v>
      </c>
      <c r="O438" s="694">
        <f t="shared" si="505"/>
        <v>0</v>
      </c>
      <c r="P438" s="694">
        <f t="shared" si="505"/>
        <v>0</v>
      </c>
      <c r="Q438" s="694">
        <f t="shared" si="505"/>
        <v>0</v>
      </c>
      <c r="R438" s="694">
        <f t="shared" si="505"/>
        <v>0</v>
      </c>
      <c r="S438" s="694">
        <f t="shared" si="505"/>
        <v>0</v>
      </c>
      <c r="T438" s="694">
        <f t="shared" si="505"/>
        <v>0</v>
      </c>
      <c r="U438" s="694">
        <f t="shared" si="505"/>
        <v>0</v>
      </c>
      <c r="V438" s="694">
        <f t="shared" si="505"/>
        <v>0</v>
      </c>
      <c r="W438" s="694">
        <f t="shared" si="505"/>
        <v>0</v>
      </c>
      <c r="X438" s="694">
        <f t="shared" si="505"/>
        <v>0</v>
      </c>
      <c r="Y438" s="694">
        <f t="shared" si="505"/>
        <v>0</v>
      </c>
      <c r="Z438" s="694">
        <f t="shared" si="505"/>
        <v>0</v>
      </c>
      <c r="AA438" s="694">
        <f t="shared" si="505"/>
        <v>0</v>
      </c>
      <c r="AB438" s="694">
        <f t="shared" si="505"/>
        <v>0</v>
      </c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  <c r="BL438" s="83"/>
    </row>
    <row r="439" spans="1:64" x14ac:dyDescent="0.25">
      <c r="B439" s="186" t="str">
        <f t="shared" si="499"/>
        <v>TFREHYD100</v>
      </c>
      <c r="C439" s="186"/>
      <c r="D439" s="187"/>
      <c r="E439" s="186"/>
      <c r="F439" s="170"/>
      <c r="G439" s="189"/>
      <c r="H439" s="170"/>
      <c r="I439" s="190">
        <f>AF$9</f>
        <v>2040</v>
      </c>
      <c r="J439" s="191"/>
      <c r="K439" s="191"/>
      <c r="L439" s="211" t="s">
        <v>1065</v>
      </c>
      <c r="M439" s="191" t="s">
        <v>748</v>
      </c>
      <c r="N439" s="694">
        <f t="shared" ref="N439:AB439" si="506">N434*LOOKUP($AD427,$AG$4:$AP$4,$AG$9:$AP$9)</f>
        <v>0</v>
      </c>
      <c r="O439" s="694">
        <f t="shared" si="506"/>
        <v>0</v>
      </c>
      <c r="P439" s="694">
        <f t="shared" si="506"/>
        <v>0</v>
      </c>
      <c r="Q439" s="694">
        <f t="shared" si="506"/>
        <v>0</v>
      </c>
      <c r="R439" s="694">
        <f t="shared" si="506"/>
        <v>0</v>
      </c>
      <c r="S439" s="694">
        <f t="shared" si="506"/>
        <v>0</v>
      </c>
      <c r="T439" s="694">
        <f t="shared" si="506"/>
        <v>0</v>
      </c>
      <c r="U439" s="694">
        <f t="shared" si="506"/>
        <v>0</v>
      </c>
      <c r="V439" s="694">
        <f t="shared" si="506"/>
        <v>0</v>
      </c>
      <c r="W439" s="694">
        <f t="shared" si="506"/>
        <v>0</v>
      </c>
      <c r="X439" s="694">
        <f t="shared" si="506"/>
        <v>0</v>
      </c>
      <c r="Y439" s="694">
        <f t="shared" si="506"/>
        <v>0</v>
      </c>
      <c r="Z439" s="694">
        <f t="shared" si="506"/>
        <v>0</v>
      </c>
      <c r="AA439" s="694">
        <f t="shared" si="506"/>
        <v>0</v>
      </c>
      <c r="AB439" s="694">
        <f t="shared" si="506"/>
        <v>0</v>
      </c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</row>
    <row r="440" spans="1:64" x14ac:dyDescent="0.25">
      <c r="B440" s="193" t="str">
        <f t="shared" si="499"/>
        <v>TFREHYD100</v>
      </c>
      <c r="C440" s="193"/>
      <c r="D440" s="194"/>
      <c r="E440" s="193"/>
      <c r="F440" s="196"/>
      <c r="G440" s="195"/>
      <c r="H440" s="196"/>
      <c r="I440" s="197">
        <f>AF$10</f>
        <v>2050</v>
      </c>
      <c r="J440" s="198"/>
      <c r="K440" s="198"/>
      <c r="L440" s="212" t="s">
        <v>1065</v>
      </c>
      <c r="M440" s="198" t="s">
        <v>748</v>
      </c>
      <c r="N440" s="695">
        <f t="shared" ref="N440:AB440" si="507">N434*LOOKUP($AD427,$AG$4:$AP$4,$AG$10:$AP$10)</f>
        <v>0</v>
      </c>
      <c r="O440" s="695">
        <f t="shared" si="507"/>
        <v>0</v>
      </c>
      <c r="P440" s="695">
        <f t="shared" si="507"/>
        <v>0</v>
      </c>
      <c r="Q440" s="695">
        <f t="shared" si="507"/>
        <v>0</v>
      </c>
      <c r="R440" s="695">
        <f t="shared" si="507"/>
        <v>0</v>
      </c>
      <c r="S440" s="695">
        <f t="shared" si="507"/>
        <v>0</v>
      </c>
      <c r="T440" s="695">
        <f t="shared" si="507"/>
        <v>0</v>
      </c>
      <c r="U440" s="695">
        <f t="shared" si="507"/>
        <v>0</v>
      </c>
      <c r="V440" s="695">
        <f t="shared" si="507"/>
        <v>0</v>
      </c>
      <c r="W440" s="695">
        <f t="shared" si="507"/>
        <v>0</v>
      </c>
      <c r="X440" s="695">
        <f t="shared" si="507"/>
        <v>0</v>
      </c>
      <c r="Y440" s="695">
        <f t="shared" si="507"/>
        <v>0</v>
      </c>
      <c r="Z440" s="695">
        <f t="shared" si="507"/>
        <v>0</v>
      </c>
      <c r="AA440" s="695">
        <f t="shared" si="507"/>
        <v>0</v>
      </c>
      <c r="AB440" s="695">
        <f t="shared" si="507"/>
        <v>0</v>
      </c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</row>
    <row r="441" spans="1:64" s="83" customFormat="1" x14ac:dyDescent="0.25">
      <c r="A441" s="82"/>
      <c r="B441" s="178" t="str">
        <f>C441</f>
        <v>TFREHYG100</v>
      </c>
      <c r="C441" s="178" t="s">
        <v>376</v>
      </c>
      <c r="D441" s="179" t="s">
        <v>862</v>
      </c>
      <c r="E441" s="407" t="s">
        <v>1014</v>
      </c>
      <c r="F441" s="182"/>
      <c r="G441" s="181"/>
      <c r="H441" s="182"/>
      <c r="I441" s="183"/>
      <c r="J441" s="184"/>
      <c r="K441" s="184"/>
      <c r="L441" s="203" t="s">
        <v>1107</v>
      </c>
      <c r="M441" s="184" t="s">
        <v>1125</v>
      </c>
      <c r="N441" s="378">
        <f>N$502</f>
        <v>1E-3</v>
      </c>
      <c r="O441" s="378">
        <f t="shared" ref="O441:AB441" si="508">$N441</f>
        <v>1E-3</v>
      </c>
      <c r="P441" s="378">
        <f t="shared" si="508"/>
        <v>1E-3</v>
      </c>
      <c r="Q441" s="378">
        <f t="shared" si="508"/>
        <v>1E-3</v>
      </c>
      <c r="R441" s="378">
        <f t="shared" si="508"/>
        <v>1E-3</v>
      </c>
      <c r="S441" s="378">
        <f t="shared" si="508"/>
        <v>1E-3</v>
      </c>
      <c r="T441" s="378">
        <f t="shared" si="508"/>
        <v>1E-3</v>
      </c>
      <c r="U441" s="378">
        <f t="shared" si="508"/>
        <v>1E-3</v>
      </c>
      <c r="V441" s="378">
        <f t="shared" si="508"/>
        <v>1E-3</v>
      </c>
      <c r="W441" s="378">
        <f t="shared" si="508"/>
        <v>1E-3</v>
      </c>
      <c r="X441" s="378">
        <f t="shared" si="508"/>
        <v>1E-3</v>
      </c>
      <c r="Y441" s="378">
        <f t="shared" si="508"/>
        <v>1E-3</v>
      </c>
      <c r="Z441" s="378">
        <f t="shared" si="508"/>
        <v>1E-3</v>
      </c>
      <c r="AA441" s="378">
        <f t="shared" si="508"/>
        <v>1E-3</v>
      </c>
      <c r="AB441" s="378">
        <f t="shared" si="508"/>
        <v>1E-3</v>
      </c>
      <c r="AD441" s="402" t="str">
        <f>MID(D441,13,3)</f>
        <v>Hyb</v>
      </c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V441" s="700" t="str">
        <f t="shared" ref="AV441:AV443" si="509">MID(E441,1,7)</f>
        <v>TRAGSL</v>
      </c>
      <c r="AW441" s="568">
        <f t="shared" ref="AW441:AW442" si="510">SUM(AX441:BL441)</f>
        <v>0</v>
      </c>
    </row>
    <row r="442" spans="1:64" s="83" customFormat="1" x14ac:dyDescent="0.25">
      <c r="A442" s="82"/>
      <c r="B442" s="178" t="str">
        <f>B441</f>
        <v>TFREHYG100</v>
      </c>
      <c r="C442" s="178"/>
      <c r="D442" s="179"/>
      <c r="E442" s="407" t="s">
        <v>1012</v>
      </c>
      <c r="F442" s="182"/>
      <c r="G442" s="181"/>
      <c r="H442" s="182"/>
      <c r="I442" s="183"/>
      <c r="J442" s="184" t="s">
        <v>1127</v>
      </c>
      <c r="K442" s="184"/>
      <c r="L442" s="203" t="s">
        <v>101</v>
      </c>
      <c r="M442" s="184"/>
      <c r="N442" s="390">
        <f>N$30</f>
        <v>0.03</v>
      </c>
      <c r="O442" s="390">
        <f t="shared" ref="O442:AB442" si="511">O$30</f>
        <v>0.03</v>
      </c>
      <c r="P442" s="390">
        <f t="shared" si="511"/>
        <v>0.03</v>
      </c>
      <c r="Q442" s="390">
        <f t="shared" si="511"/>
        <v>0.03</v>
      </c>
      <c r="R442" s="390">
        <f t="shared" si="511"/>
        <v>0.03</v>
      </c>
      <c r="S442" s="390">
        <f t="shared" si="511"/>
        <v>0.03</v>
      </c>
      <c r="T442" s="390">
        <f t="shared" si="511"/>
        <v>0.03</v>
      </c>
      <c r="U442" s="390">
        <f t="shared" si="511"/>
        <v>0.03</v>
      </c>
      <c r="V442" s="390">
        <f t="shared" si="511"/>
        <v>0.03</v>
      </c>
      <c r="W442" s="390">
        <f t="shared" si="511"/>
        <v>0.03</v>
      </c>
      <c r="X442" s="390">
        <f t="shared" si="511"/>
        <v>0.03</v>
      </c>
      <c r="Y442" s="390">
        <f t="shared" si="511"/>
        <v>0.03</v>
      </c>
      <c r="Z442" s="390">
        <f t="shared" si="511"/>
        <v>0.03</v>
      </c>
      <c r="AA442" s="390">
        <f t="shared" si="511"/>
        <v>0.03</v>
      </c>
      <c r="AB442" s="390">
        <f t="shared" si="511"/>
        <v>0.03</v>
      </c>
      <c r="AD442" s="66" t="str">
        <f>IF(COUNTIF($AG$4:$AP$4,AD441)=1,"ok","MISSING")</f>
        <v>ok</v>
      </c>
      <c r="AF442" s="333"/>
      <c r="AV442" s="700" t="str">
        <f t="shared" si="509"/>
        <v>TRAETHM</v>
      </c>
      <c r="AW442" s="568">
        <f t="shared" si="510"/>
        <v>0</v>
      </c>
    </row>
    <row r="443" spans="1:64" s="83" customFormat="1" x14ac:dyDescent="0.25">
      <c r="B443" s="178" t="str">
        <f t="shared" ref="B443:B453" si="512">B442</f>
        <v>TFREHYG100</v>
      </c>
      <c r="C443" s="178"/>
      <c r="D443" s="179"/>
      <c r="E443" s="178"/>
      <c r="F443" s="182"/>
      <c r="G443" s="173" t="s">
        <v>439</v>
      </c>
      <c r="H443" s="182"/>
      <c r="I443" s="183"/>
      <c r="J443" s="184"/>
      <c r="K443" s="184"/>
      <c r="L443" s="184" t="s">
        <v>1126</v>
      </c>
      <c r="M443" s="184" t="s">
        <v>678</v>
      </c>
      <c r="N443" s="377">
        <f>T_CEFF!H216</f>
        <v>8.4209999999999993E-2</v>
      </c>
      <c r="O443" s="377">
        <f>T_CEFF!I216</f>
        <v>8.4209999999999993E-2</v>
      </c>
      <c r="P443" s="377">
        <f>T_CEFF!J216</f>
        <v>8.4209999999999993E-2</v>
      </c>
      <c r="Q443" s="377">
        <f>T_CEFF!K216</f>
        <v>8.4209999999999993E-2</v>
      </c>
      <c r="R443" s="377">
        <f>T_CEFF!L216</f>
        <v>8.4209999999999993E-2</v>
      </c>
      <c r="S443" s="377">
        <f>T_CEFF!M216</f>
        <v>8.4209999999999993E-2</v>
      </c>
      <c r="T443" s="377">
        <f>T_CEFF!N216</f>
        <v>8.4209999999999993E-2</v>
      </c>
      <c r="U443" s="377">
        <f>T_CEFF!O216</f>
        <v>8.4209999999999993E-2</v>
      </c>
      <c r="V443" s="377">
        <f>T_CEFF!P216</f>
        <v>8.4209999999999993E-2</v>
      </c>
      <c r="W443" s="377">
        <f>T_CEFF!Q216</f>
        <v>8.4209999999999993E-2</v>
      </c>
      <c r="X443" s="377">
        <f>T_CEFF!R216</f>
        <v>8.4209999999999993E-2</v>
      </c>
      <c r="Y443" s="377">
        <f>T_CEFF!S216</f>
        <v>8.4209999999999993E-2</v>
      </c>
      <c r="Z443" s="377">
        <f>T_CEFF!T216</f>
        <v>8.4209999999999993E-2</v>
      </c>
      <c r="AA443" s="377">
        <f>T_CEFF!U216</f>
        <v>8.4209999999999993E-2</v>
      </c>
      <c r="AB443" s="377">
        <f>T_CEFF!V216</f>
        <v>8.4209999999999993E-2</v>
      </c>
      <c r="AV443" s="700" t="str">
        <f t="shared" si="509"/>
        <v/>
      </c>
      <c r="AW443" s="568"/>
    </row>
    <row r="444" spans="1:64" s="83" customFormat="1" x14ac:dyDescent="0.25">
      <c r="B444" s="178" t="str">
        <f t="shared" si="512"/>
        <v>TFREHYG100</v>
      </c>
      <c r="C444" s="178"/>
      <c r="D444" s="179"/>
      <c r="E444" s="178"/>
      <c r="F444" s="182"/>
      <c r="G444" s="173" t="s">
        <v>437</v>
      </c>
      <c r="H444" s="182"/>
      <c r="I444" s="183"/>
      <c r="J444" s="184"/>
      <c r="K444" s="184"/>
      <c r="L444" s="184" t="s">
        <v>1126</v>
      </c>
      <c r="M444" s="184" t="s">
        <v>678</v>
      </c>
      <c r="N444" s="377">
        <f>T_CEFF!H217</f>
        <v>6.7369999999999999E-2</v>
      </c>
      <c r="O444" s="377">
        <f>T_CEFF!I217</f>
        <v>6.7369999999999999E-2</v>
      </c>
      <c r="P444" s="377">
        <f>T_CEFF!J217</f>
        <v>6.7369999999999999E-2</v>
      </c>
      <c r="Q444" s="377">
        <f>T_CEFF!K217</f>
        <v>6.7369999999999999E-2</v>
      </c>
      <c r="R444" s="377">
        <f>T_CEFF!L217</f>
        <v>6.7369999999999999E-2</v>
      </c>
      <c r="S444" s="377">
        <f>T_CEFF!M217</f>
        <v>6.7369999999999999E-2</v>
      </c>
      <c r="T444" s="377">
        <f>T_CEFF!N217</f>
        <v>6.7369999999999999E-2</v>
      </c>
      <c r="U444" s="377">
        <f>T_CEFF!O217</f>
        <v>6.7369999999999999E-2</v>
      </c>
      <c r="V444" s="377">
        <f>T_CEFF!P217</f>
        <v>6.7369999999999999E-2</v>
      </c>
      <c r="W444" s="377">
        <f>T_CEFF!Q217</f>
        <v>6.7369999999999999E-2</v>
      </c>
      <c r="X444" s="377">
        <f>T_CEFF!R217</f>
        <v>6.7369999999999999E-2</v>
      </c>
      <c r="Y444" s="377">
        <f>T_CEFF!S217</f>
        <v>6.7369999999999999E-2</v>
      </c>
      <c r="Z444" s="377">
        <f>T_CEFF!T217</f>
        <v>6.7369999999999999E-2</v>
      </c>
      <c r="AA444" s="377">
        <f>T_CEFF!U217</f>
        <v>6.7369999999999999E-2</v>
      </c>
      <c r="AB444" s="377">
        <f>T_CEFF!V217</f>
        <v>6.7369999999999999E-2</v>
      </c>
      <c r="AV444" s="700" t="str">
        <f t="shared" ref="AV444:AV445" si="513">MID(E444,1,7)</f>
        <v/>
      </c>
      <c r="AW444" s="568"/>
    </row>
    <row r="445" spans="1:64" s="83" customFormat="1" x14ac:dyDescent="0.25">
      <c r="B445" s="178" t="str">
        <f>B444</f>
        <v>TFREHYG100</v>
      </c>
      <c r="C445" s="178"/>
      <c r="D445" s="179"/>
      <c r="E445" s="178"/>
      <c r="F445" s="182"/>
      <c r="G445" s="181"/>
      <c r="H445" s="182"/>
      <c r="I445" s="183"/>
      <c r="J445" s="184"/>
      <c r="K445" s="184" t="s">
        <v>749</v>
      </c>
      <c r="L445" s="184" t="s">
        <v>1128</v>
      </c>
      <c r="M445" s="184" t="s">
        <v>1175</v>
      </c>
      <c r="N445" s="368">
        <f t="shared" ref="N445:AB445" si="514">N$25</f>
        <v>8.61</v>
      </c>
      <c r="O445" s="368">
        <f t="shared" si="514"/>
        <v>0</v>
      </c>
      <c r="P445" s="368">
        <f t="shared" si="514"/>
        <v>0</v>
      </c>
      <c r="Q445" s="368">
        <f t="shared" si="514"/>
        <v>0</v>
      </c>
      <c r="R445" s="368">
        <f t="shared" si="514"/>
        <v>0</v>
      </c>
      <c r="S445" s="368">
        <f t="shared" si="514"/>
        <v>0</v>
      </c>
      <c r="T445" s="368">
        <f t="shared" si="514"/>
        <v>0</v>
      </c>
      <c r="U445" s="368">
        <f t="shared" si="514"/>
        <v>0</v>
      </c>
      <c r="V445" s="368">
        <f t="shared" si="514"/>
        <v>0</v>
      </c>
      <c r="W445" s="368">
        <f t="shared" si="514"/>
        <v>0</v>
      </c>
      <c r="X445" s="368">
        <f t="shared" si="514"/>
        <v>0</v>
      </c>
      <c r="Y445" s="368">
        <f t="shared" si="514"/>
        <v>0</v>
      </c>
      <c r="Z445" s="368">
        <f t="shared" si="514"/>
        <v>0</v>
      </c>
      <c r="AA445" s="368">
        <f t="shared" si="514"/>
        <v>0</v>
      </c>
      <c r="AB445" s="368">
        <f t="shared" si="514"/>
        <v>0</v>
      </c>
      <c r="AV445" s="700" t="str">
        <f t="shared" si="513"/>
        <v/>
      </c>
      <c r="AW445" s="568"/>
    </row>
    <row r="446" spans="1:64" s="83" customFormat="1" x14ac:dyDescent="0.25">
      <c r="B446" s="178" t="str">
        <f t="shared" si="512"/>
        <v>TFREHYG100</v>
      </c>
      <c r="C446" s="178"/>
      <c r="D446" s="179"/>
      <c r="E446" s="178"/>
      <c r="F446" s="182"/>
      <c r="G446" s="181"/>
      <c r="H446" s="182"/>
      <c r="I446" s="183"/>
      <c r="J446" s="184"/>
      <c r="K446" s="184"/>
      <c r="L446" s="203" t="s">
        <v>1130</v>
      </c>
      <c r="M446" s="184" t="s">
        <v>1131</v>
      </c>
      <c r="N446" s="397">
        <f>LOOKUP($C$441, T_NCAP_AF!$C$185:$C$195, T_NCAP_AF!D$185:D$195)*(1+N344)</f>
        <v>27.266668363999997</v>
      </c>
      <c r="O446" s="397">
        <f>LOOKUP($C$441, T_NCAP_AF!$C$185:$C$195, T_NCAP_AF!E$185:E$195)*(1+O344)</f>
        <v>0</v>
      </c>
      <c r="P446" s="397">
        <f>LOOKUP($C$441, T_NCAP_AF!$C$185:$C$195, T_NCAP_AF!F$185:F$195)*(1+P344)</f>
        <v>0</v>
      </c>
      <c r="Q446" s="397">
        <f>LOOKUP($C$441, T_NCAP_AF!$C$185:$C$195, T_NCAP_AF!G$185:G$195)*(1+Q344)</f>
        <v>0</v>
      </c>
      <c r="R446" s="397">
        <f>LOOKUP($C$441, T_NCAP_AF!$C$185:$C$195, T_NCAP_AF!H$185:H$195)*(1+R344)</f>
        <v>0</v>
      </c>
      <c r="S446" s="397">
        <f>LOOKUP($C$441, T_NCAP_AF!$C$185:$C$195, T_NCAP_AF!I$185:I$195)*(1+S344)</f>
        <v>0</v>
      </c>
      <c r="T446" s="397">
        <f>LOOKUP($C$441, T_NCAP_AF!$C$185:$C$195, T_NCAP_AF!J$185:J$195)*(1+T344)</f>
        <v>0</v>
      </c>
      <c r="U446" s="397">
        <f>LOOKUP($C$441, T_NCAP_AF!$C$185:$C$195, T_NCAP_AF!K$185:K$195)*(1+U344)</f>
        <v>0</v>
      </c>
      <c r="V446" s="397">
        <f>LOOKUP($C$441, T_NCAP_AF!$C$185:$C$195, T_NCAP_AF!L$185:L$195)*(1+V344)</f>
        <v>0</v>
      </c>
      <c r="W446" s="397">
        <f>LOOKUP($C$441, T_NCAP_AF!$C$185:$C$195, T_NCAP_AF!M$185:M$195)*(1+W344)</f>
        <v>0</v>
      </c>
      <c r="X446" s="397">
        <f>LOOKUP($C$441, T_NCAP_AF!$C$185:$C$195, T_NCAP_AF!N$185:N$195)*(1+X344)</f>
        <v>0</v>
      </c>
      <c r="Y446" s="397">
        <f>LOOKUP($C$441, T_NCAP_AF!$C$185:$C$195, T_NCAP_AF!O$185:O$195)*(1+Y344)</f>
        <v>0</v>
      </c>
      <c r="Z446" s="397">
        <f>LOOKUP($C$441, T_NCAP_AF!$C$185:$C$195, T_NCAP_AF!P$185:P$195)*(1+Z344)</f>
        <v>0</v>
      </c>
      <c r="AA446" s="397">
        <f>LOOKUP($C$441, T_NCAP_AF!$C$185:$C$195, T_NCAP_AF!Q$185:Q$195)*(1+AA344)</f>
        <v>0</v>
      </c>
      <c r="AB446" s="397">
        <f>LOOKUP($C$441, T_NCAP_AF!$C$185:$C$195, T_NCAP_AF!R$185:R$195)*(1+AB344)</f>
        <v>0</v>
      </c>
      <c r="AE446" s="572">
        <f>SUM(AF446:AT446)</f>
        <v>3.521490219210599</v>
      </c>
      <c r="AF446" s="85">
        <f t="shared" ref="AF446:AT446" si="515">N445*N446*N447/1000</f>
        <v>3.521490219210599</v>
      </c>
      <c r="AG446" s="85">
        <f t="shared" si="515"/>
        <v>0</v>
      </c>
      <c r="AH446" s="85">
        <f t="shared" si="515"/>
        <v>0</v>
      </c>
      <c r="AI446" s="85">
        <f t="shared" si="515"/>
        <v>0</v>
      </c>
      <c r="AJ446" s="85">
        <f t="shared" si="515"/>
        <v>0</v>
      </c>
      <c r="AK446" s="85">
        <f t="shared" si="515"/>
        <v>0</v>
      </c>
      <c r="AL446" s="85">
        <f t="shared" si="515"/>
        <v>0</v>
      </c>
      <c r="AM446" s="85">
        <f t="shared" si="515"/>
        <v>0</v>
      </c>
      <c r="AN446" s="85">
        <f t="shared" si="515"/>
        <v>0</v>
      </c>
      <c r="AO446" s="85">
        <f t="shared" si="515"/>
        <v>0</v>
      </c>
      <c r="AP446" s="85">
        <f t="shared" si="515"/>
        <v>0</v>
      </c>
      <c r="AQ446" s="85">
        <f t="shared" si="515"/>
        <v>0</v>
      </c>
      <c r="AR446" s="85">
        <f t="shared" si="515"/>
        <v>0</v>
      </c>
      <c r="AS446" s="85">
        <f t="shared" si="515"/>
        <v>0</v>
      </c>
      <c r="AT446" s="85">
        <f t="shared" si="515"/>
        <v>0</v>
      </c>
    </row>
    <row r="447" spans="1:64" s="83" customFormat="1" x14ac:dyDescent="0.25">
      <c r="B447" s="178" t="str">
        <f>B446</f>
        <v>TFREHYG100</v>
      </c>
      <c r="C447" s="178"/>
      <c r="D447" s="179"/>
      <c r="E447" s="178"/>
      <c r="F447" s="182"/>
      <c r="G447" s="181"/>
      <c r="H447" s="182"/>
      <c r="I447" s="183">
        <f>$M$3</f>
        <v>2019</v>
      </c>
      <c r="J447" s="184"/>
      <c r="K447" s="184"/>
      <c r="L447" s="203" t="s">
        <v>1065</v>
      </c>
      <c r="M447" s="184" t="s">
        <v>748</v>
      </c>
      <c r="N447" s="694">
        <f>LOOKUP($C$441, T_Stock_Private!$C$122:$C$133, T_Stock_Private!D$122:D$133)*(1+N345)</f>
        <v>15</v>
      </c>
      <c r="O447" s="694">
        <f>LOOKUP($C$441, T_Stock_Private!$C$122:$C$133, T_Stock_Private!E$122:E$133)*(1+O345)</f>
        <v>0</v>
      </c>
      <c r="P447" s="694">
        <f>LOOKUP($C$441, T_Stock_Private!$C$122:$C$133, T_Stock_Private!F$122:F$133)*(1+P345)</f>
        <v>0</v>
      </c>
      <c r="Q447" s="694">
        <f>LOOKUP($C$441, T_Stock_Private!$C$122:$C$133, T_Stock_Private!G$122:G$133)*(1+Q345)</f>
        <v>0</v>
      </c>
      <c r="R447" s="694">
        <f>LOOKUP($C$441, T_Stock_Private!$C$122:$C$133, T_Stock_Private!H$122:H$133)*(1+R345)</f>
        <v>0</v>
      </c>
      <c r="S447" s="694">
        <f>LOOKUP($C$441, T_Stock_Private!$C$122:$C$133, T_Stock_Private!I$122:I$133)*(1+S345)</f>
        <v>0</v>
      </c>
      <c r="T447" s="694">
        <f>LOOKUP($C$441, T_Stock_Private!$C$122:$C$133, T_Stock_Private!J$122:J$133)*(1+T345)</f>
        <v>0</v>
      </c>
      <c r="U447" s="694">
        <f>LOOKUP($C$441, T_Stock_Private!$C$122:$C$133, T_Stock_Private!K$122:K$133)*(1+U345)</f>
        <v>0</v>
      </c>
      <c r="V447" s="694">
        <f>LOOKUP($C$441, T_Stock_Private!$C$122:$C$133, T_Stock_Private!L$122:L$133)*(1+V345)</f>
        <v>0</v>
      </c>
      <c r="W447" s="694">
        <f>LOOKUP($C$441, T_Stock_Private!$C$122:$C$133, T_Stock_Private!M$122:M$133)*(1+W345)</f>
        <v>0</v>
      </c>
      <c r="X447" s="694">
        <f>LOOKUP($C$441, T_Stock_Private!$C$122:$C$133, T_Stock_Private!N$122:N$133)*(1+X345)</f>
        <v>0</v>
      </c>
      <c r="Y447" s="694">
        <f>LOOKUP($C$441, T_Stock_Private!$C$122:$C$133, T_Stock_Private!O$122:O$133)*(1+Y345)</f>
        <v>0</v>
      </c>
      <c r="Z447" s="694">
        <f>LOOKUP($C$441, T_Stock_Private!$C$122:$C$133, T_Stock_Private!P$122:P$133)*(1+Z345)</f>
        <v>0</v>
      </c>
      <c r="AA447" s="694">
        <f>LOOKUP($C$441, T_Stock_Private!$C$122:$C$133, T_Stock_Private!Q$122:Q$133)*(1+AA345)</f>
        <v>0</v>
      </c>
      <c r="AB447" s="694">
        <f>LOOKUP($C$441, T_Stock_Private!$C$122:$C$133, T_Stock_Private!R$122:R$133)*(1+AB345)</f>
        <v>0</v>
      </c>
      <c r="AC447" s="89"/>
    </row>
    <row r="448" spans="1:64" s="83" customFormat="1" x14ac:dyDescent="0.25">
      <c r="B448" s="178" t="str">
        <f t="shared" si="512"/>
        <v>TFREHYG100</v>
      </c>
      <c r="C448" s="178"/>
      <c r="D448" s="179"/>
      <c r="E448" s="178"/>
      <c r="F448" s="182"/>
      <c r="G448" s="181"/>
      <c r="H448" s="182"/>
      <c r="I448" s="183">
        <f>AF$5</f>
        <v>2020</v>
      </c>
      <c r="J448" s="184"/>
      <c r="K448" s="184"/>
      <c r="L448" s="203" t="s">
        <v>1065</v>
      </c>
      <c r="M448" s="184" t="s">
        <v>748</v>
      </c>
      <c r="N448" s="694">
        <f t="shared" ref="N448:AB448" si="516">N447*LOOKUP($AD441,$AG$4:$AP$4,$AG$5:$AP$5)</f>
        <v>14.85</v>
      </c>
      <c r="O448" s="694">
        <f t="shared" si="516"/>
        <v>0</v>
      </c>
      <c r="P448" s="694">
        <f t="shared" si="516"/>
        <v>0</v>
      </c>
      <c r="Q448" s="694">
        <f t="shared" si="516"/>
        <v>0</v>
      </c>
      <c r="R448" s="694">
        <f t="shared" si="516"/>
        <v>0</v>
      </c>
      <c r="S448" s="694">
        <f t="shared" si="516"/>
        <v>0</v>
      </c>
      <c r="T448" s="694">
        <f t="shared" si="516"/>
        <v>0</v>
      </c>
      <c r="U448" s="694">
        <f t="shared" si="516"/>
        <v>0</v>
      </c>
      <c r="V448" s="694">
        <f t="shared" si="516"/>
        <v>0</v>
      </c>
      <c r="W448" s="694">
        <f t="shared" si="516"/>
        <v>0</v>
      </c>
      <c r="X448" s="694">
        <f t="shared" si="516"/>
        <v>0</v>
      </c>
      <c r="Y448" s="694">
        <f t="shared" si="516"/>
        <v>0</v>
      </c>
      <c r="Z448" s="694">
        <f t="shared" si="516"/>
        <v>0</v>
      </c>
      <c r="AA448" s="694">
        <f t="shared" si="516"/>
        <v>0</v>
      </c>
      <c r="AB448" s="694">
        <f t="shared" si="516"/>
        <v>0</v>
      </c>
    </row>
    <row r="449" spans="1:64" s="83" customFormat="1" x14ac:dyDescent="0.25">
      <c r="B449" s="178" t="str">
        <f t="shared" si="512"/>
        <v>TFREHYG100</v>
      </c>
      <c r="C449" s="178"/>
      <c r="D449" s="179"/>
      <c r="E449" s="178"/>
      <c r="F449" s="182"/>
      <c r="G449" s="181"/>
      <c r="H449" s="182"/>
      <c r="I449" s="183">
        <f>AF$6</f>
        <v>2025</v>
      </c>
      <c r="J449" s="184"/>
      <c r="K449" s="184"/>
      <c r="L449" s="203" t="s">
        <v>1065</v>
      </c>
      <c r="M449" s="184" t="s">
        <v>748</v>
      </c>
      <c r="N449" s="694">
        <f t="shared" ref="N449:AB449" si="517">N447*LOOKUP($AD441,$AG$4:$AP$4,$AG$6:$AP$6)</f>
        <v>11.25</v>
      </c>
      <c r="O449" s="694">
        <f t="shared" si="517"/>
        <v>0</v>
      </c>
      <c r="P449" s="694">
        <f t="shared" si="517"/>
        <v>0</v>
      </c>
      <c r="Q449" s="694">
        <f t="shared" si="517"/>
        <v>0</v>
      </c>
      <c r="R449" s="694">
        <f t="shared" si="517"/>
        <v>0</v>
      </c>
      <c r="S449" s="694">
        <f t="shared" si="517"/>
        <v>0</v>
      </c>
      <c r="T449" s="694">
        <f t="shared" si="517"/>
        <v>0</v>
      </c>
      <c r="U449" s="694">
        <f t="shared" si="517"/>
        <v>0</v>
      </c>
      <c r="V449" s="694">
        <f t="shared" si="517"/>
        <v>0</v>
      </c>
      <c r="W449" s="694">
        <f t="shared" si="517"/>
        <v>0</v>
      </c>
      <c r="X449" s="694">
        <f t="shared" si="517"/>
        <v>0</v>
      </c>
      <c r="Y449" s="694">
        <f t="shared" si="517"/>
        <v>0</v>
      </c>
      <c r="Z449" s="694">
        <f t="shared" si="517"/>
        <v>0</v>
      </c>
      <c r="AA449" s="694">
        <f t="shared" si="517"/>
        <v>0</v>
      </c>
      <c r="AB449" s="694">
        <f t="shared" si="517"/>
        <v>0</v>
      </c>
    </row>
    <row r="450" spans="1:64" s="83" customFormat="1" x14ac:dyDescent="0.25">
      <c r="B450" s="178" t="str">
        <f t="shared" si="512"/>
        <v>TFREHYG100</v>
      </c>
      <c r="C450" s="178"/>
      <c r="D450" s="179"/>
      <c r="E450" s="178"/>
      <c r="F450" s="182"/>
      <c r="G450" s="181"/>
      <c r="H450" s="182"/>
      <c r="I450" s="183">
        <f>AF$7</f>
        <v>2030</v>
      </c>
      <c r="J450" s="184"/>
      <c r="K450" s="184"/>
      <c r="L450" s="203" t="s">
        <v>1065</v>
      </c>
      <c r="M450" s="184" t="s">
        <v>748</v>
      </c>
      <c r="N450" s="694">
        <f t="shared" ref="N450:AB450" si="518">N447*LOOKUP($AD441,$AG$4:$AP$4,$AG$7:$AP$7)</f>
        <v>7.5</v>
      </c>
      <c r="O450" s="694">
        <f t="shared" si="518"/>
        <v>0</v>
      </c>
      <c r="P450" s="694">
        <f t="shared" si="518"/>
        <v>0</v>
      </c>
      <c r="Q450" s="694">
        <f t="shared" si="518"/>
        <v>0</v>
      </c>
      <c r="R450" s="694">
        <f t="shared" si="518"/>
        <v>0</v>
      </c>
      <c r="S450" s="694">
        <f t="shared" si="518"/>
        <v>0</v>
      </c>
      <c r="T450" s="694">
        <f t="shared" si="518"/>
        <v>0</v>
      </c>
      <c r="U450" s="694">
        <f t="shared" si="518"/>
        <v>0</v>
      </c>
      <c r="V450" s="694">
        <f t="shared" si="518"/>
        <v>0</v>
      </c>
      <c r="W450" s="694">
        <f t="shared" si="518"/>
        <v>0</v>
      </c>
      <c r="X450" s="694">
        <f t="shared" si="518"/>
        <v>0</v>
      </c>
      <c r="Y450" s="694">
        <f t="shared" si="518"/>
        <v>0</v>
      </c>
      <c r="Z450" s="694">
        <f t="shared" si="518"/>
        <v>0</v>
      </c>
      <c r="AA450" s="694">
        <f t="shared" si="518"/>
        <v>0</v>
      </c>
      <c r="AB450" s="694">
        <f t="shared" si="518"/>
        <v>0</v>
      </c>
    </row>
    <row r="451" spans="1:64" s="83" customFormat="1" x14ac:dyDescent="0.25">
      <c r="B451" s="178" t="str">
        <f t="shared" si="512"/>
        <v>TFREHYG100</v>
      </c>
      <c r="C451" s="178"/>
      <c r="D451" s="179"/>
      <c r="E451" s="178"/>
      <c r="F451" s="182"/>
      <c r="G451" s="181"/>
      <c r="H451" s="182"/>
      <c r="I451" s="183">
        <f>AF$8</f>
        <v>2035</v>
      </c>
      <c r="J451" s="184"/>
      <c r="K451" s="184"/>
      <c r="L451" s="203" t="s">
        <v>1065</v>
      </c>
      <c r="M451" s="184" t="s">
        <v>748</v>
      </c>
      <c r="N451" s="694">
        <f t="shared" ref="N451:AB451" si="519">N447*LOOKUP($AD441,$AG$4:$AP$4,$AG$8:$AP$8)</f>
        <v>2.25</v>
      </c>
      <c r="O451" s="694">
        <f t="shared" si="519"/>
        <v>0</v>
      </c>
      <c r="P451" s="694">
        <f t="shared" si="519"/>
        <v>0</v>
      </c>
      <c r="Q451" s="694">
        <f t="shared" si="519"/>
        <v>0</v>
      </c>
      <c r="R451" s="694">
        <f t="shared" si="519"/>
        <v>0</v>
      </c>
      <c r="S451" s="694">
        <f t="shared" si="519"/>
        <v>0</v>
      </c>
      <c r="T451" s="694">
        <f t="shared" si="519"/>
        <v>0</v>
      </c>
      <c r="U451" s="694">
        <f t="shared" si="519"/>
        <v>0</v>
      </c>
      <c r="V451" s="694">
        <f t="shared" si="519"/>
        <v>0</v>
      </c>
      <c r="W451" s="694">
        <f t="shared" si="519"/>
        <v>0</v>
      </c>
      <c r="X451" s="694">
        <f t="shared" si="519"/>
        <v>0</v>
      </c>
      <c r="Y451" s="694">
        <f t="shared" si="519"/>
        <v>0</v>
      </c>
      <c r="Z451" s="694">
        <f t="shared" si="519"/>
        <v>0</v>
      </c>
      <c r="AA451" s="694">
        <f t="shared" si="519"/>
        <v>0</v>
      </c>
      <c r="AB451" s="694">
        <f t="shared" si="519"/>
        <v>0</v>
      </c>
    </row>
    <row r="452" spans="1:64" s="83" customFormat="1" x14ac:dyDescent="0.25">
      <c r="B452" s="178" t="str">
        <f t="shared" si="512"/>
        <v>TFREHYG100</v>
      </c>
      <c r="C452" s="178"/>
      <c r="D452" s="179"/>
      <c r="E452" s="178"/>
      <c r="F452" s="182"/>
      <c r="G452" s="181"/>
      <c r="H452" s="182"/>
      <c r="I452" s="183">
        <f>AF$9</f>
        <v>2040</v>
      </c>
      <c r="J452" s="184"/>
      <c r="K452" s="184"/>
      <c r="L452" s="203" t="s">
        <v>1065</v>
      </c>
      <c r="M452" s="184" t="s">
        <v>748</v>
      </c>
      <c r="N452" s="694">
        <f t="shared" ref="N452:AB452" si="520">N447*LOOKUP($AD441,$AG$4:$AP$4,$AG$9:$AP$9)</f>
        <v>7.4999999999999997E-2</v>
      </c>
      <c r="O452" s="694">
        <f t="shared" si="520"/>
        <v>0</v>
      </c>
      <c r="P452" s="694">
        <f t="shared" si="520"/>
        <v>0</v>
      </c>
      <c r="Q452" s="694">
        <f t="shared" si="520"/>
        <v>0</v>
      </c>
      <c r="R452" s="694">
        <f t="shared" si="520"/>
        <v>0</v>
      </c>
      <c r="S452" s="694">
        <f t="shared" si="520"/>
        <v>0</v>
      </c>
      <c r="T452" s="694">
        <f t="shared" si="520"/>
        <v>0</v>
      </c>
      <c r="U452" s="694">
        <f t="shared" si="520"/>
        <v>0</v>
      </c>
      <c r="V452" s="694">
        <f t="shared" si="520"/>
        <v>0</v>
      </c>
      <c r="W452" s="694">
        <f t="shared" si="520"/>
        <v>0</v>
      </c>
      <c r="X452" s="694">
        <f t="shared" si="520"/>
        <v>0</v>
      </c>
      <c r="Y452" s="694">
        <f t="shared" si="520"/>
        <v>0</v>
      </c>
      <c r="Z452" s="694">
        <f t="shared" si="520"/>
        <v>0</v>
      </c>
      <c r="AA452" s="694">
        <f t="shared" si="520"/>
        <v>0</v>
      </c>
      <c r="AB452" s="694">
        <f t="shared" si="520"/>
        <v>0</v>
      </c>
    </row>
    <row r="453" spans="1:64" s="83" customFormat="1" x14ac:dyDescent="0.25">
      <c r="B453" s="204" t="str">
        <f t="shared" si="512"/>
        <v>TFREHYG100</v>
      </c>
      <c r="C453" s="204"/>
      <c r="D453" s="205"/>
      <c r="E453" s="204"/>
      <c r="F453" s="206"/>
      <c r="G453" s="207"/>
      <c r="H453" s="206"/>
      <c r="I453" s="208">
        <f>AF$10</f>
        <v>2050</v>
      </c>
      <c r="J453" s="209"/>
      <c r="K453" s="209"/>
      <c r="L453" s="210" t="s">
        <v>1065</v>
      </c>
      <c r="M453" s="209" t="s">
        <v>748</v>
      </c>
      <c r="N453" s="695">
        <f t="shared" ref="N453:AB453" si="521">N447*LOOKUP($AD441,$AG$4:$AP$4,$AG$10:$AP$10)</f>
        <v>0</v>
      </c>
      <c r="O453" s="695">
        <f t="shared" si="521"/>
        <v>0</v>
      </c>
      <c r="P453" s="695">
        <f t="shared" si="521"/>
        <v>0</v>
      </c>
      <c r="Q453" s="695">
        <f t="shared" si="521"/>
        <v>0</v>
      </c>
      <c r="R453" s="695">
        <f t="shared" si="521"/>
        <v>0</v>
      </c>
      <c r="S453" s="695">
        <f t="shared" si="521"/>
        <v>0</v>
      </c>
      <c r="T453" s="695">
        <f t="shared" si="521"/>
        <v>0</v>
      </c>
      <c r="U453" s="695">
        <f t="shared" si="521"/>
        <v>0</v>
      </c>
      <c r="V453" s="695">
        <f t="shared" si="521"/>
        <v>0</v>
      </c>
      <c r="W453" s="695">
        <f t="shared" si="521"/>
        <v>0</v>
      </c>
      <c r="X453" s="695">
        <f t="shared" si="521"/>
        <v>0</v>
      </c>
      <c r="Y453" s="695">
        <f t="shared" si="521"/>
        <v>0</v>
      </c>
      <c r="Z453" s="695">
        <f t="shared" si="521"/>
        <v>0</v>
      </c>
      <c r="AA453" s="695">
        <f t="shared" si="521"/>
        <v>0</v>
      </c>
      <c r="AB453" s="695">
        <f t="shared" si="521"/>
        <v>0</v>
      </c>
    </row>
    <row r="454" spans="1:64" s="83" customFormat="1" x14ac:dyDescent="0.25">
      <c r="A454" s="82"/>
      <c r="B454" s="178" t="str">
        <f>C454</f>
        <v>TFRELPG100</v>
      </c>
      <c r="C454" s="178" t="s">
        <v>377</v>
      </c>
      <c r="D454" s="179" t="s">
        <v>864</v>
      </c>
      <c r="E454" s="180" t="s">
        <v>1033</v>
      </c>
      <c r="F454" s="182"/>
      <c r="G454" s="181"/>
      <c r="H454" s="182"/>
      <c r="I454" s="183"/>
      <c r="J454" s="184"/>
      <c r="K454" s="184"/>
      <c r="L454" s="203" t="s">
        <v>1107</v>
      </c>
      <c r="M454" s="184" t="s">
        <v>1125</v>
      </c>
      <c r="N454" s="378">
        <f>N$502</f>
        <v>1E-3</v>
      </c>
      <c r="O454" s="378">
        <f t="shared" ref="O454:AB454" si="522">$N454</f>
        <v>1E-3</v>
      </c>
      <c r="P454" s="378">
        <f t="shared" si="522"/>
        <v>1E-3</v>
      </c>
      <c r="Q454" s="378">
        <f t="shared" si="522"/>
        <v>1E-3</v>
      </c>
      <c r="R454" s="378">
        <f t="shared" si="522"/>
        <v>1E-3</v>
      </c>
      <c r="S454" s="378">
        <f t="shared" si="522"/>
        <v>1E-3</v>
      </c>
      <c r="T454" s="378">
        <f t="shared" si="522"/>
        <v>1E-3</v>
      </c>
      <c r="U454" s="378">
        <f t="shared" si="522"/>
        <v>1E-3</v>
      </c>
      <c r="V454" s="378">
        <f t="shared" si="522"/>
        <v>1E-3</v>
      </c>
      <c r="W454" s="378">
        <f t="shared" si="522"/>
        <v>1E-3</v>
      </c>
      <c r="X454" s="378">
        <f t="shared" si="522"/>
        <v>1E-3</v>
      </c>
      <c r="Y454" s="378">
        <f t="shared" si="522"/>
        <v>1E-3</v>
      </c>
      <c r="Z454" s="378">
        <f t="shared" si="522"/>
        <v>1E-3</v>
      </c>
      <c r="AA454" s="378">
        <f t="shared" si="522"/>
        <v>1E-3</v>
      </c>
      <c r="AB454" s="378">
        <f t="shared" si="522"/>
        <v>1E-3</v>
      </c>
      <c r="AD454" s="402" t="str">
        <f>MID(D454,13,3)</f>
        <v>LPG</v>
      </c>
      <c r="AV454" s="700" t="str">
        <f t="shared" ref="AV454:AV456" si="523">MID(E454,1,7)</f>
        <v>TRALPG</v>
      </c>
      <c r="AW454" s="568">
        <f t="shared" ref="AW454" si="524">SUM(AX454:BL454)</f>
        <v>0</v>
      </c>
    </row>
    <row r="455" spans="1:64" x14ac:dyDescent="0.25">
      <c r="A455" s="22"/>
      <c r="B455" s="186" t="str">
        <f t="shared" ref="B455:B465" si="525">B454</f>
        <v>TFRELPG100</v>
      </c>
      <c r="C455" s="186"/>
      <c r="D455" s="187"/>
      <c r="E455" s="186"/>
      <c r="F455" s="170"/>
      <c r="G455" s="173" t="s">
        <v>439</v>
      </c>
      <c r="H455" s="170"/>
      <c r="I455" s="190"/>
      <c r="J455" s="191"/>
      <c r="K455" s="191"/>
      <c r="L455" s="191" t="s">
        <v>1126</v>
      </c>
      <c r="M455" s="191" t="s">
        <v>678</v>
      </c>
      <c r="N455" s="377">
        <f>T_CEFF!H218</f>
        <v>6.7229999999999998E-2</v>
      </c>
      <c r="O455" s="377">
        <f>T_CEFF!I218</f>
        <v>6.7229999999999998E-2</v>
      </c>
      <c r="P455" s="377">
        <f>T_CEFF!J218</f>
        <v>6.7229999999999998E-2</v>
      </c>
      <c r="Q455" s="377">
        <f>T_CEFF!K218</f>
        <v>6.7229999999999998E-2</v>
      </c>
      <c r="R455" s="377">
        <f>T_CEFF!L218</f>
        <v>6.7229999999999998E-2</v>
      </c>
      <c r="S455" s="377">
        <f>T_CEFF!M218</f>
        <v>6.7229999999999998E-2</v>
      </c>
      <c r="T455" s="377">
        <f>T_CEFF!N218</f>
        <v>6.7229999999999998E-2</v>
      </c>
      <c r="U455" s="377">
        <f>T_CEFF!O218</f>
        <v>6.7229999999999998E-2</v>
      </c>
      <c r="V455" s="377">
        <f>T_CEFF!P218</f>
        <v>6.7229999999999998E-2</v>
      </c>
      <c r="W455" s="377">
        <f>T_CEFF!Q218</f>
        <v>6.7229999999999998E-2</v>
      </c>
      <c r="X455" s="377">
        <f>T_CEFF!R218</f>
        <v>6.7229999999999998E-2</v>
      </c>
      <c r="Y455" s="377">
        <f>T_CEFF!S218</f>
        <v>6.7229999999999998E-2</v>
      </c>
      <c r="Z455" s="377">
        <f>T_CEFF!T218</f>
        <v>6.7229999999999998E-2</v>
      </c>
      <c r="AA455" s="377">
        <f>T_CEFF!U218</f>
        <v>6.7229999999999998E-2</v>
      </c>
      <c r="AB455" s="377">
        <f>T_CEFF!V218</f>
        <v>6.7229999999999998E-2</v>
      </c>
      <c r="AD455" s="66" t="str">
        <f>IF(COUNTIF($AG$4:$AP$4,AD454)=1,"ok","MISSING")</f>
        <v>ok</v>
      </c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V455" s="700" t="str">
        <f t="shared" si="523"/>
        <v/>
      </c>
      <c r="AW455" s="568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  <c r="BL455" s="83"/>
    </row>
    <row r="456" spans="1:64" x14ac:dyDescent="0.25">
      <c r="A456" s="22"/>
      <c r="B456" s="186" t="str">
        <f t="shared" si="525"/>
        <v>TFRELPG100</v>
      </c>
      <c r="C456" s="186"/>
      <c r="D456" s="187"/>
      <c r="E456" s="186"/>
      <c r="F456" s="170"/>
      <c r="G456" s="173" t="s">
        <v>437</v>
      </c>
      <c r="H456" s="170"/>
      <c r="I456" s="190"/>
      <c r="J456" s="191"/>
      <c r="K456" s="191"/>
      <c r="L456" s="191" t="s">
        <v>1126</v>
      </c>
      <c r="M456" s="191" t="s">
        <v>678</v>
      </c>
      <c r="N456" s="377">
        <f>T_CEFF!H219</f>
        <v>5.3780000000000001E-2</v>
      </c>
      <c r="O456" s="377">
        <f>T_CEFF!I219</f>
        <v>5.3780000000000001E-2</v>
      </c>
      <c r="P456" s="377">
        <f>T_CEFF!J219</f>
        <v>5.3780000000000001E-2</v>
      </c>
      <c r="Q456" s="377">
        <f>T_CEFF!K219</f>
        <v>5.3780000000000001E-2</v>
      </c>
      <c r="R456" s="377">
        <f>T_CEFF!L219</f>
        <v>5.3780000000000001E-2</v>
      </c>
      <c r="S456" s="377">
        <f>T_CEFF!M219</f>
        <v>5.3780000000000001E-2</v>
      </c>
      <c r="T456" s="377">
        <f>T_CEFF!N219</f>
        <v>5.3780000000000001E-2</v>
      </c>
      <c r="U456" s="377">
        <f>T_CEFF!O219</f>
        <v>5.3780000000000001E-2</v>
      </c>
      <c r="V456" s="377">
        <f>T_CEFF!P219</f>
        <v>5.3780000000000001E-2</v>
      </c>
      <c r="W456" s="377">
        <f>T_CEFF!Q219</f>
        <v>5.3780000000000001E-2</v>
      </c>
      <c r="X456" s="377">
        <f>T_CEFF!R219</f>
        <v>5.3780000000000001E-2</v>
      </c>
      <c r="Y456" s="377">
        <f>T_CEFF!S219</f>
        <v>5.3780000000000001E-2</v>
      </c>
      <c r="Z456" s="377">
        <f>T_CEFF!T219</f>
        <v>5.3780000000000001E-2</v>
      </c>
      <c r="AA456" s="377">
        <f>T_CEFF!U219</f>
        <v>5.3780000000000001E-2</v>
      </c>
      <c r="AB456" s="377">
        <f>T_CEFF!V219</f>
        <v>5.3780000000000001E-2</v>
      </c>
      <c r="AV456" s="700" t="str">
        <f t="shared" si="523"/>
        <v/>
      </c>
      <c r="AW456" s="568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  <c r="BL456" s="83"/>
    </row>
    <row r="457" spans="1:64" x14ac:dyDescent="0.25">
      <c r="A457" s="22"/>
      <c r="B457" s="186" t="str">
        <f t="shared" si="525"/>
        <v>TFRELPG100</v>
      </c>
      <c r="C457" s="186"/>
      <c r="D457" s="187"/>
      <c r="E457" s="186"/>
      <c r="F457" s="170"/>
      <c r="G457" s="189"/>
      <c r="H457" s="170"/>
      <c r="I457" s="190"/>
      <c r="J457" s="191"/>
      <c r="K457" s="191" t="s">
        <v>749</v>
      </c>
      <c r="L457" s="191" t="s">
        <v>1128</v>
      </c>
      <c r="M457" s="191" t="s">
        <v>1175</v>
      </c>
      <c r="N457" s="368">
        <f t="shared" ref="N457:AB457" si="526">N$25</f>
        <v>8.61</v>
      </c>
      <c r="O457" s="368">
        <f t="shared" si="526"/>
        <v>0</v>
      </c>
      <c r="P457" s="368">
        <f t="shared" si="526"/>
        <v>0</v>
      </c>
      <c r="Q457" s="368">
        <f t="shared" si="526"/>
        <v>0</v>
      </c>
      <c r="R457" s="368">
        <f t="shared" si="526"/>
        <v>0</v>
      </c>
      <c r="S457" s="368">
        <f t="shared" si="526"/>
        <v>0</v>
      </c>
      <c r="T457" s="368">
        <f t="shared" si="526"/>
        <v>0</v>
      </c>
      <c r="U457" s="368">
        <f t="shared" si="526"/>
        <v>0</v>
      </c>
      <c r="V457" s="368">
        <f t="shared" si="526"/>
        <v>0</v>
      </c>
      <c r="W457" s="368">
        <f t="shared" si="526"/>
        <v>0</v>
      </c>
      <c r="X457" s="368">
        <f t="shared" si="526"/>
        <v>0</v>
      </c>
      <c r="Y457" s="368">
        <f t="shared" si="526"/>
        <v>0</v>
      </c>
      <c r="Z457" s="368">
        <f t="shared" si="526"/>
        <v>0</v>
      </c>
      <c r="AA457" s="368">
        <f t="shared" si="526"/>
        <v>0</v>
      </c>
      <c r="AB457" s="368">
        <f t="shared" si="526"/>
        <v>0</v>
      </c>
      <c r="AV457" s="700" t="str">
        <f t="shared" ref="AV457:AV458" si="527">MID(E457,1,7)</f>
        <v/>
      </c>
      <c r="AW457" s="568"/>
    </row>
    <row r="458" spans="1:64" x14ac:dyDescent="0.25">
      <c r="A458" s="22"/>
      <c r="B458" s="186" t="str">
        <f t="shared" si="525"/>
        <v>TFRELPG100</v>
      </c>
      <c r="C458" s="186"/>
      <c r="D458" s="187"/>
      <c r="E458" s="186"/>
      <c r="F458" s="170"/>
      <c r="G458" s="189"/>
      <c r="H458" s="170"/>
      <c r="I458" s="190"/>
      <c r="J458" s="191"/>
      <c r="K458" s="191"/>
      <c r="L458" s="211" t="s">
        <v>1130</v>
      </c>
      <c r="M458" s="191" t="s">
        <v>1131</v>
      </c>
      <c r="N458" s="397">
        <f>LOOKUP($C$454, T_NCAP_AF!$C$185:$C$195, T_NCAP_AF!D$185:D$195)*(1+N344)</f>
        <v>27.266668363999997</v>
      </c>
      <c r="O458" s="397">
        <f>LOOKUP($C$454, T_NCAP_AF!$C$185:$C$195, T_NCAP_AF!E$185:E$195)*(1+O344)</f>
        <v>0</v>
      </c>
      <c r="P458" s="397">
        <f>LOOKUP($C$454, T_NCAP_AF!$C$185:$C$195, T_NCAP_AF!F$185:F$195)*(1+P344)</f>
        <v>0</v>
      </c>
      <c r="Q458" s="397">
        <f>LOOKUP($C$454, T_NCAP_AF!$C$185:$C$195, T_NCAP_AF!G$185:G$195)*(1+Q344)</f>
        <v>0</v>
      </c>
      <c r="R458" s="397">
        <f>LOOKUP($C$454, T_NCAP_AF!$C$185:$C$195, T_NCAP_AF!H$185:H$195)*(1+R344)</f>
        <v>0</v>
      </c>
      <c r="S458" s="397">
        <f>LOOKUP($C$454, T_NCAP_AF!$C$185:$C$195, T_NCAP_AF!I$185:I$195)*(1+S344)</f>
        <v>0</v>
      </c>
      <c r="T458" s="397">
        <f>LOOKUP($C$454, T_NCAP_AF!$C$185:$C$195, T_NCAP_AF!J$185:J$195)*(1+T344)</f>
        <v>0</v>
      </c>
      <c r="U458" s="397">
        <f>LOOKUP($C$454, T_NCAP_AF!$C$185:$C$195, T_NCAP_AF!K$185:K$195)*(1+U344)</f>
        <v>0</v>
      </c>
      <c r="V458" s="397">
        <f>LOOKUP($C$454, T_NCAP_AF!$C$185:$C$195, T_NCAP_AF!L$185:L$195)*(1+V344)</f>
        <v>0</v>
      </c>
      <c r="W458" s="397">
        <f>LOOKUP($C$454, T_NCAP_AF!$C$185:$C$195, T_NCAP_AF!M$185:M$195)*(1+W344)</f>
        <v>0</v>
      </c>
      <c r="X458" s="397">
        <f>LOOKUP($C$454, T_NCAP_AF!$C$185:$C$195, T_NCAP_AF!N$185:N$195)*(1+X344)</f>
        <v>0</v>
      </c>
      <c r="Y458" s="397">
        <f>LOOKUP($C$454, T_NCAP_AF!$C$185:$C$195, T_NCAP_AF!O$185:O$195)*(1+Y344)</f>
        <v>0</v>
      </c>
      <c r="Z458" s="397">
        <f>LOOKUP($C$454, T_NCAP_AF!$C$185:$C$195, T_NCAP_AF!P$185:P$195)*(1+Z344)</f>
        <v>0</v>
      </c>
      <c r="AA458" s="397">
        <f>LOOKUP($C$454, T_NCAP_AF!$C$185:$C$195, T_NCAP_AF!Q$185:Q$195)*(1+AA344)</f>
        <v>0</v>
      </c>
      <c r="AB458" s="397">
        <f>LOOKUP($C$454, T_NCAP_AF!$C$185:$C$195, T_NCAP_AF!R$185:R$195)*(1+AB344)</f>
        <v>0</v>
      </c>
      <c r="AC458" s="83"/>
      <c r="AE458" s="572">
        <f>SUM(AF458:AT458)</f>
        <v>0</v>
      </c>
      <c r="AF458" s="85">
        <f t="shared" ref="AF458:AT458" si="528">N457*N458*N459/1000</f>
        <v>0</v>
      </c>
      <c r="AG458" s="85">
        <f t="shared" si="528"/>
        <v>0</v>
      </c>
      <c r="AH458" s="85">
        <f t="shared" si="528"/>
        <v>0</v>
      </c>
      <c r="AI458" s="85">
        <f t="shared" si="528"/>
        <v>0</v>
      </c>
      <c r="AJ458" s="85">
        <f t="shared" si="528"/>
        <v>0</v>
      </c>
      <c r="AK458" s="85">
        <f t="shared" si="528"/>
        <v>0</v>
      </c>
      <c r="AL458" s="85">
        <f t="shared" si="528"/>
        <v>0</v>
      </c>
      <c r="AM458" s="85">
        <f t="shared" si="528"/>
        <v>0</v>
      </c>
      <c r="AN458" s="85">
        <f t="shared" si="528"/>
        <v>0</v>
      </c>
      <c r="AO458" s="85">
        <f t="shared" si="528"/>
        <v>0</v>
      </c>
      <c r="AP458" s="85">
        <f t="shared" si="528"/>
        <v>0</v>
      </c>
      <c r="AQ458" s="85">
        <f t="shared" si="528"/>
        <v>0</v>
      </c>
      <c r="AR458" s="85">
        <f t="shared" si="528"/>
        <v>0</v>
      </c>
      <c r="AS458" s="85">
        <f t="shared" si="528"/>
        <v>0</v>
      </c>
      <c r="AT458" s="85">
        <f t="shared" si="528"/>
        <v>0</v>
      </c>
      <c r="AV458" s="700" t="str">
        <f t="shared" si="527"/>
        <v/>
      </c>
      <c r="AW458" s="568"/>
    </row>
    <row r="459" spans="1:64" x14ac:dyDescent="0.25">
      <c r="A459" s="22"/>
      <c r="B459" s="186" t="str">
        <f t="shared" si="525"/>
        <v>TFRELPG100</v>
      </c>
      <c r="C459" s="186"/>
      <c r="D459" s="187"/>
      <c r="E459" s="186"/>
      <c r="F459" s="170"/>
      <c r="G459" s="189"/>
      <c r="H459" s="170"/>
      <c r="I459" s="190">
        <f>$M$3</f>
        <v>2019</v>
      </c>
      <c r="J459" s="191"/>
      <c r="K459" s="191"/>
      <c r="L459" s="211" t="s">
        <v>1065</v>
      </c>
      <c r="M459" s="191" t="s">
        <v>748</v>
      </c>
      <c r="N459" s="694">
        <f>LOOKUP($C$454, T_Stock_Private!$C$122:$C$133, T_Stock_Private!D$122:D$133)*(1+N345)</f>
        <v>0</v>
      </c>
      <c r="O459" s="694">
        <f>LOOKUP($C$454, T_Stock_Private!$C$122:$C$133, T_Stock_Private!E$122:E$133)*(1+O345)</f>
        <v>0</v>
      </c>
      <c r="P459" s="694">
        <f>LOOKUP($C$454, T_Stock_Private!$C$122:$C$133, T_Stock_Private!F$122:F$133)*(1+P345)</f>
        <v>0</v>
      </c>
      <c r="Q459" s="694">
        <f>LOOKUP($C$454, T_Stock_Private!$C$122:$C$133, T_Stock_Private!G$122:G$133)*(1+Q345)</f>
        <v>0</v>
      </c>
      <c r="R459" s="694">
        <f>LOOKUP($C$454, T_Stock_Private!$C$122:$C$133, T_Stock_Private!H$122:H$133)*(1+R345)</f>
        <v>0</v>
      </c>
      <c r="S459" s="694">
        <f>LOOKUP($C$454, T_Stock_Private!$C$122:$C$133, T_Stock_Private!I$122:I$133)*(1+S345)</f>
        <v>0</v>
      </c>
      <c r="T459" s="694">
        <f>LOOKUP($C$454, T_Stock_Private!$C$122:$C$133, T_Stock_Private!J$122:J$133)*(1+T345)</f>
        <v>0</v>
      </c>
      <c r="U459" s="694">
        <f>LOOKUP($C$454, T_Stock_Private!$C$122:$C$133, T_Stock_Private!K$122:K$133)*(1+U345)</f>
        <v>0</v>
      </c>
      <c r="V459" s="694">
        <f>LOOKUP($C$454, T_Stock_Private!$C$122:$C$133, T_Stock_Private!L$122:L$133)*(1+V345)</f>
        <v>0</v>
      </c>
      <c r="W459" s="694">
        <f>LOOKUP($C$454, T_Stock_Private!$C$122:$C$133, T_Stock_Private!M$122:M$133)*(1+W345)</f>
        <v>0</v>
      </c>
      <c r="X459" s="694">
        <f>LOOKUP($C$454, T_Stock_Private!$C$122:$C$133, T_Stock_Private!N$122:N$133)*(1+X345)</f>
        <v>0</v>
      </c>
      <c r="Y459" s="694">
        <f>LOOKUP($C$454, T_Stock_Private!$C$122:$C$133, T_Stock_Private!O$122:O$133)*(1+Y345)</f>
        <v>0</v>
      </c>
      <c r="Z459" s="694">
        <f>LOOKUP($C$454, T_Stock_Private!$C$122:$C$133, T_Stock_Private!P$122:P$133)*(1+Z345)</f>
        <v>0</v>
      </c>
      <c r="AA459" s="694">
        <f>LOOKUP($C$454, T_Stock_Private!$C$122:$C$133, T_Stock_Private!Q$122:Q$133)*(1+AA345)</f>
        <v>0</v>
      </c>
      <c r="AB459" s="694">
        <f>LOOKUP($C$454, T_Stock_Private!$C$122:$C$133, T_Stock_Private!R$122:R$133)*(1+AB345)</f>
        <v>0</v>
      </c>
      <c r="AC459" s="89"/>
    </row>
    <row r="460" spans="1:64" x14ac:dyDescent="0.25">
      <c r="A460" s="22"/>
      <c r="B460" s="186" t="str">
        <f t="shared" si="525"/>
        <v>TFRELPG100</v>
      </c>
      <c r="C460" s="186"/>
      <c r="D460" s="187"/>
      <c r="E460" s="186"/>
      <c r="F460" s="170"/>
      <c r="G460" s="189"/>
      <c r="H460" s="170"/>
      <c r="I460" s="190">
        <f>AF$5</f>
        <v>2020</v>
      </c>
      <c r="J460" s="191"/>
      <c r="K460" s="191"/>
      <c r="L460" s="211" t="s">
        <v>1065</v>
      </c>
      <c r="M460" s="191" t="s">
        <v>748</v>
      </c>
      <c r="N460" s="694">
        <f t="shared" ref="N460:AB460" si="529">N459*LOOKUP($AD454,$AG$4:$AP$4,$AG$5:$AP$5)</f>
        <v>0</v>
      </c>
      <c r="O460" s="694">
        <f t="shared" si="529"/>
        <v>0</v>
      </c>
      <c r="P460" s="694">
        <f t="shared" si="529"/>
        <v>0</v>
      </c>
      <c r="Q460" s="694">
        <f t="shared" si="529"/>
        <v>0</v>
      </c>
      <c r="R460" s="694">
        <f t="shared" si="529"/>
        <v>0</v>
      </c>
      <c r="S460" s="694">
        <f t="shared" si="529"/>
        <v>0</v>
      </c>
      <c r="T460" s="694">
        <f t="shared" si="529"/>
        <v>0</v>
      </c>
      <c r="U460" s="694">
        <f t="shared" si="529"/>
        <v>0</v>
      </c>
      <c r="V460" s="694">
        <f t="shared" si="529"/>
        <v>0</v>
      </c>
      <c r="W460" s="694">
        <f t="shared" si="529"/>
        <v>0</v>
      </c>
      <c r="X460" s="694">
        <f t="shared" si="529"/>
        <v>0</v>
      </c>
      <c r="Y460" s="694">
        <f t="shared" si="529"/>
        <v>0</v>
      </c>
      <c r="Z460" s="694">
        <f t="shared" si="529"/>
        <v>0</v>
      </c>
      <c r="AA460" s="694">
        <f t="shared" si="529"/>
        <v>0</v>
      </c>
      <c r="AB460" s="694">
        <f t="shared" si="529"/>
        <v>0</v>
      </c>
    </row>
    <row r="461" spans="1:64" x14ac:dyDescent="0.25">
      <c r="A461" s="22"/>
      <c r="B461" s="186" t="str">
        <f t="shared" si="525"/>
        <v>TFRELPG100</v>
      </c>
      <c r="C461" s="186"/>
      <c r="D461" s="187"/>
      <c r="E461" s="186"/>
      <c r="F461" s="170"/>
      <c r="G461" s="189"/>
      <c r="H461" s="170"/>
      <c r="I461" s="190">
        <f>AF$6</f>
        <v>2025</v>
      </c>
      <c r="J461" s="191"/>
      <c r="K461" s="191"/>
      <c r="L461" s="211" t="s">
        <v>1065</v>
      </c>
      <c r="M461" s="191" t="s">
        <v>748</v>
      </c>
      <c r="N461" s="694">
        <f t="shared" ref="N461:AB461" si="530">N459*LOOKUP($AD454,$AG$4:$AP$4,$AG$6:$AP$6)</f>
        <v>0</v>
      </c>
      <c r="O461" s="694">
        <f t="shared" si="530"/>
        <v>0</v>
      </c>
      <c r="P461" s="694">
        <f t="shared" si="530"/>
        <v>0</v>
      </c>
      <c r="Q461" s="694">
        <f t="shared" si="530"/>
        <v>0</v>
      </c>
      <c r="R461" s="694">
        <f t="shared" si="530"/>
        <v>0</v>
      </c>
      <c r="S461" s="694">
        <f t="shared" si="530"/>
        <v>0</v>
      </c>
      <c r="T461" s="694">
        <f t="shared" si="530"/>
        <v>0</v>
      </c>
      <c r="U461" s="694">
        <f t="shared" si="530"/>
        <v>0</v>
      </c>
      <c r="V461" s="694">
        <f t="shared" si="530"/>
        <v>0</v>
      </c>
      <c r="W461" s="694">
        <f t="shared" si="530"/>
        <v>0</v>
      </c>
      <c r="X461" s="694">
        <f t="shared" si="530"/>
        <v>0</v>
      </c>
      <c r="Y461" s="694">
        <f t="shared" si="530"/>
        <v>0</v>
      </c>
      <c r="Z461" s="694">
        <f t="shared" si="530"/>
        <v>0</v>
      </c>
      <c r="AA461" s="694">
        <f t="shared" si="530"/>
        <v>0</v>
      </c>
      <c r="AB461" s="694">
        <f t="shared" si="530"/>
        <v>0</v>
      </c>
    </row>
    <row r="462" spans="1:64" x14ac:dyDescent="0.25">
      <c r="A462" s="22"/>
      <c r="B462" s="186" t="str">
        <f t="shared" si="525"/>
        <v>TFRELPG100</v>
      </c>
      <c r="C462" s="186"/>
      <c r="D462" s="187"/>
      <c r="E462" s="186"/>
      <c r="F462" s="170"/>
      <c r="G462" s="189"/>
      <c r="H462" s="170"/>
      <c r="I462" s="190">
        <f>AF$7</f>
        <v>2030</v>
      </c>
      <c r="J462" s="191"/>
      <c r="K462" s="191"/>
      <c r="L462" s="211" t="s">
        <v>1065</v>
      </c>
      <c r="M462" s="191" t="s">
        <v>748</v>
      </c>
      <c r="N462" s="694">
        <f t="shared" ref="N462:AB462" si="531">N459*LOOKUP($AD454,$AG$4:$AP$4,$AG$7:$AP$7)</f>
        <v>0</v>
      </c>
      <c r="O462" s="694">
        <f t="shared" si="531"/>
        <v>0</v>
      </c>
      <c r="P462" s="694">
        <f t="shared" si="531"/>
        <v>0</v>
      </c>
      <c r="Q462" s="694">
        <f t="shared" si="531"/>
        <v>0</v>
      </c>
      <c r="R462" s="694">
        <f t="shared" si="531"/>
        <v>0</v>
      </c>
      <c r="S462" s="694">
        <f t="shared" si="531"/>
        <v>0</v>
      </c>
      <c r="T462" s="694">
        <f t="shared" si="531"/>
        <v>0</v>
      </c>
      <c r="U462" s="694">
        <f t="shared" si="531"/>
        <v>0</v>
      </c>
      <c r="V462" s="694">
        <f t="shared" si="531"/>
        <v>0</v>
      </c>
      <c r="W462" s="694">
        <f t="shared" si="531"/>
        <v>0</v>
      </c>
      <c r="X462" s="694">
        <f t="shared" si="531"/>
        <v>0</v>
      </c>
      <c r="Y462" s="694">
        <f t="shared" si="531"/>
        <v>0</v>
      </c>
      <c r="Z462" s="694">
        <f t="shared" si="531"/>
        <v>0</v>
      </c>
      <c r="AA462" s="694">
        <f t="shared" si="531"/>
        <v>0</v>
      </c>
      <c r="AB462" s="694">
        <f t="shared" si="531"/>
        <v>0</v>
      </c>
    </row>
    <row r="463" spans="1:64" x14ac:dyDescent="0.25">
      <c r="A463" s="22"/>
      <c r="B463" s="186" t="str">
        <f t="shared" si="525"/>
        <v>TFRELPG100</v>
      </c>
      <c r="C463" s="186"/>
      <c r="D463" s="187"/>
      <c r="E463" s="186"/>
      <c r="F463" s="170"/>
      <c r="G463" s="189"/>
      <c r="H463" s="170"/>
      <c r="I463" s="190">
        <f>AF$8</f>
        <v>2035</v>
      </c>
      <c r="J463" s="191"/>
      <c r="K463" s="191"/>
      <c r="L463" s="211" t="s">
        <v>1065</v>
      </c>
      <c r="M463" s="191" t="s">
        <v>748</v>
      </c>
      <c r="N463" s="694">
        <f t="shared" ref="N463:AB463" si="532">N459*LOOKUP($AD454,$AG$4:$AP$4,$AG$8:$AP$8)</f>
        <v>0</v>
      </c>
      <c r="O463" s="694">
        <f t="shared" si="532"/>
        <v>0</v>
      </c>
      <c r="P463" s="694">
        <f t="shared" si="532"/>
        <v>0</v>
      </c>
      <c r="Q463" s="694">
        <f t="shared" si="532"/>
        <v>0</v>
      </c>
      <c r="R463" s="694">
        <f t="shared" si="532"/>
        <v>0</v>
      </c>
      <c r="S463" s="694">
        <f t="shared" si="532"/>
        <v>0</v>
      </c>
      <c r="T463" s="694">
        <f t="shared" si="532"/>
        <v>0</v>
      </c>
      <c r="U463" s="694">
        <f t="shared" si="532"/>
        <v>0</v>
      </c>
      <c r="V463" s="694">
        <f t="shared" si="532"/>
        <v>0</v>
      </c>
      <c r="W463" s="694">
        <f t="shared" si="532"/>
        <v>0</v>
      </c>
      <c r="X463" s="694">
        <f t="shared" si="532"/>
        <v>0</v>
      </c>
      <c r="Y463" s="694">
        <f t="shared" si="532"/>
        <v>0</v>
      </c>
      <c r="Z463" s="694">
        <f t="shared" si="532"/>
        <v>0</v>
      </c>
      <c r="AA463" s="694">
        <f t="shared" si="532"/>
        <v>0</v>
      </c>
      <c r="AB463" s="694">
        <f t="shared" si="532"/>
        <v>0</v>
      </c>
    </row>
    <row r="464" spans="1:64" x14ac:dyDescent="0.25">
      <c r="A464" s="22"/>
      <c r="B464" s="186" t="str">
        <f t="shared" si="525"/>
        <v>TFRELPG100</v>
      </c>
      <c r="C464" s="186"/>
      <c r="D464" s="187"/>
      <c r="E464" s="186"/>
      <c r="F464" s="170"/>
      <c r="G464" s="189"/>
      <c r="H464" s="170"/>
      <c r="I464" s="190">
        <f>AF$9</f>
        <v>2040</v>
      </c>
      <c r="J464" s="191"/>
      <c r="K464" s="191"/>
      <c r="L464" s="211" t="s">
        <v>1065</v>
      </c>
      <c r="M464" s="191" t="s">
        <v>748</v>
      </c>
      <c r="N464" s="694">
        <f t="shared" ref="N464:AB464" si="533">N459*LOOKUP($AD454,$AG$4:$AP$4,$AG$9:$AP$9)</f>
        <v>0</v>
      </c>
      <c r="O464" s="694">
        <f t="shared" si="533"/>
        <v>0</v>
      </c>
      <c r="P464" s="694">
        <f t="shared" si="533"/>
        <v>0</v>
      </c>
      <c r="Q464" s="694">
        <f t="shared" si="533"/>
        <v>0</v>
      </c>
      <c r="R464" s="694">
        <f t="shared" si="533"/>
        <v>0</v>
      </c>
      <c r="S464" s="694">
        <f t="shared" si="533"/>
        <v>0</v>
      </c>
      <c r="T464" s="694">
        <f t="shared" si="533"/>
        <v>0</v>
      </c>
      <c r="U464" s="694">
        <f t="shared" si="533"/>
        <v>0</v>
      </c>
      <c r="V464" s="694">
        <f t="shared" si="533"/>
        <v>0</v>
      </c>
      <c r="W464" s="694">
        <f t="shared" si="533"/>
        <v>0</v>
      </c>
      <c r="X464" s="694">
        <f t="shared" si="533"/>
        <v>0</v>
      </c>
      <c r="Y464" s="694">
        <f t="shared" si="533"/>
        <v>0</v>
      </c>
      <c r="Z464" s="694">
        <f t="shared" si="533"/>
        <v>0</v>
      </c>
      <c r="AA464" s="694">
        <f t="shared" si="533"/>
        <v>0</v>
      </c>
      <c r="AB464" s="694">
        <f t="shared" si="533"/>
        <v>0</v>
      </c>
    </row>
    <row r="465" spans="1:64" x14ac:dyDescent="0.25">
      <c r="A465" s="22"/>
      <c r="B465" s="193" t="str">
        <f t="shared" si="525"/>
        <v>TFRELPG100</v>
      </c>
      <c r="C465" s="193"/>
      <c r="D465" s="194"/>
      <c r="E465" s="193"/>
      <c r="F465" s="196"/>
      <c r="G465" s="195"/>
      <c r="H465" s="196"/>
      <c r="I465" s="197">
        <f>AF$10</f>
        <v>2050</v>
      </c>
      <c r="J465" s="198"/>
      <c r="K465" s="198"/>
      <c r="L465" s="212" t="s">
        <v>1065</v>
      </c>
      <c r="M465" s="198" t="s">
        <v>748</v>
      </c>
      <c r="N465" s="695">
        <f t="shared" ref="N465:AB465" si="534">N459*LOOKUP($AD454,$AG$4:$AP$4,$AG$10:$AP$10)</f>
        <v>0</v>
      </c>
      <c r="O465" s="695">
        <f t="shared" si="534"/>
        <v>0</v>
      </c>
      <c r="P465" s="695">
        <f t="shared" si="534"/>
        <v>0</v>
      </c>
      <c r="Q465" s="695">
        <f t="shared" si="534"/>
        <v>0</v>
      </c>
      <c r="R465" s="695">
        <f t="shared" si="534"/>
        <v>0</v>
      </c>
      <c r="S465" s="695">
        <f t="shared" si="534"/>
        <v>0</v>
      </c>
      <c r="T465" s="695">
        <f t="shared" si="534"/>
        <v>0</v>
      </c>
      <c r="U465" s="695">
        <f t="shared" si="534"/>
        <v>0</v>
      </c>
      <c r="V465" s="695">
        <f t="shared" si="534"/>
        <v>0</v>
      </c>
      <c r="W465" s="695">
        <f t="shared" si="534"/>
        <v>0</v>
      </c>
      <c r="X465" s="695">
        <f t="shared" si="534"/>
        <v>0</v>
      </c>
      <c r="Y465" s="695">
        <f t="shared" si="534"/>
        <v>0</v>
      </c>
      <c r="Z465" s="695">
        <f t="shared" si="534"/>
        <v>0</v>
      </c>
      <c r="AA465" s="695">
        <f t="shared" si="534"/>
        <v>0</v>
      </c>
      <c r="AB465" s="695">
        <f t="shared" si="534"/>
        <v>0</v>
      </c>
    </row>
    <row r="466" spans="1:64" s="83" customFormat="1" x14ac:dyDescent="0.25">
      <c r="A466" s="82"/>
      <c r="B466" s="178" t="str">
        <f>C466</f>
        <v>TFREPYD100</v>
      </c>
      <c r="C466" s="178" t="s">
        <v>378</v>
      </c>
      <c r="D466" s="179" t="s">
        <v>866</v>
      </c>
      <c r="E466" s="407" t="s">
        <v>988</v>
      </c>
      <c r="F466" s="182"/>
      <c r="G466" s="181"/>
      <c r="H466" s="182"/>
      <c r="I466" s="183"/>
      <c r="J466" s="184"/>
      <c r="K466" s="184"/>
      <c r="L466" s="203" t="s">
        <v>1107</v>
      </c>
      <c r="M466" s="184" t="s">
        <v>1125</v>
      </c>
      <c r="N466" s="378">
        <f>N$502</f>
        <v>1E-3</v>
      </c>
      <c r="O466" s="378">
        <f t="shared" ref="O466:AB466" si="535">$N466</f>
        <v>1E-3</v>
      </c>
      <c r="P466" s="378">
        <f t="shared" si="535"/>
        <v>1E-3</v>
      </c>
      <c r="Q466" s="378">
        <f t="shared" si="535"/>
        <v>1E-3</v>
      </c>
      <c r="R466" s="378">
        <f t="shared" si="535"/>
        <v>1E-3</v>
      </c>
      <c r="S466" s="378">
        <f t="shared" si="535"/>
        <v>1E-3</v>
      </c>
      <c r="T466" s="378">
        <f t="shared" si="535"/>
        <v>1E-3</v>
      </c>
      <c r="U466" s="378">
        <f t="shared" si="535"/>
        <v>1E-3</v>
      </c>
      <c r="V466" s="378">
        <f t="shared" si="535"/>
        <v>1E-3</v>
      </c>
      <c r="W466" s="378">
        <f t="shared" si="535"/>
        <v>1E-3</v>
      </c>
      <c r="X466" s="378">
        <f t="shared" si="535"/>
        <v>1E-3</v>
      </c>
      <c r="Y466" s="378">
        <f t="shared" si="535"/>
        <v>1E-3</v>
      </c>
      <c r="Z466" s="378">
        <f t="shared" si="535"/>
        <v>1E-3</v>
      </c>
      <c r="AA466" s="378">
        <f t="shared" si="535"/>
        <v>1E-3</v>
      </c>
      <c r="AB466" s="378">
        <f t="shared" si="535"/>
        <v>1E-3</v>
      </c>
      <c r="AD466" s="402" t="str">
        <f>MID(D466,13,3)</f>
        <v>Plu</v>
      </c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V466" s="700" t="str">
        <f t="shared" ref="AV466:AV469" si="536">MID(E466,1,7)</f>
        <v>TRABDL</v>
      </c>
      <c r="AW466" s="568">
        <f t="shared" ref="AW466:AW467" si="537">SUM(AX466:BL466)</f>
        <v>0</v>
      </c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</row>
    <row r="467" spans="1:64" s="83" customFormat="1" x14ac:dyDescent="0.25">
      <c r="A467" s="82"/>
      <c r="B467" s="178" t="str">
        <f>B466</f>
        <v>TFREPYD100</v>
      </c>
      <c r="C467" s="178"/>
      <c r="D467" s="179"/>
      <c r="E467" s="407" t="s">
        <v>185</v>
      </c>
      <c r="F467" s="182"/>
      <c r="G467" s="181"/>
      <c r="H467" s="182"/>
      <c r="I467" s="183"/>
      <c r="J467" s="191" t="str">
        <f>$J$363</f>
        <v>UP</v>
      </c>
      <c r="K467" s="184"/>
      <c r="L467" s="203" t="s">
        <v>101</v>
      </c>
      <c r="M467" s="184"/>
      <c r="N467" s="390">
        <f>1-N$29-N$28</f>
        <v>0.78</v>
      </c>
      <c r="O467" s="390">
        <f t="shared" ref="O467:AB467" si="538">1-O$29-O$28</f>
        <v>0.78</v>
      </c>
      <c r="P467" s="390">
        <f t="shared" si="538"/>
        <v>0.78</v>
      </c>
      <c r="Q467" s="390">
        <f t="shared" si="538"/>
        <v>0.78</v>
      </c>
      <c r="R467" s="390">
        <f t="shared" si="538"/>
        <v>0.78</v>
      </c>
      <c r="S467" s="390">
        <f t="shared" si="538"/>
        <v>0.78</v>
      </c>
      <c r="T467" s="390">
        <f t="shared" si="538"/>
        <v>0.78</v>
      </c>
      <c r="U467" s="390">
        <f t="shared" si="538"/>
        <v>0.78</v>
      </c>
      <c r="V467" s="390">
        <f t="shared" si="538"/>
        <v>0.78</v>
      </c>
      <c r="W467" s="390">
        <f t="shared" si="538"/>
        <v>0.78</v>
      </c>
      <c r="X467" s="390">
        <f t="shared" si="538"/>
        <v>0.78</v>
      </c>
      <c r="Y467" s="390">
        <f t="shared" si="538"/>
        <v>0.78</v>
      </c>
      <c r="Z467" s="390">
        <f t="shared" si="538"/>
        <v>0.78</v>
      </c>
      <c r="AA467" s="390">
        <f t="shared" si="538"/>
        <v>0.78</v>
      </c>
      <c r="AB467" s="390">
        <f t="shared" si="538"/>
        <v>0.78</v>
      </c>
      <c r="AD467" s="66" t="str">
        <f>IF(COUNTIF($AG$4:$AP$4,AD466)=1,"ok","MISSING")</f>
        <v>ok</v>
      </c>
      <c r="AF467" s="333"/>
      <c r="AV467" s="700" t="str">
        <f t="shared" si="536"/>
        <v>TRADST</v>
      </c>
      <c r="AW467" s="568">
        <f t="shared" si="537"/>
        <v>0</v>
      </c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</row>
    <row r="468" spans="1:64" s="83" customFormat="1" x14ac:dyDescent="0.25">
      <c r="A468" s="82"/>
      <c r="B468" s="178" t="str">
        <f t="shared" ref="B468" si="539">B467</f>
        <v>TFREPYD100</v>
      </c>
      <c r="C468" s="178"/>
      <c r="D468" s="179"/>
      <c r="E468" s="407" t="s">
        <v>990</v>
      </c>
      <c r="F468" s="182"/>
      <c r="G468" s="181"/>
      <c r="H468" s="182"/>
      <c r="I468" s="183"/>
      <c r="J468" s="184" t="s">
        <v>1157</v>
      </c>
      <c r="K468" s="184"/>
      <c r="L468" s="203" t="s">
        <v>101</v>
      </c>
      <c r="M468" s="184"/>
      <c r="N468" s="690">
        <f>N$28</f>
        <v>7.0000000000000007E-2</v>
      </c>
      <c r="O468" s="690">
        <f t="shared" ref="O468:AB468" si="540">O$28</f>
        <v>7.0000000000000007E-2</v>
      </c>
      <c r="P468" s="690">
        <f t="shared" si="540"/>
        <v>7.0000000000000007E-2</v>
      </c>
      <c r="Q468" s="690">
        <f t="shared" si="540"/>
        <v>7.0000000000000007E-2</v>
      </c>
      <c r="R468" s="690">
        <f t="shared" si="540"/>
        <v>7.0000000000000007E-2</v>
      </c>
      <c r="S468" s="690">
        <f t="shared" si="540"/>
        <v>7.0000000000000007E-2</v>
      </c>
      <c r="T468" s="690">
        <f t="shared" si="540"/>
        <v>7.0000000000000007E-2</v>
      </c>
      <c r="U468" s="690">
        <f t="shared" si="540"/>
        <v>7.0000000000000007E-2</v>
      </c>
      <c r="V468" s="690">
        <f t="shared" si="540"/>
        <v>7.0000000000000007E-2</v>
      </c>
      <c r="W468" s="690">
        <f t="shared" si="540"/>
        <v>7.0000000000000007E-2</v>
      </c>
      <c r="X468" s="690">
        <f t="shared" si="540"/>
        <v>7.0000000000000007E-2</v>
      </c>
      <c r="Y468" s="690">
        <f t="shared" si="540"/>
        <v>7.0000000000000007E-2</v>
      </c>
      <c r="Z468" s="690">
        <f t="shared" si="540"/>
        <v>7.0000000000000007E-2</v>
      </c>
      <c r="AA468" s="690">
        <f t="shared" si="540"/>
        <v>7.0000000000000007E-2</v>
      </c>
      <c r="AB468" s="690">
        <f t="shared" si="540"/>
        <v>7.0000000000000007E-2</v>
      </c>
      <c r="AD468" s="408"/>
      <c r="AE468" s="357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V468" s="700"/>
      <c r="AW468" s="568"/>
      <c r="AX468" s="708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</row>
    <row r="469" spans="1:64" s="83" customFormat="1" x14ac:dyDescent="0.25">
      <c r="B469" s="178" t="str">
        <f>B467</f>
        <v>TFREPYD100</v>
      </c>
      <c r="C469" s="178"/>
      <c r="D469" s="179"/>
      <c r="E469" s="178"/>
      <c r="F469" s="182"/>
      <c r="G469" s="173" t="s">
        <v>439</v>
      </c>
      <c r="H469" s="182"/>
      <c r="I469" s="183"/>
      <c r="J469" s="184"/>
      <c r="K469" s="184"/>
      <c r="L469" s="184" t="s">
        <v>1126</v>
      </c>
      <c r="M469" s="184" t="s">
        <v>678</v>
      </c>
      <c r="N469" s="377">
        <f>T_CEFF!H220</f>
        <v>7.485E-2</v>
      </c>
      <c r="O469" s="377">
        <f>T_CEFF!I220</f>
        <v>7.485E-2</v>
      </c>
      <c r="P469" s="377">
        <f>T_CEFF!J220</f>
        <v>7.485E-2</v>
      </c>
      <c r="Q469" s="377">
        <f>T_CEFF!K220</f>
        <v>7.485E-2</v>
      </c>
      <c r="R469" s="377">
        <f>T_CEFF!L220</f>
        <v>7.485E-2</v>
      </c>
      <c r="S469" s="377">
        <f>T_CEFF!M220</f>
        <v>7.485E-2</v>
      </c>
      <c r="T469" s="377">
        <f>T_CEFF!N220</f>
        <v>7.485E-2</v>
      </c>
      <c r="U469" s="377">
        <f>T_CEFF!O220</f>
        <v>7.485E-2</v>
      </c>
      <c r="V469" s="377">
        <f>T_CEFF!P220</f>
        <v>7.485E-2</v>
      </c>
      <c r="W469" s="377">
        <f>T_CEFF!Q220</f>
        <v>7.485E-2</v>
      </c>
      <c r="X469" s="377">
        <f>T_CEFF!R220</f>
        <v>7.485E-2</v>
      </c>
      <c r="Y469" s="377">
        <f>T_CEFF!S220</f>
        <v>7.485E-2</v>
      </c>
      <c r="Z469" s="377">
        <f>T_CEFF!T220</f>
        <v>7.485E-2</v>
      </c>
      <c r="AA469" s="377">
        <f>T_CEFF!U220</f>
        <v>7.485E-2</v>
      </c>
      <c r="AB469" s="377">
        <f>T_CEFF!V220</f>
        <v>7.485E-2</v>
      </c>
      <c r="AV469" s="700" t="str">
        <f t="shared" si="536"/>
        <v/>
      </c>
      <c r="AW469" s="568"/>
    </row>
    <row r="470" spans="1:64" s="83" customFormat="1" x14ac:dyDescent="0.25">
      <c r="B470" s="178" t="str">
        <f t="shared" ref="B470:B479" si="541">B469</f>
        <v>TFREPYD100</v>
      </c>
      <c r="C470" s="178"/>
      <c r="D470" s="179"/>
      <c r="E470" s="178"/>
      <c r="F470" s="182"/>
      <c r="G470" s="173" t="s">
        <v>437</v>
      </c>
      <c r="H470" s="182"/>
      <c r="I470" s="183"/>
      <c r="J470" s="184"/>
      <c r="K470" s="184"/>
      <c r="L470" s="184" t="s">
        <v>1126</v>
      </c>
      <c r="M470" s="184" t="s">
        <v>678</v>
      </c>
      <c r="N470" s="377">
        <f>T_CEFF!H221</f>
        <v>5.9880000000000003E-2</v>
      </c>
      <c r="O470" s="377">
        <f>T_CEFF!I221</f>
        <v>5.9880000000000003E-2</v>
      </c>
      <c r="P470" s="377">
        <f>T_CEFF!J221</f>
        <v>5.9880000000000003E-2</v>
      </c>
      <c r="Q470" s="377">
        <f>T_CEFF!K221</f>
        <v>5.9880000000000003E-2</v>
      </c>
      <c r="R470" s="377">
        <f>T_CEFF!L221</f>
        <v>5.9880000000000003E-2</v>
      </c>
      <c r="S470" s="377">
        <f>T_CEFF!M221</f>
        <v>5.9880000000000003E-2</v>
      </c>
      <c r="T470" s="377">
        <f>T_CEFF!N221</f>
        <v>5.9880000000000003E-2</v>
      </c>
      <c r="U470" s="377">
        <f>T_CEFF!O221</f>
        <v>5.9880000000000003E-2</v>
      </c>
      <c r="V470" s="377">
        <f>T_CEFF!P221</f>
        <v>5.9880000000000003E-2</v>
      </c>
      <c r="W470" s="377">
        <f>T_CEFF!Q221</f>
        <v>5.9880000000000003E-2</v>
      </c>
      <c r="X470" s="377">
        <f>T_CEFF!R221</f>
        <v>5.9880000000000003E-2</v>
      </c>
      <c r="Y470" s="377">
        <f>T_CEFF!S221</f>
        <v>5.9880000000000003E-2</v>
      </c>
      <c r="Z470" s="377">
        <f>T_CEFF!T221</f>
        <v>5.9880000000000003E-2</v>
      </c>
      <c r="AA470" s="377">
        <f>T_CEFF!U221</f>
        <v>5.9880000000000003E-2</v>
      </c>
      <c r="AB470" s="377">
        <f>T_CEFF!V221</f>
        <v>5.9880000000000003E-2</v>
      </c>
      <c r="AV470" s="700" t="str">
        <f t="shared" ref="AV470:AV471" si="542">MID(E470,1,7)</f>
        <v/>
      </c>
      <c r="AW470" s="568"/>
    </row>
    <row r="471" spans="1:64" s="83" customFormat="1" x14ac:dyDescent="0.25">
      <c r="B471" s="178" t="str">
        <f>B470</f>
        <v>TFREPYD100</v>
      </c>
      <c r="C471" s="178"/>
      <c r="D471" s="179"/>
      <c r="E471" s="178"/>
      <c r="F471" s="182"/>
      <c r="G471" s="181"/>
      <c r="H471" s="182"/>
      <c r="I471" s="183"/>
      <c r="J471" s="184"/>
      <c r="K471" s="184" t="s">
        <v>749</v>
      </c>
      <c r="L471" s="184" t="s">
        <v>1128</v>
      </c>
      <c r="M471" s="184" t="s">
        <v>1175</v>
      </c>
      <c r="N471" s="368">
        <f t="shared" ref="N471:AB471" si="543">N$25</f>
        <v>8.61</v>
      </c>
      <c r="O471" s="368">
        <f t="shared" si="543"/>
        <v>0</v>
      </c>
      <c r="P471" s="368">
        <f t="shared" si="543"/>
        <v>0</v>
      </c>
      <c r="Q471" s="368">
        <f t="shared" si="543"/>
        <v>0</v>
      </c>
      <c r="R471" s="368">
        <f t="shared" si="543"/>
        <v>0</v>
      </c>
      <c r="S471" s="368">
        <f t="shared" si="543"/>
        <v>0</v>
      </c>
      <c r="T471" s="368">
        <f t="shared" si="543"/>
        <v>0</v>
      </c>
      <c r="U471" s="368">
        <f t="shared" si="543"/>
        <v>0</v>
      </c>
      <c r="V471" s="368">
        <f t="shared" si="543"/>
        <v>0</v>
      </c>
      <c r="W471" s="368">
        <f t="shared" si="543"/>
        <v>0</v>
      </c>
      <c r="X471" s="368">
        <f t="shared" si="543"/>
        <v>0</v>
      </c>
      <c r="Y471" s="368">
        <f t="shared" si="543"/>
        <v>0</v>
      </c>
      <c r="Z471" s="368">
        <f t="shared" si="543"/>
        <v>0</v>
      </c>
      <c r="AA471" s="368">
        <f t="shared" si="543"/>
        <v>0</v>
      </c>
      <c r="AB471" s="368">
        <f t="shared" si="543"/>
        <v>0</v>
      </c>
      <c r="AV471" s="700" t="str">
        <f t="shared" si="542"/>
        <v/>
      </c>
      <c r="AW471" s="568"/>
    </row>
    <row r="472" spans="1:64" s="83" customFormat="1" x14ac:dyDescent="0.25">
      <c r="B472" s="178" t="str">
        <f t="shared" si="541"/>
        <v>TFREPYD100</v>
      </c>
      <c r="C472" s="178"/>
      <c r="D472" s="179"/>
      <c r="E472" s="178"/>
      <c r="F472" s="182"/>
      <c r="G472" s="181"/>
      <c r="H472" s="182"/>
      <c r="I472" s="183"/>
      <c r="J472" s="184"/>
      <c r="K472" s="184"/>
      <c r="L472" s="203" t="s">
        <v>1130</v>
      </c>
      <c r="M472" s="184" t="s">
        <v>1131</v>
      </c>
      <c r="N472" s="397">
        <f>LOOKUP($C$466, T_NCAP_AF!$C$185:$C$195, T_NCAP_AF!D$185:D$195)*(1+N344)</f>
        <v>27.266668363999997</v>
      </c>
      <c r="O472" s="397">
        <f>LOOKUP($C$466, T_NCAP_AF!$C$185:$C$195, T_NCAP_AF!E$185:E$195)*(1+O344)</f>
        <v>0</v>
      </c>
      <c r="P472" s="397">
        <f>LOOKUP($C$466, T_NCAP_AF!$C$185:$C$195, T_NCAP_AF!F$185:F$195)*(1+P344)</f>
        <v>0</v>
      </c>
      <c r="Q472" s="397">
        <f>LOOKUP($C$466, T_NCAP_AF!$C$185:$C$195, T_NCAP_AF!G$185:G$195)*(1+Q344)</f>
        <v>0</v>
      </c>
      <c r="R472" s="397">
        <f>LOOKUP($C$466, T_NCAP_AF!$C$185:$C$195, T_NCAP_AF!H$185:H$195)*(1+R344)</f>
        <v>0</v>
      </c>
      <c r="S472" s="397">
        <f>LOOKUP($C$466, T_NCAP_AF!$C$185:$C$195, T_NCAP_AF!I$185:I$195)*(1+S344)</f>
        <v>0</v>
      </c>
      <c r="T472" s="397">
        <f>LOOKUP($C$466, T_NCAP_AF!$C$185:$C$195, T_NCAP_AF!J$185:J$195)*(1+T344)</f>
        <v>0</v>
      </c>
      <c r="U472" s="397">
        <f>LOOKUP($C$466, T_NCAP_AF!$C$185:$C$195, T_NCAP_AF!K$185:K$195)*(1+U344)</f>
        <v>0</v>
      </c>
      <c r="V472" s="397">
        <f>LOOKUP($C$466, T_NCAP_AF!$C$185:$C$195, T_NCAP_AF!L$185:L$195)*(1+V344)</f>
        <v>0</v>
      </c>
      <c r="W472" s="397">
        <f>LOOKUP($C$466, T_NCAP_AF!$C$185:$C$195, T_NCAP_AF!M$185:M$195)*(1+W344)</f>
        <v>0</v>
      </c>
      <c r="X472" s="397">
        <f>LOOKUP($C$466, T_NCAP_AF!$C$185:$C$195, T_NCAP_AF!N$185:N$195)*(1+X344)</f>
        <v>0</v>
      </c>
      <c r="Y472" s="397">
        <f>LOOKUP($C$466, T_NCAP_AF!$C$185:$C$195, T_NCAP_AF!O$185:O$195)*(1+Y344)</f>
        <v>0</v>
      </c>
      <c r="Z472" s="397">
        <f>LOOKUP($C$466, T_NCAP_AF!$C$185:$C$195, T_NCAP_AF!P$185:P$195)*(1+Z344)</f>
        <v>0</v>
      </c>
      <c r="AA472" s="397">
        <f>LOOKUP($C$466, T_NCAP_AF!$C$185:$C$195, T_NCAP_AF!Q$185:Q$195)*(1+AA344)</f>
        <v>0</v>
      </c>
      <c r="AB472" s="397">
        <f>LOOKUP($C$466, T_NCAP_AF!$C$185:$C$195, T_NCAP_AF!R$185:R$195)*(1+AB344)</f>
        <v>0</v>
      </c>
      <c r="AE472" s="572">
        <f>SUM(AF472:AT472)</f>
        <v>0</v>
      </c>
      <c r="AF472" s="85">
        <f t="shared" ref="AF472:AT472" si="544">N471*N472*N473/1000</f>
        <v>0</v>
      </c>
      <c r="AG472" s="85">
        <f t="shared" si="544"/>
        <v>0</v>
      </c>
      <c r="AH472" s="85">
        <f t="shared" si="544"/>
        <v>0</v>
      </c>
      <c r="AI472" s="85">
        <f t="shared" si="544"/>
        <v>0</v>
      </c>
      <c r="AJ472" s="85">
        <f t="shared" si="544"/>
        <v>0</v>
      </c>
      <c r="AK472" s="85">
        <f t="shared" si="544"/>
        <v>0</v>
      </c>
      <c r="AL472" s="85">
        <f t="shared" si="544"/>
        <v>0</v>
      </c>
      <c r="AM472" s="85">
        <f t="shared" si="544"/>
        <v>0</v>
      </c>
      <c r="AN472" s="85">
        <f t="shared" si="544"/>
        <v>0</v>
      </c>
      <c r="AO472" s="85">
        <f t="shared" si="544"/>
        <v>0</v>
      </c>
      <c r="AP472" s="85">
        <f t="shared" si="544"/>
        <v>0</v>
      </c>
      <c r="AQ472" s="85">
        <f t="shared" si="544"/>
        <v>0</v>
      </c>
      <c r="AR472" s="85">
        <f t="shared" si="544"/>
        <v>0</v>
      </c>
      <c r="AS472" s="85">
        <f t="shared" si="544"/>
        <v>0</v>
      </c>
      <c r="AT472" s="85">
        <f t="shared" si="544"/>
        <v>0</v>
      </c>
    </row>
    <row r="473" spans="1:64" s="83" customFormat="1" x14ac:dyDescent="0.25">
      <c r="B473" s="178" t="str">
        <f>B472</f>
        <v>TFREPYD100</v>
      </c>
      <c r="C473" s="178"/>
      <c r="D473" s="179"/>
      <c r="E473" s="178"/>
      <c r="F473" s="182"/>
      <c r="G473" s="181"/>
      <c r="H473" s="182"/>
      <c r="I473" s="183">
        <f>$M$3</f>
        <v>2019</v>
      </c>
      <c r="J473" s="184"/>
      <c r="K473" s="184"/>
      <c r="L473" s="203" t="s">
        <v>1065</v>
      </c>
      <c r="M473" s="184" t="s">
        <v>748</v>
      </c>
      <c r="N473" s="694">
        <f>LOOKUP($C$466, T_Stock_Private!$C$122:$C$133, T_Stock_Private!D$122:D$133)*(1+N345)</f>
        <v>0</v>
      </c>
      <c r="O473" s="694">
        <f>LOOKUP($C$466, T_Stock_Private!$C$122:$C$133, T_Stock_Private!E$122:E$133)*(1+O345)</f>
        <v>0</v>
      </c>
      <c r="P473" s="694">
        <f>LOOKUP($C$466, T_Stock_Private!$C$122:$C$133, T_Stock_Private!F$122:F$133)*(1+P345)</f>
        <v>0</v>
      </c>
      <c r="Q473" s="694">
        <f>LOOKUP($C$466, T_Stock_Private!$C$122:$C$133, T_Stock_Private!G$122:G$133)*(1+Q345)</f>
        <v>0</v>
      </c>
      <c r="R473" s="694">
        <f>LOOKUP($C$466, T_Stock_Private!$C$122:$C$133, T_Stock_Private!H$122:H$133)*(1+R345)</f>
        <v>0</v>
      </c>
      <c r="S473" s="694">
        <f>LOOKUP($C$466, T_Stock_Private!$C$122:$C$133, T_Stock_Private!I$122:I$133)*(1+S345)</f>
        <v>0</v>
      </c>
      <c r="T473" s="694">
        <f>LOOKUP($C$466, T_Stock_Private!$C$122:$C$133, T_Stock_Private!J$122:J$133)*(1+T345)</f>
        <v>0</v>
      </c>
      <c r="U473" s="694">
        <f>LOOKUP($C$466, T_Stock_Private!$C$122:$C$133, T_Stock_Private!K$122:K$133)*(1+U345)</f>
        <v>0</v>
      </c>
      <c r="V473" s="694">
        <f>LOOKUP($C$466, T_Stock_Private!$C$122:$C$133, T_Stock_Private!L$122:L$133)*(1+V345)</f>
        <v>0</v>
      </c>
      <c r="W473" s="694">
        <f>LOOKUP($C$466, T_Stock_Private!$C$122:$C$133, T_Stock_Private!M$122:M$133)*(1+W345)</f>
        <v>0</v>
      </c>
      <c r="X473" s="694">
        <f>LOOKUP($C$466, T_Stock_Private!$C$122:$C$133, T_Stock_Private!N$122:N$133)*(1+X345)</f>
        <v>0</v>
      </c>
      <c r="Y473" s="694">
        <f>LOOKUP($C$466, T_Stock_Private!$C$122:$C$133, T_Stock_Private!O$122:O$133)*(1+Y345)</f>
        <v>0</v>
      </c>
      <c r="Z473" s="694">
        <f>LOOKUP($C$466, T_Stock_Private!$C$122:$C$133, T_Stock_Private!P$122:P$133)*(1+Z345)</f>
        <v>0</v>
      </c>
      <c r="AA473" s="694">
        <f>LOOKUP($C$466, T_Stock_Private!$C$122:$C$133, T_Stock_Private!Q$122:Q$133)*(1+AA345)</f>
        <v>0</v>
      </c>
      <c r="AB473" s="694">
        <f>LOOKUP($C$466, T_Stock_Private!$C$122:$C$133, T_Stock_Private!R$122:R$133)*(1+AB345)</f>
        <v>0</v>
      </c>
      <c r="AC473" s="89"/>
    </row>
    <row r="474" spans="1:64" s="83" customFormat="1" x14ac:dyDescent="0.25">
      <c r="B474" s="178" t="str">
        <f t="shared" si="541"/>
        <v>TFREPYD100</v>
      </c>
      <c r="C474" s="178"/>
      <c r="D474" s="179"/>
      <c r="E474" s="178"/>
      <c r="F474" s="182"/>
      <c r="G474" s="181"/>
      <c r="H474" s="182"/>
      <c r="I474" s="183">
        <f>AF$5</f>
        <v>2020</v>
      </c>
      <c r="J474" s="184"/>
      <c r="K474" s="184"/>
      <c r="L474" s="203" t="s">
        <v>1065</v>
      </c>
      <c r="M474" s="184" t="s">
        <v>748</v>
      </c>
      <c r="N474" s="694">
        <f t="shared" ref="N474:AB474" si="545">N473*LOOKUP($AD466,$AG$4:$AP$4,$AG$5:$AP$5)</f>
        <v>0</v>
      </c>
      <c r="O474" s="694">
        <f t="shared" si="545"/>
        <v>0</v>
      </c>
      <c r="P474" s="694">
        <f t="shared" si="545"/>
        <v>0</v>
      </c>
      <c r="Q474" s="694">
        <f t="shared" si="545"/>
        <v>0</v>
      </c>
      <c r="R474" s="694">
        <f t="shared" si="545"/>
        <v>0</v>
      </c>
      <c r="S474" s="694">
        <f t="shared" si="545"/>
        <v>0</v>
      </c>
      <c r="T474" s="694">
        <f t="shared" si="545"/>
        <v>0</v>
      </c>
      <c r="U474" s="694">
        <f t="shared" si="545"/>
        <v>0</v>
      </c>
      <c r="V474" s="694">
        <f t="shared" si="545"/>
        <v>0</v>
      </c>
      <c r="W474" s="694">
        <f t="shared" si="545"/>
        <v>0</v>
      </c>
      <c r="X474" s="694">
        <f t="shared" si="545"/>
        <v>0</v>
      </c>
      <c r="Y474" s="694">
        <f t="shared" si="545"/>
        <v>0</v>
      </c>
      <c r="Z474" s="694">
        <f t="shared" si="545"/>
        <v>0</v>
      </c>
      <c r="AA474" s="694">
        <f t="shared" si="545"/>
        <v>0</v>
      </c>
      <c r="AB474" s="694">
        <f t="shared" si="545"/>
        <v>0</v>
      </c>
    </row>
    <row r="475" spans="1:64" s="83" customFormat="1" x14ac:dyDescent="0.25">
      <c r="B475" s="178" t="str">
        <f t="shared" si="541"/>
        <v>TFREPYD100</v>
      </c>
      <c r="C475" s="178"/>
      <c r="D475" s="179"/>
      <c r="E475" s="178"/>
      <c r="F475" s="182"/>
      <c r="G475" s="181"/>
      <c r="H475" s="182"/>
      <c r="I475" s="183">
        <f>AF$6</f>
        <v>2025</v>
      </c>
      <c r="J475" s="184"/>
      <c r="K475" s="184"/>
      <c r="L475" s="203" t="s">
        <v>1065</v>
      </c>
      <c r="M475" s="184" t="s">
        <v>748</v>
      </c>
      <c r="N475" s="694">
        <f t="shared" ref="N475:AB475" si="546">N473*LOOKUP($AD466,$AG$4:$AP$4,$AG$6:$AP$6)</f>
        <v>0</v>
      </c>
      <c r="O475" s="694">
        <f t="shared" si="546"/>
        <v>0</v>
      </c>
      <c r="P475" s="694">
        <f t="shared" si="546"/>
        <v>0</v>
      </c>
      <c r="Q475" s="694">
        <f t="shared" si="546"/>
        <v>0</v>
      </c>
      <c r="R475" s="694">
        <f t="shared" si="546"/>
        <v>0</v>
      </c>
      <c r="S475" s="694">
        <f t="shared" si="546"/>
        <v>0</v>
      </c>
      <c r="T475" s="694">
        <f t="shared" si="546"/>
        <v>0</v>
      </c>
      <c r="U475" s="694">
        <f t="shared" si="546"/>
        <v>0</v>
      </c>
      <c r="V475" s="694">
        <f t="shared" si="546"/>
        <v>0</v>
      </c>
      <c r="W475" s="694">
        <f t="shared" si="546"/>
        <v>0</v>
      </c>
      <c r="X475" s="694">
        <f t="shared" si="546"/>
        <v>0</v>
      </c>
      <c r="Y475" s="694">
        <f t="shared" si="546"/>
        <v>0</v>
      </c>
      <c r="Z475" s="694">
        <f t="shared" si="546"/>
        <v>0</v>
      </c>
      <c r="AA475" s="694">
        <f t="shared" si="546"/>
        <v>0</v>
      </c>
      <c r="AB475" s="694">
        <f t="shared" si="546"/>
        <v>0</v>
      </c>
    </row>
    <row r="476" spans="1:64" s="83" customFormat="1" x14ac:dyDescent="0.25">
      <c r="B476" s="178" t="str">
        <f t="shared" si="541"/>
        <v>TFREPYD100</v>
      </c>
      <c r="C476" s="178"/>
      <c r="D476" s="179"/>
      <c r="E476" s="178"/>
      <c r="F476" s="182"/>
      <c r="G476" s="181"/>
      <c r="H476" s="182"/>
      <c r="I476" s="183">
        <f>AF$7</f>
        <v>2030</v>
      </c>
      <c r="J476" s="184"/>
      <c r="K476" s="184"/>
      <c r="L476" s="203" t="s">
        <v>1065</v>
      </c>
      <c r="M476" s="184" t="s">
        <v>748</v>
      </c>
      <c r="N476" s="694">
        <f t="shared" ref="N476:AB476" si="547">N473*LOOKUP($AD466,$AG$4:$AP$4,$AG$7:$AP$7)</f>
        <v>0</v>
      </c>
      <c r="O476" s="694">
        <f t="shared" si="547"/>
        <v>0</v>
      </c>
      <c r="P476" s="694">
        <f t="shared" si="547"/>
        <v>0</v>
      </c>
      <c r="Q476" s="694">
        <f t="shared" si="547"/>
        <v>0</v>
      </c>
      <c r="R476" s="694">
        <f t="shared" si="547"/>
        <v>0</v>
      </c>
      <c r="S476" s="694">
        <f t="shared" si="547"/>
        <v>0</v>
      </c>
      <c r="T476" s="694">
        <f t="shared" si="547"/>
        <v>0</v>
      </c>
      <c r="U476" s="694">
        <f t="shared" si="547"/>
        <v>0</v>
      </c>
      <c r="V476" s="694">
        <f t="shared" si="547"/>
        <v>0</v>
      </c>
      <c r="W476" s="694">
        <f t="shared" si="547"/>
        <v>0</v>
      </c>
      <c r="X476" s="694">
        <f t="shared" si="547"/>
        <v>0</v>
      </c>
      <c r="Y476" s="694">
        <f t="shared" si="547"/>
        <v>0</v>
      </c>
      <c r="Z476" s="694">
        <f t="shared" si="547"/>
        <v>0</v>
      </c>
      <c r="AA476" s="694">
        <f t="shared" si="547"/>
        <v>0</v>
      </c>
      <c r="AB476" s="694">
        <f t="shared" si="547"/>
        <v>0</v>
      </c>
    </row>
    <row r="477" spans="1:64" s="83" customFormat="1" x14ac:dyDescent="0.25">
      <c r="B477" s="178" t="str">
        <f t="shared" si="541"/>
        <v>TFREPYD100</v>
      </c>
      <c r="C477" s="178"/>
      <c r="D477" s="179"/>
      <c r="E477" s="178"/>
      <c r="F477" s="182"/>
      <c r="G477" s="181"/>
      <c r="H477" s="182"/>
      <c r="I477" s="183">
        <f>AF$8</f>
        <v>2035</v>
      </c>
      <c r="J477" s="184"/>
      <c r="K477" s="184"/>
      <c r="L477" s="203" t="s">
        <v>1065</v>
      </c>
      <c r="M477" s="184" t="s">
        <v>748</v>
      </c>
      <c r="N477" s="694">
        <f t="shared" ref="N477:AB477" si="548">N473*LOOKUP($AD466,$AG$4:$AP$4,$AG$8:$AP$8)</f>
        <v>0</v>
      </c>
      <c r="O477" s="694">
        <f t="shared" si="548"/>
        <v>0</v>
      </c>
      <c r="P477" s="694">
        <f t="shared" si="548"/>
        <v>0</v>
      </c>
      <c r="Q477" s="694">
        <f t="shared" si="548"/>
        <v>0</v>
      </c>
      <c r="R477" s="694">
        <f t="shared" si="548"/>
        <v>0</v>
      </c>
      <c r="S477" s="694">
        <f t="shared" si="548"/>
        <v>0</v>
      </c>
      <c r="T477" s="694">
        <f t="shared" si="548"/>
        <v>0</v>
      </c>
      <c r="U477" s="694">
        <f t="shared" si="548"/>
        <v>0</v>
      </c>
      <c r="V477" s="694">
        <f t="shared" si="548"/>
        <v>0</v>
      </c>
      <c r="W477" s="694">
        <f t="shared" si="548"/>
        <v>0</v>
      </c>
      <c r="X477" s="694">
        <f t="shared" si="548"/>
        <v>0</v>
      </c>
      <c r="Y477" s="694">
        <f t="shared" si="548"/>
        <v>0</v>
      </c>
      <c r="Z477" s="694">
        <f t="shared" si="548"/>
        <v>0</v>
      </c>
      <c r="AA477" s="694">
        <f t="shared" si="548"/>
        <v>0</v>
      </c>
      <c r="AB477" s="694">
        <f t="shared" si="548"/>
        <v>0</v>
      </c>
    </row>
    <row r="478" spans="1:64" s="83" customFormat="1" x14ac:dyDescent="0.25">
      <c r="B478" s="178" t="str">
        <f t="shared" si="541"/>
        <v>TFREPYD100</v>
      </c>
      <c r="C478" s="178"/>
      <c r="D478" s="179"/>
      <c r="E478" s="178"/>
      <c r="F478" s="182"/>
      <c r="G478" s="181"/>
      <c r="H478" s="182"/>
      <c r="I478" s="183">
        <f>AF$9</f>
        <v>2040</v>
      </c>
      <c r="J478" s="184"/>
      <c r="K478" s="184"/>
      <c r="L478" s="203" t="s">
        <v>1065</v>
      </c>
      <c r="M478" s="184" t="s">
        <v>748</v>
      </c>
      <c r="N478" s="694">
        <f t="shared" ref="N478:AB478" si="549">N473*LOOKUP($AD466,$AG$4:$AP$4,$AG$9:$AP$9)</f>
        <v>0</v>
      </c>
      <c r="O478" s="694">
        <f t="shared" si="549"/>
        <v>0</v>
      </c>
      <c r="P478" s="694">
        <f t="shared" si="549"/>
        <v>0</v>
      </c>
      <c r="Q478" s="694">
        <f t="shared" si="549"/>
        <v>0</v>
      </c>
      <c r="R478" s="694">
        <f t="shared" si="549"/>
        <v>0</v>
      </c>
      <c r="S478" s="694">
        <f t="shared" si="549"/>
        <v>0</v>
      </c>
      <c r="T478" s="694">
        <f t="shared" si="549"/>
        <v>0</v>
      </c>
      <c r="U478" s="694">
        <f t="shared" si="549"/>
        <v>0</v>
      </c>
      <c r="V478" s="694">
        <f t="shared" si="549"/>
        <v>0</v>
      </c>
      <c r="W478" s="694">
        <f t="shared" si="549"/>
        <v>0</v>
      </c>
      <c r="X478" s="694">
        <f t="shared" si="549"/>
        <v>0</v>
      </c>
      <c r="Y478" s="694">
        <f t="shared" si="549"/>
        <v>0</v>
      </c>
      <c r="Z478" s="694">
        <f t="shared" si="549"/>
        <v>0</v>
      </c>
      <c r="AA478" s="694">
        <f t="shared" si="549"/>
        <v>0</v>
      </c>
      <c r="AB478" s="694">
        <f t="shared" si="549"/>
        <v>0</v>
      </c>
    </row>
    <row r="479" spans="1:64" s="83" customFormat="1" x14ac:dyDescent="0.25">
      <c r="B479" s="204" t="str">
        <f t="shared" si="541"/>
        <v>TFREPYD100</v>
      </c>
      <c r="C479" s="204"/>
      <c r="D479" s="205"/>
      <c r="E479" s="204"/>
      <c r="F479" s="206"/>
      <c r="G479" s="207"/>
      <c r="H479" s="206"/>
      <c r="I479" s="208">
        <f>AF$10</f>
        <v>2050</v>
      </c>
      <c r="J479" s="209"/>
      <c r="K479" s="209"/>
      <c r="L479" s="210" t="s">
        <v>1065</v>
      </c>
      <c r="M479" s="209" t="s">
        <v>748</v>
      </c>
      <c r="N479" s="695">
        <f t="shared" ref="N479:AB479" si="550">N473*LOOKUP($AD466,$AG$4:$AP$4,$AG$10:$AP$10)</f>
        <v>0</v>
      </c>
      <c r="O479" s="695">
        <f t="shared" si="550"/>
        <v>0</v>
      </c>
      <c r="P479" s="695">
        <f t="shared" si="550"/>
        <v>0</v>
      </c>
      <c r="Q479" s="695">
        <f t="shared" si="550"/>
        <v>0</v>
      </c>
      <c r="R479" s="695">
        <f t="shared" si="550"/>
        <v>0</v>
      </c>
      <c r="S479" s="695">
        <f t="shared" si="550"/>
        <v>0</v>
      </c>
      <c r="T479" s="695">
        <f t="shared" si="550"/>
        <v>0</v>
      </c>
      <c r="U479" s="695">
        <f t="shared" si="550"/>
        <v>0</v>
      </c>
      <c r="V479" s="695">
        <f t="shared" si="550"/>
        <v>0</v>
      </c>
      <c r="W479" s="695">
        <f t="shared" si="550"/>
        <v>0</v>
      </c>
      <c r="X479" s="695">
        <f t="shared" si="550"/>
        <v>0</v>
      </c>
      <c r="Y479" s="695">
        <f t="shared" si="550"/>
        <v>0</v>
      </c>
      <c r="Z479" s="695">
        <f t="shared" si="550"/>
        <v>0</v>
      </c>
      <c r="AA479" s="695">
        <f t="shared" si="550"/>
        <v>0</v>
      </c>
      <c r="AB479" s="695">
        <f t="shared" si="550"/>
        <v>0</v>
      </c>
    </row>
    <row r="480" spans="1:64" s="83" customFormat="1" x14ac:dyDescent="0.25">
      <c r="A480" s="82"/>
      <c r="B480" s="178" t="str">
        <f>C480</f>
        <v>TFREPYG100</v>
      </c>
      <c r="C480" s="178" t="s">
        <v>379</v>
      </c>
      <c r="D480" s="179" t="s">
        <v>868</v>
      </c>
      <c r="E480" s="407" t="s">
        <v>1014</v>
      </c>
      <c r="F480" s="182"/>
      <c r="G480" s="181"/>
      <c r="H480" s="182"/>
      <c r="I480" s="183"/>
      <c r="J480" s="184"/>
      <c r="K480" s="184"/>
      <c r="L480" s="203" t="s">
        <v>1107</v>
      </c>
      <c r="M480" s="184" t="s">
        <v>1125</v>
      </c>
      <c r="N480" s="378">
        <f>N$502</f>
        <v>1E-3</v>
      </c>
      <c r="O480" s="378">
        <f t="shared" ref="O480:AB480" si="551">$N480</f>
        <v>1E-3</v>
      </c>
      <c r="P480" s="378">
        <f t="shared" si="551"/>
        <v>1E-3</v>
      </c>
      <c r="Q480" s="378">
        <f t="shared" si="551"/>
        <v>1E-3</v>
      </c>
      <c r="R480" s="378">
        <f t="shared" si="551"/>
        <v>1E-3</v>
      </c>
      <c r="S480" s="378">
        <f t="shared" si="551"/>
        <v>1E-3</v>
      </c>
      <c r="T480" s="378">
        <f t="shared" si="551"/>
        <v>1E-3</v>
      </c>
      <c r="U480" s="378">
        <f t="shared" si="551"/>
        <v>1E-3</v>
      </c>
      <c r="V480" s="378">
        <f t="shared" si="551"/>
        <v>1E-3</v>
      </c>
      <c r="W480" s="378">
        <f t="shared" si="551"/>
        <v>1E-3</v>
      </c>
      <c r="X480" s="378">
        <f t="shared" si="551"/>
        <v>1E-3</v>
      </c>
      <c r="Y480" s="378">
        <f t="shared" si="551"/>
        <v>1E-3</v>
      </c>
      <c r="Z480" s="378">
        <f t="shared" si="551"/>
        <v>1E-3</v>
      </c>
      <c r="AA480" s="378">
        <f t="shared" si="551"/>
        <v>1E-3</v>
      </c>
      <c r="AB480" s="378">
        <f t="shared" si="551"/>
        <v>1E-3</v>
      </c>
      <c r="AD480" s="402" t="str">
        <f>MID(D480,13,3)</f>
        <v>Plu</v>
      </c>
      <c r="AV480" s="700" t="str">
        <f t="shared" ref="AV480:AV482" si="552">MID(E480,1,7)</f>
        <v>TRAGSL</v>
      </c>
      <c r="AW480" s="568">
        <f t="shared" ref="AW480:AW481" si="553">SUM(AX480:BL480)</f>
        <v>0</v>
      </c>
    </row>
    <row r="481" spans="1:64" s="83" customFormat="1" x14ac:dyDescent="0.25">
      <c r="A481" s="82"/>
      <c r="B481" s="178" t="str">
        <f>B480</f>
        <v>TFREPYG100</v>
      </c>
      <c r="C481" s="178"/>
      <c r="D481" s="179"/>
      <c r="E481" s="407" t="s">
        <v>1012</v>
      </c>
      <c r="F481" s="182"/>
      <c r="G481" s="181"/>
      <c r="H481" s="182"/>
      <c r="I481" s="183"/>
      <c r="J481" s="184" t="s">
        <v>1127</v>
      </c>
      <c r="K481" s="184"/>
      <c r="L481" s="203" t="s">
        <v>101</v>
      </c>
      <c r="M481" s="184"/>
      <c r="N481" s="390">
        <f>N$30</f>
        <v>0.03</v>
      </c>
      <c r="O481" s="390">
        <f t="shared" ref="O481:AB481" si="554">O$30</f>
        <v>0.03</v>
      </c>
      <c r="P481" s="390">
        <f t="shared" si="554"/>
        <v>0.03</v>
      </c>
      <c r="Q481" s="390">
        <f t="shared" si="554"/>
        <v>0.03</v>
      </c>
      <c r="R481" s="390">
        <f t="shared" si="554"/>
        <v>0.03</v>
      </c>
      <c r="S481" s="390">
        <f t="shared" si="554"/>
        <v>0.03</v>
      </c>
      <c r="T481" s="390">
        <f t="shared" si="554"/>
        <v>0.03</v>
      </c>
      <c r="U481" s="390">
        <f t="shared" si="554"/>
        <v>0.03</v>
      </c>
      <c r="V481" s="390">
        <f t="shared" si="554"/>
        <v>0.03</v>
      </c>
      <c r="W481" s="390">
        <f t="shared" si="554"/>
        <v>0.03</v>
      </c>
      <c r="X481" s="390">
        <f t="shared" si="554"/>
        <v>0.03</v>
      </c>
      <c r="Y481" s="390">
        <f t="shared" si="554"/>
        <v>0.03</v>
      </c>
      <c r="Z481" s="390">
        <f t="shared" si="554"/>
        <v>0.03</v>
      </c>
      <c r="AA481" s="390">
        <f t="shared" si="554"/>
        <v>0.03</v>
      </c>
      <c r="AB481" s="390">
        <f t="shared" si="554"/>
        <v>0.03</v>
      </c>
      <c r="AD481" s="66" t="str">
        <f>IF(COUNTIF($AG$4:$AP$4,AD480)=1,"ok","MISSING")</f>
        <v>ok</v>
      </c>
      <c r="AF481" s="333"/>
      <c r="AV481" s="700" t="str">
        <f t="shared" si="552"/>
        <v>TRAETHM</v>
      </c>
      <c r="AW481" s="568">
        <f t="shared" si="553"/>
        <v>0</v>
      </c>
    </row>
    <row r="482" spans="1:64" s="83" customFormat="1" x14ac:dyDescent="0.25">
      <c r="B482" s="178" t="str">
        <f t="shared" ref="B482:B492" si="555">B481</f>
        <v>TFREPYG100</v>
      </c>
      <c r="C482" s="178"/>
      <c r="D482" s="179"/>
      <c r="E482" s="178"/>
      <c r="F482" s="182"/>
      <c r="G482" s="173" t="s">
        <v>439</v>
      </c>
      <c r="H482" s="182"/>
      <c r="I482" s="183"/>
      <c r="J482" s="184"/>
      <c r="K482" s="184"/>
      <c r="L482" s="184" t="s">
        <v>1126</v>
      </c>
      <c r="M482" s="184" t="s">
        <v>678</v>
      </c>
      <c r="N482" s="414">
        <f>T_CEFF!H222</f>
        <v>72.727270000000004</v>
      </c>
      <c r="O482" s="414">
        <f>T_CEFF!I222</f>
        <v>72.727270000000004</v>
      </c>
      <c r="P482" s="414">
        <f>T_CEFF!J222</f>
        <v>72.727270000000004</v>
      </c>
      <c r="Q482" s="414">
        <f>T_CEFF!K222</f>
        <v>72.727270000000004</v>
      </c>
      <c r="R482" s="414">
        <f>T_CEFF!L222</f>
        <v>72.727270000000004</v>
      </c>
      <c r="S482" s="414">
        <f>T_CEFF!M222</f>
        <v>72.727270000000004</v>
      </c>
      <c r="T482" s="414">
        <f>T_CEFF!N222</f>
        <v>72.727270000000004</v>
      </c>
      <c r="U482" s="414">
        <f>T_CEFF!O222</f>
        <v>72.727270000000004</v>
      </c>
      <c r="V482" s="414">
        <f>T_CEFF!P222</f>
        <v>72.727270000000004</v>
      </c>
      <c r="W482" s="414">
        <f>T_CEFF!Q222</f>
        <v>72.727270000000004</v>
      </c>
      <c r="X482" s="414">
        <f>T_CEFF!R222</f>
        <v>72.727270000000004</v>
      </c>
      <c r="Y482" s="414">
        <f>T_CEFF!S222</f>
        <v>72.727270000000004</v>
      </c>
      <c r="Z482" s="414">
        <f>T_CEFF!T222</f>
        <v>72.727270000000004</v>
      </c>
      <c r="AA482" s="414">
        <f>T_CEFF!U222</f>
        <v>72.727270000000004</v>
      </c>
      <c r="AB482" s="414">
        <f>T_CEFF!V222</f>
        <v>72.727270000000004</v>
      </c>
      <c r="AV482" s="700" t="str">
        <f t="shared" si="552"/>
        <v/>
      </c>
      <c r="AW482" s="568"/>
    </row>
    <row r="483" spans="1:64" s="83" customFormat="1" x14ac:dyDescent="0.25">
      <c r="B483" s="178" t="str">
        <f t="shared" si="555"/>
        <v>TFREPYG100</v>
      </c>
      <c r="C483" s="178"/>
      <c r="D483" s="179"/>
      <c r="E483" s="178"/>
      <c r="F483" s="182"/>
      <c r="G483" s="173" t="s">
        <v>437</v>
      </c>
      <c r="H483" s="182"/>
      <c r="I483" s="183"/>
      <c r="J483" s="184"/>
      <c r="K483" s="184"/>
      <c r="L483" s="184" t="s">
        <v>1126</v>
      </c>
      <c r="M483" s="184" t="s">
        <v>678</v>
      </c>
      <c r="N483" s="414">
        <f>T_CEFF!H223</f>
        <v>72.727270000000004</v>
      </c>
      <c r="O483" s="414">
        <f>T_CEFF!I223</f>
        <v>72.727270000000004</v>
      </c>
      <c r="P483" s="414">
        <f>T_CEFF!J223</f>
        <v>72.727270000000004</v>
      </c>
      <c r="Q483" s="414">
        <f>T_CEFF!K223</f>
        <v>72.727270000000004</v>
      </c>
      <c r="R483" s="414">
        <f>T_CEFF!L223</f>
        <v>72.727270000000004</v>
      </c>
      <c r="S483" s="414">
        <f>T_CEFF!M223</f>
        <v>72.727270000000004</v>
      </c>
      <c r="T483" s="414">
        <f>T_CEFF!N223</f>
        <v>72.727270000000004</v>
      </c>
      <c r="U483" s="414">
        <f>T_CEFF!O223</f>
        <v>72.727270000000004</v>
      </c>
      <c r="V483" s="414">
        <f>T_CEFF!P223</f>
        <v>72.727270000000004</v>
      </c>
      <c r="W483" s="414">
        <f>T_CEFF!Q223</f>
        <v>72.727270000000004</v>
      </c>
      <c r="X483" s="414">
        <f>T_CEFF!R223</f>
        <v>72.727270000000004</v>
      </c>
      <c r="Y483" s="414">
        <f>T_CEFF!S223</f>
        <v>72.727270000000004</v>
      </c>
      <c r="Z483" s="414">
        <f>T_CEFF!T223</f>
        <v>72.727270000000004</v>
      </c>
      <c r="AA483" s="414">
        <f>T_CEFF!U223</f>
        <v>72.727270000000004</v>
      </c>
      <c r="AB483" s="414">
        <f>T_CEFF!V223</f>
        <v>72.727270000000004</v>
      </c>
      <c r="AV483" s="700" t="str">
        <f t="shared" ref="AV483:AV484" si="556">MID(E483,1,7)</f>
        <v/>
      </c>
      <c r="AW483" s="568"/>
    </row>
    <row r="484" spans="1:64" s="83" customFormat="1" x14ac:dyDescent="0.25">
      <c r="B484" s="178" t="str">
        <f>B483</f>
        <v>TFREPYG100</v>
      </c>
      <c r="C484" s="178"/>
      <c r="D484" s="179"/>
      <c r="E484" s="178"/>
      <c r="F484" s="182"/>
      <c r="G484" s="181"/>
      <c r="H484" s="182"/>
      <c r="I484" s="183"/>
      <c r="J484" s="184"/>
      <c r="K484" s="184" t="s">
        <v>749</v>
      </c>
      <c r="L484" s="184" t="s">
        <v>1128</v>
      </c>
      <c r="M484" s="184" t="s">
        <v>1175</v>
      </c>
      <c r="N484" s="368">
        <f t="shared" ref="N484:AB484" si="557">N$25</f>
        <v>8.61</v>
      </c>
      <c r="O484" s="368">
        <f t="shared" si="557"/>
        <v>0</v>
      </c>
      <c r="P484" s="368">
        <f t="shared" si="557"/>
        <v>0</v>
      </c>
      <c r="Q484" s="368">
        <f t="shared" si="557"/>
        <v>0</v>
      </c>
      <c r="R484" s="368">
        <f t="shared" si="557"/>
        <v>0</v>
      </c>
      <c r="S484" s="368">
        <f t="shared" si="557"/>
        <v>0</v>
      </c>
      <c r="T484" s="368">
        <f t="shared" si="557"/>
        <v>0</v>
      </c>
      <c r="U484" s="368">
        <f t="shared" si="557"/>
        <v>0</v>
      </c>
      <c r="V484" s="368">
        <f t="shared" si="557"/>
        <v>0</v>
      </c>
      <c r="W484" s="368">
        <f t="shared" si="557"/>
        <v>0</v>
      </c>
      <c r="X484" s="368">
        <f t="shared" si="557"/>
        <v>0</v>
      </c>
      <c r="Y484" s="368">
        <f t="shared" si="557"/>
        <v>0</v>
      </c>
      <c r="Z484" s="368">
        <f t="shared" si="557"/>
        <v>0</v>
      </c>
      <c r="AA484" s="368">
        <f t="shared" si="557"/>
        <v>0</v>
      </c>
      <c r="AB484" s="368">
        <f t="shared" si="557"/>
        <v>0</v>
      </c>
      <c r="AV484" s="700" t="str">
        <f t="shared" si="556"/>
        <v/>
      </c>
      <c r="AW484" s="568"/>
    </row>
    <row r="485" spans="1:64" s="83" customFormat="1" x14ac:dyDescent="0.25">
      <c r="B485" s="178" t="str">
        <f t="shared" si="555"/>
        <v>TFREPYG100</v>
      </c>
      <c r="C485" s="178"/>
      <c r="D485" s="179"/>
      <c r="E485" s="178"/>
      <c r="F485" s="182"/>
      <c r="G485" s="181"/>
      <c r="H485" s="182"/>
      <c r="I485" s="183"/>
      <c r="J485" s="184"/>
      <c r="K485" s="184"/>
      <c r="L485" s="203" t="s">
        <v>1130</v>
      </c>
      <c r="M485" s="184" t="s">
        <v>1131</v>
      </c>
      <c r="N485" s="397">
        <f>LOOKUP($C$480, T_NCAP_AF!$C$185:$C$195, T_NCAP_AF!D$185:D$195)*(1+N344)</f>
        <v>27.266668363999997</v>
      </c>
      <c r="O485" s="397">
        <f>LOOKUP($C$480, T_NCAP_AF!$C$185:$C$195, T_NCAP_AF!E$185:E$195)*(1+O344)</f>
        <v>0</v>
      </c>
      <c r="P485" s="397">
        <f>LOOKUP($C$480, T_NCAP_AF!$C$185:$C$195, T_NCAP_AF!F$185:F$195)*(1+P344)</f>
        <v>0</v>
      </c>
      <c r="Q485" s="397">
        <f>LOOKUP($C$480, T_NCAP_AF!$C$185:$C$195, T_NCAP_AF!G$185:G$195)*(1+Q344)</f>
        <v>0</v>
      </c>
      <c r="R485" s="397">
        <f>LOOKUP($C$480, T_NCAP_AF!$C$185:$C$195, T_NCAP_AF!H$185:H$195)*(1+R344)</f>
        <v>0</v>
      </c>
      <c r="S485" s="397">
        <f>LOOKUP($C$480, T_NCAP_AF!$C$185:$C$195, T_NCAP_AF!I$185:I$195)*(1+S344)</f>
        <v>0</v>
      </c>
      <c r="T485" s="397">
        <f>LOOKUP($C$480, T_NCAP_AF!$C$185:$C$195, T_NCAP_AF!J$185:J$195)*(1+T344)</f>
        <v>0</v>
      </c>
      <c r="U485" s="397">
        <f>LOOKUP($C$480, T_NCAP_AF!$C$185:$C$195, T_NCAP_AF!K$185:K$195)*(1+U344)</f>
        <v>0</v>
      </c>
      <c r="V485" s="397">
        <f>LOOKUP($C$480, T_NCAP_AF!$C$185:$C$195, T_NCAP_AF!L$185:L$195)*(1+V344)</f>
        <v>0</v>
      </c>
      <c r="W485" s="397">
        <f>LOOKUP($C$480, T_NCAP_AF!$C$185:$C$195, T_NCAP_AF!M$185:M$195)*(1+W344)</f>
        <v>0</v>
      </c>
      <c r="X485" s="397">
        <f>LOOKUP($C$480, T_NCAP_AF!$C$185:$C$195, T_NCAP_AF!N$185:N$195)*(1+X344)</f>
        <v>0</v>
      </c>
      <c r="Y485" s="397">
        <f>LOOKUP($C$480, T_NCAP_AF!$C$185:$C$195, T_NCAP_AF!O$185:O$195)*(1+Y344)</f>
        <v>0</v>
      </c>
      <c r="Z485" s="397">
        <f>LOOKUP($C$480, T_NCAP_AF!$C$185:$C$195, T_NCAP_AF!P$185:P$195)*(1+Z344)</f>
        <v>0</v>
      </c>
      <c r="AA485" s="397">
        <f>LOOKUP($C$480, T_NCAP_AF!$C$185:$C$195, T_NCAP_AF!Q$185:Q$195)*(1+AA344)</f>
        <v>0</v>
      </c>
      <c r="AB485" s="397">
        <f>LOOKUP($C$480, T_NCAP_AF!$C$185:$C$195, T_NCAP_AF!R$185:R$195)*(1+AB344)</f>
        <v>0</v>
      </c>
      <c r="AE485" s="572">
        <f>SUM(AF485:AT485)</f>
        <v>0</v>
      </c>
      <c r="AF485" s="85">
        <f t="shared" ref="AF485:AT485" si="558">N484*N485*N486/1000</f>
        <v>0</v>
      </c>
      <c r="AG485" s="85">
        <f t="shared" si="558"/>
        <v>0</v>
      </c>
      <c r="AH485" s="85">
        <f t="shared" si="558"/>
        <v>0</v>
      </c>
      <c r="AI485" s="85">
        <f t="shared" si="558"/>
        <v>0</v>
      </c>
      <c r="AJ485" s="85">
        <f t="shared" si="558"/>
        <v>0</v>
      </c>
      <c r="AK485" s="85">
        <f t="shared" si="558"/>
        <v>0</v>
      </c>
      <c r="AL485" s="85">
        <f t="shared" si="558"/>
        <v>0</v>
      </c>
      <c r="AM485" s="85">
        <f t="shared" si="558"/>
        <v>0</v>
      </c>
      <c r="AN485" s="85">
        <f t="shared" si="558"/>
        <v>0</v>
      </c>
      <c r="AO485" s="85">
        <f t="shared" si="558"/>
        <v>0</v>
      </c>
      <c r="AP485" s="85">
        <f t="shared" si="558"/>
        <v>0</v>
      </c>
      <c r="AQ485" s="85">
        <f t="shared" si="558"/>
        <v>0</v>
      </c>
      <c r="AR485" s="85">
        <f t="shared" si="558"/>
        <v>0</v>
      </c>
      <c r="AS485" s="85">
        <f t="shared" si="558"/>
        <v>0</v>
      </c>
      <c r="AT485" s="85">
        <f t="shared" si="558"/>
        <v>0</v>
      </c>
    </row>
    <row r="486" spans="1:64" s="83" customFormat="1" x14ac:dyDescent="0.25">
      <c r="B486" s="178" t="str">
        <f>B485</f>
        <v>TFREPYG100</v>
      </c>
      <c r="C486" s="178"/>
      <c r="D486" s="179"/>
      <c r="E486" s="178"/>
      <c r="F486" s="182"/>
      <c r="G486" s="181"/>
      <c r="H486" s="182"/>
      <c r="I486" s="183">
        <f>$M$3</f>
        <v>2019</v>
      </c>
      <c r="J486" s="184"/>
      <c r="K486" s="184"/>
      <c r="L486" s="203" t="s">
        <v>1065</v>
      </c>
      <c r="M486" s="184" t="s">
        <v>748</v>
      </c>
      <c r="N486" s="694">
        <f>LOOKUP($C$480, T_Stock_Private!$C$122:$C$133, T_Stock_Private!D$122:D$133)*(1+N345)</f>
        <v>0</v>
      </c>
      <c r="O486" s="694">
        <f>LOOKUP($C$480, T_Stock_Private!$C$122:$C$133, T_Stock_Private!E$122:E$133)*(1+O345)</f>
        <v>0</v>
      </c>
      <c r="P486" s="694">
        <f>LOOKUP($C$480, T_Stock_Private!$C$122:$C$133, T_Stock_Private!F$122:F$133)*(1+P345)</f>
        <v>0</v>
      </c>
      <c r="Q486" s="694">
        <f>LOOKUP($C$480, T_Stock_Private!$C$122:$C$133, T_Stock_Private!G$122:G$133)*(1+Q345)</f>
        <v>0</v>
      </c>
      <c r="R486" s="694">
        <f>LOOKUP($C$480, T_Stock_Private!$C$122:$C$133, T_Stock_Private!H$122:H$133)*(1+R345)</f>
        <v>0</v>
      </c>
      <c r="S486" s="694">
        <f>LOOKUP($C$480, T_Stock_Private!$C$122:$C$133, T_Stock_Private!I$122:I$133)*(1+S345)</f>
        <v>0</v>
      </c>
      <c r="T486" s="694">
        <f>LOOKUP($C$480, T_Stock_Private!$C$122:$C$133, T_Stock_Private!J$122:J$133)*(1+T345)</f>
        <v>0</v>
      </c>
      <c r="U486" s="694">
        <f>LOOKUP($C$480, T_Stock_Private!$C$122:$C$133, T_Stock_Private!K$122:K$133)*(1+U345)</f>
        <v>0</v>
      </c>
      <c r="V486" s="694">
        <f>LOOKUP($C$480, T_Stock_Private!$C$122:$C$133, T_Stock_Private!L$122:L$133)*(1+V345)</f>
        <v>0</v>
      </c>
      <c r="W486" s="694">
        <f>LOOKUP($C$480, T_Stock_Private!$C$122:$C$133, T_Stock_Private!M$122:M$133)*(1+W345)</f>
        <v>0</v>
      </c>
      <c r="X486" s="694">
        <f>LOOKUP($C$480, T_Stock_Private!$C$122:$C$133, T_Stock_Private!N$122:N$133)*(1+X345)</f>
        <v>0</v>
      </c>
      <c r="Y486" s="694">
        <f>LOOKUP($C$480, T_Stock_Private!$C$122:$C$133, T_Stock_Private!O$122:O$133)*(1+Y345)</f>
        <v>0</v>
      </c>
      <c r="Z486" s="694">
        <f>LOOKUP($C$480, T_Stock_Private!$C$122:$C$133, T_Stock_Private!P$122:P$133)*(1+Z345)</f>
        <v>0</v>
      </c>
      <c r="AA486" s="694">
        <f>LOOKUP($C$480, T_Stock_Private!$C$122:$C$133, T_Stock_Private!Q$122:Q$133)*(1+AA345)</f>
        <v>0</v>
      </c>
      <c r="AB486" s="694">
        <f>LOOKUP($C$480, T_Stock_Private!$C$122:$C$133, T_Stock_Private!R$122:R$133)*(1+AB345)</f>
        <v>0</v>
      </c>
      <c r="AC486" s="89"/>
    </row>
    <row r="487" spans="1:64" s="83" customFormat="1" x14ac:dyDescent="0.25">
      <c r="B487" s="178" t="str">
        <f t="shared" si="555"/>
        <v>TFREPYG100</v>
      </c>
      <c r="C487" s="178"/>
      <c r="D487" s="179"/>
      <c r="E487" s="178"/>
      <c r="F487" s="182"/>
      <c r="G487" s="181"/>
      <c r="H487" s="182"/>
      <c r="I487" s="183">
        <f>AF$5</f>
        <v>2020</v>
      </c>
      <c r="J487" s="184"/>
      <c r="K487" s="184"/>
      <c r="L487" s="203" t="s">
        <v>1065</v>
      </c>
      <c r="M487" s="184" t="s">
        <v>748</v>
      </c>
      <c r="N487" s="694">
        <f t="shared" ref="N487:AB487" si="559">N486*LOOKUP($AD480,$AG$4:$AP$4,$AG$5:$AP$5)</f>
        <v>0</v>
      </c>
      <c r="O487" s="694">
        <f t="shared" si="559"/>
        <v>0</v>
      </c>
      <c r="P487" s="694">
        <f t="shared" si="559"/>
        <v>0</v>
      </c>
      <c r="Q487" s="694">
        <f t="shared" si="559"/>
        <v>0</v>
      </c>
      <c r="R487" s="694">
        <f t="shared" si="559"/>
        <v>0</v>
      </c>
      <c r="S487" s="694">
        <f t="shared" si="559"/>
        <v>0</v>
      </c>
      <c r="T487" s="694">
        <f t="shared" si="559"/>
        <v>0</v>
      </c>
      <c r="U487" s="694">
        <f t="shared" si="559"/>
        <v>0</v>
      </c>
      <c r="V487" s="694">
        <f t="shared" si="559"/>
        <v>0</v>
      </c>
      <c r="W487" s="694">
        <f t="shared" si="559"/>
        <v>0</v>
      </c>
      <c r="X487" s="694">
        <f t="shared" si="559"/>
        <v>0</v>
      </c>
      <c r="Y487" s="694">
        <f t="shared" si="559"/>
        <v>0</v>
      </c>
      <c r="Z487" s="694">
        <f t="shared" si="559"/>
        <v>0</v>
      </c>
      <c r="AA487" s="694">
        <f t="shared" si="559"/>
        <v>0</v>
      </c>
      <c r="AB487" s="694">
        <f t="shared" si="559"/>
        <v>0</v>
      </c>
    </row>
    <row r="488" spans="1:64" s="83" customFormat="1" x14ac:dyDescent="0.25">
      <c r="B488" s="178" t="str">
        <f t="shared" si="555"/>
        <v>TFREPYG100</v>
      </c>
      <c r="C488" s="178"/>
      <c r="D488" s="179"/>
      <c r="E488" s="178"/>
      <c r="F488" s="182"/>
      <c r="G488" s="181"/>
      <c r="H488" s="182"/>
      <c r="I488" s="183">
        <f>AF$6</f>
        <v>2025</v>
      </c>
      <c r="J488" s="184"/>
      <c r="K488" s="184"/>
      <c r="L488" s="203" t="s">
        <v>1065</v>
      </c>
      <c r="M488" s="184" t="s">
        <v>748</v>
      </c>
      <c r="N488" s="694">
        <f t="shared" ref="N488:AB488" si="560">N486*LOOKUP($AD480,$AG$4:$AP$4,$AG$6:$AP$6)</f>
        <v>0</v>
      </c>
      <c r="O488" s="694">
        <f t="shared" si="560"/>
        <v>0</v>
      </c>
      <c r="P488" s="694">
        <f t="shared" si="560"/>
        <v>0</v>
      </c>
      <c r="Q488" s="694">
        <f t="shared" si="560"/>
        <v>0</v>
      </c>
      <c r="R488" s="694">
        <f t="shared" si="560"/>
        <v>0</v>
      </c>
      <c r="S488" s="694">
        <f t="shared" si="560"/>
        <v>0</v>
      </c>
      <c r="T488" s="694">
        <f t="shared" si="560"/>
        <v>0</v>
      </c>
      <c r="U488" s="694">
        <f t="shared" si="560"/>
        <v>0</v>
      </c>
      <c r="V488" s="694">
        <f t="shared" si="560"/>
        <v>0</v>
      </c>
      <c r="W488" s="694">
        <f t="shared" si="560"/>
        <v>0</v>
      </c>
      <c r="X488" s="694">
        <f t="shared" si="560"/>
        <v>0</v>
      </c>
      <c r="Y488" s="694">
        <f t="shared" si="560"/>
        <v>0</v>
      </c>
      <c r="Z488" s="694">
        <f t="shared" si="560"/>
        <v>0</v>
      </c>
      <c r="AA488" s="694">
        <f t="shared" si="560"/>
        <v>0</v>
      </c>
      <c r="AB488" s="694">
        <f t="shared" si="560"/>
        <v>0</v>
      </c>
    </row>
    <row r="489" spans="1:64" s="83" customFormat="1" x14ac:dyDescent="0.25">
      <c r="B489" s="178" t="str">
        <f t="shared" si="555"/>
        <v>TFREPYG100</v>
      </c>
      <c r="C489" s="178"/>
      <c r="D489" s="179"/>
      <c r="E489" s="178"/>
      <c r="F489" s="182"/>
      <c r="G489" s="181"/>
      <c r="H489" s="182"/>
      <c r="I489" s="183">
        <f>AF$7</f>
        <v>2030</v>
      </c>
      <c r="J489" s="184"/>
      <c r="K489" s="184"/>
      <c r="L489" s="203" t="s">
        <v>1065</v>
      </c>
      <c r="M489" s="184" t="s">
        <v>748</v>
      </c>
      <c r="N489" s="694">
        <f t="shared" ref="N489:AB489" si="561">N486*LOOKUP($AD480,$AG$4:$AP$4,$AG$7:$AP$7)</f>
        <v>0</v>
      </c>
      <c r="O489" s="694">
        <f t="shared" si="561"/>
        <v>0</v>
      </c>
      <c r="P489" s="694">
        <f t="shared" si="561"/>
        <v>0</v>
      </c>
      <c r="Q489" s="694">
        <f t="shared" si="561"/>
        <v>0</v>
      </c>
      <c r="R489" s="694">
        <f t="shared" si="561"/>
        <v>0</v>
      </c>
      <c r="S489" s="694">
        <f t="shared" si="561"/>
        <v>0</v>
      </c>
      <c r="T489" s="694">
        <f t="shared" si="561"/>
        <v>0</v>
      </c>
      <c r="U489" s="694">
        <f t="shared" si="561"/>
        <v>0</v>
      </c>
      <c r="V489" s="694">
        <f t="shared" si="561"/>
        <v>0</v>
      </c>
      <c r="W489" s="694">
        <f t="shared" si="561"/>
        <v>0</v>
      </c>
      <c r="X489" s="694">
        <f t="shared" si="561"/>
        <v>0</v>
      </c>
      <c r="Y489" s="694">
        <f t="shared" si="561"/>
        <v>0</v>
      </c>
      <c r="Z489" s="694">
        <f t="shared" si="561"/>
        <v>0</v>
      </c>
      <c r="AA489" s="694">
        <f t="shared" si="561"/>
        <v>0</v>
      </c>
      <c r="AB489" s="694">
        <f t="shared" si="561"/>
        <v>0</v>
      </c>
    </row>
    <row r="490" spans="1:64" s="83" customFormat="1" x14ac:dyDescent="0.25">
      <c r="B490" s="178" t="str">
        <f t="shared" si="555"/>
        <v>TFREPYG100</v>
      </c>
      <c r="C490" s="178"/>
      <c r="D490" s="179"/>
      <c r="E490" s="178"/>
      <c r="F490" s="182"/>
      <c r="G490" s="181"/>
      <c r="H490" s="182"/>
      <c r="I490" s="183">
        <f>AF$8</f>
        <v>2035</v>
      </c>
      <c r="J490" s="184"/>
      <c r="K490" s="184"/>
      <c r="L490" s="203" t="s">
        <v>1065</v>
      </c>
      <c r="M490" s="184" t="s">
        <v>748</v>
      </c>
      <c r="N490" s="694">
        <f t="shared" ref="N490:AB490" si="562">N486*LOOKUP($AD480,$AG$4:$AP$4,$AG$8:$AP$8)</f>
        <v>0</v>
      </c>
      <c r="O490" s="694">
        <f t="shared" si="562"/>
        <v>0</v>
      </c>
      <c r="P490" s="694">
        <f t="shared" si="562"/>
        <v>0</v>
      </c>
      <c r="Q490" s="694">
        <f t="shared" si="562"/>
        <v>0</v>
      </c>
      <c r="R490" s="694">
        <f t="shared" si="562"/>
        <v>0</v>
      </c>
      <c r="S490" s="694">
        <f t="shared" si="562"/>
        <v>0</v>
      </c>
      <c r="T490" s="694">
        <f t="shared" si="562"/>
        <v>0</v>
      </c>
      <c r="U490" s="694">
        <f t="shared" si="562"/>
        <v>0</v>
      </c>
      <c r="V490" s="694">
        <f t="shared" si="562"/>
        <v>0</v>
      </c>
      <c r="W490" s="694">
        <f t="shared" si="562"/>
        <v>0</v>
      </c>
      <c r="X490" s="694">
        <f t="shared" si="562"/>
        <v>0</v>
      </c>
      <c r="Y490" s="694">
        <f t="shared" si="562"/>
        <v>0</v>
      </c>
      <c r="Z490" s="694">
        <f t="shared" si="562"/>
        <v>0</v>
      </c>
      <c r="AA490" s="694">
        <f t="shared" si="562"/>
        <v>0</v>
      </c>
      <c r="AB490" s="694">
        <f t="shared" si="562"/>
        <v>0</v>
      </c>
    </row>
    <row r="491" spans="1:64" s="83" customFormat="1" x14ac:dyDescent="0.25">
      <c r="B491" s="178" t="str">
        <f t="shared" si="555"/>
        <v>TFREPYG100</v>
      </c>
      <c r="C491" s="178"/>
      <c r="D491" s="179"/>
      <c r="E491" s="178"/>
      <c r="F491" s="182"/>
      <c r="G491" s="181"/>
      <c r="H491" s="182"/>
      <c r="I491" s="183">
        <f>AF$9</f>
        <v>2040</v>
      </c>
      <c r="J491" s="184"/>
      <c r="K491" s="184"/>
      <c r="L491" s="203" t="s">
        <v>1065</v>
      </c>
      <c r="M491" s="184" t="s">
        <v>748</v>
      </c>
      <c r="N491" s="694">
        <f t="shared" ref="N491:AB491" si="563">N486*LOOKUP($AD480,$AG$4:$AP$4,$AG$9:$AP$9)</f>
        <v>0</v>
      </c>
      <c r="O491" s="694">
        <f t="shared" si="563"/>
        <v>0</v>
      </c>
      <c r="P491" s="694">
        <f t="shared" si="563"/>
        <v>0</v>
      </c>
      <c r="Q491" s="694">
        <f t="shared" si="563"/>
        <v>0</v>
      </c>
      <c r="R491" s="694">
        <f t="shared" si="563"/>
        <v>0</v>
      </c>
      <c r="S491" s="694">
        <f t="shared" si="563"/>
        <v>0</v>
      </c>
      <c r="T491" s="694">
        <f t="shared" si="563"/>
        <v>0</v>
      </c>
      <c r="U491" s="694">
        <f t="shared" si="563"/>
        <v>0</v>
      </c>
      <c r="V491" s="694">
        <f t="shared" si="563"/>
        <v>0</v>
      </c>
      <c r="W491" s="694">
        <f t="shared" si="563"/>
        <v>0</v>
      </c>
      <c r="X491" s="694">
        <f t="shared" si="563"/>
        <v>0</v>
      </c>
      <c r="Y491" s="694">
        <f t="shared" si="563"/>
        <v>0</v>
      </c>
      <c r="Z491" s="694">
        <f t="shared" si="563"/>
        <v>0</v>
      </c>
      <c r="AA491" s="694">
        <f t="shared" si="563"/>
        <v>0</v>
      </c>
      <c r="AB491" s="694">
        <f t="shared" si="563"/>
        <v>0</v>
      </c>
    </row>
    <row r="492" spans="1:64" s="83" customFormat="1" x14ac:dyDescent="0.25">
      <c r="B492" s="204" t="str">
        <f t="shared" si="555"/>
        <v>TFREPYG100</v>
      </c>
      <c r="C492" s="204"/>
      <c r="D492" s="205"/>
      <c r="E492" s="204"/>
      <c r="F492" s="206"/>
      <c r="G492" s="207"/>
      <c r="H492" s="206"/>
      <c r="I492" s="208">
        <f>AF$10</f>
        <v>2050</v>
      </c>
      <c r="J492" s="209"/>
      <c r="K492" s="209"/>
      <c r="L492" s="210" t="s">
        <v>1065</v>
      </c>
      <c r="M492" s="209" t="s">
        <v>748</v>
      </c>
      <c r="N492" s="695">
        <f t="shared" ref="N492:AB492" si="564">N486*LOOKUP($AD480,$AG$4:$AP$4,$AG$10:$AP$10)</f>
        <v>0</v>
      </c>
      <c r="O492" s="695">
        <f t="shared" si="564"/>
        <v>0</v>
      </c>
      <c r="P492" s="695">
        <f t="shared" si="564"/>
        <v>0</v>
      </c>
      <c r="Q492" s="695">
        <f t="shared" si="564"/>
        <v>0</v>
      </c>
      <c r="R492" s="695">
        <f t="shared" si="564"/>
        <v>0</v>
      </c>
      <c r="S492" s="695">
        <f t="shared" si="564"/>
        <v>0</v>
      </c>
      <c r="T492" s="695">
        <f t="shared" si="564"/>
        <v>0</v>
      </c>
      <c r="U492" s="695">
        <f t="shared" si="564"/>
        <v>0</v>
      </c>
      <c r="V492" s="695">
        <f t="shared" si="564"/>
        <v>0</v>
      </c>
      <c r="W492" s="695">
        <f t="shared" si="564"/>
        <v>0</v>
      </c>
      <c r="X492" s="695">
        <f t="shared" si="564"/>
        <v>0</v>
      </c>
      <c r="Y492" s="695">
        <f t="shared" si="564"/>
        <v>0</v>
      </c>
      <c r="Z492" s="695">
        <f t="shared" si="564"/>
        <v>0</v>
      </c>
      <c r="AA492" s="695">
        <f t="shared" si="564"/>
        <v>0</v>
      </c>
      <c r="AB492" s="695">
        <f t="shared" si="564"/>
        <v>0</v>
      </c>
    </row>
    <row r="493" spans="1:64" x14ac:dyDescent="0.25"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  <c r="BL493" s="83"/>
    </row>
    <row r="494" spans="1:64" x14ac:dyDescent="0.25"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  <c r="BL494" s="83"/>
    </row>
    <row r="496" spans="1:64" s="33" customFormat="1" x14ac:dyDescent="0.25">
      <c r="A496" s="44"/>
      <c r="B496" s="474"/>
      <c r="D496" s="44"/>
      <c r="E496" s="44"/>
      <c r="F496" s="44"/>
      <c r="G496" s="44"/>
      <c r="M496" s="473" t="s">
        <v>1152</v>
      </c>
      <c r="N496" s="482">
        <v>0</v>
      </c>
      <c r="O496" s="482">
        <v>0</v>
      </c>
      <c r="P496" s="482">
        <v>0</v>
      </c>
      <c r="Q496" s="482">
        <v>0</v>
      </c>
      <c r="R496" s="482">
        <v>0</v>
      </c>
      <c r="S496" s="482">
        <v>0</v>
      </c>
      <c r="T496" s="482">
        <v>0</v>
      </c>
      <c r="U496" s="482">
        <v>0</v>
      </c>
      <c r="V496" s="482">
        <v>0</v>
      </c>
      <c r="W496" s="482">
        <v>0</v>
      </c>
      <c r="X496" s="482">
        <v>0</v>
      </c>
      <c r="Y496" s="482">
        <v>0</v>
      </c>
      <c r="Z496" s="482">
        <v>0</v>
      </c>
      <c r="AA496" s="482">
        <v>0</v>
      </c>
      <c r="AB496" s="482">
        <v>0</v>
      </c>
      <c r="AF496" s="77"/>
      <c r="AG496" s="77"/>
      <c r="AH496" s="77"/>
      <c r="AI496" s="77"/>
      <c r="AJ496" s="77"/>
      <c r="AK496" s="77"/>
      <c r="AL496" s="77"/>
    </row>
    <row r="497" spans="1:64" x14ac:dyDescent="0.25">
      <c r="B497" s="32" t="s">
        <v>1174</v>
      </c>
      <c r="C497" s="88"/>
      <c r="D497" s="26"/>
      <c r="I497" s="36"/>
      <c r="M497" s="473" t="s">
        <v>1154</v>
      </c>
      <c r="N497" s="482">
        <v>0</v>
      </c>
      <c r="O497" s="482">
        <v>0</v>
      </c>
      <c r="P497" s="482">
        <v>0</v>
      </c>
      <c r="Q497" s="482">
        <v>0</v>
      </c>
      <c r="R497" s="482">
        <v>0</v>
      </c>
      <c r="S497" s="482">
        <v>0</v>
      </c>
      <c r="T497" s="482">
        <v>0</v>
      </c>
      <c r="U497" s="482">
        <v>0</v>
      </c>
      <c r="V497" s="482">
        <v>0</v>
      </c>
      <c r="W497" s="482">
        <v>0</v>
      </c>
      <c r="X497" s="482">
        <v>0</v>
      </c>
      <c r="Y497" s="482">
        <v>0</v>
      </c>
      <c r="Z497" s="482">
        <v>0</v>
      </c>
      <c r="AA497" s="482">
        <v>0</v>
      </c>
      <c r="AB497" s="482">
        <v>0</v>
      </c>
    </row>
    <row r="498" spans="1:64" x14ac:dyDescent="0.25">
      <c r="M498" s="35"/>
    </row>
    <row r="499" spans="1:64" s="22" customFormat="1" x14ac:dyDescent="0.25">
      <c r="A499" s="35"/>
      <c r="B499" s="35"/>
      <c r="C499" s="50"/>
      <c r="D499" s="50"/>
      <c r="E499" s="35"/>
      <c r="F499" s="35"/>
      <c r="G499" s="35"/>
      <c r="H499" s="41"/>
      <c r="I499" s="51"/>
      <c r="J499" s="41"/>
      <c r="K499" s="41"/>
      <c r="L499" s="40" t="str">
        <f>IF(SUM(N16:AB18)&gt;0,"~FI_T","Not in use")</f>
        <v>Not in use</v>
      </c>
      <c r="M499" s="40"/>
      <c r="N499" s="35"/>
      <c r="O499" s="35"/>
      <c r="P499" s="35"/>
      <c r="Q499" s="35"/>
      <c r="R499" s="41"/>
      <c r="S499" s="35"/>
      <c r="T499" s="35"/>
      <c r="U499" s="35"/>
      <c r="V499" s="35"/>
      <c r="W499" s="41"/>
      <c r="X499" s="35"/>
      <c r="Y499" s="35"/>
      <c r="Z499" s="35"/>
      <c r="AA499" s="35"/>
      <c r="AB499" s="35"/>
      <c r="AC499" s="41"/>
      <c r="AD499" s="49" t="str">
        <f>CONCATENATE("TEST: ",B497)</f>
        <v>TEST: Base-year: Light Electric Vehicle (LEV) + Bicycle</v>
      </c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V499" s="471" t="s">
        <v>1052</v>
      </c>
    </row>
    <row r="500" spans="1:64" s="22" customFormat="1" x14ac:dyDescent="0.25">
      <c r="A500" s="35"/>
      <c r="B500" s="52" t="s">
        <v>1053</v>
      </c>
      <c r="C500" s="26" t="s">
        <v>104</v>
      </c>
      <c r="D500" s="26" t="s">
        <v>1054</v>
      </c>
      <c r="E500" s="26" t="s">
        <v>673</v>
      </c>
      <c r="F500" s="26" t="s">
        <v>1155</v>
      </c>
      <c r="G500" s="26" t="s">
        <v>674</v>
      </c>
      <c r="H500" s="26" t="s">
        <v>1055</v>
      </c>
      <c r="I500" s="53" t="s">
        <v>1056</v>
      </c>
      <c r="J500" s="26" t="s">
        <v>982</v>
      </c>
      <c r="K500" s="42" t="s">
        <v>1123</v>
      </c>
      <c r="L500" s="26" t="s">
        <v>1057</v>
      </c>
      <c r="M500" s="26" t="s">
        <v>1058</v>
      </c>
      <c r="N500" s="26" t="str">
        <f t="shared" ref="N500:AB500" si="565">N$2</f>
        <v>Z01</v>
      </c>
      <c r="O500" s="26" t="str">
        <f t="shared" si="565"/>
        <v>Z02</v>
      </c>
      <c r="P500" s="26" t="str">
        <f t="shared" si="565"/>
        <v>Z03</v>
      </c>
      <c r="Q500" s="26" t="str">
        <f t="shared" si="565"/>
        <v>Z04</v>
      </c>
      <c r="R500" s="26" t="str">
        <f t="shared" si="565"/>
        <v>Z05</v>
      </c>
      <c r="S500" s="26" t="str">
        <f t="shared" si="565"/>
        <v>Z06</v>
      </c>
      <c r="T500" s="26" t="str">
        <f t="shared" si="565"/>
        <v>Z07</v>
      </c>
      <c r="U500" s="26" t="str">
        <f t="shared" si="565"/>
        <v>Z08</v>
      </c>
      <c r="V500" s="26" t="str">
        <f t="shared" si="565"/>
        <v>Z09</v>
      </c>
      <c r="W500" s="26" t="str">
        <f t="shared" si="565"/>
        <v>Z10</v>
      </c>
      <c r="X500" s="26" t="str">
        <f t="shared" si="565"/>
        <v>Z11</v>
      </c>
      <c r="Y500" s="26" t="str">
        <f t="shared" si="565"/>
        <v>Z12</v>
      </c>
      <c r="Z500" s="26" t="str">
        <f t="shared" si="565"/>
        <v>Z13</v>
      </c>
      <c r="AA500" s="26" t="str">
        <f t="shared" si="565"/>
        <v>Z14</v>
      </c>
      <c r="AB500" s="26" t="str">
        <f t="shared" si="565"/>
        <v>Z15</v>
      </c>
      <c r="AC500" s="48"/>
      <c r="AD500" s="42"/>
      <c r="AE500" s="42" t="s">
        <v>421</v>
      </c>
      <c r="AF500" s="42" t="str">
        <f t="shared" ref="AF500:AT500" si="566">N2</f>
        <v>Z01</v>
      </c>
      <c r="AG500" s="42" t="str">
        <f t="shared" si="566"/>
        <v>Z02</v>
      </c>
      <c r="AH500" s="42" t="str">
        <f t="shared" si="566"/>
        <v>Z03</v>
      </c>
      <c r="AI500" s="42" t="str">
        <f t="shared" si="566"/>
        <v>Z04</v>
      </c>
      <c r="AJ500" s="42" t="str">
        <f t="shared" si="566"/>
        <v>Z05</v>
      </c>
      <c r="AK500" s="42" t="str">
        <f t="shared" si="566"/>
        <v>Z06</v>
      </c>
      <c r="AL500" s="42" t="str">
        <f t="shared" si="566"/>
        <v>Z07</v>
      </c>
      <c r="AM500" s="42" t="str">
        <f t="shared" si="566"/>
        <v>Z08</v>
      </c>
      <c r="AN500" s="42" t="str">
        <f t="shared" si="566"/>
        <v>Z09</v>
      </c>
      <c r="AO500" s="42" t="str">
        <f t="shared" si="566"/>
        <v>Z10</v>
      </c>
      <c r="AP500" s="42" t="str">
        <f t="shared" si="566"/>
        <v>Z11</v>
      </c>
      <c r="AQ500" s="42" t="str">
        <f t="shared" si="566"/>
        <v>Z12</v>
      </c>
      <c r="AR500" s="42" t="str">
        <f t="shared" si="566"/>
        <v>Z13</v>
      </c>
      <c r="AS500" s="42" t="str">
        <f t="shared" si="566"/>
        <v>Z14</v>
      </c>
      <c r="AT500" s="42" t="str">
        <f t="shared" si="566"/>
        <v>Z15</v>
      </c>
      <c r="AV500" s="701" t="s">
        <v>85</v>
      </c>
      <c r="AW500" s="701" t="s">
        <v>421</v>
      </c>
      <c r="AX500" s="701" t="str">
        <f t="shared" ref="AX500:BL500" si="567">N$2</f>
        <v>Z01</v>
      </c>
      <c r="AY500" s="701" t="str">
        <f t="shared" si="567"/>
        <v>Z02</v>
      </c>
      <c r="AZ500" s="701" t="str">
        <f t="shared" si="567"/>
        <v>Z03</v>
      </c>
      <c r="BA500" s="701" t="str">
        <f t="shared" si="567"/>
        <v>Z04</v>
      </c>
      <c r="BB500" s="701" t="str">
        <f t="shared" si="567"/>
        <v>Z05</v>
      </c>
      <c r="BC500" s="701" t="str">
        <f t="shared" si="567"/>
        <v>Z06</v>
      </c>
      <c r="BD500" s="701" t="str">
        <f t="shared" si="567"/>
        <v>Z07</v>
      </c>
      <c r="BE500" s="701" t="str">
        <f t="shared" si="567"/>
        <v>Z08</v>
      </c>
      <c r="BF500" s="701" t="str">
        <f t="shared" si="567"/>
        <v>Z09</v>
      </c>
      <c r="BG500" s="701" t="str">
        <f t="shared" si="567"/>
        <v>Z10</v>
      </c>
      <c r="BH500" s="701" t="str">
        <f t="shared" si="567"/>
        <v>Z11</v>
      </c>
      <c r="BI500" s="701" t="str">
        <f t="shared" si="567"/>
        <v>Z12</v>
      </c>
      <c r="BJ500" s="701" t="str">
        <f t="shared" si="567"/>
        <v>Z13</v>
      </c>
      <c r="BK500" s="701" t="str">
        <f t="shared" si="567"/>
        <v>Z14</v>
      </c>
      <c r="BL500" s="701" t="str">
        <f t="shared" si="567"/>
        <v>Z15</v>
      </c>
    </row>
    <row r="501" spans="1:64" s="22" customFormat="1" x14ac:dyDescent="0.25">
      <c r="A501" s="35"/>
      <c r="B501" s="176"/>
      <c r="C501" s="176"/>
      <c r="D501" s="176" t="s">
        <v>1062</v>
      </c>
      <c r="E501" s="176"/>
      <c r="F501" s="176"/>
      <c r="G501" s="176"/>
      <c r="H501" s="176"/>
      <c r="I501" s="177"/>
      <c r="J501" s="176"/>
      <c r="K501" s="176"/>
      <c r="L501" s="176"/>
      <c r="M501" s="202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35"/>
      <c r="AD501" s="398" t="s">
        <v>1124</v>
      </c>
      <c r="AE501" s="625" t="str">
        <f>IF(AE505-SUM(N16:AB16)&lt;0,"too small",IF(AE505-SUM(N16:AB16)&gt;0.001,"Too big","ok"))</f>
        <v>ok</v>
      </c>
      <c r="AF501" s="619" t="str">
        <f t="shared" ref="AF501:AT501" si="568">IF(AF505-N16&lt;0,"too small",IF(AF505-N16&gt;0.001,"Too big","ok"))</f>
        <v>ok</v>
      </c>
      <c r="AG501" s="619" t="str">
        <f t="shared" si="568"/>
        <v>ok</v>
      </c>
      <c r="AH501" s="619" t="str">
        <f t="shared" si="568"/>
        <v>ok</v>
      </c>
      <c r="AI501" s="619" t="str">
        <f t="shared" si="568"/>
        <v>ok</v>
      </c>
      <c r="AJ501" s="619" t="str">
        <f t="shared" si="568"/>
        <v>ok</v>
      </c>
      <c r="AK501" s="619" t="str">
        <f t="shared" si="568"/>
        <v>ok</v>
      </c>
      <c r="AL501" s="619" t="str">
        <f t="shared" si="568"/>
        <v>ok</v>
      </c>
      <c r="AM501" s="619" t="str">
        <f t="shared" si="568"/>
        <v>ok</v>
      </c>
      <c r="AN501" s="619" t="str">
        <f t="shared" si="568"/>
        <v>ok</v>
      </c>
      <c r="AO501" s="619" t="str">
        <f t="shared" si="568"/>
        <v>ok</v>
      </c>
      <c r="AP501" s="619" t="str">
        <f t="shared" si="568"/>
        <v>ok</v>
      </c>
      <c r="AQ501" s="619" t="str">
        <f t="shared" si="568"/>
        <v>ok</v>
      </c>
      <c r="AR501" s="619" t="str">
        <f t="shared" si="568"/>
        <v>ok</v>
      </c>
      <c r="AS501" s="619" t="str">
        <f t="shared" si="568"/>
        <v>ok</v>
      </c>
      <c r="AT501" s="619" t="str">
        <f t="shared" si="568"/>
        <v>ok</v>
      </c>
      <c r="AV501" s="398" t="s">
        <v>103</v>
      </c>
      <c r="AW501" s="722">
        <f>SUM(AX501:BL501)</f>
        <v>0</v>
      </c>
      <c r="AX501" s="718">
        <f>SUM(AX502:AX536)</f>
        <v>0</v>
      </c>
      <c r="AY501" s="718">
        <f t="shared" ref="AY501:BL501" si="569">SUM(AY502:AY536)</f>
        <v>0</v>
      </c>
      <c r="AZ501" s="718">
        <f t="shared" si="569"/>
        <v>0</v>
      </c>
      <c r="BA501" s="718">
        <f t="shared" si="569"/>
        <v>0</v>
      </c>
      <c r="BB501" s="718">
        <f t="shared" si="569"/>
        <v>0</v>
      </c>
      <c r="BC501" s="718">
        <f t="shared" si="569"/>
        <v>0</v>
      </c>
      <c r="BD501" s="718">
        <f t="shared" si="569"/>
        <v>0</v>
      </c>
      <c r="BE501" s="718">
        <f t="shared" si="569"/>
        <v>0</v>
      </c>
      <c r="BF501" s="718">
        <f t="shared" si="569"/>
        <v>0</v>
      </c>
      <c r="BG501" s="718">
        <f t="shared" si="569"/>
        <v>0</v>
      </c>
      <c r="BH501" s="718">
        <f t="shared" si="569"/>
        <v>0</v>
      </c>
      <c r="BI501" s="718">
        <f t="shared" si="569"/>
        <v>0</v>
      </c>
      <c r="BJ501" s="718">
        <f t="shared" si="569"/>
        <v>0</v>
      </c>
      <c r="BK501" s="718">
        <f t="shared" si="569"/>
        <v>0</v>
      </c>
      <c r="BL501" s="718">
        <f t="shared" si="569"/>
        <v>0</v>
      </c>
    </row>
    <row r="502" spans="1:64" s="83" customFormat="1" x14ac:dyDescent="0.25">
      <c r="A502" s="82"/>
      <c r="B502" s="178" t="str">
        <f>C502</f>
        <v>TLEFELC100</v>
      </c>
      <c r="C502" s="178" t="s">
        <v>557</v>
      </c>
      <c r="D502" s="179" t="s">
        <v>870</v>
      </c>
      <c r="E502" s="180" t="s">
        <v>683</v>
      </c>
      <c r="F502" s="182"/>
      <c r="G502" s="181"/>
      <c r="H502" s="182"/>
      <c r="I502" s="183"/>
      <c r="J502" s="184"/>
      <c r="K502" s="184"/>
      <c r="L502" s="203" t="s">
        <v>1107</v>
      </c>
      <c r="M502" s="184" t="s">
        <v>1156</v>
      </c>
      <c r="N502" s="567">
        <f>10^-3</f>
        <v>1E-3</v>
      </c>
      <c r="O502" s="366">
        <f t="shared" ref="O502:AB502" si="570">$N502</f>
        <v>1E-3</v>
      </c>
      <c r="P502" s="366">
        <f t="shared" si="570"/>
        <v>1E-3</v>
      </c>
      <c r="Q502" s="366">
        <f t="shared" si="570"/>
        <v>1E-3</v>
      </c>
      <c r="R502" s="366">
        <f t="shared" si="570"/>
        <v>1E-3</v>
      </c>
      <c r="S502" s="366">
        <f t="shared" si="570"/>
        <v>1E-3</v>
      </c>
      <c r="T502" s="366">
        <f t="shared" si="570"/>
        <v>1E-3</v>
      </c>
      <c r="U502" s="366">
        <f t="shared" si="570"/>
        <v>1E-3</v>
      </c>
      <c r="V502" s="366">
        <f t="shared" si="570"/>
        <v>1E-3</v>
      </c>
      <c r="W502" s="366">
        <f t="shared" si="570"/>
        <v>1E-3</v>
      </c>
      <c r="X502" s="366">
        <f t="shared" si="570"/>
        <v>1E-3</v>
      </c>
      <c r="Y502" s="366">
        <f t="shared" si="570"/>
        <v>1E-3</v>
      </c>
      <c r="Z502" s="366">
        <f t="shared" si="570"/>
        <v>1E-3</v>
      </c>
      <c r="AA502" s="366">
        <f t="shared" si="570"/>
        <v>1E-3</v>
      </c>
      <c r="AB502" s="366">
        <f t="shared" si="570"/>
        <v>1E-3</v>
      </c>
      <c r="AD502" s="86" t="str">
        <f>G503</f>
        <v>TLEF</v>
      </c>
      <c r="AE502" s="331"/>
      <c r="AF502" s="586"/>
      <c r="AG502" s="586"/>
      <c r="AH502" s="586"/>
      <c r="AI502" s="586"/>
      <c r="AJ502" s="586"/>
      <c r="AK502" s="586"/>
      <c r="AL502" s="586"/>
      <c r="AM502" s="586"/>
      <c r="AN502" s="586"/>
      <c r="AO502" s="586"/>
      <c r="AP502" s="586"/>
      <c r="AQ502" s="586"/>
      <c r="AR502" s="586"/>
      <c r="AS502" s="586"/>
      <c r="AT502" s="586"/>
      <c r="AV502" s="700" t="str">
        <f>MID(E502,1,7)</f>
        <v>TRAELC</v>
      </c>
      <c r="AW502" s="568">
        <f>SUM(AX502:BL502)</f>
        <v>0</v>
      </c>
      <c r="AX502" s="568">
        <f>N505*N506/N503/1000</f>
        <v>0</v>
      </c>
      <c r="AY502" s="568">
        <f t="shared" ref="AY502:BL502" si="571">O505*O506/O503/1000</f>
        <v>0</v>
      </c>
      <c r="AZ502" s="568">
        <f t="shared" si="571"/>
        <v>0</v>
      </c>
      <c r="BA502" s="568">
        <f t="shared" si="571"/>
        <v>0</v>
      </c>
      <c r="BB502" s="568">
        <f t="shared" si="571"/>
        <v>0</v>
      </c>
      <c r="BC502" s="568">
        <f t="shared" si="571"/>
        <v>0</v>
      </c>
      <c r="BD502" s="568">
        <f t="shared" si="571"/>
        <v>0</v>
      </c>
      <c r="BE502" s="568">
        <f t="shared" si="571"/>
        <v>0</v>
      </c>
      <c r="BF502" s="568">
        <f t="shared" si="571"/>
        <v>0</v>
      </c>
      <c r="BG502" s="568">
        <f t="shared" si="571"/>
        <v>0</v>
      </c>
      <c r="BH502" s="568">
        <f t="shared" si="571"/>
        <v>0</v>
      </c>
      <c r="BI502" s="568">
        <f t="shared" si="571"/>
        <v>0</v>
      </c>
      <c r="BJ502" s="568">
        <f t="shared" si="571"/>
        <v>0</v>
      </c>
      <c r="BK502" s="568">
        <f t="shared" si="571"/>
        <v>0</v>
      </c>
      <c r="BL502" s="568">
        <f t="shared" si="571"/>
        <v>0</v>
      </c>
    </row>
    <row r="503" spans="1:64" s="83" customFormat="1" x14ac:dyDescent="0.25">
      <c r="A503" s="82"/>
      <c r="B503" s="178" t="str">
        <f>B502</f>
        <v>TLEFELC100</v>
      </c>
      <c r="C503" s="178"/>
      <c r="D503" s="179"/>
      <c r="E503" s="178"/>
      <c r="F503" s="182"/>
      <c r="G503" s="173" t="s">
        <v>427</v>
      </c>
      <c r="H503" s="182"/>
      <c r="I503" s="183"/>
      <c r="J503" s="184"/>
      <c r="K503" s="184"/>
      <c r="L503" s="184" t="s">
        <v>1126</v>
      </c>
      <c r="M503" s="184" t="s">
        <v>678</v>
      </c>
      <c r="N503" s="367">
        <f>T_CEFF!H157</f>
        <v>3.0303</v>
      </c>
      <c r="O503" s="367">
        <f>T_CEFF!I157</f>
        <v>3.0303</v>
      </c>
      <c r="P503" s="367">
        <f>T_CEFF!J157</f>
        <v>3.0303</v>
      </c>
      <c r="Q503" s="367">
        <f>T_CEFF!K157</f>
        <v>3.0303</v>
      </c>
      <c r="R503" s="367">
        <f>T_CEFF!L157</f>
        <v>3.0303</v>
      </c>
      <c r="S503" s="367">
        <f>T_CEFF!M157</f>
        <v>3.0303</v>
      </c>
      <c r="T503" s="367">
        <f>T_CEFF!N157</f>
        <v>3.0303</v>
      </c>
      <c r="U503" s="367">
        <f>T_CEFF!O157</f>
        <v>3.0303</v>
      </c>
      <c r="V503" s="367">
        <f>T_CEFF!P157</f>
        <v>3.0303</v>
      </c>
      <c r="W503" s="367">
        <f>T_CEFF!Q157</f>
        <v>3.0303</v>
      </c>
      <c r="X503" s="367">
        <f>T_CEFF!R157</f>
        <v>3.0303</v>
      </c>
      <c r="Y503" s="367">
        <f>T_CEFF!S157</f>
        <v>3.0303</v>
      </c>
      <c r="Z503" s="367">
        <f>T_CEFF!T157</f>
        <v>3.0303</v>
      </c>
      <c r="AA503" s="367">
        <f>T_CEFF!U157</f>
        <v>3.0303</v>
      </c>
      <c r="AB503" s="367">
        <f>T_CEFF!V157</f>
        <v>3.0303</v>
      </c>
      <c r="AD503" s="83" t="str">
        <f>IF(COUNTIF($AG$4:$AS$4,AD502)=1,"ok","MISSING")</f>
        <v>ok</v>
      </c>
      <c r="AE503" s="332"/>
      <c r="AV503" s="700" t="str">
        <f>MID(E503,1,7)</f>
        <v/>
      </c>
      <c r="AW503" s="568"/>
      <c r="AX503" s="568"/>
      <c r="AY503" s="568"/>
      <c r="AZ503" s="568"/>
      <c r="BA503" s="568"/>
      <c r="BB503" s="568"/>
      <c r="BC503" s="568"/>
      <c r="BD503" s="568"/>
      <c r="BE503" s="568"/>
      <c r="BF503" s="568"/>
      <c r="BG503" s="568"/>
      <c r="BH503" s="568"/>
      <c r="BI503" s="568"/>
      <c r="BJ503" s="568"/>
      <c r="BK503" s="568"/>
      <c r="BL503" s="568"/>
    </row>
    <row r="504" spans="1:64" s="83" customFormat="1" x14ac:dyDescent="0.25">
      <c r="A504" s="82"/>
      <c r="B504" s="178" t="str">
        <f>B503</f>
        <v>TLEFELC100</v>
      </c>
      <c r="C504" s="178"/>
      <c r="D504" s="179"/>
      <c r="E504" s="178"/>
      <c r="F504" s="182"/>
      <c r="G504" s="181"/>
      <c r="H504" s="182"/>
      <c r="I504" s="183"/>
      <c r="J504" s="184"/>
      <c r="K504" s="184" t="s">
        <v>749</v>
      </c>
      <c r="L504" s="184" t="s">
        <v>1128</v>
      </c>
      <c r="M504" s="184" t="s">
        <v>1175</v>
      </c>
      <c r="N504" s="388">
        <f t="shared" ref="N504:AB504" si="572">N21</f>
        <v>0</v>
      </c>
      <c r="O504" s="388">
        <f t="shared" si="572"/>
        <v>0</v>
      </c>
      <c r="P504" s="388">
        <f t="shared" si="572"/>
        <v>0</v>
      </c>
      <c r="Q504" s="388">
        <f t="shared" si="572"/>
        <v>0</v>
      </c>
      <c r="R504" s="388">
        <f t="shared" si="572"/>
        <v>0</v>
      </c>
      <c r="S504" s="388">
        <f t="shared" si="572"/>
        <v>0</v>
      </c>
      <c r="T504" s="388">
        <f t="shared" si="572"/>
        <v>0</v>
      </c>
      <c r="U504" s="388">
        <f t="shared" si="572"/>
        <v>0</v>
      </c>
      <c r="V504" s="388">
        <f t="shared" si="572"/>
        <v>0</v>
      </c>
      <c r="W504" s="388">
        <f t="shared" si="572"/>
        <v>0</v>
      </c>
      <c r="X504" s="388">
        <f t="shared" si="572"/>
        <v>0</v>
      </c>
      <c r="Y504" s="388">
        <f t="shared" si="572"/>
        <v>0</v>
      </c>
      <c r="Z504" s="388">
        <f t="shared" si="572"/>
        <v>0</v>
      </c>
      <c r="AA504" s="388">
        <f t="shared" si="572"/>
        <v>0</v>
      </c>
      <c r="AB504" s="388">
        <f t="shared" si="572"/>
        <v>0</v>
      </c>
      <c r="AE504" s="332"/>
      <c r="AV504" s="700" t="str">
        <f t="shared" ref="AV504" si="573">MID(E504,1,7)</f>
        <v/>
      </c>
      <c r="AW504" s="705"/>
      <c r="AX504" s="568"/>
      <c r="AY504" s="705"/>
      <c r="AZ504" s="705"/>
      <c r="BA504" s="705"/>
      <c r="BB504" s="705"/>
      <c r="BC504" s="705"/>
      <c r="BD504" s="705"/>
      <c r="BE504" s="705"/>
      <c r="BF504" s="705"/>
      <c r="BG504" s="705"/>
      <c r="BH504" s="705"/>
      <c r="BI504" s="705"/>
      <c r="BJ504" s="705"/>
      <c r="BK504" s="705"/>
      <c r="BL504" s="705"/>
    </row>
    <row r="505" spans="1:64" s="83" customFormat="1" x14ac:dyDescent="0.25">
      <c r="A505" s="82"/>
      <c r="B505" s="178" t="str">
        <f t="shared" ref="B505:B512" si="574">B504</f>
        <v>TLEFELC100</v>
      </c>
      <c r="C505" s="178"/>
      <c r="D505" s="179"/>
      <c r="E505" s="178"/>
      <c r="F505" s="182"/>
      <c r="G505" s="181"/>
      <c r="H505" s="182"/>
      <c r="I505" s="183"/>
      <c r="J505" s="184"/>
      <c r="K505" s="184"/>
      <c r="L505" s="203" t="s">
        <v>1130</v>
      </c>
      <c r="M505" s="184" t="s">
        <v>1131</v>
      </c>
      <c r="N505" s="397">
        <f>T_NCAP_AF!D249*(1+N496)</f>
        <v>0</v>
      </c>
      <c r="O505" s="397">
        <f>T_NCAP_AF!E249*(1+O496)</f>
        <v>0</v>
      </c>
      <c r="P505" s="397">
        <f>T_NCAP_AF!F249*(1+P496)</f>
        <v>0</v>
      </c>
      <c r="Q505" s="397">
        <f>T_NCAP_AF!G249*(1+Q496)</f>
        <v>0</v>
      </c>
      <c r="R505" s="397">
        <f>T_NCAP_AF!H249*(1+R496)</f>
        <v>0</v>
      </c>
      <c r="S505" s="397">
        <f>T_NCAP_AF!I249*(1+S496)</f>
        <v>0</v>
      </c>
      <c r="T505" s="397">
        <f>T_NCAP_AF!J249*(1+T496)</f>
        <v>0</v>
      </c>
      <c r="U505" s="397">
        <f>T_NCAP_AF!K249*(1+U496)</f>
        <v>0</v>
      </c>
      <c r="V505" s="397">
        <f>T_NCAP_AF!L249*(1+V496)</f>
        <v>0</v>
      </c>
      <c r="W505" s="397">
        <f>T_NCAP_AF!M249*(1+W496)</f>
        <v>0</v>
      </c>
      <c r="X505" s="397">
        <f>T_NCAP_AF!N249*(1+X496)</f>
        <v>0</v>
      </c>
      <c r="Y505" s="397">
        <f>T_NCAP_AF!O249*(1+Y496)</f>
        <v>0</v>
      </c>
      <c r="Z505" s="397">
        <f>T_NCAP_AF!P249*(1+Z496)</f>
        <v>0</v>
      </c>
      <c r="AA505" s="397">
        <f>T_NCAP_AF!Q249*(1+AA496)</f>
        <v>0</v>
      </c>
      <c r="AB505" s="397">
        <f>T_NCAP_AF!R249*(1+AB496)</f>
        <v>0</v>
      </c>
      <c r="AE505" s="331">
        <f>SUM(AF505:AT505)</f>
        <v>0</v>
      </c>
      <c r="AF505" s="85">
        <f>N504*N505*N506/1000</f>
        <v>0</v>
      </c>
      <c r="AG505" s="85">
        <f t="shared" ref="AG505:AT505" si="575">O504*O505*O506/1000</f>
        <v>0</v>
      </c>
      <c r="AH505" s="85">
        <f t="shared" si="575"/>
        <v>0</v>
      </c>
      <c r="AI505" s="85">
        <f t="shared" si="575"/>
        <v>0</v>
      </c>
      <c r="AJ505" s="85">
        <f t="shared" si="575"/>
        <v>0</v>
      </c>
      <c r="AK505" s="85">
        <f t="shared" si="575"/>
        <v>0</v>
      </c>
      <c r="AL505" s="85">
        <f t="shared" si="575"/>
        <v>0</v>
      </c>
      <c r="AM505" s="85">
        <f t="shared" si="575"/>
        <v>0</v>
      </c>
      <c r="AN505" s="85">
        <f t="shared" si="575"/>
        <v>0</v>
      </c>
      <c r="AO505" s="85">
        <f t="shared" si="575"/>
        <v>0</v>
      </c>
      <c r="AP505" s="85">
        <f t="shared" si="575"/>
        <v>0</v>
      </c>
      <c r="AQ505" s="85">
        <f t="shared" si="575"/>
        <v>0</v>
      </c>
      <c r="AR505" s="85">
        <f t="shared" si="575"/>
        <v>0</v>
      </c>
      <c r="AS505" s="85">
        <f t="shared" si="575"/>
        <v>0</v>
      </c>
      <c r="AT505" s="85">
        <f t="shared" si="575"/>
        <v>0</v>
      </c>
    </row>
    <row r="506" spans="1:64" s="83" customFormat="1" x14ac:dyDescent="0.25">
      <c r="A506" s="82"/>
      <c r="B506" s="178" t="str">
        <f>B505</f>
        <v>TLEFELC100</v>
      </c>
      <c r="C506" s="178"/>
      <c r="D506" s="179"/>
      <c r="E506" s="178"/>
      <c r="F506" s="182"/>
      <c r="G506" s="181"/>
      <c r="H506" s="182"/>
      <c r="I506" s="183">
        <f>$M$3</f>
        <v>2019</v>
      </c>
      <c r="J506" s="184"/>
      <c r="K506" s="184"/>
      <c r="L506" s="203" t="s">
        <v>1065</v>
      </c>
      <c r="M506" s="184" t="s">
        <v>748</v>
      </c>
      <c r="N506" s="694">
        <f>T_Stock_Private!D155*(1+N497)</f>
        <v>0</v>
      </c>
      <c r="O506" s="694">
        <f>T_Stock_Private!E155*(1+O497)</f>
        <v>0</v>
      </c>
      <c r="P506" s="694">
        <f>T_Stock_Private!F155*(1+P497)</f>
        <v>0</v>
      </c>
      <c r="Q506" s="694">
        <f>T_Stock_Private!G155*(1+Q497)</f>
        <v>0</v>
      </c>
      <c r="R506" s="694">
        <f>T_Stock_Private!H155*(1+R497)</f>
        <v>0</v>
      </c>
      <c r="S506" s="694">
        <f>T_Stock_Private!I155*(1+S497)</f>
        <v>0</v>
      </c>
      <c r="T506" s="694">
        <f>T_Stock_Private!J155*(1+T497)</f>
        <v>0</v>
      </c>
      <c r="U506" s="694">
        <f>T_Stock_Private!K155*(1+U497)</f>
        <v>0</v>
      </c>
      <c r="V506" s="694">
        <f>T_Stock_Private!L155*(1+V497)</f>
        <v>0</v>
      </c>
      <c r="W506" s="694">
        <f>T_Stock_Private!M155*(1+W497)</f>
        <v>0</v>
      </c>
      <c r="X506" s="694">
        <f>T_Stock_Private!N155*(1+X497)</f>
        <v>0</v>
      </c>
      <c r="Y506" s="694">
        <f>T_Stock_Private!O155*(1+Y497)</f>
        <v>0</v>
      </c>
      <c r="Z506" s="694">
        <f>T_Stock_Private!P155*(1+Z497)</f>
        <v>0</v>
      </c>
      <c r="AA506" s="694">
        <f>T_Stock_Private!Q155*(1+AA497)</f>
        <v>0</v>
      </c>
      <c r="AB506" s="694">
        <f>T_Stock_Private!R155*(1+AB497)</f>
        <v>0</v>
      </c>
    </row>
    <row r="507" spans="1:64" s="83" customFormat="1" x14ac:dyDescent="0.25">
      <c r="A507" s="82"/>
      <c r="B507" s="178" t="str">
        <f t="shared" si="574"/>
        <v>TLEFELC100</v>
      </c>
      <c r="C507" s="178"/>
      <c r="D507" s="179"/>
      <c r="E507" s="178"/>
      <c r="F507" s="182"/>
      <c r="G507" s="181"/>
      <c r="H507" s="182"/>
      <c r="I507" s="183">
        <f>AF$5</f>
        <v>2020</v>
      </c>
      <c r="J507" s="184"/>
      <c r="K507" s="184"/>
      <c r="L507" s="203" t="s">
        <v>1065</v>
      </c>
      <c r="M507" s="184" t="s">
        <v>748</v>
      </c>
      <c r="N507" s="694">
        <f t="shared" ref="N507:AB507" si="576">N$506*LOOKUP($AD$502,$AG$4:$AS$4,$AG5:$AS5)</f>
        <v>0</v>
      </c>
      <c r="O507" s="694">
        <f t="shared" si="576"/>
        <v>0</v>
      </c>
      <c r="P507" s="694">
        <f t="shared" si="576"/>
        <v>0</v>
      </c>
      <c r="Q507" s="694">
        <f t="shared" si="576"/>
        <v>0</v>
      </c>
      <c r="R507" s="694">
        <f t="shared" si="576"/>
        <v>0</v>
      </c>
      <c r="S507" s="694">
        <f t="shared" si="576"/>
        <v>0</v>
      </c>
      <c r="T507" s="694">
        <f t="shared" si="576"/>
        <v>0</v>
      </c>
      <c r="U507" s="694">
        <f t="shared" si="576"/>
        <v>0</v>
      </c>
      <c r="V507" s="694">
        <f t="shared" si="576"/>
        <v>0</v>
      </c>
      <c r="W507" s="694">
        <f t="shared" si="576"/>
        <v>0</v>
      </c>
      <c r="X507" s="694">
        <f t="shared" si="576"/>
        <v>0</v>
      </c>
      <c r="Y507" s="694">
        <f t="shared" si="576"/>
        <v>0</v>
      </c>
      <c r="Z507" s="694">
        <f t="shared" si="576"/>
        <v>0</v>
      </c>
      <c r="AA507" s="694">
        <f t="shared" si="576"/>
        <v>0</v>
      </c>
      <c r="AB507" s="694">
        <f t="shared" si="576"/>
        <v>0</v>
      </c>
    </row>
    <row r="508" spans="1:64" s="83" customFormat="1" x14ac:dyDescent="0.25">
      <c r="A508" s="82"/>
      <c r="B508" s="178" t="str">
        <f t="shared" si="574"/>
        <v>TLEFELC100</v>
      </c>
      <c r="C508" s="178"/>
      <c r="D508" s="179"/>
      <c r="E508" s="178"/>
      <c r="F508" s="182"/>
      <c r="G508" s="181"/>
      <c r="H508" s="182"/>
      <c r="I508" s="183">
        <f>AF$6</f>
        <v>2025</v>
      </c>
      <c r="J508" s="184"/>
      <c r="K508" s="184"/>
      <c r="L508" s="203" t="s">
        <v>1065</v>
      </c>
      <c r="M508" s="184" t="s">
        <v>748</v>
      </c>
      <c r="N508" s="694">
        <f t="shared" ref="N508:AB508" si="577">N$506*LOOKUP($AD$502,$AG$4:$AS$4,$AG6:$AS6)</f>
        <v>0</v>
      </c>
      <c r="O508" s="694">
        <f t="shared" si="577"/>
        <v>0</v>
      </c>
      <c r="P508" s="694">
        <f t="shared" si="577"/>
        <v>0</v>
      </c>
      <c r="Q508" s="694">
        <f t="shared" si="577"/>
        <v>0</v>
      </c>
      <c r="R508" s="694">
        <f t="shared" si="577"/>
        <v>0</v>
      </c>
      <c r="S508" s="694">
        <f t="shared" si="577"/>
        <v>0</v>
      </c>
      <c r="T508" s="694">
        <f t="shared" si="577"/>
        <v>0</v>
      </c>
      <c r="U508" s="694">
        <f t="shared" si="577"/>
        <v>0</v>
      </c>
      <c r="V508" s="694">
        <f t="shared" si="577"/>
        <v>0</v>
      </c>
      <c r="W508" s="694">
        <f t="shared" si="577"/>
        <v>0</v>
      </c>
      <c r="X508" s="694">
        <f t="shared" si="577"/>
        <v>0</v>
      </c>
      <c r="Y508" s="694">
        <f t="shared" si="577"/>
        <v>0</v>
      </c>
      <c r="Z508" s="694">
        <f t="shared" si="577"/>
        <v>0</v>
      </c>
      <c r="AA508" s="694">
        <f t="shared" si="577"/>
        <v>0</v>
      </c>
      <c r="AB508" s="694">
        <f t="shared" si="577"/>
        <v>0</v>
      </c>
    </row>
    <row r="509" spans="1:64" s="83" customFormat="1" x14ac:dyDescent="0.25">
      <c r="A509" s="82"/>
      <c r="B509" s="178" t="str">
        <f t="shared" si="574"/>
        <v>TLEFELC100</v>
      </c>
      <c r="C509" s="178"/>
      <c r="D509" s="179"/>
      <c r="E509" s="178"/>
      <c r="F509" s="182"/>
      <c r="G509" s="181"/>
      <c r="H509" s="182"/>
      <c r="I509" s="183">
        <f>AF$7</f>
        <v>2030</v>
      </c>
      <c r="J509" s="184"/>
      <c r="K509" s="184"/>
      <c r="L509" s="203" t="s">
        <v>1065</v>
      </c>
      <c r="M509" s="184" t="s">
        <v>748</v>
      </c>
      <c r="N509" s="694">
        <f t="shared" ref="N509:AB509" si="578">N$506*LOOKUP($AD$502,$AG$4:$AS$4,$AG7:$AS7)</f>
        <v>0</v>
      </c>
      <c r="O509" s="694">
        <f t="shared" si="578"/>
        <v>0</v>
      </c>
      <c r="P509" s="694">
        <f t="shared" si="578"/>
        <v>0</v>
      </c>
      <c r="Q509" s="694">
        <f t="shared" si="578"/>
        <v>0</v>
      </c>
      <c r="R509" s="694">
        <f t="shared" si="578"/>
        <v>0</v>
      </c>
      <c r="S509" s="694">
        <f t="shared" si="578"/>
        <v>0</v>
      </c>
      <c r="T509" s="694">
        <f t="shared" si="578"/>
        <v>0</v>
      </c>
      <c r="U509" s="694">
        <f t="shared" si="578"/>
        <v>0</v>
      </c>
      <c r="V509" s="694">
        <f t="shared" si="578"/>
        <v>0</v>
      </c>
      <c r="W509" s="694">
        <f t="shared" si="578"/>
        <v>0</v>
      </c>
      <c r="X509" s="694">
        <f t="shared" si="578"/>
        <v>0</v>
      </c>
      <c r="Y509" s="694">
        <f t="shared" si="578"/>
        <v>0</v>
      </c>
      <c r="Z509" s="694">
        <f t="shared" si="578"/>
        <v>0</v>
      </c>
      <c r="AA509" s="694">
        <f t="shared" si="578"/>
        <v>0</v>
      </c>
      <c r="AB509" s="694">
        <f t="shared" si="578"/>
        <v>0</v>
      </c>
    </row>
    <row r="510" spans="1:64" s="83" customFormat="1" x14ac:dyDescent="0.25">
      <c r="A510" s="82"/>
      <c r="B510" s="178" t="str">
        <f t="shared" si="574"/>
        <v>TLEFELC100</v>
      </c>
      <c r="C510" s="178"/>
      <c r="D510" s="179"/>
      <c r="E510" s="178"/>
      <c r="F510" s="182"/>
      <c r="G510" s="181"/>
      <c r="H510" s="182"/>
      <c r="I510" s="183">
        <f>AF$8</f>
        <v>2035</v>
      </c>
      <c r="J510" s="184"/>
      <c r="K510" s="184"/>
      <c r="L510" s="203" t="s">
        <v>1065</v>
      </c>
      <c r="M510" s="184" t="s">
        <v>748</v>
      </c>
      <c r="N510" s="694">
        <f t="shared" ref="N510:AB510" si="579">N$506*LOOKUP($AD$502,$AG$4:$AS$4,$AG8:$AS8)</f>
        <v>0</v>
      </c>
      <c r="O510" s="694">
        <f t="shared" si="579"/>
        <v>0</v>
      </c>
      <c r="P510" s="694">
        <f t="shared" si="579"/>
        <v>0</v>
      </c>
      <c r="Q510" s="694">
        <f t="shared" si="579"/>
        <v>0</v>
      </c>
      <c r="R510" s="694">
        <f t="shared" si="579"/>
        <v>0</v>
      </c>
      <c r="S510" s="694">
        <f t="shared" si="579"/>
        <v>0</v>
      </c>
      <c r="T510" s="694">
        <f t="shared" si="579"/>
        <v>0</v>
      </c>
      <c r="U510" s="694">
        <f t="shared" si="579"/>
        <v>0</v>
      </c>
      <c r="V510" s="694">
        <f t="shared" si="579"/>
        <v>0</v>
      </c>
      <c r="W510" s="694">
        <f t="shared" si="579"/>
        <v>0</v>
      </c>
      <c r="X510" s="694">
        <f t="shared" si="579"/>
        <v>0</v>
      </c>
      <c r="Y510" s="694">
        <f t="shared" si="579"/>
        <v>0</v>
      </c>
      <c r="Z510" s="694">
        <f t="shared" si="579"/>
        <v>0</v>
      </c>
      <c r="AA510" s="694">
        <f t="shared" si="579"/>
        <v>0</v>
      </c>
      <c r="AB510" s="694">
        <f t="shared" si="579"/>
        <v>0</v>
      </c>
    </row>
    <row r="511" spans="1:64" s="83" customFormat="1" x14ac:dyDescent="0.25">
      <c r="A511" s="82"/>
      <c r="B511" s="178" t="str">
        <f t="shared" si="574"/>
        <v>TLEFELC100</v>
      </c>
      <c r="C511" s="178"/>
      <c r="D511" s="179"/>
      <c r="E511" s="178"/>
      <c r="F511" s="182"/>
      <c r="G511" s="181"/>
      <c r="H511" s="182"/>
      <c r="I511" s="183">
        <f>AF$9</f>
        <v>2040</v>
      </c>
      <c r="J511" s="184"/>
      <c r="K511" s="184"/>
      <c r="L511" s="203" t="s">
        <v>1065</v>
      </c>
      <c r="M511" s="184" t="s">
        <v>748</v>
      </c>
      <c r="N511" s="694">
        <f t="shared" ref="N511:AB511" si="580">N$506*LOOKUP($AD$502,$AG$4:$AS$4,$AG9:$AS9)</f>
        <v>0</v>
      </c>
      <c r="O511" s="694">
        <f t="shared" si="580"/>
        <v>0</v>
      </c>
      <c r="P511" s="694">
        <f t="shared" si="580"/>
        <v>0</v>
      </c>
      <c r="Q511" s="694">
        <f t="shared" si="580"/>
        <v>0</v>
      </c>
      <c r="R511" s="694">
        <f t="shared" si="580"/>
        <v>0</v>
      </c>
      <c r="S511" s="694">
        <f t="shared" si="580"/>
        <v>0</v>
      </c>
      <c r="T511" s="694">
        <f t="shared" si="580"/>
        <v>0</v>
      </c>
      <c r="U511" s="694">
        <f t="shared" si="580"/>
        <v>0</v>
      </c>
      <c r="V511" s="694">
        <f t="shared" si="580"/>
        <v>0</v>
      </c>
      <c r="W511" s="694">
        <f t="shared" si="580"/>
        <v>0</v>
      </c>
      <c r="X511" s="694">
        <f t="shared" si="580"/>
        <v>0</v>
      </c>
      <c r="Y511" s="694">
        <f t="shared" si="580"/>
        <v>0</v>
      </c>
      <c r="Z511" s="694">
        <f t="shared" si="580"/>
        <v>0</v>
      </c>
      <c r="AA511" s="694">
        <f t="shared" si="580"/>
        <v>0</v>
      </c>
      <c r="AB511" s="694">
        <f t="shared" si="580"/>
        <v>0</v>
      </c>
    </row>
    <row r="512" spans="1:64" s="83" customFormat="1" x14ac:dyDescent="0.25">
      <c r="A512" s="82"/>
      <c r="B512" s="204" t="str">
        <f t="shared" si="574"/>
        <v>TLEFELC100</v>
      </c>
      <c r="C512" s="204"/>
      <c r="D512" s="205"/>
      <c r="E512" s="204"/>
      <c r="F512" s="206"/>
      <c r="G512" s="207"/>
      <c r="H512" s="206"/>
      <c r="I512" s="208">
        <f>AF$10</f>
        <v>2050</v>
      </c>
      <c r="J512" s="209"/>
      <c r="K512" s="209"/>
      <c r="L512" s="210" t="s">
        <v>1065</v>
      </c>
      <c r="M512" s="209" t="s">
        <v>748</v>
      </c>
      <c r="N512" s="695">
        <f t="shared" ref="N512:AB512" si="581">N$506*LOOKUP($AD$502,$AG$4:$AS$4,$AG10:$AS10)</f>
        <v>0</v>
      </c>
      <c r="O512" s="695">
        <f t="shared" si="581"/>
        <v>0</v>
      </c>
      <c r="P512" s="695">
        <f t="shared" si="581"/>
        <v>0</v>
      </c>
      <c r="Q512" s="695">
        <f t="shared" si="581"/>
        <v>0</v>
      </c>
      <c r="R512" s="695">
        <f t="shared" si="581"/>
        <v>0</v>
      </c>
      <c r="S512" s="695">
        <f t="shared" si="581"/>
        <v>0</v>
      </c>
      <c r="T512" s="695">
        <f t="shared" si="581"/>
        <v>0</v>
      </c>
      <c r="U512" s="695">
        <f t="shared" si="581"/>
        <v>0</v>
      </c>
      <c r="V512" s="695">
        <f t="shared" si="581"/>
        <v>0</v>
      </c>
      <c r="W512" s="695">
        <f t="shared" si="581"/>
        <v>0</v>
      </c>
      <c r="X512" s="695">
        <f t="shared" si="581"/>
        <v>0</v>
      </c>
      <c r="Y512" s="695">
        <f t="shared" si="581"/>
        <v>0</v>
      </c>
      <c r="Z512" s="695">
        <f t="shared" si="581"/>
        <v>0</v>
      </c>
      <c r="AA512" s="695">
        <f t="shared" si="581"/>
        <v>0</v>
      </c>
      <c r="AB512" s="695">
        <f t="shared" si="581"/>
        <v>0</v>
      </c>
      <c r="AD512" s="409"/>
    </row>
    <row r="513" spans="1:64" s="83" customFormat="1" x14ac:dyDescent="0.25">
      <c r="A513" s="82"/>
      <c r="B513" s="178" t="str">
        <f>C513</f>
        <v>TYNF100</v>
      </c>
      <c r="C513" s="178" t="s">
        <v>566</v>
      </c>
      <c r="D513" s="179" t="s">
        <v>900</v>
      </c>
      <c r="E513" s="407" t="s">
        <v>681</v>
      </c>
      <c r="F513" s="182"/>
      <c r="G513" s="181"/>
      <c r="H513" s="182"/>
      <c r="I513" s="183"/>
      <c r="J513" s="184"/>
      <c r="K513" s="184"/>
      <c r="L513" s="203" t="s">
        <v>1107</v>
      </c>
      <c r="M513" s="184" t="s">
        <v>1156</v>
      </c>
      <c r="N513" s="567">
        <f>10^-3</f>
        <v>1E-3</v>
      </c>
      <c r="O513" s="366">
        <f t="shared" ref="O513:AB513" si="582">$N513</f>
        <v>1E-3</v>
      </c>
      <c r="P513" s="366">
        <f t="shared" si="582"/>
        <v>1E-3</v>
      </c>
      <c r="Q513" s="366">
        <f t="shared" si="582"/>
        <v>1E-3</v>
      </c>
      <c r="R513" s="366">
        <f t="shared" si="582"/>
        <v>1E-3</v>
      </c>
      <c r="S513" s="366">
        <f t="shared" si="582"/>
        <v>1E-3</v>
      </c>
      <c r="T513" s="366">
        <f t="shared" si="582"/>
        <v>1E-3</v>
      </c>
      <c r="U513" s="366">
        <f t="shared" si="582"/>
        <v>1E-3</v>
      </c>
      <c r="V513" s="366">
        <f t="shared" si="582"/>
        <v>1E-3</v>
      </c>
      <c r="W513" s="366">
        <f t="shared" si="582"/>
        <v>1E-3</v>
      </c>
      <c r="X513" s="366">
        <f t="shared" si="582"/>
        <v>1E-3</v>
      </c>
      <c r="Y513" s="366">
        <f t="shared" si="582"/>
        <v>1E-3</v>
      </c>
      <c r="Z513" s="366">
        <f t="shared" si="582"/>
        <v>1E-3</v>
      </c>
      <c r="AA513" s="366">
        <f t="shared" si="582"/>
        <v>1E-3</v>
      </c>
      <c r="AB513" s="366">
        <f t="shared" si="582"/>
        <v>1E-3</v>
      </c>
      <c r="AD513" s="86" t="str">
        <f>G514</f>
        <v>TYNF</v>
      </c>
      <c r="AE513" s="625" t="str">
        <f>IF(AE516-AD18&lt;0,"too small",IF(AE516-AD18&gt;0.05,"Too big","ok"))</f>
        <v>ok</v>
      </c>
      <c r="AF513" s="619" t="str">
        <f t="shared" ref="AF513:AT513" si="583">IF(AF516-N18&lt;0,"too small",IF(AF516-N18&gt;0.001,"Too big","ok"))</f>
        <v>ok</v>
      </c>
      <c r="AG513" s="619" t="str">
        <f t="shared" si="583"/>
        <v>ok</v>
      </c>
      <c r="AH513" s="619" t="str">
        <f t="shared" si="583"/>
        <v>ok</v>
      </c>
      <c r="AI513" s="619" t="str">
        <f t="shared" si="583"/>
        <v>ok</v>
      </c>
      <c r="AJ513" s="619" t="str">
        <f t="shared" si="583"/>
        <v>ok</v>
      </c>
      <c r="AK513" s="619" t="str">
        <f t="shared" si="583"/>
        <v>ok</v>
      </c>
      <c r="AL513" s="619" t="str">
        <f t="shared" si="583"/>
        <v>ok</v>
      </c>
      <c r="AM513" s="619" t="str">
        <f t="shared" si="583"/>
        <v>ok</v>
      </c>
      <c r="AN513" s="619" t="str">
        <f t="shared" si="583"/>
        <v>ok</v>
      </c>
      <c r="AO513" s="619" t="str">
        <f t="shared" si="583"/>
        <v>ok</v>
      </c>
      <c r="AP513" s="619" t="str">
        <f t="shared" si="583"/>
        <v>ok</v>
      </c>
      <c r="AQ513" s="619" t="str">
        <f t="shared" si="583"/>
        <v>ok</v>
      </c>
      <c r="AR513" s="619" t="str">
        <f t="shared" si="583"/>
        <v>ok</v>
      </c>
      <c r="AS513" s="619" t="str">
        <f t="shared" si="583"/>
        <v>ok</v>
      </c>
      <c r="AT513" s="619" t="str">
        <f t="shared" si="583"/>
        <v>ok</v>
      </c>
      <c r="AV513" s="700" t="str">
        <f t="shared" ref="AV513:AV514" si="584">MID(E513,1,7)</f>
        <v>TRAHUM</v>
      </c>
      <c r="AW513" s="568">
        <f t="shared" ref="AW513" si="585">SUM(AX513:BL513)</f>
        <v>0</v>
      </c>
      <c r="AX513" s="721">
        <f>N516*N517/N514/1000</f>
        <v>0</v>
      </c>
      <c r="AY513" s="721">
        <f t="shared" ref="AY513:BL513" si="586">O516*O517/O514/1000</f>
        <v>0</v>
      </c>
      <c r="AZ513" s="721">
        <f t="shared" si="586"/>
        <v>0</v>
      </c>
      <c r="BA513" s="721">
        <f t="shared" si="586"/>
        <v>0</v>
      </c>
      <c r="BB513" s="721">
        <f t="shared" si="586"/>
        <v>0</v>
      </c>
      <c r="BC513" s="721">
        <f t="shared" si="586"/>
        <v>0</v>
      </c>
      <c r="BD513" s="721">
        <f t="shared" si="586"/>
        <v>0</v>
      </c>
      <c r="BE513" s="721">
        <f t="shared" si="586"/>
        <v>0</v>
      </c>
      <c r="BF513" s="721">
        <f t="shared" si="586"/>
        <v>0</v>
      </c>
      <c r="BG513" s="721">
        <f t="shared" si="586"/>
        <v>0</v>
      </c>
      <c r="BH513" s="721">
        <f t="shared" si="586"/>
        <v>0</v>
      </c>
      <c r="BI513" s="721">
        <f t="shared" si="586"/>
        <v>0</v>
      </c>
      <c r="BJ513" s="721">
        <f t="shared" si="586"/>
        <v>0</v>
      </c>
      <c r="BK513" s="721">
        <f t="shared" si="586"/>
        <v>0</v>
      </c>
      <c r="BL513" s="721">
        <f t="shared" si="586"/>
        <v>0</v>
      </c>
    </row>
    <row r="514" spans="1:64" s="83" customFormat="1" x14ac:dyDescent="0.25">
      <c r="A514" s="82"/>
      <c r="B514" s="178" t="str">
        <f>B513</f>
        <v>TYNF100</v>
      </c>
      <c r="C514" s="178"/>
      <c r="D514" s="179"/>
      <c r="E514" s="178"/>
      <c r="F514" s="558"/>
      <c r="G514" s="173" t="s">
        <v>423</v>
      </c>
      <c r="H514" s="182"/>
      <c r="I514" s="183"/>
      <c r="J514" s="184"/>
      <c r="K514" s="184"/>
      <c r="L514" s="184" t="s">
        <v>1126</v>
      </c>
      <c r="M514" s="184" t="s">
        <v>678</v>
      </c>
      <c r="N514" s="367">
        <v>1000</v>
      </c>
      <c r="O514" s="367">
        <f>N514</f>
        <v>1000</v>
      </c>
      <c r="P514" s="367">
        <f t="shared" ref="P514:AB514" si="587">O514</f>
        <v>1000</v>
      </c>
      <c r="Q514" s="367">
        <f t="shared" si="587"/>
        <v>1000</v>
      </c>
      <c r="R514" s="367">
        <f t="shared" si="587"/>
        <v>1000</v>
      </c>
      <c r="S514" s="367">
        <f t="shared" si="587"/>
        <v>1000</v>
      </c>
      <c r="T514" s="367">
        <f t="shared" si="587"/>
        <v>1000</v>
      </c>
      <c r="U514" s="367">
        <f t="shared" si="587"/>
        <v>1000</v>
      </c>
      <c r="V514" s="367">
        <f t="shared" si="587"/>
        <v>1000</v>
      </c>
      <c r="W514" s="367">
        <f t="shared" si="587"/>
        <v>1000</v>
      </c>
      <c r="X514" s="367">
        <f t="shared" si="587"/>
        <v>1000</v>
      </c>
      <c r="Y514" s="367">
        <f t="shared" si="587"/>
        <v>1000</v>
      </c>
      <c r="Z514" s="367">
        <f t="shared" si="587"/>
        <v>1000</v>
      </c>
      <c r="AA514" s="367">
        <f t="shared" si="587"/>
        <v>1000</v>
      </c>
      <c r="AB514" s="367">
        <f t="shared" si="587"/>
        <v>1000</v>
      </c>
      <c r="AD514" s="83" t="str">
        <f>IF(COUNTIF($AG$4:$AS$4,AD513)=1,"ok","MISSING")</f>
        <v>ok</v>
      </c>
      <c r="AE514" s="332"/>
      <c r="AV514" s="700" t="str">
        <f t="shared" si="584"/>
        <v/>
      </c>
      <c r="AW514" s="568"/>
    </row>
    <row r="515" spans="1:64" s="83" customFormat="1" x14ac:dyDescent="0.25">
      <c r="A515" s="82"/>
      <c r="B515" s="178" t="str">
        <f>B514</f>
        <v>TYNF100</v>
      </c>
      <c r="C515" s="178"/>
      <c r="D515" s="179"/>
      <c r="E515" s="178"/>
      <c r="F515" s="182"/>
      <c r="G515" s="181"/>
      <c r="H515" s="182"/>
      <c r="I515" s="183"/>
      <c r="J515" s="184"/>
      <c r="K515" s="184" t="s">
        <v>749</v>
      </c>
      <c r="L515" s="184" t="s">
        <v>1128</v>
      </c>
      <c r="M515" s="184" t="s">
        <v>1175</v>
      </c>
      <c r="N515" s="388">
        <f t="shared" ref="N515:AB515" si="588">N22</f>
        <v>0</v>
      </c>
      <c r="O515" s="388">
        <f t="shared" si="588"/>
        <v>0</v>
      </c>
      <c r="P515" s="388">
        <f t="shared" si="588"/>
        <v>0</v>
      </c>
      <c r="Q515" s="388">
        <f t="shared" si="588"/>
        <v>0</v>
      </c>
      <c r="R515" s="388">
        <f t="shared" si="588"/>
        <v>0</v>
      </c>
      <c r="S515" s="388">
        <f t="shared" si="588"/>
        <v>0</v>
      </c>
      <c r="T515" s="388">
        <f t="shared" si="588"/>
        <v>0</v>
      </c>
      <c r="U515" s="388">
        <f t="shared" si="588"/>
        <v>0</v>
      </c>
      <c r="V515" s="388">
        <f t="shared" si="588"/>
        <v>0</v>
      </c>
      <c r="W515" s="388">
        <f t="shared" si="588"/>
        <v>0</v>
      </c>
      <c r="X515" s="388">
        <f t="shared" si="588"/>
        <v>0</v>
      </c>
      <c r="Y515" s="388">
        <f t="shared" si="588"/>
        <v>0</v>
      </c>
      <c r="Z515" s="388">
        <f t="shared" si="588"/>
        <v>0</v>
      </c>
      <c r="AA515" s="388">
        <f t="shared" si="588"/>
        <v>0</v>
      </c>
      <c r="AB515" s="388">
        <f t="shared" si="588"/>
        <v>0</v>
      </c>
      <c r="AE515" s="332"/>
    </row>
    <row r="516" spans="1:64" s="83" customFormat="1" x14ac:dyDescent="0.25">
      <c r="A516" s="82"/>
      <c r="B516" s="178" t="str">
        <f t="shared" ref="B516:B523" si="589">B515</f>
        <v>TYNF100</v>
      </c>
      <c r="C516" s="178"/>
      <c r="D516" s="179"/>
      <c r="E516" s="178"/>
      <c r="F516" s="182"/>
      <c r="G516" s="181"/>
      <c r="H516" s="182"/>
      <c r="I516" s="183"/>
      <c r="J516" s="184"/>
      <c r="K516" s="184"/>
      <c r="L516" s="203" t="s">
        <v>1130</v>
      </c>
      <c r="M516" s="184" t="s">
        <v>1131</v>
      </c>
      <c r="N516" s="397">
        <f>T_NCAP_AF!D338*(1+N496)</f>
        <v>0</v>
      </c>
      <c r="O516" s="397">
        <f>T_NCAP_AF!E338*(1+O496)</f>
        <v>0</v>
      </c>
      <c r="P516" s="397">
        <f>T_NCAP_AF!F338*(1+P496)</f>
        <v>0</v>
      </c>
      <c r="Q516" s="397">
        <f>T_NCAP_AF!G338*(1+Q496)</f>
        <v>0</v>
      </c>
      <c r="R516" s="397">
        <f>T_NCAP_AF!H338*(1+R496)</f>
        <v>0</v>
      </c>
      <c r="S516" s="397">
        <f>T_NCAP_AF!I338*(1+S496)</f>
        <v>0</v>
      </c>
      <c r="T516" s="397">
        <f>T_NCAP_AF!J338*(1+T496)</f>
        <v>0</v>
      </c>
      <c r="U516" s="397">
        <f>T_NCAP_AF!K338*(1+U496)</f>
        <v>0</v>
      </c>
      <c r="V516" s="397">
        <f>T_NCAP_AF!L338*(1+V496)</f>
        <v>0</v>
      </c>
      <c r="W516" s="397">
        <f>T_NCAP_AF!M338*(1+W496)</f>
        <v>0</v>
      </c>
      <c r="X516" s="397">
        <f>T_NCAP_AF!N338*(1+X496)</f>
        <v>0</v>
      </c>
      <c r="Y516" s="397">
        <f>T_NCAP_AF!O338*(1+Y496)</f>
        <v>0</v>
      </c>
      <c r="Z516" s="397">
        <f>T_NCAP_AF!P338*(1+Z496)</f>
        <v>0</v>
      </c>
      <c r="AA516" s="397">
        <f>T_NCAP_AF!Q338*(1+AA496)</f>
        <v>0</v>
      </c>
      <c r="AB516" s="397">
        <f>T_NCAP_AF!R338*(1+AB496)</f>
        <v>0</v>
      </c>
      <c r="AE516" s="331">
        <f>SUM(AF516:AT516)</f>
        <v>0</v>
      </c>
      <c r="AF516" s="85">
        <f>N515*N516*N517/1000</f>
        <v>0</v>
      </c>
      <c r="AG516" s="85">
        <f t="shared" ref="AG516:AT516" si="590">O515*O516*O517/1000</f>
        <v>0</v>
      </c>
      <c r="AH516" s="85">
        <f t="shared" si="590"/>
        <v>0</v>
      </c>
      <c r="AI516" s="85">
        <f t="shared" si="590"/>
        <v>0</v>
      </c>
      <c r="AJ516" s="85">
        <f t="shared" si="590"/>
        <v>0</v>
      </c>
      <c r="AK516" s="85">
        <f t="shared" si="590"/>
        <v>0</v>
      </c>
      <c r="AL516" s="85">
        <f t="shared" si="590"/>
        <v>0</v>
      </c>
      <c r="AM516" s="85">
        <f t="shared" si="590"/>
        <v>0</v>
      </c>
      <c r="AN516" s="85">
        <f t="shared" si="590"/>
        <v>0</v>
      </c>
      <c r="AO516" s="85">
        <f t="shared" si="590"/>
        <v>0</v>
      </c>
      <c r="AP516" s="85">
        <f t="shared" si="590"/>
        <v>0</v>
      </c>
      <c r="AQ516" s="85">
        <f t="shared" si="590"/>
        <v>0</v>
      </c>
      <c r="AR516" s="85">
        <f t="shared" si="590"/>
        <v>0</v>
      </c>
      <c r="AS516" s="85">
        <f t="shared" si="590"/>
        <v>0</v>
      </c>
      <c r="AT516" s="85">
        <f t="shared" si="590"/>
        <v>0</v>
      </c>
    </row>
    <row r="517" spans="1:64" s="83" customFormat="1" x14ac:dyDescent="0.25">
      <c r="A517" s="82"/>
      <c r="B517" s="178" t="str">
        <f>B516</f>
        <v>TYNF100</v>
      </c>
      <c r="C517" s="178"/>
      <c r="D517" s="179"/>
      <c r="E517" s="178"/>
      <c r="F517" s="182"/>
      <c r="G517" s="181"/>
      <c r="H517" s="182"/>
      <c r="I517" s="183">
        <f>$M$3</f>
        <v>2019</v>
      </c>
      <c r="J517" s="184"/>
      <c r="K517" s="184"/>
      <c r="L517" s="203" t="s">
        <v>1065</v>
      </c>
      <c r="M517" s="184" t="s">
        <v>748</v>
      </c>
      <c r="N517" s="694">
        <f>T_Stock_Private!D145*(1+N497)</f>
        <v>0</v>
      </c>
      <c r="O517" s="694">
        <f>T_Stock_Private!E145*(1+O497)</f>
        <v>0</v>
      </c>
      <c r="P517" s="694">
        <f>T_Stock_Private!F145*(1+P497)</f>
        <v>0</v>
      </c>
      <c r="Q517" s="694">
        <f>T_Stock_Private!G145*(1+Q497)</f>
        <v>0</v>
      </c>
      <c r="R517" s="694">
        <f>T_Stock_Private!H145*(1+R497)</f>
        <v>0</v>
      </c>
      <c r="S517" s="694">
        <f>T_Stock_Private!I145*(1+S497)</f>
        <v>0</v>
      </c>
      <c r="T517" s="694">
        <f>T_Stock_Private!J145*(1+T497)</f>
        <v>0</v>
      </c>
      <c r="U517" s="694">
        <f>T_Stock_Private!K145*(1+U497)</f>
        <v>0</v>
      </c>
      <c r="V517" s="694">
        <f>T_Stock_Private!L145*(1+V497)</f>
        <v>0</v>
      </c>
      <c r="W517" s="694">
        <f>T_Stock_Private!M145*(1+W497)</f>
        <v>0</v>
      </c>
      <c r="X517" s="694">
        <f>T_Stock_Private!N145*(1+X497)</f>
        <v>0</v>
      </c>
      <c r="Y517" s="694">
        <f>T_Stock_Private!O145*(1+Y497)</f>
        <v>0</v>
      </c>
      <c r="Z517" s="694">
        <f>T_Stock_Private!P145*(1+Z497)</f>
        <v>0</v>
      </c>
      <c r="AA517" s="694">
        <f>T_Stock_Private!Q145*(1+AA497)</f>
        <v>0</v>
      </c>
      <c r="AB517" s="694">
        <f>T_Stock_Private!R145*(1+AB497)</f>
        <v>0</v>
      </c>
    </row>
    <row r="518" spans="1:64" s="83" customFormat="1" x14ac:dyDescent="0.25">
      <c r="A518" s="82"/>
      <c r="B518" s="178" t="str">
        <f t="shared" si="589"/>
        <v>TYNF100</v>
      </c>
      <c r="C518" s="178"/>
      <c r="D518" s="179"/>
      <c r="E518" s="178"/>
      <c r="F518" s="182"/>
      <c r="G518" s="181"/>
      <c r="H518" s="182"/>
      <c r="I518" s="183">
        <f>AF$5</f>
        <v>2020</v>
      </c>
      <c r="J518" s="184"/>
      <c r="K518" s="184"/>
      <c r="L518" s="203" t="s">
        <v>1065</v>
      </c>
      <c r="M518" s="184" t="s">
        <v>748</v>
      </c>
      <c r="N518" s="694">
        <f t="shared" ref="N518:AB518" si="591">N$517*LOOKUP($AD$513,$AG$4:$AS$4,$AG5:$AS5)</f>
        <v>0</v>
      </c>
      <c r="O518" s="694">
        <f t="shared" si="591"/>
        <v>0</v>
      </c>
      <c r="P518" s="694">
        <f t="shared" si="591"/>
        <v>0</v>
      </c>
      <c r="Q518" s="694">
        <f t="shared" si="591"/>
        <v>0</v>
      </c>
      <c r="R518" s="694">
        <f t="shared" si="591"/>
        <v>0</v>
      </c>
      <c r="S518" s="694">
        <f t="shared" si="591"/>
        <v>0</v>
      </c>
      <c r="T518" s="694">
        <f t="shared" si="591"/>
        <v>0</v>
      </c>
      <c r="U518" s="694">
        <f t="shared" si="591"/>
        <v>0</v>
      </c>
      <c r="V518" s="694">
        <f t="shared" si="591"/>
        <v>0</v>
      </c>
      <c r="W518" s="694">
        <f t="shared" si="591"/>
        <v>0</v>
      </c>
      <c r="X518" s="694">
        <f t="shared" si="591"/>
        <v>0</v>
      </c>
      <c r="Y518" s="694">
        <f t="shared" si="591"/>
        <v>0</v>
      </c>
      <c r="Z518" s="694">
        <f t="shared" si="591"/>
        <v>0</v>
      </c>
      <c r="AA518" s="694">
        <f t="shared" si="591"/>
        <v>0</v>
      </c>
      <c r="AB518" s="694">
        <f t="shared" si="591"/>
        <v>0</v>
      </c>
    </row>
    <row r="519" spans="1:64" s="83" customFormat="1" x14ac:dyDescent="0.25">
      <c r="A519" s="82"/>
      <c r="B519" s="178" t="str">
        <f t="shared" si="589"/>
        <v>TYNF100</v>
      </c>
      <c r="C519" s="178"/>
      <c r="D519" s="179"/>
      <c r="E519" s="178"/>
      <c r="F519" s="182"/>
      <c r="G519" s="181"/>
      <c r="H519" s="182"/>
      <c r="I519" s="183">
        <f>AF$6</f>
        <v>2025</v>
      </c>
      <c r="J519" s="184"/>
      <c r="K519" s="184"/>
      <c r="L519" s="203" t="s">
        <v>1065</v>
      </c>
      <c r="M519" s="184" t="s">
        <v>748</v>
      </c>
      <c r="N519" s="694">
        <f t="shared" ref="N519:AB519" si="592">N$517*LOOKUP($AD$513,$AG$4:$AS$4,$AG6:$AS6)</f>
        <v>0</v>
      </c>
      <c r="O519" s="694">
        <f t="shared" si="592"/>
        <v>0</v>
      </c>
      <c r="P519" s="694">
        <f t="shared" si="592"/>
        <v>0</v>
      </c>
      <c r="Q519" s="694">
        <f t="shared" si="592"/>
        <v>0</v>
      </c>
      <c r="R519" s="694">
        <f t="shared" si="592"/>
        <v>0</v>
      </c>
      <c r="S519" s="694">
        <f t="shared" si="592"/>
        <v>0</v>
      </c>
      <c r="T519" s="694">
        <f t="shared" si="592"/>
        <v>0</v>
      </c>
      <c r="U519" s="694">
        <f t="shared" si="592"/>
        <v>0</v>
      </c>
      <c r="V519" s="694">
        <f t="shared" si="592"/>
        <v>0</v>
      </c>
      <c r="W519" s="694">
        <f t="shared" si="592"/>
        <v>0</v>
      </c>
      <c r="X519" s="694">
        <f t="shared" si="592"/>
        <v>0</v>
      </c>
      <c r="Y519" s="694">
        <f t="shared" si="592"/>
        <v>0</v>
      </c>
      <c r="Z519" s="694">
        <f t="shared" si="592"/>
        <v>0</v>
      </c>
      <c r="AA519" s="694">
        <f t="shared" si="592"/>
        <v>0</v>
      </c>
      <c r="AB519" s="694">
        <f t="shared" si="592"/>
        <v>0</v>
      </c>
    </row>
    <row r="520" spans="1:64" s="83" customFormat="1" x14ac:dyDescent="0.25">
      <c r="A520" s="82"/>
      <c r="B520" s="178" t="str">
        <f t="shared" si="589"/>
        <v>TYNF100</v>
      </c>
      <c r="C520" s="178"/>
      <c r="D520" s="179"/>
      <c r="E520" s="178"/>
      <c r="F520" s="182"/>
      <c r="G520" s="181"/>
      <c r="H520" s="182"/>
      <c r="I520" s="183">
        <f>AF$7</f>
        <v>2030</v>
      </c>
      <c r="J520" s="184"/>
      <c r="K520" s="184"/>
      <c r="L520" s="203" t="s">
        <v>1065</v>
      </c>
      <c r="M520" s="184" t="s">
        <v>748</v>
      </c>
      <c r="N520" s="694">
        <f t="shared" ref="N520:AB520" si="593">N$517*LOOKUP($AD$513,$AG$4:$AS$4,$AG7:$AS7)</f>
        <v>0</v>
      </c>
      <c r="O520" s="694">
        <f t="shared" si="593"/>
        <v>0</v>
      </c>
      <c r="P520" s="694">
        <f t="shared" si="593"/>
        <v>0</v>
      </c>
      <c r="Q520" s="694">
        <f t="shared" si="593"/>
        <v>0</v>
      </c>
      <c r="R520" s="694">
        <f t="shared" si="593"/>
        <v>0</v>
      </c>
      <c r="S520" s="694">
        <f t="shared" si="593"/>
        <v>0</v>
      </c>
      <c r="T520" s="694">
        <f t="shared" si="593"/>
        <v>0</v>
      </c>
      <c r="U520" s="694">
        <f t="shared" si="593"/>
        <v>0</v>
      </c>
      <c r="V520" s="694">
        <f t="shared" si="593"/>
        <v>0</v>
      </c>
      <c r="W520" s="694">
        <f t="shared" si="593"/>
        <v>0</v>
      </c>
      <c r="X520" s="694">
        <f t="shared" si="593"/>
        <v>0</v>
      </c>
      <c r="Y520" s="694">
        <f t="shared" si="593"/>
        <v>0</v>
      </c>
      <c r="Z520" s="694">
        <f t="shared" si="593"/>
        <v>0</v>
      </c>
      <c r="AA520" s="694">
        <f t="shared" si="593"/>
        <v>0</v>
      </c>
      <c r="AB520" s="694">
        <f t="shared" si="593"/>
        <v>0</v>
      </c>
    </row>
    <row r="521" spans="1:64" s="83" customFormat="1" x14ac:dyDescent="0.25">
      <c r="A521" s="82"/>
      <c r="B521" s="178" t="str">
        <f t="shared" si="589"/>
        <v>TYNF100</v>
      </c>
      <c r="C521" s="178"/>
      <c r="D521" s="179"/>
      <c r="E521" s="178"/>
      <c r="F521" s="182"/>
      <c r="G521" s="181"/>
      <c r="H521" s="182"/>
      <c r="I521" s="183">
        <f>AF$8</f>
        <v>2035</v>
      </c>
      <c r="J521" s="184"/>
      <c r="K521" s="184"/>
      <c r="L521" s="203" t="s">
        <v>1065</v>
      </c>
      <c r="M521" s="184" t="s">
        <v>748</v>
      </c>
      <c r="N521" s="694">
        <f t="shared" ref="N521:AB521" si="594">N$517*LOOKUP($AD$513,$AG$4:$AS$4,$AG8:$AS8)</f>
        <v>0</v>
      </c>
      <c r="O521" s="694">
        <f t="shared" si="594"/>
        <v>0</v>
      </c>
      <c r="P521" s="694">
        <f t="shared" si="594"/>
        <v>0</v>
      </c>
      <c r="Q521" s="694">
        <f t="shared" si="594"/>
        <v>0</v>
      </c>
      <c r="R521" s="694">
        <f t="shared" si="594"/>
        <v>0</v>
      </c>
      <c r="S521" s="694">
        <f t="shared" si="594"/>
        <v>0</v>
      </c>
      <c r="T521" s="694">
        <f t="shared" si="594"/>
        <v>0</v>
      </c>
      <c r="U521" s="694">
        <f t="shared" si="594"/>
        <v>0</v>
      </c>
      <c r="V521" s="694">
        <f t="shared" si="594"/>
        <v>0</v>
      </c>
      <c r="W521" s="694">
        <f t="shared" si="594"/>
        <v>0</v>
      </c>
      <c r="X521" s="694">
        <f t="shared" si="594"/>
        <v>0</v>
      </c>
      <c r="Y521" s="694">
        <f t="shared" si="594"/>
        <v>0</v>
      </c>
      <c r="Z521" s="694">
        <f t="shared" si="594"/>
        <v>0</v>
      </c>
      <c r="AA521" s="694">
        <f t="shared" si="594"/>
        <v>0</v>
      </c>
      <c r="AB521" s="694">
        <f t="shared" si="594"/>
        <v>0</v>
      </c>
    </row>
    <row r="522" spans="1:64" s="83" customFormat="1" x14ac:dyDescent="0.25">
      <c r="A522" s="82"/>
      <c r="B522" s="178" t="str">
        <f t="shared" si="589"/>
        <v>TYNF100</v>
      </c>
      <c r="C522" s="178"/>
      <c r="D522" s="179"/>
      <c r="E522" s="178"/>
      <c r="F522" s="182"/>
      <c r="G522" s="181"/>
      <c r="H522" s="182"/>
      <c r="I522" s="183">
        <f>AF$9</f>
        <v>2040</v>
      </c>
      <c r="J522" s="184"/>
      <c r="K522" s="184"/>
      <c r="L522" s="203" t="s">
        <v>1065</v>
      </c>
      <c r="M522" s="184" t="s">
        <v>748</v>
      </c>
      <c r="N522" s="694">
        <f t="shared" ref="N522:AB522" si="595">N$517*LOOKUP($AD$513,$AG$4:$AS$4,$AG9:$AS9)</f>
        <v>0</v>
      </c>
      <c r="O522" s="694">
        <f t="shared" si="595"/>
        <v>0</v>
      </c>
      <c r="P522" s="694">
        <f t="shared" si="595"/>
        <v>0</v>
      </c>
      <c r="Q522" s="694">
        <f t="shared" si="595"/>
        <v>0</v>
      </c>
      <c r="R522" s="694">
        <f t="shared" si="595"/>
        <v>0</v>
      </c>
      <c r="S522" s="694">
        <f t="shared" si="595"/>
        <v>0</v>
      </c>
      <c r="T522" s="694">
        <f t="shared" si="595"/>
        <v>0</v>
      </c>
      <c r="U522" s="694">
        <f t="shared" si="595"/>
        <v>0</v>
      </c>
      <c r="V522" s="694">
        <f t="shared" si="595"/>
        <v>0</v>
      </c>
      <c r="W522" s="694">
        <f t="shared" si="595"/>
        <v>0</v>
      </c>
      <c r="X522" s="694">
        <f t="shared" si="595"/>
        <v>0</v>
      </c>
      <c r="Y522" s="694">
        <f t="shared" si="595"/>
        <v>0</v>
      </c>
      <c r="Z522" s="694">
        <f t="shared" si="595"/>
        <v>0</v>
      </c>
      <c r="AA522" s="694">
        <f t="shared" si="595"/>
        <v>0</v>
      </c>
      <c r="AB522" s="694">
        <f t="shared" si="595"/>
        <v>0</v>
      </c>
    </row>
    <row r="523" spans="1:64" s="83" customFormat="1" x14ac:dyDescent="0.25">
      <c r="A523" s="82"/>
      <c r="B523" s="204" t="str">
        <f t="shared" si="589"/>
        <v>TYNF100</v>
      </c>
      <c r="C523" s="204"/>
      <c r="D523" s="205"/>
      <c r="E523" s="204"/>
      <c r="F523" s="206"/>
      <c r="G523" s="207"/>
      <c r="H523" s="206"/>
      <c r="I523" s="208">
        <f>AF$10</f>
        <v>2050</v>
      </c>
      <c r="J523" s="209"/>
      <c r="K523" s="209"/>
      <c r="L523" s="210" t="s">
        <v>1065</v>
      </c>
      <c r="M523" s="209" t="s">
        <v>748</v>
      </c>
      <c r="N523" s="695">
        <f t="shared" ref="N523:AB523" si="596">N$517*LOOKUP($AD$513,$AG$4:$AS$4,$AG10:$AS10)</f>
        <v>0</v>
      </c>
      <c r="O523" s="695">
        <f t="shared" si="596"/>
        <v>0</v>
      </c>
      <c r="P523" s="695">
        <f t="shared" si="596"/>
        <v>0</v>
      </c>
      <c r="Q523" s="695">
        <f t="shared" si="596"/>
        <v>0</v>
      </c>
      <c r="R523" s="695">
        <f t="shared" si="596"/>
        <v>0</v>
      </c>
      <c r="S523" s="695">
        <f t="shared" si="596"/>
        <v>0</v>
      </c>
      <c r="T523" s="695">
        <f t="shared" si="596"/>
        <v>0</v>
      </c>
      <c r="U523" s="695">
        <f t="shared" si="596"/>
        <v>0</v>
      </c>
      <c r="V523" s="695">
        <f t="shared" si="596"/>
        <v>0</v>
      </c>
      <c r="W523" s="695">
        <f t="shared" si="596"/>
        <v>0</v>
      </c>
      <c r="X523" s="695">
        <f t="shared" si="596"/>
        <v>0</v>
      </c>
      <c r="Y523" s="695">
        <f t="shared" si="596"/>
        <v>0</v>
      </c>
      <c r="Z523" s="695">
        <f t="shared" si="596"/>
        <v>0</v>
      </c>
      <c r="AA523" s="695">
        <f t="shared" si="596"/>
        <v>0</v>
      </c>
      <c r="AB523" s="695">
        <f t="shared" si="596"/>
        <v>0</v>
      </c>
      <c r="AD523" s="409"/>
    </row>
    <row r="524" spans="1:64" s="83" customFormat="1" x14ac:dyDescent="0.25">
      <c r="A524" s="82"/>
      <c r="B524" s="178" t="str">
        <f>C524</f>
        <v>TYEF100</v>
      </c>
      <c r="C524" s="178" t="s">
        <v>565</v>
      </c>
      <c r="D524" s="179" t="s">
        <v>896</v>
      </c>
      <c r="E524" s="180"/>
      <c r="F524" s="182"/>
      <c r="G524" s="558" t="s">
        <v>425</v>
      </c>
      <c r="H524" s="182"/>
      <c r="I524" s="183"/>
      <c r="J524" s="184"/>
      <c r="K524" s="184"/>
      <c r="L524" s="203" t="s">
        <v>1107</v>
      </c>
      <c r="M524" s="184" t="s">
        <v>1156</v>
      </c>
      <c r="N524" s="567">
        <f>10^-3</f>
        <v>1E-3</v>
      </c>
      <c r="O524" s="366">
        <f t="shared" ref="O524:AB524" si="597">$N524</f>
        <v>1E-3</v>
      </c>
      <c r="P524" s="366">
        <f t="shared" si="597"/>
        <v>1E-3</v>
      </c>
      <c r="Q524" s="366">
        <f t="shared" si="597"/>
        <v>1E-3</v>
      </c>
      <c r="R524" s="366">
        <f t="shared" si="597"/>
        <v>1E-3</v>
      </c>
      <c r="S524" s="366">
        <f t="shared" si="597"/>
        <v>1E-3</v>
      </c>
      <c r="T524" s="366">
        <f t="shared" si="597"/>
        <v>1E-3</v>
      </c>
      <c r="U524" s="366">
        <f t="shared" si="597"/>
        <v>1E-3</v>
      </c>
      <c r="V524" s="366">
        <f t="shared" si="597"/>
        <v>1E-3</v>
      </c>
      <c r="W524" s="366">
        <f t="shared" si="597"/>
        <v>1E-3</v>
      </c>
      <c r="X524" s="366">
        <f t="shared" si="597"/>
        <v>1E-3</v>
      </c>
      <c r="Y524" s="366">
        <f t="shared" si="597"/>
        <v>1E-3</v>
      </c>
      <c r="Z524" s="366">
        <f t="shared" si="597"/>
        <v>1E-3</v>
      </c>
      <c r="AA524" s="366">
        <f t="shared" si="597"/>
        <v>1E-3</v>
      </c>
      <c r="AB524" s="366">
        <f t="shared" si="597"/>
        <v>1E-3</v>
      </c>
      <c r="AD524" s="86" t="str">
        <f>G524</f>
        <v>TYEF</v>
      </c>
      <c r="AE524" s="625" t="str">
        <f>IF(AE529-AD17&lt;0,"too small",IF(AE529-AD17&gt;0.001,"Too big","ok"))</f>
        <v>ok</v>
      </c>
      <c r="AF524" s="619" t="str">
        <f t="shared" ref="AF524:AT524" si="598">IF(AF529-N17&lt;0,"too small",IF(AF529-N17&gt;0.001,"Too big","ok"))</f>
        <v>ok</v>
      </c>
      <c r="AG524" s="619" t="str">
        <f t="shared" si="598"/>
        <v>ok</v>
      </c>
      <c r="AH524" s="619" t="str">
        <f t="shared" si="598"/>
        <v>ok</v>
      </c>
      <c r="AI524" s="619" t="str">
        <f t="shared" si="598"/>
        <v>ok</v>
      </c>
      <c r="AJ524" s="619" t="str">
        <f t="shared" si="598"/>
        <v>ok</v>
      </c>
      <c r="AK524" s="619" t="str">
        <f t="shared" si="598"/>
        <v>ok</v>
      </c>
      <c r="AL524" s="619" t="str">
        <f t="shared" si="598"/>
        <v>ok</v>
      </c>
      <c r="AM524" s="619" t="str">
        <f t="shared" si="598"/>
        <v>ok</v>
      </c>
      <c r="AN524" s="619" t="str">
        <f t="shared" si="598"/>
        <v>ok</v>
      </c>
      <c r="AO524" s="619" t="str">
        <f t="shared" si="598"/>
        <v>ok</v>
      </c>
      <c r="AP524" s="619" t="str">
        <f t="shared" si="598"/>
        <v>ok</v>
      </c>
      <c r="AQ524" s="619" t="str">
        <f t="shared" si="598"/>
        <v>ok</v>
      </c>
      <c r="AR524" s="619" t="str">
        <f t="shared" si="598"/>
        <v>ok</v>
      </c>
      <c r="AS524" s="619" t="str">
        <f t="shared" si="598"/>
        <v>ok</v>
      </c>
      <c r="AT524" s="619" t="str">
        <f t="shared" si="598"/>
        <v>ok</v>
      </c>
      <c r="AV524" s="700" t="str">
        <f t="shared" ref="AV524:AV525" si="599">MID(E524,1,7)</f>
        <v/>
      </c>
      <c r="AW524" s="568"/>
    </row>
    <row r="525" spans="1:64" s="83" customFormat="1" x14ac:dyDescent="0.25">
      <c r="A525" s="82"/>
      <c r="B525" s="178" t="str">
        <f>B524</f>
        <v>TYEF100</v>
      </c>
      <c r="C525" s="178"/>
      <c r="D525" s="179"/>
      <c r="E525" s="178" t="s">
        <v>681</v>
      </c>
      <c r="F525" s="182"/>
      <c r="G525" s="173"/>
      <c r="H525" s="182"/>
      <c r="I525" s="183"/>
      <c r="J525" s="184"/>
      <c r="K525" s="184"/>
      <c r="L525" s="184" t="s">
        <v>1126</v>
      </c>
      <c r="M525" s="184" t="s">
        <v>678</v>
      </c>
      <c r="N525" s="367">
        <v>1000</v>
      </c>
      <c r="O525" s="367">
        <f>N525</f>
        <v>1000</v>
      </c>
      <c r="P525" s="367">
        <f t="shared" ref="P525:AB525" si="600">O525</f>
        <v>1000</v>
      </c>
      <c r="Q525" s="367">
        <f t="shared" si="600"/>
        <v>1000</v>
      </c>
      <c r="R525" s="367">
        <f t="shared" si="600"/>
        <v>1000</v>
      </c>
      <c r="S525" s="367">
        <f t="shared" si="600"/>
        <v>1000</v>
      </c>
      <c r="T525" s="367">
        <f t="shared" si="600"/>
        <v>1000</v>
      </c>
      <c r="U525" s="367">
        <f t="shared" si="600"/>
        <v>1000</v>
      </c>
      <c r="V525" s="367">
        <f t="shared" si="600"/>
        <v>1000</v>
      </c>
      <c r="W525" s="367">
        <f t="shared" si="600"/>
        <v>1000</v>
      </c>
      <c r="X525" s="367">
        <f t="shared" si="600"/>
        <v>1000</v>
      </c>
      <c r="Y525" s="367">
        <f t="shared" si="600"/>
        <v>1000</v>
      </c>
      <c r="Z525" s="367">
        <f t="shared" si="600"/>
        <v>1000</v>
      </c>
      <c r="AA525" s="367">
        <f t="shared" si="600"/>
        <v>1000</v>
      </c>
      <c r="AB525" s="367">
        <f t="shared" si="600"/>
        <v>1000</v>
      </c>
      <c r="AD525" s="83" t="str">
        <f>IF(COUNTIF($AG$4:$AS$4,AD524)=1,"ok","MISSING")</f>
        <v>ok</v>
      </c>
      <c r="AE525" s="332"/>
      <c r="AV525" s="700" t="str">
        <f t="shared" si="599"/>
        <v>TRAHUM</v>
      </c>
      <c r="AW525" s="568">
        <f t="shared" ref="AW525" si="601">SUM(AX525:BL525)</f>
        <v>0</v>
      </c>
      <c r="AX525" s="706">
        <f t="shared" ref="AX525:BL525" si="602">N$529*N$530*(1-N527)/N525/1000</f>
        <v>0</v>
      </c>
      <c r="AY525" s="706">
        <f t="shared" si="602"/>
        <v>0</v>
      </c>
      <c r="AZ525" s="706">
        <f t="shared" si="602"/>
        <v>0</v>
      </c>
      <c r="BA525" s="706">
        <f t="shared" si="602"/>
        <v>0</v>
      </c>
      <c r="BB525" s="706">
        <f t="shared" si="602"/>
        <v>0</v>
      </c>
      <c r="BC525" s="706">
        <f t="shared" si="602"/>
        <v>0</v>
      </c>
      <c r="BD525" s="706">
        <f t="shared" si="602"/>
        <v>0</v>
      </c>
      <c r="BE525" s="706">
        <f t="shared" si="602"/>
        <v>0</v>
      </c>
      <c r="BF525" s="706">
        <f t="shared" si="602"/>
        <v>0</v>
      </c>
      <c r="BG525" s="706">
        <f t="shared" si="602"/>
        <v>0</v>
      </c>
      <c r="BH525" s="706">
        <f t="shared" si="602"/>
        <v>0</v>
      </c>
      <c r="BI525" s="706">
        <f t="shared" si="602"/>
        <v>0</v>
      </c>
      <c r="BJ525" s="706">
        <f t="shared" si="602"/>
        <v>0</v>
      </c>
      <c r="BK525" s="706">
        <f t="shared" si="602"/>
        <v>0</v>
      </c>
      <c r="BL525" s="706">
        <f t="shared" si="602"/>
        <v>0</v>
      </c>
    </row>
    <row r="526" spans="1:64" s="83" customFormat="1" x14ac:dyDescent="0.25">
      <c r="A526" s="82"/>
      <c r="B526" s="178" t="str">
        <f t="shared" ref="B526:B527" si="603">B525</f>
        <v>TYEF100</v>
      </c>
      <c r="C526" s="178"/>
      <c r="D526" s="179"/>
      <c r="E526" s="178" t="s">
        <v>683</v>
      </c>
      <c r="F526" s="182"/>
      <c r="G526" s="173"/>
      <c r="H526" s="182"/>
      <c r="I526" s="183"/>
      <c r="J526" s="184"/>
      <c r="K526" s="184"/>
      <c r="L526" s="184" t="s">
        <v>1126</v>
      </c>
      <c r="M526" s="184" t="s">
        <v>678</v>
      </c>
      <c r="N526" s="367">
        <f>T_CEFF!H224</f>
        <v>4.5454499999999998</v>
      </c>
      <c r="O526" s="367">
        <f>T_CEFF!I224</f>
        <v>4.5454499999999998</v>
      </c>
      <c r="P526" s="367">
        <f>T_CEFF!J224</f>
        <v>4.5454499999999998</v>
      </c>
      <c r="Q526" s="367">
        <f>T_CEFF!K224</f>
        <v>4.5454499999999998</v>
      </c>
      <c r="R526" s="367">
        <f>T_CEFF!L224</f>
        <v>4.5454499999999998</v>
      </c>
      <c r="S526" s="367">
        <f>T_CEFF!M224</f>
        <v>4.5454499999999998</v>
      </c>
      <c r="T526" s="367">
        <f>T_CEFF!N224</f>
        <v>4.5454499999999998</v>
      </c>
      <c r="U526" s="367">
        <f>T_CEFF!O224</f>
        <v>4.5454499999999998</v>
      </c>
      <c r="V526" s="367">
        <f>T_CEFF!P224</f>
        <v>4.5454499999999998</v>
      </c>
      <c r="W526" s="367">
        <f>T_CEFF!Q224</f>
        <v>4.5454499999999998</v>
      </c>
      <c r="X526" s="367">
        <f>T_CEFF!R224</f>
        <v>4.5454499999999998</v>
      </c>
      <c r="Y526" s="367">
        <f>T_CEFF!S224</f>
        <v>4.5454499999999998</v>
      </c>
      <c r="Z526" s="367">
        <f>T_CEFF!T224</f>
        <v>4.5454499999999998</v>
      </c>
      <c r="AA526" s="367">
        <f>T_CEFF!U224</f>
        <v>4.5454499999999998</v>
      </c>
      <c r="AB526" s="367">
        <f>T_CEFF!V224</f>
        <v>4.5454499999999998</v>
      </c>
      <c r="AE526" s="332"/>
      <c r="AV526" s="700" t="str">
        <f t="shared" ref="AV526" si="604">MID(E526,1,7)</f>
        <v>TRAELC</v>
      </c>
      <c r="AW526" s="568">
        <f t="shared" ref="AW526" si="605">SUM(AX526:BL526)</f>
        <v>0</v>
      </c>
      <c r="AX526" s="706">
        <f t="shared" ref="AX526:BL526" si="606">N$529*N$530*N527/N526/1000</f>
        <v>0</v>
      </c>
      <c r="AY526" s="706">
        <f t="shared" si="606"/>
        <v>0</v>
      </c>
      <c r="AZ526" s="706">
        <f t="shared" si="606"/>
        <v>0</v>
      </c>
      <c r="BA526" s="706">
        <f t="shared" si="606"/>
        <v>0</v>
      </c>
      <c r="BB526" s="706">
        <f t="shared" si="606"/>
        <v>0</v>
      </c>
      <c r="BC526" s="706">
        <f t="shared" si="606"/>
        <v>0</v>
      </c>
      <c r="BD526" s="706">
        <f t="shared" si="606"/>
        <v>0</v>
      </c>
      <c r="BE526" s="706">
        <f t="shared" si="606"/>
        <v>0</v>
      </c>
      <c r="BF526" s="706">
        <f t="shared" si="606"/>
        <v>0</v>
      </c>
      <c r="BG526" s="706">
        <f t="shared" si="606"/>
        <v>0</v>
      </c>
      <c r="BH526" s="706">
        <f t="shared" si="606"/>
        <v>0</v>
      </c>
      <c r="BI526" s="706">
        <f t="shared" si="606"/>
        <v>0</v>
      </c>
      <c r="BJ526" s="706">
        <f t="shared" si="606"/>
        <v>0</v>
      </c>
      <c r="BK526" s="706">
        <f t="shared" si="606"/>
        <v>0</v>
      </c>
      <c r="BL526" s="706">
        <f t="shared" si="606"/>
        <v>0</v>
      </c>
    </row>
    <row r="527" spans="1:64" s="83" customFormat="1" x14ac:dyDescent="0.25">
      <c r="A527" s="82"/>
      <c r="B527" s="178" t="str">
        <f t="shared" si="603"/>
        <v>TYEF100</v>
      </c>
      <c r="C527" s="178"/>
      <c r="D527" s="179"/>
      <c r="E527" s="178" t="s">
        <v>683</v>
      </c>
      <c r="F527" s="182"/>
      <c r="G527" s="173"/>
      <c r="H527" s="182"/>
      <c r="I527" s="183"/>
      <c r="J527" s="184" t="s">
        <v>1127</v>
      </c>
      <c r="K527" s="184"/>
      <c r="L527" s="184" t="s">
        <v>1176</v>
      </c>
      <c r="M527" s="184"/>
      <c r="N527" s="628">
        <v>0.3</v>
      </c>
      <c r="O527" s="628">
        <v>0.3</v>
      </c>
      <c r="P527" s="628">
        <v>0.3</v>
      </c>
      <c r="Q527" s="628">
        <v>0.3</v>
      </c>
      <c r="R527" s="628">
        <v>0.3</v>
      </c>
      <c r="S527" s="628">
        <v>0.3</v>
      </c>
      <c r="T527" s="628">
        <v>0.3</v>
      </c>
      <c r="U527" s="628">
        <v>0.3</v>
      </c>
      <c r="V527" s="628">
        <v>0.3</v>
      </c>
      <c r="W527" s="628">
        <v>0.3</v>
      </c>
      <c r="X527" s="628">
        <v>0.3</v>
      </c>
      <c r="Y527" s="628">
        <v>0.3</v>
      </c>
      <c r="Z527" s="628">
        <v>0.3</v>
      </c>
      <c r="AA527" s="628">
        <v>0.3</v>
      </c>
      <c r="AB527" s="628">
        <v>0.3</v>
      </c>
      <c r="AE527" s="332"/>
      <c r="AV527" s="700"/>
      <c r="AW527" s="568"/>
    </row>
    <row r="528" spans="1:64" s="83" customFormat="1" x14ac:dyDescent="0.25">
      <c r="A528" s="82"/>
      <c r="B528" s="178" t="str">
        <f>B525</f>
        <v>TYEF100</v>
      </c>
      <c r="C528" s="178"/>
      <c r="D528" s="179"/>
      <c r="E528" s="178"/>
      <c r="F528" s="558"/>
      <c r="G528" s="558"/>
      <c r="H528" s="182"/>
      <c r="I528" s="183"/>
      <c r="J528" s="184"/>
      <c r="K528" s="184" t="s">
        <v>749</v>
      </c>
      <c r="L528" s="184" t="s">
        <v>1128</v>
      </c>
      <c r="M528" s="184" t="s">
        <v>1175</v>
      </c>
      <c r="N528" s="388">
        <f t="shared" ref="N528:AB528" si="607">N22</f>
        <v>0</v>
      </c>
      <c r="O528" s="388">
        <f t="shared" si="607"/>
        <v>0</v>
      </c>
      <c r="P528" s="388">
        <f t="shared" si="607"/>
        <v>0</v>
      </c>
      <c r="Q528" s="388">
        <f t="shared" si="607"/>
        <v>0</v>
      </c>
      <c r="R528" s="388">
        <f t="shared" si="607"/>
        <v>0</v>
      </c>
      <c r="S528" s="388">
        <f t="shared" si="607"/>
        <v>0</v>
      </c>
      <c r="T528" s="388">
        <f t="shared" si="607"/>
        <v>0</v>
      </c>
      <c r="U528" s="388">
        <f t="shared" si="607"/>
        <v>0</v>
      </c>
      <c r="V528" s="388">
        <f t="shared" si="607"/>
        <v>0</v>
      </c>
      <c r="W528" s="388">
        <f t="shared" si="607"/>
        <v>0</v>
      </c>
      <c r="X528" s="388">
        <f t="shared" si="607"/>
        <v>0</v>
      </c>
      <c r="Y528" s="388">
        <f t="shared" si="607"/>
        <v>0</v>
      </c>
      <c r="Z528" s="388">
        <f t="shared" si="607"/>
        <v>0</v>
      </c>
      <c r="AA528" s="388">
        <f t="shared" si="607"/>
        <v>0</v>
      </c>
      <c r="AB528" s="388">
        <f t="shared" si="607"/>
        <v>0</v>
      </c>
      <c r="AE528" s="332"/>
    </row>
    <row r="529" spans="1:46" s="83" customFormat="1" x14ac:dyDescent="0.25">
      <c r="A529" s="82"/>
      <c r="B529" s="178" t="str">
        <f t="shared" ref="B529:B536" si="608">B528</f>
        <v>TYEF100</v>
      </c>
      <c r="C529" s="178"/>
      <c r="D529" s="179"/>
      <c r="E529" s="178"/>
      <c r="F529" s="182"/>
      <c r="G529" s="181"/>
      <c r="H529" s="182"/>
      <c r="I529" s="183"/>
      <c r="J529" s="184"/>
      <c r="K529" s="184"/>
      <c r="L529" s="203" t="s">
        <v>1130</v>
      </c>
      <c r="M529" s="184" t="s">
        <v>1131</v>
      </c>
      <c r="N529" s="397">
        <f>T_NCAP_AF!D313*(1+N496)</f>
        <v>0</v>
      </c>
      <c r="O529" s="397">
        <f>T_NCAP_AF!E313*(1+O496)</f>
        <v>0</v>
      </c>
      <c r="P529" s="397">
        <f>T_NCAP_AF!F313*(1+P496)</f>
        <v>0</v>
      </c>
      <c r="Q529" s="397">
        <f>T_NCAP_AF!G313*(1+Q496)</f>
        <v>0</v>
      </c>
      <c r="R529" s="397">
        <f>T_NCAP_AF!H313*(1+R496)</f>
        <v>0</v>
      </c>
      <c r="S529" s="397">
        <f>T_NCAP_AF!I313*(1+S496)</f>
        <v>0</v>
      </c>
      <c r="T529" s="397">
        <f>T_NCAP_AF!J313*(1+T496)</f>
        <v>0</v>
      </c>
      <c r="U529" s="397">
        <f>T_NCAP_AF!K313*(1+U496)</f>
        <v>0</v>
      </c>
      <c r="V529" s="397">
        <f>T_NCAP_AF!L313*(1+V496)</f>
        <v>0</v>
      </c>
      <c r="W529" s="397">
        <f>T_NCAP_AF!M313*(1+W496)</f>
        <v>0</v>
      </c>
      <c r="X529" s="397">
        <f>T_NCAP_AF!N313*(1+X496)</f>
        <v>0</v>
      </c>
      <c r="Y529" s="397">
        <f>T_NCAP_AF!O313*(1+Y496)</f>
        <v>0</v>
      </c>
      <c r="Z529" s="397">
        <f>T_NCAP_AF!P313*(1+Z496)</f>
        <v>0</v>
      </c>
      <c r="AA529" s="397">
        <f>T_NCAP_AF!Q313*(1+AA496)</f>
        <v>0</v>
      </c>
      <c r="AB529" s="397">
        <f>T_NCAP_AF!R313*(1+AB496)</f>
        <v>0</v>
      </c>
      <c r="AE529" s="331">
        <f>SUM(AF529:AT529)</f>
        <v>0</v>
      </c>
      <c r="AF529" s="85">
        <f>N528*N529*N530/1000</f>
        <v>0</v>
      </c>
      <c r="AG529" s="85">
        <f t="shared" ref="AG529:AT529" si="609">O528*O529*O530/1000</f>
        <v>0</v>
      </c>
      <c r="AH529" s="85">
        <f t="shared" si="609"/>
        <v>0</v>
      </c>
      <c r="AI529" s="85">
        <f t="shared" si="609"/>
        <v>0</v>
      </c>
      <c r="AJ529" s="85">
        <f t="shared" si="609"/>
        <v>0</v>
      </c>
      <c r="AK529" s="85">
        <f t="shared" si="609"/>
        <v>0</v>
      </c>
      <c r="AL529" s="85">
        <f t="shared" si="609"/>
        <v>0</v>
      </c>
      <c r="AM529" s="85">
        <f t="shared" si="609"/>
        <v>0</v>
      </c>
      <c r="AN529" s="85">
        <f t="shared" si="609"/>
        <v>0</v>
      </c>
      <c r="AO529" s="85">
        <f t="shared" si="609"/>
        <v>0</v>
      </c>
      <c r="AP529" s="85">
        <f t="shared" si="609"/>
        <v>0</v>
      </c>
      <c r="AQ529" s="85">
        <f t="shared" si="609"/>
        <v>0</v>
      </c>
      <c r="AR529" s="85">
        <f t="shared" si="609"/>
        <v>0</v>
      </c>
      <c r="AS529" s="85">
        <f t="shared" si="609"/>
        <v>0</v>
      </c>
      <c r="AT529" s="85">
        <f t="shared" si="609"/>
        <v>0</v>
      </c>
    </row>
    <row r="530" spans="1:46" s="83" customFormat="1" x14ac:dyDescent="0.25">
      <c r="A530" s="82"/>
      <c r="B530" s="178" t="str">
        <f>B529</f>
        <v>TYEF100</v>
      </c>
      <c r="C530" s="178"/>
      <c r="D530" s="179"/>
      <c r="E530" s="178"/>
      <c r="F530" s="182"/>
      <c r="G530" s="181"/>
      <c r="H530" s="182"/>
      <c r="I530" s="183">
        <f>$M$3</f>
        <v>2019</v>
      </c>
      <c r="J530" s="184"/>
      <c r="K530" s="184"/>
      <c r="L530" s="203" t="s">
        <v>1065</v>
      </c>
      <c r="M530" s="184" t="s">
        <v>748</v>
      </c>
      <c r="N530" s="694">
        <f>T_Stock_Private!D144*(1+TF_Private!N497)</f>
        <v>0</v>
      </c>
      <c r="O530" s="694">
        <f>T_Stock_Private!E144*(1+TF_Private!O497)</f>
        <v>0</v>
      </c>
      <c r="P530" s="694">
        <f>T_Stock_Private!F144*(1+TF_Private!P497)</f>
        <v>0</v>
      </c>
      <c r="Q530" s="694">
        <f>T_Stock_Private!G144*(1+TF_Private!Q497)</f>
        <v>0</v>
      </c>
      <c r="R530" s="694">
        <f>T_Stock_Private!H144*(1+TF_Private!R497)</f>
        <v>0</v>
      </c>
      <c r="S530" s="694">
        <f>T_Stock_Private!I144*(1+TF_Private!S497)</f>
        <v>0</v>
      </c>
      <c r="T530" s="694">
        <f>T_Stock_Private!J144*(1+TF_Private!T497)</f>
        <v>0</v>
      </c>
      <c r="U530" s="694">
        <f>T_Stock_Private!K144*(1+TF_Private!U497)</f>
        <v>0</v>
      </c>
      <c r="V530" s="694">
        <f>T_Stock_Private!L144*(1+TF_Private!V497)</f>
        <v>0</v>
      </c>
      <c r="W530" s="694">
        <f>T_Stock_Private!M144*(1+TF_Private!W497)</f>
        <v>0</v>
      </c>
      <c r="X530" s="694">
        <f>T_Stock_Private!N144*(1+TF_Private!X497)</f>
        <v>0</v>
      </c>
      <c r="Y530" s="694">
        <f>T_Stock_Private!O144*(1+TF_Private!Y497)</f>
        <v>0</v>
      </c>
      <c r="Z530" s="694">
        <f>T_Stock_Private!P144*(1+TF_Private!Z497)</f>
        <v>0</v>
      </c>
      <c r="AA530" s="694">
        <f>T_Stock_Private!Q144*(1+TF_Private!AA497)</f>
        <v>0</v>
      </c>
      <c r="AB530" s="694">
        <f>T_Stock_Private!R144*(1+TF_Private!AB497)</f>
        <v>0</v>
      </c>
    </row>
    <row r="531" spans="1:46" s="83" customFormat="1" x14ac:dyDescent="0.25">
      <c r="A531" s="82"/>
      <c r="B531" s="178" t="str">
        <f t="shared" si="608"/>
        <v>TYEF100</v>
      </c>
      <c r="C531" s="178"/>
      <c r="D531" s="179"/>
      <c r="E531" s="178"/>
      <c r="F531" s="182"/>
      <c r="G531" s="181"/>
      <c r="H531" s="182"/>
      <c r="I531" s="183">
        <f>AF$5</f>
        <v>2020</v>
      </c>
      <c r="J531" s="184"/>
      <c r="K531" s="184"/>
      <c r="L531" s="203" t="s">
        <v>1065</v>
      </c>
      <c r="M531" s="184" t="s">
        <v>748</v>
      </c>
      <c r="N531" s="694">
        <f t="shared" ref="N531:AB531" si="610">N$530*LOOKUP($AD$524,$AG$4:$AP$4,$AG5:$AP5)</f>
        <v>0</v>
      </c>
      <c r="O531" s="694">
        <f t="shared" si="610"/>
        <v>0</v>
      </c>
      <c r="P531" s="694">
        <f t="shared" si="610"/>
        <v>0</v>
      </c>
      <c r="Q531" s="694">
        <f t="shared" si="610"/>
        <v>0</v>
      </c>
      <c r="R531" s="694">
        <f t="shared" si="610"/>
        <v>0</v>
      </c>
      <c r="S531" s="694">
        <f t="shared" si="610"/>
        <v>0</v>
      </c>
      <c r="T531" s="694">
        <f t="shared" si="610"/>
        <v>0</v>
      </c>
      <c r="U531" s="694">
        <f t="shared" si="610"/>
        <v>0</v>
      </c>
      <c r="V531" s="694">
        <f t="shared" si="610"/>
        <v>0</v>
      </c>
      <c r="W531" s="694">
        <f t="shared" si="610"/>
        <v>0</v>
      </c>
      <c r="X531" s="694">
        <f t="shared" si="610"/>
        <v>0</v>
      </c>
      <c r="Y531" s="694">
        <f t="shared" si="610"/>
        <v>0</v>
      </c>
      <c r="Z531" s="694">
        <f t="shared" si="610"/>
        <v>0</v>
      </c>
      <c r="AA531" s="694">
        <f t="shared" si="610"/>
        <v>0</v>
      </c>
      <c r="AB531" s="694">
        <f t="shared" si="610"/>
        <v>0</v>
      </c>
    </row>
    <row r="532" spans="1:46" s="83" customFormat="1" x14ac:dyDescent="0.25">
      <c r="A532" s="82"/>
      <c r="B532" s="178" t="str">
        <f t="shared" si="608"/>
        <v>TYEF100</v>
      </c>
      <c r="C532" s="178"/>
      <c r="D532" s="179"/>
      <c r="E532" s="178"/>
      <c r="F532" s="182"/>
      <c r="G532" s="181"/>
      <c r="H532" s="182"/>
      <c r="I532" s="183">
        <f>AF$6</f>
        <v>2025</v>
      </c>
      <c r="J532" s="184"/>
      <c r="K532" s="184"/>
      <c r="L532" s="203" t="s">
        <v>1065</v>
      </c>
      <c r="M532" s="184" t="s">
        <v>748</v>
      </c>
      <c r="N532" s="694">
        <f t="shared" ref="N532:AB532" si="611">N$530*LOOKUP($AD$524,$AG$4:$AP$4,$AG6:$AP6)</f>
        <v>0</v>
      </c>
      <c r="O532" s="694">
        <f t="shared" si="611"/>
        <v>0</v>
      </c>
      <c r="P532" s="694">
        <f t="shared" si="611"/>
        <v>0</v>
      </c>
      <c r="Q532" s="694">
        <f t="shared" si="611"/>
        <v>0</v>
      </c>
      <c r="R532" s="694">
        <f t="shared" si="611"/>
        <v>0</v>
      </c>
      <c r="S532" s="694">
        <f t="shared" si="611"/>
        <v>0</v>
      </c>
      <c r="T532" s="694">
        <f t="shared" si="611"/>
        <v>0</v>
      </c>
      <c r="U532" s="694">
        <f t="shared" si="611"/>
        <v>0</v>
      </c>
      <c r="V532" s="694">
        <f t="shared" si="611"/>
        <v>0</v>
      </c>
      <c r="W532" s="694">
        <f t="shared" si="611"/>
        <v>0</v>
      </c>
      <c r="X532" s="694">
        <f t="shared" si="611"/>
        <v>0</v>
      </c>
      <c r="Y532" s="694">
        <f t="shared" si="611"/>
        <v>0</v>
      </c>
      <c r="Z532" s="694">
        <f t="shared" si="611"/>
        <v>0</v>
      </c>
      <c r="AA532" s="694">
        <f t="shared" si="611"/>
        <v>0</v>
      </c>
      <c r="AB532" s="694">
        <f t="shared" si="611"/>
        <v>0</v>
      </c>
    </row>
    <row r="533" spans="1:46" s="83" customFormat="1" x14ac:dyDescent="0.25">
      <c r="A533" s="82"/>
      <c r="B533" s="178" t="str">
        <f t="shared" si="608"/>
        <v>TYEF100</v>
      </c>
      <c r="C533" s="178"/>
      <c r="D533" s="179"/>
      <c r="E533" s="178"/>
      <c r="F533" s="182"/>
      <c r="G533" s="181"/>
      <c r="H533" s="182"/>
      <c r="I533" s="183">
        <f>AF$7</f>
        <v>2030</v>
      </c>
      <c r="J533" s="184"/>
      <c r="K533" s="184"/>
      <c r="L533" s="203" t="s">
        <v>1065</v>
      </c>
      <c r="M533" s="184" t="s">
        <v>748</v>
      </c>
      <c r="N533" s="694">
        <f t="shared" ref="N533:AB533" si="612">N$530*LOOKUP($AD$524,$AG$4:$AP$4,$AG7:$AP7)</f>
        <v>0</v>
      </c>
      <c r="O533" s="694">
        <f t="shared" si="612"/>
        <v>0</v>
      </c>
      <c r="P533" s="694">
        <f t="shared" si="612"/>
        <v>0</v>
      </c>
      <c r="Q533" s="694">
        <f t="shared" si="612"/>
        <v>0</v>
      </c>
      <c r="R533" s="694">
        <f t="shared" si="612"/>
        <v>0</v>
      </c>
      <c r="S533" s="694">
        <f t="shared" si="612"/>
        <v>0</v>
      </c>
      <c r="T533" s="694">
        <f t="shared" si="612"/>
        <v>0</v>
      </c>
      <c r="U533" s="694">
        <f t="shared" si="612"/>
        <v>0</v>
      </c>
      <c r="V533" s="694">
        <f t="shared" si="612"/>
        <v>0</v>
      </c>
      <c r="W533" s="694">
        <f t="shared" si="612"/>
        <v>0</v>
      </c>
      <c r="X533" s="694">
        <f t="shared" si="612"/>
        <v>0</v>
      </c>
      <c r="Y533" s="694">
        <f t="shared" si="612"/>
        <v>0</v>
      </c>
      <c r="Z533" s="694">
        <f t="shared" si="612"/>
        <v>0</v>
      </c>
      <c r="AA533" s="694">
        <f t="shared" si="612"/>
        <v>0</v>
      </c>
      <c r="AB533" s="694">
        <f t="shared" si="612"/>
        <v>0</v>
      </c>
    </row>
    <row r="534" spans="1:46" s="83" customFormat="1" x14ac:dyDescent="0.25">
      <c r="A534" s="82"/>
      <c r="B534" s="178" t="str">
        <f t="shared" si="608"/>
        <v>TYEF100</v>
      </c>
      <c r="C534" s="178"/>
      <c r="D534" s="179"/>
      <c r="E534" s="178"/>
      <c r="F534" s="182"/>
      <c r="G534" s="181"/>
      <c r="H534" s="182"/>
      <c r="I534" s="183">
        <f>AF$8</f>
        <v>2035</v>
      </c>
      <c r="J534" s="184"/>
      <c r="K534" s="184"/>
      <c r="L534" s="203" t="s">
        <v>1065</v>
      </c>
      <c r="M534" s="184" t="s">
        <v>748</v>
      </c>
      <c r="N534" s="694">
        <f t="shared" ref="N534:AB534" si="613">N$530*LOOKUP($AD$524,$AG$4:$AP$4,$AG8:$AP8)</f>
        <v>0</v>
      </c>
      <c r="O534" s="694">
        <f t="shared" si="613"/>
        <v>0</v>
      </c>
      <c r="P534" s="694">
        <f t="shared" si="613"/>
        <v>0</v>
      </c>
      <c r="Q534" s="694">
        <f t="shared" si="613"/>
        <v>0</v>
      </c>
      <c r="R534" s="694">
        <f t="shared" si="613"/>
        <v>0</v>
      </c>
      <c r="S534" s="694">
        <f t="shared" si="613"/>
        <v>0</v>
      </c>
      <c r="T534" s="694">
        <f t="shared" si="613"/>
        <v>0</v>
      </c>
      <c r="U534" s="694">
        <f t="shared" si="613"/>
        <v>0</v>
      </c>
      <c r="V534" s="694">
        <f t="shared" si="613"/>
        <v>0</v>
      </c>
      <c r="W534" s="694">
        <f t="shared" si="613"/>
        <v>0</v>
      </c>
      <c r="X534" s="694">
        <f t="shared" si="613"/>
        <v>0</v>
      </c>
      <c r="Y534" s="694">
        <f t="shared" si="613"/>
        <v>0</v>
      </c>
      <c r="Z534" s="694">
        <f t="shared" si="613"/>
        <v>0</v>
      </c>
      <c r="AA534" s="694">
        <f t="shared" si="613"/>
        <v>0</v>
      </c>
      <c r="AB534" s="694">
        <f t="shared" si="613"/>
        <v>0</v>
      </c>
    </row>
    <row r="535" spans="1:46" s="83" customFormat="1" x14ac:dyDescent="0.25">
      <c r="A535" s="82"/>
      <c r="B535" s="178" t="str">
        <f t="shared" si="608"/>
        <v>TYEF100</v>
      </c>
      <c r="C535" s="178"/>
      <c r="D535" s="179"/>
      <c r="E535" s="178"/>
      <c r="F535" s="182"/>
      <c r="G535" s="181"/>
      <c r="H535" s="182"/>
      <c r="I535" s="183">
        <f>AF$9</f>
        <v>2040</v>
      </c>
      <c r="J535" s="184"/>
      <c r="K535" s="184"/>
      <c r="L535" s="203" t="s">
        <v>1065</v>
      </c>
      <c r="M535" s="184" t="s">
        <v>748</v>
      </c>
      <c r="N535" s="694">
        <f t="shared" ref="N535:AB535" si="614">N$530*LOOKUP($AD$524,$AG$4:$AP$4,$AG9:$AP9)</f>
        <v>0</v>
      </c>
      <c r="O535" s="694">
        <f t="shared" si="614"/>
        <v>0</v>
      </c>
      <c r="P535" s="694">
        <f t="shared" si="614"/>
        <v>0</v>
      </c>
      <c r="Q535" s="694">
        <f t="shared" si="614"/>
        <v>0</v>
      </c>
      <c r="R535" s="694">
        <f t="shared" si="614"/>
        <v>0</v>
      </c>
      <c r="S535" s="694">
        <f t="shared" si="614"/>
        <v>0</v>
      </c>
      <c r="T535" s="694">
        <f t="shared" si="614"/>
        <v>0</v>
      </c>
      <c r="U535" s="694">
        <f t="shared" si="614"/>
        <v>0</v>
      </c>
      <c r="V535" s="694">
        <f t="shared" si="614"/>
        <v>0</v>
      </c>
      <c r="W535" s="694">
        <f t="shared" si="614"/>
        <v>0</v>
      </c>
      <c r="X535" s="694">
        <f t="shared" si="614"/>
        <v>0</v>
      </c>
      <c r="Y535" s="694">
        <f t="shared" si="614"/>
        <v>0</v>
      </c>
      <c r="Z535" s="694">
        <f t="shared" si="614"/>
        <v>0</v>
      </c>
      <c r="AA535" s="694">
        <f t="shared" si="614"/>
        <v>0</v>
      </c>
      <c r="AB535" s="694">
        <f t="shared" si="614"/>
        <v>0</v>
      </c>
    </row>
    <row r="536" spans="1:46" s="83" customFormat="1" x14ac:dyDescent="0.25">
      <c r="A536" s="82"/>
      <c r="B536" s="204" t="str">
        <f t="shared" si="608"/>
        <v>TYEF100</v>
      </c>
      <c r="C536" s="204"/>
      <c r="D536" s="205"/>
      <c r="E536" s="204"/>
      <c r="F536" s="206"/>
      <c r="G536" s="207"/>
      <c r="H536" s="206"/>
      <c r="I536" s="208">
        <f>AF$10</f>
        <v>2050</v>
      </c>
      <c r="J536" s="209"/>
      <c r="K536" s="209"/>
      <c r="L536" s="210" t="s">
        <v>1065</v>
      </c>
      <c r="M536" s="209" t="s">
        <v>748</v>
      </c>
      <c r="N536" s="695">
        <f t="shared" ref="N536:AB536" si="615">N$530*LOOKUP($AD$524,$AG$4:$AP$4,$AG10:$AP10)</f>
        <v>0</v>
      </c>
      <c r="O536" s="695">
        <f t="shared" si="615"/>
        <v>0</v>
      </c>
      <c r="P536" s="695">
        <f t="shared" si="615"/>
        <v>0</v>
      </c>
      <c r="Q536" s="695">
        <f t="shared" si="615"/>
        <v>0</v>
      </c>
      <c r="R536" s="695">
        <f t="shared" si="615"/>
        <v>0</v>
      </c>
      <c r="S536" s="695">
        <f t="shared" si="615"/>
        <v>0</v>
      </c>
      <c r="T536" s="695">
        <f t="shared" si="615"/>
        <v>0</v>
      </c>
      <c r="U536" s="695">
        <f t="shared" si="615"/>
        <v>0</v>
      </c>
      <c r="V536" s="695">
        <f t="shared" si="615"/>
        <v>0</v>
      </c>
      <c r="W536" s="695">
        <f t="shared" si="615"/>
        <v>0</v>
      </c>
      <c r="X536" s="695">
        <f t="shared" si="615"/>
        <v>0</v>
      </c>
      <c r="Y536" s="695">
        <f t="shared" si="615"/>
        <v>0</v>
      </c>
      <c r="Z536" s="695">
        <f t="shared" si="615"/>
        <v>0</v>
      </c>
      <c r="AA536" s="695">
        <f t="shared" si="615"/>
        <v>0</v>
      </c>
      <c r="AB536" s="695">
        <f t="shared" si="615"/>
        <v>0</v>
      </c>
    </row>
  </sheetData>
  <sortState xmlns:xlrd2="http://schemas.microsoft.com/office/spreadsheetml/2017/richdata2" ref="AV10:BL29">
    <sortCondition ref="AV11:AV29"/>
  </sortState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B2:S36"/>
  <sheetViews>
    <sheetView zoomScale="75" zoomScaleNormal="75" workbookViewId="0">
      <selection activeCell="A17" sqref="A17"/>
    </sheetView>
  </sheetViews>
  <sheetFormatPr defaultRowHeight="15" x14ac:dyDescent="0.25"/>
  <cols>
    <col min="2" max="2" width="15.7109375" customWidth="1"/>
    <col min="3" max="3" width="11.7109375" customWidth="1"/>
    <col min="4" max="4" width="16" customWidth="1"/>
  </cols>
  <sheetData>
    <row r="2" spans="2:19" s="3" customFormat="1" x14ac:dyDescent="0.25">
      <c r="B2" s="393" t="s">
        <v>463</v>
      </c>
      <c r="C2" s="393" t="s">
        <v>1237</v>
      </c>
      <c r="D2" s="396" t="s">
        <v>421</v>
      </c>
      <c r="E2" s="396" t="s">
        <v>18</v>
      </c>
      <c r="F2" s="396" t="s">
        <v>19</v>
      </c>
      <c r="G2" s="396" t="s">
        <v>20</v>
      </c>
      <c r="H2" s="396" t="s">
        <v>21</v>
      </c>
      <c r="I2" s="396" t="s">
        <v>22</v>
      </c>
      <c r="J2" s="396" t="s">
        <v>23</v>
      </c>
      <c r="K2" s="396" t="s">
        <v>24</v>
      </c>
      <c r="L2" s="396" t="s">
        <v>25</v>
      </c>
      <c r="M2" s="396" t="s">
        <v>26</v>
      </c>
      <c r="N2" s="396" t="s">
        <v>27</v>
      </c>
      <c r="O2" s="396" t="s">
        <v>28</v>
      </c>
      <c r="P2" s="396" t="s">
        <v>29</v>
      </c>
      <c r="Q2" s="396" t="s">
        <v>30</v>
      </c>
      <c r="R2" s="396" t="s">
        <v>31</v>
      </c>
      <c r="S2" s="396" t="s">
        <v>32</v>
      </c>
    </row>
    <row r="3" spans="2:19" x14ac:dyDescent="0.25">
      <c r="B3" s="394" t="s">
        <v>72</v>
      </c>
      <c r="C3" s="394" t="s">
        <v>394</v>
      </c>
      <c r="D3" s="395" t="str">
        <f>TYW!AD54</f>
        <v>ok</v>
      </c>
      <c r="E3" s="867" t="str">
        <f>TYW!AE54</f>
        <v>ok</v>
      </c>
      <c r="F3" s="867" t="str">
        <f>TYW!AF54</f>
        <v>ok</v>
      </c>
      <c r="G3" s="867" t="str">
        <f>TYW!AG54</f>
        <v>ok</v>
      </c>
      <c r="H3" s="867" t="str">
        <f>TYW!AH54</f>
        <v>ok</v>
      </c>
      <c r="I3" s="867" t="str">
        <f>TYW!AI54</f>
        <v>ok</v>
      </c>
      <c r="J3" s="867" t="str">
        <f>TYW!AJ54</f>
        <v>ok</v>
      </c>
      <c r="K3" s="867" t="str">
        <f>TYW!AK54</f>
        <v>ok</v>
      </c>
      <c r="L3" s="867" t="str">
        <f>TYW!AL54</f>
        <v>ok</v>
      </c>
      <c r="M3" s="867" t="str">
        <f>TYW!AM54</f>
        <v>ok</v>
      </c>
      <c r="N3" s="867" t="str">
        <f>TYW!AN54</f>
        <v>ok</v>
      </c>
      <c r="O3" s="867" t="str">
        <f>TYW!AO54</f>
        <v>ok</v>
      </c>
      <c r="P3" s="867" t="str">
        <f>TYW!AP54</f>
        <v>ok</v>
      </c>
      <c r="Q3" s="867" t="str">
        <f>TYW!AQ54</f>
        <v>ok</v>
      </c>
      <c r="R3" s="867" t="str">
        <f>TYW!AR54</f>
        <v>ok</v>
      </c>
      <c r="S3" s="867" t="str">
        <f>TYW!AS54</f>
        <v>ok</v>
      </c>
    </row>
    <row r="4" spans="2:19" x14ac:dyDescent="0.25">
      <c r="B4" s="394" t="s">
        <v>72</v>
      </c>
      <c r="C4" s="394" t="s">
        <v>470</v>
      </c>
      <c r="D4" s="395" t="str">
        <f>TYW!AD107</f>
        <v>ok</v>
      </c>
      <c r="E4" s="867" t="str">
        <f>TYW!AE107</f>
        <v>ok</v>
      </c>
      <c r="F4" s="867" t="str">
        <f>TYW!AF107</f>
        <v>ok</v>
      </c>
      <c r="G4" s="867" t="str">
        <f>TYW!AG107</f>
        <v>ok</v>
      </c>
      <c r="H4" s="867" t="str">
        <f>TYW!AH107</f>
        <v>ok</v>
      </c>
      <c r="I4" s="867" t="str">
        <f>TYW!AI107</f>
        <v>ok</v>
      </c>
      <c r="J4" s="867" t="str">
        <f>TYW!AJ107</f>
        <v>ok</v>
      </c>
      <c r="K4" s="867" t="str">
        <f>TYW!AK107</f>
        <v>ok</v>
      </c>
      <c r="L4" s="867" t="str">
        <f>TYW!AL107</f>
        <v>ok</v>
      </c>
      <c r="M4" s="867" t="str">
        <f>TYW!AM107</f>
        <v>ok</v>
      </c>
      <c r="N4" s="867" t="str">
        <f>TYW!AN107</f>
        <v>ok</v>
      </c>
      <c r="O4" s="867" t="str">
        <f>TYW!AO107</f>
        <v>ok</v>
      </c>
      <c r="P4" s="867" t="str">
        <f>TYW!AP107</f>
        <v>ok</v>
      </c>
      <c r="Q4" s="867" t="str">
        <f>TYW!AQ107</f>
        <v>ok</v>
      </c>
      <c r="R4" s="867" t="str">
        <f>TYW!AR107</f>
        <v>ok</v>
      </c>
      <c r="S4" s="867" t="str">
        <f>TYW!AS107</f>
        <v>ok</v>
      </c>
    </row>
    <row r="5" spans="2:19" x14ac:dyDescent="0.25">
      <c r="B5" s="394" t="s">
        <v>72</v>
      </c>
      <c r="C5" s="394" t="s">
        <v>398</v>
      </c>
      <c r="D5" s="395" t="str">
        <f>TYW!AD29</f>
        <v>ok</v>
      </c>
      <c r="E5" s="867" t="str">
        <f>TYW!AE29</f>
        <v>ok</v>
      </c>
      <c r="F5" s="867" t="str">
        <f>TYW!AF29</f>
        <v>ok</v>
      </c>
      <c r="G5" s="867" t="str">
        <f>TYW!AG29</f>
        <v>ok</v>
      </c>
      <c r="H5" s="867" t="str">
        <f>TYW!AH29</f>
        <v>ok</v>
      </c>
      <c r="I5" s="867" t="str">
        <f>TYW!AI29</f>
        <v>ok</v>
      </c>
      <c r="J5" s="867" t="str">
        <f>TYW!AJ29</f>
        <v>ok</v>
      </c>
      <c r="K5" s="867" t="str">
        <f>TYW!AK29</f>
        <v>ok</v>
      </c>
      <c r="L5" s="867" t="str">
        <f>TYW!AL29</f>
        <v>ok</v>
      </c>
      <c r="M5" s="867" t="str">
        <f>TYW!AM29</f>
        <v>ok</v>
      </c>
      <c r="N5" s="867" t="str">
        <f>TYW!AN29</f>
        <v>ok</v>
      </c>
      <c r="O5" s="867" t="str">
        <f>TYW!AO29</f>
        <v>ok</v>
      </c>
      <c r="P5" s="867" t="str">
        <f>TYW!AP29</f>
        <v>ok</v>
      </c>
      <c r="Q5" s="867" t="str">
        <f>TYW!AQ29</f>
        <v>ok</v>
      </c>
      <c r="R5" s="867" t="str">
        <f>TYW!AR29</f>
        <v>ok</v>
      </c>
      <c r="S5" s="867" t="str">
        <f>TYW!AS29</f>
        <v>ok</v>
      </c>
    </row>
    <row r="6" spans="2:19" x14ac:dyDescent="0.25">
      <c r="B6" s="394" t="s">
        <v>72</v>
      </c>
      <c r="C6" s="394" t="s">
        <v>473</v>
      </c>
      <c r="D6" s="395" t="str">
        <f>TYW!AD82</f>
        <v>ok</v>
      </c>
      <c r="E6" s="867" t="str">
        <f>TYW!AE82</f>
        <v>ok</v>
      </c>
      <c r="F6" s="867" t="str">
        <f>TYW!AF82</f>
        <v>ok</v>
      </c>
      <c r="G6" s="867" t="str">
        <f>TYW!AG82</f>
        <v>ok</v>
      </c>
      <c r="H6" s="867" t="str">
        <f>TYW!AH82</f>
        <v>ok</v>
      </c>
      <c r="I6" s="867" t="str">
        <f>TYW!AI82</f>
        <v>ok</v>
      </c>
      <c r="J6" s="867" t="str">
        <f>TYW!AJ82</f>
        <v>ok</v>
      </c>
      <c r="K6" s="867" t="str">
        <f>TYW!AK82</f>
        <v>ok</v>
      </c>
      <c r="L6" s="867" t="str">
        <f>TYW!AL82</f>
        <v>ok</v>
      </c>
      <c r="M6" s="867" t="str">
        <f>TYW!AM82</f>
        <v>ok</v>
      </c>
      <c r="N6" s="867" t="str">
        <f>TYW!AN82</f>
        <v>ok</v>
      </c>
      <c r="O6" s="867" t="str">
        <f>TYW!AO82</f>
        <v>ok</v>
      </c>
      <c r="P6" s="867" t="str">
        <f>TYW!AP82</f>
        <v>ok</v>
      </c>
      <c r="Q6" s="867" t="str">
        <f>TYW!AQ82</f>
        <v>ok</v>
      </c>
      <c r="R6" s="867" t="str">
        <f>TYW!AR82</f>
        <v>ok</v>
      </c>
      <c r="S6" s="867" t="str">
        <f>TYW!AS82</f>
        <v>ok</v>
      </c>
    </row>
    <row r="7" spans="2:19" x14ac:dyDescent="0.25">
      <c r="B7" s="394" t="s">
        <v>72</v>
      </c>
      <c r="C7" s="394" t="s">
        <v>396</v>
      </c>
      <c r="D7" s="395" t="str">
        <f>TYW!AD43</f>
        <v>ok</v>
      </c>
      <c r="E7" s="867" t="str">
        <f>TYW!AE43</f>
        <v>ok</v>
      </c>
      <c r="F7" s="867" t="str">
        <f>TYW!AF43</f>
        <v>ok</v>
      </c>
      <c r="G7" s="867" t="str">
        <f>TYW!AG43</f>
        <v>ok</v>
      </c>
      <c r="H7" s="867" t="str">
        <f>TYW!AH43</f>
        <v>ok</v>
      </c>
      <c r="I7" s="867" t="str">
        <f>TYW!AI43</f>
        <v>ok</v>
      </c>
      <c r="J7" s="867" t="str">
        <f>TYW!AJ43</f>
        <v>ok</v>
      </c>
      <c r="K7" s="867" t="str">
        <f>TYW!AK43</f>
        <v>ok</v>
      </c>
      <c r="L7" s="867" t="str">
        <f>TYW!AL43</f>
        <v>ok</v>
      </c>
      <c r="M7" s="867" t="str">
        <f>TYW!AM43</f>
        <v>ok</v>
      </c>
      <c r="N7" s="867" t="str">
        <f>TYW!AN43</f>
        <v>ok</v>
      </c>
      <c r="O7" s="867" t="str">
        <f>TYW!AO43</f>
        <v>ok</v>
      </c>
      <c r="P7" s="867" t="str">
        <f>TYW!AP43</f>
        <v>ok</v>
      </c>
      <c r="Q7" s="867" t="str">
        <f>TYW!AQ43</f>
        <v>ok</v>
      </c>
      <c r="R7" s="867" t="str">
        <f>TYW!AR43</f>
        <v>ok</v>
      </c>
      <c r="S7" s="867" t="str">
        <f>TYW!AS43</f>
        <v>ok</v>
      </c>
    </row>
    <row r="8" spans="2:19" x14ac:dyDescent="0.25">
      <c r="B8" s="394" t="s">
        <v>72</v>
      </c>
      <c r="C8" s="394" t="s">
        <v>476</v>
      </c>
      <c r="D8" s="395" t="str">
        <f>TYW!AD96</f>
        <v>ok</v>
      </c>
      <c r="E8" s="867" t="str">
        <f>TYW!AE96</f>
        <v>ok</v>
      </c>
      <c r="F8" s="867" t="str">
        <f>TYW!AF96</f>
        <v>ok</v>
      </c>
      <c r="G8" s="867" t="str">
        <f>TYW!AG96</f>
        <v>ok</v>
      </c>
      <c r="H8" s="867" t="str">
        <f>TYW!AH96</f>
        <v>ok</v>
      </c>
      <c r="I8" s="867" t="str">
        <f>TYW!AI96</f>
        <v>ok</v>
      </c>
      <c r="J8" s="867" t="str">
        <f>TYW!AJ96</f>
        <v>ok</v>
      </c>
      <c r="K8" s="867" t="str">
        <f>TYW!AK96</f>
        <v>ok</v>
      </c>
      <c r="L8" s="867" t="str">
        <f>TYW!AL96</f>
        <v>ok</v>
      </c>
      <c r="M8" s="867" t="str">
        <f>TYW!AM96</f>
        <v>ok</v>
      </c>
      <c r="N8" s="867" t="str">
        <f>TYW!AN96</f>
        <v>ok</v>
      </c>
      <c r="O8" s="867" t="str">
        <f>TYW!AO96</f>
        <v>ok</v>
      </c>
      <c r="P8" s="867" t="str">
        <f>TYW!AP96</f>
        <v>ok</v>
      </c>
      <c r="Q8" s="867" t="str">
        <f>TYW!AQ96</f>
        <v>ok</v>
      </c>
      <c r="R8" s="867" t="str">
        <f>TYW!AR96</f>
        <v>ok</v>
      </c>
      <c r="S8" s="867" t="str">
        <f>TYW!AS96</f>
        <v>ok</v>
      </c>
    </row>
    <row r="9" spans="2:19" x14ac:dyDescent="0.25">
      <c r="B9" s="394" t="s">
        <v>74</v>
      </c>
      <c r="C9" s="394" t="s">
        <v>487</v>
      </c>
      <c r="D9" s="395" t="str">
        <f>TC_Private!AE31</f>
        <v>ok</v>
      </c>
      <c r="E9" s="867" t="str">
        <f>TC_Private!AF31</f>
        <v>ok</v>
      </c>
      <c r="F9" s="867" t="str">
        <f>TC_Private!AG31</f>
        <v>ok</v>
      </c>
      <c r="G9" s="867" t="str">
        <f>TC_Private!AH31</f>
        <v>ok</v>
      </c>
      <c r="H9" s="867" t="str">
        <f>TC_Private!AI31</f>
        <v>ok</v>
      </c>
      <c r="I9" s="867" t="str">
        <f>TC_Private!AJ31</f>
        <v>ok</v>
      </c>
      <c r="J9" s="867" t="str">
        <f>TC_Private!AK31</f>
        <v>ok</v>
      </c>
      <c r="K9" s="867" t="str">
        <f>TC_Private!AL31</f>
        <v>ok</v>
      </c>
      <c r="L9" s="867" t="str">
        <f>TC_Private!AM31</f>
        <v>ok</v>
      </c>
      <c r="M9" s="867" t="str">
        <f>TC_Private!AN31</f>
        <v>ok</v>
      </c>
      <c r="N9" s="867" t="str">
        <f>TC_Private!AO31</f>
        <v>ok</v>
      </c>
      <c r="O9" s="867" t="str">
        <f>TC_Private!AP31</f>
        <v>ok</v>
      </c>
      <c r="P9" s="867" t="str">
        <f>TC_Private!AQ31</f>
        <v>ok</v>
      </c>
      <c r="Q9" s="867" t="str">
        <f>TC_Private!AR31</f>
        <v>ok</v>
      </c>
      <c r="R9" s="867" t="str">
        <f>TC_Private!AS31</f>
        <v>ok</v>
      </c>
      <c r="S9" s="867" t="str">
        <f>TC_Private!AT31</f>
        <v>ok</v>
      </c>
    </row>
    <row r="10" spans="2:19" x14ac:dyDescent="0.25">
      <c r="B10" s="394" t="s">
        <v>75</v>
      </c>
      <c r="C10" s="394" t="s">
        <v>487</v>
      </c>
      <c r="D10" s="395" t="str">
        <f>TC_City!AE31</f>
        <v>ok</v>
      </c>
      <c r="E10" s="867" t="str">
        <f>TC_City!AF31</f>
        <v>ok</v>
      </c>
      <c r="F10" s="867" t="str">
        <f>TC_City!AG31</f>
        <v>ok</v>
      </c>
      <c r="G10" s="867" t="str">
        <f>TC_City!AH31</f>
        <v>ok</v>
      </c>
      <c r="H10" s="867" t="str">
        <f>TC_City!AI31</f>
        <v>ok</v>
      </c>
      <c r="I10" s="867" t="str">
        <f>TC_City!AJ31</f>
        <v>ok</v>
      </c>
      <c r="J10" s="867" t="str">
        <f>TC_City!AK31</f>
        <v>ok</v>
      </c>
      <c r="K10" s="867" t="str">
        <f>TC_City!AL31</f>
        <v>ok</v>
      </c>
      <c r="L10" s="867" t="str">
        <f>TC_City!AM31</f>
        <v>ok</v>
      </c>
      <c r="M10" s="867" t="str">
        <f>TC_City!AN31</f>
        <v>ok</v>
      </c>
      <c r="N10" s="867" t="str">
        <f>TC_City!AO31</f>
        <v>ok</v>
      </c>
      <c r="O10" s="867" t="str">
        <f>TC_City!AP31</f>
        <v>ok</v>
      </c>
      <c r="P10" s="867" t="str">
        <f>TC_City!AQ31</f>
        <v>ok</v>
      </c>
      <c r="Q10" s="867" t="str">
        <f>TC_City!AR31</f>
        <v>ok</v>
      </c>
      <c r="R10" s="867" t="str">
        <f>TC_City!AS31</f>
        <v>ok</v>
      </c>
      <c r="S10" s="867" t="str">
        <f>TC_City!AT31</f>
        <v>ok</v>
      </c>
    </row>
    <row r="11" spans="2:19" x14ac:dyDescent="0.25">
      <c r="B11" s="394" t="s">
        <v>76</v>
      </c>
      <c r="C11" s="394" t="s">
        <v>76</v>
      </c>
      <c r="D11" s="395" t="str">
        <f>TMO!AE30</f>
        <v>ok</v>
      </c>
      <c r="E11" s="867" t="str">
        <f>TMO!AF30</f>
        <v>ok</v>
      </c>
      <c r="F11" s="867" t="str">
        <f>TMO!AG30</f>
        <v>ok</v>
      </c>
      <c r="G11" s="867" t="str">
        <f>TMO!AH30</f>
        <v>ok</v>
      </c>
      <c r="H11" s="867" t="str">
        <f>TMO!AI30</f>
        <v>ok</v>
      </c>
      <c r="I11" s="867" t="str">
        <f>TMO!AJ30</f>
        <v>ok</v>
      </c>
      <c r="J11" s="867" t="str">
        <f>TMO!AK30</f>
        <v>ok</v>
      </c>
      <c r="K11" s="867" t="str">
        <f>TMO!AL30</f>
        <v>ok</v>
      </c>
      <c r="L11" s="867" t="str">
        <f>TMO!AM30</f>
        <v>ok</v>
      </c>
      <c r="M11" s="867" t="str">
        <f>TMO!AN30</f>
        <v>ok</v>
      </c>
      <c r="N11" s="867" t="str">
        <f>TMO!AO30</f>
        <v>ok</v>
      </c>
      <c r="O11" s="867" t="str">
        <f>TMO!AP30</f>
        <v>ok</v>
      </c>
      <c r="P11" s="867" t="str">
        <f>TMO!AQ30</f>
        <v>ok</v>
      </c>
      <c r="Q11" s="867" t="str">
        <f>TMO!AR30</f>
        <v>ok</v>
      </c>
      <c r="R11" s="867" t="str">
        <f>TMO!AS30</f>
        <v>ok</v>
      </c>
      <c r="S11" s="867" t="str">
        <f>TMO!AT30</f>
        <v>ok</v>
      </c>
    </row>
    <row r="12" spans="2:19" x14ac:dyDescent="0.25">
      <c r="B12" s="394" t="s">
        <v>76</v>
      </c>
      <c r="C12" s="394" t="s">
        <v>494</v>
      </c>
      <c r="D12" s="395" t="str">
        <f>TMO!AE61</f>
        <v>ok</v>
      </c>
      <c r="E12" s="867" t="str">
        <f>TMO!AF61</f>
        <v>ok</v>
      </c>
      <c r="F12" s="867" t="str">
        <f>TMO!AG61</f>
        <v>ok</v>
      </c>
      <c r="G12" s="867" t="str">
        <f>TMO!AH61</f>
        <v>ok</v>
      </c>
      <c r="H12" s="867" t="str">
        <f>TMO!AI61</f>
        <v>ok</v>
      </c>
      <c r="I12" s="867" t="str">
        <f>TMO!AJ61</f>
        <v>ok</v>
      </c>
      <c r="J12" s="867" t="str">
        <f>TMO!AK61</f>
        <v>ok</v>
      </c>
      <c r="K12" s="867" t="str">
        <f>TMO!AL61</f>
        <v>ok</v>
      </c>
      <c r="L12" s="867" t="str">
        <f>TMO!AM61</f>
        <v>ok</v>
      </c>
      <c r="M12" s="867" t="str">
        <f>TMO!AN61</f>
        <v>ok</v>
      </c>
      <c r="N12" s="867" t="str">
        <f>TMO!AO61</f>
        <v>ok</v>
      </c>
      <c r="O12" s="867" t="str">
        <f>TMO!AP61</f>
        <v>ok</v>
      </c>
      <c r="P12" s="867" t="str">
        <f>TMO!AQ61</f>
        <v>ok</v>
      </c>
      <c r="Q12" s="867" t="str">
        <f>TMO!AR61</f>
        <v>ok</v>
      </c>
      <c r="R12" s="867" t="str">
        <f>TMO!AS61</f>
        <v>ok</v>
      </c>
      <c r="S12" s="867" t="str">
        <f>TMO!AT61</f>
        <v>ok</v>
      </c>
    </row>
    <row r="13" spans="2:19" x14ac:dyDescent="0.25">
      <c r="B13" s="394" t="s">
        <v>77</v>
      </c>
      <c r="C13" s="394" t="s">
        <v>1238</v>
      </c>
      <c r="D13" s="395" t="str">
        <f>TB!AE34</f>
        <v>ok</v>
      </c>
      <c r="E13" s="867" t="str">
        <f>TB!AF34</f>
        <v>ok</v>
      </c>
      <c r="F13" s="867" t="str">
        <f>TB!AG34</f>
        <v>ok</v>
      </c>
      <c r="G13" s="867" t="str">
        <f>TB!AH34</f>
        <v>ok</v>
      </c>
      <c r="H13" s="867" t="str">
        <f>TB!AI34</f>
        <v>ok</v>
      </c>
      <c r="I13" s="867" t="str">
        <f>TB!AJ34</f>
        <v>ok</v>
      </c>
      <c r="J13" s="867" t="str">
        <f>TB!AK34</f>
        <v>ok</v>
      </c>
      <c r="K13" s="867" t="str">
        <f>TB!AL34</f>
        <v>ok</v>
      </c>
      <c r="L13" s="867" t="str">
        <f>TB!AM34</f>
        <v>ok</v>
      </c>
      <c r="M13" s="867" t="str">
        <f>TB!AN34</f>
        <v>ok</v>
      </c>
      <c r="N13" s="867" t="str">
        <f>TB!AO34</f>
        <v>ok</v>
      </c>
      <c r="O13" s="867" t="str">
        <f>TB!AP34</f>
        <v>ok</v>
      </c>
      <c r="P13" s="867" t="str">
        <f>TB!AQ34</f>
        <v>ok</v>
      </c>
      <c r="Q13" s="867" t="str">
        <f>TB!AR34</f>
        <v>ok</v>
      </c>
      <c r="R13" s="867" t="str">
        <f>TB!AS34</f>
        <v>ok</v>
      </c>
      <c r="S13" s="867" t="str">
        <f>TB!AT34</f>
        <v>ok</v>
      </c>
    </row>
    <row r="14" spans="2:19" x14ac:dyDescent="0.25">
      <c r="B14" s="394" t="s">
        <v>77</v>
      </c>
      <c r="C14" s="394" t="s">
        <v>1239</v>
      </c>
      <c r="D14" s="395" t="str">
        <f>TB!AE184</f>
        <v>too small</v>
      </c>
      <c r="E14" s="867" t="str">
        <f>TB!AF184</f>
        <v>too small</v>
      </c>
      <c r="F14" s="867" t="str">
        <f>TB!AG184</f>
        <v>ok</v>
      </c>
      <c r="G14" s="867" t="str">
        <f>TB!AH184</f>
        <v>ok</v>
      </c>
      <c r="H14" s="867" t="str">
        <f>TB!AI184</f>
        <v>ok</v>
      </c>
      <c r="I14" s="867" t="str">
        <f>TB!AJ184</f>
        <v>ok</v>
      </c>
      <c r="J14" s="867" t="str">
        <f>TB!AK184</f>
        <v>ok</v>
      </c>
      <c r="K14" s="867" t="str">
        <f>TB!AL184</f>
        <v>ok</v>
      </c>
      <c r="L14" s="867" t="str">
        <f>TB!AM184</f>
        <v>ok</v>
      </c>
      <c r="M14" s="867" t="str">
        <f>TB!AN184</f>
        <v>ok</v>
      </c>
      <c r="N14" s="867" t="str">
        <f>TB!AO184</f>
        <v>ok</v>
      </c>
      <c r="O14" s="867" t="str">
        <f>TB!AP184</f>
        <v>ok</v>
      </c>
      <c r="P14" s="867" t="str">
        <f>TB!AQ184</f>
        <v>ok</v>
      </c>
      <c r="Q14" s="867" t="str">
        <f>TB!AR184</f>
        <v>ok</v>
      </c>
      <c r="R14" s="867" t="str">
        <f>TB!AS184</f>
        <v>ok</v>
      </c>
      <c r="S14" s="867" t="str">
        <f>TB!AT184</f>
        <v>ok</v>
      </c>
    </row>
    <row r="15" spans="2:19" x14ac:dyDescent="0.25">
      <c r="B15" s="394" t="s">
        <v>78</v>
      </c>
      <c r="C15" s="394" t="s">
        <v>500</v>
      </c>
      <c r="D15" s="395" t="str">
        <f>TF_Private!AE45</f>
        <v>Too big</v>
      </c>
      <c r="E15" s="867" t="str">
        <f>TF_Private!AF45</f>
        <v>Too big</v>
      </c>
      <c r="F15" s="867" t="str">
        <f>TF_Private!AG45</f>
        <v>ok</v>
      </c>
      <c r="G15" s="867" t="str">
        <f>TF_Private!AH45</f>
        <v>ok</v>
      </c>
      <c r="H15" s="867" t="str">
        <f>TF_Private!AI45</f>
        <v>ok</v>
      </c>
      <c r="I15" s="867" t="str">
        <f>TF_Private!AJ45</f>
        <v>ok</v>
      </c>
      <c r="J15" s="867" t="str">
        <f>TF_Private!AK45</f>
        <v>ok</v>
      </c>
      <c r="K15" s="867" t="str">
        <f>TF_Private!AL45</f>
        <v>ok</v>
      </c>
      <c r="L15" s="867" t="str">
        <f>TF_Private!AM45</f>
        <v>ok</v>
      </c>
      <c r="M15" s="867" t="str">
        <f>TF_Private!AN45</f>
        <v>ok</v>
      </c>
      <c r="N15" s="867" t="str">
        <f>TF_Private!AO45</f>
        <v>ok</v>
      </c>
      <c r="O15" s="867" t="str">
        <f>TF_Private!AP45</f>
        <v>ok</v>
      </c>
      <c r="P15" s="867" t="str">
        <f>TF_Private!AQ45</f>
        <v>ok</v>
      </c>
      <c r="Q15" s="867" t="str">
        <f>TF_Private!AR45</f>
        <v>ok</v>
      </c>
      <c r="R15" s="867" t="str">
        <f>TF_Private!AS45</f>
        <v>ok</v>
      </c>
      <c r="S15" s="867" t="str">
        <f>TF_Private!AT45</f>
        <v>ok</v>
      </c>
    </row>
    <row r="16" spans="2:19" x14ac:dyDescent="0.25">
      <c r="B16" s="394" t="s">
        <v>78</v>
      </c>
      <c r="C16" s="394" t="s">
        <v>503</v>
      </c>
      <c r="D16" s="395" t="str">
        <f>TF_Private!AE200</f>
        <v>ok</v>
      </c>
      <c r="E16" s="867" t="str">
        <f>TF_Private!AF200</f>
        <v>ok</v>
      </c>
      <c r="F16" s="867" t="str">
        <f>TF_Private!AG200</f>
        <v>ok</v>
      </c>
      <c r="G16" s="867" t="str">
        <f>TF_Private!AH200</f>
        <v>ok</v>
      </c>
      <c r="H16" s="867" t="str">
        <f>TF_Private!AI200</f>
        <v>ok</v>
      </c>
      <c r="I16" s="867" t="str">
        <f>TF_Private!AJ200</f>
        <v>ok</v>
      </c>
      <c r="J16" s="867" t="str">
        <f>TF_Private!AK200</f>
        <v>ok</v>
      </c>
      <c r="K16" s="867" t="str">
        <f>TF_Private!AL200</f>
        <v>ok</v>
      </c>
      <c r="L16" s="867" t="str">
        <f>TF_Private!AM200</f>
        <v>ok</v>
      </c>
      <c r="M16" s="867" t="str">
        <f>TF_Private!AN200</f>
        <v>ok</v>
      </c>
      <c r="N16" s="867" t="str">
        <f>TF_Private!AO200</f>
        <v>ok</v>
      </c>
      <c r="O16" s="867" t="str">
        <f>TF_Private!AP200</f>
        <v>ok</v>
      </c>
      <c r="P16" s="867" t="str">
        <f>TF_Private!AQ200</f>
        <v>ok</v>
      </c>
      <c r="Q16" s="867" t="str">
        <f>TF_Private!AR200</f>
        <v>ok</v>
      </c>
      <c r="R16" s="867" t="str">
        <f>TF_Private!AS200</f>
        <v>ok</v>
      </c>
      <c r="S16" s="867" t="str">
        <f>TF_Private!AT200</f>
        <v>ok</v>
      </c>
    </row>
    <row r="17" spans="2:19" x14ac:dyDescent="0.25">
      <c r="B17" s="394" t="s">
        <v>78</v>
      </c>
      <c r="C17" s="394" t="s">
        <v>505</v>
      </c>
      <c r="D17" s="395" t="str">
        <f>TF_Private!AE349</f>
        <v>Too big</v>
      </c>
      <c r="E17" s="867" t="str">
        <f>TF_Private!AF349</f>
        <v>Too big</v>
      </c>
      <c r="F17" s="867" t="str">
        <f>TF_Private!AG349</f>
        <v>ok</v>
      </c>
      <c r="G17" s="867" t="str">
        <f>TF_Private!AH349</f>
        <v>ok</v>
      </c>
      <c r="H17" s="867" t="str">
        <f>TF_Private!AI349</f>
        <v>ok</v>
      </c>
      <c r="I17" s="867" t="str">
        <f>TF_Private!AJ349</f>
        <v>ok</v>
      </c>
      <c r="J17" s="867" t="str">
        <f>TF_Private!AK349</f>
        <v>ok</v>
      </c>
      <c r="K17" s="867" t="str">
        <f>TF_Private!AL349</f>
        <v>ok</v>
      </c>
      <c r="L17" s="867" t="str">
        <f>TF_Private!AM349</f>
        <v>ok</v>
      </c>
      <c r="M17" s="867" t="str">
        <f>TF_Private!AN349</f>
        <v>ok</v>
      </c>
      <c r="N17" s="867" t="str">
        <f>TF_Private!AO349</f>
        <v>ok</v>
      </c>
      <c r="O17" s="867" t="str">
        <f>TF_Private!AP349</f>
        <v>ok</v>
      </c>
      <c r="P17" s="867" t="str">
        <f>TF_Private!AQ349</f>
        <v>ok</v>
      </c>
      <c r="Q17" s="867" t="str">
        <f>TF_Private!AR349</f>
        <v>ok</v>
      </c>
      <c r="R17" s="867" t="str">
        <f>TF_Private!AS349</f>
        <v>ok</v>
      </c>
      <c r="S17" s="867" t="str">
        <f>TF_Private!AT349</f>
        <v>ok</v>
      </c>
    </row>
    <row r="18" spans="2:19" x14ac:dyDescent="0.25">
      <c r="B18" s="394" t="s">
        <v>78</v>
      </c>
      <c r="C18" s="394" t="s">
        <v>427</v>
      </c>
      <c r="D18" s="395" t="str">
        <f>TF_Private!AE501</f>
        <v>ok</v>
      </c>
      <c r="E18" s="867" t="str">
        <f>TF_Private!AF501</f>
        <v>ok</v>
      </c>
      <c r="F18" s="867" t="str">
        <f>TF_Private!AG501</f>
        <v>ok</v>
      </c>
      <c r="G18" s="867" t="str">
        <f>TF_Private!AH501</f>
        <v>ok</v>
      </c>
      <c r="H18" s="867" t="str">
        <f>TF_Private!AI501</f>
        <v>ok</v>
      </c>
      <c r="I18" s="867" t="str">
        <f>TF_Private!AJ501</f>
        <v>ok</v>
      </c>
      <c r="J18" s="867" t="str">
        <f>TF_Private!AK501</f>
        <v>ok</v>
      </c>
      <c r="K18" s="867" t="str">
        <f>TF_Private!AL501</f>
        <v>ok</v>
      </c>
      <c r="L18" s="867" t="str">
        <f>TF_Private!AM501</f>
        <v>ok</v>
      </c>
      <c r="M18" s="867" t="str">
        <f>TF_Private!AN501</f>
        <v>ok</v>
      </c>
      <c r="N18" s="867" t="str">
        <f>TF_Private!AO501</f>
        <v>ok</v>
      </c>
      <c r="O18" s="867" t="str">
        <f>TF_Private!AP501</f>
        <v>ok</v>
      </c>
      <c r="P18" s="867" t="str">
        <f>TF_Private!AQ501</f>
        <v>ok</v>
      </c>
      <c r="Q18" s="867" t="str">
        <f>TF_Private!AR501</f>
        <v>ok</v>
      </c>
      <c r="R18" s="867" t="str">
        <f>TF_Private!AS501</f>
        <v>ok</v>
      </c>
      <c r="S18" s="867" t="str">
        <f>TF_Private!AT501</f>
        <v>ok</v>
      </c>
    </row>
    <row r="19" spans="2:19" x14ac:dyDescent="0.25">
      <c r="B19" s="394" t="s">
        <v>78</v>
      </c>
      <c r="C19" s="394" t="s">
        <v>425</v>
      </c>
      <c r="D19" s="395" t="str">
        <f>TF_Private!AE524</f>
        <v>ok</v>
      </c>
      <c r="E19" s="867" t="str">
        <f>TF_Private!AF524</f>
        <v>ok</v>
      </c>
      <c r="F19" s="867" t="str">
        <f>TF_Private!AG524</f>
        <v>ok</v>
      </c>
      <c r="G19" s="867" t="str">
        <f>TF_Private!AH524</f>
        <v>ok</v>
      </c>
      <c r="H19" s="867" t="str">
        <f>TF_Private!AI524</f>
        <v>ok</v>
      </c>
      <c r="I19" s="867" t="str">
        <f>TF_Private!AJ524</f>
        <v>ok</v>
      </c>
      <c r="J19" s="867" t="str">
        <f>TF_Private!AK524</f>
        <v>ok</v>
      </c>
      <c r="K19" s="867" t="str">
        <f>TF_Private!AL524</f>
        <v>ok</v>
      </c>
      <c r="L19" s="867" t="str">
        <f>TF_Private!AM524</f>
        <v>ok</v>
      </c>
      <c r="M19" s="867" t="str">
        <f>TF_Private!AN524</f>
        <v>ok</v>
      </c>
      <c r="N19" s="867" t="str">
        <f>TF_Private!AO524</f>
        <v>ok</v>
      </c>
      <c r="O19" s="867" t="str">
        <f>TF_Private!AP524</f>
        <v>ok</v>
      </c>
      <c r="P19" s="867" t="str">
        <f>TF_Private!AQ524</f>
        <v>ok</v>
      </c>
      <c r="Q19" s="867" t="str">
        <f>TF_Private!AR524</f>
        <v>ok</v>
      </c>
      <c r="R19" s="867" t="str">
        <f>TF_Private!AS524</f>
        <v>ok</v>
      </c>
      <c r="S19" s="867" t="str">
        <f>TF_Private!AT524</f>
        <v>ok</v>
      </c>
    </row>
    <row r="20" spans="2:19" x14ac:dyDescent="0.25">
      <c r="B20" s="394" t="s">
        <v>78</v>
      </c>
      <c r="C20" s="394" t="s">
        <v>423</v>
      </c>
      <c r="D20" s="395" t="str">
        <f>TF_Private!AE513</f>
        <v>ok</v>
      </c>
      <c r="E20" s="867" t="str">
        <f>TF_Private!AF513</f>
        <v>ok</v>
      </c>
      <c r="F20" s="867" t="str">
        <f>TF_Private!AG513</f>
        <v>ok</v>
      </c>
      <c r="G20" s="867" t="str">
        <f>TF_Private!AH513</f>
        <v>ok</v>
      </c>
      <c r="H20" s="867" t="str">
        <f>TF_Private!AI513</f>
        <v>ok</v>
      </c>
      <c r="I20" s="867" t="str">
        <f>TF_Private!AJ513</f>
        <v>ok</v>
      </c>
      <c r="J20" s="867" t="str">
        <f>TF_Private!AK513</f>
        <v>ok</v>
      </c>
      <c r="K20" s="867" t="str">
        <f>TF_Private!AL513</f>
        <v>ok</v>
      </c>
      <c r="L20" s="867" t="str">
        <f>TF_Private!AM513</f>
        <v>ok</v>
      </c>
      <c r="M20" s="867" t="str">
        <f>TF_Private!AN513</f>
        <v>ok</v>
      </c>
      <c r="N20" s="867" t="str">
        <f>TF_Private!AO513</f>
        <v>ok</v>
      </c>
      <c r="O20" s="867" t="str">
        <f>TF_Private!AP513</f>
        <v>ok</v>
      </c>
      <c r="P20" s="867" t="str">
        <f>TF_Private!AQ513</f>
        <v>ok</v>
      </c>
      <c r="Q20" s="867" t="str">
        <f>TF_Private!AR513</f>
        <v>ok</v>
      </c>
      <c r="R20" s="867" t="str">
        <f>TF_Private!AS513</f>
        <v>ok</v>
      </c>
      <c r="S20" s="867" t="str">
        <f>TF_Private!AT513</f>
        <v>ok</v>
      </c>
    </row>
    <row r="21" spans="2:19" x14ac:dyDescent="0.25">
      <c r="B21" s="394" t="s">
        <v>507</v>
      </c>
      <c r="C21" s="394" t="s">
        <v>500</v>
      </c>
      <c r="D21" s="395" t="str">
        <f>TF_City!AE84</f>
        <v>ok</v>
      </c>
      <c r="E21" s="867" t="str">
        <f>TF_City!AF84</f>
        <v>ok</v>
      </c>
      <c r="F21" s="867" t="str">
        <f>TF_City!AG84</f>
        <v>ok</v>
      </c>
      <c r="G21" s="867" t="str">
        <f>TF_City!AH84</f>
        <v>ok</v>
      </c>
      <c r="H21" s="867" t="str">
        <f>TF_City!AI84</f>
        <v>ok</v>
      </c>
      <c r="I21" s="867" t="str">
        <f>TF_City!AJ84</f>
        <v>ok</v>
      </c>
      <c r="J21" s="867" t="str">
        <f>TF_City!AK84</f>
        <v>ok</v>
      </c>
      <c r="K21" s="867" t="str">
        <f>TF_City!AL84</f>
        <v>ok</v>
      </c>
      <c r="L21" s="867" t="str">
        <f>TF_City!AM84</f>
        <v>ok</v>
      </c>
      <c r="M21" s="867" t="str">
        <f>TF_City!AN84</f>
        <v>ok</v>
      </c>
      <c r="N21" s="867" t="str">
        <f>TF_City!AO84</f>
        <v>ok</v>
      </c>
      <c r="O21" s="867" t="str">
        <f>TF_City!AP84</f>
        <v>ok</v>
      </c>
      <c r="P21" s="867" t="str">
        <f>TF_City!AQ84</f>
        <v>ok</v>
      </c>
      <c r="Q21" s="867" t="str">
        <f>TF_City!AR84</f>
        <v>ok</v>
      </c>
      <c r="R21" s="867" t="str">
        <f>TF_City!AS84</f>
        <v>ok</v>
      </c>
      <c r="S21" s="867" t="str">
        <f>TF_City!AT84</f>
        <v>ok</v>
      </c>
    </row>
    <row r="22" spans="2:19" x14ac:dyDescent="0.25">
      <c r="B22" s="394" t="s">
        <v>507</v>
      </c>
      <c r="C22" s="394" t="s">
        <v>503</v>
      </c>
      <c r="D22" s="395" t="str">
        <f>TF_City!AE233</f>
        <v>ok</v>
      </c>
      <c r="E22" s="867" t="str">
        <f>TF_City!AF233</f>
        <v>ok</v>
      </c>
      <c r="F22" s="867" t="str">
        <f>TF_City!AG233</f>
        <v>ok</v>
      </c>
      <c r="G22" s="867" t="str">
        <f>TF_City!AH233</f>
        <v>ok</v>
      </c>
      <c r="H22" s="867" t="str">
        <f>TF_City!AI233</f>
        <v>ok</v>
      </c>
      <c r="I22" s="867" t="str">
        <f>TF_City!AJ233</f>
        <v>ok</v>
      </c>
      <c r="J22" s="867" t="str">
        <f>TF_City!AK233</f>
        <v>ok</v>
      </c>
      <c r="K22" s="867" t="str">
        <f>TF_City!AL233</f>
        <v>ok</v>
      </c>
      <c r="L22" s="867" t="str">
        <f>TF_City!AM233</f>
        <v>ok</v>
      </c>
      <c r="M22" s="867" t="str">
        <f>TF_City!AN233</f>
        <v>ok</v>
      </c>
      <c r="N22" s="867" t="str">
        <f>TF_City!AO233</f>
        <v>ok</v>
      </c>
      <c r="O22" s="867" t="str">
        <f>TF_City!AP233</f>
        <v>ok</v>
      </c>
      <c r="P22" s="867" t="str">
        <f>TF_City!AQ233</f>
        <v>ok</v>
      </c>
      <c r="Q22" s="867" t="str">
        <f>TF_City!AR233</f>
        <v>ok</v>
      </c>
      <c r="R22" s="867" t="str">
        <f>TF_City!AS233</f>
        <v>ok</v>
      </c>
      <c r="S22" s="867" t="str">
        <f>TF_City!AT233</f>
        <v>ok</v>
      </c>
    </row>
    <row r="23" spans="2:19" x14ac:dyDescent="0.25">
      <c r="B23" s="394" t="s">
        <v>507</v>
      </c>
      <c r="C23" s="394" t="s">
        <v>505</v>
      </c>
      <c r="D23" s="395" t="str">
        <f>TF_City!AE380</f>
        <v>ok</v>
      </c>
      <c r="E23" s="867" t="str">
        <f>TF_City!AF380</f>
        <v>ok</v>
      </c>
      <c r="F23" s="867" t="str">
        <f>TF_City!AG380</f>
        <v>ok</v>
      </c>
      <c r="G23" s="867" t="str">
        <f>TF_City!AH380</f>
        <v>ok</v>
      </c>
      <c r="H23" s="867" t="str">
        <f>TF_City!AI380</f>
        <v>ok</v>
      </c>
      <c r="I23" s="867" t="str">
        <f>TF_City!AJ380</f>
        <v>ok</v>
      </c>
      <c r="J23" s="867" t="str">
        <f>TF_City!AK380</f>
        <v>ok</v>
      </c>
      <c r="K23" s="867" t="str">
        <f>TF_City!AL380</f>
        <v>ok</v>
      </c>
      <c r="L23" s="867" t="str">
        <f>TF_City!AM380</f>
        <v>ok</v>
      </c>
      <c r="M23" s="867" t="str">
        <f>TF_City!AN380</f>
        <v>ok</v>
      </c>
      <c r="N23" s="867" t="str">
        <f>TF_City!AO380</f>
        <v>ok</v>
      </c>
      <c r="O23" s="867" t="str">
        <f>TF_City!AP380</f>
        <v>ok</v>
      </c>
      <c r="P23" s="867" t="str">
        <f>TF_City!AQ380</f>
        <v>ok</v>
      </c>
      <c r="Q23" s="867" t="str">
        <f>TF_City!AR380</f>
        <v>ok</v>
      </c>
      <c r="R23" s="867" t="str">
        <f>TF_City!AS380</f>
        <v>ok</v>
      </c>
      <c r="S23" s="867" t="str">
        <f>TF_City!AT380</f>
        <v>ok</v>
      </c>
    </row>
    <row r="24" spans="2:19" x14ac:dyDescent="0.25">
      <c r="B24" s="394" t="s">
        <v>507</v>
      </c>
      <c r="C24" s="394" t="s">
        <v>634</v>
      </c>
      <c r="D24" s="395" t="str">
        <f>TF_City!AE41</f>
        <v>ok</v>
      </c>
      <c r="E24" s="867" t="str">
        <f>TF_City!AF41</f>
        <v>ok</v>
      </c>
      <c r="F24" s="867" t="str">
        <f>TF_City!AG41</f>
        <v>ok</v>
      </c>
      <c r="G24" s="867" t="str">
        <f>TF_City!AH41</f>
        <v>ok</v>
      </c>
      <c r="H24" s="867" t="str">
        <f>TF_City!AI41</f>
        <v>ok</v>
      </c>
      <c r="I24" s="867" t="str">
        <f>TF_City!AJ41</f>
        <v>ok</v>
      </c>
      <c r="J24" s="867" t="str">
        <f>TF_City!AK41</f>
        <v>ok</v>
      </c>
      <c r="K24" s="867" t="str">
        <f>TF_City!AL41</f>
        <v>ok</v>
      </c>
      <c r="L24" s="867" t="str">
        <f>TF_City!AM41</f>
        <v>ok</v>
      </c>
      <c r="M24" s="867" t="str">
        <f>TF_City!AN41</f>
        <v>ok</v>
      </c>
      <c r="N24" s="867" t="str">
        <f>TF_City!AO41</f>
        <v>ok</v>
      </c>
      <c r="O24" s="867" t="str">
        <f>TF_City!AP41</f>
        <v>ok</v>
      </c>
      <c r="P24" s="867" t="str">
        <f>TF_City!AQ41</f>
        <v>ok</v>
      </c>
      <c r="Q24" s="867" t="str">
        <f>TF_City!AR41</f>
        <v>ok</v>
      </c>
      <c r="R24" s="867" t="str">
        <f>TF_City!AS41</f>
        <v>ok</v>
      </c>
      <c r="S24" s="867" t="str">
        <f>TF_City!AT41</f>
        <v>ok</v>
      </c>
    </row>
    <row r="25" spans="2:19" x14ac:dyDescent="0.25">
      <c r="B25" s="394" t="s">
        <v>507</v>
      </c>
      <c r="C25" s="394" t="s">
        <v>510</v>
      </c>
      <c r="D25" s="395" t="str">
        <f>TF_City!AE64</f>
        <v>ok</v>
      </c>
      <c r="E25" s="867" t="str">
        <f>TF_City!AF64</f>
        <v>ok</v>
      </c>
      <c r="F25" s="867" t="str">
        <f>TF_City!AG64</f>
        <v>ok</v>
      </c>
      <c r="G25" s="867" t="str">
        <f>TF_City!AH64</f>
        <v>ok</v>
      </c>
      <c r="H25" s="867" t="str">
        <f>TF_City!AI64</f>
        <v>ok</v>
      </c>
      <c r="I25" s="867" t="str">
        <f>TF_City!AJ64</f>
        <v>ok</v>
      </c>
      <c r="J25" s="867" t="str">
        <f>TF_City!AK64</f>
        <v>ok</v>
      </c>
      <c r="K25" s="867" t="str">
        <f>TF_City!AL64</f>
        <v>ok</v>
      </c>
      <c r="L25" s="867" t="str">
        <f>TF_City!AM64</f>
        <v>ok</v>
      </c>
      <c r="M25" s="867" t="str">
        <f>TF_City!AN64</f>
        <v>ok</v>
      </c>
      <c r="N25" s="867" t="str">
        <f>TF_City!AO64</f>
        <v>ok</v>
      </c>
      <c r="O25" s="867" t="str">
        <f>TF_City!AP64</f>
        <v>ok</v>
      </c>
      <c r="P25" s="867" t="str">
        <f>TF_City!AQ64</f>
        <v>ok</v>
      </c>
      <c r="Q25" s="867" t="str">
        <f>TF_City!AR64</f>
        <v>ok</v>
      </c>
      <c r="R25" s="867" t="str">
        <f>TF_City!AS64</f>
        <v>ok</v>
      </c>
      <c r="S25" s="867" t="str">
        <f>TF_City!AT64</f>
        <v>ok</v>
      </c>
    </row>
    <row r="26" spans="2:19" x14ac:dyDescent="0.25">
      <c r="B26" s="394" t="s">
        <v>507</v>
      </c>
      <c r="C26" s="394" t="s">
        <v>509</v>
      </c>
      <c r="D26" s="395" t="str">
        <f>TF_City!AE53</f>
        <v>ok</v>
      </c>
      <c r="E26" s="867" t="str">
        <f>TF_City!AF53</f>
        <v>ok</v>
      </c>
      <c r="F26" s="867" t="str">
        <f>TF_City!AG53</f>
        <v>ok</v>
      </c>
      <c r="G26" s="867" t="str">
        <f>TF_City!AH53</f>
        <v>ok</v>
      </c>
      <c r="H26" s="867" t="str">
        <f>TF_City!AI53</f>
        <v>ok</v>
      </c>
      <c r="I26" s="867" t="str">
        <f>TF_City!AJ53</f>
        <v>ok</v>
      </c>
      <c r="J26" s="867" t="str">
        <f>TF_City!AK53</f>
        <v>ok</v>
      </c>
      <c r="K26" s="867" t="str">
        <f>TF_City!AL53</f>
        <v>ok</v>
      </c>
      <c r="L26" s="867" t="str">
        <f>TF_City!AM53</f>
        <v>ok</v>
      </c>
      <c r="M26" s="867" t="str">
        <f>TF_City!AN53</f>
        <v>ok</v>
      </c>
      <c r="N26" s="867" t="str">
        <f>TF_City!AO53</f>
        <v>ok</v>
      </c>
      <c r="O26" s="867" t="str">
        <f>TF_City!AP53</f>
        <v>ok</v>
      </c>
      <c r="P26" s="867" t="str">
        <f>TF_City!AQ53</f>
        <v>ok</v>
      </c>
      <c r="Q26" s="867" t="str">
        <f>TF_City!AR53</f>
        <v>ok</v>
      </c>
      <c r="R26" s="867" t="str">
        <f>TF_City!AS53</f>
        <v>ok</v>
      </c>
      <c r="S26" s="867" t="str">
        <f>TF_City!AT53</f>
        <v>ok</v>
      </c>
    </row>
    <row r="27" spans="2:19" x14ac:dyDescent="0.25">
      <c r="B27" s="394" t="s">
        <v>80</v>
      </c>
      <c r="C27" s="394" t="s">
        <v>511</v>
      </c>
      <c r="D27" s="395" t="str">
        <f>TT!AD114</f>
        <v>ok</v>
      </c>
      <c r="E27" s="867" t="str">
        <f>TT!AE114</f>
        <v>ok</v>
      </c>
      <c r="F27" s="867" t="str">
        <f>TT!AF114</f>
        <v>ok</v>
      </c>
      <c r="G27" s="867" t="str">
        <f>TT!AG114</f>
        <v>ok</v>
      </c>
      <c r="H27" s="867" t="str">
        <f>TT!AH114</f>
        <v>ok</v>
      </c>
      <c r="I27" s="867" t="str">
        <f>TT!AI114</f>
        <v>ok</v>
      </c>
      <c r="J27" s="867" t="str">
        <f>TT!AJ114</f>
        <v>ok</v>
      </c>
      <c r="K27" s="867" t="str">
        <f>TT!AK114</f>
        <v>ok</v>
      </c>
      <c r="L27" s="867" t="str">
        <f>TT!AL114</f>
        <v>ok</v>
      </c>
      <c r="M27" s="867" t="str">
        <f>TT!AM114</f>
        <v>ok</v>
      </c>
      <c r="N27" s="867" t="str">
        <f>TT!AN114</f>
        <v>ok</v>
      </c>
      <c r="O27" s="867" t="str">
        <f>TT!AO114</f>
        <v>ok</v>
      </c>
      <c r="P27" s="867" t="str">
        <f>TT!AP114</f>
        <v>ok</v>
      </c>
      <c r="Q27" s="867" t="str">
        <f>TT!AQ114</f>
        <v>ok</v>
      </c>
      <c r="R27" s="867" t="str">
        <f>TT!AR114</f>
        <v>ok</v>
      </c>
      <c r="S27" s="867" t="str">
        <f>TT!AS114</f>
        <v>ok</v>
      </c>
    </row>
    <row r="28" spans="2:19" x14ac:dyDescent="0.25">
      <c r="B28" s="394" t="s">
        <v>80</v>
      </c>
      <c r="C28" s="394" t="s">
        <v>513</v>
      </c>
      <c r="D28" s="395" t="str">
        <f>TT!AD127</f>
        <v>ok</v>
      </c>
      <c r="E28" s="867" t="str">
        <f>TT!AE127</f>
        <v>ok</v>
      </c>
      <c r="F28" s="867" t="str">
        <f>TT!AF127</f>
        <v>ok</v>
      </c>
      <c r="G28" s="867" t="str">
        <f>TT!AG127</f>
        <v>ok</v>
      </c>
      <c r="H28" s="867" t="str">
        <f>TT!AH127</f>
        <v>ok</v>
      </c>
      <c r="I28" s="867" t="str">
        <f>TT!AI127</f>
        <v>ok</v>
      </c>
      <c r="J28" s="867" t="str">
        <f>TT!AJ127</f>
        <v>ok</v>
      </c>
      <c r="K28" s="867" t="str">
        <f>TT!AK127</f>
        <v>ok</v>
      </c>
      <c r="L28" s="867" t="str">
        <f>TT!AL127</f>
        <v>ok</v>
      </c>
      <c r="M28" s="867" t="str">
        <f>TT!AM127</f>
        <v>ok</v>
      </c>
      <c r="N28" s="867" t="str">
        <f>TT!AN127</f>
        <v>ok</v>
      </c>
      <c r="O28" s="867" t="str">
        <f>TT!AO127</f>
        <v>ok</v>
      </c>
      <c r="P28" s="867" t="str">
        <f>TT!AP127</f>
        <v>ok</v>
      </c>
      <c r="Q28" s="867" t="str">
        <f>TT!AQ127</f>
        <v>ok</v>
      </c>
      <c r="R28" s="867" t="str">
        <f>TT!AR127</f>
        <v>ok</v>
      </c>
      <c r="S28" s="867" t="str">
        <f>TT!AS127</f>
        <v>ok</v>
      </c>
    </row>
    <row r="29" spans="2:19" x14ac:dyDescent="0.25">
      <c r="B29" s="394" t="s">
        <v>80</v>
      </c>
      <c r="C29" s="394" t="s">
        <v>417</v>
      </c>
      <c r="D29" s="395" t="str">
        <f>TT!AD38</f>
        <v>ok</v>
      </c>
      <c r="E29" s="867" t="str">
        <f>TT!AE38</f>
        <v>ok</v>
      </c>
      <c r="F29" s="867" t="str">
        <f>TT!AF38</f>
        <v>ok</v>
      </c>
      <c r="G29" s="867" t="str">
        <f>TT!AG38</f>
        <v>ok</v>
      </c>
      <c r="H29" s="867" t="str">
        <f>TT!AH38</f>
        <v>ok</v>
      </c>
      <c r="I29" s="867" t="str">
        <f>TT!AI38</f>
        <v>ok</v>
      </c>
      <c r="J29" s="867" t="str">
        <f>TT!AJ38</f>
        <v>ok</v>
      </c>
      <c r="K29" s="867" t="str">
        <f>TT!AK38</f>
        <v>ok</v>
      </c>
      <c r="L29" s="867" t="str">
        <f>TT!AL38</f>
        <v>ok</v>
      </c>
      <c r="M29" s="867" t="str">
        <f>TT!AM38</f>
        <v>ok</v>
      </c>
      <c r="N29" s="867" t="str">
        <f>TT!AN38</f>
        <v>ok</v>
      </c>
      <c r="O29" s="867" t="str">
        <f>TT!AO38</f>
        <v>ok</v>
      </c>
      <c r="P29" s="867" t="str">
        <f>TT!AP38</f>
        <v>ok</v>
      </c>
      <c r="Q29" s="867" t="str">
        <f>TT!AQ38</f>
        <v>ok</v>
      </c>
      <c r="R29" s="867" t="str">
        <f>TT!AR38</f>
        <v>ok</v>
      </c>
      <c r="S29" s="867" t="str">
        <f>TT!AS38</f>
        <v>ok</v>
      </c>
    </row>
    <row r="30" spans="2:19" x14ac:dyDescent="0.25">
      <c r="B30" s="394" t="s">
        <v>80</v>
      </c>
      <c r="C30" s="394" t="s">
        <v>419</v>
      </c>
      <c r="D30" s="395" t="str">
        <f>TT!AD64</f>
        <v>ok</v>
      </c>
      <c r="E30" s="867" t="str">
        <f>TT!AE64</f>
        <v>ok</v>
      </c>
      <c r="F30" s="867" t="str">
        <f>TT!AF64</f>
        <v>ok</v>
      </c>
      <c r="G30" s="867" t="str">
        <f>TT!AG64</f>
        <v>ok</v>
      </c>
      <c r="H30" s="867" t="str">
        <f>TT!AH64</f>
        <v>ok</v>
      </c>
      <c r="I30" s="867" t="str">
        <f>TT!AI64</f>
        <v>ok</v>
      </c>
      <c r="J30" s="867" t="str">
        <f>TT!AJ64</f>
        <v>ok</v>
      </c>
      <c r="K30" s="867" t="str">
        <f>TT!AK64</f>
        <v>ok</v>
      </c>
      <c r="L30" s="867" t="str">
        <f>TT!AL64</f>
        <v>ok</v>
      </c>
      <c r="M30" s="867" t="str">
        <f>TT!AM64</f>
        <v>ok</v>
      </c>
      <c r="N30" s="867" t="str">
        <f>TT!AN64</f>
        <v>ok</v>
      </c>
      <c r="O30" s="867" t="str">
        <f>TT!AO64</f>
        <v>ok</v>
      </c>
      <c r="P30" s="867" t="str">
        <f>TT!AP64</f>
        <v>ok</v>
      </c>
      <c r="Q30" s="867" t="str">
        <f>TT!AQ64</f>
        <v>ok</v>
      </c>
      <c r="R30" s="867" t="str">
        <f>TT!AR64</f>
        <v>ok</v>
      </c>
      <c r="S30" s="867" t="str">
        <f>TT!AS64</f>
        <v>ok</v>
      </c>
    </row>
    <row r="31" spans="2:19" x14ac:dyDescent="0.25">
      <c r="B31" s="394" t="s">
        <v>80</v>
      </c>
      <c r="C31" s="394" t="s">
        <v>441</v>
      </c>
      <c r="D31" s="395" t="str">
        <f>TT!AD82</f>
        <v>ok</v>
      </c>
      <c r="E31" s="867" t="str">
        <f>TT!AE82</f>
        <v>ok</v>
      </c>
      <c r="F31" s="867" t="str">
        <f>TT!AF82</f>
        <v>ok</v>
      </c>
      <c r="G31" s="867" t="str">
        <f>TT!AG82</f>
        <v>ok</v>
      </c>
      <c r="H31" s="867" t="str">
        <f>TT!AH82</f>
        <v>ok</v>
      </c>
      <c r="I31" s="867" t="str">
        <f>TT!AI82</f>
        <v>ok</v>
      </c>
      <c r="J31" s="867" t="str">
        <f>TT!AJ82</f>
        <v>ok</v>
      </c>
      <c r="K31" s="867" t="str">
        <f>TT!AK82</f>
        <v>ok</v>
      </c>
      <c r="L31" s="867" t="str">
        <f>TT!AL82</f>
        <v>ok</v>
      </c>
      <c r="M31" s="867" t="str">
        <f>TT!AM82</f>
        <v>ok</v>
      </c>
      <c r="N31" s="867" t="str">
        <f>TT!AN82</f>
        <v>ok</v>
      </c>
      <c r="O31" s="867" t="str">
        <f>TT!AO82</f>
        <v>ok</v>
      </c>
      <c r="P31" s="867" t="str">
        <f>TT!AP82</f>
        <v>ok</v>
      </c>
      <c r="Q31" s="867" t="str">
        <f>TT!AQ82</f>
        <v>ok</v>
      </c>
      <c r="R31" s="867" t="str">
        <f>TT!AR82</f>
        <v>ok</v>
      </c>
      <c r="S31" s="867" t="str">
        <f>TT!AS82</f>
        <v>ok</v>
      </c>
    </row>
    <row r="32" spans="2:19" x14ac:dyDescent="0.25">
      <c r="B32" s="394" t="s">
        <v>81</v>
      </c>
      <c r="C32" s="394" t="s">
        <v>228</v>
      </c>
      <c r="D32" s="395" t="str">
        <f>TNA!AD27</f>
        <v>ok</v>
      </c>
      <c r="E32" s="867" t="str">
        <f>TNA!AE27</f>
        <v>ok</v>
      </c>
      <c r="F32" s="867" t="str">
        <f>TNA!AF27</f>
        <v>ok</v>
      </c>
      <c r="G32" s="867" t="str">
        <f>TNA!AG27</f>
        <v>ok</v>
      </c>
      <c r="H32" s="867" t="str">
        <f>TNA!AH27</f>
        <v>ok</v>
      </c>
      <c r="I32" s="867" t="str">
        <f>TNA!AI27</f>
        <v>ok</v>
      </c>
      <c r="J32" s="867" t="str">
        <f>TNA!AJ27</f>
        <v>ok</v>
      </c>
      <c r="K32" s="867" t="str">
        <f>TNA!AK27</f>
        <v>ok</v>
      </c>
      <c r="L32" s="867" t="str">
        <f>TNA!AL27</f>
        <v>ok</v>
      </c>
      <c r="M32" s="867" t="str">
        <f>TNA!AM27</f>
        <v>ok</v>
      </c>
      <c r="N32" s="867" t="str">
        <f>TNA!AN27</f>
        <v>ok</v>
      </c>
      <c r="O32" s="867" t="str">
        <f>TNA!AO27</f>
        <v>ok</v>
      </c>
      <c r="P32" s="867" t="str">
        <f>TNA!AP27</f>
        <v>ok</v>
      </c>
      <c r="Q32" s="867" t="str">
        <f>TNA!AQ27</f>
        <v>ok</v>
      </c>
      <c r="R32" s="867" t="str">
        <f>TNA!AR27</f>
        <v>ok</v>
      </c>
      <c r="S32" s="867" t="str">
        <f>TNA!AS27</f>
        <v>ok</v>
      </c>
    </row>
    <row r="33" spans="2:19" x14ac:dyDescent="0.25">
      <c r="B33" s="394" t="s">
        <v>81</v>
      </c>
      <c r="C33" s="394" t="s">
        <v>232</v>
      </c>
      <c r="D33" s="395" t="str">
        <f>TNA!AD49</f>
        <v>ok</v>
      </c>
      <c r="E33" s="867" t="str">
        <f>TNA!AE49</f>
        <v>ok</v>
      </c>
      <c r="F33" s="867" t="str">
        <f>TNA!AF49</f>
        <v>ok</v>
      </c>
      <c r="G33" s="867" t="str">
        <f>TNA!AG49</f>
        <v>ok</v>
      </c>
      <c r="H33" s="867" t="str">
        <f>TNA!AH49</f>
        <v>ok</v>
      </c>
      <c r="I33" s="867" t="str">
        <f>TNA!AI49</f>
        <v>ok</v>
      </c>
      <c r="J33" s="867" t="str">
        <f>TNA!AJ49</f>
        <v>ok</v>
      </c>
      <c r="K33" s="867" t="str">
        <f>TNA!AK49</f>
        <v>ok</v>
      </c>
      <c r="L33" s="867" t="str">
        <f>TNA!AL49</f>
        <v>ok</v>
      </c>
      <c r="M33" s="867" t="str">
        <f>TNA!AM49</f>
        <v>ok</v>
      </c>
      <c r="N33" s="867" t="str">
        <f>TNA!AN49</f>
        <v>ok</v>
      </c>
      <c r="O33" s="867" t="str">
        <f>TNA!AO49</f>
        <v>ok</v>
      </c>
      <c r="P33" s="867" t="str">
        <f>TNA!AP49</f>
        <v>ok</v>
      </c>
      <c r="Q33" s="867" t="str">
        <f>TNA!AQ49</f>
        <v>ok</v>
      </c>
      <c r="R33" s="867" t="str">
        <f>TNA!AR49</f>
        <v>ok</v>
      </c>
      <c r="S33" s="867" t="str">
        <f>TNA!AS49</f>
        <v>ok</v>
      </c>
    </row>
    <row r="34" spans="2:19" x14ac:dyDescent="0.25">
      <c r="B34" s="394" t="s">
        <v>81</v>
      </c>
      <c r="C34" s="394" t="s">
        <v>230</v>
      </c>
      <c r="D34" s="395" t="str">
        <f>TNA!AD70</f>
        <v>ok</v>
      </c>
      <c r="E34" s="867" t="str">
        <f>TNA!AE70</f>
        <v>ok</v>
      </c>
      <c r="F34" s="867" t="str">
        <f>TNA!AF70</f>
        <v>ok</v>
      </c>
      <c r="G34" s="867" t="str">
        <f>TNA!AG70</f>
        <v>ok</v>
      </c>
      <c r="H34" s="867" t="str">
        <f>TNA!AH70</f>
        <v>ok</v>
      </c>
      <c r="I34" s="867" t="str">
        <f>TNA!AI70</f>
        <v>ok</v>
      </c>
      <c r="J34" s="867" t="str">
        <f>TNA!AJ70</f>
        <v>ok</v>
      </c>
      <c r="K34" s="867" t="str">
        <f>TNA!AK70</f>
        <v>ok</v>
      </c>
      <c r="L34" s="867" t="str">
        <f>TNA!AL70</f>
        <v>ok</v>
      </c>
      <c r="M34" s="867" t="str">
        <f>TNA!AM70</f>
        <v>ok</v>
      </c>
      <c r="N34" s="867" t="str">
        <f>TNA!AN70</f>
        <v>ok</v>
      </c>
      <c r="O34" s="867" t="str">
        <f>TNA!AO70</f>
        <v>ok</v>
      </c>
      <c r="P34" s="867" t="str">
        <f>TNA!AP70</f>
        <v>ok</v>
      </c>
      <c r="Q34" s="867" t="str">
        <f>TNA!AQ70</f>
        <v>ok</v>
      </c>
      <c r="R34" s="867" t="str">
        <f>TNA!AR70</f>
        <v>ok</v>
      </c>
      <c r="S34" s="867" t="str">
        <f>TNA!AS70</f>
        <v>ok</v>
      </c>
    </row>
    <row r="35" spans="2:19" x14ac:dyDescent="0.25">
      <c r="B35" s="394" t="s">
        <v>82</v>
      </c>
      <c r="C35" s="394" t="s">
        <v>737</v>
      </c>
      <c r="D35" s="395" t="e">
        <f>TAV!AD44</f>
        <v>#DIV/0!</v>
      </c>
      <c r="E35" s="867" t="e">
        <f>TAV!AE44</f>
        <v>#DIV/0!</v>
      </c>
      <c r="F35" s="867" t="e">
        <f>TAV!AF44</f>
        <v>#DIV/0!</v>
      </c>
      <c r="G35" s="867" t="e">
        <f>TAV!AG44</f>
        <v>#DIV/0!</v>
      </c>
      <c r="H35" s="867" t="e">
        <f>TAV!AH44</f>
        <v>#DIV/0!</v>
      </c>
      <c r="I35" s="867" t="e">
        <f>TAV!AI44</f>
        <v>#DIV/0!</v>
      </c>
      <c r="J35" s="867" t="e">
        <f>TAV!AJ44</f>
        <v>#DIV/0!</v>
      </c>
      <c r="K35" s="867" t="e">
        <f>TAV!AK44</f>
        <v>#DIV/0!</v>
      </c>
      <c r="L35" s="867" t="e">
        <f>TAV!AL44</f>
        <v>#DIV/0!</v>
      </c>
      <c r="M35" s="867" t="e">
        <f>TAV!AM44</f>
        <v>#DIV/0!</v>
      </c>
      <c r="N35" s="867" t="e">
        <f>TAV!AN44</f>
        <v>#DIV/0!</v>
      </c>
      <c r="O35" s="867" t="e">
        <f>TAV!AO44</f>
        <v>#DIV/0!</v>
      </c>
      <c r="P35" s="867" t="e">
        <f>TAV!AP44</f>
        <v>#DIV/0!</v>
      </c>
      <c r="Q35" s="867" t="e">
        <f>TAV!AQ44</f>
        <v>#DIV/0!</v>
      </c>
      <c r="R35" s="867" t="e">
        <f>TAV!AR44</f>
        <v>#DIV/0!</v>
      </c>
      <c r="S35" s="867" t="e">
        <f>TAV!AS44</f>
        <v>#DIV/0!</v>
      </c>
    </row>
    <row r="36" spans="2:19" x14ac:dyDescent="0.25">
      <c r="B36" s="394" t="s">
        <v>82</v>
      </c>
      <c r="C36" s="394" t="s">
        <v>735</v>
      </c>
      <c r="D36" s="395" t="str">
        <f>TAV!AD24</f>
        <v>ok</v>
      </c>
      <c r="E36" s="867" t="str">
        <f>TAV!AE24</f>
        <v>ok</v>
      </c>
      <c r="F36" s="867" t="str">
        <f>TAV!AF24</f>
        <v>ok</v>
      </c>
      <c r="G36" s="867" t="str">
        <f>TAV!AG24</f>
        <v>ok</v>
      </c>
      <c r="H36" s="867" t="str">
        <f>TAV!AH24</f>
        <v>ok</v>
      </c>
      <c r="I36" s="867" t="str">
        <f>TAV!AI24</f>
        <v>ok</v>
      </c>
      <c r="J36" s="867" t="str">
        <f>TAV!AJ24</f>
        <v>ok</v>
      </c>
      <c r="K36" s="867" t="str">
        <f>TAV!AK24</f>
        <v>ok</v>
      </c>
      <c r="L36" s="867" t="str">
        <f>TAV!AL24</f>
        <v>ok</v>
      </c>
      <c r="M36" s="867" t="str">
        <f>TAV!AM24</f>
        <v>ok</v>
      </c>
      <c r="N36" s="867" t="str">
        <f>TAV!AN24</f>
        <v>ok</v>
      </c>
      <c r="O36" s="867" t="str">
        <f>TAV!AO24</f>
        <v>ok</v>
      </c>
      <c r="P36" s="867" t="str">
        <f>TAV!AP24</f>
        <v>ok</v>
      </c>
      <c r="Q36" s="867" t="str">
        <f>TAV!AQ24</f>
        <v>ok</v>
      </c>
      <c r="R36" s="867" t="str">
        <f>TAV!AR24</f>
        <v>ok</v>
      </c>
      <c r="S36" s="867" t="str">
        <f>TAV!AS24</f>
        <v>ok</v>
      </c>
    </row>
  </sheetData>
  <phoneticPr fontId="10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 tint="0.59999389629810485"/>
  </sheetPr>
  <dimension ref="A1:BL130"/>
  <sheetViews>
    <sheetView topLeftCell="I94" zoomScale="75" zoomScaleNormal="75" workbookViewId="0">
      <selection activeCell="M122" sqref="M122:AA128"/>
    </sheetView>
  </sheetViews>
  <sheetFormatPr defaultRowHeight="15" x14ac:dyDescent="0.25"/>
  <cols>
    <col min="1" max="1" width="9.28515625" style="33" customWidth="1"/>
    <col min="2" max="2" width="21.28515625" style="33" customWidth="1"/>
    <col min="3" max="3" width="12.7109375" style="33" bestFit="1" customWidth="1"/>
    <col min="4" max="4" width="43.5703125" style="33" customWidth="1"/>
    <col min="5" max="5" width="14.28515625" style="33" customWidth="1"/>
    <col min="6" max="6" width="13.28515625" style="33" bestFit="1" customWidth="1"/>
    <col min="7" max="7" width="11.7109375" style="33" customWidth="1"/>
    <col min="8" max="8" width="16.28515625" style="33" customWidth="1"/>
    <col min="9" max="9" width="29.7109375" style="33" customWidth="1"/>
    <col min="10" max="10" width="14.28515625" style="33" bestFit="1" customWidth="1"/>
    <col min="11" max="11" width="21.28515625" style="33" customWidth="1"/>
    <col min="12" max="12" width="25.7109375" style="33" customWidth="1"/>
    <col min="13" max="13" width="14.42578125" style="33" customWidth="1"/>
    <col min="14" max="27" width="11.7109375" style="33" customWidth="1"/>
    <col min="28" max="28" width="12.7109375" style="33" bestFit="1" customWidth="1"/>
    <col min="29" max="29" width="29.28515625" style="33" customWidth="1"/>
    <col min="30" max="45" width="1.7109375" style="33" customWidth="1"/>
    <col min="46" max="248" width="9.28515625" style="33"/>
    <col min="249" max="249" width="3.28515625" style="33" customWidth="1"/>
    <col min="250" max="250" width="40.7109375" style="33" customWidth="1"/>
    <col min="251" max="251" width="41.7109375" style="33" customWidth="1"/>
    <col min="252" max="252" width="11" style="33" customWidth="1"/>
    <col min="253" max="253" width="15.7109375" style="33" customWidth="1"/>
    <col min="254" max="254" width="11.7109375" style="33" customWidth="1"/>
    <col min="255" max="255" width="9.7109375" style="33" customWidth="1"/>
    <col min="256" max="256" width="13.42578125" style="33" customWidth="1"/>
    <col min="257" max="257" width="14.7109375" style="33" customWidth="1"/>
    <col min="258" max="259" width="15.28515625" style="33" customWidth="1"/>
    <col min="260" max="260" width="20.7109375" style="33" customWidth="1"/>
    <col min="261" max="261" width="11.28515625" style="33" customWidth="1"/>
    <col min="262" max="262" width="10" style="33" customWidth="1"/>
    <col min="263" max="263" width="6.7109375" style="33" customWidth="1"/>
    <col min="264" max="264" width="13.28515625" style="33" customWidth="1"/>
    <col min="265" max="265" width="12.7109375" style="33" customWidth="1"/>
    <col min="266" max="266" width="9.28515625" style="33"/>
    <col min="267" max="267" width="11.42578125" style="33" customWidth="1"/>
    <col min="268" max="504" width="9.28515625" style="33"/>
    <col min="505" max="505" width="3.28515625" style="33" customWidth="1"/>
    <col min="506" max="506" width="40.7109375" style="33" customWidth="1"/>
    <col min="507" max="507" width="41.7109375" style="33" customWidth="1"/>
    <col min="508" max="508" width="11" style="33" customWidth="1"/>
    <col min="509" max="509" width="15.7109375" style="33" customWidth="1"/>
    <col min="510" max="510" width="11.7109375" style="33" customWidth="1"/>
    <col min="511" max="511" width="9.7109375" style="33" customWidth="1"/>
    <col min="512" max="512" width="13.42578125" style="33" customWidth="1"/>
    <col min="513" max="513" width="14.7109375" style="33" customWidth="1"/>
    <col min="514" max="515" width="15.28515625" style="33" customWidth="1"/>
    <col min="516" max="516" width="20.7109375" style="33" customWidth="1"/>
    <col min="517" max="517" width="11.28515625" style="33" customWidth="1"/>
    <col min="518" max="518" width="10" style="33" customWidth="1"/>
    <col min="519" max="519" width="6.7109375" style="33" customWidth="1"/>
    <col min="520" max="520" width="13.28515625" style="33" customWidth="1"/>
    <col min="521" max="521" width="12.7109375" style="33" customWidth="1"/>
    <col min="522" max="522" width="9.28515625" style="33"/>
    <col min="523" max="523" width="11.42578125" style="33" customWidth="1"/>
    <col min="524" max="760" width="9.28515625" style="33"/>
    <col min="761" max="761" width="3.28515625" style="33" customWidth="1"/>
    <col min="762" max="762" width="40.7109375" style="33" customWidth="1"/>
    <col min="763" max="763" width="41.7109375" style="33" customWidth="1"/>
    <col min="764" max="764" width="11" style="33" customWidth="1"/>
    <col min="765" max="765" width="15.7109375" style="33" customWidth="1"/>
    <col min="766" max="766" width="11.7109375" style="33" customWidth="1"/>
    <col min="767" max="767" width="9.7109375" style="33" customWidth="1"/>
    <col min="768" max="768" width="13.42578125" style="33" customWidth="1"/>
    <col min="769" max="769" width="14.7109375" style="33" customWidth="1"/>
    <col min="770" max="771" width="15.28515625" style="33" customWidth="1"/>
    <col min="772" max="772" width="20.7109375" style="33" customWidth="1"/>
    <col min="773" max="773" width="11.28515625" style="33" customWidth="1"/>
    <col min="774" max="774" width="10" style="33" customWidth="1"/>
    <col min="775" max="775" width="6.7109375" style="33" customWidth="1"/>
    <col min="776" max="776" width="13.28515625" style="33" customWidth="1"/>
    <col min="777" max="777" width="12.7109375" style="33" customWidth="1"/>
    <col min="778" max="778" width="9.28515625" style="33"/>
    <col min="779" max="779" width="11.42578125" style="33" customWidth="1"/>
    <col min="780" max="1016" width="9.28515625" style="33"/>
    <col min="1017" max="1017" width="3.28515625" style="33" customWidth="1"/>
    <col min="1018" max="1018" width="40.7109375" style="33" customWidth="1"/>
    <col min="1019" max="1019" width="41.7109375" style="33" customWidth="1"/>
    <col min="1020" max="1020" width="11" style="33" customWidth="1"/>
    <col min="1021" max="1021" width="15.7109375" style="33" customWidth="1"/>
    <col min="1022" max="1022" width="11.7109375" style="33" customWidth="1"/>
    <col min="1023" max="1023" width="9.7109375" style="33" customWidth="1"/>
    <col min="1024" max="1024" width="13.42578125" style="33" customWidth="1"/>
    <col min="1025" max="1025" width="14.7109375" style="33" customWidth="1"/>
    <col min="1026" max="1027" width="15.28515625" style="33" customWidth="1"/>
    <col min="1028" max="1028" width="20.7109375" style="33" customWidth="1"/>
    <col min="1029" max="1029" width="11.28515625" style="33" customWidth="1"/>
    <col min="1030" max="1030" width="10" style="33" customWidth="1"/>
    <col min="1031" max="1031" width="6.7109375" style="33" customWidth="1"/>
    <col min="1032" max="1032" width="13.28515625" style="33" customWidth="1"/>
    <col min="1033" max="1033" width="12.7109375" style="33" customWidth="1"/>
    <col min="1034" max="1034" width="9.28515625" style="33"/>
    <col min="1035" max="1035" width="11.42578125" style="33" customWidth="1"/>
    <col min="1036" max="1272" width="9.28515625" style="33"/>
    <col min="1273" max="1273" width="3.28515625" style="33" customWidth="1"/>
    <col min="1274" max="1274" width="40.7109375" style="33" customWidth="1"/>
    <col min="1275" max="1275" width="41.7109375" style="33" customWidth="1"/>
    <col min="1276" max="1276" width="11" style="33" customWidth="1"/>
    <col min="1277" max="1277" width="15.7109375" style="33" customWidth="1"/>
    <col min="1278" max="1278" width="11.7109375" style="33" customWidth="1"/>
    <col min="1279" max="1279" width="9.7109375" style="33" customWidth="1"/>
    <col min="1280" max="1280" width="13.42578125" style="33" customWidth="1"/>
    <col min="1281" max="1281" width="14.7109375" style="33" customWidth="1"/>
    <col min="1282" max="1283" width="15.28515625" style="33" customWidth="1"/>
    <col min="1284" max="1284" width="20.7109375" style="33" customWidth="1"/>
    <col min="1285" max="1285" width="11.28515625" style="33" customWidth="1"/>
    <col min="1286" max="1286" width="10" style="33" customWidth="1"/>
    <col min="1287" max="1287" width="6.7109375" style="33" customWidth="1"/>
    <col min="1288" max="1288" width="13.28515625" style="33" customWidth="1"/>
    <col min="1289" max="1289" width="12.7109375" style="33" customWidth="1"/>
    <col min="1290" max="1290" width="9.28515625" style="33"/>
    <col min="1291" max="1291" width="11.42578125" style="33" customWidth="1"/>
    <col min="1292" max="1528" width="9.28515625" style="33"/>
    <col min="1529" max="1529" width="3.28515625" style="33" customWidth="1"/>
    <col min="1530" max="1530" width="40.7109375" style="33" customWidth="1"/>
    <col min="1531" max="1531" width="41.7109375" style="33" customWidth="1"/>
    <col min="1532" max="1532" width="11" style="33" customWidth="1"/>
    <col min="1533" max="1533" width="15.7109375" style="33" customWidth="1"/>
    <col min="1534" max="1534" width="11.7109375" style="33" customWidth="1"/>
    <col min="1535" max="1535" width="9.7109375" style="33" customWidth="1"/>
    <col min="1536" max="1536" width="13.42578125" style="33" customWidth="1"/>
    <col min="1537" max="1537" width="14.7109375" style="33" customWidth="1"/>
    <col min="1538" max="1539" width="15.28515625" style="33" customWidth="1"/>
    <col min="1540" max="1540" width="20.7109375" style="33" customWidth="1"/>
    <col min="1541" max="1541" width="11.28515625" style="33" customWidth="1"/>
    <col min="1542" max="1542" width="10" style="33" customWidth="1"/>
    <col min="1543" max="1543" width="6.7109375" style="33" customWidth="1"/>
    <col min="1544" max="1544" width="13.28515625" style="33" customWidth="1"/>
    <col min="1545" max="1545" width="12.7109375" style="33" customWidth="1"/>
    <col min="1546" max="1546" width="9.28515625" style="33"/>
    <col min="1547" max="1547" width="11.42578125" style="33" customWidth="1"/>
    <col min="1548" max="1784" width="9.28515625" style="33"/>
    <col min="1785" max="1785" width="3.28515625" style="33" customWidth="1"/>
    <col min="1786" max="1786" width="40.7109375" style="33" customWidth="1"/>
    <col min="1787" max="1787" width="41.7109375" style="33" customWidth="1"/>
    <col min="1788" max="1788" width="11" style="33" customWidth="1"/>
    <col min="1789" max="1789" width="15.7109375" style="33" customWidth="1"/>
    <col min="1790" max="1790" width="11.7109375" style="33" customWidth="1"/>
    <col min="1791" max="1791" width="9.7109375" style="33" customWidth="1"/>
    <col min="1792" max="1792" width="13.42578125" style="33" customWidth="1"/>
    <col min="1793" max="1793" width="14.7109375" style="33" customWidth="1"/>
    <col min="1794" max="1795" width="15.28515625" style="33" customWidth="1"/>
    <col min="1796" max="1796" width="20.7109375" style="33" customWidth="1"/>
    <col min="1797" max="1797" width="11.28515625" style="33" customWidth="1"/>
    <col min="1798" max="1798" width="10" style="33" customWidth="1"/>
    <col min="1799" max="1799" width="6.7109375" style="33" customWidth="1"/>
    <col min="1800" max="1800" width="13.28515625" style="33" customWidth="1"/>
    <col min="1801" max="1801" width="12.7109375" style="33" customWidth="1"/>
    <col min="1802" max="1802" width="9.28515625" style="33"/>
    <col min="1803" max="1803" width="11.42578125" style="33" customWidth="1"/>
    <col min="1804" max="2040" width="9.28515625" style="33"/>
    <col min="2041" max="2041" width="3.28515625" style="33" customWidth="1"/>
    <col min="2042" max="2042" width="40.7109375" style="33" customWidth="1"/>
    <col min="2043" max="2043" width="41.7109375" style="33" customWidth="1"/>
    <col min="2044" max="2044" width="11" style="33" customWidth="1"/>
    <col min="2045" max="2045" width="15.7109375" style="33" customWidth="1"/>
    <col min="2046" max="2046" width="11.7109375" style="33" customWidth="1"/>
    <col min="2047" max="2047" width="9.7109375" style="33" customWidth="1"/>
    <col min="2048" max="2048" width="13.42578125" style="33" customWidth="1"/>
    <col min="2049" max="2049" width="14.7109375" style="33" customWidth="1"/>
    <col min="2050" max="2051" width="15.28515625" style="33" customWidth="1"/>
    <col min="2052" max="2052" width="20.7109375" style="33" customWidth="1"/>
    <col min="2053" max="2053" width="11.28515625" style="33" customWidth="1"/>
    <col min="2054" max="2054" width="10" style="33" customWidth="1"/>
    <col min="2055" max="2055" width="6.7109375" style="33" customWidth="1"/>
    <col min="2056" max="2056" width="13.28515625" style="33" customWidth="1"/>
    <col min="2057" max="2057" width="12.7109375" style="33" customWidth="1"/>
    <col min="2058" max="2058" width="9.28515625" style="33"/>
    <col min="2059" max="2059" width="11.42578125" style="33" customWidth="1"/>
    <col min="2060" max="2296" width="9.28515625" style="33"/>
    <col min="2297" max="2297" width="3.28515625" style="33" customWidth="1"/>
    <col min="2298" max="2298" width="40.7109375" style="33" customWidth="1"/>
    <col min="2299" max="2299" width="41.7109375" style="33" customWidth="1"/>
    <col min="2300" max="2300" width="11" style="33" customWidth="1"/>
    <col min="2301" max="2301" width="15.7109375" style="33" customWidth="1"/>
    <col min="2302" max="2302" width="11.7109375" style="33" customWidth="1"/>
    <col min="2303" max="2303" width="9.7109375" style="33" customWidth="1"/>
    <col min="2304" max="2304" width="13.42578125" style="33" customWidth="1"/>
    <col min="2305" max="2305" width="14.7109375" style="33" customWidth="1"/>
    <col min="2306" max="2307" width="15.28515625" style="33" customWidth="1"/>
    <col min="2308" max="2308" width="20.7109375" style="33" customWidth="1"/>
    <col min="2309" max="2309" width="11.28515625" style="33" customWidth="1"/>
    <col min="2310" max="2310" width="10" style="33" customWidth="1"/>
    <col min="2311" max="2311" width="6.7109375" style="33" customWidth="1"/>
    <col min="2312" max="2312" width="13.28515625" style="33" customWidth="1"/>
    <col min="2313" max="2313" width="12.7109375" style="33" customWidth="1"/>
    <col min="2314" max="2314" width="9.28515625" style="33"/>
    <col min="2315" max="2315" width="11.42578125" style="33" customWidth="1"/>
    <col min="2316" max="2552" width="9.28515625" style="33"/>
    <col min="2553" max="2553" width="3.28515625" style="33" customWidth="1"/>
    <col min="2554" max="2554" width="40.7109375" style="33" customWidth="1"/>
    <col min="2555" max="2555" width="41.7109375" style="33" customWidth="1"/>
    <col min="2556" max="2556" width="11" style="33" customWidth="1"/>
    <col min="2557" max="2557" width="15.7109375" style="33" customWidth="1"/>
    <col min="2558" max="2558" width="11.7109375" style="33" customWidth="1"/>
    <col min="2559" max="2559" width="9.7109375" style="33" customWidth="1"/>
    <col min="2560" max="2560" width="13.42578125" style="33" customWidth="1"/>
    <col min="2561" max="2561" width="14.7109375" style="33" customWidth="1"/>
    <col min="2562" max="2563" width="15.28515625" style="33" customWidth="1"/>
    <col min="2564" max="2564" width="20.7109375" style="33" customWidth="1"/>
    <col min="2565" max="2565" width="11.28515625" style="33" customWidth="1"/>
    <col min="2566" max="2566" width="10" style="33" customWidth="1"/>
    <col min="2567" max="2567" width="6.7109375" style="33" customWidth="1"/>
    <col min="2568" max="2568" width="13.28515625" style="33" customWidth="1"/>
    <col min="2569" max="2569" width="12.7109375" style="33" customWidth="1"/>
    <col min="2570" max="2570" width="9.28515625" style="33"/>
    <col min="2571" max="2571" width="11.42578125" style="33" customWidth="1"/>
    <col min="2572" max="2808" width="9.28515625" style="33"/>
    <col min="2809" max="2809" width="3.28515625" style="33" customWidth="1"/>
    <col min="2810" max="2810" width="40.7109375" style="33" customWidth="1"/>
    <col min="2811" max="2811" width="41.7109375" style="33" customWidth="1"/>
    <col min="2812" max="2812" width="11" style="33" customWidth="1"/>
    <col min="2813" max="2813" width="15.7109375" style="33" customWidth="1"/>
    <col min="2814" max="2814" width="11.7109375" style="33" customWidth="1"/>
    <col min="2815" max="2815" width="9.7109375" style="33" customWidth="1"/>
    <col min="2816" max="2816" width="13.42578125" style="33" customWidth="1"/>
    <col min="2817" max="2817" width="14.7109375" style="33" customWidth="1"/>
    <col min="2818" max="2819" width="15.28515625" style="33" customWidth="1"/>
    <col min="2820" max="2820" width="20.7109375" style="33" customWidth="1"/>
    <col min="2821" max="2821" width="11.28515625" style="33" customWidth="1"/>
    <col min="2822" max="2822" width="10" style="33" customWidth="1"/>
    <col min="2823" max="2823" width="6.7109375" style="33" customWidth="1"/>
    <col min="2824" max="2824" width="13.28515625" style="33" customWidth="1"/>
    <col min="2825" max="2825" width="12.7109375" style="33" customWidth="1"/>
    <col min="2826" max="2826" width="9.28515625" style="33"/>
    <col min="2827" max="2827" width="11.42578125" style="33" customWidth="1"/>
    <col min="2828" max="3064" width="9.28515625" style="33"/>
    <col min="3065" max="3065" width="3.28515625" style="33" customWidth="1"/>
    <col min="3066" max="3066" width="40.7109375" style="33" customWidth="1"/>
    <col min="3067" max="3067" width="41.7109375" style="33" customWidth="1"/>
    <col min="3068" max="3068" width="11" style="33" customWidth="1"/>
    <col min="3069" max="3069" width="15.7109375" style="33" customWidth="1"/>
    <col min="3070" max="3070" width="11.7109375" style="33" customWidth="1"/>
    <col min="3071" max="3071" width="9.7109375" style="33" customWidth="1"/>
    <col min="3072" max="3072" width="13.42578125" style="33" customWidth="1"/>
    <col min="3073" max="3073" width="14.7109375" style="33" customWidth="1"/>
    <col min="3074" max="3075" width="15.28515625" style="33" customWidth="1"/>
    <col min="3076" max="3076" width="20.7109375" style="33" customWidth="1"/>
    <col min="3077" max="3077" width="11.28515625" style="33" customWidth="1"/>
    <col min="3078" max="3078" width="10" style="33" customWidth="1"/>
    <col min="3079" max="3079" width="6.7109375" style="33" customWidth="1"/>
    <col min="3080" max="3080" width="13.28515625" style="33" customWidth="1"/>
    <col min="3081" max="3081" width="12.7109375" style="33" customWidth="1"/>
    <col min="3082" max="3082" width="9.28515625" style="33"/>
    <col min="3083" max="3083" width="11.42578125" style="33" customWidth="1"/>
    <col min="3084" max="3320" width="9.28515625" style="33"/>
    <col min="3321" max="3321" width="3.28515625" style="33" customWidth="1"/>
    <col min="3322" max="3322" width="40.7109375" style="33" customWidth="1"/>
    <col min="3323" max="3323" width="41.7109375" style="33" customWidth="1"/>
    <col min="3324" max="3324" width="11" style="33" customWidth="1"/>
    <col min="3325" max="3325" width="15.7109375" style="33" customWidth="1"/>
    <col min="3326" max="3326" width="11.7109375" style="33" customWidth="1"/>
    <col min="3327" max="3327" width="9.7109375" style="33" customWidth="1"/>
    <col min="3328" max="3328" width="13.42578125" style="33" customWidth="1"/>
    <col min="3329" max="3329" width="14.7109375" style="33" customWidth="1"/>
    <col min="3330" max="3331" width="15.28515625" style="33" customWidth="1"/>
    <col min="3332" max="3332" width="20.7109375" style="33" customWidth="1"/>
    <col min="3333" max="3333" width="11.28515625" style="33" customWidth="1"/>
    <col min="3334" max="3334" width="10" style="33" customWidth="1"/>
    <col min="3335" max="3335" width="6.7109375" style="33" customWidth="1"/>
    <col min="3336" max="3336" width="13.28515625" style="33" customWidth="1"/>
    <col min="3337" max="3337" width="12.7109375" style="33" customWidth="1"/>
    <col min="3338" max="3338" width="9.28515625" style="33"/>
    <col min="3339" max="3339" width="11.42578125" style="33" customWidth="1"/>
    <col min="3340" max="3576" width="9.28515625" style="33"/>
    <col min="3577" max="3577" width="3.28515625" style="33" customWidth="1"/>
    <col min="3578" max="3578" width="40.7109375" style="33" customWidth="1"/>
    <col min="3579" max="3579" width="41.7109375" style="33" customWidth="1"/>
    <col min="3580" max="3580" width="11" style="33" customWidth="1"/>
    <col min="3581" max="3581" width="15.7109375" style="33" customWidth="1"/>
    <col min="3582" max="3582" width="11.7109375" style="33" customWidth="1"/>
    <col min="3583" max="3583" width="9.7109375" style="33" customWidth="1"/>
    <col min="3584" max="3584" width="13.42578125" style="33" customWidth="1"/>
    <col min="3585" max="3585" width="14.7109375" style="33" customWidth="1"/>
    <col min="3586" max="3587" width="15.28515625" style="33" customWidth="1"/>
    <col min="3588" max="3588" width="20.7109375" style="33" customWidth="1"/>
    <col min="3589" max="3589" width="11.28515625" style="33" customWidth="1"/>
    <col min="3590" max="3590" width="10" style="33" customWidth="1"/>
    <col min="3591" max="3591" width="6.7109375" style="33" customWidth="1"/>
    <col min="3592" max="3592" width="13.28515625" style="33" customWidth="1"/>
    <col min="3593" max="3593" width="12.7109375" style="33" customWidth="1"/>
    <col min="3594" max="3594" width="9.28515625" style="33"/>
    <col min="3595" max="3595" width="11.42578125" style="33" customWidth="1"/>
    <col min="3596" max="3832" width="9.28515625" style="33"/>
    <col min="3833" max="3833" width="3.28515625" style="33" customWidth="1"/>
    <col min="3834" max="3834" width="40.7109375" style="33" customWidth="1"/>
    <col min="3835" max="3835" width="41.7109375" style="33" customWidth="1"/>
    <col min="3836" max="3836" width="11" style="33" customWidth="1"/>
    <col min="3837" max="3837" width="15.7109375" style="33" customWidth="1"/>
    <col min="3838" max="3838" width="11.7109375" style="33" customWidth="1"/>
    <col min="3839" max="3839" width="9.7109375" style="33" customWidth="1"/>
    <col min="3840" max="3840" width="13.42578125" style="33" customWidth="1"/>
    <col min="3841" max="3841" width="14.7109375" style="33" customWidth="1"/>
    <col min="3842" max="3843" width="15.28515625" style="33" customWidth="1"/>
    <col min="3844" max="3844" width="20.7109375" style="33" customWidth="1"/>
    <col min="3845" max="3845" width="11.28515625" style="33" customWidth="1"/>
    <col min="3846" max="3846" width="10" style="33" customWidth="1"/>
    <col min="3847" max="3847" width="6.7109375" style="33" customWidth="1"/>
    <col min="3848" max="3848" width="13.28515625" style="33" customWidth="1"/>
    <col min="3849" max="3849" width="12.7109375" style="33" customWidth="1"/>
    <col min="3850" max="3850" width="9.28515625" style="33"/>
    <col min="3851" max="3851" width="11.42578125" style="33" customWidth="1"/>
    <col min="3852" max="4088" width="9.28515625" style="33"/>
    <col min="4089" max="4089" width="3.28515625" style="33" customWidth="1"/>
    <col min="4090" max="4090" width="40.7109375" style="33" customWidth="1"/>
    <col min="4091" max="4091" width="41.7109375" style="33" customWidth="1"/>
    <col min="4092" max="4092" width="11" style="33" customWidth="1"/>
    <col min="4093" max="4093" width="15.7109375" style="33" customWidth="1"/>
    <col min="4094" max="4094" width="11.7109375" style="33" customWidth="1"/>
    <col min="4095" max="4095" width="9.7109375" style="33" customWidth="1"/>
    <col min="4096" max="4096" width="13.42578125" style="33" customWidth="1"/>
    <col min="4097" max="4097" width="14.7109375" style="33" customWidth="1"/>
    <col min="4098" max="4099" width="15.28515625" style="33" customWidth="1"/>
    <col min="4100" max="4100" width="20.7109375" style="33" customWidth="1"/>
    <col min="4101" max="4101" width="11.28515625" style="33" customWidth="1"/>
    <col min="4102" max="4102" width="10" style="33" customWidth="1"/>
    <col min="4103" max="4103" width="6.7109375" style="33" customWidth="1"/>
    <col min="4104" max="4104" width="13.28515625" style="33" customWidth="1"/>
    <col min="4105" max="4105" width="12.7109375" style="33" customWidth="1"/>
    <col min="4106" max="4106" width="9.28515625" style="33"/>
    <col min="4107" max="4107" width="11.42578125" style="33" customWidth="1"/>
    <col min="4108" max="4344" width="9.28515625" style="33"/>
    <col min="4345" max="4345" width="3.28515625" style="33" customWidth="1"/>
    <col min="4346" max="4346" width="40.7109375" style="33" customWidth="1"/>
    <col min="4347" max="4347" width="41.7109375" style="33" customWidth="1"/>
    <col min="4348" max="4348" width="11" style="33" customWidth="1"/>
    <col min="4349" max="4349" width="15.7109375" style="33" customWidth="1"/>
    <col min="4350" max="4350" width="11.7109375" style="33" customWidth="1"/>
    <col min="4351" max="4351" width="9.7109375" style="33" customWidth="1"/>
    <col min="4352" max="4352" width="13.42578125" style="33" customWidth="1"/>
    <col min="4353" max="4353" width="14.7109375" style="33" customWidth="1"/>
    <col min="4354" max="4355" width="15.28515625" style="33" customWidth="1"/>
    <col min="4356" max="4356" width="20.7109375" style="33" customWidth="1"/>
    <col min="4357" max="4357" width="11.28515625" style="33" customWidth="1"/>
    <col min="4358" max="4358" width="10" style="33" customWidth="1"/>
    <col min="4359" max="4359" width="6.7109375" style="33" customWidth="1"/>
    <col min="4360" max="4360" width="13.28515625" style="33" customWidth="1"/>
    <col min="4361" max="4361" width="12.7109375" style="33" customWidth="1"/>
    <col min="4362" max="4362" width="9.28515625" style="33"/>
    <col min="4363" max="4363" width="11.42578125" style="33" customWidth="1"/>
    <col min="4364" max="4600" width="9.28515625" style="33"/>
    <col min="4601" max="4601" width="3.28515625" style="33" customWidth="1"/>
    <col min="4602" max="4602" width="40.7109375" style="33" customWidth="1"/>
    <col min="4603" max="4603" width="41.7109375" style="33" customWidth="1"/>
    <col min="4604" max="4604" width="11" style="33" customWidth="1"/>
    <col min="4605" max="4605" width="15.7109375" style="33" customWidth="1"/>
    <col min="4606" max="4606" width="11.7109375" style="33" customWidth="1"/>
    <col min="4607" max="4607" width="9.7109375" style="33" customWidth="1"/>
    <col min="4608" max="4608" width="13.42578125" style="33" customWidth="1"/>
    <col min="4609" max="4609" width="14.7109375" style="33" customWidth="1"/>
    <col min="4610" max="4611" width="15.28515625" style="33" customWidth="1"/>
    <col min="4612" max="4612" width="20.7109375" style="33" customWidth="1"/>
    <col min="4613" max="4613" width="11.28515625" style="33" customWidth="1"/>
    <col min="4614" max="4614" width="10" style="33" customWidth="1"/>
    <col min="4615" max="4615" width="6.7109375" style="33" customWidth="1"/>
    <col min="4616" max="4616" width="13.28515625" style="33" customWidth="1"/>
    <col min="4617" max="4617" width="12.7109375" style="33" customWidth="1"/>
    <col min="4618" max="4618" width="9.28515625" style="33"/>
    <col min="4619" max="4619" width="11.42578125" style="33" customWidth="1"/>
    <col min="4620" max="4856" width="9.28515625" style="33"/>
    <col min="4857" max="4857" width="3.28515625" style="33" customWidth="1"/>
    <col min="4858" max="4858" width="40.7109375" style="33" customWidth="1"/>
    <col min="4859" max="4859" width="41.7109375" style="33" customWidth="1"/>
    <col min="4860" max="4860" width="11" style="33" customWidth="1"/>
    <col min="4861" max="4861" width="15.7109375" style="33" customWidth="1"/>
    <col min="4862" max="4862" width="11.7109375" style="33" customWidth="1"/>
    <col min="4863" max="4863" width="9.7109375" style="33" customWidth="1"/>
    <col min="4864" max="4864" width="13.42578125" style="33" customWidth="1"/>
    <col min="4865" max="4865" width="14.7109375" style="33" customWidth="1"/>
    <col min="4866" max="4867" width="15.28515625" style="33" customWidth="1"/>
    <col min="4868" max="4868" width="20.7109375" style="33" customWidth="1"/>
    <col min="4869" max="4869" width="11.28515625" style="33" customWidth="1"/>
    <col min="4870" max="4870" width="10" style="33" customWidth="1"/>
    <col min="4871" max="4871" width="6.7109375" style="33" customWidth="1"/>
    <col min="4872" max="4872" width="13.28515625" style="33" customWidth="1"/>
    <col min="4873" max="4873" width="12.7109375" style="33" customWidth="1"/>
    <col min="4874" max="4874" width="9.28515625" style="33"/>
    <col min="4875" max="4875" width="11.42578125" style="33" customWidth="1"/>
    <col min="4876" max="5112" width="9.28515625" style="33"/>
    <col min="5113" max="5113" width="3.28515625" style="33" customWidth="1"/>
    <col min="5114" max="5114" width="40.7109375" style="33" customWidth="1"/>
    <col min="5115" max="5115" width="41.7109375" style="33" customWidth="1"/>
    <col min="5116" max="5116" width="11" style="33" customWidth="1"/>
    <col min="5117" max="5117" width="15.7109375" style="33" customWidth="1"/>
    <col min="5118" max="5118" width="11.7109375" style="33" customWidth="1"/>
    <col min="5119" max="5119" width="9.7109375" style="33" customWidth="1"/>
    <col min="5120" max="5120" width="13.42578125" style="33" customWidth="1"/>
    <col min="5121" max="5121" width="14.7109375" style="33" customWidth="1"/>
    <col min="5122" max="5123" width="15.28515625" style="33" customWidth="1"/>
    <col min="5124" max="5124" width="20.7109375" style="33" customWidth="1"/>
    <col min="5125" max="5125" width="11.28515625" style="33" customWidth="1"/>
    <col min="5126" max="5126" width="10" style="33" customWidth="1"/>
    <col min="5127" max="5127" width="6.7109375" style="33" customWidth="1"/>
    <col min="5128" max="5128" width="13.28515625" style="33" customWidth="1"/>
    <col min="5129" max="5129" width="12.7109375" style="33" customWidth="1"/>
    <col min="5130" max="5130" width="9.28515625" style="33"/>
    <col min="5131" max="5131" width="11.42578125" style="33" customWidth="1"/>
    <col min="5132" max="5368" width="9.28515625" style="33"/>
    <col min="5369" max="5369" width="3.28515625" style="33" customWidth="1"/>
    <col min="5370" max="5370" width="40.7109375" style="33" customWidth="1"/>
    <col min="5371" max="5371" width="41.7109375" style="33" customWidth="1"/>
    <col min="5372" max="5372" width="11" style="33" customWidth="1"/>
    <col min="5373" max="5373" width="15.7109375" style="33" customWidth="1"/>
    <col min="5374" max="5374" width="11.7109375" style="33" customWidth="1"/>
    <col min="5375" max="5375" width="9.7109375" style="33" customWidth="1"/>
    <col min="5376" max="5376" width="13.42578125" style="33" customWidth="1"/>
    <col min="5377" max="5377" width="14.7109375" style="33" customWidth="1"/>
    <col min="5378" max="5379" width="15.28515625" style="33" customWidth="1"/>
    <col min="5380" max="5380" width="20.7109375" style="33" customWidth="1"/>
    <col min="5381" max="5381" width="11.28515625" style="33" customWidth="1"/>
    <col min="5382" max="5382" width="10" style="33" customWidth="1"/>
    <col min="5383" max="5383" width="6.7109375" style="33" customWidth="1"/>
    <col min="5384" max="5384" width="13.28515625" style="33" customWidth="1"/>
    <col min="5385" max="5385" width="12.7109375" style="33" customWidth="1"/>
    <col min="5386" max="5386" width="9.28515625" style="33"/>
    <col min="5387" max="5387" width="11.42578125" style="33" customWidth="1"/>
    <col min="5388" max="5624" width="9.28515625" style="33"/>
    <col min="5625" max="5625" width="3.28515625" style="33" customWidth="1"/>
    <col min="5626" max="5626" width="40.7109375" style="33" customWidth="1"/>
    <col min="5627" max="5627" width="41.7109375" style="33" customWidth="1"/>
    <col min="5628" max="5628" width="11" style="33" customWidth="1"/>
    <col min="5629" max="5629" width="15.7109375" style="33" customWidth="1"/>
    <col min="5630" max="5630" width="11.7109375" style="33" customWidth="1"/>
    <col min="5631" max="5631" width="9.7109375" style="33" customWidth="1"/>
    <col min="5632" max="5632" width="13.42578125" style="33" customWidth="1"/>
    <col min="5633" max="5633" width="14.7109375" style="33" customWidth="1"/>
    <col min="5634" max="5635" width="15.28515625" style="33" customWidth="1"/>
    <col min="5636" max="5636" width="20.7109375" style="33" customWidth="1"/>
    <col min="5637" max="5637" width="11.28515625" style="33" customWidth="1"/>
    <col min="5638" max="5638" width="10" style="33" customWidth="1"/>
    <col min="5639" max="5639" width="6.7109375" style="33" customWidth="1"/>
    <col min="5640" max="5640" width="13.28515625" style="33" customWidth="1"/>
    <col min="5641" max="5641" width="12.7109375" style="33" customWidth="1"/>
    <col min="5642" max="5642" width="9.28515625" style="33"/>
    <col min="5643" max="5643" width="11.42578125" style="33" customWidth="1"/>
    <col min="5644" max="5880" width="9.28515625" style="33"/>
    <col min="5881" max="5881" width="3.28515625" style="33" customWidth="1"/>
    <col min="5882" max="5882" width="40.7109375" style="33" customWidth="1"/>
    <col min="5883" max="5883" width="41.7109375" style="33" customWidth="1"/>
    <col min="5884" max="5884" width="11" style="33" customWidth="1"/>
    <col min="5885" max="5885" width="15.7109375" style="33" customWidth="1"/>
    <col min="5886" max="5886" width="11.7109375" style="33" customWidth="1"/>
    <col min="5887" max="5887" width="9.7109375" style="33" customWidth="1"/>
    <col min="5888" max="5888" width="13.42578125" style="33" customWidth="1"/>
    <col min="5889" max="5889" width="14.7109375" style="33" customWidth="1"/>
    <col min="5890" max="5891" width="15.28515625" style="33" customWidth="1"/>
    <col min="5892" max="5892" width="20.7109375" style="33" customWidth="1"/>
    <col min="5893" max="5893" width="11.28515625" style="33" customWidth="1"/>
    <col min="5894" max="5894" width="10" style="33" customWidth="1"/>
    <col min="5895" max="5895" width="6.7109375" style="33" customWidth="1"/>
    <col min="5896" max="5896" width="13.28515625" style="33" customWidth="1"/>
    <col min="5897" max="5897" width="12.7109375" style="33" customWidth="1"/>
    <col min="5898" max="5898" width="9.28515625" style="33"/>
    <col min="5899" max="5899" width="11.42578125" style="33" customWidth="1"/>
    <col min="5900" max="6136" width="9.28515625" style="33"/>
    <col min="6137" max="6137" width="3.28515625" style="33" customWidth="1"/>
    <col min="6138" max="6138" width="40.7109375" style="33" customWidth="1"/>
    <col min="6139" max="6139" width="41.7109375" style="33" customWidth="1"/>
    <col min="6140" max="6140" width="11" style="33" customWidth="1"/>
    <col min="6141" max="6141" width="15.7109375" style="33" customWidth="1"/>
    <col min="6142" max="6142" width="11.7109375" style="33" customWidth="1"/>
    <col min="6143" max="6143" width="9.7109375" style="33" customWidth="1"/>
    <col min="6144" max="6144" width="13.42578125" style="33" customWidth="1"/>
    <col min="6145" max="6145" width="14.7109375" style="33" customWidth="1"/>
    <col min="6146" max="6147" width="15.28515625" style="33" customWidth="1"/>
    <col min="6148" max="6148" width="20.7109375" style="33" customWidth="1"/>
    <col min="6149" max="6149" width="11.28515625" style="33" customWidth="1"/>
    <col min="6150" max="6150" width="10" style="33" customWidth="1"/>
    <col min="6151" max="6151" width="6.7109375" style="33" customWidth="1"/>
    <col min="6152" max="6152" width="13.28515625" style="33" customWidth="1"/>
    <col min="6153" max="6153" width="12.7109375" style="33" customWidth="1"/>
    <col min="6154" max="6154" width="9.28515625" style="33"/>
    <col min="6155" max="6155" width="11.42578125" style="33" customWidth="1"/>
    <col min="6156" max="6392" width="9.28515625" style="33"/>
    <col min="6393" max="6393" width="3.28515625" style="33" customWidth="1"/>
    <col min="6394" max="6394" width="40.7109375" style="33" customWidth="1"/>
    <col min="6395" max="6395" width="41.7109375" style="33" customWidth="1"/>
    <col min="6396" max="6396" width="11" style="33" customWidth="1"/>
    <col min="6397" max="6397" width="15.7109375" style="33" customWidth="1"/>
    <col min="6398" max="6398" width="11.7109375" style="33" customWidth="1"/>
    <col min="6399" max="6399" width="9.7109375" style="33" customWidth="1"/>
    <col min="6400" max="6400" width="13.42578125" style="33" customWidth="1"/>
    <col min="6401" max="6401" width="14.7109375" style="33" customWidth="1"/>
    <col min="6402" max="6403" width="15.28515625" style="33" customWidth="1"/>
    <col min="6404" max="6404" width="20.7109375" style="33" customWidth="1"/>
    <col min="6405" max="6405" width="11.28515625" style="33" customWidth="1"/>
    <col min="6406" max="6406" width="10" style="33" customWidth="1"/>
    <col min="6407" max="6407" width="6.7109375" style="33" customWidth="1"/>
    <col min="6408" max="6408" width="13.28515625" style="33" customWidth="1"/>
    <col min="6409" max="6409" width="12.7109375" style="33" customWidth="1"/>
    <col min="6410" max="6410" width="9.28515625" style="33"/>
    <col min="6411" max="6411" width="11.42578125" style="33" customWidth="1"/>
    <col min="6412" max="6648" width="9.28515625" style="33"/>
    <col min="6649" max="6649" width="3.28515625" style="33" customWidth="1"/>
    <col min="6650" max="6650" width="40.7109375" style="33" customWidth="1"/>
    <col min="6651" max="6651" width="41.7109375" style="33" customWidth="1"/>
    <col min="6652" max="6652" width="11" style="33" customWidth="1"/>
    <col min="6653" max="6653" width="15.7109375" style="33" customWidth="1"/>
    <col min="6654" max="6654" width="11.7109375" style="33" customWidth="1"/>
    <col min="6655" max="6655" width="9.7109375" style="33" customWidth="1"/>
    <col min="6656" max="6656" width="13.42578125" style="33" customWidth="1"/>
    <col min="6657" max="6657" width="14.7109375" style="33" customWidth="1"/>
    <col min="6658" max="6659" width="15.28515625" style="33" customWidth="1"/>
    <col min="6660" max="6660" width="20.7109375" style="33" customWidth="1"/>
    <col min="6661" max="6661" width="11.28515625" style="33" customWidth="1"/>
    <col min="6662" max="6662" width="10" style="33" customWidth="1"/>
    <col min="6663" max="6663" width="6.7109375" style="33" customWidth="1"/>
    <col min="6664" max="6664" width="13.28515625" style="33" customWidth="1"/>
    <col min="6665" max="6665" width="12.7109375" style="33" customWidth="1"/>
    <col min="6666" max="6666" width="9.28515625" style="33"/>
    <col min="6667" max="6667" width="11.42578125" style="33" customWidth="1"/>
    <col min="6668" max="6904" width="9.28515625" style="33"/>
    <col min="6905" max="6905" width="3.28515625" style="33" customWidth="1"/>
    <col min="6906" max="6906" width="40.7109375" style="33" customWidth="1"/>
    <col min="6907" max="6907" width="41.7109375" style="33" customWidth="1"/>
    <col min="6908" max="6908" width="11" style="33" customWidth="1"/>
    <col min="6909" max="6909" width="15.7109375" style="33" customWidth="1"/>
    <col min="6910" max="6910" width="11.7109375" style="33" customWidth="1"/>
    <col min="6911" max="6911" width="9.7109375" style="33" customWidth="1"/>
    <col min="6912" max="6912" width="13.42578125" style="33" customWidth="1"/>
    <col min="6913" max="6913" width="14.7109375" style="33" customWidth="1"/>
    <col min="6914" max="6915" width="15.28515625" style="33" customWidth="1"/>
    <col min="6916" max="6916" width="20.7109375" style="33" customWidth="1"/>
    <col min="6917" max="6917" width="11.28515625" style="33" customWidth="1"/>
    <col min="6918" max="6918" width="10" style="33" customWidth="1"/>
    <col min="6919" max="6919" width="6.7109375" style="33" customWidth="1"/>
    <col min="6920" max="6920" width="13.28515625" style="33" customWidth="1"/>
    <col min="6921" max="6921" width="12.7109375" style="33" customWidth="1"/>
    <col min="6922" max="6922" width="9.28515625" style="33"/>
    <col min="6923" max="6923" width="11.42578125" style="33" customWidth="1"/>
    <col min="6924" max="7160" width="9.28515625" style="33"/>
    <col min="7161" max="7161" width="3.28515625" style="33" customWidth="1"/>
    <col min="7162" max="7162" width="40.7109375" style="33" customWidth="1"/>
    <col min="7163" max="7163" width="41.7109375" style="33" customWidth="1"/>
    <col min="7164" max="7164" width="11" style="33" customWidth="1"/>
    <col min="7165" max="7165" width="15.7109375" style="33" customWidth="1"/>
    <col min="7166" max="7166" width="11.7109375" style="33" customWidth="1"/>
    <col min="7167" max="7167" width="9.7109375" style="33" customWidth="1"/>
    <col min="7168" max="7168" width="13.42578125" style="33" customWidth="1"/>
    <col min="7169" max="7169" width="14.7109375" style="33" customWidth="1"/>
    <col min="7170" max="7171" width="15.28515625" style="33" customWidth="1"/>
    <col min="7172" max="7172" width="20.7109375" style="33" customWidth="1"/>
    <col min="7173" max="7173" width="11.28515625" style="33" customWidth="1"/>
    <col min="7174" max="7174" width="10" style="33" customWidth="1"/>
    <col min="7175" max="7175" width="6.7109375" style="33" customWidth="1"/>
    <col min="7176" max="7176" width="13.28515625" style="33" customWidth="1"/>
    <col min="7177" max="7177" width="12.7109375" style="33" customWidth="1"/>
    <col min="7178" max="7178" width="9.28515625" style="33"/>
    <col min="7179" max="7179" width="11.42578125" style="33" customWidth="1"/>
    <col min="7180" max="7416" width="9.28515625" style="33"/>
    <col min="7417" max="7417" width="3.28515625" style="33" customWidth="1"/>
    <col min="7418" max="7418" width="40.7109375" style="33" customWidth="1"/>
    <col min="7419" max="7419" width="41.7109375" style="33" customWidth="1"/>
    <col min="7420" max="7420" width="11" style="33" customWidth="1"/>
    <col min="7421" max="7421" width="15.7109375" style="33" customWidth="1"/>
    <col min="7422" max="7422" width="11.7109375" style="33" customWidth="1"/>
    <col min="7423" max="7423" width="9.7109375" style="33" customWidth="1"/>
    <col min="7424" max="7424" width="13.42578125" style="33" customWidth="1"/>
    <col min="7425" max="7425" width="14.7109375" style="33" customWidth="1"/>
    <col min="7426" max="7427" width="15.28515625" style="33" customWidth="1"/>
    <col min="7428" max="7428" width="20.7109375" style="33" customWidth="1"/>
    <col min="7429" max="7429" width="11.28515625" style="33" customWidth="1"/>
    <col min="7430" max="7430" width="10" style="33" customWidth="1"/>
    <col min="7431" max="7431" width="6.7109375" style="33" customWidth="1"/>
    <col min="7432" max="7432" width="13.28515625" style="33" customWidth="1"/>
    <col min="7433" max="7433" width="12.7109375" style="33" customWidth="1"/>
    <col min="7434" max="7434" width="9.28515625" style="33"/>
    <col min="7435" max="7435" width="11.42578125" style="33" customWidth="1"/>
    <col min="7436" max="7672" width="9.28515625" style="33"/>
    <col min="7673" max="7673" width="3.28515625" style="33" customWidth="1"/>
    <col min="7674" max="7674" width="40.7109375" style="33" customWidth="1"/>
    <col min="7675" max="7675" width="41.7109375" style="33" customWidth="1"/>
    <col min="7676" max="7676" width="11" style="33" customWidth="1"/>
    <col min="7677" max="7677" width="15.7109375" style="33" customWidth="1"/>
    <col min="7678" max="7678" width="11.7109375" style="33" customWidth="1"/>
    <col min="7679" max="7679" width="9.7109375" style="33" customWidth="1"/>
    <col min="7680" max="7680" width="13.42578125" style="33" customWidth="1"/>
    <col min="7681" max="7681" width="14.7109375" style="33" customWidth="1"/>
    <col min="7682" max="7683" width="15.28515625" style="33" customWidth="1"/>
    <col min="7684" max="7684" width="20.7109375" style="33" customWidth="1"/>
    <col min="7685" max="7685" width="11.28515625" style="33" customWidth="1"/>
    <col min="7686" max="7686" width="10" style="33" customWidth="1"/>
    <col min="7687" max="7687" width="6.7109375" style="33" customWidth="1"/>
    <col min="7688" max="7688" width="13.28515625" style="33" customWidth="1"/>
    <col min="7689" max="7689" width="12.7109375" style="33" customWidth="1"/>
    <col min="7690" max="7690" width="9.28515625" style="33"/>
    <col min="7691" max="7691" width="11.42578125" style="33" customWidth="1"/>
    <col min="7692" max="7928" width="9.28515625" style="33"/>
    <col min="7929" max="7929" width="3.28515625" style="33" customWidth="1"/>
    <col min="7930" max="7930" width="40.7109375" style="33" customWidth="1"/>
    <col min="7931" max="7931" width="41.7109375" style="33" customWidth="1"/>
    <col min="7932" max="7932" width="11" style="33" customWidth="1"/>
    <col min="7933" max="7933" width="15.7109375" style="33" customWidth="1"/>
    <col min="7934" max="7934" width="11.7109375" style="33" customWidth="1"/>
    <col min="7935" max="7935" width="9.7109375" style="33" customWidth="1"/>
    <col min="7936" max="7936" width="13.42578125" style="33" customWidth="1"/>
    <col min="7937" max="7937" width="14.7109375" style="33" customWidth="1"/>
    <col min="7938" max="7939" width="15.28515625" style="33" customWidth="1"/>
    <col min="7940" max="7940" width="20.7109375" style="33" customWidth="1"/>
    <col min="7941" max="7941" width="11.28515625" style="33" customWidth="1"/>
    <col min="7942" max="7942" width="10" style="33" customWidth="1"/>
    <col min="7943" max="7943" width="6.7109375" style="33" customWidth="1"/>
    <col min="7944" max="7944" width="13.28515625" style="33" customWidth="1"/>
    <col min="7945" max="7945" width="12.7109375" style="33" customWidth="1"/>
    <col min="7946" max="7946" width="9.28515625" style="33"/>
    <col min="7947" max="7947" width="11.42578125" style="33" customWidth="1"/>
    <col min="7948" max="8184" width="9.28515625" style="33"/>
    <col min="8185" max="8185" width="3.28515625" style="33" customWidth="1"/>
    <col min="8186" max="8186" width="40.7109375" style="33" customWidth="1"/>
    <col min="8187" max="8187" width="41.7109375" style="33" customWidth="1"/>
    <col min="8188" max="8188" width="11" style="33" customWidth="1"/>
    <col min="8189" max="8189" width="15.7109375" style="33" customWidth="1"/>
    <col min="8190" max="8190" width="11.7109375" style="33" customWidth="1"/>
    <col min="8191" max="8191" width="9.7109375" style="33" customWidth="1"/>
    <col min="8192" max="8192" width="13.42578125" style="33" customWidth="1"/>
    <col min="8193" max="8193" width="14.7109375" style="33" customWidth="1"/>
    <col min="8194" max="8195" width="15.28515625" style="33" customWidth="1"/>
    <col min="8196" max="8196" width="20.7109375" style="33" customWidth="1"/>
    <col min="8197" max="8197" width="11.28515625" style="33" customWidth="1"/>
    <col min="8198" max="8198" width="10" style="33" customWidth="1"/>
    <col min="8199" max="8199" width="6.7109375" style="33" customWidth="1"/>
    <col min="8200" max="8200" width="13.28515625" style="33" customWidth="1"/>
    <col min="8201" max="8201" width="12.7109375" style="33" customWidth="1"/>
    <col min="8202" max="8202" width="9.28515625" style="33"/>
    <col min="8203" max="8203" width="11.42578125" style="33" customWidth="1"/>
    <col min="8204" max="8440" width="9.28515625" style="33"/>
    <col min="8441" max="8441" width="3.28515625" style="33" customWidth="1"/>
    <col min="8442" max="8442" width="40.7109375" style="33" customWidth="1"/>
    <col min="8443" max="8443" width="41.7109375" style="33" customWidth="1"/>
    <col min="8444" max="8444" width="11" style="33" customWidth="1"/>
    <col min="8445" max="8445" width="15.7109375" style="33" customWidth="1"/>
    <col min="8446" max="8446" width="11.7109375" style="33" customWidth="1"/>
    <col min="8447" max="8447" width="9.7109375" style="33" customWidth="1"/>
    <col min="8448" max="8448" width="13.42578125" style="33" customWidth="1"/>
    <col min="8449" max="8449" width="14.7109375" style="33" customWidth="1"/>
    <col min="8450" max="8451" width="15.28515625" style="33" customWidth="1"/>
    <col min="8452" max="8452" width="20.7109375" style="33" customWidth="1"/>
    <col min="8453" max="8453" width="11.28515625" style="33" customWidth="1"/>
    <col min="8454" max="8454" width="10" style="33" customWidth="1"/>
    <col min="8455" max="8455" width="6.7109375" style="33" customWidth="1"/>
    <col min="8456" max="8456" width="13.28515625" style="33" customWidth="1"/>
    <col min="8457" max="8457" width="12.7109375" style="33" customWidth="1"/>
    <col min="8458" max="8458" width="9.28515625" style="33"/>
    <col min="8459" max="8459" width="11.42578125" style="33" customWidth="1"/>
    <col min="8460" max="8696" width="9.28515625" style="33"/>
    <col min="8697" max="8697" width="3.28515625" style="33" customWidth="1"/>
    <col min="8698" max="8698" width="40.7109375" style="33" customWidth="1"/>
    <col min="8699" max="8699" width="41.7109375" style="33" customWidth="1"/>
    <col min="8700" max="8700" width="11" style="33" customWidth="1"/>
    <col min="8701" max="8701" width="15.7109375" style="33" customWidth="1"/>
    <col min="8702" max="8702" width="11.7109375" style="33" customWidth="1"/>
    <col min="8703" max="8703" width="9.7109375" style="33" customWidth="1"/>
    <col min="8704" max="8704" width="13.42578125" style="33" customWidth="1"/>
    <col min="8705" max="8705" width="14.7109375" style="33" customWidth="1"/>
    <col min="8706" max="8707" width="15.28515625" style="33" customWidth="1"/>
    <col min="8708" max="8708" width="20.7109375" style="33" customWidth="1"/>
    <col min="8709" max="8709" width="11.28515625" style="33" customWidth="1"/>
    <col min="8710" max="8710" width="10" style="33" customWidth="1"/>
    <col min="8711" max="8711" width="6.7109375" style="33" customWidth="1"/>
    <col min="8712" max="8712" width="13.28515625" style="33" customWidth="1"/>
    <col min="8713" max="8713" width="12.7109375" style="33" customWidth="1"/>
    <col min="8714" max="8714" width="9.28515625" style="33"/>
    <col min="8715" max="8715" width="11.42578125" style="33" customWidth="1"/>
    <col min="8716" max="8952" width="9.28515625" style="33"/>
    <col min="8953" max="8953" width="3.28515625" style="33" customWidth="1"/>
    <col min="8954" max="8954" width="40.7109375" style="33" customWidth="1"/>
    <col min="8955" max="8955" width="41.7109375" style="33" customWidth="1"/>
    <col min="8956" max="8956" width="11" style="33" customWidth="1"/>
    <col min="8957" max="8957" width="15.7109375" style="33" customWidth="1"/>
    <col min="8958" max="8958" width="11.7109375" style="33" customWidth="1"/>
    <col min="8959" max="8959" width="9.7109375" style="33" customWidth="1"/>
    <col min="8960" max="8960" width="13.42578125" style="33" customWidth="1"/>
    <col min="8961" max="8961" width="14.7109375" style="33" customWidth="1"/>
    <col min="8962" max="8963" width="15.28515625" style="33" customWidth="1"/>
    <col min="8964" max="8964" width="20.7109375" style="33" customWidth="1"/>
    <col min="8965" max="8965" width="11.28515625" style="33" customWidth="1"/>
    <col min="8966" max="8966" width="10" style="33" customWidth="1"/>
    <col min="8967" max="8967" width="6.7109375" style="33" customWidth="1"/>
    <col min="8968" max="8968" width="13.28515625" style="33" customWidth="1"/>
    <col min="8969" max="8969" width="12.7109375" style="33" customWidth="1"/>
    <col min="8970" max="8970" width="9.28515625" style="33"/>
    <col min="8971" max="8971" width="11.42578125" style="33" customWidth="1"/>
    <col min="8972" max="9208" width="9.28515625" style="33"/>
    <col min="9209" max="9209" width="3.28515625" style="33" customWidth="1"/>
    <col min="9210" max="9210" width="40.7109375" style="33" customWidth="1"/>
    <col min="9211" max="9211" width="41.7109375" style="33" customWidth="1"/>
    <col min="9212" max="9212" width="11" style="33" customWidth="1"/>
    <col min="9213" max="9213" width="15.7109375" style="33" customWidth="1"/>
    <col min="9214" max="9214" width="11.7109375" style="33" customWidth="1"/>
    <col min="9215" max="9215" width="9.7109375" style="33" customWidth="1"/>
    <col min="9216" max="9216" width="13.42578125" style="33" customWidth="1"/>
    <col min="9217" max="9217" width="14.7109375" style="33" customWidth="1"/>
    <col min="9218" max="9219" width="15.28515625" style="33" customWidth="1"/>
    <col min="9220" max="9220" width="20.7109375" style="33" customWidth="1"/>
    <col min="9221" max="9221" width="11.28515625" style="33" customWidth="1"/>
    <col min="9222" max="9222" width="10" style="33" customWidth="1"/>
    <col min="9223" max="9223" width="6.7109375" style="33" customWidth="1"/>
    <col min="9224" max="9224" width="13.28515625" style="33" customWidth="1"/>
    <col min="9225" max="9225" width="12.7109375" style="33" customWidth="1"/>
    <col min="9226" max="9226" width="9.28515625" style="33"/>
    <col min="9227" max="9227" width="11.42578125" style="33" customWidth="1"/>
    <col min="9228" max="9464" width="9.28515625" style="33"/>
    <col min="9465" max="9465" width="3.28515625" style="33" customWidth="1"/>
    <col min="9466" max="9466" width="40.7109375" style="33" customWidth="1"/>
    <col min="9467" max="9467" width="41.7109375" style="33" customWidth="1"/>
    <col min="9468" max="9468" width="11" style="33" customWidth="1"/>
    <col min="9469" max="9469" width="15.7109375" style="33" customWidth="1"/>
    <col min="9470" max="9470" width="11.7109375" style="33" customWidth="1"/>
    <col min="9471" max="9471" width="9.7109375" style="33" customWidth="1"/>
    <col min="9472" max="9472" width="13.42578125" style="33" customWidth="1"/>
    <col min="9473" max="9473" width="14.7109375" style="33" customWidth="1"/>
    <col min="9474" max="9475" width="15.28515625" style="33" customWidth="1"/>
    <col min="9476" max="9476" width="20.7109375" style="33" customWidth="1"/>
    <col min="9477" max="9477" width="11.28515625" style="33" customWidth="1"/>
    <col min="9478" max="9478" width="10" style="33" customWidth="1"/>
    <col min="9479" max="9479" width="6.7109375" style="33" customWidth="1"/>
    <col min="9480" max="9480" width="13.28515625" style="33" customWidth="1"/>
    <col min="9481" max="9481" width="12.7109375" style="33" customWidth="1"/>
    <col min="9482" max="9482" width="9.28515625" style="33"/>
    <col min="9483" max="9483" width="11.42578125" style="33" customWidth="1"/>
    <col min="9484" max="9720" width="9.28515625" style="33"/>
    <col min="9721" max="9721" width="3.28515625" style="33" customWidth="1"/>
    <col min="9722" max="9722" width="40.7109375" style="33" customWidth="1"/>
    <col min="9723" max="9723" width="41.7109375" style="33" customWidth="1"/>
    <col min="9724" max="9724" width="11" style="33" customWidth="1"/>
    <col min="9725" max="9725" width="15.7109375" style="33" customWidth="1"/>
    <col min="9726" max="9726" width="11.7109375" style="33" customWidth="1"/>
    <col min="9727" max="9727" width="9.7109375" style="33" customWidth="1"/>
    <col min="9728" max="9728" width="13.42578125" style="33" customWidth="1"/>
    <col min="9729" max="9729" width="14.7109375" style="33" customWidth="1"/>
    <col min="9730" max="9731" width="15.28515625" style="33" customWidth="1"/>
    <col min="9732" max="9732" width="20.7109375" style="33" customWidth="1"/>
    <col min="9733" max="9733" width="11.28515625" style="33" customWidth="1"/>
    <col min="9734" max="9734" width="10" style="33" customWidth="1"/>
    <col min="9735" max="9735" width="6.7109375" style="33" customWidth="1"/>
    <col min="9736" max="9736" width="13.28515625" style="33" customWidth="1"/>
    <col min="9737" max="9737" width="12.7109375" style="33" customWidth="1"/>
    <col min="9738" max="9738" width="9.28515625" style="33"/>
    <col min="9739" max="9739" width="11.42578125" style="33" customWidth="1"/>
    <col min="9740" max="9976" width="9.28515625" style="33"/>
    <col min="9977" max="9977" width="3.28515625" style="33" customWidth="1"/>
    <col min="9978" max="9978" width="40.7109375" style="33" customWidth="1"/>
    <col min="9979" max="9979" width="41.7109375" style="33" customWidth="1"/>
    <col min="9980" max="9980" width="11" style="33" customWidth="1"/>
    <col min="9981" max="9981" width="15.7109375" style="33" customWidth="1"/>
    <col min="9982" max="9982" width="11.7109375" style="33" customWidth="1"/>
    <col min="9983" max="9983" width="9.7109375" style="33" customWidth="1"/>
    <col min="9984" max="9984" width="13.42578125" style="33" customWidth="1"/>
    <col min="9985" max="9985" width="14.7109375" style="33" customWidth="1"/>
    <col min="9986" max="9987" width="15.28515625" style="33" customWidth="1"/>
    <col min="9988" max="9988" width="20.7109375" style="33" customWidth="1"/>
    <col min="9989" max="9989" width="11.28515625" style="33" customWidth="1"/>
    <col min="9990" max="9990" width="10" style="33" customWidth="1"/>
    <col min="9991" max="9991" width="6.7109375" style="33" customWidth="1"/>
    <col min="9992" max="9992" width="13.28515625" style="33" customWidth="1"/>
    <col min="9993" max="9993" width="12.7109375" style="33" customWidth="1"/>
    <col min="9994" max="9994" width="9.28515625" style="33"/>
    <col min="9995" max="9995" width="11.42578125" style="33" customWidth="1"/>
    <col min="9996" max="10232" width="9.28515625" style="33"/>
    <col min="10233" max="10233" width="3.28515625" style="33" customWidth="1"/>
    <col min="10234" max="10234" width="40.7109375" style="33" customWidth="1"/>
    <col min="10235" max="10235" width="41.7109375" style="33" customWidth="1"/>
    <col min="10236" max="10236" width="11" style="33" customWidth="1"/>
    <col min="10237" max="10237" width="15.7109375" style="33" customWidth="1"/>
    <col min="10238" max="10238" width="11.7109375" style="33" customWidth="1"/>
    <col min="10239" max="10239" width="9.7109375" style="33" customWidth="1"/>
    <col min="10240" max="10240" width="13.42578125" style="33" customWidth="1"/>
    <col min="10241" max="10241" width="14.7109375" style="33" customWidth="1"/>
    <col min="10242" max="10243" width="15.28515625" style="33" customWidth="1"/>
    <col min="10244" max="10244" width="20.7109375" style="33" customWidth="1"/>
    <col min="10245" max="10245" width="11.28515625" style="33" customWidth="1"/>
    <col min="10246" max="10246" width="10" style="33" customWidth="1"/>
    <col min="10247" max="10247" width="6.7109375" style="33" customWidth="1"/>
    <col min="10248" max="10248" width="13.28515625" style="33" customWidth="1"/>
    <col min="10249" max="10249" width="12.7109375" style="33" customWidth="1"/>
    <col min="10250" max="10250" width="9.28515625" style="33"/>
    <col min="10251" max="10251" width="11.42578125" style="33" customWidth="1"/>
    <col min="10252" max="10488" width="9.28515625" style="33"/>
    <col min="10489" max="10489" width="3.28515625" style="33" customWidth="1"/>
    <col min="10490" max="10490" width="40.7109375" style="33" customWidth="1"/>
    <col min="10491" max="10491" width="41.7109375" style="33" customWidth="1"/>
    <col min="10492" max="10492" width="11" style="33" customWidth="1"/>
    <col min="10493" max="10493" width="15.7109375" style="33" customWidth="1"/>
    <col min="10494" max="10494" width="11.7109375" style="33" customWidth="1"/>
    <col min="10495" max="10495" width="9.7109375" style="33" customWidth="1"/>
    <col min="10496" max="10496" width="13.42578125" style="33" customWidth="1"/>
    <col min="10497" max="10497" width="14.7109375" style="33" customWidth="1"/>
    <col min="10498" max="10499" width="15.28515625" style="33" customWidth="1"/>
    <col min="10500" max="10500" width="20.7109375" style="33" customWidth="1"/>
    <col min="10501" max="10501" width="11.28515625" style="33" customWidth="1"/>
    <col min="10502" max="10502" width="10" style="33" customWidth="1"/>
    <col min="10503" max="10503" width="6.7109375" style="33" customWidth="1"/>
    <col min="10504" max="10504" width="13.28515625" style="33" customWidth="1"/>
    <col min="10505" max="10505" width="12.7109375" style="33" customWidth="1"/>
    <col min="10506" max="10506" width="9.28515625" style="33"/>
    <col min="10507" max="10507" width="11.42578125" style="33" customWidth="1"/>
    <col min="10508" max="10744" width="9.28515625" style="33"/>
    <col min="10745" max="10745" width="3.28515625" style="33" customWidth="1"/>
    <col min="10746" max="10746" width="40.7109375" style="33" customWidth="1"/>
    <col min="10747" max="10747" width="41.7109375" style="33" customWidth="1"/>
    <col min="10748" max="10748" width="11" style="33" customWidth="1"/>
    <col min="10749" max="10749" width="15.7109375" style="33" customWidth="1"/>
    <col min="10750" max="10750" width="11.7109375" style="33" customWidth="1"/>
    <col min="10751" max="10751" width="9.7109375" style="33" customWidth="1"/>
    <col min="10752" max="10752" width="13.42578125" style="33" customWidth="1"/>
    <col min="10753" max="10753" width="14.7109375" style="33" customWidth="1"/>
    <col min="10754" max="10755" width="15.28515625" style="33" customWidth="1"/>
    <col min="10756" max="10756" width="20.7109375" style="33" customWidth="1"/>
    <col min="10757" max="10757" width="11.28515625" style="33" customWidth="1"/>
    <col min="10758" max="10758" width="10" style="33" customWidth="1"/>
    <col min="10759" max="10759" width="6.7109375" style="33" customWidth="1"/>
    <col min="10760" max="10760" width="13.28515625" style="33" customWidth="1"/>
    <col min="10761" max="10761" width="12.7109375" style="33" customWidth="1"/>
    <col min="10762" max="10762" width="9.28515625" style="33"/>
    <col min="10763" max="10763" width="11.42578125" style="33" customWidth="1"/>
    <col min="10764" max="11000" width="9.28515625" style="33"/>
    <col min="11001" max="11001" width="3.28515625" style="33" customWidth="1"/>
    <col min="11002" max="11002" width="40.7109375" style="33" customWidth="1"/>
    <col min="11003" max="11003" width="41.7109375" style="33" customWidth="1"/>
    <col min="11004" max="11004" width="11" style="33" customWidth="1"/>
    <col min="11005" max="11005" width="15.7109375" style="33" customWidth="1"/>
    <col min="11006" max="11006" width="11.7109375" style="33" customWidth="1"/>
    <col min="11007" max="11007" width="9.7109375" style="33" customWidth="1"/>
    <col min="11008" max="11008" width="13.42578125" style="33" customWidth="1"/>
    <col min="11009" max="11009" width="14.7109375" style="33" customWidth="1"/>
    <col min="11010" max="11011" width="15.28515625" style="33" customWidth="1"/>
    <col min="11012" max="11012" width="20.7109375" style="33" customWidth="1"/>
    <col min="11013" max="11013" width="11.28515625" style="33" customWidth="1"/>
    <col min="11014" max="11014" width="10" style="33" customWidth="1"/>
    <col min="11015" max="11015" width="6.7109375" style="33" customWidth="1"/>
    <col min="11016" max="11016" width="13.28515625" style="33" customWidth="1"/>
    <col min="11017" max="11017" width="12.7109375" style="33" customWidth="1"/>
    <col min="11018" max="11018" width="9.28515625" style="33"/>
    <col min="11019" max="11019" width="11.42578125" style="33" customWidth="1"/>
    <col min="11020" max="11256" width="9.28515625" style="33"/>
    <col min="11257" max="11257" width="3.28515625" style="33" customWidth="1"/>
    <col min="11258" max="11258" width="40.7109375" style="33" customWidth="1"/>
    <col min="11259" max="11259" width="41.7109375" style="33" customWidth="1"/>
    <col min="11260" max="11260" width="11" style="33" customWidth="1"/>
    <col min="11261" max="11261" width="15.7109375" style="33" customWidth="1"/>
    <col min="11262" max="11262" width="11.7109375" style="33" customWidth="1"/>
    <col min="11263" max="11263" width="9.7109375" style="33" customWidth="1"/>
    <col min="11264" max="11264" width="13.42578125" style="33" customWidth="1"/>
    <col min="11265" max="11265" width="14.7109375" style="33" customWidth="1"/>
    <col min="11266" max="11267" width="15.28515625" style="33" customWidth="1"/>
    <col min="11268" max="11268" width="20.7109375" style="33" customWidth="1"/>
    <col min="11269" max="11269" width="11.28515625" style="33" customWidth="1"/>
    <col min="11270" max="11270" width="10" style="33" customWidth="1"/>
    <col min="11271" max="11271" width="6.7109375" style="33" customWidth="1"/>
    <col min="11272" max="11272" width="13.28515625" style="33" customWidth="1"/>
    <col min="11273" max="11273" width="12.7109375" style="33" customWidth="1"/>
    <col min="11274" max="11274" width="9.28515625" style="33"/>
    <col min="11275" max="11275" width="11.42578125" style="33" customWidth="1"/>
    <col min="11276" max="11512" width="9.28515625" style="33"/>
    <col min="11513" max="11513" width="3.28515625" style="33" customWidth="1"/>
    <col min="11514" max="11514" width="40.7109375" style="33" customWidth="1"/>
    <col min="11515" max="11515" width="41.7109375" style="33" customWidth="1"/>
    <col min="11516" max="11516" width="11" style="33" customWidth="1"/>
    <col min="11517" max="11517" width="15.7109375" style="33" customWidth="1"/>
    <col min="11518" max="11518" width="11.7109375" style="33" customWidth="1"/>
    <col min="11519" max="11519" width="9.7109375" style="33" customWidth="1"/>
    <col min="11520" max="11520" width="13.42578125" style="33" customWidth="1"/>
    <col min="11521" max="11521" width="14.7109375" style="33" customWidth="1"/>
    <col min="11522" max="11523" width="15.28515625" style="33" customWidth="1"/>
    <col min="11524" max="11524" width="20.7109375" style="33" customWidth="1"/>
    <col min="11525" max="11525" width="11.28515625" style="33" customWidth="1"/>
    <col min="11526" max="11526" width="10" style="33" customWidth="1"/>
    <col min="11527" max="11527" width="6.7109375" style="33" customWidth="1"/>
    <col min="11528" max="11528" width="13.28515625" style="33" customWidth="1"/>
    <col min="11529" max="11529" width="12.7109375" style="33" customWidth="1"/>
    <col min="11530" max="11530" width="9.28515625" style="33"/>
    <col min="11531" max="11531" width="11.42578125" style="33" customWidth="1"/>
    <col min="11532" max="11768" width="9.28515625" style="33"/>
    <col min="11769" max="11769" width="3.28515625" style="33" customWidth="1"/>
    <col min="11770" max="11770" width="40.7109375" style="33" customWidth="1"/>
    <col min="11771" max="11771" width="41.7109375" style="33" customWidth="1"/>
    <col min="11772" max="11772" width="11" style="33" customWidth="1"/>
    <col min="11773" max="11773" width="15.7109375" style="33" customWidth="1"/>
    <col min="11774" max="11774" width="11.7109375" style="33" customWidth="1"/>
    <col min="11775" max="11775" width="9.7109375" style="33" customWidth="1"/>
    <col min="11776" max="11776" width="13.42578125" style="33" customWidth="1"/>
    <col min="11777" max="11777" width="14.7109375" style="33" customWidth="1"/>
    <col min="11778" max="11779" width="15.28515625" style="33" customWidth="1"/>
    <col min="11780" max="11780" width="20.7109375" style="33" customWidth="1"/>
    <col min="11781" max="11781" width="11.28515625" style="33" customWidth="1"/>
    <col min="11782" max="11782" width="10" style="33" customWidth="1"/>
    <col min="11783" max="11783" width="6.7109375" style="33" customWidth="1"/>
    <col min="11784" max="11784" width="13.28515625" style="33" customWidth="1"/>
    <col min="11785" max="11785" width="12.7109375" style="33" customWidth="1"/>
    <col min="11786" max="11786" width="9.28515625" style="33"/>
    <col min="11787" max="11787" width="11.42578125" style="33" customWidth="1"/>
    <col min="11788" max="12024" width="9.28515625" style="33"/>
    <col min="12025" max="12025" width="3.28515625" style="33" customWidth="1"/>
    <col min="12026" max="12026" width="40.7109375" style="33" customWidth="1"/>
    <col min="12027" max="12027" width="41.7109375" style="33" customWidth="1"/>
    <col min="12028" max="12028" width="11" style="33" customWidth="1"/>
    <col min="12029" max="12029" width="15.7109375" style="33" customWidth="1"/>
    <col min="12030" max="12030" width="11.7109375" style="33" customWidth="1"/>
    <col min="12031" max="12031" width="9.7109375" style="33" customWidth="1"/>
    <col min="12032" max="12032" width="13.42578125" style="33" customWidth="1"/>
    <col min="12033" max="12033" width="14.7109375" style="33" customWidth="1"/>
    <col min="12034" max="12035" width="15.28515625" style="33" customWidth="1"/>
    <col min="12036" max="12036" width="20.7109375" style="33" customWidth="1"/>
    <col min="12037" max="12037" width="11.28515625" style="33" customWidth="1"/>
    <col min="12038" max="12038" width="10" style="33" customWidth="1"/>
    <col min="12039" max="12039" width="6.7109375" style="33" customWidth="1"/>
    <col min="12040" max="12040" width="13.28515625" style="33" customWidth="1"/>
    <col min="12041" max="12041" width="12.7109375" style="33" customWidth="1"/>
    <col min="12042" max="12042" width="9.28515625" style="33"/>
    <col min="12043" max="12043" width="11.42578125" style="33" customWidth="1"/>
    <col min="12044" max="12280" width="9.28515625" style="33"/>
    <col min="12281" max="12281" width="3.28515625" style="33" customWidth="1"/>
    <col min="12282" max="12282" width="40.7109375" style="33" customWidth="1"/>
    <col min="12283" max="12283" width="41.7109375" style="33" customWidth="1"/>
    <col min="12284" max="12284" width="11" style="33" customWidth="1"/>
    <col min="12285" max="12285" width="15.7109375" style="33" customWidth="1"/>
    <col min="12286" max="12286" width="11.7109375" style="33" customWidth="1"/>
    <col min="12287" max="12287" width="9.7109375" style="33" customWidth="1"/>
    <col min="12288" max="12288" width="13.42578125" style="33" customWidth="1"/>
    <col min="12289" max="12289" width="14.7109375" style="33" customWidth="1"/>
    <col min="12290" max="12291" width="15.28515625" style="33" customWidth="1"/>
    <col min="12292" max="12292" width="20.7109375" style="33" customWidth="1"/>
    <col min="12293" max="12293" width="11.28515625" style="33" customWidth="1"/>
    <col min="12294" max="12294" width="10" style="33" customWidth="1"/>
    <col min="12295" max="12295" width="6.7109375" style="33" customWidth="1"/>
    <col min="12296" max="12296" width="13.28515625" style="33" customWidth="1"/>
    <col min="12297" max="12297" width="12.7109375" style="33" customWidth="1"/>
    <col min="12298" max="12298" width="9.28515625" style="33"/>
    <col min="12299" max="12299" width="11.42578125" style="33" customWidth="1"/>
    <col min="12300" max="12536" width="9.28515625" style="33"/>
    <col min="12537" max="12537" width="3.28515625" style="33" customWidth="1"/>
    <col min="12538" max="12538" width="40.7109375" style="33" customWidth="1"/>
    <col min="12539" max="12539" width="41.7109375" style="33" customWidth="1"/>
    <col min="12540" max="12540" width="11" style="33" customWidth="1"/>
    <col min="12541" max="12541" width="15.7109375" style="33" customWidth="1"/>
    <col min="12542" max="12542" width="11.7109375" style="33" customWidth="1"/>
    <col min="12543" max="12543" width="9.7109375" style="33" customWidth="1"/>
    <col min="12544" max="12544" width="13.42578125" style="33" customWidth="1"/>
    <col min="12545" max="12545" width="14.7109375" style="33" customWidth="1"/>
    <col min="12546" max="12547" width="15.28515625" style="33" customWidth="1"/>
    <col min="12548" max="12548" width="20.7109375" style="33" customWidth="1"/>
    <col min="12549" max="12549" width="11.28515625" style="33" customWidth="1"/>
    <col min="12550" max="12550" width="10" style="33" customWidth="1"/>
    <col min="12551" max="12551" width="6.7109375" style="33" customWidth="1"/>
    <col min="12552" max="12552" width="13.28515625" style="33" customWidth="1"/>
    <col min="12553" max="12553" width="12.7109375" style="33" customWidth="1"/>
    <col min="12554" max="12554" width="9.28515625" style="33"/>
    <col min="12555" max="12555" width="11.42578125" style="33" customWidth="1"/>
    <col min="12556" max="12792" width="9.28515625" style="33"/>
    <col min="12793" max="12793" width="3.28515625" style="33" customWidth="1"/>
    <col min="12794" max="12794" width="40.7109375" style="33" customWidth="1"/>
    <col min="12795" max="12795" width="41.7109375" style="33" customWidth="1"/>
    <col min="12796" max="12796" width="11" style="33" customWidth="1"/>
    <col min="12797" max="12797" width="15.7109375" style="33" customWidth="1"/>
    <col min="12798" max="12798" width="11.7109375" style="33" customWidth="1"/>
    <col min="12799" max="12799" width="9.7109375" style="33" customWidth="1"/>
    <col min="12800" max="12800" width="13.42578125" style="33" customWidth="1"/>
    <col min="12801" max="12801" width="14.7109375" style="33" customWidth="1"/>
    <col min="12802" max="12803" width="15.28515625" style="33" customWidth="1"/>
    <col min="12804" max="12804" width="20.7109375" style="33" customWidth="1"/>
    <col min="12805" max="12805" width="11.28515625" style="33" customWidth="1"/>
    <col min="12806" max="12806" width="10" style="33" customWidth="1"/>
    <col min="12807" max="12807" width="6.7109375" style="33" customWidth="1"/>
    <col min="12808" max="12808" width="13.28515625" style="33" customWidth="1"/>
    <col min="12809" max="12809" width="12.7109375" style="33" customWidth="1"/>
    <col min="12810" max="12810" width="9.28515625" style="33"/>
    <col min="12811" max="12811" width="11.42578125" style="33" customWidth="1"/>
    <col min="12812" max="13048" width="9.28515625" style="33"/>
    <col min="13049" max="13049" width="3.28515625" style="33" customWidth="1"/>
    <col min="13050" max="13050" width="40.7109375" style="33" customWidth="1"/>
    <col min="13051" max="13051" width="41.7109375" style="33" customWidth="1"/>
    <col min="13052" max="13052" width="11" style="33" customWidth="1"/>
    <col min="13053" max="13053" width="15.7109375" style="33" customWidth="1"/>
    <col min="13054" max="13054" width="11.7109375" style="33" customWidth="1"/>
    <col min="13055" max="13055" width="9.7109375" style="33" customWidth="1"/>
    <col min="13056" max="13056" width="13.42578125" style="33" customWidth="1"/>
    <col min="13057" max="13057" width="14.7109375" style="33" customWidth="1"/>
    <col min="13058" max="13059" width="15.28515625" style="33" customWidth="1"/>
    <col min="13060" max="13060" width="20.7109375" style="33" customWidth="1"/>
    <col min="13061" max="13061" width="11.28515625" style="33" customWidth="1"/>
    <col min="13062" max="13062" width="10" style="33" customWidth="1"/>
    <col min="13063" max="13063" width="6.7109375" style="33" customWidth="1"/>
    <col min="13064" max="13064" width="13.28515625" style="33" customWidth="1"/>
    <col min="13065" max="13065" width="12.7109375" style="33" customWidth="1"/>
    <col min="13066" max="13066" width="9.28515625" style="33"/>
    <col min="13067" max="13067" width="11.42578125" style="33" customWidth="1"/>
    <col min="13068" max="13304" width="9.28515625" style="33"/>
    <col min="13305" max="13305" width="3.28515625" style="33" customWidth="1"/>
    <col min="13306" max="13306" width="40.7109375" style="33" customWidth="1"/>
    <col min="13307" max="13307" width="41.7109375" style="33" customWidth="1"/>
    <col min="13308" max="13308" width="11" style="33" customWidth="1"/>
    <col min="13309" max="13309" width="15.7109375" style="33" customWidth="1"/>
    <col min="13310" max="13310" width="11.7109375" style="33" customWidth="1"/>
    <col min="13311" max="13311" width="9.7109375" style="33" customWidth="1"/>
    <col min="13312" max="13312" width="13.42578125" style="33" customWidth="1"/>
    <col min="13313" max="13313" width="14.7109375" style="33" customWidth="1"/>
    <col min="13314" max="13315" width="15.28515625" style="33" customWidth="1"/>
    <col min="13316" max="13316" width="20.7109375" style="33" customWidth="1"/>
    <col min="13317" max="13317" width="11.28515625" style="33" customWidth="1"/>
    <col min="13318" max="13318" width="10" style="33" customWidth="1"/>
    <col min="13319" max="13319" width="6.7109375" style="33" customWidth="1"/>
    <col min="13320" max="13320" width="13.28515625" style="33" customWidth="1"/>
    <col min="13321" max="13321" width="12.7109375" style="33" customWidth="1"/>
    <col min="13322" max="13322" width="9.28515625" style="33"/>
    <col min="13323" max="13323" width="11.42578125" style="33" customWidth="1"/>
    <col min="13324" max="13560" width="9.28515625" style="33"/>
    <col min="13561" max="13561" width="3.28515625" style="33" customWidth="1"/>
    <col min="13562" max="13562" width="40.7109375" style="33" customWidth="1"/>
    <col min="13563" max="13563" width="41.7109375" style="33" customWidth="1"/>
    <col min="13564" max="13564" width="11" style="33" customWidth="1"/>
    <col min="13565" max="13565" width="15.7109375" style="33" customWidth="1"/>
    <col min="13566" max="13566" width="11.7109375" style="33" customWidth="1"/>
    <col min="13567" max="13567" width="9.7109375" style="33" customWidth="1"/>
    <col min="13568" max="13568" width="13.42578125" style="33" customWidth="1"/>
    <col min="13569" max="13569" width="14.7109375" style="33" customWidth="1"/>
    <col min="13570" max="13571" width="15.28515625" style="33" customWidth="1"/>
    <col min="13572" max="13572" width="20.7109375" style="33" customWidth="1"/>
    <col min="13573" max="13573" width="11.28515625" style="33" customWidth="1"/>
    <col min="13574" max="13574" width="10" style="33" customWidth="1"/>
    <col min="13575" max="13575" width="6.7109375" style="33" customWidth="1"/>
    <col min="13576" max="13576" width="13.28515625" style="33" customWidth="1"/>
    <col min="13577" max="13577" width="12.7109375" style="33" customWidth="1"/>
    <col min="13578" max="13578" width="9.28515625" style="33"/>
    <col min="13579" max="13579" width="11.42578125" style="33" customWidth="1"/>
    <col min="13580" max="13816" width="9.28515625" style="33"/>
    <col min="13817" max="13817" width="3.28515625" style="33" customWidth="1"/>
    <col min="13818" max="13818" width="40.7109375" style="33" customWidth="1"/>
    <col min="13819" max="13819" width="41.7109375" style="33" customWidth="1"/>
    <col min="13820" max="13820" width="11" style="33" customWidth="1"/>
    <col min="13821" max="13821" width="15.7109375" style="33" customWidth="1"/>
    <col min="13822" max="13822" width="11.7109375" style="33" customWidth="1"/>
    <col min="13823" max="13823" width="9.7109375" style="33" customWidth="1"/>
    <col min="13824" max="13824" width="13.42578125" style="33" customWidth="1"/>
    <col min="13825" max="13825" width="14.7109375" style="33" customWidth="1"/>
    <col min="13826" max="13827" width="15.28515625" style="33" customWidth="1"/>
    <col min="13828" max="13828" width="20.7109375" style="33" customWidth="1"/>
    <col min="13829" max="13829" width="11.28515625" style="33" customWidth="1"/>
    <col min="13830" max="13830" width="10" style="33" customWidth="1"/>
    <col min="13831" max="13831" width="6.7109375" style="33" customWidth="1"/>
    <col min="13832" max="13832" width="13.28515625" style="33" customWidth="1"/>
    <col min="13833" max="13833" width="12.7109375" style="33" customWidth="1"/>
    <col min="13834" max="13834" width="9.28515625" style="33"/>
    <col min="13835" max="13835" width="11.42578125" style="33" customWidth="1"/>
    <col min="13836" max="14072" width="9.28515625" style="33"/>
    <col min="14073" max="14073" width="3.28515625" style="33" customWidth="1"/>
    <col min="14074" max="14074" width="40.7109375" style="33" customWidth="1"/>
    <col min="14075" max="14075" width="41.7109375" style="33" customWidth="1"/>
    <col min="14076" max="14076" width="11" style="33" customWidth="1"/>
    <col min="14077" max="14077" width="15.7109375" style="33" customWidth="1"/>
    <col min="14078" max="14078" width="11.7109375" style="33" customWidth="1"/>
    <col min="14079" max="14079" width="9.7109375" style="33" customWidth="1"/>
    <col min="14080" max="14080" width="13.42578125" style="33" customWidth="1"/>
    <col min="14081" max="14081" width="14.7109375" style="33" customWidth="1"/>
    <col min="14082" max="14083" width="15.28515625" style="33" customWidth="1"/>
    <col min="14084" max="14084" width="20.7109375" style="33" customWidth="1"/>
    <col min="14085" max="14085" width="11.28515625" style="33" customWidth="1"/>
    <col min="14086" max="14086" width="10" style="33" customWidth="1"/>
    <col min="14087" max="14087" width="6.7109375" style="33" customWidth="1"/>
    <col min="14088" max="14088" width="13.28515625" style="33" customWidth="1"/>
    <col min="14089" max="14089" width="12.7109375" style="33" customWidth="1"/>
    <col min="14090" max="14090" width="9.28515625" style="33"/>
    <col min="14091" max="14091" width="11.42578125" style="33" customWidth="1"/>
    <col min="14092" max="14328" width="9.28515625" style="33"/>
    <col min="14329" max="14329" width="3.28515625" style="33" customWidth="1"/>
    <col min="14330" max="14330" width="40.7109375" style="33" customWidth="1"/>
    <col min="14331" max="14331" width="41.7109375" style="33" customWidth="1"/>
    <col min="14332" max="14332" width="11" style="33" customWidth="1"/>
    <col min="14333" max="14333" width="15.7109375" style="33" customWidth="1"/>
    <col min="14334" max="14334" width="11.7109375" style="33" customWidth="1"/>
    <col min="14335" max="14335" width="9.7109375" style="33" customWidth="1"/>
    <col min="14336" max="14336" width="13.42578125" style="33" customWidth="1"/>
    <col min="14337" max="14337" width="14.7109375" style="33" customWidth="1"/>
    <col min="14338" max="14339" width="15.28515625" style="33" customWidth="1"/>
    <col min="14340" max="14340" width="20.7109375" style="33" customWidth="1"/>
    <col min="14341" max="14341" width="11.28515625" style="33" customWidth="1"/>
    <col min="14342" max="14342" width="10" style="33" customWidth="1"/>
    <col min="14343" max="14343" width="6.7109375" style="33" customWidth="1"/>
    <col min="14344" max="14344" width="13.28515625" style="33" customWidth="1"/>
    <col min="14345" max="14345" width="12.7109375" style="33" customWidth="1"/>
    <col min="14346" max="14346" width="9.28515625" style="33"/>
    <col min="14347" max="14347" width="11.42578125" style="33" customWidth="1"/>
    <col min="14348" max="14584" width="9.28515625" style="33"/>
    <col min="14585" max="14585" width="3.28515625" style="33" customWidth="1"/>
    <col min="14586" max="14586" width="40.7109375" style="33" customWidth="1"/>
    <col min="14587" max="14587" width="41.7109375" style="33" customWidth="1"/>
    <col min="14588" max="14588" width="11" style="33" customWidth="1"/>
    <col min="14589" max="14589" width="15.7109375" style="33" customWidth="1"/>
    <col min="14590" max="14590" width="11.7109375" style="33" customWidth="1"/>
    <col min="14591" max="14591" width="9.7109375" style="33" customWidth="1"/>
    <col min="14592" max="14592" width="13.42578125" style="33" customWidth="1"/>
    <col min="14593" max="14593" width="14.7109375" style="33" customWidth="1"/>
    <col min="14594" max="14595" width="15.28515625" style="33" customWidth="1"/>
    <col min="14596" max="14596" width="20.7109375" style="33" customWidth="1"/>
    <col min="14597" max="14597" width="11.28515625" style="33" customWidth="1"/>
    <col min="14598" max="14598" width="10" style="33" customWidth="1"/>
    <col min="14599" max="14599" width="6.7109375" style="33" customWidth="1"/>
    <col min="14600" max="14600" width="13.28515625" style="33" customWidth="1"/>
    <col min="14601" max="14601" width="12.7109375" style="33" customWidth="1"/>
    <col min="14602" max="14602" width="9.28515625" style="33"/>
    <col min="14603" max="14603" width="11.42578125" style="33" customWidth="1"/>
    <col min="14604" max="14840" width="9.28515625" style="33"/>
    <col min="14841" max="14841" width="3.28515625" style="33" customWidth="1"/>
    <col min="14842" max="14842" width="40.7109375" style="33" customWidth="1"/>
    <col min="14843" max="14843" width="41.7109375" style="33" customWidth="1"/>
    <col min="14844" max="14844" width="11" style="33" customWidth="1"/>
    <col min="14845" max="14845" width="15.7109375" style="33" customWidth="1"/>
    <col min="14846" max="14846" width="11.7109375" style="33" customWidth="1"/>
    <col min="14847" max="14847" width="9.7109375" style="33" customWidth="1"/>
    <col min="14848" max="14848" width="13.42578125" style="33" customWidth="1"/>
    <col min="14849" max="14849" width="14.7109375" style="33" customWidth="1"/>
    <col min="14850" max="14851" width="15.28515625" style="33" customWidth="1"/>
    <col min="14852" max="14852" width="20.7109375" style="33" customWidth="1"/>
    <col min="14853" max="14853" width="11.28515625" style="33" customWidth="1"/>
    <col min="14854" max="14854" width="10" style="33" customWidth="1"/>
    <col min="14855" max="14855" width="6.7109375" style="33" customWidth="1"/>
    <col min="14856" max="14856" width="13.28515625" style="33" customWidth="1"/>
    <col min="14857" max="14857" width="12.7109375" style="33" customWidth="1"/>
    <col min="14858" max="14858" width="9.28515625" style="33"/>
    <col min="14859" max="14859" width="11.42578125" style="33" customWidth="1"/>
    <col min="14860" max="15096" width="9.28515625" style="33"/>
    <col min="15097" max="15097" width="3.28515625" style="33" customWidth="1"/>
    <col min="15098" max="15098" width="40.7109375" style="33" customWidth="1"/>
    <col min="15099" max="15099" width="41.7109375" style="33" customWidth="1"/>
    <col min="15100" max="15100" width="11" style="33" customWidth="1"/>
    <col min="15101" max="15101" width="15.7109375" style="33" customWidth="1"/>
    <col min="15102" max="15102" width="11.7109375" style="33" customWidth="1"/>
    <col min="15103" max="15103" width="9.7109375" style="33" customWidth="1"/>
    <col min="15104" max="15104" width="13.42578125" style="33" customWidth="1"/>
    <col min="15105" max="15105" width="14.7109375" style="33" customWidth="1"/>
    <col min="15106" max="15107" width="15.28515625" style="33" customWidth="1"/>
    <col min="15108" max="15108" width="20.7109375" style="33" customWidth="1"/>
    <col min="15109" max="15109" width="11.28515625" style="33" customWidth="1"/>
    <col min="15110" max="15110" width="10" style="33" customWidth="1"/>
    <col min="15111" max="15111" width="6.7109375" style="33" customWidth="1"/>
    <col min="15112" max="15112" width="13.28515625" style="33" customWidth="1"/>
    <col min="15113" max="15113" width="12.7109375" style="33" customWidth="1"/>
    <col min="15114" max="15114" width="9.28515625" style="33"/>
    <col min="15115" max="15115" width="11.42578125" style="33" customWidth="1"/>
    <col min="15116" max="15352" width="9.28515625" style="33"/>
    <col min="15353" max="15353" width="3.28515625" style="33" customWidth="1"/>
    <col min="15354" max="15354" width="40.7109375" style="33" customWidth="1"/>
    <col min="15355" max="15355" width="41.7109375" style="33" customWidth="1"/>
    <col min="15356" max="15356" width="11" style="33" customWidth="1"/>
    <col min="15357" max="15357" width="15.7109375" style="33" customWidth="1"/>
    <col min="15358" max="15358" width="11.7109375" style="33" customWidth="1"/>
    <col min="15359" max="15359" width="9.7109375" style="33" customWidth="1"/>
    <col min="15360" max="15360" width="13.42578125" style="33" customWidth="1"/>
    <col min="15361" max="15361" width="14.7109375" style="33" customWidth="1"/>
    <col min="15362" max="15363" width="15.28515625" style="33" customWidth="1"/>
    <col min="15364" max="15364" width="20.7109375" style="33" customWidth="1"/>
    <col min="15365" max="15365" width="11.28515625" style="33" customWidth="1"/>
    <col min="15366" max="15366" width="10" style="33" customWidth="1"/>
    <col min="15367" max="15367" width="6.7109375" style="33" customWidth="1"/>
    <col min="15368" max="15368" width="13.28515625" style="33" customWidth="1"/>
    <col min="15369" max="15369" width="12.7109375" style="33" customWidth="1"/>
    <col min="15370" max="15370" width="9.28515625" style="33"/>
    <col min="15371" max="15371" width="11.42578125" style="33" customWidth="1"/>
    <col min="15372" max="15608" width="9.28515625" style="33"/>
    <col min="15609" max="15609" width="3.28515625" style="33" customWidth="1"/>
    <col min="15610" max="15610" width="40.7109375" style="33" customWidth="1"/>
    <col min="15611" max="15611" width="41.7109375" style="33" customWidth="1"/>
    <col min="15612" max="15612" width="11" style="33" customWidth="1"/>
    <col min="15613" max="15613" width="15.7109375" style="33" customWidth="1"/>
    <col min="15614" max="15614" width="11.7109375" style="33" customWidth="1"/>
    <col min="15615" max="15615" width="9.7109375" style="33" customWidth="1"/>
    <col min="15616" max="15616" width="13.42578125" style="33" customWidth="1"/>
    <col min="15617" max="15617" width="14.7109375" style="33" customWidth="1"/>
    <col min="15618" max="15619" width="15.28515625" style="33" customWidth="1"/>
    <col min="15620" max="15620" width="20.7109375" style="33" customWidth="1"/>
    <col min="15621" max="15621" width="11.28515625" style="33" customWidth="1"/>
    <col min="15622" max="15622" width="10" style="33" customWidth="1"/>
    <col min="15623" max="15623" width="6.7109375" style="33" customWidth="1"/>
    <col min="15624" max="15624" width="13.28515625" style="33" customWidth="1"/>
    <col min="15625" max="15625" width="12.7109375" style="33" customWidth="1"/>
    <col min="15626" max="15626" width="9.28515625" style="33"/>
    <col min="15627" max="15627" width="11.42578125" style="33" customWidth="1"/>
    <col min="15628" max="15864" width="9.28515625" style="33"/>
    <col min="15865" max="15865" width="3.28515625" style="33" customWidth="1"/>
    <col min="15866" max="15866" width="40.7109375" style="33" customWidth="1"/>
    <col min="15867" max="15867" width="41.7109375" style="33" customWidth="1"/>
    <col min="15868" max="15868" width="11" style="33" customWidth="1"/>
    <col min="15869" max="15869" width="15.7109375" style="33" customWidth="1"/>
    <col min="15870" max="15870" width="11.7109375" style="33" customWidth="1"/>
    <col min="15871" max="15871" width="9.7109375" style="33" customWidth="1"/>
    <col min="15872" max="15872" width="13.42578125" style="33" customWidth="1"/>
    <col min="15873" max="15873" width="14.7109375" style="33" customWidth="1"/>
    <col min="15874" max="15875" width="15.28515625" style="33" customWidth="1"/>
    <col min="15876" max="15876" width="20.7109375" style="33" customWidth="1"/>
    <col min="15877" max="15877" width="11.28515625" style="33" customWidth="1"/>
    <col min="15878" max="15878" width="10" style="33" customWidth="1"/>
    <col min="15879" max="15879" width="6.7109375" style="33" customWidth="1"/>
    <col min="15880" max="15880" width="13.28515625" style="33" customWidth="1"/>
    <col min="15881" max="15881" width="12.7109375" style="33" customWidth="1"/>
    <col min="15882" max="15882" width="9.28515625" style="33"/>
    <col min="15883" max="15883" width="11.42578125" style="33" customWidth="1"/>
    <col min="15884" max="16120" width="9.28515625" style="33"/>
    <col min="16121" max="16121" width="3.28515625" style="33" customWidth="1"/>
    <col min="16122" max="16122" width="40.7109375" style="33" customWidth="1"/>
    <col min="16123" max="16123" width="41.7109375" style="33" customWidth="1"/>
    <col min="16124" max="16124" width="11" style="33" customWidth="1"/>
    <col min="16125" max="16125" width="15.7109375" style="33" customWidth="1"/>
    <col min="16126" max="16126" width="11.7109375" style="33" customWidth="1"/>
    <col min="16127" max="16127" width="9.7109375" style="33" customWidth="1"/>
    <col min="16128" max="16128" width="13.42578125" style="33" customWidth="1"/>
    <col min="16129" max="16129" width="14.7109375" style="33" customWidth="1"/>
    <col min="16130" max="16131" width="15.28515625" style="33" customWidth="1"/>
    <col min="16132" max="16132" width="20.7109375" style="33" customWidth="1"/>
    <col min="16133" max="16133" width="11.28515625" style="33" customWidth="1"/>
    <col min="16134" max="16134" width="10" style="33" customWidth="1"/>
    <col min="16135" max="16135" width="6.7109375" style="33" customWidth="1"/>
    <col min="16136" max="16136" width="13.28515625" style="33" customWidth="1"/>
    <col min="16137" max="16137" width="12.7109375" style="33" customWidth="1"/>
    <col min="16138" max="16138" width="9.28515625" style="33"/>
    <col min="16139" max="16139" width="11.42578125" style="33" customWidth="1"/>
    <col min="16140" max="16384" width="9.28515625" style="33"/>
  </cols>
  <sheetData>
    <row r="1" spans="1:64" s="35" customFormat="1" ht="19.5" customHeight="1" x14ac:dyDescent="0.25">
      <c r="A1" s="22"/>
      <c r="B1" s="148" t="s">
        <v>1110</v>
      </c>
      <c r="C1" s="22"/>
      <c r="D1" s="22"/>
      <c r="H1" s="36"/>
      <c r="L1" s="113" t="s">
        <v>1111</v>
      </c>
      <c r="M1" s="119"/>
      <c r="N1" s="119"/>
      <c r="O1" s="119"/>
      <c r="P1" s="119"/>
      <c r="AE1" s="37" t="s">
        <v>1112</v>
      </c>
      <c r="AF1" s="38"/>
      <c r="AG1" s="38"/>
      <c r="AH1" s="38"/>
      <c r="AI1" s="38"/>
      <c r="AJ1" s="38"/>
      <c r="AK1" s="38"/>
      <c r="AL1" s="38"/>
      <c r="AM1" s="38"/>
    </row>
    <row r="2" spans="1:64" s="35" customFormat="1" ht="15.75" customHeight="1" x14ac:dyDescent="0.3">
      <c r="A2" s="22"/>
      <c r="B2" s="544"/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B2" s="295"/>
      <c r="AE2" s="38"/>
      <c r="AF2" s="406" t="s">
        <v>400</v>
      </c>
      <c r="AG2" s="406" t="s">
        <v>479</v>
      </c>
      <c r="AH2" s="406" t="s">
        <v>394</v>
      </c>
      <c r="AI2" s="406" t="s">
        <v>470</v>
      </c>
      <c r="AJ2" s="406" t="s">
        <v>398</v>
      </c>
      <c r="AK2" s="406" t="s">
        <v>473</v>
      </c>
      <c r="AL2" s="406" t="s">
        <v>396</v>
      </c>
      <c r="AM2" s="406" t="s">
        <v>476</v>
      </c>
    </row>
    <row r="3" spans="1:64" s="35" customFormat="1" x14ac:dyDescent="0.25">
      <c r="H3" s="36"/>
      <c r="L3" s="170">
        <f>INFO!$C$5</f>
        <v>2019</v>
      </c>
      <c r="M3" s="218">
        <v>1</v>
      </c>
      <c r="N3" s="218">
        <f t="shared" ref="N3:AA3" si="0">M3</f>
        <v>1</v>
      </c>
      <c r="O3" s="218">
        <f t="shared" si="0"/>
        <v>1</v>
      </c>
      <c r="P3" s="218">
        <f t="shared" si="0"/>
        <v>1</v>
      </c>
      <c r="Q3" s="218">
        <f t="shared" si="0"/>
        <v>1</v>
      </c>
      <c r="R3" s="218">
        <f t="shared" si="0"/>
        <v>1</v>
      </c>
      <c r="S3" s="218">
        <f t="shared" si="0"/>
        <v>1</v>
      </c>
      <c r="T3" s="218">
        <f t="shared" si="0"/>
        <v>1</v>
      </c>
      <c r="U3" s="218">
        <f t="shared" si="0"/>
        <v>1</v>
      </c>
      <c r="V3" s="218">
        <f t="shared" si="0"/>
        <v>1</v>
      </c>
      <c r="W3" s="218">
        <f t="shared" si="0"/>
        <v>1</v>
      </c>
      <c r="X3" s="218">
        <f t="shared" si="0"/>
        <v>1</v>
      </c>
      <c r="Y3" s="218">
        <f t="shared" si="0"/>
        <v>1</v>
      </c>
      <c r="Z3" s="218">
        <f t="shared" si="0"/>
        <v>1</v>
      </c>
      <c r="AA3" s="218">
        <f t="shared" si="0"/>
        <v>1</v>
      </c>
      <c r="AB3" s="370"/>
      <c r="AE3" s="38">
        <v>2016</v>
      </c>
      <c r="AF3" s="39">
        <v>0.95</v>
      </c>
      <c r="AG3" s="39">
        <v>1</v>
      </c>
      <c r="AH3" s="39">
        <v>1</v>
      </c>
      <c r="AI3" s="39">
        <v>1</v>
      </c>
      <c r="AJ3" s="39">
        <v>1</v>
      </c>
      <c r="AK3" s="39">
        <v>1</v>
      </c>
      <c r="AL3" s="39">
        <v>1</v>
      </c>
      <c r="AM3" s="39">
        <v>1</v>
      </c>
    </row>
    <row r="4" spans="1:64" s="35" customFormat="1" x14ac:dyDescent="0.25">
      <c r="H4" s="36"/>
      <c r="L4" s="170">
        <f>L3+1</f>
        <v>2020</v>
      </c>
      <c r="M4" s="218">
        <v>2</v>
      </c>
      <c r="N4" s="218">
        <f t="shared" ref="N4:AA4" si="1">M4</f>
        <v>2</v>
      </c>
      <c r="O4" s="218">
        <f t="shared" si="1"/>
        <v>2</v>
      </c>
      <c r="P4" s="218">
        <f t="shared" si="1"/>
        <v>2</v>
      </c>
      <c r="Q4" s="218">
        <f t="shared" si="1"/>
        <v>2</v>
      </c>
      <c r="R4" s="218">
        <f t="shared" si="1"/>
        <v>2</v>
      </c>
      <c r="S4" s="218">
        <f t="shared" si="1"/>
        <v>2</v>
      </c>
      <c r="T4" s="218">
        <f t="shared" si="1"/>
        <v>2</v>
      </c>
      <c r="U4" s="218">
        <f t="shared" si="1"/>
        <v>2</v>
      </c>
      <c r="V4" s="218">
        <f t="shared" si="1"/>
        <v>2</v>
      </c>
      <c r="W4" s="218">
        <f t="shared" si="1"/>
        <v>2</v>
      </c>
      <c r="X4" s="218">
        <f t="shared" si="1"/>
        <v>2</v>
      </c>
      <c r="Y4" s="218">
        <f t="shared" si="1"/>
        <v>2</v>
      </c>
      <c r="Z4" s="218">
        <f t="shared" si="1"/>
        <v>2</v>
      </c>
      <c r="AA4" s="218">
        <f t="shared" si="1"/>
        <v>2</v>
      </c>
      <c r="AB4" s="370"/>
      <c r="AE4" s="38">
        <v>2020</v>
      </c>
      <c r="AF4" s="39">
        <v>0.8</v>
      </c>
      <c r="AG4" s="39">
        <v>0.95</v>
      </c>
      <c r="AH4" s="39">
        <v>0.95</v>
      </c>
      <c r="AI4" s="39">
        <v>0.95</v>
      </c>
      <c r="AJ4" s="39">
        <v>0.95</v>
      </c>
      <c r="AK4" s="39">
        <v>0.95</v>
      </c>
      <c r="AL4" s="39">
        <v>0.95</v>
      </c>
      <c r="AM4" s="39">
        <v>0.95</v>
      </c>
      <c r="AV4" s="471" t="s">
        <v>1052</v>
      </c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</row>
    <row r="5" spans="1:64" s="35" customFormat="1" x14ac:dyDescent="0.25">
      <c r="H5" s="36"/>
      <c r="L5" s="170">
        <v>2050</v>
      </c>
      <c r="M5" s="218">
        <v>10</v>
      </c>
      <c r="N5" s="218">
        <f t="shared" ref="N5:AA5" si="2">M5</f>
        <v>10</v>
      </c>
      <c r="O5" s="218">
        <f t="shared" si="2"/>
        <v>10</v>
      </c>
      <c r="P5" s="218">
        <f t="shared" si="2"/>
        <v>10</v>
      </c>
      <c r="Q5" s="218">
        <f t="shared" si="2"/>
        <v>10</v>
      </c>
      <c r="R5" s="218">
        <f t="shared" si="2"/>
        <v>10</v>
      </c>
      <c r="S5" s="218">
        <f t="shared" si="2"/>
        <v>10</v>
      </c>
      <c r="T5" s="218">
        <f t="shared" si="2"/>
        <v>10</v>
      </c>
      <c r="U5" s="218">
        <f t="shared" si="2"/>
        <v>10</v>
      </c>
      <c r="V5" s="218">
        <f t="shared" si="2"/>
        <v>10</v>
      </c>
      <c r="W5" s="218">
        <f t="shared" si="2"/>
        <v>10</v>
      </c>
      <c r="X5" s="218">
        <f t="shared" si="2"/>
        <v>10</v>
      </c>
      <c r="Y5" s="218">
        <f t="shared" si="2"/>
        <v>10</v>
      </c>
      <c r="Z5" s="218">
        <f t="shared" si="2"/>
        <v>10</v>
      </c>
      <c r="AA5" s="218">
        <f t="shared" si="2"/>
        <v>10</v>
      </c>
      <c r="AB5" s="370"/>
      <c r="AE5" s="38">
        <f>AE4+5</f>
        <v>2025</v>
      </c>
      <c r="AF5" s="39">
        <v>0.5</v>
      </c>
      <c r="AG5" s="39">
        <v>0.9</v>
      </c>
      <c r="AH5" s="39">
        <v>0.9</v>
      </c>
      <c r="AI5" s="39">
        <v>0.9</v>
      </c>
      <c r="AJ5" s="39">
        <v>0.9</v>
      </c>
      <c r="AK5" s="39">
        <v>0.9</v>
      </c>
      <c r="AL5" s="39">
        <v>0.9</v>
      </c>
      <c r="AM5" s="39">
        <v>0.9</v>
      </c>
      <c r="AV5" s="701" t="s">
        <v>85</v>
      </c>
      <c r="AW5" s="701" t="s">
        <v>421</v>
      </c>
      <c r="AX5" s="701" t="str">
        <f>M$2</f>
        <v>Z01</v>
      </c>
      <c r="AY5" s="701" t="str">
        <f t="shared" ref="AY5" si="3">N$2</f>
        <v>Z02</v>
      </c>
      <c r="AZ5" s="701" t="str">
        <f t="shared" ref="AZ5" si="4">O$2</f>
        <v>Z03</v>
      </c>
      <c r="BA5" s="701" t="str">
        <f t="shared" ref="BA5" si="5">P$2</f>
        <v>Z04</v>
      </c>
      <c r="BB5" s="701" t="str">
        <f t="shared" ref="BB5" si="6">Q$2</f>
        <v>Z05</v>
      </c>
      <c r="BC5" s="701" t="str">
        <f t="shared" ref="BC5" si="7">R$2</f>
        <v>Z06</v>
      </c>
      <c r="BD5" s="701" t="str">
        <f t="shared" ref="BD5" si="8">S$2</f>
        <v>Z07</v>
      </c>
      <c r="BE5" s="701" t="str">
        <f t="shared" ref="BE5" si="9">T$2</f>
        <v>Z08</v>
      </c>
      <c r="BF5" s="701" t="str">
        <f t="shared" ref="BF5" si="10">U$2</f>
        <v>Z09</v>
      </c>
      <c r="BG5" s="701" t="str">
        <f t="shared" ref="BG5" si="11">V$2</f>
        <v>Z10</v>
      </c>
      <c r="BH5" s="701" t="str">
        <f t="shared" ref="BH5" si="12">W$2</f>
        <v>Z11</v>
      </c>
      <c r="BI5" s="701" t="str">
        <f t="shared" ref="BI5" si="13">X$2</f>
        <v>Z12</v>
      </c>
      <c r="BJ5" s="701" t="str">
        <f t="shared" ref="BJ5" si="14">Y$2</f>
        <v>Z13</v>
      </c>
      <c r="BK5" s="701" t="str">
        <f t="shared" ref="BK5" si="15">Z$2</f>
        <v>Z14</v>
      </c>
      <c r="BL5" s="701" t="str">
        <f t="shared" ref="BL5" si="16">AA$2</f>
        <v>Z15</v>
      </c>
    </row>
    <row r="6" spans="1:64" s="35" customFormat="1" x14ac:dyDescent="0.25">
      <c r="H6" s="36"/>
      <c r="AE6" s="38">
        <f>AE5+5</f>
        <v>2030</v>
      </c>
      <c r="AF6" s="39">
        <v>0.1</v>
      </c>
      <c r="AG6" s="39">
        <v>0.75</v>
      </c>
      <c r="AH6" s="39">
        <v>0.75</v>
      </c>
      <c r="AI6" s="39">
        <v>0.75</v>
      </c>
      <c r="AJ6" s="39">
        <v>0.75</v>
      </c>
      <c r="AK6" s="39">
        <v>0.75</v>
      </c>
      <c r="AL6" s="39">
        <v>0.75</v>
      </c>
      <c r="AM6" s="39">
        <v>0.75</v>
      </c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</row>
    <row r="7" spans="1:64" x14ac:dyDescent="0.25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E7" s="38">
        <f>AE6+10</f>
        <v>2040</v>
      </c>
      <c r="AF7" s="39">
        <v>0</v>
      </c>
      <c r="AG7" s="39">
        <v>0.5</v>
      </c>
      <c r="AH7" s="39">
        <v>0.5</v>
      </c>
      <c r="AI7" s="39">
        <v>0.5</v>
      </c>
      <c r="AJ7" s="39">
        <v>0.5</v>
      </c>
      <c r="AK7" s="39">
        <v>0.5</v>
      </c>
      <c r="AL7" s="39">
        <v>0.5</v>
      </c>
      <c r="AM7" s="39">
        <v>0.5</v>
      </c>
      <c r="AN7" s="35"/>
      <c r="AO7" s="35"/>
      <c r="AV7" s="398" t="s">
        <v>103</v>
      </c>
      <c r="AW7" s="711">
        <f>SUM(AX7:BL7)</f>
        <v>0</v>
      </c>
      <c r="AX7" s="704">
        <f>SUM(AX8:AX24)</f>
        <v>0</v>
      </c>
      <c r="AY7" s="704">
        <f t="shared" ref="AY7:BL7" si="17">SUM(AY8:AY24)</f>
        <v>0</v>
      </c>
      <c r="AZ7" s="704">
        <f t="shared" si="17"/>
        <v>0</v>
      </c>
      <c r="BA7" s="704">
        <f t="shared" si="17"/>
        <v>0</v>
      </c>
      <c r="BB7" s="704">
        <f t="shared" si="17"/>
        <v>0</v>
      </c>
      <c r="BC7" s="704">
        <f t="shared" si="17"/>
        <v>0</v>
      </c>
      <c r="BD7" s="704">
        <f t="shared" si="17"/>
        <v>0</v>
      </c>
      <c r="BE7" s="704">
        <f t="shared" si="17"/>
        <v>0</v>
      </c>
      <c r="BF7" s="704">
        <f t="shared" si="17"/>
        <v>0</v>
      </c>
      <c r="BG7" s="704">
        <f t="shared" si="17"/>
        <v>0</v>
      </c>
      <c r="BH7" s="704">
        <f t="shared" si="17"/>
        <v>0</v>
      </c>
      <c r="BI7" s="704">
        <f t="shared" si="17"/>
        <v>0</v>
      </c>
      <c r="BJ7" s="704">
        <f t="shared" si="17"/>
        <v>0</v>
      </c>
      <c r="BK7" s="704">
        <f t="shared" si="17"/>
        <v>0</v>
      </c>
      <c r="BL7" s="704">
        <f t="shared" si="17"/>
        <v>0</v>
      </c>
    </row>
    <row r="8" spans="1:64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 t="shared" ref="M8:AA8" si="18">M$2</f>
        <v>Z01</v>
      </c>
      <c r="N8" s="163" t="str">
        <f t="shared" si="18"/>
        <v>Z02</v>
      </c>
      <c r="O8" s="163" t="str">
        <f t="shared" si="18"/>
        <v>Z03</v>
      </c>
      <c r="P8" s="163" t="str">
        <f t="shared" si="18"/>
        <v>Z04</v>
      </c>
      <c r="Q8" s="163" t="str">
        <f t="shared" si="18"/>
        <v>Z05</v>
      </c>
      <c r="R8" s="163" t="str">
        <f t="shared" si="18"/>
        <v>Z06</v>
      </c>
      <c r="S8" s="163" t="str">
        <f t="shared" si="18"/>
        <v>Z07</v>
      </c>
      <c r="T8" s="163" t="str">
        <f t="shared" si="18"/>
        <v>Z08</v>
      </c>
      <c r="U8" s="163" t="str">
        <f t="shared" si="18"/>
        <v>Z09</v>
      </c>
      <c r="V8" s="163" t="str">
        <f t="shared" si="18"/>
        <v>Z10</v>
      </c>
      <c r="W8" s="163" t="str">
        <f t="shared" si="18"/>
        <v>Z11</v>
      </c>
      <c r="X8" s="163" t="str">
        <f t="shared" si="18"/>
        <v>Z12</v>
      </c>
      <c r="Y8" s="163" t="str">
        <f t="shared" si="18"/>
        <v>Z13</v>
      </c>
      <c r="Z8" s="163" t="str">
        <f t="shared" si="18"/>
        <v>Z14</v>
      </c>
      <c r="AA8" s="163" t="str">
        <f t="shared" si="18"/>
        <v>Z15</v>
      </c>
      <c r="AC8" s="163" t="s">
        <v>421</v>
      </c>
      <c r="AE8" s="38">
        <f>AE7+10</f>
        <v>2050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5"/>
      <c r="AO8" s="35"/>
      <c r="AV8" s="725" t="s">
        <v>988</v>
      </c>
      <c r="AW8" s="726">
        <f t="shared" ref="AW8:AW24" si="19">SUM(AX8:BL8)</f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N9" s="35"/>
      <c r="AO9" s="35"/>
      <c r="AV9" s="725" t="s">
        <v>994</v>
      </c>
      <c r="AW9" s="726">
        <f t="shared" si="19"/>
        <v>0</v>
      </c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</row>
    <row r="10" spans="1:64" x14ac:dyDescent="0.25">
      <c r="A10" s="44"/>
      <c r="B10" s="34"/>
      <c r="C10" s="44"/>
      <c r="D10" s="35"/>
      <c r="E10" s="35"/>
      <c r="F10" s="44"/>
      <c r="G10" s="35"/>
      <c r="H10" s="219" t="s">
        <v>400</v>
      </c>
      <c r="I10" s="173" t="str">
        <f>LOOKUP(H10,TRA_Comm!$C$29:$C$90,TRA_Comm!$D$29:$D$90)</f>
        <v>LightElectricVehicle(LEV).Passenger.</v>
      </c>
      <c r="J10" s="173"/>
      <c r="K10" s="173" t="s">
        <v>1118</v>
      </c>
      <c r="L10" s="173" t="s">
        <v>583</v>
      </c>
      <c r="M10" s="551">
        <f>SUMIF(DEMAND_Pkm_Tkm!$C$6:$C$43, $H10, DEMAND_Pkm_Tkm!G$6:G$43)</f>
        <v>0</v>
      </c>
      <c r="N10" s="551">
        <f>SUMIF(DEMAND_Pkm_Tkm!$C$6:$C$43, $H10, DEMAND_Pkm_Tkm!H$6:H$43)</f>
        <v>0</v>
      </c>
      <c r="O10" s="551">
        <f>SUMIF(DEMAND_Pkm_Tkm!$C$6:$C$43, $H10, DEMAND_Pkm_Tkm!I$6:I$43)</f>
        <v>0</v>
      </c>
      <c r="P10" s="551">
        <f>SUMIF(DEMAND_Pkm_Tkm!$C$6:$C$43, $H10, DEMAND_Pkm_Tkm!J$6:J$43)</f>
        <v>0</v>
      </c>
      <c r="Q10" s="551">
        <f>SUMIF(DEMAND_Pkm_Tkm!$C$6:$C$43, $H10, DEMAND_Pkm_Tkm!K$6:K$43)</f>
        <v>0</v>
      </c>
      <c r="R10" s="551">
        <f>SUMIF(DEMAND_Pkm_Tkm!$C$6:$C$43, $H10, DEMAND_Pkm_Tkm!L$6:L$43)</f>
        <v>0</v>
      </c>
      <c r="S10" s="551">
        <f>SUMIF(DEMAND_Pkm_Tkm!$C$6:$C$43, $H10, DEMAND_Pkm_Tkm!M$6:M$43)</f>
        <v>0</v>
      </c>
      <c r="T10" s="551">
        <f>SUMIF(DEMAND_Pkm_Tkm!$C$6:$C$43, $H10, DEMAND_Pkm_Tkm!N$6:N$43)</f>
        <v>0</v>
      </c>
      <c r="U10" s="551">
        <f>SUMIF(DEMAND_Pkm_Tkm!$C$6:$C$43, $H10, DEMAND_Pkm_Tkm!O$6:O$43)</f>
        <v>0</v>
      </c>
      <c r="V10" s="551">
        <f>SUMIF(DEMAND_Pkm_Tkm!$C$6:$C$43, $H10, DEMAND_Pkm_Tkm!P$6:P$43)</f>
        <v>0</v>
      </c>
      <c r="W10" s="551">
        <f>SUMIF(DEMAND_Pkm_Tkm!$C$6:$C$43, $H10, DEMAND_Pkm_Tkm!Q$6:Q$43)</f>
        <v>0</v>
      </c>
      <c r="X10" s="551">
        <f>SUMIF(DEMAND_Pkm_Tkm!$C$6:$C$43, $H10, DEMAND_Pkm_Tkm!R$6:R$43)</f>
        <v>0</v>
      </c>
      <c r="Y10" s="551">
        <f>SUMIF(DEMAND_Pkm_Tkm!$C$6:$C$43, $H10, DEMAND_Pkm_Tkm!S$6:S$43)</f>
        <v>0</v>
      </c>
      <c r="Z10" s="551">
        <f>SUMIF(DEMAND_Pkm_Tkm!$C$6:$C$43, $H10, DEMAND_Pkm_Tkm!T$6:T$43)</f>
        <v>0</v>
      </c>
      <c r="AA10" s="551">
        <f>SUMIF(DEMAND_Pkm_Tkm!$C$6:$C$43, $H10, DEMAND_Pkm_Tkm!U$6:U$43)</f>
        <v>0</v>
      </c>
      <c r="AC10" s="592">
        <f t="shared" ref="AC10:AC17" si="20">SUM(M10:AA10)</f>
        <v>0</v>
      </c>
      <c r="AE10" s="118"/>
      <c r="AF10" s="330"/>
      <c r="AG10" s="330"/>
      <c r="AH10" s="330"/>
      <c r="AI10" s="330"/>
      <c r="AJ10" s="330"/>
      <c r="AK10" s="330"/>
      <c r="AL10" s="330"/>
      <c r="AM10" s="330"/>
      <c r="AN10" s="330"/>
      <c r="AO10" s="330"/>
      <c r="AP10" s="330"/>
      <c r="AQ10" s="330"/>
      <c r="AR10" s="330"/>
      <c r="AS10" s="330"/>
      <c r="AT10" s="330"/>
      <c r="AU10" s="330"/>
      <c r="AV10" s="725" t="s">
        <v>998</v>
      </c>
      <c r="AW10" s="726">
        <f t="shared" si="19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x14ac:dyDescent="0.25">
      <c r="A11" s="44"/>
      <c r="B11" s="45"/>
      <c r="C11" s="44"/>
      <c r="D11" s="35"/>
      <c r="E11" s="35"/>
      <c r="F11" s="44"/>
      <c r="G11" s="35"/>
      <c r="H11" s="219" t="s">
        <v>479</v>
      </c>
      <c r="I11" s="173" t="str">
        <f>LOOKUP(H11,TRA_Comm!$C$29:$C$90,TRA_Comm!$D$29:$D$90)</f>
        <v>LightElectricVehicle(LEV).Passenger.City.</v>
      </c>
      <c r="J11" s="173"/>
      <c r="K11" s="173" t="s">
        <v>1118</v>
      </c>
      <c r="L11" s="173" t="s">
        <v>583</v>
      </c>
      <c r="M11" s="551">
        <f>SUMIF(DEMAND_Pkm_Tkm!$C$6:$C$43, $H11, DEMAND_Pkm_Tkm!G$6:G$43)</f>
        <v>0</v>
      </c>
      <c r="N11" s="551">
        <f>SUMIF(DEMAND_Pkm_Tkm!$C$6:$C$43, $H11, DEMAND_Pkm_Tkm!H$6:H$43)</f>
        <v>0</v>
      </c>
      <c r="O11" s="551">
        <f>SUMIF(DEMAND_Pkm_Tkm!$C$6:$C$43, $H11, DEMAND_Pkm_Tkm!I$6:I$43)</f>
        <v>0</v>
      </c>
      <c r="P11" s="551">
        <f>SUMIF(DEMAND_Pkm_Tkm!$C$6:$C$43, $H11, DEMAND_Pkm_Tkm!J$6:J$43)</f>
        <v>0</v>
      </c>
      <c r="Q11" s="551">
        <f>SUMIF(DEMAND_Pkm_Tkm!$C$6:$C$43, $H11, DEMAND_Pkm_Tkm!K$6:K$43)</f>
        <v>0</v>
      </c>
      <c r="R11" s="551">
        <f>SUMIF(DEMAND_Pkm_Tkm!$C$6:$C$43, $H11, DEMAND_Pkm_Tkm!L$6:L$43)</f>
        <v>0</v>
      </c>
      <c r="S11" s="551">
        <f>SUMIF(DEMAND_Pkm_Tkm!$C$6:$C$43, $H11, DEMAND_Pkm_Tkm!M$6:M$43)</f>
        <v>0</v>
      </c>
      <c r="T11" s="551">
        <f>SUMIF(DEMAND_Pkm_Tkm!$C$6:$C$43, $H11, DEMAND_Pkm_Tkm!N$6:N$43)</f>
        <v>0</v>
      </c>
      <c r="U11" s="551">
        <f>SUMIF(DEMAND_Pkm_Tkm!$C$6:$C$43, $H11, DEMAND_Pkm_Tkm!O$6:O$43)</f>
        <v>0</v>
      </c>
      <c r="V11" s="551">
        <f>SUMIF(DEMAND_Pkm_Tkm!$C$6:$C$43, $H11, DEMAND_Pkm_Tkm!P$6:P$43)</f>
        <v>0</v>
      </c>
      <c r="W11" s="551">
        <f>SUMIF(DEMAND_Pkm_Tkm!$C$6:$C$43, $H11, DEMAND_Pkm_Tkm!Q$6:Q$43)</f>
        <v>0</v>
      </c>
      <c r="X11" s="551">
        <f>SUMIF(DEMAND_Pkm_Tkm!$C$6:$C$43, $H11, DEMAND_Pkm_Tkm!R$6:R$43)</f>
        <v>0</v>
      </c>
      <c r="Y11" s="551">
        <f>SUMIF(DEMAND_Pkm_Tkm!$C$6:$C$43, $H11, DEMAND_Pkm_Tkm!S$6:S$43)</f>
        <v>0</v>
      </c>
      <c r="Z11" s="551">
        <f>SUMIF(DEMAND_Pkm_Tkm!$C$6:$C$43, $H11, DEMAND_Pkm_Tkm!T$6:T$43)</f>
        <v>0</v>
      </c>
      <c r="AA11" s="551">
        <f>SUMIF(DEMAND_Pkm_Tkm!$C$6:$C$43, $H11, DEMAND_Pkm_Tkm!U$6:U$43)</f>
        <v>0</v>
      </c>
      <c r="AC11" s="592">
        <f t="shared" si="20"/>
        <v>0</v>
      </c>
      <c r="AD11" s="475"/>
      <c r="AE11" s="46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27" t="s">
        <v>1000</v>
      </c>
      <c r="AW11" s="726">
        <f t="shared" si="19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x14ac:dyDescent="0.25">
      <c r="A12" s="44"/>
      <c r="B12" s="45"/>
      <c r="C12" s="44"/>
      <c r="D12" s="35"/>
      <c r="E12" s="35"/>
      <c r="F12" s="44"/>
      <c r="G12" s="35"/>
      <c r="H12" s="219" t="s">
        <v>394</v>
      </c>
      <c r="I12" s="173" t="str">
        <f>LOOKUP(H12,TRA_Comm!$C$29:$C$90,TRA_Comm!$D$29:$D$90)</f>
        <v>Walking.</v>
      </c>
      <c r="J12" s="173"/>
      <c r="K12" s="173" t="s">
        <v>1118</v>
      </c>
      <c r="L12" s="173" t="s">
        <v>583</v>
      </c>
      <c r="M12" s="551">
        <f>SUMIF(DEMAND_Pkm_Tkm!$C$6:$C$43, $H12, DEMAND_Pkm_Tkm!G$6:G$43)</f>
        <v>0</v>
      </c>
      <c r="N12" s="551">
        <f>SUMIF(DEMAND_Pkm_Tkm!$C$6:$C$43, $H12, DEMAND_Pkm_Tkm!H$6:H$43)</f>
        <v>0</v>
      </c>
      <c r="O12" s="551">
        <f>SUMIF(DEMAND_Pkm_Tkm!$C$6:$C$43, $H12, DEMAND_Pkm_Tkm!I$6:I$43)</f>
        <v>0</v>
      </c>
      <c r="P12" s="551">
        <f>SUMIF(DEMAND_Pkm_Tkm!$C$6:$C$43, $H12, DEMAND_Pkm_Tkm!J$6:J$43)</f>
        <v>0</v>
      </c>
      <c r="Q12" s="551">
        <f>SUMIF(DEMAND_Pkm_Tkm!$C$6:$C$43, $H12, DEMAND_Pkm_Tkm!K$6:K$43)</f>
        <v>0</v>
      </c>
      <c r="R12" s="551">
        <f>SUMIF(DEMAND_Pkm_Tkm!$C$6:$C$43, $H12, DEMAND_Pkm_Tkm!L$6:L$43)</f>
        <v>0</v>
      </c>
      <c r="S12" s="551">
        <f>SUMIF(DEMAND_Pkm_Tkm!$C$6:$C$43, $H12, DEMAND_Pkm_Tkm!M$6:M$43)</f>
        <v>0</v>
      </c>
      <c r="T12" s="551">
        <f>SUMIF(DEMAND_Pkm_Tkm!$C$6:$C$43, $H12, DEMAND_Pkm_Tkm!N$6:N$43)</f>
        <v>0</v>
      </c>
      <c r="U12" s="551">
        <f>SUMIF(DEMAND_Pkm_Tkm!$C$6:$C$43, $H12, DEMAND_Pkm_Tkm!O$6:O$43)</f>
        <v>0</v>
      </c>
      <c r="V12" s="551">
        <f>SUMIF(DEMAND_Pkm_Tkm!$C$6:$C$43, $H12, DEMAND_Pkm_Tkm!P$6:P$43)</f>
        <v>0</v>
      </c>
      <c r="W12" s="551">
        <f>SUMIF(DEMAND_Pkm_Tkm!$C$6:$C$43, $H12, DEMAND_Pkm_Tkm!Q$6:Q$43)</f>
        <v>0</v>
      </c>
      <c r="X12" s="551">
        <f>SUMIF(DEMAND_Pkm_Tkm!$C$6:$C$43, $H12, DEMAND_Pkm_Tkm!R$6:R$43)</f>
        <v>0</v>
      </c>
      <c r="Y12" s="551">
        <f>SUMIF(DEMAND_Pkm_Tkm!$C$6:$C$43, $H12, DEMAND_Pkm_Tkm!S$6:S$43)</f>
        <v>0</v>
      </c>
      <c r="Z12" s="551">
        <f>SUMIF(DEMAND_Pkm_Tkm!$C$6:$C$43, $H12, DEMAND_Pkm_Tkm!T$6:T$43)</f>
        <v>0</v>
      </c>
      <c r="AA12" s="551">
        <f>SUMIF(DEMAND_Pkm_Tkm!$C$6:$C$43, $H12, DEMAND_Pkm_Tkm!U$6:U$43)</f>
        <v>0</v>
      </c>
      <c r="AC12" s="592">
        <f t="shared" si="20"/>
        <v>0</v>
      </c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28" t="s">
        <v>185</v>
      </c>
      <c r="AW12" s="726">
        <f t="shared" si="19"/>
        <v>0</v>
      </c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</row>
    <row r="13" spans="1:64" x14ac:dyDescent="0.25">
      <c r="A13" s="44"/>
      <c r="B13" s="45"/>
      <c r="C13" s="44"/>
      <c r="D13" s="35"/>
      <c r="E13" s="35"/>
      <c r="F13" s="44"/>
      <c r="G13" s="35"/>
      <c r="H13" s="219" t="s">
        <v>470</v>
      </c>
      <c r="I13" s="173" t="str">
        <f>LOOKUP(H13,TRA_Comm!$C$29:$C$90,TRA_Comm!$D$29:$D$90)</f>
        <v>Walking.City.</v>
      </c>
      <c r="J13" s="173"/>
      <c r="K13" s="173" t="s">
        <v>1118</v>
      </c>
      <c r="L13" s="173" t="s">
        <v>583</v>
      </c>
      <c r="M13" s="551">
        <f>SUMIF(DEMAND_Pkm_Tkm!$C$6:$C$43, $H13, DEMAND_Pkm_Tkm!G$6:G$43)</f>
        <v>0</v>
      </c>
      <c r="N13" s="551">
        <f>SUMIF(DEMAND_Pkm_Tkm!$C$6:$C$43, $H13, DEMAND_Pkm_Tkm!H$6:H$43)</f>
        <v>0</v>
      </c>
      <c r="O13" s="551">
        <f>SUMIF(DEMAND_Pkm_Tkm!$C$6:$C$43, $H13, DEMAND_Pkm_Tkm!I$6:I$43)</f>
        <v>0</v>
      </c>
      <c r="P13" s="551">
        <f>SUMIF(DEMAND_Pkm_Tkm!$C$6:$C$43, $H13, DEMAND_Pkm_Tkm!J$6:J$43)</f>
        <v>0</v>
      </c>
      <c r="Q13" s="551">
        <f>SUMIF(DEMAND_Pkm_Tkm!$C$6:$C$43, $H13, DEMAND_Pkm_Tkm!K$6:K$43)</f>
        <v>0</v>
      </c>
      <c r="R13" s="551">
        <f>SUMIF(DEMAND_Pkm_Tkm!$C$6:$C$43, $H13, DEMAND_Pkm_Tkm!L$6:L$43)</f>
        <v>0</v>
      </c>
      <c r="S13" s="551">
        <f>SUMIF(DEMAND_Pkm_Tkm!$C$6:$C$43, $H13, DEMAND_Pkm_Tkm!M$6:M$43)</f>
        <v>0</v>
      </c>
      <c r="T13" s="551">
        <f>SUMIF(DEMAND_Pkm_Tkm!$C$6:$C$43, $H13, DEMAND_Pkm_Tkm!N$6:N$43)</f>
        <v>0</v>
      </c>
      <c r="U13" s="551">
        <f>SUMIF(DEMAND_Pkm_Tkm!$C$6:$C$43, $H13, DEMAND_Pkm_Tkm!O$6:O$43)</f>
        <v>0</v>
      </c>
      <c r="V13" s="551">
        <f>SUMIF(DEMAND_Pkm_Tkm!$C$6:$C$43, $H13, DEMAND_Pkm_Tkm!P$6:P$43)</f>
        <v>0</v>
      </c>
      <c r="W13" s="551">
        <f>SUMIF(DEMAND_Pkm_Tkm!$C$6:$C$43, $H13, DEMAND_Pkm_Tkm!Q$6:Q$43)</f>
        <v>0</v>
      </c>
      <c r="X13" s="551">
        <f>SUMIF(DEMAND_Pkm_Tkm!$C$6:$C$43, $H13, DEMAND_Pkm_Tkm!R$6:R$43)</f>
        <v>0</v>
      </c>
      <c r="Y13" s="551">
        <f>SUMIF(DEMAND_Pkm_Tkm!$C$6:$C$43, $H13, DEMAND_Pkm_Tkm!S$6:S$43)</f>
        <v>0</v>
      </c>
      <c r="Z13" s="551">
        <f>SUMIF(DEMAND_Pkm_Tkm!$C$6:$C$43, $H13, DEMAND_Pkm_Tkm!T$6:T$43)</f>
        <v>0</v>
      </c>
      <c r="AA13" s="551">
        <f>SUMIF(DEMAND_Pkm_Tkm!$C$6:$C$43, $H13, DEMAND_Pkm_Tkm!U$6:U$43)</f>
        <v>0</v>
      </c>
      <c r="AC13" s="592">
        <f t="shared" si="20"/>
        <v>0</v>
      </c>
      <c r="AD13" s="475"/>
      <c r="AE13" s="46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28" t="s">
        <v>683</v>
      </c>
      <c r="AW13" s="726">
        <f t="shared" si="19"/>
        <v>0</v>
      </c>
      <c r="AX13" s="729">
        <f>AX32+AX66+AX85+AX119</f>
        <v>0</v>
      </c>
      <c r="AY13" s="729">
        <f t="shared" ref="AY13:BL13" si="21">AY32+AY66+AY85+AY119</f>
        <v>0</v>
      </c>
      <c r="AZ13" s="729">
        <f t="shared" si="21"/>
        <v>0</v>
      </c>
      <c r="BA13" s="729">
        <f t="shared" si="21"/>
        <v>0</v>
      </c>
      <c r="BB13" s="729">
        <f t="shared" si="21"/>
        <v>0</v>
      </c>
      <c r="BC13" s="729">
        <f t="shared" si="21"/>
        <v>0</v>
      </c>
      <c r="BD13" s="729">
        <f t="shared" si="21"/>
        <v>0</v>
      </c>
      <c r="BE13" s="729">
        <f t="shared" si="21"/>
        <v>0</v>
      </c>
      <c r="BF13" s="729">
        <f t="shared" si="21"/>
        <v>0</v>
      </c>
      <c r="BG13" s="729">
        <f t="shared" si="21"/>
        <v>0</v>
      </c>
      <c r="BH13" s="729">
        <f t="shared" si="21"/>
        <v>0</v>
      </c>
      <c r="BI13" s="729">
        <f t="shared" si="21"/>
        <v>0</v>
      </c>
      <c r="BJ13" s="729">
        <f t="shared" si="21"/>
        <v>0</v>
      </c>
      <c r="BK13" s="729">
        <f t="shared" si="21"/>
        <v>0</v>
      </c>
      <c r="BL13" s="729">
        <f t="shared" si="21"/>
        <v>0</v>
      </c>
    </row>
    <row r="14" spans="1:64" x14ac:dyDescent="0.25">
      <c r="A14" s="44"/>
      <c r="B14" s="45"/>
      <c r="C14" s="44"/>
      <c r="D14" s="35"/>
      <c r="E14" s="35"/>
      <c r="F14" s="44"/>
      <c r="G14" s="35"/>
      <c r="H14" s="219" t="s">
        <v>398</v>
      </c>
      <c r="I14" s="173" t="str">
        <f>LOOKUP(H14,TRA_Comm!$C$29:$C$90,TRA_Comm!$D$29:$D$90)</f>
        <v>BicYcle.Electric.Passenger.</v>
      </c>
      <c r="J14" s="173"/>
      <c r="K14" s="173" t="s">
        <v>1118</v>
      </c>
      <c r="L14" s="173" t="s">
        <v>583</v>
      </c>
      <c r="M14" s="551">
        <f>SUMIF(DEMAND_Pkm_Tkm!$C$6:$C$43, $H14, DEMAND_Pkm_Tkm!G$6:G$43)</f>
        <v>0</v>
      </c>
      <c r="N14" s="551">
        <f>SUMIF(DEMAND_Pkm_Tkm!$C$6:$C$43, $H14, DEMAND_Pkm_Tkm!H$6:H$43)</f>
        <v>0</v>
      </c>
      <c r="O14" s="551">
        <f>SUMIF(DEMAND_Pkm_Tkm!$C$6:$C$43, $H14, DEMAND_Pkm_Tkm!I$6:I$43)</f>
        <v>0</v>
      </c>
      <c r="P14" s="551">
        <f>SUMIF(DEMAND_Pkm_Tkm!$C$6:$C$43, $H14, DEMAND_Pkm_Tkm!J$6:J$43)</f>
        <v>0</v>
      </c>
      <c r="Q14" s="551">
        <f>SUMIF(DEMAND_Pkm_Tkm!$C$6:$C$43, $H14, DEMAND_Pkm_Tkm!K$6:K$43)</f>
        <v>0</v>
      </c>
      <c r="R14" s="551">
        <f>SUMIF(DEMAND_Pkm_Tkm!$C$6:$C$43, $H14, DEMAND_Pkm_Tkm!L$6:L$43)</f>
        <v>0</v>
      </c>
      <c r="S14" s="551">
        <f>SUMIF(DEMAND_Pkm_Tkm!$C$6:$C$43, $H14, DEMAND_Pkm_Tkm!M$6:M$43)</f>
        <v>0</v>
      </c>
      <c r="T14" s="551">
        <f>SUMIF(DEMAND_Pkm_Tkm!$C$6:$C$43, $H14, DEMAND_Pkm_Tkm!N$6:N$43)</f>
        <v>0</v>
      </c>
      <c r="U14" s="551">
        <f>SUMIF(DEMAND_Pkm_Tkm!$C$6:$C$43, $H14, DEMAND_Pkm_Tkm!O$6:O$43)</f>
        <v>0</v>
      </c>
      <c r="V14" s="551">
        <f>SUMIF(DEMAND_Pkm_Tkm!$C$6:$C$43, $H14, DEMAND_Pkm_Tkm!P$6:P$43)</f>
        <v>0</v>
      </c>
      <c r="W14" s="551">
        <f>SUMIF(DEMAND_Pkm_Tkm!$C$6:$C$43, $H14, DEMAND_Pkm_Tkm!Q$6:Q$43)</f>
        <v>0</v>
      </c>
      <c r="X14" s="551">
        <f>SUMIF(DEMAND_Pkm_Tkm!$C$6:$C$43, $H14, DEMAND_Pkm_Tkm!R$6:R$43)</f>
        <v>0</v>
      </c>
      <c r="Y14" s="551">
        <f>SUMIF(DEMAND_Pkm_Tkm!$C$6:$C$43, $H14, DEMAND_Pkm_Tkm!S$6:S$43)</f>
        <v>0</v>
      </c>
      <c r="Z14" s="551">
        <f>SUMIF(DEMAND_Pkm_Tkm!$C$6:$C$43, $H14, DEMAND_Pkm_Tkm!T$6:T$43)</f>
        <v>0</v>
      </c>
      <c r="AA14" s="551">
        <f>SUMIF(DEMAND_Pkm_Tkm!$C$6:$C$43, $H14, DEMAND_Pkm_Tkm!U$6:U$43)</f>
        <v>0</v>
      </c>
      <c r="AC14" s="592">
        <f t="shared" si="20"/>
        <v>0</v>
      </c>
      <c r="AD14" s="475"/>
      <c r="AE14" s="46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28" t="s">
        <v>1010</v>
      </c>
      <c r="AW14" s="726">
        <f t="shared" si="19"/>
        <v>0</v>
      </c>
      <c r="AX14" s="725"/>
      <c r="AY14" s="725"/>
      <c r="AZ14" s="725"/>
      <c r="BA14" s="725"/>
      <c r="BB14" s="725"/>
      <c r="BC14" s="725"/>
      <c r="BD14" s="725"/>
      <c r="BE14" s="725"/>
      <c r="BF14" s="725"/>
      <c r="BG14" s="725"/>
      <c r="BH14" s="725"/>
      <c r="BI14" s="725"/>
      <c r="BJ14" s="725"/>
      <c r="BK14" s="725"/>
      <c r="BL14" s="725"/>
    </row>
    <row r="15" spans="1:64" x14ac:dyDescent="0.25">
      <c r="A15" s="44"/>
      <c r="B15" s="44"/>
      <c r="C15" s="44"/>
      <c r="D15" s="35"/>
      <c r="E15" s="35"/>
      <c r="F15" s="44"/>
      <c r="G15" s="35"/>
      <c r="H15" s="219" t="s">
        <v>473</v>
      </c>
      <c r="I15" s="173" t="str">
        <f>LOOKUP(H15,TRA_Comm!$C$29:$C$90,TRA_Comm!$D$29:$D$90)</f>
        <v>BicYcle.Electric.Passenger.City.</v>
      </c>
      <c r="J15" s="173"/>
      <c r="K15" s="173" t="s">
        <v>1118</v>
      </c>
      <c r="L15" s="173" t="s">
        <v>583</v>
      </c>
      <c r="M15" s="551">
        <f>SUMIF(DEMAND_Pkm_Tkm!$C$6:$C$43, $H15, DEMAND_Pkm_Tkm!G$6:G$43)</f>
        <v>0</v>
      </c>
      <c r="N15" s="551">
        <f>SUMIF(DEMAND_Pkm_Tkm!$C$6:$C$43, $H15, DEMAND_Pkm_Tkm!H$6:H$43)</f>
        <v>0</v>
      </c>
      <c r="O15" s="551">
        <f>SUMIF(DEMAND_Pkm_Tkm!$C$6:$C$43, $H15, DEMAND_Pkm_Tkm!I$6:I$43)</f>
        <v>0</v>
      </c>
      <c r="P15" s="551">
        <f>SUMIF(DEMAND_Pkm_Tkm!$C$6:$C$43, $H15, DEMAND_Pkm_Tkm!J$6:J$43)</f>
        <v>0</v>
      </c>
      <c r="Q15" s="551">
        <f>SUMIF(DEMAND_Pkm_Tkm!$C$6:$C$43, $H15, DEMAND_Pkm_Tkm!K$6:K$43)</f>
        <v>0</v>
      </c>
      <c r="R15" s="551">
        <f>SUMIF(DEMAND_Pkm_Tkm!$C$6:$C$43, $H15, DEMAND_Pkm_Tkm!L$6:L$43)</f>
        <v>0</v>
      </c>
      <c r="S15" s="551">
        <f>SUMIF(DEMAND_Pkm_Tkm!$C$6:$C$43, $H15, DEMAND_Pkm_Tkm!M$6:M$43)</f>
        <v>0</v>
      </c>
      <c r="T15" s="551">
        <f>SUMIF(DEMAND_Pkm_Tkm!$C$6:$C$43, $H15, DEMAND_Pkm_Tkm!N$6:N$43)</f>
        <v>0</v>
      </c>
      <c r="U15" s="551">
        <f>SUMIF(DEMAND_Pkm_Tkm!$C$6:$C$43, $H15, DEMAND_Pkm_Tkm!O$6:O$43)</f>
        <v>0</v>
      </c>
      <c r="V15" s="551">
        <f>SUMIF(DEMAND_Pkm_Tkm!$C$6:$C$43, $H15, DEMAND_Pkm_Tkm!P$6:P$43)</f>
        <v>0</v>
      </c>
      <c r="W15" s="551">
        <f>SUMIF(DEMAND_Pkm_Tkm!$C$6:$C$43, $H15, DEMAND_Pkm_Tkm!Q$6:Q$43)</f>
        <v>0</v>
      </c>
      <c r="X15" s="551">
        <f>SUMIF(DEMAND_Pkm_Tkm!$C$6:$C$43, $H15, DEMAND_Pkm_Tkm!R$6:R$43)</f>
        <v>0</v>
      </c>
      <c r="Y15" s="551">
        <f>SUMIF(DEMAND_Pkm_Tkm!$C$6:$C$43, $H15, DEMAND_Pkm_Tkm!S$6:S$43)</f>
        <v>0</v>
      </c>
      <c r="Z15" s="551">
        <f>SUMIF(DEMAND_Pkm_Tkm!$C$6:$C$43, $H15, DEMAND_Pkm_Tkm!T$6:T$43)</f>
        <v>0</v>
      </c>
      <c r="AA15" s="551">
        <f>SUMIF(DEMAND_Pkm_Tkm!$C$6:$C$43, $H15, DEMAND_Pkm_Tkm!U$6:U$43)</f>
        <v>0</v>
      </c>
      <c r="AC15" s="592">
        <f t="shared" si="20"/>
        <v>0</v>
      </c>
      <c r="AD15" s="475"/>
      <c r="AE15" s="46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28" t="s">
        <v>1012</v>
      </c>
      <c r="AW15" s="726">
        <f t="shared" si="19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25">
      <c r="A16" s="44"/>
      <c r="B16" s="44"/>
      <c r="C16" s="44"/>
      <c r="D16" s="35"/>
      <c r="E16" s="35"/>
      <c r="F16" s="44"/>
      <c r="G16" s="35"/>
      <c r="H16" s="219" t="s">
        <v>396</v>
      </c>
      <c r="I16" s="173" t="str">
        <f>LOOKUP(H16,TRA_Comm!$C$29:$C$90,TRA_Comm!$D$29:$D$90)</f>
        <v>BicYcle.Passenger.</v>
      </c>
      <c r="J16" s="173"/>
      <c r="K16" s="173" t="s">
        <v>1118</v>
      </c>
      <c r="L16" s="173" t="s">
        <v>583</v>
      </c>
      <c r="M16" s="551">
        <f>SUMIF(DEMAND_Pkm_Tkm!$C$6:$C$43, $H16, DEMAND_Pkm_Tkm!G$6:G$43)</f>
        <v>0</v>
      </c>
      <c r="N16" s="551">
        <f>SUMIF(DEMAND_Pkm_Tkm!$C$6:$C$43, $H16, DEMAND_Pkm_Tkm!H$6:H$43)</f>
        <v>0</v>
      </c>
      <c r="O16" s="551">
        <f>SUMIF(DEMAND_Pkm_Tkm!$C$6:$C$43, $H16, DEMAND_Pkm_Tkm!I$6:I$43)</f>
        <v>0</v>
      </c>
      <c r="P16" s="551">
        <f>SUMIF(DEMAND_Pkm_Tkm!$C$6:$C$43, $H16, DEMAND_Pkm_Tkm!J$6:J$43)</f>
        <v>0</v>
      </c>
      <c r="Q16" s="551">
        <f>SUMIF(DEMAND_Pkm_Tkm!$C$6:$C$43, $H16, DEMAND_Pkm_Tkm!K$6:K$43)</f>
        <v>0</v>
      </c>
      <c r="R16" s="551">
        <f>SUMIF(DEMAND_Pkm_Tkm!$C$6:$C$43, $H16, DEMAND_Pkm_Tkm!L$6:L$43)</f>
        <v>0</v>
      </c>
      <c r="S16" s="551">
        <f>SUMIF(DEMAND_Pkm_Tkm!$C$6:$C$43, $H16, DEMAND_Pkm_Tkm!M$6:M$43)</f>
        <v>0</v>
      </c>
      <c r="T16" s="551">
        <f>SUMIF(DEMAND_Pkm_Tkm!$C$6:$C$43, $H16, DEMAND_Pkm_Tkm!N$6:N$43)</f>
        <v>0</v>
      </c>
      <c r="U16" s="551">
        <f>SUMIF(DEMAND_Pkm_Tkm!$C$6:$C$43, $H16, DEMAND_Pkm_Tkm!O$6:O$43)</f>
        <v>0</v>
      </c>
      <c r="V16" s="551">
        <f>SUMIF(DEMAND_Pkm_Tkm!$C$6:$C$43, $H16, DEMAND_Pkm_Tkm!P$6:P$43)</f>
        <v>0</v>
      </c>
      <c r="W16" s="551">
        <f>SUMIF(DEMAND_Pkm_Tkm!$C$6:$C$43, $H16, DEMAND_Pkm_Tkm!Q$6:Q$43)</f>
        <v>0</v>
      </c>
      <c r="X16" s="551">
        <f>SUMIF(DEMAND_Pkm_Tkm!$C$6:$C$43, $H16, DEMAND_Pkm_Tkm!R$6:R$43)</f>
        <v>0</v>
      </c>
      <c r="Y16" s="551">
        <f>SUMIF(DEMAND_Pkm_Tkm!$C$6:$C$43, $H16, DEMAND_Pkm_Tkm!S$6:S$43)</f>
        <v>0</v>
      </c>
      <c r="Z16" s="551">
        <f>SUMIF(DEMAND_Pkm_Tkm!$C$6:$C$43, $H16, DEMAND_Pkm_Tkm!T$6:T$43)</f>
        <v>0</v>
      </c>
      <c r="AA16" s="551">
        <f>SUMIF(DEMAND_Pkm_Tkm!$C$6:$C$43, $H16, DEMAND_Pkm_Tkm!U$6:U$43)</f>
        <v>0</v>
      </c>
      <c r="AC16" s="592">
        <f t="shared" si="20"/>
        <v>0</v>
      </c>
      <c r="AD16" s="475"/>
      <c r="AE16" s="46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28" t="s">
        <v>1014</v>
      </c>
      <c r="AW16" s="726">
        <f t="shared" si="19"/>
        <v>0</v>
      </c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</row>
    <row r="17" spans="1:64" x14ac:dyDescent="0.25">
      <c r="A17" s="44"/>
      <c r="B17" s="44"/>
      <c r="C17" s="44"/>
      <c r="D17" s="35"/>
      <c r="E17" s="35"/>
      <c r="F17" s="44"/>
      <c r="G17" s="35"/>
      <c r="H17" s="219" t="s">
        <v>476</v>
      </c>
      <c r="I17" s="173" t="str">
        <f>LOOKUP(H17,TRA_Comm!$C$29:$C$90,TRA_Comm!$D$29:$D$90)</f>
        <v>BicYcle.Passenger.City.</v>
      </c>
      <c r="J17" s="173"/>
      <c r="K17" s="173" t="s">
        <v>1118</v>
      </c>
      <c r="L17" s="173" t="s">
        <v>583</v>
      </c>
      <c r="M17" s="551">
        <f>SUMIF(DEMAND_Pkm_Tkm!$C$6:$C$43, $H17, DEMAND_Pkm_Tkm!G$6:G$43)</f>
        <v>0</v>
      </c>
      <c r="N17" s="551">
        <f>SUMIF(DEMAND_Pkm_Tkm!$C$6:$C$43, $H17, DEMAND_Pkm_Tkm!H$6:H$43)</f>
        <v>0</v>
      </c>
      <c r="O17" s="551">
        <f>SUMIF(DEMAND_Pkm_Tkm!$C$6:$C$43, $H17, DEMAND_Pkm_Tkm!I$6:I$43)</f>
        <v>0</v>
      </c>
      <c r="P17" s="551">
        <f>SUMIF(DEMAND_Pkm_Tkm!$C$6:$C$43, $H17, DEMAND_Pkm_Tkm!J$6:J$43)</f>
        <v>0</v>
      </c>
      <c r="Q17" s="551">
        <f>SUMIF(DEMAND_Pkm_Tkm!$C$6:$C$43, $H17, DEMAND_Pkm_Tkm!K$6:K$43)</f>
        <v>0</v>
      </c>
      <c r="R17" s="551">
        <f>SUMIF(DEMAND_Pkm_Tkm!$C$6:$C$43, $H17, DEMAND_Pkm_Tkm!L$6:L$43)</f>
        <v>0</v>
      </c>
      <c r="S17" s="551">
        <f>SUMIF(DEMAND_Pkm_Tkm!$C$6:$C$43, $H17, DEMAND_Pkm_Tkm!M$6:M$43)</f>
        <v>0</v>
      </c>
      <c r="T17" s="551">
        <f>SUMIF(DEMAND_Pkm_Tkm!$C$6:$C$43, $H17, DEMAND_Pkm_Tkm!N$6:N$43)</f>
        <v>0</v>
      </c>
      <c r="U17" s="551">
        <f>SUMIF(DEMAND_Pkm_Tkm!$C$6:$C$43, $H17, DEMAND_Pkm_Tkm!O$6:O$43)</f>
        <v>0</v>
      </c>
      <c r="V17" s="551">
        <f>SUMIF(DEMAND_Pkm_Tkm!$C$6:$C$43, $H17, DEMAND_Pkm_Tkm!P$6:P$43)</f>
        <v>0</v>
      </c>
      <c r="W17" s="551">
        <f>SUMIF(DEMAND_Pkm_Tkm!$C$6:$C$43, $H17, DEMAND_Pkm_Tkm!Q$6:Q$43)</f>
        <v>0</v>
      </c>
      <c r="X17" s="551">
        <f>SUMIF(DEMAND_Pkm_Tkm!$C$6:$C$43, $H17, DEMAND_Pkm_Tkm!R$6:R$43)</f>
        <v>0</v>
      </c>
      <c r="Y17" s="551">
        <f>SUMIF(DEMAND_Pkm_Tkm!$C$6:$C$43, $H17, DEMAND_Pkm_Tkm!S$6:S$43)</f>
        <v>0</v>
      </c>
      <c r="Z17" s="551">
        <f>SUMIF(DEMAND_Pkm_Tkm!$C$6:$C$43, $H17, DEMAND_Pkm_Tkm!T$6:T$43)</f>
        <v>0</v>
      </c>
      <c r="AA17" s="551">
        <f>SUMIF(DEMAND_Pkm_Tkm!$C$6:$C$43, $H17, DEMAND_Pkm_Tkm!U$6:U$43)</f>
        <v>0</v>
      </c>
      <c r="AC17" s="592">
        <f t="shared" si="20"/>
        <v>0</v>
      </c>
      <c r="AD17" s="475"/>
      <c r="AE17" s="46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28" t="s">
        <v>1016</v>
      </c>
      <c r="AW17" s="726">
        <f t="shared" si="19"/>
        <v>0</v>
      </c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</row>
    <row r="18" spans="1:64" x14ac:dyDescent="0.25">
      <c r="A18" s="44"/>
      <c r="C18" s="44"/>
      <c r="D18" s="35"/>
      <c r="E18" s="35"/>
      <c r="F18" s="44"/>
      <c r="G18" s="35"/>
      <c r="H18" s="14"/>
      <c r="I18" s="14"/>
      <c r="J18" s="46"/>
      <c r="K18" s="46"/>
      <c r="L18" s="46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D18" s="475"/>
      <c r="AE18" s="46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28" t="s">
        <v>1023</v>
      </c>
      <c r="AW18" s="726">
        <f t="shared" si="19"/>
        <v>0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x14ac:dyDescent="0.25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44"/>
      <c r="AV19" s="725" t="s">
        <v>681</v>
      </c>
      <c r="AW19" s="726">
        <f t="shared" si="19"/>
        <v>0</v>
      </c>
      <c r="AX19" s="729">
        <f>AX31+AX44+AX55+AX84+AX97+AX108</f>
        <v>0</v>
      </c>
      <c r="AY19" s="729">
        <f t="shared" ref="AY19:BL19" si="22">AY31+AY44+AY55+AY84+AY97+AY108</f>
        <v>0</v>
      </c>
      <c r="AZ19" s="729">
        <f t="shared" si="22"/>
        <v>0</v>
      </c>
      <c r="BA19" s="729">
        <f t="shared" si="22"/>
        <v>0</v>
      </c>
      <c r="BB19" s="729">
        <f t="shared" si="22"/>
        <v>0</v>
      </c>
      <c r="BC19" s="729">
        <f t="shared" si="22"/>
        <v>0</v>
      </c>
      <c r="BD19" s="729">
        <f t="shared" si="22"/>
        <v>0</v>
      </c>
      <c r="BE19" s="729">
        <f t="shared" si="22"/>
        <v>0</v>
      </c>
      <c r="BF19" s="729">
        <f t="shared" si="22"/>
        <v>0</v>
      </c>
      <c r="BG19" s="729">
        <f t="shared" si="22"/>
        <v>0</v>
      </c>
      <c r="BH19" s="729">
        <f t="shared" si="22"/>
        <v>0</v>
      </c>
      <c r="BI19" s="729">
        <f t="shared" si="22"/>
        <v>0</v>
      </c>
      <c r="BJ19" s="729">
        <f t="shared" si="22"/>
        <v>0</v>
      </c>
      <c r="BK19" s="729">
        <f t="shared" si="22"/>
        <v>0</v>
      </c>
      <c r="BL19" s="729">
        <f t="shared" si="22"/>
        <v>0</v>
      </c>
    </row>
    <row r="20" spans="1:64" x14ac:dyDescent="0.25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3" t="s">
        <v>461</v>
      </c>
      <c r="L20" s="43" t="s">
        <v>1119</v>
      </c>
      <c r="M20" s="163" t="str">
        <f t="shared" ref="M20:AA20" si="23">M$2</f>
        <v>Z01</v>
      </c>
      <c r="N20" s="163" t="str">
        <f t="shared" si="23"/>
        <v>Z02</v>
      </c>
      <c r="O20" s="163" t="str">
        <f t="shared" si="23"/>
        <v>Z03</v>
      </c>
      <c r="P20" s="163" t="str">
        <f t="shared" si="23"/>
        <v>Z04</v>
      </c>
      <c r="Q20" s="163" t="str">
        <f t="shared" si="23"/>
        <v>Z05</v>
      </c>
      <c r="R20" s="163" t="str">
        <f t="shared" si="23"/>
        <v>Z06</v>
      </c>
      <c r="S20" s="163" t="str">
        <f t="shared" si="23"/>
        <v>Z07</v>
      </c>
      <c r="T20" s="163" t="str">
        <f t="shared" si="23"/>
        <v>Z08</v>
      </c>
      <c r="U20" s="163" t="str">
        <f t="shared" si="23"/>
        <v>Z09</v>
      </c>
      <c r="V20" s="163" t="str">
        <f t="shared" si="23"/>
        <v>Z10</v>
      </c>
      <c r="W20" s="163" t="str">
        <f t="shared" si="23"/>
        <v>Z11</v>
      </c>
      <c r="X20" s="163" t="str">
        <f t="shared" si="23"/>
        <v>Z12</v>
      </c>
      <c r="Y20" s="163" t="str">
        <f t="shared" si="23"/>
        <v>Z13</v>
      </c>
      <c r="Z20" s="163" t="str">
        <f t="shared" si="23"/>
        <v>Z14</v>
      </c>
      <c r="AA20" s="163" t="str">
        <f t="shared" si="23"/>
        <v>Z15</v>
      </c>
      <c r="AB20" s="371"/>
      <c r="AC20" s="44"/>
      <c r="AV20" s="725" t="s">
        <v>1029</v>
      </c>
      <c r="AW20" s="726">
        <f t="shared" si="19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x14ac:dyDescent="0.25">
      <c r="A21" s="44"/>
      <c r="B21" s="44"/>
      <c r="C21" s="44"/>
      <c r="D21" s="35"/>
      <c r="E21" s="35"/>
      <c r="F21" s="44"/>
      <c r="G21" s="35"/>
      <c r="H21" s="35"/>
      <c r="I21" s="35"/>
      <c r="J21" s="35"/>
      <c r="K21" s="35"/>
      <c r="L21" s="186" t="s">
        <v>1120</v>
      </c>
      <c r="M21" s="561">
        <f>T_ACTFLO!E12</f>
        <v>0</v>
      </c>
      <c r="N21" s="561">
        <f>T_ACTFLO!F12</f>
        <v>0</v>
      </c>
      <c r="O21" s="561">
        <f>T_ACTFLO!G12</f>
        <v>0</v>
      </c>
      <c r="P21" s="561">
        <f>T_ACTFLO!H12</f>
        <v>0</v>
      </c>
      <c r="Q21" s="561">
        <f>T_ACTFLO!I12</f>
        <v>0</v>
      </c>
      <c r="R21" s="561">
        <f>T_ACTFLO!J12</f>
        <v>0</v>
      </c>
      <c r="S21" s="561">
        <f>T_ACTFLO!K12</f>
        <v>0</v>
      </c>
      <c r="T21" s="561">
        <f>T_ACTFLO!L12</f>
        <v>0</v>
      </c>
      <c r="U21" s="561">
        <f>T_ACTFLO!M12</f>
        <v>0</v>
      </c>
      <c r="V21" s="561">
        <f>T_ACTFLO!N12</f>
        <v>0</v>
      </c>
      <c r="W21" s="561">
        <f>T_ACTFLO!O12</f>
        <v>0</v>
      </c>
      <c r="X21" s="561">
        <f>T_ACTFLO!P12</f>
        <v>0</v>
      </c>
      <c r="Y21" s="561">
        <f>T_ACTFLO!Q12</f>
        <v>0</v>
      </c>
      <c r="Z21" s="561">
        <f>T_ACTFLO!R12</f>
        <v>0</v>
      </c>
      <c r="AA21" s="561">
        <f>T_ACTFLO!S12</f>
        <v>0</v>
      </c>
      <c r="AB21" s="372"/>
      <c r="AV21" s="725" t="s">
        <v>1031</v>
      </c>
      <c r="AW21" s="726">
        <f t="shared" si="19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x14ac:dyDescent="0.25">
      <c r="A22" s="44"/>
      <c r="B22" s="44"/>
      <c r="C22" s="44"/>
      <c r="D22" s="35"/>
      <c r="E22" s="35"/>
      <c r="F22" s="44"/>
      <c r="G22" s="35"/>
      <c r="H22" s="35"/>
      <c r="I22" s="35"/>
      <c r="J22" s="35"/>
      <c r="K22" s="35"/>
      <c r="L22" s="186" t="s">
        <v>1121</v>
      </c>
      <c r="M22" s="561">
        <f>T_ACTFLO!E10</f>
        <v>0</v>
      </c>
      <c r="N22" s="561">
        <f>T_ACTFLO!F10</f>
        <v>0</v>
      </c>
      <c r="O22" s="561">
        <f>T_ACTFLO!G10</f>
        <v>0</v>
      </c>
      <c r="P22" s="561">
        <f>T_ACTFLO!H10</f>
        <v>0</v>
      </c>
      <c r="Q22" s="561">
        <f>T_ACTFLO!I10</f>
        <v>0</v>
      </c>
      <c r="R22" s="561">
        <f>T_ACTFLO!J10</f>
        <v>0</v>
      </c>
      <c r="S22" s="561">
        <f>T_ACTFLO!K10</f>
        <v>0</v>
      </c>
      <c r="T22" s="561">
        <f>T_ACTFLO!L10</f>
        <v>0</v>
      </c>
      <c r="U22" s="561">
        <f>T_ACTFLO!M10</f>
        <v>0</v>
      </c>
      <c r="V22" s="561">
        <f>T_ACTFLO!N10</f>
        <v>0</v>
      </c>
      <c r="W22" s="561">
        <f>T_ACTFLO!O10</f>
        <v>0</v>
      </c>
      <c r="X22" s="561">
        <f>T_ACTFLO!P10</f>
        <v>0</v>
      </c>
      <c r="Y22" s="561">
        <f>T_ACTFLO!Q10</f>
        <v>0</v>
      </c>
      <c r="Z22" s="561">
        <f>T_ACTFLO!R10</f>
        <v>0</v>
      </c>
      <c r="AA22" s="561">
        <f>T_ACTFLO!S10</f>
        <v>0</v>
      </c>
      <c r="AB22" s="372"/>
      <c r="AV22" s="725" t="s">
        <v>1033</v>
      </c>
      <c r="AW22" s="726">
        <f t="shared" si="19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25">
      <c r="A23" s="44"/>
      <c r="B23" s="44"/>
      <c r="C23" s="44"/>
      <c r="D23" s="35"/>
      <c r="E23" s="35"/>
      <c r="F23" s="44"/>
      <c r="G23" s="35"/>
      <c r="H23" s="35"/>
      <c r="I23" s="35"/>
      <c r="J23" s="35"/>
      <c r="K23" s="35"/>
      <c r="L23" s="186" t="s">
        <v>170</v>
      </c>
      <c r="M23" s="561">
        <f>T_ACTFLO!E8</f>
        <v>0</v>
      </c>
      <c r="N23" s="561">
        <f>T_ACTFLO!F8</f>
        <v>0</v>
      </c>
      <c r="O23" s="561">
        <f>T_ACTFLO!G8</f>
        <v>0</v>
      </c>
      <c r="P23" s="561">
        <f>T_ACTFLO!H8</f>
        <v>0</v>
      </c>
      <c r="Q23" s="561">
        <f>T_ACTFLO!I8</f>
        <v>0</v>
      </c>
      <c r="R23" s="561">
        <f>T_ACTFLO!J8</f>
        <v>0</v>
      </c>
      <c r="S23" s="561">
        <f>T_ACTFLO!K8</f>
        <v>0</v>
      </c>
      <c r="T23" s="561">
        <f>T_ACTFLO!L8</f>
        <v>0</v>
      </c>
      <c r="U23" s="561">
        <f>T_ACTFLO!M8</f>
        <v>0</v>
      </c>
      <c r="V23" s="561">
        <f>T_ACTFLO!N8</f>
        <v>0</v>
      </c>
      <c r="W23" s="561">
        <f>T_ACTFLO!O8</f>
        <v>0</v>
      </c>
      <c r="X23" s="561">
        <f>T_ACTFLO!P8</f>
        <v>0</v>
      </c>
      <c r="Y23" s="561">
        <f>T_ACTFLO!Q8</f>
        <v>0</v>
      </c>
      <c r="Z23" s="561">
        <f>T_ACTFLO!R8</f>
        <v>0</v>
      </c>
      <c r="AA23" s="561">
        <f>T_ACTFLO!S8</f>
        <v>0</v>
      </c>
      <c r="AB23" s="372"/>
      <c r="AE23" s="35"/>
      <c r="AF23" s="47"/>
      <c r="AG23" s="35"/>
      <c r="AH23" s="35"/>
      <c r="AI23" s="35"/>
      <c r="AJ23" s="35"/>
      <c r="AK23" s="35"/>
      <c r="AV23" s="725" t="s">
        <v>1035</v>
      </c>
      <c r="AW23" s="726">
        <f t="shared" si="19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x14ac:dyDescent="0.25">
      <c r="A24" s="44"/>
      <c r="B24" s="44"/>
      <c r="C24" s="44"/>
      <c r="D24" s="35"/>
      <c r="E24" s="35"/>
      <c r="F24" s="44"/>
      <c r="G24" s="35"/>
      <c r="H24" s="35"/>
      <c r="I24" s="35"/>
      <c r="J24" s="35"/>
      <c r="K24" s="35"/>
      <c r="L24" s="186" t="s">
        <v>426</v>
      </c>
      <c r="M24" s="561">
        <f>T_ACTFLO!E14</f>
        <v>0</v>
      </c>
      <c r="N24" s="561">
        <f>T_ACTFLO!F14</f>
        <v>0</v>
      </c>
      <c r="O24" s="561">
        <f>T_ACTFLO!G14</f>
        <v>0</v>
      </c>
      <c r="P24" s="561">
        <f>T_ACTFLO!H14</f>
        <v>0</v>
      </c>
      <c r="Q24" s="561">
        <f>T_ACTFLO!I14</f>
        <v>0</v>
      </c>
      <c r="R24" s="561">
        <f>T_ACTFLO!J14</f>
        <v>0</v>
      </c>
      <c r="S24" s="561">
        <f>T_ACTFLO!K14</f>
        <v>0</v>
      </c>
      <c r="T24" s="561">
        <f>T_ACTFLO!L14</f>
        <v>0</v>
      </c>
      <c r="U24" s="561">
        <f>T_ACTFLO!M14</f>
        <v>0</v>
      </c>
      <c r="V24" s="561">
        <f>T_ACTFLO!N14</f>
        <v>0</v>
      </c>
      <c r="W24" s="561">
        <f>T_ACTFLO!O14</f>
        <v>0</v>
      </c>
      <c r="X24" s="561">
        <f>T_ACTFLO!P14</f>
        <v>0</v>
      </c>
      <c r="Y24" s="561">
        <f>T_ACTFLO!Q14</f>
        <v>0</v>
      </c>
      <c r="Z24" s="561">
        <f>T_ACTFLO!R14</f>
        <v>0</v>
      </c>
      <c r="AA24" s="561">
        <f>T_ACTFLO!S14</f>
        <v>0</v>
      </c>
      <c r="AB24" s="372"/>
      <c r="AE24" s="35"/>
      <c r="AF24" s="47"/>
      <c r="AG24" s="35"/>
      <c r="AH24" s="35"/>
      <c r="AI24" s="35"/>
      <c r="AJ24" s="35"/>
      <c r="AK24" s="35"/>
      <c r="AV24" s="725" t="s">
        <v>1039</v>
      </c>
      <c r="AW24" s="726">
        <f t="shared" si="19"/>
        <v>0</v>
      </c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</row>
    <row r="25" spans="1:64" s="559" customFormat="1" ht="16.5" customHeight="1" x14ac:dyDescent="0.25">
      <c r="B25" s="17" t="s">
        <v>1122</v>
      </c>
      <c r="C25" s="560"/>
      <c r="D25" s="560"/>
      <c r="H25" s="370"/>
    </row>
    <row r="26" spans="1:64" s="559" customFormat="1" ht="16.5" customHeight="1" x14ac:dyDescent="0.25">
      <c r="H26" s="370"/>
    </row>
    <row r="27" spans="1:64" s="22" customFormat="1" x14ac:dyDescent="0.25">
      <c r="A27" s="35"/>
      <c r="B27" s="35"/>
      <c r="C27" s="50"/>
      <c r="D27" s="50"/>
      <c r="E27" s="35"/>
      <c r="F27" s="35"/>
      <c r="G27" s="41"/>
      <c r="H27" s="51"/>
      <c r="I27" s="41"/>
      <c r="J27" s="41"/>
      <c r="K27" s="40" t="str">
        <f>IF((SUM(M10:AA10)+SUM(M12:AA12)+SUM(M14:AA14)+SUM(M16:AA16))&gt;0,"~FI_T","Not in use")</f>
        <v>Not in use</v>
      </c>
      <c r="L27" s="40"/>
      <c r="M27" s="35"/>
      <c r="N27" s="35"/>
      <c r="O27" s="35"/>
      <c r="P27" s="35"/>
      <c r="Q27" s="41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41"/>
      <c r="AC27" s="49" t="str">
        <f>CONCATENATE("TEST: ",D30)</f>
        <v>TEST: BicYcle.Electric.Passenger.ELC.Base-year.</v>
      </c>
      <c r="AD27" s="49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35"/>
      <c r="AU27" s="35"/>
      <c r="AV27" s="471" t="s">
        <v>1052</v>
      </c>
    </row>
    <row r="28" spans="1:64" s="82" customFormat="1" x14ac:dyDescent="0.25">
      <c r="A28" s="83"/>
      <c r="B28" s="351" t="s">
        <v>1053</v>
      </c>
      <c r="C28" s="352" t="s">
        <v>104</v>
      </c>
      <c r="D28" s="352" t="s">
        <v>1054</v>
      </c>
      <c r="E28" s="352" t="s">
        <v>673</v>
      </c>
      <c r="F28" s="352" t="s">
        <v>674</v>
      </c>
      <c r="G28" s="352" t="s">
        <v>1055</v>
      </c>
      <c r="H28" s="353" t="s">
        <v>1056</v>
      </c>
      <c r="I28" s="352" t="s">
        <v>982</v>
      </c>
      <c r="J28" s="354" t="s">
        <v>1123</v>
      </c>
      <c r="K28" s="352" t="s">
        <v>1057</v>
      </c>
      <c r="L28" s="352" t="s">
        <v>1058</v>
      </c>
      <c r="M28" s="352" t="str">
        <f t="shared" ref="M28:AA28" si="24">M$2</f>
        <v>Z01</v>
      </c>
      <c r="N28" s="352" t="str">
        <f t="shared" si="24"/>
        <v>Z02</v>
      </c>
      <c r="O28" s="352" t="str">
        <f t="shared" si="24"/>
        <v>Z03</v>
      </c>
      <c r="P28" s="352" t="str">
        <f t="shared" si="24"/>
        <v>Z04</v>
      </c>
      <c r="Q28" s="352" t="str">
        <f t="shared" si="24"/>
        <v>Z05</v>
      </c>
      <c r="R28" s="352" t="str">
        <f t="shared" si="24"/>
        <v>Z06</v>
      </c>
      <c r="S28" s="352" t="str">
        <f t="shared" si="24"/>
        <v>Z07</v>
      </c>
      <c r="T28" s="352" t="str">
        <f t="shared" si="24"/>
        <v>Z08</v>
      </c>
      <c r="U28" s="352" t="str">
        <f t="shared" si="24"/>
        <v>Z09</v>
      </c>
      <c r="V28" s="352" t="str">
        <f t="shared" si="24"/>
        <v>Z10</v>
      </c>
      <c r="W28" s="352" t="str">
        <f t="shared" si="24"/>
        <v>Z11</v>
      </c>
      <c r="X28" s="352" t="str">
        <f t="shared" si="24"/>
        <v>Z12</v>
      </c>
      <c r="Y28" s="352" t="str">
        <f t="shared" si="24"/>
        <v>Z13</v>
      </c>
      <c r="Z28" s="352" t="str">
        <f t="shared" si="24"/>
        <v>Z14</v>
      </c>
      <c r="AA28" s="352" t="str">
        <f t="shared" si="24"/>
        <v>Z15</v>
      </c>
      <c r="AB28" s="355"/>
      <c r="AC28" s="701"/>
      <c r="AD28" s="703" t="s">
        <v>421</v>
      </c>
      <c r="AE28" s="703" t="str">
        <f>M$8</f>
        <v>Z01</v>
      </c>
      <c r="AF28" s="703" t="str">
        <f t="shared" ref="AF28" si="25">N$8</f>
        <v>Z02</v>
      </c>
      <c r="AG28" s="703" t="str">
        <f t="shared" ref="AG28" si="26">O$8</f>
        <v>Z03</v>
      </c>
      <c r="AH28" s="703" t="str">
        <f t="shared" ref="AH28" si="27">P$8</f>
        <v>Z04</v>
      </c>
      <c r="AI28" s="703" t="str">
        <f t="shared" ref="AI28" si="28">Q$8</f>
        <v>Z05</v>
      </c>
      <c r="AJ28" s="703" t="str">
        <f t="shared" ref="AJ28" si="29">R$8</f>
        <v>Z06</v>
      </c>
      <c r="AK28" s="703" t="str">
        <f t="shared" ref="AK28" si="30">S$8</f>
        <v>Z07</v>
      </c>
      <c r="AL28" s="703" t="str">
        <f t="shared" ref="AL28" si="31">T$8</f>
        <v>Z08</v>
      </c>
      <c r="AM28" s="703" t="str">
        <f t="shared" ref="AM28" si="32">U$8</f>
        <v>Z09</v>
      </c>
      <c r="AN28" s="703" t="str">
        <f t="shared" ref="AN28" si="33">V$8</f>
        <v>Z10</v>
      </c>
      <c r="AO28" s="703" t="str">
        <f t="shared" ref="AO28" si="34">W$8</f>
        <v>Z11</v>
      </c>
      <c r="AP28" s="703" t="str">
        <f t="shared" ref="AP28" si="35">X$8</f>
        <v>Z12</v>
      </c>
      <c r="AQ28" s="703" t="str">
        <f t="shared" ref="AQ28" si="36">Y$8</f>
        <v>Z13</v>
      </c>
      <c r="AR28" s="703" t="str">
        <f t="shared" ref="AR28" si="37">Z$8</f>
        <v>Z14</v>
      </c>
      <c r="AS28" s="703" t="str">
        <f t="shared" ref="AS28" si="38">AA$8</f>
        <v>Z15</v>
      </c>
      <c r="AT28" s="355"/>
      <c r="AU28" s="355"/>
      <c r="AV28" s="701" t="s">
        <v>85</v>
      </c>
      <c r="AW28" s="701" t="s">
        <v>421</v>
      </c>
      <c r="AX28" s="701" t="str">
        <f>M$2</f>
        <v>Z01</v>
      </c>
      <c r="AY28" s="701" t="str">
        <f t="shared" ref="AY28:BL28" si="39">N$2</f>
        <v>Z02</v>
      </c>
      <c r="AZ28" s="701" t="str">
        <f t="shared" si="39"/>
        <v>Z03</v>
      </c>
      <c r="BA28" s="701" t="str">
        <f t="shared" si="39"/>
        <v>Z04</v>
      </c>
      <c r="BB28" s="701" t="str">
        <f t="shared" si="39"/>
        <v>Z05</v>
      </c>
      <c r="BC28" s="701" t="str">
        <f t="shared" si="39"/>
        <v>Z06</v>
      </c>
      <c r="BD28" s="701" t="str">
        <f t="shared" si="39"/>
        <v>Z07</v>
      </c>
      <c r="BE28" s="701" t="str">
        <f t="shared" si="39"/>
        <v>Z08</v>
      </c>
      <c r="BF28" s="701" t="str">
        <f t="shared" si="39"/>
        <v>Z09</v>
      </c>
      <c r="BG28" s="701" t="str">
        <f t="shared" si="39"/>
        <v>Z10</v>
      </c>
      <c r="BH28" s="701" t="str">
        <f t="shared" si="39"/>
        <v>Z11</v>
      </c>
      <c r="BI28" s="701" t="str">
        <f t="shared" si="39"/>
        <v>Z12</v>
      </c>
      <c r="BJ28" s="701" t="str">
        <f t="shared" si="39"/>
        <v>Z13</v>
      </c>
      <c r="BK28" s="701" t="str">
        <f t="shared" si="39"/>
        <v>Z14</v>
      </c>
      <c r="BL28" s="701" t="str">
        <f t="shared" si="39"/>
        <v>Z15</v>
      </c>
    </row>
    <row r="29" spans="1:64" s="22" customFormat="1" x14ac:dyDescent="0.25">
      <c r="A29" s="35"/>
      <c r="B29" s="176"/>
      <c r="C29" s="176"/>
      <c r="D29" s="176" t="s">
        <v>1062</v>
      </c>
      <c r="E29" s="176"/>
      <c r="F29" s="176"/>
      <c r="G29" s="176"/>
      <c r="H29" s="177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35"/>
      <c r="AC29" s="398" t="s">
        <v>1124</v>
      </c>
      <c r="AD29" s="625" t="str">
        <f>IF(AD36-AC14&lt;0,"too small",IF(AD36-AC14&gt;0.001,"Too big","ok"))</f>
        <v>ok</v>
      </c>
      <c r="AE29" s="619" t="str">
        <f>IF(AE36-M14&lt;0,"too small",IF(AE36-M14&gt;0.001,"Too big","ok"))</f>
        <v>ok</v>
      </c>
      <c r="AF29" s="619" t="str">
        <f t="shared" ref="AF29:AS29" si="40">IF(AF36-N14&lt;0,"too small",IF(AF36-N14&gt;0.001,"Too big","ok"))</f>
        <v>ok</v>
      </c>
      <c r="AG29" s="619" t="str">
        <f t="shared" si="40"/>
        <v>ok</v>
      </c>
      <c r="AH29" s="619" t="str">
        <f t="shared" si="40"/>
        <v>ok</v>
      </c>
      <c r="AI29" s="619" t="str">
        <f t="shared" si="40"/>
        <v>ok</v>
      </c>
      <c r="AJ29" s="619" t="str">
        <f t="shared" si="40"/>
        <v>ok</v>
      </c>
      <c r="AK29" s="619" t="str">
        <f t="shared" si="40"/>
        <v>ok</v>
      </c>
      <c r="AL29" s="619" t="str">
        <f t="shared" si="40"/>
        <v>ok</v>
      </c>
      <c r="AM29" s="619" t="str">
        <f t="shared" si="40"/>
        <v>ok</v>
      </c>
      <c r="AN29" s="619" t="str">
        <f t="shared" si="40"/>
        <v>ok</v>
      </c>
      <c r="AO29" s="619" t="str">
        <f t="shared" si="40"/>
        <v>ok</v>
      </c>
      <c r="AP29" s="619" t="str">
        <f t="shared" si="40"/>
        <v>ok</v>
      </c>
      <c r="AQ29" s="619" t="str">
        <f t="shared" si="40"/>
        <v>ok</v>
      </c>
      <c r="AR29" s="619" t="str">
        <f t="shared" si="40"/>
        <v>ok</v>
      </c>
      <c r="AS29" s="619" t="str">
        <f t="shared" si="40"/>
        <v>ok</v>
      </c>
      <c r="AT29" s="35"/>
      <c r="AU29" s="35"/>
      <c r="AV29" s="398" t="s">
        <v>103</v>
      </c>
      <c r="AW29" s="711">
        <f>SUM(AX29:BL29)</f>
        <v>0</v>
      </c>
      <c r="AX29" s="704">
        <f>SUM(AX30:AX75)</f>
        <v>0</v>
      </c>
      <c r="AY29" s="704">
        <f t="shared" ref="AY29:BL29" si="41">SUM(AY30:AY75)</f>
        <v>0</v>
      </c>
      <c r="AZ29" s="704">
        <f t="shared" si="41"/>
        <v>0</v>
      </c>
      <c r="BA29" s="704">
        <f t="shared" si="41"/>
        <v>0</v>
      </c>
      <c r="BB29" s="704">
        <f t="shared" si="41"/>
        <v>0</v>
      </c>
      <c r="BC29" s="704">
        <f t="shared" si="41"/>
        <v>0</v>
      </c>
      <c r="BD29" s="704">
        <f t="shared" si="41"/>
        <v>0</v>
      </c>
      <c r="BE29" s="704">
        <f t="shared" si="41"/>
        <v>0</v>
      </c>
      <c r="BF29" s="704">
        <f t="shared" si="41"/>
        <v>0</v>
      </c>
      <c r="BG29" s="704">
        <f t="shared" si="41"/>
        <v>0</v>
      </c>
      <c r="BH29" s="704">
        <f t="shared" si="41"/>
        <v>0</v>
      </c>
      <c r="BI29" s="704">
        <f t="shared" si="41"/>
        <v>0</v>
      </c>
      <c r="BJ29" s="704">
        <f t="shared" si="41"/>
        <v>0</v>
      </c>
      <c r="BK29" s="704">
        <f t="shared" si="41"/>
        <v>0</v>
      </c>
      <c r="BL29" s="704">
        <f t="shared" si="41"/>
        <v>0</v>
      </c>
    </row>
    <row r="30" spans="1:64" s="35" customFormat="1" x14ac:dyDescent="0.25">
      <c r="A30" s="22"/>
      <c r="B30" s="186" t="str">
        <f>C30</f>
        <v>TYEP100</v>
      </c>
      <c r="C30" s="186" t="s">
        <v>380</v>
      </c>
      <c r="D30" s="187" t="s">
        <v>898</v>
      </c>
      <c r="E30" s="188"/>
      <c r="F30" s="213" t="s">
        <v>398</v>
      </c>
      <c r="G30" s="170"/>
      <c r="H30" s="190"/>
      <c r="I30" s="191"/>
      <c r="J30" s="191"/>
      <c r="K30" s="192" t="s">
        <v>1107</v>
      </c>
      <c r="L30" s="191" t="s">
        <v>1125</v>
      </c>
      <c r="M30" s="567">
        <f>10^-3</f>
        <v>1E-3</v>
      </c>
      <c r="N30" s="567">
        <f t="shared" ref="N30:AA30" si="42">10^-3</f>
        <v>1E-3</v>
      </c>
      <c r="O30" s="567">
        <f t="shared" si="42"/>
        <v>1E-3</v>
      </c>
      <c r="P30" s="567">
        <f t="shared" si="42"/>
        <v>1E-3</v>
      </c>
      <c r="Q30" s="567">
        <f t="shared" si="42"/>
        <v>1E-3</v>
      </c>
      <c r="R30" s="567">
        <f t="shared" si="42"/>
        <v>1E-3</v>
      </c>
      <c r="S30" s="567">
        <f t="shared" si="42"/>
        <v>1E-3</v>
      </c>
      <c r="T30" s="567">
        <f t="shared" si="42"/>
        <v>1E-3</v>
      </c>
      <c r="U30" s="567">
        <f t="shared" si="42"/>
        <v>1E-3</v>
      </c>
      <c r="V30" s="567">
        <f t="shared" si="42"/>
        <v>1E-3</v>
      </c>
      <c r="W30" s="567">
        <f t="shared" si="42"/>
        <v>1E-3</v>
      </c>
      <c r="X30" s="567">
        <f t="shared" si="42"/>
        <v>1E-3</v>
      </c>
      <c r="Y30" s="567">
        <f t="shared" si="42"/>
        <v>1E-3</v>
      </c>
      <c r="Z30" s="567">
        <f t="shared" si="42"/>
        <v>1E-3</v>
      </c>
      <c r="AA30" s="567">
        <f t="shared" si="42"/>
        <v>1E-3</v>
      </c>
      <c r="AC30" s="56" t="str">
        <f>F30</f>
        <v>TYEP</v>
      </c>
      <c r="AD30" s="59"/>
      <c r="AW30" s="705"/>
      <c r="AX30" s="705"/>
      <c r="AY30" s="705"/>
      <c r="AZ30" s="705"/>
      <c r="BA30" s="705"/>
      <c r="BB30" s="705"/>
      <c r="BC30" s="705"/>
      <c r="BD30" s="705"/>
      <c r="BE30" s="705"/>
      <c r="BF30" s="705"/>
      <c r="BG30" s="705"/>
      <c r="BH30" s="705"/>
      <c r="BI30" s="705"/>
      <c r="BJ30" s="705"/>
      <c r="BK30" s="705"/>
      <c r="BL30" s="705"/>
    </row>
    <row r="31" spans="1:64" s="35" customFormat="1" x14ac:dyDescent="0.25">
      <c r="B31" s="186" t="str">
        <f t="shared" ref="B31:B42" si="43">B30</f>
        <v>TYEP100</v>
      </c>
      <c r="C31" s="186"/>
      <c r="D31" s="186"/>
      <c r="E31" s="188" t="s">
        <v>681</v>
      </c>
      <c r="F31" s="213"/>
      <c r="G31" s="170"/>
      <c r="H31" s="190"/>
      <c r="I31" s="191"/>
      <c r="J31" s="191"/>
      <c r="K31" s="186" t="s">
        <v>1064</v>
      </c>
      <c r="L31" s="191" t="s">
        <v>678</v>
      </c>
      <c r="M31" s="369">
        <v>1000</v>
      </c>
      <c r="N31" s="369">
        <f>M31</f>
        <v>1000</v>
      </c>
      <c r="O31" s="369">
        <f t="shared" ref="O31:AA31" si="44">N31</f>
        <v>1000</v>
      </c>
      <c r="P31" s="369">
        <f t="shared" si="44"/>
        <v>1000</v>
      </c>
      <c r="Q31" s="369">
        <f t="shared" si="44"/>
        <v>1000</v>
      </c>
      <c r="R31" s="369">
        <f t="shared" si="44"/>
        <v>1000</v>
      </c>
      <c r="S31" s="369">
        <f t="shared" si="44"/>
        <v>1000</v>
      </c>
      <c r="T31" s="369">
        <f t="shared" si="44"/>
        <v>1000</v>
      </c>
      <c r="U31" s="369">
        <f t="shared" si="44"/>
        <v>1000</v>
      </c>
      <c r="V31" s="369">
        <f t="shared" si="44"/>
        <v>1000</v>
      </c>
      <c r="W31" s="369">
        <f t="shared" si="44"/>
        <v>1000</v>
      </c>
      <c r="X31" s="369">
        <f t="shared" si="44"/>
        <v>1000</v>
      </c>
      <c r="Y31" s="369">
        <f t="shared" si="44"/>
        <v>1000</v>
      </c>
      <c r="Z31" s="369">
        <f t="shared" si="44"/>
        <v>1000</v>
      </c>
      <c r="AA31" s="369">
        <f t="shared" si="44"/>
        <v>1000</v>
      </c>
      <c r="AC31" s="621" t="str">
        <f>IF(COUNTIF($AF$2:$AM$2,AC30)=1,"ok","MISSING")</f>
        <v>ok</v>
      </c>
      <c r="AT31" s="55"/>
      <c r="AU31" s="55"/>
      <c r="AV31" s="700" t="str">
        <f>MID(E31,1,7)</f>
        <v>TRAHUM</v>
      </c>
      <c r="AW31" s="705">
        <f>SUM(AX31:BL31)</f>
        <v>0</v>
      </c>
      <c r="AX31" s="705">
        <f>M35*M36*(1-M33)/M31/1000</f>
        <v>0</v>
      </c>
      <c r="AY31" s="705">
        <f t="shared" ref="AY31:BL31" si="45">N35*N36*(1-N33)/N31/1000</f>
        <v>0</v>
      </c>
      <c r="AZ31" s="705">
        <f t="shared" si="45"/>
        <v>0</v>
      </c>
      <c r="BA31" s="705">
        <f t="shared" si="45"/>
        <v>0</v>
      </c>
      <c r="BB31" s="705">
        <f t="shared" si="45"/>
        <v>0</v>
      </c>
      <c r="BC31" s="705">
        <f t="shared" si="45"/>
        <v>0</v>
      </c>
      <c r="BD31" s="705">
        <f t="shared" si="45"/>
        <v>0</v>
      </c>
      <c r="BE31" s="705">
        <f t="shared" si="45"/>
        <v>0</v>
      </c>
      <c r="BF31" s="705">
        <f t="shared" si="45"/>
        <v>0</v>
      </c>
      <c r="BG31" s="705">
        <f t="shared" si="45"/>
        <v>0</v>
      </c>
      <c r="BH31" s="705">
        <f t="shared" si="45"/>
        <v>0</v>
      </c>
      <c r="BI31" s="705">
        <f t="shared" si="45"/>
        <v>0</v>
      </c>
      <c r="BJ31" s="705">
        <f t="shared" si="45"/>
        <v>0</v>
      </c>
      <c r="BK31" s="705">
        <f t="shared" si="45"/>
        <v>0</v>
      </c>
      <c r="BL31" s="705">
        <f t="shared" si="45"/>
        <v>0</v>
      </c>
    </row>
    <row r="32" spans="1:64" s="35" customFormat="1" x14ac:dyDescent="0.25">
      <c r="B32" s="186" t="str">
        <f t="shared" si="43"/>
        <v>TYEP100</v>
      </c>
      <c r="C32" s="186"/>
      <c r="D32" s="186"/>
      <c r="E32" s="258" t="s">
        <v>683</v>
      </c>
      <c r="F32" s="213"/>
      <c r="G32" s="170"/>
      <c r="H32" s="190"/>
      <c r="I32" s="191"/>
      <c r="J32" s="191"/>
      <c r="K32" s="186" t="s">
        <v>1126</v>
      </c>
      <c r="L32" s="191" t="s">
        <v>678</v>
      </c>
      <c r="M32" s="369">
        <f>T_CEFF!H17</f>
        <v>4.5454499999999998</v>
      </c>
      <c r="N32" s="369">
        <f>T_CEFF!I17</f>
        <v>4.5454499999999998</v>
      </c>
      <c r="O32" s="369">
        <f>T_CEFF!J17</f>
        <v>4.5454499999999998</v>
      </c>
      <c r="P32" s="369">
        <f>T_CEFF!K17</f>
        <v>4.5454499999999998</v>
      </c>
      <c r="Q32" s="369">
        <f>T_CEFF!L17</f>
        <v>4.5454499999999998</v>
      </c>
      <c r="R32" s="369">
        <f>T_CEFF!M17</f>
        <v>4.5454499999999998</v>
      </c>
      <c r="S32" s="369">
        <f>T_CEFF!N17</f>
        <v>4.5454499999999998</v>
      </c>
      <c r="T32" s="369">
        <f>T_CEFF!O17</f>
        <v>4.5454499999999998</v>
      </c>
      <c r="U32" s="369">
        <f>T_CEFF!P17</f>
        <v>4.5454499999999998</v>
      </c>
      <c r="V32" s="369">
        <f>T_CEFF!Q17</f>
        <v>4.5454499999999998</v>
      </c>
      <c r="W32" s="369">
        <f>T_CEFF!R17</f>
        <v>4.5454499999999998</v>
      </c>
      <c r="X32" s="369">
        <f>T_CEFF!S17</f>
        <v>4.5454499999999998</v>
      </c>
      <c r="Y32" s="369">
        <f>T_CEFF!T17</f>
        <v>4.5454499999999998</v>
      </c>
      <c r="Z32" s="369">
        <f>T_CEFF!U17</f>
        <v>4.5454499999999998</v>
      </c>
      <c r="AA32" s="369">
        <f>T_CEFF!V17</f>
        <v>4.5454499999999998</v>
      </c>
      <c r="AC32" s="55"/>
      <c r="AT32" s="55"/>
      <c r="AU32" s="55"/>
      <c r="AV32" s="700" t="str">
        <f>MID(E32,1,7)</f>
        <v>TRAELC</v>
      </c>
      <c r="AW32" s="705">
        <f t="shared" ref="AW32" si="46">SUM(AX32:BL32)</f>
        <v>0</v>
      </c>
      <c r="AX32" s="705">
        <f>M35*M36*M33/M32/1000</f>
        <v>0</v>
      </c>
      <c r="AY32" s="705">
        <f t="shared" ref="AY32:BL32" si="47">N35*N36*N33/N32/1000</f>
        <v>0</v>
      </c>
      <c r="AZ32" s="705">
        <f t="shared" si="47"/>
        <v>0</v>
      </c>
      <c r="BA32" s="705">
        <f t="shared" si="47"/>
        <v>0</v>
      </c>
      <c r="BB32" s="705">
        <f t="shared" si="47"/>
        <v>0</v>
      </c>
      <c r="BC32" s="705">
        <f t="shared" si="47"/>
        <v>0</v>
      </c>
      <c r="BD32" s="705">
        <f t="shared" si="47"/>
        <v>0</v>
      </c>
      <c r="BE32" s="705">
        <f t="shared" si="47"/>
        <v>0</v>
      </c>
      <c r="BF32" s="705">
        <f t="shared" si="47"/>
        <v>0</v>
      </c>
      <c r="BG32" s="705">
        <f t="shared" si="47"/>
        <v>0</v>
      </c>
      <c r="BH32" s="705">
        <f t="shared" si="47"/>
        <v>0</v>
      </c>
      <c r="BI32" s="705">
        <f t="shared" si="47"/>
        <v>0</v>
      </c>
      <c r="BJ32" s="705">
        <f t="shared" si="47"/>
        <v>0</v>
      </c>
      <c r="BK32" s="705">
        <f t="shared" si="47"/>
        <v>0</v>
      </c>
      <c r="BL32" s="705">
        <f t="shared" si="47"/>
        <v>0</v>
      </c>
    </row>
    <row r="33" spans="1:64" s="35" customFormat="1" x14ac:dyDescent="0.25">
      <c r="B33" s="186" t="str">
        <f t="shared" si="43"/>
        <v>TYEP100</v>
      </c>
      <c r="C33" s="186"/>
      <c r="D33" s="186"/>
      <c r="E33" s="188" t="str">
        <f>E32</f>
        <v>TRAELC</v>
      </c>
      <c r="F33" s="213"/>
      <c r="G33" s="170"/>
      <c r="H33" s="190"/>
      <c r="I33" s="191" t="s">
        <v>1127</v>
      </c>
      <c r="J33" s="191"/>
      <c r="K33" s="186" t="s">
        <v>101</v>
      </c>
      <c r="L33" s="191"/>
      <c r="M33" s="368">
        <v>0.3</v>
      </c>
      <c r="N33" s="368">
        <f t="shared" ref="N33:AA33" si="48">$M33</f>
        <v>0.3</v>
      </c>
      <c r="O33" s="368">
        <f t="shared" si="48"/>
        <v>0.3</v>
      </c>
      <c r="P33" s="368">
        <f t="shared" si="48"/>
        <v>0.3</v>
      </c>
      <c r="Q33" s="368">
        <f t="shared" si="48"/>
        <v>0.3</v>
      </c>
      <c r="R33" s="368">
        <f t="shared" si="48"/>
        <v>0.3</v>
      </c>
      <c r="S33" s="368">
        <f t="shared" si="48"/>
        <v>0.3</v>
      </c>
      <c r="T33" s="368">
        <f t="shared" si="48"/>
        <v>0.3</v>
      </c>
      <c r="U33" s="368">
        <f t="shared" si="48"/>
        <v>0.3</v>
      </c>
      <c r="V33" s="368">
        <f t="shared" si="48"/>
        <v>0.3</v>
      </c>
      <c r="W33" s="368">
        <f t="shared" si="48"/>
        <v>0.3</v>
      </c>
      <c r="X33" s="368">
        <f t="shared" si="48"/>
        <v>0.3</v>
      </c>
      <c r="Y33" s="368">
        <f t="shared" si="48"/>
        <v>0.3</v>
      </c>
      <c r="Z33" s="368">
        <f t="shared" si="48"/>
        <v>0.3</v>
      </c>
      <c r="AA33" s="368">
        <f t="shared" si="48"/>
        <v>0.3</v>
      </c>
      <c r="AC33" s="55"/>
      <c r="AT33" s="55"/>
      <c r="AU33" s="55"/>
      <c r="AV33" s="700"/>
      <c r="AW33" s="705"/>
      <c r="AX33" s="705"/>
      <c r="AY33" s="705"/>
      <c r="AZ33" s="705"/>
      <c r="BA33" s="705"/>
      <c r="BB33" s="705"/>
      <c r="BC33" s="705"/>
      <c r="BD33" s="705"/>
      <c r="BE33" s="705"/>
      <c r="BF33" s="705"/>
      <c r="BG33" s="705"/>
      <c r="BH33" s="705"/>
      <c r="BI33" s="705"/>
      <c r="BJ33" s="705"/>
      <c r="BK33" s="705"/>
      <c r="BL33" s="705"/>
    </row>
    <row r="34" spans="1:64" s="35" customFormat="1" x14ac:dyDescent="0.25">
      <c r="B34" s="186" t="str">
        <f t="shared" si="43"/>
        <v>TYEP100</v>
      </c>
      <c r="C34" s="186"/>
      <c r="D34" s="187"/>
      <c r="E34" s="186"/>
      <c r="F34" s="213"/>
      <c r="G34" s="170"/>
      <c r="H34" s="190"/>
      <c r="I34" s="191"/>
      <c r="J34" s="191" t="s">
        <v>749</v>
      </c>
      <c r="K34" s="186" t="s">
        <v>1128</v>
      </c>
      <c r="L34" s="191" t="s">
        <v>1129</v>
      </c>
      <c r="M34" s="368">
        <f>M$22</f>
        <v>0</v>
      </c>
      <c r="N34" s="368">
        <f t="shared" ref="N34:AA34" si="49">N$22</f>
        <v>0</v>
      </c>
      <c r="O34" s="368">
        <f t="shared" si="49"/>
        <v>0</v>
      </c>
      <c r="P34" s="368">
        <f t="shared" si="49"/>
        <v>0</v>
      </c>
      <c r="Q34" s="368">
        <f t="shared" si="49"/>
        <v>0</v>
      </c>
      <c r="R34" s="368">
        <f t="shared" si="49"/>
        <v>0</v>
      </c>
      <c r="S34" s="368">
        <f t="shared" si="49"/>
        <v>0</v>
      </c>
      <c r="T34" s="368">
        <f t="shared" si="49"/>
        <v>0</v>
      </c>
      <c r="U34" s="368">
        <f t="shared" si="49"/>
        <v>0</v>
      </c>
      <c r="V34" s="368">
        <f t="shared" si="49"/>
        <v>0</v>
      </c>
      <c r="W34" s="368">
        <f t="shared" si="49"/>
        <v>0</v>
      </c>
      <c r="X34" s="368">
        <f t="shared" si="49"/>
        <v>0</v>
      </c>
      <c r="Y34" s="368">
        <f t="shared" si="49"/>
        <v>0</v>
      </c>
      <c r="Z34" s="368">
        <f t="shared" si="49"/>
        <v>0</v>
      </c>
      <c r="AA34" s="368">
        <f t="shared" si="49"/>
        <v>0</v>
      </c>
      <c r="AV34" s="700" t="str">
        <f t="shared" ref="AV34:AV72" si="50">MID(E34,1,7)</f>
        <v/>
      </c>
      <c r="AW34" s="705"/>
      <c r="AX34" s="705"/>
      <c r="AY34" s="705"/>
      <c r="AZ34" s="705"/>
      <c r="BA34" s="705"/>
      <c r="BB34" s="705"/>
      <c r="BC34" s="705"/>
      <c r="BD34" s="705"/>
      <c r="BE34" s="705"/>
      <c r="BF34" s="705"/>
      <c r="BG34" s="705"/>
      <c r="BH34" s="705"/>
      <c r="BI34" s="705"/>
      <c r="BJ34" s="705"/>
      <c r="BK34" s="705"/>
      <c r="BL34" s="705"/>
    </row>
    <row r="35" spans="1:64" s="35" customFormat="1" x14ac:dyDescent="0.25">
      <c r="B35" s="186" t="str">
        <f t="shared" si="43"/>
        <v>TYEP100</v>
      </c>
      <c r="C35" s="186"/>
      <c r="D35" s="187"/>
      <c r="E35" s="186"/>
      <c r="F35" s="213"/>
      <c r="G35" s="170"/>
      <c r="H35" s="190"/>
      <c r="I35" s="191"/>
      <c r="J35" s="191"/>
      <c r="K35" s="192" t="s">
        <v>1130</v>
      </c>
      <c r="L35" s="191" t="s">
        <v>1131</v>
      </c>
      <c r="M35" s="369">
        <f>T_NCAP_AF!D281</f>
        <v>0</v>
      </c>
      <c r="N35" s="369">
        <f>T_NCAP_AF!E281</f>
        <v>0</v>
      </c>
      <c r="O35" s="369">
        <f>T_NCAP_AF!F281</f>
        <v>0</v>
      </c>
      <c r="P35" s="369">
        <f>T_NCAP_AF!G281</f>
        <v>0</v>
      </c>
      <c r="Q35" s="369">
        <f>T_NCAP_AF!H281</f>
        <v>0</v>
      </c>
      <c r="R35" s="369">
        <f>T_NCAP_AF!I281</f>
        <v>0</v>
      </c>
      <c r="S35" s="369">
        <f>T_NCAP_AF!J281</f>
        <v>0</v>
      </c>
      <c r="T35" s="369">
        <f>T_NCAP_AF!K281</f>
        <v>0</v>
      </c>
      <c r="U35" s="369">
        <f>T_NCAP_AF!L281</f>
        <v>0</v>
      </c>
      <c r="V35" s="369">
        <f>T_NCAP_AF!M281</f>
        <v>0</v>
      </c>
      <c r="W35" s="369">
        <f>T_NCAP_AF!N281</f>
        <v>0</v>
      </c>
      <c r="X35" s="369">
        <f>T_NCAP_AF!O281</f>
        <v>0</v>
      </c>
      <c r="Y35" s="369">
        <f>T_NCAP_AF!P281</f>
        <v>0</v>
      </c>
      <c r="Z35" s="369">
        <f>T_NCAP_AF!Q281</f>
        <v>0</v>
      </c>
      <c r="AA35" s="369">
        <f>T_NCAP_AF!R281</f>
        <v>0</v>
      </c>
      <c r="AV35" s="700" t="str">
        <f t="shared" si="50"/>
        <v/>
      </c>
      <c r="AW35" s="705"/>
      <c r="AX35" s="705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s="35" customFormat="1" x14ac:dyDescent="0.25">
      <c r="B36" s="186" t="str">
        <f t="shared" si="43"/>
        <v>TYEP100</v>
      </c>
      <c r="C36" s="186"/>
      <c r="D36" s="187"/>
      <c r="E36" s="186"/>
      <c r="F36" s="213"/>
      <c r="G36" s="170"/>
      <c r="H36" s="190">
        <f>$L$3</f>
        <v>2019</v>
      </c>
      <c r="I36" s="191"/>
      <c r="J36" s="191"/>
      <c r="K36" s="192" t="s">
        <v>1065</v>
      </c>
      <c r="L36" s="191" t="s">
        <v>748</v>
      </c>
      <c r="M36" s="689"/>
      <c r="N36" s="689"/>
      <c r="O36" s="689"/>
      <c r="P36" s="689"/>
      <c r="Q36" s="689"/>
      <c r="R36" s="689"/>
      <c r="S36" s="689"/>
      <c r="T36" s="689"/>
      <c r="U36" s="689"/>
      <c r="V36" s="689"/>
      <c r="W36" s="689"/>
      <c r="X36" s="689"/>
      <c r="Y36" s="689"/>
      <c r="Z36" s="689"/>
      <c r="AA36" s="689"/>
      <c r="AB36" s="325"/>
      <c r="AC36" s="512" t="s">
        <v>1132</v>
      </c>
      <c r="AD36" s="80">
        <f>SUM(AE36:AS36)</f>
        <v>0</v>
      </c>
      <c r="AE36" s="626">
        <f>M34*M35*M36/1000</f>
        <v>0</v>
      </c>
      <c r="AF36" s="626">
        <f t="shared" ref="AF36:AS36" si="51">N34*N35*N36/1000</f>
        <v>0</v>
      </c>
      <c r="AG36" s="626">
        <f t="shared" si="51"/>
        <v>0</v>
      </c>
      <c r="AH36" s="626">
        <f t="shared" si="51"/>
        <v>0</v>
      </c>
      <c r="AI36" s="626">
        <f t="shared" si="51"/>
        <v>0</v>
      </c>
      <c r="AJ36" s="626">
        <f t="shared" si="51"/>
        <v>0</v>
      </c>
      <c r="AK36" s="626">
        <f t="shared" si="51"/>
        <v>0</v>
      </c>
      <c r="AL36" s="626">
        <f t="shared" si="51"/>
        <v>0</v>
      </c>
      <c r="AM36" s="626">
        <f t="shared" si="51"/>
        <v>0</v>
      </c>
      <c r="AN36" s="626">
        <f t="shared" si="51"/>
        <v>0</v>
      </c>
      <c r="AO36" s="626">
        <f t="shared" si="51"/>
        <v>0</v>
      </c>
      <c r="AP36" s="626">
        <f t="shared" si="51"/>
        <v>0</v>
      </c>
      <c r="AQ36" s="626">
        <f t="shared" si="51"/>
        <v>0</v>
      </c>
      <c r="AR36" s="626">
        <f t="shared" si="51"/>
        <v>0</v>
      </c>
      <c r="AS36" s="626">
        <f t="shared" si="51"/>
        <v>0</v>
      </c>
      <c r="AV36" s="700" t="str">
        <f t="shared" si="50"/>
        <v/>
      </c>
      <c r="AW36" s="705"/>
      <c r="AX36" s="705"/>
      <c r="AY36" s="705"/>
      <c r="AZ36" s="705"/>
      <c r="BA36" s="705"/>
      <c r="BB36" s="705"/>
      <c r="BC36" s="705"/>
      <c r="BD36" s="705"/>
      <c r="BE36" s="705"/>
      <c r="BF36" s="705"/>
      <c r="BG36" s="705"/>
      <c r="BH36" s="705"/>
      <c r="BI36" s="705"/>
      <c r="BJ36" s="705"/>
      <c r="BK36" s="705"/>
      <c r="BL36" s="705"/>
    </row>
    <row r="37" spans="1:64" s="35" customFormat="1" x14ac:dyDescent="0.25">
      <c r="B37" s="186" t="str">
        <f t="shared" si="43"/>
        <v>TYEP100</v>
      </c>
      <c r="C37" s="186"/>
      <c r="D37" s="187"/>
      <c r="E37" s="186"/>
      <c r="F37" s="213"/>
      <c r="G37" s="170"/>
      <c r="H37" s="190">
        <f>AE$3</f>
        <v>2016</v>
      </c>
      <c r="I37" s="191"/>
      <c r="J37" s="191"/>
      <c r="K37" s="192" t="s">
        <v>1065</v>
      </c>
      <c r="L37" s="191" t="s">
        <v>748</v>
      </c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V37" s="700" t="str">
        <f t="shared" si="50"/>
        <v/>
      </c>
      <c r="AW37" s="705"/>
      <c r="AX37" s="705"/>
      <c r="AY37" s="705"/>
      <c r="AZ37" s="705"/>
      <c r="BA37" s="705"/>
      <c r="BB37" s="705"/>
      <c r="BC37" s="705"/>
      <c r="BD37" s="705"/>
      <c r="BE37" s="705"/>
      <c r="BF37" s="705"/>
      <c r="BG37" s="705"/>
      <c r="BH37" s="705"/>
      <c r="BI37" s="705"/>
      <c r="BJ37" s="705"/>
      <c r="BK37" s="705"/>
      <c r="BL37" s="705"/>
    </row>
    <row r="38" spans="1:64" s="35" customFormat="1" x14ac:dyDescent="0.25">
      <c r="B38" s="186" t="str">
        <f t="shared" si="43"/>
        <v>TYEP100</v>
      </c>
      <c r="C38" s="186"/>
      <c r="D38" s="187"/>
      <c r="E38" s="186"/>
      <c r="F38" s="213"/>
      <c r="G38" s="170"/>
      <c r="H38" s="190">
        <f>AE$4</f>
        <v>2020</v>
      </c>
      <c r="I38" s="191"/>
      <c r="J38" s="191"/>
      <c r="K38" s="192" t="s">
        <v>1065</v>
      </c>
      <c r="L38" s="191" t="s">
        <v>748</v>
      </c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700" t="str">
        <f t="shared" si="50"/>
        <v/>
      </c>
      <c r="AW38" s="705"/>
      <c r="AX38" s="705"/>
      <c r="AY38" s="705"/>
      <c r="AZ38" s="705"/>
      <c r="BA38" s="705"/>
      <c r="BB38" s="705"/>
      <c r="BC38" s="705"/>
      <c r="BD38" s="705"/>
      <c r="BE38" s="705"/>
      <c r="BF38" s="705"/>
      <c r="BG38" s="705"/>
      <c r="BH38" s="705"/>
      <c r="BI38" s="705"/>
      <c r="BJ38" s="705"/>
      <c r="BK38" s="705"/>
      <c r="BL38" s="705"/>
    </row>
    <row r="39" spans="1:64" s="35" customFormat="1" x14ac:dyDescent="0.25">
      <c r="B39" s="186" t="str">
        <f t="shared" si="43"/>
        <v>TYEP100</v>
      </c>
      <c r="C39" s="186"/>
      <c r="D39" s="187"/>
      <c r="E39" s="186"/>
      <c r="F39" s="213"/>
      <c r="G39" s="170"/>
      <c r="H39" s="190">
        <f>AE$5</f>
        <v>2025</v>
      </c>
      <c r="I39" s="191"/>
      <c r="J39" s="191"/>
      <c r="K39" s="192" t="s">
        <v>1065</v>
      </c>
      <c r="L39" s="191" t="s">
        <v>748</v>
      </c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V39" s="700" t="str">
        <f t="shared" si="50"/>
        <v/>
      </c>
      <c r="AW39" s="705"/>
      <c r="AX39" s="705"/>
      <c r="AY39" s="705"/>
      <c r="AZ39" s="705"/>
      <c r="BA39" s="705"/>
      <c r="BB39" s="705"/>
      <c r="BC39" s="705"/>
      <c r="BD39" s="705"/>
      <c r="BE39" s="705"/>
      <c r="BF39" s="705"/>
      <c r="BG39" s="705"/>
      <c r="BH39" s="705"/>
      <c r="BI39" s="705"/>
      <c r="BJ39" s="705"/>
      <c r="BK39" s="705"/>
      <c r="BL39" s="705"/>
    </row>
    <row r="40" spans="1:64" s="35" customFormat="1" x14ac:dyDescent="0.25">
      <c r="B40" s="186" t="str">
        <f t="shared" si="43"/>
        <v>TYEP100</v>
      </c>
      <c r="C40" s="186"/>
      <c r="D40" s="187"/>
      <c r="E40" s="186"/>
      <c r="F40" s="213"/>
      <c r="G40" s="170"/>
      <c r="H40" s="190">
        <f>AE$6</f>
        <v>2030</v>
      </c>
      <c r="I40" s="191"/>
      <c r="J40" s="191"/>
      <c r="K40" s="192" t="s">
        <v>1065</v>
      </c>
      <c r="L40" s="191" t="s">
        <v>748</v>
      </c>
      <c r="M40" s="687"/>
      <c r="N40" s="687"/>
      <c r="O40" s="687"/>
      <c r="P40" s="687"/>
      <c r="Q40" s="687"/>
      <c r="R40" s="687"/>
      <c r="S40" s="687"/>
      <c r="T40" s="687"/>
      <c r="U40" s="687"/>
      <c r="V40" s="687"/>
      <c r="W40" s="687"/>
      <c r="X40" s="687"/>
      <c r="Y40" s="687"/>
      <c r="Z40" s="687"/>
      <c r="AA40" s="687"/>
      <c r="AV40" s="700" t="str">
        <f t="shared" si="50"/>
        <v/>
      </c>
      <c r="AW40" s="705"/>
      <c r="AX40" s="705"/>
      <c r="AY40" s="705"/>
      <c r="AZ40" s="705"/>
      <c r="BA40" s="705"/>
      <c r="BB40" s="705"/>
      <c r="BC40" s="705"/>
      <c r="BD40" s="705"/>
      <c r="BE40" s="705"/>
      <c r="BF40" s="705"/>
      <c r="BG40" s="705"/>
      <c r="BH40" s="705"/>
      <c r="BI40" s="705"/>
      <c r="BJ40" s="705"/>
      <c r="BK40" s="705"/>
      <c r="BL40" s="705"/>
    </row>
    <row r="41" spans="1:64" s="35" customFormat="1" x14ac:dyDescent="0.25">
      <c r="B41" s="186" t="str">
        <f t="shared" si="43"/>
        <v>TYEP100</v>
      </c>
      <c r="C41" s="186"/>
      <c r="D41" s="187"/>
      <c r="E41" s="186"/>
      <c r="F41" s="213"/>
      <c r="G41" s="170"/>
      <c r="H41" s="190">
        <f>AE$7</f>
        <v>2040</v>
      </c>
      <c r="I41" s="191"/>
      <c r="J41" s="191"/>
      <c r="K41" s="192" t="s">
        <v>1065</v>
      </c>
      <c r="L41" s="191" t="s">
        <v>748</v>
      </c>
      <c r="M41" s="687"/>
      <c r="N41" s="687"/>
      <c r="O41" s="687"/>
      <c r="P41" s="687"/>
      <c r="Q41" s="687"/>
      <c r="R41" s="687"/>
      <c r="S41" s="687"/>
      <c r="T41" s="687"/>
      <c r="U41" s="687"/>
      <c r="V41" s="687"/>
      <c r="W41" s="687"/>
      <c r="X41" s="687"/>
      <c r="Y41" s="687"/>
      <c r="Z41" s="687"/>
      <c r="AA41" s="687"/>
      <c r="AC41" s="49" t="str">
        <f>CONCATENATE("TEST: ",D43)</f>
        <v>TEST: BicYcle.Nonenergy.Passenger.Base-year.</v>
      </c>
      <c r="AV41" s="700" t="str">
        <f t="shared" si="50"/>
        <v/>
      </c>
      <c r="AW41" s="705"/>
      <c r="AX41" s="705"/>
      <c r="AY41" s="705"/>
      <c r="AZ41" s="705"/>
      <c r="BA41" s="705"/>
      <c r="BB41" s="705"/>
      <c r="BC41" s="705"/>
      <c r="BD41" s="705"/>
      <c r="BE41" s="705"/>
      <c r="BF41" s="705"/>
      <c r="BG41" s="705"/>
      <c r="BH41" s="705"/>
      <c r="BI41" s="705"/>
      <c r="BJ41" s="705"/>
      <c r="BK41" s="705"/>
      <c r="BL41" s="705"/>
    </row>
    <row r="42" spans="1:64" s="83" customFormat="1" x14ac:dyDescent="0.25">
      <c r="B42" s="204" t="str">
        <f t="shared" si="43"/>
        <v>TYEP100</v>
      </c>
      <c r="C42" s="204"/>
      <c r="D42" s="205"/>
      <c r="E42" s="204"/>
      <c r="F42" s="712"/>
      <c r="G42" s="206"/>
      <c r="H42" s="208">
        <f>AE$8</f>
        <v>2050</v>
      </c>
      <c r="I42" s="209"/>
      <c r="J42" s="209"/>
      <c r="K42" s="713" t="s">
        <v>1065</v>
      </c>
      <c r="L42" s="209" t="s">
        <v>748</v>
      </c>
      <c r="M42" s="695"/>
      <c r="N42" s="695"/>
      <c r="O42" s="695"/>
      <c r="P42" s="695"/>
      <c r="Q42" s="695"/>
      <c r="R42" s="695"/>
      <c r="S42" s="695"/>
      <c r="T42" s="695"/>
      <c r="U42" s="695"/>
      <c r="V42" s="695"/>
      <c r="W42" s="695"/>
      <c r="X42" s="695"/>
      <c r="Y42" s="695"/>
      <c r="Z42" s="695"/>
      <c r="AA42" s="695"/>
      <c r="AC42" s="701"/>
      <c r="AD42" s="703" t="s">
        <v>421</v>
      </c>
      <c r="AE42" s="703" t="str">
        <f>M$8</f>
        <v>Z01</v>
      </c>
      <c r="AF42" s="703" t="str">
        <f t="shared" ref="AF42" si="52">N$8</f>
        <v>Z02</v>
      </c>
      <c r="AG42" s="703" t="str">
        <f t="shared" ref="AG42" si="53">O$8</f>
        <v>Z03</v>
      </c>
      <c r="AH42" s="703" t="str">
        <f t="shared" ref="AH42" si="54">P$8</f>
        <v>Z04</v>
      </c>
      <c r="AI42" s="703" t="str">
        <f t="shared" ref="AI42" si="55">Q$8</f>
        <v>Z05</v>
      </c>
      <c r="AJ42" s="703" t="str">
        <f t="shared" ref="AJ42" si="56">R$8</f>
        <v>Z06</v>
      </c>
      <c r="AK42" s="703" t="str">
        <f t="shared" ref="AK42" si="57">S$8</f>
        <v>Z07</v>
      </c>
      <c r="AL42" s="703" t="str">
        <f t="shared" ref="AL42" si="58">T$8</f>
        <v>Z08</v>
      </c>
      <c r="AM42" s="703" t="str">
        <f t="shared" ref="AM42" si="59">U$8</f>
        <v>Z09</v>
      </c>
      <c r="AN42" s="703" t="str">
        <f t="shared" ref="AN42" si="60">V$8</f>
        <v>Z10</v>
      </c>
      <c r="AO42" s="703" t="str">
        <f t="shared" ref="AO42" si="61">W$8</f>
        <v>Z11</v>
      </c>
      <c r="AP42" s="703" t="str">
        <f t="shared" ref="AP42" si="62">X$8</f>
        <v>Z12</v>
      </c>
      <c r="AQ42" s="703" t="str">
        <f t="shared" ref="AQ42" si="63">Y$8</f>
        <v>Z13</v>
      </c>
      <c r="AR42" s="703" t="str">
        <f t="shared" ref="AR42" si="64">Z$8</f>
        <v>Z14</v>
      </c>
      <c r="AS42" s="703" t="str">
        <f t="shared" ref="AS42" si="65">AA$8</f>
        <v>Z15</v>
      </c>
      <c r="AV42" s="714" t="str">
        <f t="shared" si="50"/>
        <v/>
      </c>
      <c r="AW42" s="706"/>
      <c r="AX42" s="706"/>
      <c r="AY42" s="706"/>
      <c r="AZ42" s="706"/>
      <c r="BA42" s="706"/>
      <c r="BB42" s="706"/>
      <c r="BC42" s="706"/>
      <c r="BD42" s="706"/>
      <c r="BE42" s="706"/>
      <c r="BF42" s="706"/>
      <c r="BG42" s="706"/>
      <c r="BH42" s="706"/>
      <c r="BI42" s="706"/>
      <c r="BJ42" s="706"/>
      <c r="BK42" s="706"/>
      <c r="BL42" s="706"/>
    </row>
    <row r="43" spans="1:64" s="35" customFormat="1" x14ac:dyDescent="0.25">
      <c r="A43" s="22"/>
      <c r="B43" s="186" t="str">
        <f>C43</f>
        <v>TYNP100</v>
      </c>
      <c r="C43" s="186" t="s">
        <v>381</v>
      </c>
      <c r="D43" s="187" t="s">
        <v>902</v>
      </c>
      <c r="E43" s="188"/>
      <c r="F43" s="213" t="s">
        <v>396</v>
      </c>
      <c r="G43" s="170"/>
      <c r="H43" s="190"/>
      <c r="I43" s="191"/>
      <c r="J43" s="191"/>
      <c r="K43" s="192" t="s">
        <v>1107</v>
      </c>
      <c r="L43" s="191" t="s">
        <v>1125</v>
      </c>
      <c r="M43" s="567">
        <f>10^-3</f>
        <v>1E-3</v>
      </c>
      <c r="N43" s="366">
        <f t="shared" ref="N43:AA43" si="66">$M43</f>
        <v>1E-3</v>
      </c>
      <c r="O43" s="366">
        <f t="shared" si="66"/>
        <v>1E-3</v>
      </c>
      <c r="P43" s="366">
        <f t="shared" si="66"/>
        <v>1E-3</v>
      </c>
      <c r="Q43" s="366">
        <f t="shared" si="66"/>
        <v>1E-3</v>
      </c>
      <c r="R43" s="366">
        <f t="shared" si="66"/>
        <v>1E-3</v>
      </c>
      <c r="S43" s="366">
        <f t="shared" si="66"/>
        <v>1E-3</v>
      </c>
      <c r="T43" s="366">
        <f t="shared" si="66"/>
        <v>1E-3</v>
      </c>
      <c r="U43" s="366">
        <f t="shared" si="66"/>
        <v>1E-3</v>
      </c>
      <c r="V43" s="366">
        <f t="shared" si="66"/>
        <v>1E-3</v>
      </c>
      <c r="W43" s="366">
        <f t="shared" si="66"/>
        <v>1E-3</v>
      </c>
      <c r="X43" s="366">
        <f t="shared" si="66"/>
        <v>1E-3</v>
      </c>
      <c r="Y43" s="366">
        <f t="shared" si="66"/>
        <v>1E-3</v>
      </c>
      <c r="Z43" s="366">
        <f t="shared" si="66"/>
        <v>1E-3</v>
      </c>
      <c r="AA43" s="366">
        <f t="shared" si="66"/>
        <v>1E-3</v>
      </c>
      <c r="AC43" s="56" t="str">
        <f>F43</f>
        <v>TYNP</v>
      </c>
      <c r="AD43" s="625" t="str">
        <f>IF(AD44-AC16&lt;0,"too small",IF(AD44-AC16&gt;0.001,"Too big","ok"))</f>
        <v>ok</v>
      </c>
      <c r="AE43" s="619" t="str">
        <f>IF(AE44-M16&lt;0,"too small",IF(AE44-M16&gt;0.001,"Too big","ok"))</f>
        <v>ok</v>
      </c>
      <c r="AF43" s="619" t="str">
        <f t="shared" ref="AF43:AS43" si="67">IF(AF44-N16&lt;0,"too small",IF(AF44-N16&gt;0.001,"Too big","ok"))</f>
        <v>ok</v>
      </c>
      <c r="AG43" s="619" t="str">
        <f t="shared" si="67"/>
        <v>ok</v>
      </c>
      <c r="AH43" s="619" t="str">
        <f t="shared" si="67"/>
        <v>ok</v>
      </c>
      <c r="AI43" s="619" t="str">
        <f t="shared" si="67"/>
        <v>ok</v>
      </c>
      <c r="AJ43" s="619" t="str">
        <f t="shared" si="67"/>
        <v>ok</v>
      </c>
      <c r="AK43" s="619" t="str">
        <f t="shared" si="67"/>
        <v>ok</v>
      </c>
      <c r="AL43" s="619" t="str">
        <f t="shared" si="67"/>
        <v>ok</v>
      </c>
      <c r="AM43" s="619" t="str">
        <f t="shared" si="67"/>
        <v>ok</v>
      </c>
      <c r="AN43" s="619" t="str">
        <f t="shared" si="67"/>
        <v>ok</v>
      </c>
      <c r="AO43" s="619" t="str">
        <f t="shared" si="67"/>
        <v>ok</v>
      </c>
      <c r="AP43" s="619" t="str">
        <f t="shared" si="67"/>
        <v>ok</v>
      </c>
      <c r="AQ43" s="619" t="str">
        <f t="shared" si="67"/>
        <v>ok</v>
      </c>
      <c r="AR43" s="619" t="str">
        <f t="shared" si="67"/>
        <v>ok</v>
      </c>
      <c r="AS43" s="619" t="str">
        <f t="shared" si="67"/>
        <v>ok</v>
      </c>
      <c r="AV43" s="700" t="str">
        <f t="shared" si="50"/>
        <v/>
      </c>
      <c r="AW43" s="705"/>
      <c r="AX43" s="705"/>
      <c r="AY43" s="705"/>
      <c r="AZ43" s="705"/>
      <c r="BA43" s="705"/>
      <c r="BB43" s="705"/>
      <c r="BC43" s="705"/>
      <c r="BD43" s="705"/>
      <c r="BE43" s="705"/>
      <c r="BF43" s="705"/>
      <c r="BG43" s="705"/>
      <c r="BH43" s="705"/>
      <c r="BI43" s="705"/>
      <c r="BJ43" s="705"/>
      <c r="BK43" s="705"/>
      <c r="BL43" s="705"/>
    </row>
    <row r="44" spans="1:64" s="35" customFormat="1" x14ac:dyDescent="0.25">
      <c r="B44" s="186" t="str">
        <f t="shared" ref="B44:B53" si="68">B43</f>
        <v>TYNP100</v>
      </c>
      <c r="C44" s="186"/>
      <c r="D44" s="186"/>
      <c r="E44" s="258" t="s">
        <v>681</v>
      </c>
      <c r="F44" s="220"/>
      <c r="G44" s="170"/>
      <c r="H44" s="190"/>
      <c r="I44" s="191"/>
      <c r="J44" s="191"/>
      <c r="K44" s="186" t="s">
        <v>1064</v>
      </c>
      <c r="L44" s="191" t="s">
        <v>678</v>
      </c>
      <c r="M44" s="369">
        <v>1000</v>
      </c>
      <c r="N44" s="369">
        <f>M44</f>
        <v>1000</v>
      </c>
      <c r="O44" s="369">
        <f t="shared" ref="O44:AA44" si="69">N44</f>
        <v>1000</v>
      </c>
      <c r="P44" s="369">
        <f t="shared" si="69"/>
        <v>1000</v>
      </c>
      <c r="Q44" s="369">
        <f t="shared" si="69"/>
        <v>1000</v>
      </c>
      <c r="R44" s="369">
        <f t="shared" si="69"/>
        <v>1000</v>
      </c>
      <c r="S44" s="369">
        <f t="shared" si="69"/>
        <v>1000</v>
      </c>
      <c r="T44" s="369">
        <f t="shared" si="69"/>
        <v>1000</v>
      </c>
      <c r="U44" s="369">
        <f t="shared" si="69"/>
        <v>1000</v>
      </c>
      <c r="V44" s="369">
        <f t="shared" si="69"/>
        <v>1000</v>
      </c>
      <c r="W44" s="369">
        <f t="shared" si="69"/>
        <v>1000</v>
      </c>
      <c r="X44" s="369">
        <f t="shared" si="69"/>
        <v>1000</v>
      </c>
      <c r="Y44" s="369">
        <f t="shared" si="69"/>
        <v>1000</v>
      </c>
      <c r="Z44" s="369">
        <f t="shared" si="69"/>
        <v>1000</v>
      </c>
      <c r="AA44" s="369">
        <f t="shared" si="69"/>
        <v>1000</v>
      </c>
      <c r="AC44" s="621" t="str">
        <f>IF(COUNTIF($AF$2:$AM$2,AC43)=1,"ok","MISSING")</f>
        <v>ok</v>
      </c>
      <c r="AD44" s="80">
        <f>AD47</f>
        <v>0</v>
      </c>
      <c r="AE44" s="59">
        <f t="shared" ref="AE44:AS44" si="70">AE47</f>
        <v>0</v>
      </c>
      <c r="AF44" s="59">
        <f t="shared" si="70"/>
        <v>0</v>
      </c>
      <c r="AG44" s="59">
        <f t="shared" si="70"/>
        <v>0</v>
      </c>
      <c r="AH44" s="59">
        <f t="shared" si="70"/>
        <v>0</v>
      </c>
      <c r="AI44" s="59">
        <f t="shared" si="70"/>
        <v>0</v>
      </c>
      <c r="AJ44" s="59">
        <f t="shared" si="70"/>
        <v>0</v>
      </c>
      <c r="AK44" s="59">
        <f t="shared" si="70"/>
        <v>0</v>
      </c>
      <c r="AL44" s="59">
        <f t="shared" si="70"/>
        <v>0</v>
      </c>
      <c r="AM44" s="59">
        <f t="shared" si="70"/>
        <v>0</v>
      </c>
      <c r="AN44" s="59">
        <f t="shared" si="70"/>
        <v>0</v>
      </c>
      <c r="AO44" s="59">
        <f t="shared" si="70"/>
        <v>0</v>
      </c>
      <c r="AP44" s="59">
        <f t="shared" si="70"/>
        <v>0</v>
      </c>
      <c r="AQ44" s="59">
        <f t="shared" si="70"/>
        <v>0</v>
      </c>
      <c r="AR44" s="59">
        <f t="shared" si="70"/>
        <v>0</v>
      </c>
      <c r="AS44" s="59">
        <f t="shared" si="70"/>
        <v>0</v>
      </c>
      <c r="AT44" s="55"/>
      <c r="AU44" s="55"/>
      <c r="AV44" s="700" t="str">
        <f t="shared" si="50"/>
        <v>TRAHUM</v>
      </c>
      <c r="AW44" s="705">
        <f>SUM(AX44:BL44)</f>
        <v>0</v>
      </c>
      <c r="AX44" s="705"/>
      <c r="AY44" s="705"/>
      <c r="AZ44" s="705"/>
      <c r="BA44" s="705"/>
      <c r="BB44" s="705"/>
      <c r="BC44" s="705"/>
      <c r="BD44" s="705"/>
      <c r="BE44" s="705"/>
      <c r="BF44" s="705"/>
      <c r="BG44" s="705"/>
      <c r="BH44" s="705"/>
      <c r="BI44" s="705"/>
      <c r="BJ44" s="705"/>
      <c r="BK44" s="705"/>
      <c r="BL44" s="705"/>
    </row>
    <row r="45" spans="1:64" s="35" customFormat="1" x14ac:dyDescent="0.25">
      <c r="B45" s="186" t="str">
        <f t="shared" si="68"/>
        <v>TYNP100</v>
      </c>
      <c r="C45" s="186"/>
      <c r="D45" s="187"/>
      <c r="E45" s="186"/>
      <c r="F45" s="220"/>
      <c r="G45" s="170"/>
      <c r="H45" s="190"/>
      <c r="I45" s="191"/>
      <c r="J45" s="191" t="s">
        <v>749</v>
      </c>
      <c r="K45" s="186" t="s">
        <v>1128</v>
      </c>
      <c r="L45" s="191" t="s">
        <v>1129</v>
      </c>
      <c r="M45" s="368">
        <f>M$21</f>
        <v>0</v>
      </c>
      <c r="N45" s="368">
        <f t="shared" ref="N45:AA45" si="71">N$21</f>
        <v>0</v>
      </c>
      <c r="O45" s="368">
        <f t="shared" si="71"/>
        <v>0</v>
      </c>
      <c r="P45" s="368">
        <f t="shared" si="71"/>
        <v>0</v>
      </c>
      <c r="Q45" s="368">
        <f t="shared" si="71"/>
        <v>0</v>
      </c>
      <c r="R45" s="368">
        <f t="shared" si="71"/>
        <v>0</v>
      </c>
      <c r="S45" s="368">
        <f t="shared" si="71"/>
        <v>0</v>
      </c>
      <c r="T45" s="368">
        <f t="shared" si="71"/>
        <v>0</v>
      </c>
      <c r="U45" s="368">
        <f t="shared" si="71"/>
        <v>0</v>
      </c>
      <c r="V45" s="368">
        <f t="shared" si="71"/>
        <v>0</v>
      </c>
      <c r="W45" s="368">
        <f t="shared" si="71"/>
        <v>0</v>
      </c>
      <c r="X45" s="368">
        <f t="shared" si="71"/>
        <v>0</v>
      </c>
      <c r="Y45" s="368">
        <f t="shared" si="71"/>
        <v>0</v>
      </c>
      <c r="Z45" s="368">
        <f t="shared" si="71"/>
        <v>0</v>
      </c>
      <c r="AA45" s="368">
        <f t="shared" si="71"/>
        <v>0</v>
      </c>
      <c r="AD45" s="68"/>
      <c r="AV45" s="700" t="str">
        <f t="shared" si="50"/>
        <v/>
      </c>
      <c r="AW45" s="705"/>
      <c r="AX45" s="705"/>
      <c r="AY45" s="705"/>
      <c r="AZ45" s="705"/>
      <c r="BA45" s="705"/>
      <c r="BB45" s="705"/>
      <c r="BC45" s="705"/>
      <c r="BD45" s="705"/>
      <c r="BE45" s="705"/>
      <c r="BF45" s="705"/>
      <c r="BG45" s="705"/>
      <c r="BH45" s="705"/>
      <c r="BI45" s="705"/>
      <c r="BJ45" s="705"/>
      <c r="BK45" s="705"/>
      <c r="BL45" s="705"/>
    </row>
    <row r="46" spans="1:64" s="35" customFormat="1" x14ac:dyDescent="0.25">
      <c r="B46" s="186" t="str">
        <f t="shared" si="68"/>
        <v>TYNP100</v>
      </c>
      <c r="C46" s="186"/>
      <c r="D46" s="187"/>
      <c r="E46" s="186"/>
      <c r="F46" s="220"/>
      <c r="G46" s="170"/>
      <c r="H46" s="190"/>
      <c r="I46" s="191"/>
      <c r="J46" s="191"/>
      <c r="K46" s="192" t="s">
        <v>1130</v>
      </c>
      <c r="L46" s="191" t="s">
        <v>1131</v>
      </c>
      <c r="M46" s="369">
        <f>T_NCAP_AF!D290</f>
        <v>0</v>
      </c>
      <c r="N46" s="369">
        <f>T_NCAP_AF!E290</f>
        <v>0</v>
      </c>
      <c r="O46" s="369">
        <f>T_NCAP_AF!F290</f>
        <v>0</v>
      </c>
      <c r="P46" s="369">
        <f>T_NCAP_AF!G290</f>
        <v>0</v>
      </c>
      <c r="Q46" s="369">
        <f>T_NCAP_AF!H290</f>
        <v>0</v>
      </c>
      <c r="R46" s="369">
        <f>T_NCAP_AF!I290</f>
        <v>0</v>
      </c>
      <c r="S46" s="369">
        <f>T_NCAP_AF!J290</f>
        <v>0</v>
      </c>
      <c r="T46" s="369">
        <f>T_NCAP_AF!K290</f>
        <v>0</v>
      </c>
      <c r="U46" s="369">
        <f>T_NCAP_AF!L290</f>
        <v>0</v>
      </c>
      <c r="V46" s="369">
        <f>T_NCAP_AF!M290</f>
        <v>0</v>
      </c>
      <c r="W46" s="369">
        <f>T_NCAP_AF!N290</f>
        <v>0</v>
      </c>
      <c r="X46" s="369">
        <f>T_NCAP_AF!O290</f>
        <v>0</v>
      </c>
      <c r="Y46" s="369">
        <f>T_NCAP_AF!P290</f>
        <v>0</v>
      </c>
      <c r="Z46" s="369">
        <f>T_NCAP_AF!Q290</f>
        <v>0</v>
      </c>
      <c r="AA46" s="369">
        <f>T_NCAP_AF!R290</f>
        <v>0</v>
      </c>
      <c r="AD46" s="68"/>
      <c r="AV46" s="700" t="str">
        <f t="shared" si="50"/>
        <v/>
      </c>
      <c r="AW46" s="705"/>
      <c r="AX46" s="705"/>
      <c r="AY46" s="705"/>
      <c r="AZ46" s="705"/>
      <c r="BA46" s="705"/>
      <c r="BB46" s="705"/>
      <c r="BC46" s="705"/>
      <c r="BD46" s="705"/>
      <c r="BE46" s="705"/>
      <c r="BF46" s="705"/>
      <c r="BG46" s="705"/>
      <c r="BH46" s="705"/>
      <c r="BI46" s="705"/>
      <c r="BJ46" s="705"/>
      <c r="BK46" s="705"/>
      <c r="BL46" s="705"/>
    </row>
    <row r="47" spans="1:64" s="83" customFormat="1" x14ac:dyDescent="0.25">
      <c r="B47" s="178" t="str">
        <f t="shared" si="68"/>
        <v>TYNP100</v>
      </c>
      <c r="C47" s="178"/>
      <c r="D47" s="179"/>
      <c r="E47" s="178"/>
      <c r="F47" s="323"/>
      <c r="G47" s="182"/>
      <c r="H47" s="183">
        <f>$L$3</f>
        <v>2019</v>
      </c>
      <c r="I47" s="184"/>
      <c r="J47" s="184"/>
      <c r="K47" s="185" t="s">
        <v>1065</v>
      </c>
      <c r="L47" s="184" t="s">
        <v>748</v>
      </c>
      <c r="M47" s="689"/>
      <c r="N47" s="689"/>
      <c r="O47" s="689"/>
      <c r="P47" s="689"/>
      <c r="Q47" s="689"/>
      <c r="R47" s="689"/>
      <c r="S47" s="689"/>
      <c r="T47" s="689"/>
      <c r="U47" s="689"/>
      <c r="V47" s="689"/>
      <c r="W47" s="689"/>
      <c r="X47" s="689"/>
      <c r="Y47" s="689"/>
      <c r="Z47" s="689"/>
      <c r="AA47" s="689"/>
      <c r="AB47" s="93"/>
      <c r="AC47" s="513" t="s">
        <v>1132</v>
      </c>
      <c r="AD47" s="80">
        <f>SUM(AE47:AS47)</f>
        <v>0</v>
      </c>
      <c r="AE47" s="587">
        <f>M45*M46*M47/1000</f>
        <v>0</v>
      </c>
      <c r="AF47" s="587">
        <f t="shared" ref="AF47:AS47" si="72">N45*N46*N47/1000</f>
        <v>0</v>
      </c>
      <c r="AG47" s="587">
        <f t="shared" si="72"/>
        <v>0</v>
      </c>
      <c r="AH47" s="587">
        <f t="shared" si="72"/>
        <v>0</v>
      </c>
      <c r="AI47" s="587">
        <f t="shared" si="72"/>
        <v>0</v>
      </c>
      <c r="AJ47" s="587">
        <f t="shared" si="72"/>
        <v>0</v>
      </c>
      <c r="AK47" s="587">
        <f t="shared" si="72"/>
        <v>0</v>
      </c>
      <c r="AL47" s="587">
        <f t="shared" si="72"/>
        <v>0</v>
      </c>
      <c r="AM47" s="587">
        <f t="shared" si="72"/>
        <v>0</v>
      </c>
      <c r="AN47" s="587">
        <f t="shared" si="72"/>
        <v>0</v>
      </c>
      <c r="AO47" s="587">
        <f t="shared" si="72"/>
        <v>0</v>
      </c>
      <c r="AP47" s="587">
        <f t="shared" si="72"/>
        <v>0</v>
      </c>
      <c r="AQ47" s="587">
        <f t="shared" si="72"/>
        <v>0</v>
      </c>
      <c r="AR47" s="587">
        <f t="shared" si="72"/>
        <v>0</v>
      </c>
      <c r="AS47" s="587">
        <f t="shared" si="72"/>
        <v>0</v>
      </c>
      <c r="AV47" s="700" t="str">
        <f t="shared" si="50"/>
        <v/>
      </c>
      <c r="AW47" s="706"/>
      <c r="AX47" s="706"/>
      <c r="AY47" s="706"/>
      <c r="AZ47" s="706"/>
      <c r="BA47" s="706"/>
      <c r="BB47" s="706"/>
      <c r="BC47" s="706"/>
      <c r="BD47" s="706"/>
      <c r="BE47" s="706"/>
      <c r="BF47" s="706"/>
      <c r="BG47" s="706"/>
      <c r="BH47" s="706"/>
      <c r="BI47" s="706"/>
      <c r="BJ47" s="706"/>
      <c r="BK47" s="706"/>
      <c r="BL47" s="706"/>
    </row>
    <row r="48" spans="1:64" s="35" customFormat="1" x14ac:dyDescent="0.25">
      <c r="B48" s="186" t="str">
        <f t="shared" si="68"/>
        <v>TYNP100</v>
      </c>
      <c r="C48" s="186"/>
      <c r="D48" s="187"/>
      <c r="E48" s="186"/>
      <c r="F48" s="220"/>
      <c r="G48" s="170"/>
      <c r="H48" s="190">
        <f>AE$3</f>
        <v>2016</v>
      </c>
      <c r="I48" s="191"/>
      <c r="J48" s="191"/>
      <c r="K48" s="192" t="s">
        <v>1065</v>
      </c>
      <c r="L48" s="191" t="s">
        <v>748</v>
      </c>
      <c r="M48" s="687"/>
      <c r="N48" s="687"/>
      <c r="O48" s="687"/>
      <c r="P48" s="687"/>
      <c r="Q48" s="687"/>
      <c r="R48" s="687"/>
      <c r="S48" s="687"/>
      <c r="T48" s="687"/>
      <c r="U48" s="687"/>
      <c r="V48" s="687"/>
      <c r="W48" s="687"/>
      <c r="X48" s="687"/>
      <c r="Y48" s="687"/>
      <c r="Z48" s="687"/>
      <c r="AA48" s="687"/>
      <c r="AV48" s="700" t="str">
        <f t="shared" si="50"/>
        <v/>
      </c>
      <c r="AW48" s="705"/>
      <c r="AX48" s="705"/>
      <c r="AY48" s="705"/>
      <c r="AZ48" s="705"/>
      <c r="BA48" s="705"/>
      <c r="BB48" s="705"/>
      <c r="BC48" s="705"/>
      <c r="BD48" s="705"/>
      <c r="BE48" s="705"/>
      <c r="BF48" s="705"/>
      <c r="BG48" s="705"/>
      <c r="BH48" s="705"/>
      <c r="BI48" s="705"/>
      <c r="BJ48" s="705"/>
      <c r="BK48" s="705"/>
      <c r="BL48" s="705"/>
    </row>
    <row r="49" spans="1:64" s="35" customFormat="1" x14ac:dyDescent="0.25">
      <c r="B49" s="186" t="str">
        <f t="shared" si="68"/>
        <v>TYNP100</v>
      </c>
      <c r="C49" s="186"/>
      <c r="D49" s="187"/>
      <c r="E49" s="186"/>
      <c r="F49" s="220"/>
      <c r="G49" s="170"/>
      <c r="H49" s="190">
        <f>AE$4</f>
        <v>2020</v>
      </c>
      <c r="I49" s="191"/>
      <c r="J49" s="191"/>
      <c r="K49" s="192" t="s">
        <v>1065</v>
      </c>
      <c r="L49" s="191" t="s">
        <v>748</v>
      </c>
      <c r="M49" s="687"/>
      <c r="N49" s="687"/>
      <c r="O49" s="687"/>
      <c r="P49" s="687"/>
      <c r="Q49" s="687"/>
      <c r="R49" s="687"/>
      <c r="S49" s="687"/>
      <c r="T49" s="687"/>
      <c r="U49" s="687"/>
      <c r="V49" s="687"/>
      <c r="W49" s="687"/>
      <c r="X49" s="687"/>
      <c r="Y49" s="687"/>
      <c r="Z49" s="687"/>
      <c r="AA49" s="68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700" t="str">
        <f t="shared" si="50"/>
        <v/>
      </c>
      <c r="AW49" s="705"/>
      <c r="AX49" s="705"/>
      <c r="AY49" s="705"/>
      <c r="AZ49" s="705"/>
      <c r="BA49" s="705"/>
      <c r="BB49" s="705"/>
      <c r="BC49" s="705"/>
      <c r="BD49" s="705"/>
      <c r="BE49" s="705"/>
      <c r="BF49" s="705"/>
      <c r="BG49" s="705"/>
      <c r="BH49" s="705"/>
      <c r="BI49" s="705"/>
      <c r="BJ49" s="705"/>
      <c r="BK49" s="705"/>
      <c r="BL49" s="705"/>
    </row>
    <row r="50" spans="1:64" s="35" customFormat="1" x14ac:dyDescent="0.25">
      <c r="B50" s="186" t="str">
        <f t="shared" si="68"/>
        <v>TYNP100</v>
      </c>
      <c r="C50" s="186"/>
      <c r="D50" s="187"/>
      <c r="E50" s="186"/>
      <c r="F50" s="220"/>
      <c r="G50" s="170"/>
      <c r="H50" s="190">
        <f>AE$5</f>
        <v>2025</v>
      </c>
      <c r="I50" s="191"/>
      <c r="J50" s="191"/>
      <c r="K50" s="192" t="s">
        <v>1065</v>
      </c>
      <c r="L50" s="191" t="s">
        <v>748</v>
      </c>
      <c r="M50" s="687"/>
      <c r="N50" s="687"/>
      <c r="O50" s="687"/>
      <c r="P50" s="687"/>
      <c r="Q50" s="687"/>
      <c r="R50" s="687"/>
      <c r="S50" s="687"/>
      <c r="T50" s="687"/>
      <c r="U50" s="687"/>
      <c r="V50" s="687"/>
      <c r="W50" s="687"/>
      <c r="X50" s="687"/>
      <c r="Y50" s="687"/>
      <c r="Z50" s="687"/>
      <c r="AA50" s="687"/>
      <c r="AV50" s="700" t="str">
        <f t="shared" si="50"/>
        <v/>
      </c>
      <c r="AW50" s="705"/>
      <c r="AX50" s="705"/>
      <c r="AY50" s="705"/>
      <c r="AZ50" s="705"/>
      <c r="BA50" s="705"/>
      <c r="BB50" s="705"/>
      <c r="BC50" s="705"/>
      <c r="BD50" s="705"/>
      <c r="BE50" s="705"/>
      <c r="BF50" s="705"/>
      <c r="BG50" s="705"/>
      <c r="BH50" s="705"/>
      <c r="BI50" s="705"/>
      <c r="BJ50" s="705"/>
      <c r="BK50" s="705"/>
      <c r="BL50" s="705"/>
    </row>
    <row r="51" spans="1:64" s="35" customFormat="1" x14ac:dyDescent="0.25">
      <c r="B51" s="186" t="str">
        <f t="shared" si="68"/>
        <v>TYNP100</v>
      </c>
      <c r="C51" s="186"/>
      <c r="D51" s="187"/>
      <c r="E51" s="186"/>
      <c r="F51" s="220"/>
      <c r="G51" s="170"/>
      <c r="H51" s="190">
        <f>AE$6</f>
        <v>2030</v>
      </c>
      <c r="I51" s="191"/>
      <c r="J51" s="191"/>
      <c r="K51" s="192" t="s">
        <v>1065</v>
      </c>
      <c r="L51" s="191" t="s">
        <v>748</v>
      </c>
      <c r="M51" s="687"/>
      <c r="N51" s="687"/>
      <c r="O51" s="687"/>
      <c r="P51" s="687"/>
      <c r="Q51" s="687"/>
      <c r="R51" s="687"/>
      <c r="S51" s="687"/>
      <c r="T51" s="687"/>
      <c r="U51" s="687"/>
      <c r="V51" s="687"/>
      <c r="W51" s="687"/>
      <c r="X51" s="687"/>
      <c r="Y51" s="687"/>
      <c r="Z51" s="687"/>
      <c r="AA51" s="687"/>
      <c r="AV51" s="700" t="str">
        <f t="shared" si="50"/>
        <v/>
      </c>
      <c r="AW51" s="705"/>
      <c r="AX51" s="705"/>
      <c r="AY51" s="705"/>
      <c r="AZ51" s="705"/>
      <c r="BA51" s="705"/>
      <c r="BB51" s="705"/>
      <c r="BC51" s="705"/>
      <c r="BD51" s="705"/>
      <c r="BE51" s="705"/>
      <c r="BF51" s="705"/>
      <c r="BG51" s="705"/>
      <c r="BH51" s="705"/>
      <c r="BI51" s="705"/>
      <c r="BJ51" s="705"/>
      <c r="BK51" s="705"/>
      <c r="BL51" s="705"/>
    </row>
    <row r="52" spans="1:64" s="35" customFormat="1" x14ac:dyDescent="0.25">
      <c r="B52" s="186" t="str">
        <f t="shared" si="68"/>
        <v>TYNP100</v>
      </c>
      <c r="C52" s="186"/>
      <c r="D52" s="187"/>
      <c r="E52" s="186"/>
      <c r="F52" s="220"/>
      <c r="G52" s="170"/>
      <c r="H52" s="190">
        <f>AE$7</f>
        <v>2040</v>
      </c>
      <c r="I52" s="191"/>
      <c r="J52" s="191"/>
      <c r="K52" s="192" t="s">
        <v>1065</v>
      </c>
      <c r="L52" s="191" t="s">
        <v>748</v>
      </c>
      <c r="M52" s="687"/>
      <c r="N52" s="687"/>
      <c r="O52" s="687"/>
      <c r="P52" s="687"/>
      <c r="Q52" s="687"/>
      <c r="R52" s="687"/>
      <c r="S52" s="687"/>
      <c r="T52" s="687"/>
      <c r="U52" s="687"/>
      <c r="V52" s="687"/>
      <c r="W52" s="687"/>
      <c r="X52" s="687"/>
      <c r="Y52" s="687"/>
      <c r="Z52" s="687"/>
      <c r="AA52" s="687"/>
      <c r="AC52" s="49" t="str">
        <f>CONCATENATE("TEST: ",D54)</f>
        <v>TEST: Walking.Nonenergy.Base-year.</v>
      </c>
      <c r="AV52" s="700" t="str">
        <f t="shared" si="50"/>
        <v/>
      </c>
      <c r="AW52" s="705"/>
      <c r="AX52" s="705"/>
      <c r="AY52" s="705"/>
      <c r="AZ52" s="705"/>
      <c r="BA52" s="705"/>
      <c r="BB52" s="705"/>
      <c r="BC52" s="705"/>
      <c r="BD52" s="705"/>
      <c r="BE52" s="705"/>
      <c r="BF52" s="705"/>
      <c r="BG52" s="705"/>
      <c r="BH52" s="705"/>
      <c r="BI52" s="705"/>
      <c r="BJ52" s="705"/>
      <c r="BK52" s="705"/>
      <c r="BL52" s="705"/>
    </row>
    <row r="53" spans="1:64" s="35" customFormat="1" x14ac:dyDescent="0.25">
      <c r="B53" s="193" t="str">
        <f t="shared" si="68"/>
        <v>TYNP100</v>
      </c>
      <c r="C53" s="193"/>
      <c r="D53" s="194"/>
      <c r="E53" s="193"/>
      <c r="F53" s="221"/>
      <c r="G53" s="196"/>
      <c r="H53" s="197">
        <f>AE$8</f>
        <v>2050</v>
      </c>
      <c r="I53" s="198"/>
      <c r="J53" s="198"/>
      <c r="K53" s="199" t="s">
        <v>1065</v>
      </c>
      <c r="L53" s="198" t="s">
        <v>748</v>
      </c>
      <c r="M53" s="688"/>
      <c r="N53" s="688"/>
      <c r="O53" s="688"/>
      <c r="P53" s="688"/>
      <c r="Q53" s="688"/>
      <c r="R53" s="688"/>
      <c r="S53" s="688"/>
      <c r="T53" s="688"/>
      <c r="U53" s="688"/>
      <c r="V53" s="688"/>
      <c r="W53" s="688"/>
      <c r="X53" s="688"/>
      <c r="Y53" s="688"/>
      <c r="Z53" s="688"/>
      <c r="AA53" s="688"/>
      <c r="AC53" s="58"/>
      <c r="AD53" s="715" t="s">
        <v>421</v>
      </c>
      <c r="AE53" s="715" t="str">
        <f>M$8</f>
        <v>Z01</v>
      </c>
      <c r="AF53" s="715" t="str">
        <f t="shared" ref="AF53" si="73">N$8</f>
        <v>Z02</v>
      </c>
      <c r="AG53" s="715" t="str">
        <f t="shared" ref="AG53" si="74">O$8</f>
        <v>Z03</v>
      </c>
      <c r="AH53" s="715" t="str">
        <f t="shared" ref="AH53" si="75">P$8</f>
        <v>Z04</v>
      </c>
      <c r="AI53" s="715" t="str">
        <f t="shared" ref="AI53" si="76">Q$8</f>
        <v>Z05</v>
      </c>
      <c r="AJ53" s="715" t="str">
        <f t="shared" ref="AJ53" si="77">R$8</f>
        <v>Z06</v>
      </c>
      <c r="AK53" s="715" t="str">
        <f t="shared" ref="AK53" si="78">S$8</f>
        <v>Z07</v>
      </c>
      <c r="AL53" s="715" t="str">
        <f t="shared" ref="AL53" si="79">T$8</f>
        <v>Z08</v>
      </c>
      <c r="AM53" s="715" t="str">
        <f t="shared" ref="AM53" si="80">U$8</f>
        <v>Z09</v>
      </c>
      <c r="AN53" s="715" t="str">
        <f t="shared" ref="AN53" si="81">V$8</f>
        <v>Z10</v>
      </c>
      <c r="AO53" s="715" t="str">
        <f t="shared" ref="AO53" si="82">W$8</f>
        <v>Z11</v>
      </c>
      <c r="AP53" s="715" t="str">
        <f t="shared" ref="AP53" si="83">X$8</f>
        <v>Z12</v>
      </c>
      <c r="AQ53" s="715" t="str">
        <f t="shared" ref="AQ53" si="84">Y$8</f>
        <v>Z13</v>
      </c>
      <c r="AR53" s="715" t="str">
        <f t="shared" ref="AR53" si="85">Z$8</f>
        <v>Z14</v>
      </c>
      <c r="AS53" s="715" t="str">
        <f t="shared" ref="AS53" si="86">AA$8</f>
        <v>Z15</v>
      </c>
      <c r="AV53" s="700" t="str">
        <f t="shared" si="50"/>
        <v/>
      </c>
      <c r="AW53" s="705"/>
      <c r="AX53" s="705"/>
      <c r="AY53" s="705"/>
      <c r="AZ53" s="705"/>
      <c r="BA53" s="705"/>
      <c r="BB53" s="705"/>
      <c r="BC53" s="705"/>
      <c r="BD53" s="705"/>
      <c r="BE53" s="705"/>
      <c r="BF53" s="705"/>
      <c r="BG53" s="705"/>
      <c r="BH53" s="705"/>
      <c r="BI53" s="705"/>
      <c r="BJ53" s="705"/>
      <c r="BK53" s="705"/>
      <c r="BL53" s="705"/>
    </row>
    <row r="54" spans="1:64" s="35" customFormat="1" x14ac:dyDescent="0.25">
      <c r="A54" s="22"/>
      <c r="B54" s="186" t="str">
        <f>C54</f>
        <v>TWN100</v>
      </c>
      <c r="C54" s="186" t="s">
        <v>382</v>
      </c>
      <c r="D54" s="187" t="s">
        <v>894</v>
      </c>
      <c r="E54" s="188"/>
      <c r="F54" s="213" t="s">
        <v>394</v>
      </c>
      <c r="G54" s="170"/>
      <c r="H54" s="190"/>
      <c r="I54" s="191"/>
      <c r="J54" s="191"/>
      <c r="K54" s="192" t="s">
        <v>1107</v>
      </c>
      <c r="L54" s="191" t="s">
        <v>1125</v>
      </c>
      <c r="M54" s="567">
        <f>10^-3</f>
        <v>1E-3</v>
      </c>
      <c r="N54" s="366">
        <f t="shared" ref="N54:AA54" si="87">$M54</f>
        <v>1E-3</v>
      </c>
      <c r="O54" s="366">
        <f t="shared" si="87"/>
        <v>1E-3</v>
      </c>
      <c r="P54" s="366">
        <f t="shared" si="87"/>
        <v>1E-3</v>
      </c>
      <c r="Q54" s="366">
        <f t="shared" si="87"/>
        <v>1E-3</v>
      </c>
      <c r="R54" s="366">
        <f t="shared" si="87"/>
        <v>1E-3</v>
      </c>
      <c r="S54" s="366">
        <f t="shared" si="87"/>
        <v>1E-3</v>
      </c>
      <c r="T54" s="366">
        <f t="shared" si="87"/>
        <v>1E-3</v>
      </c>
      <c r="U54" s="366">
        <f t="shared" si="87"/>
        <v>1E-3</v>
      </c>
      <c r="V54" s="366">
        <f t="shared" si="87"/>
        <v>1E-3</v>
      </c>
      <c r="W54" s="366">
        <f t="shared" si="87"/>
        <v>1E-3</v>
      </c>
      <c r="X54" s="366">
        <f t="shared" si="87"/>
        <v>1E-3</v>
      </c>
      <c r="Y54" s="366">
        <f t="shared" si="87"/>
        <v>1E-3</v>
      </c>
      <c r="Z54" s="366">
        <f t="shared" si="87"/>
        <v>1E-3</v>
      </c>
      <c r="AA54" s="366">
        <f t="shared" si="87"/>
        <v>1E-3</v>
      </c>
      <c r="AC54" s="56" t="str">
        <f>F54</f>
        <v>TWN</v>
      </c>
      <c r="AD54" s="625" t="str">
        <f>IF(AD58-AC12&lt;0,"too small",IF(AD58-AC12&gt;0.001,"Too big","ok"))</f>
        <v>ok</v>
      </c>
      <c r="AE54" s="619" t="str">
        <f>IF(AE58-M12&lt;0,"too small",IF(AE58-M12&gt;0.001,"Too big","ok"))</f>
        <v>ok</v>
      </c>
      <c r="AF54" s="619" t="str">
        <f t="shared" ref="AF54:AS54" si="88">IF(AF58-N12&lt;0,"too small",IF(AF58-N12&gt;0.001,"Too big","ok"))</f>
        <v>ok</v>
      </c>
      <c r="AG54" s="619" t="str">
        <f t="shared" si="88"/>
        <v>ok</v>
      </c>
      <c r="AH54" s="619" t="str">
        <f t="shared" si="88"/>
        <v>ok</v>
      </c>
      <c r="AI54" s="619" t="str">
        <f t="shared" si="88"/>
        <v>ok</v>
      </c>
      <c r="AJ54" s="619" t="str">
        <f t="shared" si="88"/>
        <v>ok</v>
      </c>
      <c r="AK54" s="619" t="str">
        <f t="shared" si="88"/>
        <v>ok</v>
      </c>
      <c r="AL54" s="619" t="str">
        <f t="shared" si="88"/>
        <v>ok</v>
      </c>
      <c r="AM54" s="619" t="str">
        <f t="shared" si="88"/>
        <v>ok</v>
      </c>
      <c r="AN54" s="619" t="str">
        <f t="shared" si="88"/>
        <v>ok</v>
      </c>
      <c r="AO54" s="619" t="str">
        <f t="shared" si="88"/>
        <v>ok</v>
      </c>
      <c r="AP54" s="619" t="str">
        <f t="shared" si="88"/>
        <v>ok</v>
      </c>
      <c r="AQ54" s="619" t="str">
        <f t="shared" si="88"/>
        <v>ok</v>
      </c>
      <c r="AR54" s="619" t="str">
        <f t="shared" si="88"/>
        <v>ok</v>
      </c>
      <c r="AS54" s="619" t="str">
        <f t="shared" si="88"/>
        <v>ok</v>
      </c>
      <c r="AV54" s="700" t="str">
        <f t="shared" si="50"/>
        <v/>
      </c>
      <c r="AW54" s="705"/>
      <c r="AX54" s="705"/>
      <c r="AY54" s="705"/>
      <c r="AZ54" s="705"/>
      <c r="BA54" s="705"/>
      <c r="BB54" s="705"/>
      <c r="BC54" s="705"/>
      <c r="BD54" s="705"/>
      <c r="BE54" s="705"/>
      <c r="BF54" s="705"/>
      <c r="BG54" s="705"/>
      <c r="BH54" s="705"/>
      <c r="BI54" s="705"/>
      <c r="BJ54" s="705"/>
      <c r="BK54" s="705"/>
      <c r="BL54" s="705"/>
    </row>
    <row r="55" spans="1:64" s="35" customFormat="1" x14ac:dyDescent="0.25">
      <c r="B55" s="186" t="str">
        <f t="shared" ref="B55:B64" si="89">B54</f>
        <v>TWN100</v>
      </c>
      <c r="C55" s="186"/>
      <c r="D55" s="186"/>
      <c r="E55" s="258" t="s">
        <v>681</v>
      </c>
      <c r="F55" s="189"/>
      <c r="G55" s="170"/>
      <c r="H55" s="190"/>
      <c r="I55" s="191"/>
      <c r="J55" s="191"/>
      <c r="K55" s="186" t="s">
        <v>1064</v>
      </c>
      <c r="L55" s="191" t="s">
        <v>678</v>
      </c>
      <c r="M55" s="369">
        <v>1000</v>
      </c>
      <c r="N55" s="369">
        <f>M55</f>
        <v>1000</v>
      </c>
      <c r="O55" s="369">
        <f t="shared" ref="O55:AA55" si="90">N55</f>
        <v>1000</v>
      </c>
      <c r="P55" s="369">
        <f t="shared" si="90"/>
        <v>1000</v>
      </c>
      <c r="Q55" s="369">
        <f t="shared" si="90"/>
        <v>1000</v>
      </c>
      <c r="R55" s="369">
        <f t="shared" si="90"/>
        <v>1000</v>
      </c>
      <c r="S55" s="369">
        <f t="shared" si="90"/>
        <v>1000</v>
      </c>
      <c r="T55" s="369">
        <f t="shared" si="90"/>
        <v>1000</v>
      </c>
      <c r="U55" s="369">
        <f t="shared" si="90"/>
        <v>1000</v>
      </c>
      <c r="V55" s="369">
        <f t="shared" si="90"/>
        <v>1000</v>
      </c>
      <c r="W55" s="369">
        <f t="shared" si="90"/>
        <v>1000</v>
      </c>
      <c r="X55" s="369">
        <f t="shared" si="90"/>
        <v>1000</v>
      </c>
      <c r="Y55" s="369">
        <f t="shared" si="90"/>
        <v>1000</v>
      </c>
      <c r="Z55" s="369">
        <f t="shared" si="90"/>
        <v>1000</v>
      </c>
      <c r="AA55" s="369">
        <f t="shared" si="90"/>
        <v>1000</v>
      </c>
      <c r="AC55" s="621" t="str">
        <f>IF(COUNTIF($AF$2:$AM$2,AC54)=1,"ok","MISSING")</f>
        <v>ok</v>
      </c>
      <c r="AD55" s="59"/>
      <c r="AT55" s="55"/>
      <c r="AU55" s="55"/>
      <c r="AV55" s="700" t="str">
        <f t="shared" si="50"/>
        <v>TRAHUM</v>
      </c>
      <c r="AW55" s="705">
        <f>SUM(AX55:BL55)</f>
        <v>0</v>
      </c>
      <c r="AX55" s="705"/>
      <c r="AY55" s="705"/>
      <c r="AZ55" s="705"/>
      <c r="BA55" s="705"/>
      <c r="BB55" s="705"/>
      <c r="BC55" s="705"/>
      <c r="BD55" s="705"/>
      <c r="BE55" s="705"/>
      <c r="BF55" s="705"/>
      <c r="BG55" s="705"/>
      <c r="BH55" s="705"/>
      <c r="BI55" s="705"/>
      <c r="BJ55" s="705"/>
      <c r="BK55" s="705"/>
      <c r="BL55" s="705"/>
    </row>
    <row r="56" spans="1:64" s="35" customFormat="1" x14ac:dyDescent="0.25">
      <c r="B56" s="186" t="str">
        <f t="shared" si="89"/>
        <v>TWN100</v>
      </c>
      <c r="C56" s="186"/>
      <c r="D56" s="187"/>
      <c r="E56" s="186"/>
      <c r="F56" s="189"/>
      <c r="G56" s="170"/>
      <c r="H56" s="190"/>
      <c r="I56" s="191"/>
      <c r="J56" s="191" t="s">
        <v>749</v>
      </c>
      <c r="K56" s="186" t="s">
        <v>1128</v>
      </c>
      <c r="L56" s="191" t="s">
        <v>1129</v>
      </c>
      <c r="M56" s="368">
        <f>M23</f>
        <v>0</v>
      </c>
      <c r="N56" s="368">
        <f t="shared" ref="N56:AA56" si="91">N23</f>
        <v>0</v>
      </c>
      <c r="O56" s="368">
        <f t="shared" si="91"/>
        <v>0</v>
      </c>
      <c r="P56" s="368">
        <f t="shared" si="91"/>
        <v>0</v>
      </c>
      <c r="Q56" s="368">
        <f t="shared" si="91"/>
        <v>0</v>
      </c>
      <c r="R56" s="368">
        <f t="shared" si="91"/>
        <v>0</v>
      </c>
      <c r="S56" s="368">
        <f t="shared" si="91"/>
        <v>0</v>
      </c>
      <c r="T56" s="368">
        <f t="shared" si="91"/>
        <v>0</v>
      </c>
      <c r="U56" s="368">
        <f t="shared" si="91"/>
        <v>0</v>
      </c>
      <c r="V56" s="368">
        <f t="shared" si="91"/>
        <v>0</v>
      </c>
      <c r="W56" s="368">
        <f t="shared" si="91"/>
        <v>0</v>
      </c>
      <c r="X56" s="368">
        <f t="shared" si="91"/>
        <v>0</v>
      </c>
      <c r="Y56" s="368">
        <f t="shared" si="91"/>
        <v>0</v>
      </c>
      <c r="Z56" s="368">
        <f t="shared" si="91"/>
        <v>0</v>
      </c>
      <c r="AA56" s="368">
        <f t="shared" si="91"/>
        <v>0</v>
      </c>
      <c r="AD56" s="68"/>
      <c r="AV56" s="700" t="str">
        <f t="shared" si="50"/>
        <v/>
      </c>
      <c r="AW56" s="705"/>
      <c r="AX56" s="705"/>
      <c r="AY56" s="705"/>
      <c r="AZ56" s="705"/>
      <c r="BA56" s="705"/>
      <c r="BB56" s="705"/>
      <c r="BC56" s="705"/>
      <c r="BD56" s="705"/>
      <c r="BE56" s="705"/>
      <c r="BF56" s="705"/>
      <c r="BG56" s="705"/>
      <c r="BH56" s="705"/>
      <c r="BI56" s="705"/>
      <c r="BJ56" s="705"/>
      <c r="BK56" s="705"/>
      <c r="BL56" s="705"/>
    </row>
    <row r="57" spans="1:64" s="35" customFormat="1" x14ac:dyDescent="0.25">
      <c r="B57" s="186" t="str">
        <f t="shared" si="89"/>
        <v>TWN100</v>
      </c>
      <c r="C57" s="186"/>
      <c r="D57" s="187"/>
      <c r="E57" s="186"/>
      <c r="F57" s="189"/>
      <c r="G57" s="170"/>
      <c r="H57" s="190"/>
      <c r="I57" s="191"/>
      <c r="J57" s="191"/>
      <c r="K57" s="192" t="s">
        <v>1130</v>
      </c>
      <c r="L57" s="191" t="s">
        <v>1131</v>
      </c>
      <c r="M57" s="369">
        <f>T_NCAP_AF!D343</f>
        <v>0</v>
      </c>
      <c r="N57" s="369">
        <f>T_NCAP_AF!E343</f>
        <v>0</v>
      </c>
      <c r="O57" s="369">
        <f>T_NCAP_AF!F343</f>
        <v>0</v>
      </c>
      <c r="P57" s="369">
        <f>T_NCAP_AF!G343</f>
        <v>0</v>
      </c>
      <c r="Q57" s="369">
        <f>T_NCAP_AF!H343</f>
        <v>0</v>
      </c>
      <c r="R57" s="369">
        <f>T_NCAP_AF!I343</f>
        <v>0</v>
      </c>
      <c r="S57" s="369">
        <f>T_NCAP_AF!J343</f>
        <v>0</v>
      </c>
      <c r="T57" s="369">
        <f>T_NCAP_AF!K343</f>
        <v>0</v>
      </c>
      <c r="U57" s="369">
        <f>T_NCAP_AF!L343</f>
        <v>0</v>
      </c>
      <c r="V57" s="369">
        <f>T_NCAP_AF!M343</f>
        <v>0</v>
      </c>
      <c r="W57" s="369">
        <f>T_NCAP_AF!N343</f>
        <v>0</v>
      </c>
      <c r="X57" s="369">
        <f>T_NCAP_AF!O343</f>
        <v>0</v>
      </c>
      <c r="Y57" s="369">
        <f>T_NCAP_AF!P343</f>
        <v>0</v>
      </c>
      <c r="Z57" s="369">
        <f>T_NCAP_AF!Q343</f>
        <v>0</v>
      </c>
      <c r="AA57" s="369">
        <f>T_NCAP_AF!R343</f>
        <v>0</v>
      </c>
      <c r="AD57" s="68"/>
      <c r="AV57" s="700" t="str">
        <f t="shared" si="50"/>
        <v/>
      </c>
      <c r="AW57" s="705"/>
      <c r="AX57" s="705"/>
      <c r="AY57" s="705"/>
      <c r="AZ57" s="705"/>
      <c r="BA57" s="705"/>
      <c r="BB57" s="705"/>
      <c r="BC57" s="705"/>
      <c r="BD57" s="705"/>
      <c r="BE57" s="705"/>
      <c r="BF57" s="705"/>
      <c r="BG57" s="705"/>
      <c r="BH57" s="705"/>
      <c r="BI57" s="705"/>
      <c r="BJ57" s="705"/>
      <c r="BK57" s="705"/>
      <c r="BL57" s="705"/>
    </row>
    <row r="58" spans="1:64" s="35" customFormat="1" x14ac:dyDescent="0.25">
      <c r="B58" s="186" t="str">
        <f t="shared" si="89"/>
        <v>TWN100</v>
      </c>
      <c r="C58" s="186"/>
      <c r="D58" s="187"/>
      <c r="E58" s="186"/>
      <c r="F58" s="189"/>
      <c r="G58" s="170"/>
      <c r="H58" s="190">
        <f>$L$3</f>
        <v>2019</v>
      </c>
      <c r="I58" s="191"/>
      <c r="J58" s="191"/>
      <c r="K58" s="192" t="s">
        <v>1065</v>
      </c>
      <c r="L58" s="191" t="s">
        <v>748</v>
      </c>
      <c r="M58" s="689"/>
      <c r="N58" s="689"/>
      <c r="O58" s="689"/>
      <c r="P58" s="689"/>
      <c r="Q58" s="689"/>
      <c r="R58" s="689"/>
      <c r="S58" s="689"/>
      <c r="T58" s="689"/>
      <c r="U58" s="689"/>
      <c r="V58" s="689"/>
      <c r="W58" s="689"/>
      <c r="X58" s="689"/>
      <c r="Y58" s="689"/>
      <c r="Z58" s="689"/>
      <c r="AA58" s="689"/>
      <c r="AB58" s="571"/>
      <c r="AC58" s="512"/>
      <c r="AD58" s="80">
        <f>SUM(AE58:AS58)</f>
        <v>0</v>
      </c>
      <c r="AE58" s="626">
        <f>M56*M57*M58/1000</f>
        <v>0</v>
      </c>
      <c r="AF58" s="626">
        <f t="shared" ref="AF58:AS58" si="92">N56*N57*N58/1000</f>
        <v>0</v>
      </c>
      <c r="AG58" s="626">
        <f t="shared" si="92"/>
        <v>0</v>
      </c>
      <c r="AH58" s="626">
        <f t="shared" si="92"/>
        <v>0</v>
      </c>
      <c r="AI58" s="626">
        <f t="shared" si="92"/>
        <v>0</v>
      </c>
      <c r="AJ58" s="626">
        <f t="shared" si="92"/>
        <v>0</v>
      </c>
      <c r="AK58" s="626">
        <f t="shared" si="92"/>
        <v>0</v>
      </c>
      <c r="AL58" s="626">
        <f t="shared" si="92"/>
        <v>0</v>
      </c>
      <c r="AM58" s="626">
        <f t="shared" si="92"/>
        <v>0</v>
      </c>
      <c r="AN58" s="626">
        <f t="shared" si="92"/>
        <v>0</v>
      </c>
      <c r="AO58" s="626">
        <f t="shared" si="92"/>
        <v>0</v>
      </c>
      <c r="AP58" s="626">
        <f t="shared" si="92"/>
        <v>0</v>
      </c>
      <c r="AQ58" s="626">
        <f t="shared" si="92"/>
        <v>0</v>
      </c>
      <c r="AR58" s="626">
        <f t="shared" si="92"/>
        <v>0</v>
      </c>
      <c r="AS58" s="626">
        <f t="shared" si="92"/>
        <v>0</v>
      </c>
      <c r="AV58" s="700" t="str">
        <f t="shared" si="50"/>
        <v/>
      </c>
      <c r="AW58" s="705"/>
      <c r="AX58" s="705"/>
      <c r="AY58" s="705"/>
      <c r="AZ58" s="705"/>
      <c r="BA58" s="705"/>
      <c r="BB58" s="705"/>
      <c r="BC58" s="705"/>
      <c r="BD58" s="705"/>
      <c r="BE58" s="705"/>
      <c r="BF58" s="705"/>
      <c r="BG58" s="705"/>
      <c r="BH58" s="705"/>
      <c r="BI58" s="705"/>
      <c r="BJ58" s="705"/>
      <c r="BK58" s="705"/>
      <c r="BL58" s="705"/>
    </row>
    <row r="59" spans="1:64" s="35" customFormat="1" x14ac:dyDescent="0.25">
      <c r="B59" s="186" t="str">
        <f t="shared" si="89"/>
        <v>TWN100</v>
      </c>
      <c r="C59" s="186"/>
      <c r="D59" s="187"/>
      <c r="E59" s="186"/>
      <c r="F59" s="189"/>
      <c r="G59" s="170"/>
      <c r="H59" s="190">
        <f>AE$3</f>
        <v>2016</v>
      </c>
      <c r="I59" s="191"/>
      <c r="J59" s="191"/>
      <c r="K59" s="192" t="s">
        <v>1065</v>
      </c>
      <c r="L59" s="191" t="s">
        <v>748</v>
      </c>
      <c r="M59" s="687"/>
      <c r="N59" s="687"/>
      <c r="O59" s="687"/>
      <c r="P59" s="687"/>
      <c r="Q59" s="687"/>
      <c r="R59" s="687"/>
      <c r="S59" s="687"/>
      <c r="T59" s="687"/>
      <c r="U59" s="687"/>
      <c r="V59" s="687"/>
      <c r="W59" s="687"/>
      <c r="X59" s="687"/>
      <c r="Y59" s="687"/>
      <c r="Z59" s="687"/>
      <c r="AA59" s="687"/>
      <c r="AV59" s="700" t="str">
        <f t="shared" si="50"/>
        <v/>
      </c>
      <c r="AW59" s="705"/>
      <c r="AX59" s="705"/>
      <c r="AY59" s="705"/>
      <c r="AZ59" s="705"/>
      <c r="BA59" s="705"/>
      <c r="BB59" s="705"/>
      <c r="BC59" s="705"/>
      <c r="BD59" s="705"/>
      <c r="BE59" s="705"/>
      <c r="BF59" s="705"/>
      <c r="BG59" s="705"/>
      <c r="BH59" s="705"/>
      <c r="BI59" s="705"/>
      <c r="BJ59" s="705"/>
      <c r="BK59" s="705"/>
      <c r="BL59" s="705"/>
    </row>
    <row r="60" spans="1:64" s="35" customFormat="1" x14ac:dyDescent="0.25">
      <c r="B60" s="186" t="str">
        <f t="shared" si="89"/>
        <v>TWN100</v>
      </c>
      <c r="C60" s="186"/>
      <c r="D60" s="187"/>
      <c r="E60" s="186"/>
      <c r="F60" s="189"/>
      <c r="G60" s="170"/>
      <c r="H60" s="190">
        <f>AE$4</f>
        <v>2020</v>
      </c>
      <c r="I60" s="191"/>
      <c r="J60" s="191"/>
      <c r="K60" s="192" t="s">
        <v>1065</v>
      </c>
      <c r="L60" s="191" t="s">
        <v>748</v>
      </c>
      <c r="M60" s="687"/>
      <c r="N60" s="687"/>
      <c r="O60" s="687"/>
      <c r="P60" s="687"/>
      <c r="Q60" s="687"/>
      <c r="R60" s="687"/>
      <c r="S60" s="687"/>
      <c r="T60" s="687"/>
      <c r="U60" s="687"/>
      <c r="V60" s="687"/>
      <c r="W60" s="687"/>
      <c r="X60" s="687"/>
      <c r="Y60" s="687"/>
      <c r="Z60" s="687"/>
      <c r="AA60" s="68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700" t="str">
        <f t="shared" si="50"/>
        <v/>
      </c>
      <c r="AW60" s="705"/>
      <c r="AX60" s="705"/>
      <c r="AY60" s="705"/>
      <c r="AZ60" s="705"/>
      <c r="BA60" s="705"/>
      <c r="BB60" s="705"/>
      <c r="BC60" s="705"/>
      <c r="BD60" s="705"/>
      <c r="BE60" s="705"/>
      <c r="BF60" s="705"/>
      <c r="BG60" s="705"/>
      <c r="BH60" s="705"/>
      <c r="BI60" s="705"/>
      <c r="BJ60" s="705"/>
      <c r="BK60" s="705"/>
      <c r="BL60" s="705"/>
    </row>
    <row r="61" spans="1:64" s="35" customFormat="1" x14ac:dyDescent="0.25">
      <c r="B61" s="186" t="str">
        <f t="shared" si="89"/>
        <v>TWN100</v>
      </c>
      <c r="C61" s="186"/>
      <c r="D61" s="187"/>
      <c r="E61" s="186"/>
      <c r="F61" s="189"/>
      <c r="G61" s="170"/>
      <c r="H61" s="190">
        <f>AE$5</f>
        <v>2025</v>
      </c>
      <c r="I61" s="191"/>
      <c r="J61" s="191"/>
      <c r="K61" s="192" t="s">
        <v>1065</v>
      </c>
      <c r="L61" s="191" t="s">
        <v>748</v>
      </c>
      <c r="M61" s="687"/>
      <c r="N61" s="687"/>
      <c r="O61" s="687"/>
      <c r="P61" s="687"/>
      <c r="Q61" s="687"/>
      <c r="R61" s="687"/>
      <c r="S61" s="687"/>
      <c r="T61" s="687"/>
      <c r="U61" s="687"/>
      <c r="V61" s="687"/>
      <c r="W61" s="687"/>
      <c r="X61" s="687"/>
      <c r="Y61" s="687"/>
      <c r="Z61" s="687"/>
      <c r="AA61" s="687"/>
      <c r="AV61" s="700" t="str">
        <f t="shared" si="50"/>
        <v/>
      </c>
      <c r="AW61" s="705"/>
      <c r="AX61" s="705"/>
      <c r="AY61" s="705"/>
      <c r="AZ61" s="705"/>
      <c r="BA61" s="705"/>
      <c r="BB61" s="705"/>
      <c r="BC61" s="705"/>
      <c r="BD61" s="705"/>
      <c r="BE61" s="705"/>
      <c r="BF61" s="705"/>
      <c r="BG61" s="705"/>
      <c r="BH61" s="705"/>
      <c r="BI61" s="705"/>
      <c r="BJ61" s="705"/>
      <c r="BK61" s="705"/>
      <c r="BL61" s="705"/>
    </row>
    <row r="62" spans="1:64" s="35" customFormat="1" x14ac:dyDescent="0.25">
      <c r="B62" s="186" t="str">
        <f t="shared" si="89"/>
        <v>TWN100</v>
      </c>
      <c r="C62" s="186"/>
      <c r="D62" s="187"/>
      <c r="E62" s="186"/>
      <c r="F62" s="189"/>
      <c r="G62" s="170"/>
      <c r="H62" s="190">
        <f>AE$6</f>
        <v>2030</v>
      </c>
      <c r="I62" s="191"/>
      <c r="J62" s="191"/>
      <c r="K62" s="192" t="s">
        <v>1065</v>
      </c>
      <c r="L62" s="191" t="s">
        <v>748</v>
      </c>
      <c r="M62" s="687"/>
      <c r="N62" s="687"/>
      <c r="O62" s="687"/>
      <c r="P62" s="687"/>
      <c r="Q62" s="687"/>
      <c r="R62" s="687"/>
      <c r="S62" s="687"/>
      <c r="T62" s="687"/>
      <c r="U62" s="687"/>
      <c r="V62" s="687"/>
      <c r="W62" s="687"/>
      <c r="X62" s="687"/>
      <c r="Y62" s="687"/>
      <c r="Z62" s="687"/>
      <c r="AA62" s="687"/>
      <c r="AV62" s="700" t="str">
        <f t="shared" si="50"/>
        <v/>
      </c>
      <c r="AW62" s="705"/>
      <c r="AX62" s="705"/>
      <c r="AY62" s="705"/>
      <c r="AZ62" s="705"/>
      <c r="BA62" s="705"/>
      <c r="BB62" s="705"/>
      <c r="BC62" s="705"/>
      <c r="BD62" s="705"/>
      <c r="BE62" s="705"/>
      <c r="BF62" s="705"/>
      <c r="BG62" s="705"/>
      <c r="BH62" s="705"/>
      <c r="BI62" s="705"/>
      <c r="BJ62" s="705"/>
      <c r="BK62" s="705"/>
      <c r="BL62" s="705"/>
    </row>
    <row r="63" spans="1:64" s="35" customFormat="1" x14ac:dyDescent="0.25">
      <c r="B63" s="186" t="str">
        <f t="shared" si="89"/>
        <v>TWN100</v>
      </c>
      <c r="C63" s="186"/>
      <c r="D63" s="187"/>
      <c r="E63" s="186"/>
      <c r="F63" s="189"/>
      <c r="G63" s="170"/>
      <c r="H63" s="190">
        <f>AE$7</f>
        <v>2040</v>
      </c>
      <c r="I63" s="191"/>
      <c r="J63" s="191"/>
      <c r="K63" s="192" t="s">
        <v>1065</v>
      </c>
      <c r="L63" s="191" t="s">
        <v>748</v>
      </c>
      <c r="M63" s="687"/>
      <c r="N63" s="687"/>
      <c r="O63" s="687"/>
      <c r="P63" s="687"/>
      <c r="Q63" s="687"/>
      <c r="R63" s="687"/>
      <c r="S63" s="687"/>
      <c r="T63" s="687"/>
      <c r="U63" s="687"/>
      <c r="V63" s="687"/>
      <c r="W63" s="687"/>
      <c r="X63" s="687"/>
      <c r="Y63" s="687"/>
      <c r="Z63" s="687"/>
      <c r="AA63" s="687"/>
      <c r="AC63" s="49" t="str">
        <f>CONCATENATE("TEST: ",D65)</f>
        <v>TEST: LightElectricVehicle.Passenger.Base-year.</v>
      </c>
      <c r="AV63" s="700" t="str">
        <f t="shared" si="50"/>
        <v/>
      </c>
      <c r="AW63" s="705"/>
      <c r="AX63" s="705"/>
      <c r="AY63" s="705"/>
      <c r="AZ63" s="705"/>
      <c r="BA63" s="705"/>
      <c r="BB63" s="705"/>
      <c r="BC63" s="705"/>
      <c r="BD63" s="705"/>
      <c r="BE63" s="705"/>
      <c r="BF63" s="705"/>
      <c r="BG63" s="705"/>
      <c r="BH63" s="705"/>
      <c r="BI63" s="705"/>
      <c r="BJ63" s="705"/>
      <c r="BK63" s="705"/>
      <c r="BL63" s="705"/>
    </row>
    <row r="64" spans="1:64" s="35" customFormat="1" x14ac:dyDescent="0.25">
      <c r="B64" s="193" t="str">
        <f t="shared" si="89"/>
        <v>TWN100</v>
      </c>
      <c r="C64" s="193"/>
      <c r="D64" s="194"/>
      <c r="E64" s="193"/>
      <c r="F64" s="195"/>
      <c r="G64" s="196"/>
      <c r="H64" s="197">
        <f>AE$8</f>
        <v>2050</v>
      </c>
      <c r="I64" s="198"/>
      <c r="J64" s="198"/>
      <c r="K64" s="199" t="s">
        <v>1065</v>
      </c>
      <c r="L64" s="198" t="s">
        <v>748</v>
      </c>
      <c r="M64" s="688"/>
      <c r="N64" s="688"/>
      <c r="O64" s="688"/>
      <c r="P64" s="688"/>
      <c r="Q64" s="688"/>
      <c r="R64" s="688"/>
      <c r="S64" s="688"/>
      <c r="T64" s="688"/>
      <c r="U64" s="688"/>
      <c r="V64" s="688"/>
      <c r="W64" s="688"/>
      <c r="X64" s="688"/>
      <c r="Y64" s="688"/>
      <c r="Z64" s="688"/>
      <c r="AA64" s="688"/>
      <c r="AC64" s="58"/>
      <c r="AD64" s="715" t="s">
        <v>421</v>
      </c>
      <c r="AE64" s="715" t="str">
        <f>M$8</f>
        <v>Z01</v>
      </c>
      <c r="AF64" s="715" t="str">
        <f t="shared" ref="AF64" si="93">N$8</f>
        <v>Z02</v>
      </c>
      <c r="AG64" s="715" t="str">
        <f t="shared" ref="AG64" si="94">O$8</f>
        <v>Z03</v>
      </c>
      <c r="AH64" s="715" t="str">
        <f t="shared" ref="AH64" si="95">P$8</f>
        <v>Z04</v>
      </c>
      <c r="AI64" s="715" t="str">
        <f t="shared" ref="AI64" si="96">Q$8</f>
        <v>Z05</v>
      </c>
      <c r="AJ64" s="715" t="str">
        <f t="shared" ref="AJ64" si="97">R$8</f>
        <v>Z06</v>
      </c>
      <c r="AK64" s="715" t="str">
        <f t="shared" ref="AK64" si="98">S$8</f>
        <v>Z07</v>
      </c>
      <c r="AL64" s="715" t="str">
        <f t="shared" ref="AL64" si="99">T$8</f>
        <v>Z08</v>
      </c>
      <c r="AM64" s="715" t="str">
        <f t="shared" ref="AM64" si="100">U$8</f>
        <v>Z09</v>
      </c>
      <c r="AN64" s="715" t="str">
        <f t="shared" ref="AN64" si="101">V$8</f>
        <v>Z10</v>
      </c>
      <c r="AO64" s="715" t="str">
        <f t="shared" ref="AO64" si="102">W$8</f>
        <v>Z11</v>
      </c>
      <c r="AP64" s="715" t="str">
        <f t="shared" ref="AP64" si="103">X$8</f>
        <v>Z12</v>
      </c>
      <c r="AQ64" s="715" t="str">
        <f t="shared" ref="AQ64" si="104">Y$8</f>
        <v>Z13</v>
      </c>
      <c r="AR64" s="715" t="str">
        <f t="shared" ref="AR64" si="105">Z$8</f>
        <v>Z14</v>
      </c>
      <c r="AS64" s="715" t="str">
        <f t="shared" ref="AS64" si="106">AA$8</f>
        <v>Z15</v>
      </c>
      <c r="AV64" s="700" t="str">
        <f t="shared" si="50"/>
        <v/>
      </c>
      <c r="AW64" s="705"/>
      <c r="AX64" s="705"/>
      <c r="AY64" s="705"/>
      <c r="AZ64" s="705"/>
      <c r="BA64" s="705"/>
      <c r="BB64" s="705"/>
      <c r="BC64" s="705"/>
      <c r="BD64" s="705"/>
      <c r="BE64" s="705"/>
      <c r="BF64" s="705"/>
      <c r="BG64" s="705"/>
      <c r="BH64" s="705"/>
      <c r="BI64" s="705"/>
      <c r="BJ64" s="705"/>
      <c r="BK64" s="705"/>
      <c r="BL64" s="705"/>
    </row>
    <row r="65" spans="1:64" s="35" customFormat="1" x14ac:dyDescent="0.25">
      <c r="A65" s="22"/>
      <c r="B65" s="186" t="str">
        <f>C65</f>
        <v>TLEPELC100</v>
      </c>
      <c r="C65" s="186" t="s">
        <v>553</v>
      </c>
      <c r="D65" s="187" t="s">
        <v>872</v>
      </c>
      <c r="E65" s="258"/>
      <c r="F65" s="213" t="s">
        <v>400</v>
      </c>
      <c r="G65" s="170"/>
      <c r="H65" s="190"/>
      <c r="I65" s="191"/>
      <c r="J65" s="191"/>
      <c r="K65" s="192" t="s">
        <v>1107</v>
      </c>
      <c r="L65" s="191" t="s">
        <v>1125</v>
      </c>
      <c r="M65" s="567">
        <f>10^-3</f>
        <v>1E-3</v>
      </c>
      <c r="N65" s="366">
        <f t="shared" ref="N65:AA65" si="107">$M65</f>
        <v>1E-3</v>
      </c>
      <c r="O65" s="366">
        <f t="shared" si="107"/>
        <v>1E-3</v>
      </c>
      <c r="P65" s="366">
        <f t="shared" si="107"/>
        <v>1E-3</v>
      </c>
      <c r="Q65" s="366">
        <f t="shared" si="107"/>
        <v>1E-3</v>
      </c>
      <c r="R65" s="366">
        <f t="shared" si="107"/>
        <v>1E-3</v>
      </c>
      <c r="S65" s="366">
        <f t="shared" si="107"/>
        <v>1E-3</v>
      </c>
      <c r="T65" s="366">
        <f t="shared" si="107"/>
        <v>1E-3</v>
      </c>
      <c r="U65" s="366">
        <f t="shared" si="107"/>
        <v>1E-3</v>
      </c>
      <c r="V65" s="366">
        <f t="shared" si="107"/>
        <v>1E-3</v>
      </c>
      <c r="W65" s="366">
        <f t="shared" si="107"/>
        <v>1E-3</v>
      </c>
      <c r="X65" s="366">
        <f t="shared" si="107"/>
        <v>1E-3</v>
      </c>
      <c r="Y65" s="366">
        <f t="shared" si="107"/>
        <v>1E-3</v>
      </c>
      <c r="Z65" s="366">
        <f t="shared" si="107"/>
        <v>1E-3</v>
      </c>
      <c r="AA65" s="366">
        <f t="shared" si="107"/>
        <v>1E-3</v>
      </c>
      <c r="AC65" s="56" t="str">
        <f>F65</f>
        <v>TLEP</v>
      </c>
      <c r="AD65" s="625" t="str">
        <f>IF(AD69-AC10&lt;0,"too small",IF(AD69-AC10&gt;0.001,"Too big","ok"))</f>
        <v>ok</v>
      </c>
      <c r="AE65" s="619" t="str">
        <f>IF(AE69-M10&lt;0,"too small",IF(AE69-M10&gt;0.001,"Too big","ok"))</f>
        <v>ok</v>
      </c>
      <c r="AF65" s="619" t="str">
        <f t="shared" ref="AF65:AS65" si="108">IF(AF69-N10&lt;0,"too small",IF(AF69-N10&gt;0.001,"Too big","ok"))</f>
        <v>ok</v>
      </c>
      <c r="AG65" s="619" t="str">
        <f t="shared" si="108"/>
        <v>ok</v>
      </c>
      <c r="AH65" s="619" t="str">
        <f t="shared" si="108"/>
        <v>ok</v>
      </c>
      <c r="AI65" s="619" t="str">
        <f t="shared" si="108"/>
        <v>ok</v>
      </c>
      <c r="AJ65" s="619" t="str">
        <f t="shared" si="108"/>
        <v>ok</v>
      </c>
      <c r="AK65" s="619" t="str">
        <f t="shared" si="108"/>
        <v>ok</v>
      </c>
      <c r="AL65" s="619" t="str">
        <f t="shared" si="108"/>
        <v>ok</v>
      </c>
      <c r="AM65" s="619" t="str">
        <f t="shared" si="108"/>
        <v>ok</v>
      </c>
      <c r="AN65" s="619" t="str">
        <f t="shared" si="108"/>
        <v>ok</v>
      </c>
      <c r="AO65" s="619" t="str">
        <f t="shared" si="108"/>
        <v>ok</v>
      </c>
      <c r="AP65" s="619" t="str">
        <f t="shared" si="108"/>
        <v>ok</v>
      </c>
      <c r="AQ65" s="619" t="str">
        <f t="shared" si="108"/>
        <v>ok</v>
      </c>
      <c r="AR65" s="619" t="str">
        <f t="shared" si="108"/>
        <v>ok</v>
      </c>
      <c r="AS65" s="619" t="str">
        <f t="shared" si="108"/>
        <v>ok</v>
      </c>
      <c r="AV65" s="700" t="str">
        <f t="shared" si="50"/>
        <v/>
      </c>
      <c r="AW65" s="705"/>
      <c r="AX65" s="705"/>
      <c r="AY65" s="705"/>
      <c r="AZ65" s="705"/>
      <c r="BA65" s="705"/>
      <c r="BB65" s="705"/>
      <c r="BC65" s="705"/>
      <c r="BD65" s="705"/>
      <c r="BE65" s="705"/>
      <c r="BF65" s="705"/>
      <c r="BG65" s="705"/>
      <c r="BH65" s="705"/>
      <c r="BI65" s="705"/>
      <c r="BJ65" s="705"/>
      <c r="BK65" s="705"/>
      <c r="BL65" s="705"/>
    </row>
    <row r="66" spans="1:64" s="35" customFormat="1" x14ac:dyDescent="0.25">
      <c r="B66" s="186" t="str">
        <f t="shared" ref="B66:B75" si="109">B65</f>
        <v>TLEPELC100</v>
      </c>
      <c r="C66" s="186"/>
      <c r="D66" s="186"/>
      <c r="E66" s="258" t="s">
        <v>683</v>
      </c>
      <c r="F66" s="220"/>
      <c r="G66" s="170"/>
      <c r="H66" s="190"/>
      <c r="I66" s="191"/>
      <c r="J66" s="191"/>
      <c r="K66" s="186" t="s">
        <v>1126</v>
      </c>
      <c r="L66" s="191" t="s">
        <v>678</v>
      </c>
      <c r="M66" s="369">
        <f>T_CEFF!H20</f>
        <v>3.0303</v>
      </c>
      <c r="N66" s="369">
        <f>T_CEFF!I20</f>
        <v>3.0303</v>
      </c>
      <c r="O66" s="369">
        <f>T_CEFF!J20</f>
        <v>3.0303</v>
      </c>
      <c r="P66" s="369">
        <f>T_CEFF!K20</f>
        <v>3.0303</v>
      </c>
      <c r="Q66" s="369">
        <f>T_CEFF!L20</f>
        <v>3.0303</v>
      </c>
      <c r="R66" s="369">
        <f>T_CEFF!M20</f>
        <v>3.0303</v>
      </c>
      <c r="S66" s="369">
        <f>T_CEFF!N20</f>
        <v>3.0303</v>
      </c>
      <c r="T66" s="369">
        <f>T_CEFF!O20</f>
        <v>3.0303</v>
      </c>
      <c r="U66" s="369">
        <f>T_CEFF!P20</f>
        <v>3.0303</v>
      </c>
      <c r="V66" s="369">
        <f>T_CEFF!Q20</f>
        <v>3.0303</v>
      </c>
      <c r="W66" s="369">
        <f>T_CEFF!R20</f>
        <v>3.0303</v>
      </c>
      <c r="X66" s="369">
        <f>T_CEFF!S20</f>
        <v>3.0303</v>
      </c>
      <c r="Y66" s="369">
        <f>T_CEFF!T20</f>
        <v>3.0303</v>
      </c>
      <c r="Z66" s="369">
        <f>T_CEFF!U20</f>
        <v>3.0303</v>
      </c>
      <c r="AA66" s="369">
        <f>T_CEFF!V20</f>
        <v>3.0303</v>
      </c>
      <c r="AC66" s="621" t="str">
        <f>IF(COUNTIF($AF$2:$AM$2,AC65)=1,"ok","MISSING")</f>
        <v>ok</v>
      </c>
      <c r="AD66" s="59"/>
      <c r="AT66" s="55"/>
      <c r="AU66" s="55"/>
      <c r="AV66" s="700" t="str">
        <f t="shared" si="50"/>
        <v>TRAELC</v>
      </c>
      <c r="AW66" s="705">
        <f>SUM(AX66:BL66)</f>
        <v>0</v>
      </c>
      <c r="AX66" s="705"/>
      <c r="AY66" s="705"/>
      <c r="AZ66" s="705"/>
      <c r="BA66" s="705"/>
      <c r="BB66" s="705"/>
      <c r="BC66" s="705"/>
      <c r="BD66" s="705"/>
      <c r="BE66" s="705"/>
      <c r="BF66" s="705"/>
      <c r="BG66" s="705"/>
      <c r="BH66" s="705"/>
      <c r="BI66" s="705"/>
      <c r="BJ66" s="705"/>
      <c r="BK66" s="705"/>
      <c r="BL66" s="705"/>
    </row>
    <row r="67" spans="1:64" s="35" customFormat="1" x14ac:dyDescent="0.25">
      <c r="B67" s="186" t="str">
        <f t="shared" si="109"/>
        <v>TLEPELC100</v>
      </c>
      <c r="C67" s="186"/>
      <c r="D67" s="187"/>
      <c r="E67" s="186"/>
      <c r="F67" s="220"/>
      <c r="G67" s="170"/>
      <c r="H67" s="190"/>
      <c r="I67" s="191"/>
      <c r="J67" s="191" t="s">
        <v>749</v>
      </c>
      <c r="K67" s="186" t="s">
        <v>1128</v>
      </c>
      <c r="L67" s="191" t="s">
        <v>1129</v>
      </c>
      <c r="M67" s="368">
        <f>M$24</f>
        <v>0</v>
      </c>
      <c r="N67" s="368">
        <f t="shared" ref="N67:AA67" si="110">N$24</f>
        <v>0</v>
      </c>
      <c r="O67" s="368">
        <f t="shared" si="110"/>
        <v>0</v>
      </c>
      <c r="P67" s="368">
        <f t="shared" si="110"/>
        <v>0</v>
      </c>
      <c r="Q67" s="368">
        <f t="shared" si="110"/>
        <v>0</v>
      </c>
      <c r="R67" s="368">
        <f t="shared" si="110"/>
        <v>0</v>
      </c>
      <c r="S67" s="368">
        <f t="shared" si="110"/>
        <v>0</v>
      </c>
      <c r="T67" s="368">
        <f t="shared" si="110"/>
        <v>0</v>
      </c>
      <c r="U67" s="368">
        <f t="shared" si="110"/>
        <v>0</v>
      </c>
      <c r="V67" s="368">
        <f t="shared" si="110"/>
        <v>0</v>
      </c>
      <c r="W67" s="368">
        <f t="shared" si="110"/>
        <v>0</v>
      </c>
      <c r="X67" s="368">
        <f t="shared" si="110"/>
        <v>0</v>
      </c>
      <c r="Y67" s="368">
        <f t="shared" si="110"/>
        <v>0</v>
      </c>
      <c r="Z67" s="368">
        <f t="shared" si="110"/>
        <v>0</v>
      </c>
      <c r="AA67" s="368">
        <f t="shared" si="110"/>
        <v>0</v>
      </c>
      <c r="AV67" s="700" t="str">
        <f t="shared" si="50"/>
        <v/>
      </c>
      <c r="AW67" s="705"/>
      <c r="AX67" s="705"/>
      <c r="AY67" s="705"/>
      <c r="AZ67" s="705"/>
      <c r="BA67" s="705"/>
      <c r="BB67" s="705"/>
      <c r="BC67" s="705"/>
      <c r="BD67" s="705"/>
      <c r="BE67" s="705"/>
      <c r="BF67" s="705"/>
      <c r="BG67" s="705"/>
      <c r="BH67" s="705"/>
      <c r="BI67" s="705"/>
      <c r="BJ67" s="705"/>
      <c r="BK67" s="705"/>
      <c r="BL67" s="705"/>
    </row>
    <row r="68" spans="1:64" s="35" customFormat="1" x14ac:dyDescent="0.25">
      <c r="B68" s="186" t="str">
        <f t="shared" si="109"/>
        <v>TLEPELC100</v>
      </c>
      <c r="C68" s="186"/>
      <c r="D68" s="187"/>
      <c r="E68" s="186"/>
      <c r="F68" s="220"/>
      <c r="G68" s="170"/>
      <c r="H68" s="190"/>
      <c r="I68" s="191"/>
      <c r="J68" s="191"/>
      <c r="K68" s="192" t="s">
        <v>1130</v>
      </c>
      <c r="L68" s="191" t="s">
        <v>1131</v>
      </c>
      <c r="M68" s="369">
        <f>T_NCAP_AF!D217</f>
        <v>0</v>
      </c>
      <c r="N68" s="369">
        <f>T_NCAP_AF!E217</f>
        <v>0</v>
      </c>
      <c r="O68" s="369">
        <f>T_NCAP_AF!F217</f>
        <v>0</v>
      </c>
      <c r="P68" s="369">
        <f>T_NCAP_AF!G217</f>
        <v>0</v>
      </c>
      <c r="Q68" s="369">
        <f>T_NCAP_AF!H217</f>
        <v>0</v>
      </c>
      <c r="R68" s="369">
        <f>T_NCAP_AF!I217</f>
        <v>0</v>
      </c>
      <c r="S68" s="369">
        <f>T_NCAP_AF!J217</f>
        <v>0</v>
      </c>
      <c r="T68" s="369">
        <f>T_NCAP_AF!K217</f>
        <v>0</v>
      </c>
      <c r="U68" s="369">
        <f>T_NCAP_AF!L217</f>
        <v>0</v>
      </c>
      <c r="V68" s="369">
        <f>T_NCAP_AF!M217</f>
        <v>0</v>
      </c>
      <c r="W68" s="369">
        <f>T_NCAP_AF!N217</f>
        <v>0</v>
      </c>
      <c r="X68" s="369">
        <f>T_NCAP_AF!O217</f>
        <v>0</v>
      </c>
      <c r="Y68" s="369">
        <f>T_NCAP_AF!P217</f>
        <v>0</v>
      </c>
      <c r="Z68" s="369">
        <f>T_NCAP_AF!Q217</f>
        <v>0</v>
      </c>
      <c r="AA68" s="369">
        <f>T_NCAP_AF!R217</f>
        <v>0</v>
      </c>
      <c r="AV68" s="700" t="str">
        <f t="shared" si="50"/>
        <v/>
      </c>
    </row>
    <row r="69" spans="1:64" s="83" customFormat="1" x14ac:dyDescent="0.25">
      <c r="B69" s="178" t="str">
        <f t="shared" si="109"/>
        <v>TLEPELC100</v>
      </c>
      <c r="C69" s="178"/>
      <c r="D69" s="179"/>
      <c r="E69" s="178"/>
      <c r="F69" s="323"/>
      <c r="G69" s="182"/>
      <c r="H69" s="183">
        <f>$L$3</f>
        <v>2019</v>
      </c>
      <c r="I69" s="184"/>
      <c r="J69" s="184"/>
      <c r="K69" s="185" t="s">
        <v>1065</v>
      </c>
      <c r="L69" s="184" t="s">
        <v>748</v>
      </c>
      <c r="M69" s="689"/>
      <c r="N69" s="689"/>
      <c r="O69" s="689"/>
      <c r="P69" s="689"/>
      <c r="Q69" s="689"/>
      <c r="R69" s="689"/>
      <c r="S69" s="689"/>
      <c r="T69" s="689"/>
      <c r="U69" s="689"/>
      <c r="V69" s="689"/>
      <c r="W69" s="689"/>
      <c r="X69" s="689"/>
      <c r="Y69" s="689"/>
      <c r="Z69" s="689"/>
      <c r="AA69" s="689"/>
      <c r="AB69" s="93"/>
      <c r="AC69" s="513" t="s">
        <v>1132</v>
      </c>
      <c r="AD69" s="588">
        <f>SUM(AE69:AS69)</f>
        <v>0</v>
      </c>
      <c r="AE69" s="595">
        <f>M67*M68*M69/1000</f>
        <v>0</v>
      </c>
      <c r="AF69" s="595">
        <f t="shared" ref="AF69:AS69" si="111">N67*N68*N69/1000</f>
        <v>0</v>
      </c>
      <c r="AG69" s="595">
        <f t="shared" si="111"/>
        <v>0</v>
      </c>
      <c r="AH69" s="595">
        <f t="shared" si="111"/>
        <v>0</v>
      </c>
      <c r="AI69" s="595">
        <f t="shared" si="111"/>
        <v>0</v>
      </c>
      <c r="AJ69" s="595">
        <f t="shared" si="111"/>
        <v>0</v>
      </c>
      <c r="AK69" s="595">
        <f t="shared" si="111"/>
        <v>0</v>
      </c>
      <c r="AL69" s="595">
        <f t="shared" si="111"/>
        <v>0</v>
      </c>
      <c r="AM69" s="595">
        <f t="shared" si="111"/>
        <v>0</v>
      </c>
      <c r="AN69" s="595">
        <f t="shared" si="111"/>
        <v>0</v>
      </c>
      <c r="AO69" s="595">
        <f t="shared" si="111"/>
        <v>0</v>
      </c>
      <c r="AP69" s="595">
        <f t="shared" si="111"/>
        <v>0</v>
      </c>
      <c r="AQ69" s="595">
        <f t="shared" si="111"/>
        <v>0</v>
      </c>
      <c r="AR69" s="595">
        <f t="shared" si="111"/>
        <v>0</v>
      </c>
      <c r="AS69" s="595">
        <f t="shared" si="111"/>
        <v>0</v>
      </c>
      <c r="AV69" s="700" t="str">
        <f t="shared" si="50"/>
        <v/>
      </c>
    </row>
    <row r="70" spans="1:64" s="35" customFormat="1" x14ac:dyDescent="0.25">
      <c r="B70" s="186" t="str">
        <f t="shared" si="109"/>
        <v>TLEPELC100</v>
      </c>
      <c r="C70" s="186"/>
      <c r="D70" s="187"/>
      <c r="E70" s="186"/>
      <c r="F70" s="220"/>
      <c r="G70" s="170"/>
      <c r="H70" s="190">
        <f>AE$3</f>
        <v>2016</v>
      </c>
      <c r="I70" s="191"/>
      <c r="J70" s="191"/>
      <c r="K70" s="192" t="s">
        <v>1065</v>
      </c>
      <c r="L70" s="191" t="s">
        <v>748</v>
      </c>
      <c r="M70" s="687"/>
      <c r="N70" s="687"/>
      <c r="O70" s="687"/>
      <c r="P70" s="687"/>
      <c r="Q70" s="687"/>
      <c r="R70" s="687"/>
      <c r="S70" s="687"/>
      <c r="T70" s="687"/>
      <c r="U70" s="687"/>
      <c r="V70" s="687"/>
      <c r="W70" s="687"/>
      <c r="X70" s="687"/>
      <c r="Y70" s="687"/>
      <c r="Z70" s="687"/>
      <c r="AA70" s="687"/>
      <c r="AV70" s="700" t="str">
        <f t="shared" si="50"/>
        <v/>
      </c>
    </row>
    <row r="71" spans="1:64" s="35" customFormat="1" x14ac:dyDescent="0.25">
      <c r="B71" s="186" t="str">
        <f t="shared" si="109"/>
        <v>TLEPELC100</v>
      </c>
      <c r="C71" s="186"/>
      <c r="D71" s="187"/>
      <c r="E71" s="186"/>
      <c r="F71" s="220"/>
      <c r="G71" s="170"/>
      <c r="H71" s="190">
        <f>AE$4</f>
        <v>2020</v>
      </c>
      <c r="I71" s="191"/>
      <c r="J71" s="191"/>
      <c r="K71" s="192" t="s">
        <v>1065</v>
      </c>
      <c r="L71" s="191" t="s">
        <v>748</v>
      </c>
      <c r="M71" s="687"/>
      <c r="N71" s="687"/>
      <c r="O71" s="687"/>
      <c r="P71" s="687"/>
      <c r="Q71" s="687"/>
      <c r="R71" s="687"/>
      <c r="S71" s="687"/>
      <c r="T71" s="687"/>
      <c r="U71" s="687"/>
      <c r="V71" s="687"/>
      <c r="W71" s="687"/>
      <c r="X71" s="687"/>
      <c r="Y71" s="687"/>
      <c r="Z71" s="687"/>
      <c r="AA71" s="68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700" t="str">
        <f t="shared" si="50"/>
        <v/>
      </c>
    </row>
    <row r="72" spans="1:64" s="35" customFormat="1" x14ac:dyDescent="0.25">
      <c r="B72" s="186" t="str">
        <f t="shared" si="109"/>
        <v>TLEPELC100</v>
      </c>
      <c r="C72" s="186"/>
      <c r="D72" s="187"/>
      <c r="E72" s="186"/>
      <c r="F72" s="220"/>
      <c r="G72" s="170"/>
      <c r="H72" s="190">
        <f>AE$5</f>
        <v>2025</v>
      </c>
      <c r="I72" s="191"/>
      <c r="J72" s="191"/>
      <c r="K72" s="192" t="s">
        <v>1065</v>
      </c>
      <c r="L72" s="191" t="s">
        <v>748</v>
      </c>
      <c r="M72" s="687"/>
      <c r="N72" s="687"/>
      <c r="O72" s="687"/>
      <c r="P72" s="687"/>
      <c r="Q72" s="687"/>
      <c r="R72" s="687"/>
      <c r="S72" s="687"/>
      <c r="T72" s="687"/>
      <c r="U72" s="687"/>
      <c r="V72" s="687"/>
      <c r="W72" s="687"/>
      <c r="X72" s="687"/>
      <c r="Y72" s="687"/>
      <c r="Z72" s="687"/>
      <c r="AA72" s="687"/>
      <c r="AV72" s="700" t="str">
        <f t="shared" si="50"/>
        <v/>
      </c>
    </row>
    <row r="73" spans="1:64" s="35" customFormat="1" x14ac:dyDescent="0.25">
      <c r="B73" s="186" t="str">
        <f t="shared" si="109"/>
        <v>TLEPELC100</v>
      </c>
      <c r="C73" s="186"/>
      <c r="D73" s="187"/>
      <c r="E73" s="186"/>
      <c r="F73" s="220"/>
      <c r="G73" s="170"/>
      <c r="H73" s="190">
        <f>AE$6</f>
        <v>2030</v>
      </c>
      <c r="I73" s="191"/>
      <c r="J73" s="191"/>
      <c r="K73" s="192" t="s">
        <v>1065</v>
      </c>
      <c r="L73" s="191" t="s">
        <v>748</v>
      </c>
      <c r="M73" s="687"/>
      <c r="N73" s="687"/>
      <c r="O73" s="687"/>
      <c r="P73" s="687"/>
      <c r="Q73" s="687"/>
      <c r="R73" s="687"/>
      <c r="S73" s="687"/>
      <c r="T73" s="687"/>
      <c r="U73" s="687"/>
      <c r="V73" s="687"/>
      <c r="W73" s="687"/>
      <c r="X73" s="687"/>
      <c r="Y73" s="687"/>
      <c r="Z73" s="687"/>
      <c r="AA73" s="687"/>
      <c r="AV73" s="55" t="str">
        <f>MID(E73, 4,4)</f>
        <v/>
      </c>
    </row>
    <row r="74" spans="1:64" s="35" customFormat="1" x14ac:dyDescent="0.25">
      <c r="B74" s="186" t="str">
        <f t="shared" si="109"/>
        <v>TLEPELC100</v>
      </c>
      <c r="C74" s="186"/>
      <c r="D74" s="187"/>
      <c r="E74" s="186"/>
      <c r="F74" s="220"/>
      <c r="G74" s="170"/>
      <c r="H74" s="190">
        <f>AE$7</f>
        <v>2040</v>
      </c>
      <c r="I74" s="191"/>
      <c r="J74" s="191"/>
      <c r="K74" s="192" t="s">
        <v>1065</v>
      </c>
      <c r="L74" s="191" t="s">
        <v>748</v>
      </c>
      <c r="M74" s="687"/>
      <c r="N74" s="687"/>
      <c r="O74" s="687"/>
      <c r="P74" s="687"/>
      <c r="Q74" s="687"/>
      <c r="R74" s="687"/>
      <c r="S74" s="687"/>
      <c r="T74" s="687"/>
      <c r="U74" s="687"/>
      <c r="V74" s="687"/>
      <c r="W74" s="687"/>
      <c r="X74" s="687"/>
      <c r="Y74" s="687"/>
      <c r="Z74" s="687"/>
      <c r="AA74" s="687"/>
      <c r="AV74" s="55" t="str">
        <f>MID(E74, 4,4)</f>
        <v/>
      </c>
    </row>
    <row r="75" spans="1:64" s="35" customFormat="1" x14ac:dyDescent="0.25">
      <c r="B75" s="193" t="str">
        <f t="shared" si="109"/>
        <v>TLEPELC100</v>
      </c>
      <c r="C75" s="193"/>
      <c r="D75" s="194"/>
      <c r="E75" s="193"/>
      <c r="F75" s="221"/>
      <c r="G75" s="196"/>
      <c r="H75" s="197">
        <f>AE$8</f>
        <v>2050</v>
      </c>
      <c r="I75" s="198"/>
      <c r="J75" s="198"/>
      <c r="K75" s="199" t="s">
        <v>1065</v>
      </c>
      <c r="L75" s="198" t="s">
        <v>748</v>
      </c>
      <c r="M75" s="688"/>
      <c r="N75" s="688"/>
      <c r="O75" s="688"/>
      <c r="P75" s="688"/>
      <c r="Q75" s="688"/>
      <c r="R75" s="688"/>
      <c r="S75" s="688"/>
      <c r="T75" s="688"/>
      <c r="U75" s="688"/>
      <c r="V75" s="688"/>
      <c r="W75" s="688"/>
      <c r="X75" s="688"/>
      <c r="Y75" s="688"/>
      <c r="Z75" s="688"/>
      <c r="AA75" s="688"/>
      <c r="AV75" s="55" t="str">
        <f>MID(E75, 4,4)</f>
        <v/>
      </c>
    </row>
    <row r="77" spans="1:64" x14ac:dyDescent="0.25">
      <c r="A77" s="44"/>
      <c r="B77" s="75" t="s">
        <v>1133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C77" s="48"/>
      <c r="AD77" s="35"/>
      <c r="AE77" s="35"/>
      <c r="AF77" s="35"/>
      <c r="AG77" s="35"/>
      <c r="AH77" s="35"/>
      <c r="AI77" s="35"/>
      <c r="AJ77" s="35"/>
    </row>
    <row r="78" spans="1:64" s="35" customFormat="1" ht="16.5" customHeight="1" x14ac:dyDescent="0.25">
      <c r="B78" s="32" t="s">
        <v>1134</v>
      </c>
      <c r="C78" s="26"/>
      <c r="D78" s="26"/>
      <c r="H78" s="36"/>
      <c r="AE78" s="49"/>
    </row>
    <row r="79" spans="1:64" s="35" customFormat="1" ht="16.5" customHeight="1" x14ac:dyDescent="0.25">
      <c r="H79" s="36"/>
      <c r="AE79" s="49"/>
    </row>
    <row r="80" spans="1:64" s="22" customFormat="1" x14ac:dyDescent="0.25">
      <c r="A80" s="35"/>
      <c r="B80" s="35"/>
      <c r="C80" s="50"/>
      <c r="D80" s="50"/>
      <c r="E80" s="35"/>
      <c r="F80" s="35"/>
      <c r="G80" s="41"/>
      <c r="H80" s="51"/>
      <c r="I80" s="41"/>
      <c r="J80" s="41"/>
      <c r="K80" s="40" t="str">
        <f>IF((SUM(M11:AA11)+SUM(M13:AA13)+SUM(M15:AA15)+SUM(M17:AA17))&gt;0,"~FI_T","Not in use")</f>
        <v>Not in use</v>
      </c>
      <c r="L80" s="40"/>
      <c r="M80" s="35"/>
      <c r="N80" s="35"/>
      <c r="O80" s="35"/>
      <c r="P80" s="35"/>
      <c r="Q80" s="41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41"/>
      <c r="AC80" s="49" t="str">
        <f>CONCATENATE("TEST: ",D83)</f>
        <v>TEST: BicYcle.Electric.Passenger.ELC.City.Base-year.</v>
      </c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35"/>
      <c r="AU80" s="35"/>
      <c r="AV80" s="471" t="s">
        <v>1052</v>
      </c>
    </row>
    <row r="81" spans="1:64" s="82" customFormat="1" x14ac:dyDescent="0.25">
      <c r="A81" s="83"/>
      <c r="B81" s="351" t="s">
        <v>1053</v>
      </c>
      <c r="C81" s="352" t="s">
        <v>104</v>
      </c>
      <c r="D81" s="352" t="s">
        <v>1054</v>
      </c>
      <c r="E81" s="352" t="s">
        <v>673</v>
      </c>
      <c r="F81" s="352" t="s">
        <v>674</v>
      </c>
      <c r="G81" s="352" t="s">
        <v>1055</v>
      </c>
      <c r="H81" s="353" t="s">
        <v>1056</v>
      </c>
      <c r="I81" s="352" t="s">
        <v>982</v>
      </c>
      <c r="J81" s="354" t="s">
        <v>1123</v>
      </c>
      <c r="K81" s="352" t="s">
        <v>1057</v>
      </c>
      <c r="L81" s="352" t="s">
        <v>1058</v>
      </c>
      <c r="M81" s="352" t="str">
        <f t="shared" ref="M81:AA81" si="112">M$2</f>
        <v>Z01</v>
      </c>
      <c r="N81" s="352" t="str">
        <f t="shared" si="112"/>
        <v>Z02</v>
      </c>
      <c r="O81" s="352" t="str">
        <f t="shared" si="112"/>
        <v>Z03</v>
      </c>
      <c r="P81" s="352" t="str">
        <f t="shared" si="112"/>
        <v>Z04</v>
      </c>
      <c r="Q81" s="352" t="str">
        <f t="shared" si="112"/>
        <v>Z05</v>
      </c>
      <c r="R81" s="352" t="str">
        <f t="shared" si="112"/>
        <v>Z06</v>
      </c>
      <c r="S81" s="352" t="str">
        <f t="shared" si="112"/>
        <v>Z07</v>
      </c>
      <c r="T81" s="352" t="str">
        <f t="shared" si="112"/>
        <v>Z08</v>
      </c>
      <c r="U81" s="352" t="str">
        <f t="shared" si="112"/>
        <v>Z09</v>
      </c>
      <c r="V81" s="352" t="str">
        <f t="shared" si="112"/>
        <v>Z10</v>
      </c>
      <c r="W81" s="352" t="str">
        <f t="shared" si="112"/>
        <v>Z11</v>
      </c>
      <c r="X81" s="352" t="str">
        <f t="shared" si="112"/>
        <v>Z12</v>
      </c>
      <c r="Y81" s="352" t="str">
        <f t="shared" si="112"/>
        <v>Z13</v>
      </c>
      <c r="Z81" s="352" t="str">
        <f t="shared" si="112"/>
        <v>Z14</v>
      </c>
      <c r="AA81" s="352" t="str">
        <f t="shared" si="112"/>
        <v>Z15</v>
      </c>
      <c r="AB81" s="355"/>
      <c r="AC81" s="701"/>
      <c r="AD81" s="703" t="s">
        <v>421</v>
      </c>
      <c r="AE81" s="703" t="str">
        <f>M$8</f>
        <v>Z01</v>
      </c>
      <c r="AF81" s="703" t="str">
        <f t="shared" ref="AF81:AS81" si="113">N$8</f>
        <v>Z02</v>
      </c>
      <c r="AG81" s="703" t="str">
        <f t="shared" si="113"/>
        <v>Z03</v>
      </c>
      <c r="AH81" s="703" t="str">
        <f t="shared" si="113"/>
        <v>Z04</v>
      </c>
      <c r="AI81" s="703" t="str">
        <f t="shared" si="113"/>
        <v>Z05</v>
      </c>
      <c r="AJ81" s="703" t="str">
        <f t="shared" si="113"/>
        <v>Z06</v>
      </c>
      <c r="AK81" s="703" t="str">
        <f t="shared" si="113"/>
        <v>Z07</v>
      </c>
      <c r="AL81" s="703" t="str">
        <f t="shared" si="113"/>
        <v>Z08</v>
      </c>
      <c r="AM81" s="703" t="str">
        <f t="shared" si="113"/>
        <v>Z09</v>
      </c>
      <c r="AN81" s="703" t="str">
        <f t="shared" si="113"/>
        <v>Z10</v>
      </c>
      <c r="AO81" s="703" t="str">
        <f t="shared" si="113"/>
        <v>Z11</v>
      </c>
      <c r="AP81" s="703" t="str">
        <f t="shared" si="113"/>
        <v>Z12</v>
      </c>
      <c r="AQ81" s="703" t="str">
        <f t="shared" si="113"/>
        <v>Z13</v>
      </c>
      <c r="AR81" s="703" t="str">
        <f t="shared" si="113"/>
        <v>Z14</v>
      </c>
      <c r="AS81" s="703" t="str">
        <f t="shared" si="113"/>
        <v>Z15</v>
      </c>
      <c r="AT81" s="355"/>
      <c r="AU81" s="355"/>
      <c r="AV81" s="701" t="s">
        <v>85</v>
      </c>
      <c r="AW81" s="701" t="s">
        <v>421</v>
      </c>
      <c r="AX81" s="701" t="str">
        <f>M$2</f>
        <v>Z01</v>
      </c>
      <c r="AY81" s="701" t="str">
        <f t="shared" ref="AY81" si="114">N$2</f>
        <v>Z02</v>
      </c>
      <c r="AZ81" s="701" t="str">
        <f t="shared" ref="AZ81" si="115">O$2</f>
        <v>Z03</v>
      </c>
      <c r="BA81" s="701" t="str">
        <f t="shared" ref="BA81" si="116">P$2</f>
        <v>Z04</v>
      </c>
      <c r="BB81" s="701" t="str">
        <f t="shared" ref="BB81" si="117">Q$2</f>
        <v>Z05</v>
      </c>
      <c r="BC81" s="701" t="str">
        <f t="shared" ref="BC81" si="118">R$2</f>
        <v>Z06</v>
      </c>
      <c r="BD81" s="701" t="str">
        <f t="shared" ref="BD81" si="119">S$2</f>
        <v>Z07</v>
      </c>
      <c r="BE81" s="701" t="str">
        <f t="shared" ref="BE81" si="120">T$2</f>
        <v>Z08</v>
      </c>
      <c r="BF81" s="701" t="str">
        <f t="shared" ref="BF81" si="121">U$2</f>
        <v>Z09</v>
      </c>
      <c r="BG81" s="701" t="str">
        <f t="shared" ref="BG81" si="122">V$2</f>
        <v>Z10</v>
      </c>
      <c r="BH81" s="701" t="str">
        <f t="shared" ref="BH81" si="123">W$2</f>
        <v>Z11</v>
      </c>
      <c r="BI81" s="701" t="str">
        <f t="shared" ref="BI81" si="124">X$2</f>
        <v>Z12</v>
      </c>
      <c r="BJ81" s="701" t="str">
        <f t="shared" ref="BJ81" si="125">Y$2</f>
        <v>Z13</v>
      </c>
      <c r="BK81" s="701" t="str">
        <f t="shared" ref="BK81" si="126">Z$2</f>
        <v>Z14</v>
      </c>
      <c r="BL81" s="701" t="str">
        <f t="shared" ref="BL81" si="127">AA$2</f>
        <v>Z15</v>
      </c>
    </row>
    <row r="82" spans="1:64" s="22" customFormat="1" x14ac:dyDescent="0.25">
      <c r="A82" s="35"/>
      <c r="B82" s="176"/>
      <c r="C82" s="176"/>
      <c r="D82" s="176" t="s">
        <v>1062</v>
      </c>
      <c r="E82" s="176"/>
      <c r="F82" s="176"/>
      <c r="G82" s="176"/>
      <c r="H82" s="177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35"/>
      <c r="AC82" s="398" t="s">
        <v>1124</v>
      </c>
      <c r="AD82" s="625" t="str">
        <f>IF(AD83-AC15&lt;0,"too small",IF(AD83-AC15&gt;0.001,"Too big","ok"))</f>
        <v>ok</v>
      </c>
      <c r="AE82" s="619" t="str">
        <f>IF(AE83-M15&lt;0,"too small",IF(AE83-M15&gt;0.001,"Too big","ok"))</f>
        <v>ok</v>
      </c>
      <c r="AF82" s="619" t="str">
        <f t="shared" ref="AF82:AS82" si="128">IF(AF83-N15&lt;0,"too small",IF(AF83-N15&gt;0.001,"Too big","ok"))</f>
        <v>ok</v>
      </c>
      <c r="AG82" s="619" t="str">
        <f t="shared" si="128"/>
        <v>ok</v>
      </c>
      <c r="AH82" s="619" t="str">
        <f t="shared" si="128"/>
        <v>ok</v>
      </c>
      <c r="AI82" s="619" t="str">
        <f t="shared" si="128"/>
        <v>ok</v>
      </c>
      <c r="AJ82" s="619" t="str">
        <f t="shared" si="128"/>
        <v>ok</v>
      </c>
      <c r="AK82" s="619" t="str">
        <f t="shared" si="128"/>
        <v>ok</v>
      </c>
      <c r="AL82" s="619" t="str">
        <f t="shared" si="128"/>
        <v>ok</v>
      </c>
      <c r="AM82" s="619" t="str">
        <f t="shared" si="128"/>
        <v>ok</v>
      </c>
      <c r="AN82" s="619" t="str">
        <f t="shared" si="128"/>
        <v>ok</v>
      </c>
      <c r="AO82" s="619" t="str">
        <f t="shared" si="128"/>
        <v>ok</v>
      </c>
      <c r="AP82" s="619" t="str">
        <f t="shared" si="128"/>
        <v>ok</v>
      </c>
      <c r="AQ82" s="619" t="str">
        <f t="shared" si="128"/>
        <v>ok</v>
      </c>
      <c r="AR82" s="619" t="str">
        <f t="shared" si="128"/>
        <v>ok</v>
      </c>
      <c r="AS82" s="619" t="str">
        <f t="shared" si="128"/>
        <v>ok</v>
      </c>
      <c r="AT82" s="35"/>
      <c r="AU82" s="35"/>
      <c r="AV82" s="398" t="s">
        <v>103</v>
      </c>
      <c r="AW82" s="716">
        <f>SUM(AX82:BL82)</f>
        <v>0</v>
      </c>
      <c r="AX82" s="716">
        <f>SUM(AX83:AX128)</f>
        <v>0</v>
      </c>
      <c r="AY82" s="716">
        <f t="shared" ref="AY82" si="129">SUM(AY83:AY128)</f>
        <v>0</v>
      </c>
      <c r="AZ82" s="716">
        <f t="shared" ref="AZ82" si="130">SUM(AZ83:AZ128)</f>
        <v>0</v>
      </c>
      <c r="BA82" s="716">
        <f t="shared" ref="BA82" si="131">SUM(BA83:BA128)</f>
        <v>0</v>
      </c>
      <c r="BB82" s="716">
        <f t="shared" ref="BB82" si="132">SUM(BB83:BB128)</f>
        <v>0</v>
      </c>
      <c r="BC82" s="716">
        <f t="shared" ref="BC82" si="133">SUM(BC83:BC128)</f>
        <v>0</v>
      </c>
      <c r="BD82" s="716">
        <f t="shared" ref="BD82" si="134">SUM(BD83:BD128)</f>
        <v>0</v>
      </c>
      <c r="BE82" s="716">
        <f t="shared" ref="BE82" si="135">SUM(BE83:BE128)</f>
        <v>0</v>
      </c>
      <c r="BF82" s="716">
        <f t="shared" ref="BF82" si="136">SUM(BF83:BF128)</f>
        <v>0</v>
      </c>
      <c r="BG82" s="716">
        <f t="shared" ref="BG82" si="137">SUM(BG83:BG128)</f>
        <v>0</v>
      </c>
      <c r="BH82" s="716">
        <f t="shared" ref="BH82" si="138">SUM(BH83:BH128)</f>
        <v>0</v>
      </c>
      <c r="BI82" s="716">
        <f t="shared" ref="BI82" si="139">SUM(BI83:BI128)</f>
        <v>0</v>
      </c>
      <c r="BJ82" s="716">
        <f t="shared" ref="BJ82" si="140">SUM(BJ83:BJ128)</f>
        <v>0</v>
      </c>
      <c r="BK82" s="716">
        <f t="shared" ref="BK82" si="141">SUM(BK83:BK128)</f>
        <v>0</v>
      </c>
      <c r="BL82" s="716">
        <f t="shared" ref="BL82" si="142">SUM(BL83:BL128)</f>
        <v>0</v>
      </c>
    </row>
    <row r="83" spans="1:64" s="35" customFormat="1" x14ac:dyDescent="0.25">
      <c r="A83" s="22"/>
      <c r="B83" s="186" t="str">
        <f>C83</f>
        <v>TYEP900</v>
      </c>
      <c r="C83" s="186" t="s">
        <v>562</v>
      </c>
      <c r="D83" s="187" t="s">
        <v>899</v>
      </c>
      <c r="E83" s="188" t="s">
        <v>683</v>
      </c>
      <c r="F83" s="213" t="s">
        <v>473</v>
      </c>
      <c r="G83" s="170"/>
      <c r="H83" s="190"/>
      <c r="I83" s="191"/>
      <c r="J83" s="191"/>
      <c r="K83" s="192" t="s">
        <v>1107</v>
      </c>
      <c r="L83" s="191" t="s">
        <v>1125</v>
      </c>
      <c r="M83" s="567">
        <f>10^-3</f>
        <v>1E-3</v>
      </c>
      <c r="N83" s="366">
        <f t="shared" ref="N83:AA86" si="143">$M83</f>
        <v>1E-3</v>
      </c>
      <c r="O83" s="366">
        <f t="shared" si="143"/>
        <v>1E-3</v>
      </c>
      <c r="P83" s="366">
        <f t="shared" si="143"/>
        <v>1E-3</v>
      </c>
      <c r="Q83" s="366">
        <f t="shared" si="143"/>
        <v>1E-3</v>
      </c>
      <c r="R83" s="366">
        <f t="shared" si="143"/>
        <v>1E-3</v>
      </c>
      <c r="S83" s="366">
        <f t="shared" si="143"/>
        <v>1E-3</v>
      </c>
      <c r="T83" s="366">
        <f t="shared" si="143"/>
        <v>1E-3</v>
      </c>
      <c r="U83" s="366">
        <f t="shared" si="143"/>
        <v>1E-3</v>
      </c>
      <c r="V83" s="366">
        <f t="shared" si="143"/>
        <v>1E-3</v>
      </c>
      <c r="W83" s="366">
        <f t="shared" si="143"/>
        <v>1E-3</v>
      </c>
      <c r="X83" s="366">
        <f t="shared" si="143"/>
        <v>1E-3</v>
      </c>
      <c r="Y83" s="366">
        <f t="shared" si="143"/>
        <v>1E-3</v>
      </c>
      <c r="Z83" s="366">
        <f t="shared" si="143"/>
        <v>1E-3</v>
      </c>
      <c r="AA83" s="366">
        <f t="shared" si="143"/>
        <v>1E-3</v>
      </c>
      <c r="AC83" s="56" t="str">
        <f>F83</f>
        <v>TYEP-C</v>
      </c>
      <c r="AD83" s="59">
        <f>AD89</f>
        <v>0</v>
      </c>
      <c r="AE83" s="61">
        <f>AE89</f>
        <v>0</v>
      </c>
      <c r="AF83" s="61">
        <f t="shared" ref="AF83:AS83" si="144">AF89</f>
        <v>0</v>
      </c>
      <c r="AG83" s="61">
        <f t="shared" si="144"/>
        <v>0</v>
      </c>
      <c r="AH83" s="61">
        <f t="shared" si="144"/>
        <v>0</v>
      </c>
      <c r="AI83" s="61">
        <f t="shared" si="144"/>
        <v>0</v>
      </c>
      <c r="AJ83" s="61">
        <f t="shared" si="144"/>
        <v>0</v>
      </c>
      <c r="AK83" s="61">
        <f t="shared" si="144"/>
        <v>0</v>
      </c>
      <c r="AL83" s="61">
        <f t="shared" si="144"/>
        <v>0</v>
      </c>
      <c r="AM83" s="61">
        <f t="shared" si="144"/>
        <v>0</v>
      </c>
      <c r="AN83" s="61">
        <f t="shared" si="144"/>
        <v>0</v>
      </c>
      <c r="AO83" s="61">
        <f t="shared" si="144"/>
        <v>0</v>
      </c>
      <c r="AP83" s="61">
        <f t="shared" si="144"/>
        <v>0</v>
      </c>
      <c r="AQ83" s="61">
        <f t="shared" si="144"/>
        <v>0</v>
      </c>
      <c r="AR83" s="61">
        <f t="shared" si="144"/>
        <v>0</v>
      </c>
      <c r="AS83" s="61">
        <f t="shared" si="144"/>
        <v>0</v>
      </c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02"/>
      <c r="BL83" s="702"/>
    </row>
    <row r="84" spans="1:64" s="35" customFormat="1" x14ac:dyDescent="0.25">
      <c r="B84" s="186" t="str">
        <f t="shared" ref="B84:B95" si="145">B83</f>
        <v>TYEP900</v>
      </c>
      <c r="C84" s="186"/>
      <c r="D84" s="186"/>
      <c r="E84" s="188" t="s">
        <v>681</v>
      </c>
      <c r="F84" s="213"/>
      <c r="G84" s="170"/>
      <c r="H84" s="190"/>
      <c r="I84" s="191"/>
      <c r="J84" s="191"/>
      <c r="K84" s="186" t="s">
        <v>1064</v>
      </c>
      <c r="L84" s="191" t="s">
        <v>678</v>
      </c>
      <c r="M84" s="369">
        <v>1000</v>
      </c>
      <c r="N84" s="369">
        <f>M84</f>
        <v>1000</v>
      </c>
      <c r="O84" s="369">
        <f t="shared" ref="O84:AA84" si="146">N84</f>
        <v>1000</v>
      </c>
      <c r="P84" s="369">
        <f t="shared" si="146"/>
        <v>1000</v>
      </c>
      <c r="Q84" s="369">
        <f t="shared" si="146"/>
        <v>1000</v>
      </c>
      <c r="R84" s="369">
        <f t="shared" si="146"/>
        <v>1000</v>
      </c>
      <c r="S84" s="369">
        <f t="shared" si="146"/>
        <v>1000</v>
      </c>
      <c r="T84" s="369">
        <f t="shared" si="146"/>
        <v>1000</v>
      </c>
      <c r="U84" s="369">
        <f t="shared" si="146"/>
        <v>1000</v>
      </c>
      <c r="V84" s="369">
        <f t="shared" si="146"/>
        <v>1000</v>
      </c>
      <c r="W84" s="369">
        <f t="shared" si="146"/>
        <v>1000</v>
      </c>
      <c r="X84" s="369">
        <f t="shared" si="146"/>
        <v>1000</v>
      </c>
      <c r="Y84" s="369">
        <f t="shared" si="146"/>
        <v>1000</v>
      </c>
      <c r="Z84" s="369">
        <f t="shared" si="146"/>
        <v>1000</v>
      </c>
      <c r="AA84" s="369">
        <f t="shared" si="146"/>
        <v>1000</v>
      </c>
      <c r="AC84" s="621" t="str">
        <f>IF(COUNTIF($AF$2:$AM$2,AC83)=1,"ok","MISSING")</f>
        <v>ok</v>
      </c>
      <c r="AT84" s="55"/>
      <c r="AU84" s="55"/>
      <c r="AV84" s="700" t="str">
        <f>MID(E84,1,7)</f>
        <v>TRAHUM</v>
      </c>
      <c r="AW84" s="702">
        <f>SUM(AX84:BL84)</f>
        <v>0</v>
      </c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02"/>
      <c r="BL84" s="702"/>
    </row>
    <row r="85" spans="1:64" s="35" customFormat="1" x14ac:dyDescent="0.25">
      <c r="B85" s="186" t="str">
        <f t="shared" si="145"/>
        <v>TYEP900</v>
      </c>
      <c r="C85" s="186"/>
      <c r="D85" s="186"/>
      <c r="E85" s="188" t="str">
        <f>E83</f>
        <v>TRAELC</v>
      </c>
      <c r="F85" s="213"/>
      <c r="G85" s="170"/>
      <c r="H85" s="190"/>
      <c r="I85" s="191"/>
      <c r="J85" s="191"/>
      <c r="K85" s="186" t="s">
        <v>1126</v>
      </c>
      <c r="L85" s="191" t="s">
        <v>678</v>
      </c>
      <c r="M85" s="369">
        <f>T_CEFF!H13</f>
        <v>4.5454499999999998</v>
      </c>
      <c r="N85" s="369">
        <f>T_CEFF!I13</f>
        <v>4.5454499999999998</v>
      </c>
      <c r="O85" s="369">
        <f>T_CEFF!J13</f>
        <v>4.5454499999999998</v>
      </c>
      <c r="P85" s="369">
        <f>T_CEFF!K13</f>
        <v>4.5454499999999998</v>
      </c>
      <c r="Q85" s="369">
        <f>T_CEFF!L13</f>
        <v>4.5454499999999998</v>
      </c>
      <c r="R85" s="369">
        <f>T_CEFF!M13</f>
        <v>4.5454499999999998</v>
      </c>
      <c r="S85" s="369">
        <f>T_CEFF!N13</f>
        <v>4.5454499999999998</v>
      </c>
      <c r="T85" s="369">
        <f>T_CEFF!O13</f>
        <v>4.5454499999999998</v>
      </c>
      <c r="U85" s="369">
        <f>T_CEFF!P13</f>
        <v>4.5454499999999998</v>
      </c>
      <c r="V85" s="369">
        <f>T_CEFF!Q13</f>
        <v>4.5454499999999998</v>
      </c>
      <c r="W85" s="369">
        <f>T_CEFF!R13</f>
        <v>4.5454499999999998</v>
      </c>
      <c r="X85" s="369">
        <f>T_CEFF!S13</f>
        <v>4.5454499999999998</v>
      </c>
      <c r="Y85" s="369">
        <f>T_CEFF!T13</f>
        <v>4.5454499999999998</v>
      </c>
      <c r="Z85" s="369">
        <f>T_CEFF!U13</f>
        <v>4.5454499999999998</v>
      </c>
      <c r="AA85" s="369">
        <f>T_CEFF!V13</f>
        <v>4.5454499999999998</v>
      </c>
      <c r="AC85" s="55"/>
      <c r="AT85" s="55"/>
      <c r="AU85" s="55"/>
      <c r="AV85" s="700" t="str">
        <f t="shared" ref="AV85:AV125" si="147">MID(E85,1,7)</f>
        <v>TRAELC</v>
      </c>
      <c r="AW85" s="702">
        <f t="shared" ref="AW85:AW86" si="148">SUM(AX85:BL85)</f>
        <v>0</v>
      </c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702"/>
      <c r="BL85" s="702"/>
    </row>
    <row r="86" spans="1:64" s="35" customFormat="1" x14ac:dyDescent="0.25">
      <c r="B86" s="186" t="str">
        <f t="shared" si="145"/>
        <v>TYEP900</v>
      </c>
      <c r="C86" s="186"/>
      <c r="D86" s="186"/>
      <c r="E86" s="188" t="str">
        <f>E85</f>
        <v>TRAELC</v>
      </c>
      <c r="F86" s="213"/>
      <c r="G86" s="170"/>
      <c r="H86" s="190"/>
      <c r="I86" s="191" t="s">
        <v>1127</v>
      </c>
      <c r="J86" s="191"/>
      <c r="K86" s="186" t="s">
        <v>101</v>
      </c>
      <c r="L86" s="191"/>
      <c r="M86" s="368">
        <v>0.3</v>
      </c>
      <c r="N86" s="368">
        <f t="shared" si="143"/>
        <v>0.3</v>
      </c>
      <c r="O86" s="368">
        <f t="shared" si="143"/>
        <v>0.3</v>
      </c>
      <c r="P86" s="368">
        <f t="shared" si="143"/>
        <v>0.3</v>
      </c>
      <c r="Q86" s="368">
        <f t="shared" si="143"/>
        <v>0.3</v>
      </c>
      <c r="R86" s="368">
        <f t="shared" si="143"/>
        <v>0.3</v>
      </c>
      <c r="S86" s="368">
        <f t="shared" si="143"/>
        <v>0.3</v>
      </c>
      <c r="T86" s="368">
        <f t="shared" si="143"/>
        <v>0.3</v>
      </c>
      <c r="U86" s="368">
        <f t="shared" si="143"/>
        <v>0.3</v>
      </c>
      <c r="V86" s="368">
        <f t="shared" si="143"/>
        <v>0.3</v>
      </c>
      <c r="W86" s="368">
        <f t="shared" si="143"/>
        <v>0.3</v>
      </c>
      <c r="X86" s="368">
        <f t="shared" si="143"/>
        <v>0.3</v>
      </c>
      <c r="Y86" s="368">
        <f t="shared" si="143"/>
        <v>0.3</v>
      </c>
      <c r="Z86" s="368">
        <f t="shared" si="143"/>
        <v>0.3</v>
      </c>
      <c r="AA86" s="368">
        <f t="shared" si="143"/>
        <v>0.3</v>
      </c>
      <c r="AC86" s="55"/>
      <c r="AT86" s="55"/>
      <c r="AU86" s="55"/>
      <c r="AV86" s="700" t="str">
        <f t="shared" si="147"/>
        <v>TRAELC</v>
      </c>
      <c r="AW86" s="702">
        <f t="shared" si="148"/>
        <v>0</v>
      </c>
      <c r="AX86" s="702"/>
      <c r="AY86" s="702"/>
      <c r="AZ86" s="702"/>
      <c r="BA86" s="702"/>
      <c r="BB86" s="702"/>
      <c r="BC86" s="702"/>
      <c r="BD86" s="702"/>
      <c r="BE86" s="702"/>
      <c r="BF86" s="702"/>
      <c r="BG86" s="702"/>
      <c r="BH86" s="702"/>
      <c r="BI86" s="702"/>
      <c r="BJ86" s="702"/>
      <c r="BK86" s="702"/>
      <c r="BL86" s="702"/>
    </row>
    <row r="87" spans="1:64" s="35" customFormat="1" x14ac:dyDescent="0.25">
      <c r="B87" s="186" t="str">
        <f t="shared" si="145"/>
        <v>TYEP900</v>
      </c>
      <c r="C87" s="186"/>
      <c r="D87" s="187"/>
      <c r="E87" s="186"/>
      <c r="F87" s="213"/>
      <c r="G87" s="170"/>
      <c r="H87" s="190"/>
      <c r="I87" s="191"/>
      <c r="J87" s="191" t="s">
        <v>749</v>
      </c>
      <c r="K87" s="186" t="s">
        <v>1128</v>
      </c>
      <c r="L87" s="191" t="s">
        <v>1129</v>
      </c>
      <c r="M87" s="368">
        <f t="shared" ref="M87:AA87" si="149">M$23</f>
        <v>0</v>
      </c>
      <c r="N87" s="368">
        <f t="shared" si="149"/>
        <v>0</v>
      </c>
      <c r="O87" s="368">
        <f t="shared" si="149"/>
        <v>0</v>
      </c>
      <c r="P87" s="368">
        <f t="shared" si="149"/>
        <v>0</v>
      </c>
      <c r="Q87" s="368">
        <f t="shared" si="149"/>
        <v>0</v>
      </c>
      <c r="R87" s="368">
        <f t="shared" si="149"/>
        <v>0</v>
      </c>
      <c r="S87" s="368">
        <f t="shared" si="149"/>
        <v>0</v>
      </c>
      <c r="T87" s="368">
        <f t="shared" si="149"/>
        <v>0</v>
      </c>
      <c r="U87" s="368">
        <f t="shared" si="149"/>
        <v>0</v>
      </c>
      <c r="V87" s="368">
        <f t="shared" si="149"/>
        <v>0</v>
      </c>
      <c r="W87" s="368">
        <f t="shared" si="149"/>
        <v>0</v>
      </c>
      <c r="X87" s="368">
        <f t="shared" si="149"/>
        <v>0</v>
      </c>
      <c r="Y87" s="368">
        <f t="shared" si="149"/>
        <v>0</v>
      </c>
      <c r="Z87" s="368">
        <f t="shared" si="149"/>
        <v>0</v>
      </c>
      <c r="AA87" s="368">
        <f t="shared" si="149"/>
        <v>0</v>
      </c>
      <c r="AV87" s="700" t="str">
        <f t="shared" si="147"/>
        <v/>
      </c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02"/>
      <c r="BL87" s="702"/>
    </row>
    <row r="88" spans="1:64" s="35" customFormat="1" x14ac:dyDescent="0.25">
      <c r="B88" s="186" t="str">
        <f t="shared" si="145"/>
        <v>TYEP900</v>
      </c>
      <c r="C88" s="186"/>
      <c r="D88" s="187"/>
      <c r="E88" s="186"/>
      <c r="F88" s="213"/>
      <c r="G88" s="170"/>
      <c r="H88" s="190"/>
      <c r="I88" s="191"/>
      <c r="J88" s="191"/>
      <c r="K88" s="192" t="s">
        <v>1130</v>
      </c>
      <c r="L88" s="191" t="s">
        <v>1131</v>
      </c>
      <c r="M88" s="368">
        <f>T_NCAP_AF!D297</f>
        <v>0</v>
      </c>
      <c r="N88" s="368">
        <f>T_NCAP_AF!E297</f>
        <v>0</v>
      </c>
      <c r="O88" s="368">
        <f>T_NCAP_AF!F297</f>
        <v>0</v>
      </c>
      <c r="P88" s="368">
        <f>T_NCAP_AF!G297</f>
        <v>0</v>
      </c>
      <c r="Q88" s="368">
        <f>T_NCAP_AF!H297</f>
        <v>0</v>
      </c>
      <c r="R88" s="368">
        <f>T_NCAP_AF!I297</f>
        <v>0</v>
      </c>
      <c r="S88" s="368">
        <f>T_NCAP_AF!J297</f>
        <v>0</v>
      </c>
      <c r="T88" s="368">
        <f>T_NCAP_AF!K297</f>
        <v>0</v>
      </c>
      <c r="U88" s="368">
        <f>T_NCAP_AF!L297</f>
        <v>0</v>
      </c>
      <c r="V88" s="368">
        <f>T_NCAP_AF!M297</f>
        <v>0</v>
      </c>
      <c r="W88" s="368">
        <f>T_NCAP_AF!N297</f>
        <v>0</v>
      </c>
      <c r="X88" s="368">
        <f>T_NCAP_AF!O297</f>
        <v>0</v>
      </c>
      <c r="Y88" s="368">
        <f>T_NCAP_AF!P297</f>
        <v>0</v>
      </c>
      <c r="Z88" s="368">
        <f>T_NCAP_AF!Q297</f>
        <v>0</v>
      </c>
      <c r="AA88" s="368">
        <f>T_NCAP_AF!R297</f>
        <v>0</v>
      </c>
      <c r="AV88" s="700" t="str">
        <f t="shared" si="147"/>
        <v/>
      </c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02"/>
      <c r="BL88" s="702"/>
    </row>
    <row r="89" spans="1:64" s="35" customFormat="1" x14ac:dyDescent="0.25">
      <c r="B89" s="186" t="str">
        <f t="shared" si="145"/>
        <v>TYEP900</v>
      </c>
      <c r="C89" s="186"/>
      <c r="D89" s="187"/>
      <c r="E89" s="186"/>
      <c r="F89" s="213"/>
      <c r="G89" s="170"/>
      <c r="H89" s="190">
        <f>$L$3</f>
        <v>2019</v>
      </c>
      <c r="I89" s="191"/>
      <c r="J89" s="191"/>
      <c r="K89" s="192" t="s">
        <v>1065</v>
      </c>
      <c r="L89" s="191" t="s">
        <v>748</v>
      </c>
      <c r="M89" s="689"/>
      <c r="N89" s="689"/>
      <c r="O89" s="689"/>
      <c r="P89" s="689"/>
      <c r="Q89" s="689"/>
      <c r="R89" s="689"/>
      <c r="S89" s="689"/>
      <c r="T89" s="689"/>
      <c r="U89" s="689"/>
      <c r="V89" s="689"/>
      <c r="W89" s="689"/>
      <c r="X89" s="689"/>
      <c r="Y89" s="689"/>
      <c r="Z89" s="689"/>
      <c r="AA89" s="689"/>
      <c r="AC89" s="512"/>
      <c r="AD89" s="59">
        <f>SUM(AE89:AS89)</f>
        <v>0</v>
      </c>
      <c r="AE89" s="616">
        <f>M87*M88*M89/1000</f>
        <v>0</v>
      </c>
      <c r="AF89" s="616">
        <f t="shared" ref="AF89" si="150">N87*N88*N89/1000</f>
        <v>0</v>
      </c>
      <c r="AG89" s="616">
        <f t="shared" ref="AG89" si="151">O87*O88*O89/1000</f>
        <v>0</v>
      </c>
      <c r="AH89" s="616">
        <f t="shared" ref="AH89" si="152">P87*P88*P89/1000</f>
        <v>0</v>
      </c>
      <c r="AI89" s="616">
        <f t="shared" ref="AI89" si="153">Q87*Q88*Q89/1000</f>
        <v>0</v>
      </c>
      <c r="AJ89" s="616">
        <f t="shared" ref="AJ89" si="154">R87*R88*R89/1000</f>
        <v>0</v>
      </c>
      <c r="AK89" s="616">
        <f t="shared" ref="AK89" si="155">S87*S88*S89/1000</f>
        <v>0</v>
      </c>
      <c r="AL89" s="616">
        <f t="shared" ref="AL89" si="156">T87*T88*T89/1000</f>
        <v>0</v>
      </c>
      <c r="AM89" s="616">
        <f t="shared" ref="AM89" si="157">U87*U88*U89/1000</f>
        <v>0</v>
      </c>
      <c r="AN89" s="616">
        <f t="shared" ref="AN89" si="158">V87*V88*V89/1000</f>
        <v>0</v>
      </c>
      <c r="AO89" s="616">
        <f t="shared" ref="AO89" si="159">W87*W88*W89/1000</f>
        <v>0</v>
      </c>
      <c r="AP89" s="616">
        <f t="shared" ref="AP89" si="160">X87*X88*X89/1000</f>
        <v>0</v>
      </c>
      <c r="AQ89" s="616">
        <f t="shared" ref="AQ89" si="161">Y87*Y88*Y89/1000</f>
        <v>0</v>
      </c>
      <c r="AR89" s="616">
        <f t="shared" ref="AR89" si="162">Z87*Z88*Z89/1000</f>
        <v>0</v>
      </c>
      <c r="AS89" s="616">
        <f t="shared" ref="AS89" si="163">AA87*AA88*AA89/1000</f>
        <v>0</v>
      </c>
      <c r="AV89" s="700" t="str">
        <f t="shared" si="147"/>
        <v/>
      </c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</row>
    <row r="90" spans="1:64" s="35" customFormat="1" x14ac:dyDescent="0.25">
      <c r="B90" s="186" t="str">
        <f t="shared" si="145"/>
        <v>TYEP900</v>
      </c>
      <c r="C90" s="186"/>
      <c r="D90" s="187"/>
      <c r="E90" s="186"/>
      <c r="F90" s="213"/>
      <c r="G90" s="170"/>
      <c r="H90" s="190">
        <f>AE$3</f>
        <v>2016</v>
      </c>
      <c r="I90" s="191"/>
      <c r="J90" s="191"/>
      <c r="K90" s="192" t="s">
        <v>1065</v>
      </c>
      <c r="L90" s="191" t="s">
        <v>748</v>
      </c>
      <c r="M90" s="687"/>
      <c r="N90" s="687"/>
      <c r="O90" s="687"/>
      <c r="P90" s="687"/>
      <c r="Q90" s="687"/>
      <c r="R90" s="687"/>
      <c r="S90" s="687"/>
      <c r="T90" s="687"/>
      <c r="U90" s="687"/>
      <c r="V90" s="687"/>
      <c r="W90" s="687"/>
      <c r="X90" s="687"/>
      <c r="Y90" s="687"/>
      <c r="Z90" s="687"/>
      <c r="AA90" s="687"/>
      <c r="AV90" s="700" t="str">
        <f t="shared" si="147"/>
        <v/>
      </c>
      <c r="AW90" s="702"/>
      <c r="AX90" s="702"/>
      <c r="AY90" s="702"/>
      <c r="AZ90" s="702"/>
      <c r="BA90" s="702"/>
      <c r="BB90" s="702"/>
      <c r="BC90" s="702"/>
      <c r="BD90" s="702"/>
      <c r="BE90" s="702"/>
      <c r="BF90" s="702"/>
      <c r="BG90" s="702"/>
      <c r="BH90" s="702"/>
      <c r="BI90" s="702"/>
      <c r="BJ90" s="702"/>
      <c r="BK90" s="702"/>
      <c r="BL90" s="702"/>
    </row>
    <row r="91" spans="1:64" s="35" customFormat="1" x14ac:dyDescent="0.25">
      <c r="B91" s="186" t="str">
        <f t="shared" si="145"/>
        <v>TYEP900</v>
      </c>
      <c r="C91" s="186"/>
      <c r="D91" s="187"/>
      <c r="E91" s="186"/>
      <c r="F91" s="213"/>
      <c r="G91" s="170"/>
      <c r="H91" s="190">
        <f>AE$4</f>
        <v>2020</v>
      </c>
      <c r="I91" s="191"/>
      <c r="J91" s="191"/>
      <c r="K91" s="192" t="s">
        <v>1065</v>
      </c>
      <c r="L91" s="191" t="s">
        <v>748</v>
      </c>
      <c r="M91" s="687"/>
      <c r="N91" s="687"/>
      <c r="O91" s="687"/>
      <c r="P91" s="687"/>
      <c r="Q91" s="687"/>
      <c r="R91" s="687"/>
      <c r="S91" s="687"/>
      <c r="T91" s="687"/>
      <c r="U91" s="687"/>
      <c r="V91" s="687"/>
      <c r="W91" s="687"/>
      <c r="X91" s="687"/>
      <c r="Y91" s="687"/>
      <c r="Z91" s="687"/>
      <c r="AA91" s="68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700" t="str">
        <f t="shared" si="147"/>
        <v/>
      </c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02"/>
      <c r="BL91" s="702"/>
    </row>
    <row r="92" spans="1:64" s="35" customFormat="1" x14ac:dyDescent="0.25">
      <c r="B92" s="186" t="str">
        <f t="shared" si="145"/>
        <v>TYEP900</v>
      </c>
      <c r="C92" s="186"/>
      <c r="D92" s="187"/>
      <c r="E92" s="186"/>
      <c r="F92" s="213"/>
      <c r="G92" s="170"/>
      <c r="H92" s="190">
        <f>AE$5</f>
        <v>2025</v>
      </c>
      <c r="I92" s="191"/>
      <c r="J92" s="191"/>
      <c r="K92" s="192" t="s">
        <v>1065</v>
      </c>
      <c r="L92" s="191" t="s">
        <v>748</v>
      </c>
      <c r="M92" s="687"/>
      <c r="N92" s="687"/>
      <c r="O92" s="687"/>
      <c r="P92" s="687"/>
      <c r="Q92" s="687"/>
      <c r="R92" s="687"/>
      <c r="S92" s="687"/>
      <c r="T92" s="687"/>
      <c r="U92" s="687"/>
      <c r="V92" s="687"/>
      <c r="W92" s="687"/>
      <c r="X92" s="687"/>
      <c r="Y92" s="687"/>
      <c r="Z92" s="687"/>
      <c r="AA92" s="687"/>
      <c r="AV92" s="700" t="str">
        <f t="shared" si="147"/>
        <v/>
      </c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02"/>
      <c r="BL92" s="702"/>
    </row>
    <row r="93" spans="1:64" s="35" customFormat="1" x14ac:dyDescent="0.25">
      <c r="B93" s="186" t="str">
        <f t="shared" si="145"/>
        <v>TYEP900</v>
      </c>
      <c r="C93" s="186"/>
      <c r="D93" s="187"/>
      <c r="E93" s="186"/>
      <c r="F93" s="213"/>
      <c r="G93" s="170"/>
      <c r="H93" s="190">
        <f>AE$6</f>
        <v>2030</v>
      </c>
      <c r="I93" s="191"/>
      <c r="J93" s="191"/>
      <c r="K93" s="192" t="s">
        <v>1065</v>
      </c>
      <c r="L93" s="191" t="s">
        <v>748</v>
      </c>
      <c r="M93" s="687"/>
      <c r="N93" s="687"/>
      <c r="O93" s="687"/>
      <c r="P93" s="687"/>
      <c r="Q93" s="687"/>
      <c r="R93" s="687"/>
      <c r="S93" s="687"/>
      <c r="T93" s="687"/>
      <c r="U93" s="687"/>
      <c r="V93" s="687"/>
      <c r="W93" s="687"/>
      <c r="X93" s="687"/>
      <c r="Y93" s="687"/>
      <c r="Z93" s="687"/>
      <c r="AA93" s="687"/>
      <c r="AV93" s="700" t="str">
        <f t="shared" si="147"/>
        <v/>
      </c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702"/>
      <c r="BL93" s="702"/>
    </row>
    <row r="94" spans="1:64" s="35" customFormat="1" x14ac:dyDescent="0.25">
      <c r="B94" s="186" t="str">
        <f t="shared" si="145"/>
        <v>TYEP900</v>
      </c>
      <c r="C94" s="186"/>
      <c r="D94" s="187"/>
      <c r="E94" s="186"/>
      <c r="F94" s="213"/>
      <c r="G94" s="170"/>
      <c r="H94" s="190">
        <f>AE$7</f>
        <v>2040</v>
      </c>
      <c r="I94" s="191"/>
      <c r="J94" s="191"/>
      <c r="K94" s="192" t="s">
        <v>1065</v>
      </c>
      <c r="L94" s="191" t="s">
        <v>748</v>
      </c>
      <c r="M94" s="687"/>
      <c r="N94" s="687"/>
      <c r="O94" s="687"/>
      <c r="P94" s="687"/>
      <c r="Q94" s="687"/>
      <c r="R94" s="687"/>
      <c r="S94" s="687"/>
      <c r="T94" s="687"/>
      <c r="U94" s="687"/>
      <c r="V94" s="687"/>
      <c r="W94" s="687"/>
      <c r="X94" s="687"/>
      <c r="Y94" s="687"/>
      <c r="Z94" s="687"/>
      <c r="AA94" s="687"/>
      <c r="AC94" s="49" t="str">
        <f>CONCATENATE("TEST: ",D96)</f>
        <v>TEST: BicYcle.Nonenergy.Passenger.City.Base-year.</v>
      </c>
      <c r="AV94" s="700" t="str">
        <f t="shared" si="147"/>
        <v/>
      </c>
      <c r="AW94" s="702"/>
      <c r="AX94" s="702"/>
      <c r="AY94" s="702"/>
      <c r="AZ94" s="702"/>
      <c r="BA94" s="702"/>
      <c r="BB94" s="702"/>
      <c r="BC94" s="702"/>
      <c r="BD94" s="702"/>
      <c r="BE94" s="702"/>
      <c r="BF94" s="702"/>
      <c r="BG94" s="702"/>
      <c r="BH94" s="702"/>
      <c r="BI94" s="702"/>
      <c r="BJ94" s="702"/>
      <c r="BK94" s="702"/>
      <c r="BL94" s="702"/>
    </row>
    <row r="95" spans="1:64" s="35" customFormat="1" x14ac:dyDescent="0.25">
      <c r="B95" s="193" t="str">
        <f t="shared" si="145"/>
        <v>TYEP900</v>
      </c>
      <c r="C95" s="193"/>
      <c r="D95" s="194"/>
      <c r="E95" s="193"/>
      <c r="F95" s="215"/>
      <c r="G95" s="196"/>
      <c r="H95" s="197">
        <f>AE$8</f>
        <v>2050</v>
      </c>
      <c r="I95" s="198"/>
      <c r="J95" s="198"/>
      <c r="K95" s="199" t="s">
        <v>1065</v>
      </c>
      <c r="L95" s="198" t="s">
        <v>748</v>
      </c>
      <c r="M95" s="688"/>
      <c r="N95" s="688"/>
      <c r="O95" s="688"/>
      <c r="P95" s="688"/>
      <c r="Q95" s="688"/>
      <c r="R95" s="688"/>
      <c r="S95" s="688"/>
      <c r="T95" s="688"/>
      <c r="U95" s="688"/>
      <c r="V95" s="688"/>
      <c r="W95" s="688"/>
      <c r="X95" s="688"/>
      <c r="Y95" s="688"/>
      <c r="Z95" s="688"/>
      <c r="AA95" s="688"/>
      <c r="AC95" s="58"/>
      <c r="AD95" s="715" t="s">
        <v>421</v>
      </c>
      <c r="AE95" s="715" t="str">
        <f>M$8</f>
        <v>Z01</v>
      </c>
      <c r="AF95" s="715" t="str">
        <f t="shared" ref="AF95" si="164">N$8</f>
        <v>Z02</v>
      </c>
      <c r="AG95" s="715" t="str">
        <f t="shared" ref="AG95" si="165">O$8</f>
        <v>Z03</v>
      </c>
      <c r="AH95" s="715" t="str">
        <f t="shared" ref="AH95" si="166">P$8</f>
        <v>Z04</v>
      </c>
      <c r="AI95" s="715" t="str">
        <f t="shared" ref="AI95" si="167">Q$8</f>
        <v>Z05</v>
      </c>
      <c r="AJ95" s="715" t="str">
        <f t="shared" ref="AJ95" si="168">R$8</f>
        <v>Z06</v>
      </c>
      <c r="AK95" s="715" t="str">
        <f t="shared" ref="AK95" si="169">S$8</f>
        <v>Z07</v>
      </c>
      <c r="AL95" s="715" t="str">
        <f t="shared" ref="AL95" si="170">T$8</f>
        <v>Z08</v>
      </c>
      <c r="AM95" s="715" t="str">
        <f t="shared" ref="AM95" si="171">U$8</f>
        <v>Z09</v>
      </c>
      <c r="AN95" s="715" t="str">
        <f t="shared" ref="AN95" si="172">V$8</f>
        <v>Z10</v>
      </c>
      <c r="AO95" s="715" t="str">
        <f t="shared" ref="AO95" si="173">W$8</f>
        <v>Z11</v>
      </c>
      <c r="AP95" s="715" t="str">
        <f t="shared" ref="AP95" si="174">X$8</f>
        <v>Z12</v>
      </c>
      <c r="AQ95" s="715" t="str">
        <f t="shared" ref="AQ95" si="175">Y$8</f>
        <v>Z13</v>
      </c>
      <c r="AR95" s="715" t="str">
        <f t="shared" ref="AR95" si="176">Z$8</f>
        <v>Z14</v>
      </c>
      <c r="AS95" s="715" t="str">
        <f t="shared" ref="AS95" si="177">AA$8</f>
        <v>Z15</v>
      </c>
      <c r="AV95" s="700" t="str">
        <f t="shared" si="147"/>
        <v/>
      </c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02"/>
      <c r="BL95" s="702"/>
    </row>
    <row r="96" spans="1:64" s="35" customFormat="1" x14ac:dyDescent="0.25">
      <c r="A96" s="22"/>
      <c r="B96" s="186" t="str">
        <f>C96</f>
        <v>TYNP900</v>
      </c>
      <c r="C96" s="186" t="s">
        <v>563</v>
      </c>
      <c r="D96" s="187" t="s">
        <v>903</v>
      </c>
      <c r="E96" s="188"/>
      <c r="F96" s="213" t="s">
        <v>476</v>
      </c>
      <c r="G96" s="170"/>
      <c r="H96" s="190"/>
      <c r="I96" s="191"/>
      <c r="J96" s="191"/>
      <c r="K96" s="192" t="s">
        <v>1107</v>
      </c>
      <c r="L96" s="191" t="s">
        <v>1125</v>
      </c>
      <c r="M96" s="366">
        <f>M$83</f>
        <v>1E-3</v>
      </c>
      <c r="N96" s="366">
        <f t="shared" ref="N96:AA96" si="178">$M96</f>
        <v>1E-3</v>
      </c>
      <c r="O96" s="366">
        <f t="shared" si="178"/>
        <v>1E-3</v>
      </c>
      <c r="P96" s="366">
        <f t="shared" si="178"/>
        <v>1E-3</v>
      </c>
      <c r="Q96" s="366">
        <f t="shared" si="178"/>
        <v>1E-3</v>
      </c>
      <c r="R96" s="366">
        <f t="shared" si="178"/>
        <v>1E-3</v>
      </c>
      <c r="S96" s="366">
        <f t="shared" si="178"/>
        <v>1E-3</v>
      </c>
      <c r="T96" s="366">
        <f t="shared" si="178"/>
        <v>1E-3</v>
      </c>
      <c r="U96" s="366">
        <f t="shared" si="178"/>
        <v>1E-3</v>
      </c>
      <c r="V96" s="366">
        <f t="shared" si="178"/>
        <v>1E-3</v>
      </c>
      <c r="W96" s="366">
        <f t="shared" si="178"/>
        <v>1E-3</v>
      </c>
      <c r="X96" s="366">
        <f t="shared" si="178"/>
        <v>1E-3</v>
      </c>
      <c r="Y96" s="366">
        <f t="shared" si="178"/>
        <v>1E-3</v>
      </c>
      <c r="Z96" s="366">
        <f t="shared" si="178"/>
        <v>1E-3</v>
      </c>
      <c r="AA96" s="366">
        <f t="shared" si="178"/>
        <v>1E-3</v>
      </c>
      <c r="AC96" s="402" t="str">
        <f>F96</f>
        <v>TYNP-C</v>
      </c>
      <c r="AD96" s="625" t="str">
        <f>IF(AD97-AC17&lt;0,"too small",IF(AD97-AC17&gt;0.001,"Too big","ok"))</f>
        <v>ok</v>
      </c>
      <c r="AE96" s="619" t="str">
        <f>IF(AE97-M17&lt;0,"too small",IF(AE97-M17&gt;0.001,"Too big","ok"))</f>
        <v>ok</v>
      </c>
      <c r="AF96" s="619" t="str">
        <f t="shared" ref="AF96:AS96" si="179">IF(AF97-N17&lt;0,"too small",IF(AF97-N17&gt;0.001,"Too big","ok"))</f>
        <v>ok</v>
      </c>
      <c r="AG96" s="619" t="str">
        <f t="shared" si="179"/>
        <v>ok</v>
      </c>
      <c r="AH96" s="619" t="str">
        <f t="shared" si="179"/>
        <v>ok</v>
      </c>
      <c r="AI96" s="619" t="str">
        <f t="shared" si="179"/>
        <v>ok</v>
      </c>
      <c r="AJ96" s="619" t="str">
        <f t="shared" si="179"/>
        <v>ok</v>
      </c>
      <c r="AK96" s="619" t="str">
        <f t="shared" si="179"/>
        <v>ok</v>
      </c>
      <c r="AL96" s="619" t="str">
        <f t="shared" si="179"/>
        <v>ok</v>
      </c>
      <c r="AM96" s="619" t="str">
        <f t="shared" si="179"/>
        <v>ok</v>
      </c>
      <c r="AN96" s="619" t="str">
        <f t="shared" si="179"/>
        <v>ok</v>
      </c>
      <c r="AO96" s="619" t="str">
        <f t="shared" si="179"/>
        <v>ok</v>
      </c>
      <c r="AP96" s="619" t="str">
        <f t="shared" si="179"/>
        <v>ok</v>
      </c>
      <c r="AQ96" s="619" t="str">
        <f t="shared" si="179"/>
        <v>ok</v>
      </c>
      <c r="AR96" s="619" t="str">
        <f t="shared" si="179"/>
        <v>ok</v>
      </c>
      <c r="AS96" s="619" t="str">
        <f t="shared" si="179"/>
        <v>ok</v>
      </c>
      <c r="AV96" s="700" t="str">
        <f t="shared" si="147"/>
        <v/>
      </c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02"/>
      <c r="BL96" s="702"/>
    </row>
    <row r="97" spans="1:64" s="35" customFormat="1" x14ac:dyDescent="0.25">
      <c r="B97" s="186" t="str">
        <f t="shared" ref="B97:B106" si="180">B96</f>
        <v>TYNP900</v>
      </c>
      <c r="C97" s="186"/>
      <c r="D97" s="186"/>
      <c r="E97" s="258" t="s">
        <v>681</v>
      </c>
      <c r="F97" s="213"/>
      <c r="G97" s="170"/>
      <c r="H97" s="190"/>
      <c r="I97" s="191"/>
      <c r="J97" s="191"/>
      <c r="K97" s="186" t="s">
        <v>1064</v>
      </c>
      <c r="L97" s="191" t="s">
        <v>678</v>
      </c>
      <c r="M97" s="369">
        <v>1000</v>
      </c>
      <c r="N97" s="369">
        <f>M97</f>
        <v>1000</v>
      </c>
      <c r="O97" s="369">
        <f t="shared" ref="O97:AA97" si="181">N97</f>
        <v>1000</v>
      </c>
      <c r="P97" s="369">
        <f t="shared" si="181"/>
        <v>1000</v>
      </c>
      <c r="Q97" s="369">
        <f t="shared" si="181"/>
        <v>1000</v>
      </c>
      <c r="R97" s="369">
        <f t="shared" si="181"/>
        <v>1000</v>
      </c>
      <c r="S97" s="369">
        <f t="shared" si="181"/>
        <v>1000</v>
      </c>
      <c r="T97" s="369">
        <f t="shared" si="181"/>
        <v>1000</v>
      </c>
      <c r="U97" s="369">
        <f t="shared" si="181"/>
        <v>1000</v>
      </c>
      <c r="V97" s="369">
        <f t="shared" si="181"/>
        <v>1000</v>
      </c>
      <c r="W97" s="369">
        <f t="shared" si="181"/>
        <v>1000</v>
      </c>
      <c r="X97" s="369">
        <f t="shared" si="181"/>
        <v>1000</v>
      </c>
      <c r="Y97" s="369">
        <f t="shared" si="181"/>
        <v>1000</v>
      </c>
      <c r="Z97" s="369">
        <f t="shared" si="181"/>
        <v>1000</v>
      </c>
      <c r="AA97" s="369">
        <f t="shared" si="181"/>
        <v>1000</v>
      </c>
      <c r="AC97" s="621" t="str">
        <f>IF(COUNTIF($AF$2:$AM$2,AC96)=1,"ok","MISSING")</f>
        <v>ok</v>
      </c>
      <c r="AD97" s="80">
        <f>AD100</f>
        <v>0</v>
      </c>
      <c r="AE97" s="618">
        <f t="shared" ref="AE97:AS97" si="182">AE100</f>
        <v>0</v>
      </c>
      <c r="AF97" s="618">
        <f t="shared" si="182"/>
        <v>0</v>
      </c>
      <c r="AG97" s="618">
        <f t="shared" si="182"/>
        <v>0</v>
      </c>
      <c r="AH97" s="618">
        <f t="shared" si="182"/>
        <v>0</v>
      </c>
      <c r="AI97" s="618">
        <f t="shared" si="182"/>
        <v>0</v>
      </c>
      <c r="AJ97" s="618">
        <f t="shared" si="182"/>
        <v>0</v>
      </c>
      <c r="AK97" s="618">
        <f t="shared" si="182"/>
        <v>0</v>
      </c>
      <c r="AL97" s="618">
        <f t="shared" si="182"/>
        <v>0</v>
      </c>
      <c r="AM97" s="618">
        <f t="shared" si="182"/>
        <v>0</v>
      </c>
      <c r="AN97" s="618">
        <f t="shared" si="182"/>
        <v>0</v>
      </c>
      <c r="AO97" s="618">
        <f t="shared" si="182"/>
        <v>0</v>
      </c>
      <c r="AP97" s="618">
        <f t="shared" si="182"/>
        <v>0</v>
      </c>
      <c r="AQ97" s="618">
        <f t="shared" si="182"/>
        <v>0</v>
      </c>
      <c r="AR97" s="618">
        <f t="shared" si="182"/>
        <v>0</v>
      </c>
      <c r="AS97" s="618">
        <f t="shared" si="182"/>
        <v>0</v>
      </c>
      <c r="AT97" s="55"/>
      <c r="AU97" s="55"/>
      <c r="AV97" s="700" t="str">
        <f t="shared" si="147"/>
        <v>TRAHUM</v>
      </c>
      <c r="AW97" s="702">
        <f>SUM(AX97:BL97)</f>
        <v>0</v>
      </c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702"/>
      <c r="BL97" s="702"/>
    </row>
    <row r="98" spans="1:64" s="35" customFormat="1" x14ac:dyDescent="0.25">
      <c r="B98" s="186" t="str">
        <f t="shared" si="180"/>
        <v>TYNP900</v>
      </c>
      <c r="C98" s="186"/>
      <c r="D98" s="187"/>
      <c r="E98" s="186"/>
      <c r="F98" s="213"/>
      <c r="G98" s="170"/>
      <c r="H98" s="190"/>
      <c r="I98" s="191"/>
      <c r="J98" s="191" t="s">
        <v>749</v>
      </c>
      <c r="K98" s="186" t="s">
        <v>1128</v>
      </c>
      <c r="L98" s="191" t="s">
        <v>1129</v>
      </c>
      <c r="M98" s="368">
        <f t="shared" ref="M98:AA98" si="183">M$23</f>
        <v>0</v>
      </c>
      <c r="N98" s="368">
        <f t="shared" si="183"/>
        <v>0</v>
      </c>
      <c r="O98" s="368">
        <f t="shared" si="183"/>
        <v>0</v>
      </c>
      <c r="P98" s="368">
        <f t="shared" si="183"/>
        <v>0</v>
      </c>
      <c r="Q98" s="368">
        <f t="shared" si="183"/>
        <v>0</v>
      </c>
      <c r="R98" s="368">
        <f t="shared" si="183"/>
        <v>0</v>
      </c>
      <c r="S98" s="368">
        <f t="shared" si="183"/>
        <v>0</v>
      </c>
      <c r="T98" s="368">
        <f t="shared" si="183"/>
        <v>0</v>
      </c>
      <c r="U98" s="368">
        <f t="shared" si="183"/>
        <v>0</v>
      </c>
      <c r="V98" s="368">
        <f t="shared" si="183"/>
        <v>0</v>
      </c>
      <c r="W98" s="368">
        <f t="shared" si="183"/>
        <v>0</v>
      </c>
      <c r="X98" s="368">
        <f t="shared" si="183"/>
        <v>0</v>
      </c>
      <c r="Y98" s="368">
        <f t="shared" si="183"/>
        <v>0</v>
      </c>
      <c r="Z98" s="368">
        <f t="shared" si="183"/>
        <v>0</v>
      </c>
      <c r="AA98" s="368">
        <f t="shared" si="183"/>
        <v>0</v>
      </c>
      <c r="AD98" s="68"/>
      <c r="AE98" s="413"/>
      <c r="AF98" s="413"/>
      <c r="AG98" s="413"/>
      <c r="AH98" s="413"/>
      <c r="AI98" s="413"/>
      <c r="AJ98" s="413"/>
      <c r="AK98" s="413"/>
      <c r="AL98" s="413"/>
      <c r="AM98" s="413"/>
      <c r="AN98" s="413"/>
      <c r="AO98" s="413"/>
      <c r="AP98" s="413"/>
      <c r="AQ98" s="413"/>
      <c r="AR98" s="413"/>
      <c r="AS98" s="413"/>
      <c r="AV98" s="700" t="str">
        <f t="shared" si="147"/>
        <v/>
      </c>
      <c r="AW98" s="702"/>
      <c r="AX98" s="702"/>
      <c r="AY98" s="702"/>
      <c r="AZ98" s="702"/>
      <c r="BA98" s="702"/>
      <c r="BB98" s="702"/>
      <c r="BC98" s="702"/>
      <c r="BD98" s="702"/>
      <c r="BE98" s="702"/>
      <c r="BF98" s="702"/>
      <c r="BG98" s="702"/>
      <c r="BH98" s="702"/>
      <c r="BI98" s="702"/>
      <c r="BJ98" s="702"/>
      <c r="BK98" s="702"/>
      <c r="BL98" s="702"/>
    </row>
    <row r="99" spans="1:64" s="35" customFormat="1" x14ac:dyDescent="0.25">
      <c r="B99" s="186" t="str">
        <f t="shared" si="180"/>
        <v>TYNP900</v>
      </c>
      <c r="C99" s="186"/>
      <c r="D99" s="187"/>
      <c r="E99" s="186"/>
      <c r="F99" s="213"/>
      <c r="G99" s="170"/>
      <c r="H99" s="190"/>
      <c r="I99" s="191"/>
      <c r="J99" s="191"/>
      <c r="K99" s="192" t="s">
        <v>1130</v>
      </c>
      <c r="L99" s="191" t="s">
        <v>1131</v>
      </c>
      <c r="M99" s="369">
        <f>T_NCAP_AF!D306</f>
        <v>0</v>
      </c>
      <c r="N99" s="369">
        <f>T_NCAP_AF!E306</f>
        <v>0</v>
      </c>
      <c r="O99" s="369">
        <f>T_NCAP_AF!F306</f>
        <v>0</v>
      </c>
      <c r="P99" s="369">
        <f>T_NCAP_AF!G306</f>
        <v>0</v>
      </c>
      <c r="Q99" s="369">
        <f>T_NCAP_AF!H306</f>
        <v>0</v>
      </c>
      <c r="R99" s="369">
        <f>T_NCAP_AF!I306</f>
        <v>0</v>
      </c>
      <c r="S99" s="369">
        <f>T_NCAP_AF!J306</f>
        <v>0</v>
      </c>
      <c r="T99" s="369">
        <f>T_NCAP_AF!K306</f>
        <v>0</v>
      </c>
      <c r="U99" s="369">
        <f>T_NCAP_AF!L306</f>
        <v>0</v>
      </c>
      <c r="V99" s="369">
        <f>T_NCAP_AF!M306</f>
        <v>0</v>
      </c>
      <c r="W99" s="369">
        <f>T_NCAP_AF!N306</f>
        <v>0</v>
      </c>
      <c r="X99" s="369">
        <f>T_NCAP_AF!O306</f>
        <v>0</v>
      </c>
      <c r="Y99" s="369">
        <f>T_NCAP_AF!P306</f>
        <v>0</v>
      </c>
      <c r="Z99" s="369">
        <f>T_NCAP_AF!Q306</f>
        <v>0</v>
      </c>
      <c r="AA99" s="369">
        <f>T_NCAP_AF!R306</f>
        <v>0</v>
      </c>
      <c r="AD99" s="68"/>
      <c r="AE99" s="413"/>
      <c r="AF99" s="413"/>
      <c r="AG99" s="413"/>
      <c r="AH99" s="413"/>
      <c r="AI99" s="413"/>
      <c r="AJ99" s="413"/>
      <c r="AK99" s="413"/>
      <c r="AL99" s="413"/>
      <c r="AM99" s="413"/>
      <c r="AN99" s="413"/>
      <c r="AO99" s="413"/>
      <c r="AP99" s="413"/>
      <c r="AQ99" s="413"/>
      <c r="AR99" s="413"/>
      <c r="AS99" s="413"/>
      <c r="AV99" s="700" t="str">
        <f t="shared" si="147"/>
        <v/>
      </c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02"/>
      <c r="BL99" s="702"/>
    </row>
    <row r="100" spans="1:64" s="35" customFormat="1" x14ac:dyDescent="0.25">
      <c r="B100" s="186" t="str">
        <f t="shared" si="180"/>
        <v>TYNP900</v>
      </c>
      <c r="C100" s="186"/>
      <c r="D100" s="187"/>
      <c r="E100" s="186"/>
      <c r="F100" s="213"/>
      <c r="G100" s="170"/>
      <c r="H100" s="190">
        <f>$L$3</f>
        <v>2019</v>
      </c>
      <c r="I100" s="191"/>
      <c r="J100" s="191"/>
      <c r="K100" s="192" t="s">
        <v>1065</v>
      </c>
      <c r="L100" s="191" t="s">
        <v>748</v>
      </c>
      <c r="M100" s="689"/>
      <c r="N100" s="689"/>
      <c r="O100" s="689"/>
      <c r="P100" s="689"/>
      <c r="Q100" s="689"/>
      <c r="R100" s="689"/>
      <c r="S100" s="689"/>
      <c r="T100" s="689"/>
      <c r="U100" s="689"/>
      <c r="V100" s="689"/>
      <c r="W100" s="689"/>
      <c r="X100" s="689"/>
      <c r="Y100" s="689"/>
      <c r="Z100" s="689"/>
      <c r="AA100" s="689"/>
      <c r="AC100" s="513"/>
      <c r="AD100" s="80">
        <f>SUM(AE100:AS100)</f>
        <v>0</v>
      </c>
      <c r="AE100" s="617">
        <f>M98*M99*M100/1000</f>
        <v>0</v>
      </c>
      <c r="AF100" s="617">
        <f t="shared" ref="AF100" si="184">N98*N99*N100/1000</f>
        <v>0</v>
      </c>
      <c r="AG100" s="617">
        <f t="shared" ref="AG100" si="185">O98*O99*O100/1000</f>
        <v>0</v>
      </c>
      <c r="AH100" s="617">
        <f t="shared" ref="AH100" si="186">P98*P99*P100/1000</f>
        <v>0</v>
      </c>
      <c r="AI100" s="617">
        <f t="shared" ref="AI100" si="187">Q98*Q99*Q100/1000</f>
        <v>0</v>
      </c>
      <c r="AJ100" s="617">
        <f t="shared" ref="AJ100" si="188">R98*R99*R100/1000</f>
        <v>0</v>
      </c>
      <c r="AK100" s="617">
        <f t="shared" ref="AK100" si="189">S98*S99*S100/1000</f>
        <v>0</v>
      </c>
      <c r="AL100" s="617">
        <f t="shared" ref="AL100" si="190">T98*T99*T100/1000</f>
        <v>0</v>
      </c>
      <c r="AM100" s="617">
        <f t="shared" ref="AM100" si="191">U98*U99*U100/1000</f>
        <v>0</v>
      </c>
      <c r="AN100" s="617">
        <f t="shared" ref="AN100" si="192">V98*V99*V100/1000</f>
        <v>0</v>
      </c>
      <c r="AO100" s="617">
        <f t="shared" ref="AO100" si="193">W98*W99*W100/1000</f>
        <v>0</v>
      </c>
      <c r="AP100" s="617">
        <f t="shared" ref="AP100" si="194">X98*X99*X100/1000</f>
        <v>0</v>
      </c>
      <c r="AQ100" s="617">
        <f t="shared" ref="AQ100" si="195">Y98*Y99*Y100/1000</f>
        <v>0</v>
      </c>
      <c r="AR100" s="617">
        <f t="shared" ref="AR100" si="196">Z98*Z99*Z100/1000</f>
        <v>0</v>
      </c>
      <c r="AS100" s="617">
        <f t="shared" ref="AS100" si="197">AA98*AA99*AA100/1000</f>
        <v>0</v>
      </c>
      <c r="AV100" s="700" t="str">
        <f t="shared" si="147"/>
        <v/>
      </c>
      <c r="AW100" s="333"/>
      <c r="AX100" s="333"/>
      <c r="AY100" s="333"/>
      <c r="AZ100" s="333"/>
      <c r="BA100" s="333"/>
      <c r="BB100" s="333"/>
      <c r="BC100" s="333"/>
      <c r="BD100" s="333"/>
      <c r="BE100" s="333"/>
      <c r="BF100" s="333"/>
      <c r="BG100" s="333"/>
      <c r="BH100" s="333"/>
      <c r="BI100" s="333"/>
      <c r="BJ100" s="333"/>
      <c r="BK100" s="333"/>
      <c r="BL100" s="333"/>
    </row>
    <row r="101" spans="1:64" s="35" customFormat="1" x14ac:dyDescent="0.25">
      <c r="B101" s="186" t="str">
        <f t="shared" si="180"/>
        <v>TYNP900</v>
      </c>
      <c r="C101" s="186"/>
      <c r="D101" s="187"/>
      <c r="E101" s="186"/>
      <c r="F101" s="213"/>
      <c r="G101" s="170"/>
      <c r="H101" s="190">
        <f>AE$3</f>
        <v>2016</v>
      </c>
      <c r="I101" s="191"/>
      <c r="J101" s="191"/>
      <c r="K101" s="192" t="s">
        <v>1065</v>
      </c>
      <c r="L101" s="191" t="s">
        <v>748</v>
      </c>
      <c r="M101" s="687"/>
      <c r="N101" s="687"/>
      <c r="O101" s="687"/>
      <c r="P101" s="687"/>
      <c r="Q101" s="687"/>
      <c r="R101" s="687"/>
      <c r="S101" s="687"/>
      <c r="T101" s="687"/>
      <c r="U101" s="687"/>
      <c r="V101" s="687"/>
      <c r="W101" s="687"/>
      <c r="X101" s="687"/>
      <c r="Y101" s="687"/>
      <c r="Z101" s="687"/>
      <c r="AA101" s="687"/>
      <c r="AV101" s="700" t="str">
        <f t="shared" si="147"/>
        <v/>
      </c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702"/>
      <c r="BL101" s="702"/>
    </row>
    <row r="102" spans="1:64" s="35" customFormat="1" x14ac:dyDescent="0.25">
      <c r="B102" s="186" t="str">
        <f t="shared" si="180"/>
        <v>TYNP900</v>
      </c>
      <c r="C102" s="186"/>
      <c r="D102" s="187"/>
      <c r="E102" s="186"/>
      <c r="F102" s="213"/>
      <c r="G102" s="170"/>
      <c r="H102" s="190">
        <f>AE$4</f>
        <v>2020</v>
      </c>
      <c r="I102" s="191"/>
      <c r="J102" s="191"/>
      <c r="K102" s="192" t="s">
        <v>1065</v>
      </c>
      <c r="L102" s="191" t="s">
        <v>748</v>
      </c>
      <c r="M102" s="687"/>
      <c r="N102" s="687"/>
      <c r="O102" s="687"/>
      <c r="P102" s="687"/>
      <c r="Q102" s="687"/>
      <c r="R102" s="687"/>
      <c r="S102" s="687"/>
      <c r="T102" s="687"/>
      <c r="U102" s="687"/>
      <c r="V102" s="687"/>
      <c r="W102" s="687"/>
      <c r="X102" s="687"/>
      <c r="Y102" s="687"/>
      <c r="Z102" s="687"/>
      <c r="AA102" s="68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700" t="str">
        <f t="shared" si="147"/>
        <v/>
      </c>
      <c r="AW102" s="702"/>
      <c r="AX102" s="702"/>
      <c r="AY102" s="702"/>
      <c r="AZ102" s="702"/>
      <c r="BA102" s="702"/>
      <c r="BB102" s="702"/>
      <c r="BC102" s="702"/>
      <c r="BD102" s="702"/>
      <c r="BE102" s="702"/>
      <c r="BF102" s="702"/>
      <c r="BG102" s="702"/>
      <c r="BH102" s="702"/>
      <c r="BI102" s="702"/>
      <c r="BJ102" s="702"/>
      <c r="BK102" s="702"/>
      <c r="BL102" s="702"/>
    </row>
    <row r="103" spans="1:64" s="35" customFormat="1" x14ac:dyDescent="0.25">
      <c r="B103" s="186" t="str">
        <f t="shared" si="180"/>
        <v>TYNP900</v>
      </c>
      <c r="C103" s="186"/>
      <c r="D103" s="187"/>
      <c r="E103" s="186"/>
      <c r="F103" s="213"/>
      <c r="G103" s="170"/>
      <c r="H103" s="190">
        <f>AE$5</f>
        <v>2025</v>
      </c>
      <c r="I103" s="191"/>
      <c r="J103" s="191"/>
      <c r="K103" s="192" t="s">
        <v>1065</v>
      </c>
      <c r="L103" s="191" t="s">
        <v>748</v>
      </c>
      <c r="M103" s="687"/>
      <c r="N103" s="687"/>
      <c r="O103" s="687"/>
      <c r="P103" s="687"/>
      <c r="Q103" s="687"/>
      <c r="R103" s="687"/>
      <c r="S103" s="687"/>
      <c r="T103" s="687"/>
      <c r="U103" s="687"/>
      <c r="V103" s="687"/>
      <c r="W103" s="687"/>
      <c r="X103" s="687"/>
      <c r="Y103" s="687"/>
      <c r="Z103" s="687"/>
      <c r="AA103" s="687"/>
      <c r="AV103" s="700" t="str">
        <f t="shared" si="147"/>
        <v/>
      </c>
      <c r="AW103" s="702"/>
      <c r="AX103" s="702"/>
      <c r="AY103" s="702"/>
      <c r="AZ103" s="702"/>
      <c r="BA103" s="702"/>
      <c r="BB103" s="702"/>
      <c r="BC103" s="702"/>
      <c r="BD103" s="702"/>
      <c r="BE103" s="702"/>
      <c r="BF103" s="702"/>
      <c r="BG103" s="702"/>
      <c r="BH103" s="702"/>
      <c r="BI103" s="702"/>
      <c r="BJ103" s="702"/>
      <c r="BK103" s="702"/>
      <c r="BL103" s="702"/>
    </row>
    <row r="104" spans="1:64" s="35" customFormat="1" x14ac:dyDescent="0.25">
      <c r="B104" s="186" t="str">
        <f t="shared" si="180"/>
        <v>TYNP900</v>
      </c>
      <c r="C104" s="186"/>
      <c r="D104" s="187"/>
      <c r="E104" s="186"/>
      <c r="F104" s="213"/>
      <c r="G104" s="170"/>
      <c r="H104" s="190">
        <f>AE$6</f>
        <v>2030</v>
      </c>
      <c r="I104" s="191"/>
      <c r="J104" s="191"/>
      <c r="K104" s="192" t="s">
        <v>1065</v>
      </c>
      <c r="L104" s="191" t="s">
        <v>748</v>
      </c>
      <c r="M104" s="687"/>
      <c r="N104" s="687"/>
      <c r="O104" s="687"/>
      <c r="P104" s="687"/>
      <c r="Q104" s="687"/>
      <c r="R104" s="687"/>
      <c r="S104" s="687"/>
      <c r="T104" s="687"/>
      <c r="U104" s="687"/>
      <c r="V104" s="687"/>
      <c r="W104" s="687"/>
      <c r="X104" s="687"/>
      <c r="Y104" s="687"/>
      <c r="Z104" s="687"/>
      <c r="AA104" s="687"/>
      <c r="AV104" s="700" t="str">
        <f t="shared" si="147"/>
        <v/>
      </c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02"/>
      <c r="BL104" s="702"/>
    </row>
    <row r="105" spans="1:64" s="35" customFormat="1" x14ac:dyDescent="0.25">
      <c r="B105" s="186" t="str">
        <f t="shared" si="180"/>
        <v>TYNP900</v>
      </c>
      <c r="C105" s="186"/>
      <c r="D105" s="187"/>
      <c r="E105" s="186"/>
      <c r="F105" s="213"/>
      <c r="G105" s="170"/>
      <c r="H105" s="190">
        <f>AE$7</f>
        <v>2040</v>
      </c>
      <c r="I105" s="191"/>
      <c r="J105" s="191"/>
      <c r="K105" s="192" t="s">
        <v>1065</v>
      </c>
      <c r="L105" s="191" t="s">
        <v>748</v>
      </c>
      <c r="M105" s="687"/>
      <c r="N105" s="687"/>
      <c r="O105" s="687"/>
      <c r="P105" s="687"/>
      <c r="Q105" s="687"/>
      <c r="R105" s="687"/>
      <c r="S105" s="687"/>
      <c r="T105" s="687"/>
      <c r="U105" s="687"/>
      <c r="V105" s="687"/>
      <c r="W105" s="687"/>
      <c r="X105" s="687"/>
      <c r="Y105" s="687"/>
      <c r="Z105" s="687"/>
      <c r="AA105" s="687"/>
      <c r="AC105" s="49" t="str">
        <f>CONCATENATE("TEST: ",D107)</f>
        <v>TEST: Walking.Nonenergy.City.Base-year.</v>
      </c>
      <c r="AD105" s="49"/>
      <c r="AV105" s="700" t="str">
        <f t="shared" si="147"/>
        <v/>
      </c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02"/>
      <c r="BL105" s="702"/>
    </row>
    <row r="106" spans="1:64" s="35" customFormat="1" x14ac:dyDescent="0.25">
      <c r="B106" s="193" t="str">
        <f t="shared" si="180"/>
        <v>TYNP900</v>
      </c>
      <c r="C106" s="193"/>
      <c r="D106" s="194"/>
      <c r="E106" s="193"/>
      <c r="F106" s="215"/>
      <c r="G106" s="196"/>
      <c r="H106" s="197">
        <f>AE$8</f>
        <v>2050</v>
      </c>
      <c r="I106" s="198"/>
      <c r="J106" s="198"/>
      <c r="K106" s="199" t="s">
        <v>1065</v>
      </c>
      <c r="L106" s="198" t="s">
        <v>748</v>
      </c>
      <c r="M106" s="688"/>
      <c r="N106" s="688"/>
      <c r="O106" s="688"/>
      <c r="P106" s="688"/>
      <c r="Q106" s="688"/>
      <c r="R106" s="688"/>
      <c r="S106" s="688"/>
      <c r="T106" s="688"/>
      <c r="U106" s="688"/>
      <c r="V106" s="688"/>
      <c r="W106" s="688"/>
      <c r="X106" s="688"/>
      <c r="Y106" s="688"/>
      <c r="Z106" s="688"/>
      <c r="AA106" s="688"/>
      <c r="AC106" s="58"/>
      <c r="AD106" s="715" t="s">
        <v>421</v>
      </c>
      <c r="AE106" s="715" t="str">
        <f>M$8</f>
        <v>Z01</v>
      </c>
      <c r="AF106" s="715" t="str">
        <f t="shared" ref="AF106" si="198">N$8</f>
        <v>Z02</v>
      </c>
      <c r="AG106" s="715" t="str">
        <f t="shared" ref="AG106" si="199">O$8</f>
        <v>Z03</v>
      </c>
      <c r="AH106" s="715" t="str">
        <f t="shared" ref="AH106" si="200">P$8</f>
        <v>Z04</v>
      </c>
      <c r="AI106" s="715" t="str">
        <f t="shared" ref="AI106" si="201">Q$8</f>
        <v>Z05</v>
      </c>
      <c r="AJ106" s="715" t="str">
        <f t="shared" ref="AJ106" si="202">R$8</f>
        <v>Z06</v>
      </c>
      <c r="AK106" s="715" t="str">
        <f t="shared" ref="AK106" si="203">S$8</f>
        <v>Z07</v>
      </c>
      <c r="AL106" s="715" t="str">
        <f t="shared" ref="AL106" si="204">T$8</f>
        <v>Z08</v>
      </c>
      <c r="AM106" s="715" t="str">
        <f t="shared" ref="AM106" si="205">U$8</f>
        <v>Z09</v>
      </c>
      <c r="AN106" s="715" t="str">
        <f t="shared" ref="AN106" si="206">V$8</f>
        <v>Z10</v>
      </c>
      <c r="AO106" s="715" t="str">
        <f t="shared" ref="AO106" si="207">W$8</f>
        <v>Z11</v>
      </c>
      <c r="AP106" s="715" t="str">
        <f t="shared" ref="AP106" si="208">X$8</f>
        <v>Z12</v>
      </c>
      <c r="AQ106" s="715" t="str">
        <f t="shared" ref="AQ106" si="209">Y$8</f>
        <v>Z13</v>
      </c>
      <c r="AR106" s="715" t="str">
        <f t="shared" ref="AR106" si="210">Z$8</f>
        <v>Z14</v>
      </c>
      <c r="AS106" s="715" t="str">
        <f t="shared" ref="AS106" si="211">AA$8</f>
        <v>Z15</v>
      </c>
      <c r="AV106" s="700" t="str">
        <f t="shared" si="147"/>
        <v/>
      </c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702"/>
      <c r="BL106" s="702"/>
    </row>
    <row r="107" spans="1:64" s="35" customFormat="1" x14ac:dyDescent="0.25">
      <c r="A107" s="22"/>
      <c r="B107" s="186" t="str">
        <f>C107</f>
        <v>TWN900</v>
      </c>
      <c r="C107" s="186" t="s">
        <v>171</v>
      </c>
      <c r="D107" s="187" t="s">
        <v>895</v>
      </c>
      <c r="E107" s="188"/>
      <c r="F107" s="213" t="s">
        <v>470</v>
      </c>
      <c r="G107" s="170"/>
      <c r="H107" s="190"/>
      <c r="I107" s="191"/>
      <c r="J107" s="191"/>
      <c r="K107" s="192" t="s">
        <v>1107</v>
      </c>
      <c r="L107" s="191" t="s">
        <v>1125</v>
      </c>
      <c r="M107" s="366">
        <f>M$83</f>
        <v>1E-3</v>
      </c>
      <c r="N107" s="366">
        <f t="shared" ref="N107:AA107" si="212">$M107</f>
        <v>1E-3</v>
      </c>
      <c r="O107" s="366">
        <f t="shared" si="212"/>
        <v>1E-3</v>
      </c>
      <c r="P107" s="366">
        <f t="shared" si="212"/>
        <v>1E-3</v>
      </c>
      <c r="Q107" s="366">
        <f t="shared" si="212"/>
        <v>1E-3</v>
      </c>
      <c r="R107" s="366">
        <f t="shared" si="212"/>
        <v>1E-3</v>
      </c>
      <c r="S107" s="366">
        <f t="shared" si="212"/>
        <v>1E-3</v>
      </c>
      <c r="T107" s="366">
        <f t="shared" si="212"/>
        <v>1E-3</v>
      </c>
      <c r="U107" s="366">
        <f t="shared" si="212"/>
        <v>1E-3</v>
      </c>
      <c r="V107" s="366">
        <f t="shared" si="212"/>
        <v>1E-3</v>
      </c>
      <c r="W107" s="366">
        <f t="shared" si="212"/>
        <v>1E-3</v>
      </c>
      <c r="X107" s="366">
        <f t="shared" si="212"/>
        <v>1E-3</v>
      </c>
      <c r="Y107" s="366">
        <f t="shared" si="212"/>
        <v>1E-3</v>
      </c>
      <c r="Z107" s="366">
        <f t="shared" si="212"/>
        <v>1E-3</v>
      </c>
      <c r="AA107" s="366">
        <f t="shared" si="212"/>
        <v>1E-3</v>
      </c>
      <c r="AC107" s="402" t="str">
        <f>F107</f>
        <v>TWN-C</v>
      </c>
      <c r="AD107" s="625" t="str">
        <f>IF(AD108-AC13&lt;0,"too small",IF(AD108-AC13&gt;0.001,"Too big","ok"))</f>
        <v>ok</v>
      </c>
      <c r="AE107" s="619" t="str">
        <f>IF(AE108-M13&lt;0,"too small",IF(AE108-M13&gt;0.001,"Too big","ok"))</f>
        <v>ok</v>
      </c>
      <c r="AF107" s="619" t="str">
        <f t="shared" ref="AF107:AS107" si="213">IF(AF108-N13&lt;0,"too small",IF(AF108-N13&gt;0.001,"Too big","ok"))</f>
        <v>ok</v>
      </c>
      <c r="AG107" s="619" t="str">
        <f t="shared" si="213"/>
        <v>ok</v>
      </c>
      <c r="AH107" s="619" t="str">
        <f t="shared" si="213"/>
        <v>ok</v>
      </c>
      <c r="AI107" s="619" t="str">
        <f t="shared" si="213"/>
        <v>ok</v>
      </c>
      <c r="AJ107" s="619" t="str">
        <f t="shared" si="213"/>
        <v>ok</v>
      </c>
      <c r="AK107" s="619" t="str">
        <f t="shared" si="213"/>
        <v>ok</v>
      </c>
      <c r="AL107" s="619" t="str">
        <f t="shared" si="213"/>
        <v>ok</v>
      </c>
      <c r="AM107" s="619" t="str">
        <f t="shared" si="213"/>
        <v>ok</v>
      </c>
      <c r="AN107" s="619" t="str">
        <f t="shared" si="213"/>
        <v>ok</v>
      </c>
      <c r="AO107" s="619" t="str">
        <f t="shared" si="213"/>
        <v>ok</v>
      </c>
      <c r="AP107" s="619" t="str">
        <f t="shared" si="213"/>
        <v>ok</v>
      </c>
      <c r="AQ107" s="619" t="str">
        <f t="shared" si="213"/>
        <v>ok</v>
      </c>
      <c r="AR107" s="619" t="str">
        <f t="shared" si="213"/>
        <v>ok</v>
      </c>
      <c r="AS107" s="619" t="str">
        <f t="shared" si="213"/>
        <v>ok</v>
      </c>
      <c r="AV107" s="700" t="str">
        <f t="shared" si="147"/>
        <v/>
      </c>
      <c r="AW107" s="702"/>
      <c r="AX107" s="702"/>
      <c r="AY107" s="702"/>
      <c r="AZ107" s="702"/>
      <c r="BA107" s="702"/>
      <c r="BB107" s="702"/>
      <c r="BC107" s="702"/>
      <c r="BD107" s="702"/>
      <c r="BE107" s="702"/>
      <c r="BF107" s="702"/>
      <c r="BG107" s="702"/>
      <c r="BH107" s="702"/>
      <c r="BI107" s="702"/>
      <c r="BJ107" s="702"/>
      <c r="BK107" s="702"/>
      <c r="BL107" s="702"/>
    </row>
    <row r="108" spans="1:64" s="35" customFormat="1" x14ac:dyDescent="0.25">
      <c r="B108" s="186" t="str">
        <f t="shared" ref="B108:B117" si="214">B107</f>
        <v>TWN900</v>
      </c>
      <c r="C108" s="186"/>
      <c r="D108" s="186"/>
      <c r="E108" s="258" t="s">
        <v>681</v>
      </c>
      <c r="F108" s="189"/>
      <c r="G108" s="170"/>
      <c r="H108" s="190"/>
      <c r="I108" s="191"/>
      <c r="J108" s="191"/>
      <c r="K108" s="186" t="s">
        <v>1064</v>
      </c>
      <c r="L108" s="191" t="s">
        <v>678</v>
      </c>
      <c r="M108" s="369">
        <v>1000</v>
      </c>
      <c r="N108" s="369">
        <f>M108</f>
        <v>1000</v>
      </c>
      <c r="O108" s="369">
        <f t="shared" ref="O108:AA108" si="215">N108</f>
        <v>1000</v>
      </c>
      <c r="P108" s="369">
        <f t="shared" si="215"/>
        <v>1000</v>
      </c>
      <c r="Q108" s="369">
        <f t="shared" si="215"/>
        <v>1000</v>
      </c>
      <c r="R108" s="369">
        <f t="shared" si="215"/>
        <v>1000</v>
      </c>
      <c r="S108" s="369">
        <f t="shared" si="215"/>
        <v>1000</v>
      </c>
      <c r="T108" s="369">
        <f t="shared" si="215"/>
        <v>1000</v>
      </c>
      <c r="U108" s="369">
        <f t="shared" si="215"/>
        <v>1000</v>
      </c>
      <c r="V108" s="369">
        <f t="shared" si="215"/>
        <v>1000</v>
      </c>
      <c r="W108" s="369">
        <f t="shared" si="215"/>
        <v>1000</v>
      </c>
      <c r="X108" s="369">
        <f t="shared" si="215"/>
        <v>1000</v>
      </c>
      <c r="Y108" s="369">
        <f t="shared" si="215"/>
        <v>1000</v>
      </c>
      <c r="Z108" s="369">
        <f t="shared" si="215"/>
        <v>1000</v>
      </c>
      <c r="AA108" s="369">
        <f t="shared" si="215"/>
        <v>1000</v>
      </c>
      <c r="AC108" s="621" t="str">
        <f>IF(COUNTIF($AF$2:$AM$2,AC107)=1,"ok","MISSING")</f>
        <v>ok</v>
      </c>
      <c r="AD108" s="59">
        <f>AD111</f>
        <v>0</v>
      </c>
      <c r="AE108" s="618">
        <f>AE111</f>
        <v>0</v>
      </c>
      <c r="AF108" s="618">
        <f t="shared" ref="AF108:AS108" si="216">AF111</f>
        <v>0</v>
      </c>
      <c r="AG108" s="618">
        <f t="shared" si="216"/>
        <v>0</v>
      </c>
      <c r="AH108" s="618">
        <f t="shared" si="216"/>
        <v>0</v>
      </c>
      <c r="AI108" s="618">
        <f t="shared" si="216"/>
        <v>0</v>
      </c>
      <c r="AJ108" s="618">
        <f t="shared" si="216"/>
        <v>0</v>
      </c>
      <c r="AK108" s="618">
        <f t="shared" si="216"/>
        <v>0</v>
      </c>
      <c r="AL108" s="618">
        <f t="shared" si="216"/>
        <v>0</v>
      </c>
      <c r="AM108" s="618">
        <f t="shared" si="216"/>
        <v>0</v>
      </c>
      <c r="AN108" s="618">
        <f t="shared" si="216"/>
        <v>0</v>
      </c>
      <c r="AO108" s="618">
        <f t="shared" si="216"/>
        <v>0</v>
      </c>
      <c r="AP108" s="618">
        <f t="shared" si="216"/>
        <v>0</v>
      </c>
      <c r="AQ108" s="618">
        <f t="shared" si="216"/>
        <v>0</v>
      </c>
      <c r="AR108" s="618">
        <f t="shared" si="216"/>
        <v>0</v>
      </c>
      <c r="AS108" s="618">
        <f t="shared" si="216"/>
        <v>0</v>
      </c>
      <c r="AT108" s="55"/>
      <c r="AU108" s="55"/>
      <c r="AV108" s="700" t="str">
        <f t="shared" si="147"/>
        <v>TRAHUM</v>
      </c>
      <c r="AW108" s="702">
        <f>SUM(AX108:BL108)</f>
        <v>0</v>
      </c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02"/>
      <c r="BL108" s="702"/>
    </row>
    <row r="109" spans="1:64" s="35" customFormat="1" x14ac:dyDescent="0.25">
      <c r="B109" s="186" t="str">
        <f t="shared" si="214"/>
        <v>TWN900</v>
      </c>
      <c r="C109" s="186"/>
      <c r="D109" s="187"/>
      <c r="E109" s="186"/>
      <c r="F109" s="189"/>
      <c r="G109" s="170"/>
      <c r="H109" s="190"/>
      <c r="I109" s="191"/>
      <c r="J109" s="191" t="s">
        <v>749</v>
      </c>
      <c r="K109" s="186" t="s">
        <v>1128</v>
      </c>
      <c r="L109" s="191" t="s">
        <v>1129</v>
      </c>
      <c r="M109" s="368">
        <f t="shared" ref="M109:AA109" si="217">M$23</f>
        <v>0</v>
      </c>
      <c r="N109" s="368">
        <f t="shared" si="217"/>
        <v>0</v>
      </c>
      <c r="O109" s="368">
        <f t="shared" si="217"/>
        <v>0</v>
      </c>
      <c r="P109" s="368">
        <f t="shared" si="217"/>
        <v>0</v>
      </c>
      <c r="Q109" s="368">
        <f t="shared" si="217"/>
        <v>0</v>
      </c>
      <c r="R109" s="368">
        <f t="shared" si="217"/>
        <v>0</v>
      </c>
      <c r="S109" s="368">
        <f t="shared" si="217"/>
        <v>0</v>
      </c>
      <c r="T109" s="368">
        <f t="shared" si="217"/>
        <v>0</v>
      </c>
      <c r="U109" s="368">
        <f t="shared" si="217"/>
        <v>0</v>
      </c>
      <c r="V109" s="368">
        <f t="shared" si="217"/>
        <v>0</v>
      </c>
      <c r="W109" s="368">
        <f t="shared" si="217"/>
        <v>0</v>
      </c>
      <c r="X109" s="368">
        <f t="shared" si="217"/>
        <v>0</v>
      </c>
      <c r="Y109" s="368">
        <f t="shared" si="217"/>
        <v>0</v>
      </c>
      <c r="Z109" s="368">
        <f t="shared" si="217"/>
        <v>0</v>
      </c>
      <c r="AA109" s="368">
        <f t="shared" si="217"/>
        <v>0</v>
      </c>
      <c r="AD109" s="68"/>
      <c r="AV109" s="700" t="str">
        <f t="shared" si="147"/>
        <v/>
      </c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02"/>
      <c r="BL109" s="702"/>
    </row>
    <row r="110" spans="1:64" s="35" customFormat="1" x14ac:dyDescent="0.25">
      <c r="B110" s="186" t="str">
        <f t="shared" si="214"/>
        <v>TWN900</v>
      </c>
      <c r="C110" s="186"/>
      <c r="D110" s="187"/>
      <c r="E110" s="186"/>
      <c r="F110" s="189"/>
      <c r="G110" s="170"/>
      <c r="H110" s="190"/>
      <c r="I110" s="191"/>
      <c r="J110" s="191"/>
      <c r="K110" s="192" t="s">
        <v>1130</v>
      </c>
      <c r="L110" s="191" t="s">
        <v>1131</v>
      </c>
      <c r="M110" s="369">
        <f>T_NCAP_AF!D344</f>
        <v>0</v>
      </c>
      <c r="N110" s="369">
        <f>T_NCAP_AF!E344</f>
        <v>0</v>
      </c>
      <c r="O110" s="369">
        <f>T_NCAP_AF!F344</f>
        <v>0</v>
      </c>
      <c r="P110" s="369">
        <f>T_NCAP_AF!G344</f>
        <v>0</v>
      </c>
      <c r="Q110" s="369">
        <f>T_NCAP_AF!H344</f>
        <v>0</v>
      </c>
      <c r="R110" s="369">
        <f>T_NCAP_AF!I344</f>
        <v>0</v>
      </c>
      <c r="S110" s="369">
        <f>T_NCAP_AF!J344</f>
        <v>0</v>
      </c>
      <c r="T110" s="369">
        <f>T_NCAP_AF!K344</f>
        <v>0</v>
      </c>
      <c r="U110" s="369">
        <f>T_NCAP_AF!L344</f>
        <v>0</v>
      </c>
      <c r="V110" s="369">
        <f>T_NCAP_AF!M344</f>
        <v>0</v>
      </c>
      <c r="W110" s="369">
        <f>T_NCAP_AF!N344</f>
        <v>0</v>
      </c>
      <c r="X110" s="369">
        <f>T_NCAP_AF!O344</f>
        <v>0</v>
      </c>
      <c r="Y110" s="369">
        <f>T_NCAP_AF!P344</f>
        <v>0</v>
      </c>
      <c r="Z110" s="369">
        <f>T_NCAP_AF!Q344</f>
        <v>0</v>
      </c>
      <c r="AA110" s="369">
        <f>T_NCAP_AF!R344</f>
        <v>0</v>
      </c>
      <c r="AD110" s="68"/>
      <c r="AV110" s="700" t="str">
        <f t="shared" si="147"/>
        <v/>
      </c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702"/>
      <c r="BL110" s="702"/>
    </row>
    <row r="111" spans="1:64" s="35" customFormat="1" x14ac:dyDescent="0.25">
      <c r="B111" s="186" t="str">
        <f t="shared" si="214"/>
        <v>TWN900</v>
      </c>
      <c r="C111" s="186"/>
      <c r="D111" s="187"/>
      <c r="E111" s="186"/>
      <c r="F111" s="189"/>
      <c r="G111" s="170"/>
      <c r="H111" s="190">
        <f>$L$3</f>
        <v>2019</v>
      </c>
      <c r="I111" s="191"/>
      <c r="J111" s="191"/>
      <c r="K111" s="192" t="s">
        <v>1065</v>
      </c>
      <c r="L111" s="191" t="s">
        <v>748</v>
      </c>
      <c r="M111" s="689"/>
      <c r="N111" s="689"/>
      <c r="O111" s="689"/>
      <c r="P111" s="689"/>
      <c r="Q111" s="689"/>
      <c r="R111" s="689"/>
      <c r="S111" s="689"/>
      <c r="T111" s="689"/>
      <c r="U111" s="689"/>
      <c r="V111" s="689"/>
      <c r="W111" s="689"/>
      <c r="X111" s="689"/>
      <c r="Y111" s="689"/>
      <c r="Z111" s="689"/>
      <c r="AA111" s="689"/>
      <c r="AC111" s="512"/>
      <c r="AD111" s="59">
        <f>SUM(AE111:AS111)</f>
        <v>0</v>
      </c>
      <c r="AE111" s="616">
        <f>M109*M110*M111/1000</f>
        <v>0</v>
      </c>
      <c r="AF111" s="616">
        <f t="shared" ref="AF111" si="218">N109*N110*N111/1000</f>
        <v>0</v>
      </c>
      <c r="AG111" s="616">
        <f t="shared" ref="AG111" si="219">O109*O110*O111/1000</f>
        <v>0</v>
      </c>
      <c r="AH111" s="616">
        <f t="shared" ref="AH111" si="220">P109*P110*P111/1000</f>
        <v>0</v>
      </c>
      <c r="AI111" s="616">
        <f t="shared" ref="AI111" si="221">Q109*Q110*Q111/1000</f>
        <v>0</v>
      </c>
      <c r="AJ111" s="616">
        <f t="shared" ref="AJ111" si="222">R109*R110*R111/1000</f>
        <v>0</v>
      </c>
      <c r="AK111" s="616">
        <f t="shared" ref="AK111" si="223">S109*S110*S111/1000</f>
        <v>0</v>
      </c>
      <c r="AL111" s="616">
        <f t="shared" ref="AL111" si="224">T109*T110*T111/1000</f>
        <v>0</v>
      </c>
      <c r="AM111" s="616">
        <f t="shared" ref="AM111" si="225">U109*U110*U111/1000</f>
        <v>0</v>
      </c>
      <c r="AN111" s="616">
        <f t="shared" ref="AN111" si="226">V109*V110*V111/1000</f>
        <v>0</v>
      </c>
      <c r="AO111" s="616">
        <f t="shared" ref="AO111" si="227">W109*W110*W111/1000</f>
        <v>0</v>
      </c>
      <c r="AP111" s="616">
        <f t="shared" ref="AP111" si="228">X109*X110*X111/1000</f>
        <v>0</v>
      </c>
      <c r="AQ111" s="616">
        <f t="shared" ref="AQ111" si="229">Y109*Y110*Y111/1000</f>
        <v>0</v>
      </c>
      <c r="AR111" s="616">
        <f t="shared" ref="AR111" si="230">Z109*Z110*Z111/1000</f>
        <v>0</v>
      </c>
      <c r="AS111" s="616">
        <f t="shared" ref="AS111" si="231">AA109*AA110*AA111/1000</f>
        <v>0</v>
      </c>
      <c r="AV111" s="700" t="str">
        <f t="shared" si="147"/>
        <v/>
      </c>
      <c r="AW111" s="702"/>
      <c r="AX111" s="702"/>
      <c r="AY111" s="702"/>
      <c r="AZ111" s="702"/>
      <c r="BA111" s="702"/>
      <c r="BB111" s="702"/>
      <c r="BC111" s="702"/>
      <c r="BD111" s="702"/>
      <c r="BE111" s="702"/>
      <c r="BF111" s="702"/>
      <c r="BG111" s="702"/>
      <c r="BH111" s="702"/>
      <c r="BI111" s="702"/>
      <c r="BJ111" s="702"/>
      <c r="BK111" s="702"/>
      <c r="BL111" s="702"/>
    </row>
    <row r="112" spans="1:64" s="35" customFormat="1" x14ac:dyDescent="0.25">
      <c r="B112" s="186" t="str">
        <f t="shared" si="214"/>
        <v>TWN900</v>
      </c>
      <c r="C112" s="186"/>
      <c r="D112" s="187"/>
      <c r="E112" s="186"/>
      <c r="F112" s="189"/>
      <c r="G112" s="170"/>
      <c r="H112" s="190">
        <f>AE$3</f>
        <v>2016</v>
      </c>
      <c r="I112" s="191"/>
      <c r="J112" s="191"/>
      <c r="K112" s="192" t="s">
        <v>1065</v>
      </c>
      <c r="L112" s="191" t="s">
        <v>748</v>
      </c>
      <c r="M112" s="687"/>
      <c r="N112" s="687"/>
      <c r="O112" s="687"/>
      <c r="P112" s="687"/>
      <c r="Q112" s="687"/>
      <c r="R112" s="687"/>
      <c r="S112" s="687"/>
      <c r="T112" s="687"/>
      <c r="U112" s="687"/>
      <c r="V112" s="687"/>
      <c r="W112" s="687"/>
      <c r="X112" s="687"/>
      <c r="Y112" s="687"/>
      <c r="Z112" s="687"/>
      <c r="AA112" s="687"/>
      <c r="AV112" s="700" t="str">
        <f t="shared" si="147"/>
        <v/>
      </c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02"/>
      <c r="BL112" s="702"/>
    </row>
    <row r="113" spans="1:64" s="35" customFormat="1" x14ac:dyDescent="0.25">
      <c r="B113" s="186" t="str">
        <f t="shared" si="214"/>
        <v>TWN900</v>
      </c>
      <c r="C113" s="186"/>
      <c r="D113" s="187"/>
      <c r="E113" s="186"/>
      <c r="F113" s="189"/>
      <c r="G113" s="170"/>
      <c r="H113" s="190">
        <f>AE$4</f>
        <v>2020</v>
      </c>
      <c r="I113" s="191"/>
      <c r="J113" s="191"/>
      <c r="K113" s="192" t="s">
        <v>1065</v>
      </c>
      <c r="L113" s="191" t="s">
        <v>748</v>
      </c>
      <c r="M113" s="687"/>
      <c r="N113" s="687"/>
      <c r="O113" s="687"/>
      <c r="P113" s="687"/>
      <c r="Q113" s="687"/>
      <c r="R113" s="687"/>
      <c r="S113" s="687"/>
      <c r="T113" s="687"/>
      <c r="U113" s="687"/>
      <c r="V113" s="687"/>
      <c r="W113" s="687"/>
      <c r="X113" s="687"/>
      <c r="Y113" s="687"/>
      <c r="Z113" s="687"/>
      <c r="AA113" s="68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700" t="str">
        <f t="shared" si="147"/>
        <v/>
      </c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02"/>
      <c r="BL113" s="702"/>
    </row>
    <row r="114" spans="1:64" s="35" customFormat="1" x14ac:dyDescent="0.25">
      <c r="B114" s="186" t="str">
        <f t="shared" si="214"/>
        <v>TWN900</v>
      </c>
      <c r="C114" s="186"/>
      <c r="D114" s="187"/>
      <c r="E114" s="186"/>
      <c r="F114" s="189"/>
      <c r="G114" s="170"/>
      <c r="H114" s="190">
        <f>AE$5</f>
        <v>2025</v>
      </c>
      <c r="I114" s="191"/>
      <c r="J114" s="191"/>
      <c r="K114" s="192" t="s">
        <v>1065</v>
      </c>
      <c r="L114" s="191" t="s">
        <v>748</v>
      </c>
      <c r="M114" s="687"/>
      <c r="N114" s="687"/>
      <c r="O114" s="687"/>
      <c r="P114" s="687"/>
      <c r="Q114" s="687"/>
      <c r="R114" s="687"/>
      <c r="S114" s="687"/>
      <c r="T114" s="687"/>
      <c r="U114" s="687"/>
      <c r="V114" s="687"/>
      <c r="W114" s="687"/>
      <c r="X114" s="687"/>
      <c r="Y114" s="687"/>
      <c r="Z114" s="687"/>
      <c r="AA114" s="687"/>
      <c r="AV114" s="700" t="str">
        <f t="shared" si="147"/>
        <v/>
      </c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702"/>
      <c r="BL114" s="702"/>
    </row>
    <row r="115" spans="1:64" s="35" customFormat="1" x14ac:dyDescent="0.25">
      <c r="B115" s="186" t="str">
        <f t="shared" si="214"/>
        <v>TWN900</v>
      </c>
      <c r="C115" s="186"/>
      <c r="D115" s="187"/>
      <c r="E115" s="186"/>
      <c r="F115" s="189"/>
      <c r="G115" s="170"/>
      <c r="H115" s="190">
        <f>AE$6</f>
        <v>2030</v>
      </c>
      <c r="I115" s="191"/>
      <c r="J115" s="191"/>
      <c r="K115" s="192" t="s">
        <v>1065</v>
      </c>
      <c r="L115" s="191" t="s">
        <v>748</v>
      </c>
      <c r="M115" s="687"/>
      <c r="N115" s="687"/>
      <c r="O115" s="687"/>
      <c r="P115" s="687"/>
      <c r="Q115" s="687"/>
      <c r="R115" s="687"/>
      <c r="S115" s="687"/>
      <c r="T115" s="687"/>
      <c r="U115" s="687"/>
      <c r="V115" s="687"/>
      <c r="W115" s="687"/>
      <c r="X115" s="687"/>
      <c r="Y115" s="687"/>
      <c r="Z115" s="687"/>
      <c r="AA115" s="687"/>
      <c r="AV115" s="700" t="str">
        <f t="shared" si="147"/>
        <v/>
      </c>
      <c r="AW115" s="702"/>
      <c r="AX115" s="702"/>
      <c r="AY115" s="702"/>
      <c r="AZ115" s="702"/>
      <c r="BA115" s="702"/>
      <c r="BB115" s="702"/>
      <c r="BC115" s="702"/>
      <c r="BD115" s="702"/>
      <c r="BE115" s="702"/>
      <c r="BF115" s="702"/>
      <c r="BG115" s="702"/>
      <c r="BH115" s="702"/>
      <c r="BI115" s="702"/>
      <c r="BJ115" s="702"/>
      <c r="BK115" s="702"/>
      <c r="BL115" s="702"/>
    </row>
    <row r="116" spans="1:64" s="35" customFormat="1" x14ac:dyDescent="0.25">
      <c r="B116" s="186" t="str">
        <f t="shared" si="214"/>
        <v>TWN900</v>
      </c>
      <c r="C116" s="186"/>
      <c r="D116" s="187"/>
      <c r="E116" s="186"/>
      <c r="F116" s="189"/>
      <c r="G116" s="170"/>
      <c r="H116" s="190">
        <f>AE$7</f>
        <v>2040</v>
      </c>
      <c r="I116" s="191"/>
      <c r="J116" s="191"/>
      <c r="K116" s="192" t="s">
        <v>1065</v>
      </c>
      <c r="L116" s="191" t="s">
        <v>748</v>
      </c>
      <c r="M116" s="687"/>
      <c r="N116" s="687"/>
      <c r="O116" s="687"/>
      <c r="P116" s="687"/>
      <c r="Q116" s="687"/>
      <c r="R116" s="687"/>
      <c r="S116" s="687"/>
      <c r="T116" s="687"/>
      <c r="U116" s="687"/>
      <c r="V116" s="687"/>
      <c r="W116" s="687"/>
      <c r="X116" s="687"/>
      <c r="Y116" s="687"/>
      <c r="Z116" s="687"/>
      <c r="AA116" s="687"/>
      <c r="AC116" s="49" t="str">
        <f>CONCATENATE("TEST: ",D118)</f>
        <v>TEST: LightElectricVehicle.Passenger.City.Base-year.</v>
      </c>
      <c r="AD116" s="49"/>
      <c r="AV116" s="700" t="str">
        <f t="shared" si="147"/>
        <v/>
      </c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02"/>
      <c r="BL116" s="702"/>
    </row>
    <row r="117" spans="1:64" s="35" customFormat="1" x14ac:dyDescent="0.25">
      <c r="B117" s="193" t="str">
        <f t="shared" si="214"/>
        <v>TWN900</v>
      </c>
      <c r="C117" s="193"/>
      <c r="D117" s="194"/>
      <c r="E117" s="193"/>
      <c r="F117" s="195"/>
      <c r="G117" s="196"/>
      <c r="H117" s="197">
        <f>AE$8</f>
        <v>2050</v>
      </c>
      <c r="I117" s="198"/>
      <c r="J117" s="198"/>
      <c r="K117" s="199" t="s">
        <v>1065</v>
      </c>
      <c r="L117" s="198" t="s">
        <v>748</v>
      </c>
      <c r="M117" s="688"/>
      <c r="N117" s="688"/>
      <c r="O117" s="688"/>
      <c r="P117" s="688"/>
      <c r="Q117" s="688"/>
      <c r="R117" s="688"/>
      <c r="S117" s="688"/>
      <c r="T117" s="688"/>
      <c r="U117" s="688"/>
      <c r="V117" s="688"/>
      <c r="W117" s="688"/>
      <c r="X117" s="688"/>
      <c r="Y117" s="688"/>
      <c r="Z117" s="688"/>
      <c r="AA117" s="688"/>
      <c r="AC117" s="58"/>
      <c r="AD117" s="715" t="s">
        <v>421</v>
      </c>
      <c r="AE117" s="715" t="str">
        <f>M$8</f>
        <v>Z01</v>
      </c>
      <c r="AF117" s="715" t="str">
        <f t="shared" ref="AF117" si="232">N$8</f>
        <v>Z02</v>
      </c>
      <c r="AG117" s="715" t="str">
        <f t="shared" ref="AG117" si="233">O$8</f>
        <v>Z03</v>
      </c>
      <c r="AH117" s="715" t="str">
        <f t="shared" ref="AH117" si="234">P$8</f>
        <v>Z04</v>
      </c>
      <c r="AI117" s="715" t="str">
        <f t="shared" ref="AI117" si="235">Q$8</f>
        <v>Z05</v>
      </c>
      <c r="AJ117" s="715" t="str">
        <f t="shared" ref="AJ117" si="236">R$8</f>
        <v>Z06</v>
      </c>
      <c r="AK117" s="715" t="str">
        <f t="shared" ref="AK117" si="237">S$8</f>
        <v>Z07</v>
      </c>
      <c r="AL117" s="715" t="str">
        <f t="shared" ref="AL117" si="238">T$8</f>
        <v>Z08</v>
      </c>
      <c r="AM117" s="715" t="str">
        <f t="shared" ref="AM117" si="239">U$8</f>
        <v>Z09</v>
      </c>
      <c r="AN117" s="715" t="str">
        <f t="shared" ref="AN117" si="240">V$8</f>
        <v>Z10</v>
      </c>
      <c r="AO117" s="715" t="str">
        <f t="shared" ref="AO117" si="241">W$8</f>
        <v>Z11</v>
      </c>
      <c r="AP117" s="715" t="str">
        <f t="shared" ref="AP117" si="242">X$8</f>
        <v>Z12</v>
      </c>
      <c r="AQ117" s="715" t="str">
        <f t="shared" ref="AQ117" si="243">Y$8</f>
        <v>Z13</v>
      </c>
      <c r="AR117" s="715" t="str">
        <f t="shared" ref="AR117" si="244">Z$8</f>
        <v>Z14</v>
      </c>
      <c r="AS117" s="715" t="str">
        <f t="shared" ref="AS117" si="245">AA$8</f>
        <v>Z15</v>
      </c>
      <c r="AV117" s="700" t="str">
        <f t="shared" si="147"/>
        <v/>
      </c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02"/>
      <c r="BL117" s="702"/>
    </row>
    <row r="118" spans="1:64" s="83" customFormat="1" x14ac:dyDescent="0.25">
      <c r="A118" s="82"/>
      <c r="B118" s="178" t="str">
        <f>C118</f>
        <v>TLEPELC900</v>
      </c>
      <c r="C118" s="178" t="s">
        <v>555</v>
      </c>
      <c r="D118" s="179" t="s">
        <v>873</v>
      </c>
      <c r="E118" s="407"/>
      <c r="F118" s="326" t="s">
        <v>479</v>
      </c>
      <c r="G118" s="182"/>
      <c r="H118" s="183"/>
      <c r="I118" s="184"/>
      <c r="J118" s="184"/>
      <c r="K118" s="185" t="s">
        <v>1107</v>
      </c>
      <c r="L118" s="184" t="s">
        <v>1125</v>
      </c>
      <c r="M118" s="378">
        <f>M$83</f>
        <v>1E-3</v>
      </c>
      <c r="N118" s="378">
        <f t="shared" ref="N118:AA118" si="246">$M118</f>
        <v>1E-3</v>
      </c>
      <c r="O118" s="378">
        <f t="shared" si="246"/>
        <v>1E-3</v>
      </c>
      <c r="P118" s="378">
        <f t="shared" si="246"/>
        <v>1E-3</v>
      </c>
      <c r="Q118" s="378">
        <f t="shared" si="246"/>
        <v>1E-3</v>
      </c>
      <c r="R118" s="378">
        <f t="shared" si="246"/>
        <v>1E-3</v>
      </c>
      <c r="S118" s="378">
        <f t="shared" si="246"/>
        <v>1E-3</v>
      </c>
      <c r="T118" s="378">
        <f t="shared" si="246"/>
        <v>1E-3</v>
      </c>
      <c r="U118" s="378">
        <f t="shared" si="246"/>
        <v>1E-3</v>
      </c>
      <c r="V118" s="378">
        <f t="shared" si="246"/>
        <v>1E-3</v>
      </c>
      <c r="W118" s="378">
        <f t="shared" si="246"/>
        <v>1E-3</v>
      </c>
      <c r="X118" s="378">
        <f t="shared" si="246"/>
        <v>1E-3</v>
      </c>
      <c r="Y118" s="378">
        <f t="shared" si="246"/>
        <v>1E-3</v>
      </c>
      <c r="Z118" s="378">
        <f t="shared" si="246"/>
        <v>1E-3</v>
      </c>
      <c r="AA118" s="378">
        <f t="shared" si="246"/>
        <v>1E-3</v>
      </c>
      <c r="AC118" s="402" t="str">
        <f>F118</f>
        <v>TLEP-C</v>
      </c>
      <c r="AD118" s="625" t="str">
        <f>IF(AD119-AC11&lt;0,"too small",IF(AD119-AC11&gt;0.005,"Too big","ok"))</f>
        <v>ok</v>
      </c>
      <c r="AE118" s="619" t="str">
        <f>IF(AE119-M11&lt;0,"too small",IF(AE119-M11&gt;0.001,"Too big","ok"))</f>
        <v>ok</v>
      </c>
      <c r="AF118" s="619" t="str">
        <f t="shared" ref="AF118:AS118" si="247">IF(AF119-N11&lt;0,"too small",IF(AF119-N11&gt;0.001,"Too big","ok"))</f>
        <v>ok</v>
      </c>
      <c r="AG118" s="619" t="str">
        <f t="shared" si="247"/>
        <v>ok</v>
      </c>
      <c r="AH118" s="619" t="str">
        <f t="shared" si="247"/>
        <v>ok</v>
      </c>
      <c r="AI118" s="619" t="str">
        <f t="shared" si="247"/>
        <v>ok</v>
      </c>
      <c r="AJ118" s="619" t="str">
        <f t="shared" si="247"/>
        <v>ok</v>
      </c>
      <c r="AK118" s="619" t="str">
        <f t="shared" si="247"/>
        <v>ok</v>
      </c>
      <c r="AL118" s="619" t="str">
        <f t="shared" si="247"/>
        <v>ok</v>
      </c>
      <c r="AM118" s="619" t="str">
        <f t="shared" si="247"/>
        <v>ok</v>
      </c>
      <c r="AN118" s="619" t="str">
        <f t="shared" si="247"/>
        <v>ok</v>
      </c>
      <c r="AO118" s="619" t="str">
        <f t="shared" si="247"/>
        <v>ok</v>
      </c>
      <c r="AP118" s="619" t="str">
        <f t="shared" si="247"/>
        <v>ok</v>
      </c>
      <c r="AQ118" s="619" t="str">
        <f t="shared" si="247"/>
        <v>ok</v>
      </c>
      <c r="AR118" s="619" t="str">
        <f t="shared" si="247"/>
        <v>ok</v>
      </c>
      <c r="AS118" s="619" t="str">
        <f t="shared" si="247"/>
        <v>ok</v>
      </c>
      <c r="AV118" s="700" t="str">
        <f t="shared" si="147"/>
        <v/>
      </c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702"/>
      <c r="BL118" s="702"/>
    </row>
    <row r="119" spans="1:64" s="35" customFormat="1" x14ac:dyDescent="0.25">
      <c r="B119" s="186" t="str">
        <f t="shared" ref="B119:B128" si="248">B118</f>
        <v>TLEPELC900</v>
      </c>
      <c r="C119" s="186"/>
      <c r="D119" s="186"/>
      <c r="E119" s="258" t="s">
        <v>683</v>
      </c>
      <c r="F119" s="220"/>
      <c r="G119" s="170"/>
      <c r="H119" s="190"/>
      <c r="I119" s="191"/>
      <c r="J119" s="191"/>
      <c r="K119" s="186" t="s">
        <v>1126</v>
      </c>
      <c r="L119" s="191" t="s">
        <v>678</v>
      </c>
      <c r="M119" s="369">
        <f>T_CEFF!H21</f>
        <v>3.0303</v>
      </c>
      <c r="N119" s="369">
        <f>T_CEFF!I21</f>
        <v>3.0303</v>
      </c>
      <c r="O119" s="369">
        <f>T_CEFF!J21</f>
        <v>3.0303</v>
      </c>
      <c r="P119" s="369">
        <f>T_CEFF!K21</f>
        <v>3.0303</v>
      </c>
      <c r="Q119" s="369">
        <f>T_CEFF!L21</f>
        <v>3.0303</v>
      </c>
      <c r="R119" s="369">
        <f>T_CEFF!M21</f>
        <v>3.0303</v>
      </c>
      <c r="S119" s="369">
        <f>T_CEFF!N21</f>
        <v>3.0303</v>
      </c>
      <c r="T119" s="369">
        <f>T_CEFF!O21</f>
        <v>3.0303</v>
      </c>
      <c r="U119" s="369">
        <f>T_CEFF!P21</f>
        <v>3.0303</v>
      </c>
      <c r="V119" s="369">
        <f>T_CEFF!Q21</f>
        <v>3.0303</v>
      </c>
      <c r="W119" s="369">
        <f>T_CEFF!R21</f>
        <v>3.0303</v>
      </c>
      <c r="X119" s="369">
        <f>T_CEFF!S21</f>
        <v>3.0303</v>
      </c>
      <c r="Y119" s="369">
        <f>T_CEFF!T21</f>
        <v>3.0303</v>
      </c>
      <c r="Z119" s="369">
        <f>T_CEFF!U21</f>
        <v>3.0303</v>
      </c>
      <c r="AA119" s="369">
        <f>T_CEFF!V21</f>
        <v>3.0303</v>
      </c>
      <c r="AC119" s="621" t="str">
        <f>IF(COUNTIF($AF$2:$AM$2,AC118)=1,"ok","MISSING")</f>
        <v>ok</v>
      </c>
      <c r="AD119" s="59">
        <f>AD122</f>
        <v>0</v>
      </c>
      <c r="AE119" s="618">
        <f>AE122</f>
        <v>0</v>
      </c>
      <c r="AF119" s="618">
        <f t="shared" ref="AF119:AS119" si="249">AF122</f>
        <v>0</v>
      </c>
      <c r="AG119" s="618">
        <f t="shared" si="249"/>
        <v>0</v>
      </c>
      <c r="AH119" s="618">
        <f t="shared" si="249"/>
        <v>0</v>
      </c>
      <c r="AI119" s="618">
        <f t="shared" si="249"/>
        <v>0</v>
      </c>
      <c r="AJ119" s="618">
        <f t="shared" si="249"/>
        <v>0</v>
      </c>
      <c r="AK119" s="618">
        <f t="shared" si="249"/>
        <v>0</v>
      </c>
      <c r="AL119" s="618">
        <f t="shared" si="249"/>
        <v>0</v>
      </c>
      <c r="AM119" s="618">
        <f t="shared" si="249"/>
        <v>0</v>
      </c>
      <c r="AN119" s="618">
        <f t="shared" si="249"/>
        <v>0</v>
      </c>
      <c r="AO119" s="618">
        <f t="shared" si="249"/>
        <v>0</v>
      </c>
      <c r="AP119" s="618">
        <f t="shared" si="249"/>
        <v>0</v>
      </c>
      <c r="AQ119" s="618">
        <f t="shared" si="249"/>
        <v>0</v>
      </c>
      <c r="AR119" s="618">
        <f t="shared" si="249"/>
        <v>0</v>
      </c>
      <c r="AS119" s="618">
        <f t="shared" si="249"/>
        <v>0</v>
      </c>
      <c r="AT119" s="55"/>
      <c r="AU119" s="55"/>
      <c r="AV119" s="700" t="str">
        <f t="shared" si="147"/>
        <v>TRAELC</v>
      </c>
      <c r="AW119" s="702">
        <f>SUM(AX119:BL119)</f>
        <v>0</v>
      </c>
      <c r="AX119" s="702"/>
      <c r="AY119" s="702"/>
      <c r="AZ119" s="702"/>
      <c r="BA119" s="702"/>
      <c r="BB119" s="702"/>
      <c r="BC119" s="702"/>
      <c r="BD119" s="702"/>
      <c r="BE119" s="702"/>
      <c r="BF119" s="702"/>
      <c r="BG119" s="702"/>
      <c r="BH119" s="702"/>
      <c r="BI119" s="702"/>
      <c r="BJ119" s="702"/>
      <c r="BK119" s="702"/>
      <c r="BL119" s="702"/>
    </row>
    <row r="120" spans="1:64" s="35" customFormat="1" x14ac:dyDescent="0.25">
      <c r="B120" s="186" t="str">
        <f t="shared" si="248"/>
        <v>TLEPELC900</v>
      </c>
      <c r="C120" s="186"/>
      <c r="D120" s="187"/>
      <c r="E120" s="186"/>
      <c r="F120" s="220"/>
      <c r="G120" s="170"/>
      <c r="H120" s="190"/>
      <c r="I120" s="191"/>
      <c r="J120" s="191" t="s">
        <v>749</v>
      </c>
      <c r="K120" s="186" t="s">
        <v>1128</v>
      </c>
      <c r="L120" s="191" t="s">
        <v>1129</v>
      </c>
      <c r="M120" s="368">
        <f t="shared" ref="M120:AA120" si="250">M$21</f>
        <v>0</v>
      </c>
      <c r="N120" s="368">
        <f t="shared" si="250"/>
        <v>0</v>
      </c>
      <c r="O120" s="368">
        <f t="shared" si="250"/>
        <v>0</v>
      </c>
      <c r="P120" s="368">
        <f t="shared" si="250"/>
        <v>0</v>
      </c>
      <c r="Q120" s="368">
        <f t="shared" si="250"/>
        <v>0</v>
      </c>
      <c r="R120" s="368">
        <f t="shared" si="250"/>
        <v>0</v>
      </c>
      <c r="S120" s="368">
        <f t="shared" si="250"/>
        <v>0</v>
      </c>
      <c r="T120" s="368">
        <f t="shared" si="250"/>
        <v>0</v>
      </c>
      <c r="U120" s="368">
        <f t="shared" si="250"/>
        <v>0</v>
      </c>
      <c r="V120" s="368">
        <f t="shared" si="250"/>
        <v>0</v>
      </c>
      <c r="W120" s="368">
        <f t="shared" si="250"/>
        <v>0</v>
      </c>
      <c r="X120" s="368">
        <f t="shared" si="250"/>
        <v>0</v>
      </c>
      <c r="Y120" s="368">
        <f t="shared" si="250"/>
        <v>0</v>
      </c>
      <c r="Z120" s="368">
        <f t="shared" si="250"/>
        <v>0</v>
      </c>
      <c r="AA120" s="368">
        <f t="shared" si="250"/>
        <v>0</v>
      </c>
      <c r="AV120" s="700" t="str">
        <f t="shared" si="147"/>
        <v/>
      </c>
    </row>
    <row r="121" spans="1:64" s="35" customFormat="1" x14ac:dyDescent="0.25">
      <c r="B121" s="186" t="str">
        <f t="shared" si="248"/>
        <v>TLEPELC900</v>
      </c>
      <c r="C121" s="186"/>
      <c r="D121" s="187"/>
      <c r="E121" s="186"/>
      <c r="F121" s="220"/>
      <c r="G121" s="170"/>
      <c r="H121" s="190"/>
      <c r="I121" s="191"/>
      <c r="J121" s="191"/>
      <c r="K121" s="192" t="s">
        <v>1130</v>
      </c>
      <c r="L121" s="191" t="s">
        <v>1131</v>
      </c>
      <c r="M121" s="369">
        <f>T_NCAP_AF!D233</f>
        <v>0</v>
      </c>
      <c r="N121" s="369">
        <f>T_NCAP_AF!E233</f>
        <v>0</v>
      </c>
      <c r="O121" s="369">
        <f>T_NCAP_AF!F233</f>
        <v>0</v>
      </c>
      <c r="P121" s="369">
        <f>T_NCAP_AF!G233</f>
        <v>0</v>
      </c>
      <c r="Q121" s="369">
        <f>T_NCAP_AF!H233</f>
        <v>0</v>
      </c>
      <c r="R121" s="369">
        <f>T_NCAP_AF!I233</f>
        <v>0</v>
      </c>
      <c r="S121" s="369">
        <f>T_NCAP_AF!J233</f>
        <v>0</v>
      </c>
      <c r="T121" s="369">
        <f>T_NCAP_AF!K233</f>
        <v>0</v>
      </c>
      <c r="U121" s="369">
        <f>T_NCAP_AF!L233</f>
        <v>0</v>
      </c>
      <c r="V121" s="369">
        <f>T_NCAP_AF!M233</f>
        <v>0</v>
      </c>
      <c r="W121" s="369">
        <f>T_NCAP_AF!N233</f>
        <v>0</v>
      </c>
      <c r="X121" s="369">
        <f>T_NCAP_AF!O233</f>
        <v>0</v>
      </c>
      <c r="Y121" s="369">
        <f>T_NCAP_AF!P233</f>
        <v>0</v>
      </c>
      <c r="Z121" s="369">
        <f>T_NCAP_AF!Q233</f>
        <v>0</v>
      </c>
      <c r="AA121" s="369">
        <f>T_NCAP_AF!R233</f>
        <v>0</v>
      </c>
      <c r="AV121" s="700" t="str">
        <f t="shared" si="147"/>
        <v/>
      </c>
    </row>
    <row r="122" spans="1:64" s="83" customFormat="1" x14ac:dyDescent="0.25">
      <c r="B122" s="178" t="str">
        <f t="shared" si="248"/>
        <v>TLEPELC900</v>
      </c>
      <c r="C122" s="178"/>
      <c r="D122" s="179"/>
      <c r="E122" s="178"/>
      <c r="F122" s="323"/>
      <c r="G122" s="182"/>
      <c r="H122" s="183">
        <f>$L$3</f>
        <v>2019</v>
      </c>
      <c r="I122" s="184"/>
      <c r="J122" s="184"/>
      <c r="K122" s="185" t="s">
        <v>1065</v>
      </c>
      <c r="L122" s="184" t="s">
        <v>748</v>
      </c>
      <c r="M122" s="689"/>
      <c r="N122" s="689"/>
      <c r="O122" s="689"/>
      <c r="P122" s="689"/>
      <c r="Q122" s="689"/>
      <c r="R122" s="689"/>
      <c r="S122" s="689"/>
      <c r="T122" s="689"/>
      <c r="U122" s="689"/>
      <c r="V122" s="689"/>
      <c r="W122" s="689"/>
      <c r="X122" s="689"/>
      <c r="Y122" s="689"/>
      <c r="Z122" s="689"/>
      <c r="AA122" s="689"/>
      <c r="AB122" s="93"/>
      <c r="AC122" s="513"/>
      <c r="AD122" s="59">
        <f>SUM(AE122:AS122)</f>
        <v>0</v>
      </c>
      <c r="AE122" s="616">
        <f>M120*M121*M122/1000</f>
        <v>0</v>
      </c>
      <c r="AF122" s="616">
        <f t="shared" ref="AF122" si="251">N120*N121*N122/1000</f>
        <v>0</v>
      </c>
      <c r="AG122" s="616">
        <f t="shared" ref="AG122" si="252">O120*O121*O122/1000</f>
        <v>0</v>
      </c>
      <c r="AH122" s="616">
        <f t="shared" ref="AH122" si="253">P120*P121*P122/1000</f>
        <v>0</v>
      </c>
      <c r="AI122" s="616">
        <f t="shared" ref="AI122" si="254">Q120*Q121*Q122/1000</f>
        <v>0</v>
      </c>
      <c r="AJ122" s="616">
        <f t="shared" ref="AJ122" si="255">R120*R121*R122/1000</f>
        <v>0</v>
      </c>
      <c r="AK122" s="616">
        <f t="shared" ref="AK122" si="256">S120*S121*S122/1000</f>
        <v>0</v>
      </c>
      <c r="AL122" s="616">
        <f t="shared" ref="AL122" si="257">T120*T121*T122/1000</f>
        <v>0</v>
      </c>
      <c r="AM122" s="616">
        <f t="shared" ref="AM122" si="258">U120*U121*U122/1000</f>
        <v>0</v>
      </c>
      <c r="AN122" s="616">
        <f t="shared" ref="AN122" si="259">V120*V121*V122/1000</f>
        <v>0</v>
      </c>
      <c r="AO122" s="616">
        <f t="shared" ref="AO122" si="260">W120*W121*W122/1000</f>
        <v>0</v>
      </c>
      <c r="AP122" s="616">
        <f t="shared" ref="AP122" si="261">X120*X121*X122/1000</f>
        <v>0</v>
      </c>
      <c r="AQ122" s="616">
        <f t="shared" ref="AQ122" si="262">Y120*Y121*Y122/1000</f>
        <v>0</v>
      </c>
      <c r="AR122" s="616">
        <f t="shared" ref="AR122" si="263">Z120*Z121*Z122/1000</f>
        <v>0</v>
      </c>
      <c r="AS122" s="616">
        <f t="shared" ref="AS122" si="264">AA120*AA121*AA122/1000</f>
        <v>0</v>
      </c>
      <c r="AV122" s="700" t="str">
        <f t="shared" si="147"/>
        <v/>
      </c>
    </row>
    <row r="123" spans="1:64" s="35" customFormat="1" x14ac:dyDescent="0.25">
      <c r="B123" s="186" t="str">
        <f t="shared" si="248"/>
        <v>TLEPELC900</v>
      </c>
      <c r="C123" s="186"/>
      <c r="D123" s="187"/>
      <c r="E123" s="186"/>
      <c r="F123" s="220"/>
      <c r="G123" s="170"/>
      <c r="H123" s="190">
        <f>AE$3</f>
        <v>2016</v>
      </c>
      <c r="I123" s="191"/>
      <c r="J123" s="191"/>
      <c r="K123" s="192" t="s">
        <v>1065</v>
      </c>
      <c r="L123" s="191" t="s">
        <v>748</v>
      </c>
      <c r="M123" s="687"/>
      <c r="N123" s="687"/>
      <c r="O123" s="687"/>
      <c r="P123" s="687"/>
      <c r="Q123" s="687"/>
      <c r="R123" s="687"/>
      <c r="S123" s="687"/>
      <c r="T123" s="687"/>
      <c r="U123" s="687"/>
      <c r="V123" s="687"/>
      <c r="W123" s="687"/>
      <c r="X123" s="687"/>
      <c r="Y123" s="687"/>
      <c r="Z123" s="687"/>
      <c r="AA123" s="687"/>
      <c r="AV123" s="700" t="str">
        <f t="shared" si="147"/>
        <v/>
      </c>
    </row>
    <row r="124" spans="1:64" s="35" customFormat="1" x14ac:dyDescent="0.25">
      <c r="B124" s="186" t="str">
        <f t="shared" si="248"/>
        <v>TLEPELC900</v>
      </c>
      <c r="C124" s="186"/>
      <c r="D124" s="187"/>
      <c r="E124" s="186"/>
      <c r="F124" s="220"/>
      <c r="G124" s="170"/>
      <c r="H124" s="190">
        <f>AE$4</f>
        <v>2020</v>
      </c>
      <c r="I124" s="191"/>
      <c r="J124" s="191"/>
      <c r="K124" s="192" t="s">
        <v>1065</v>
      </c>
      <c r="L124" s="191" t="s">
        <v>748</v>
      </c>
      <c r="M124" s="687"/>
      <c r="N124" s="687"/>
      <c r="O124" s="687"/>
      <c r="P124" s="687"/>
      <c r="Q124" s="687"/>
      <c r="R124" s="687"/>
      <c r="S124" s="687"/>
      <c r="T124" s="687"/>
      <c r="U124" s="687"/>
      <c r="V124" s="687"/>
      <c r="W124" s="687"/>
      <c r="X124" s="687"/>
      <c r="Y124" s="687"/>
      <c r="Z124" s="687"/>
      <c r="AA124" s="68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700" t="str">
        <f t="shared" si="147"/>
        <v/>
      </c>
    </row>
    <row r="125" spans="1:64" s="35" customFormat="1" x14ac:dyDescent="0.25">
      <c r="B125" s="186" t="str">
        <f t="shared" si="248"/>
        <v>TLEPELC900</v>
      </c>
      <c r="C125" s="186"/>
      <c r="D125" s="187"/>
      <c r="E125" s="186"/>
      <c r="F125" s="220"/>
      <c r="G125" s="170"/>
      <c r="H125" s="190">
        <f>AE$5</f>
        <v>2025</v>
      </c>
      <c r="I125" s="191"/>
      <c r="J125" s="191"/>
      <c r="K125" s="192" t="s">
        <v>1065</v>
      </c>
      <c r="L125" s="191" t="s">
        <v>748</v>
      </c>
      <c r="M125" s="687"/>
      <c r="N125" s="687"/>
      <c r="O125" s="687"/>
      <c r="P125" s="687"/>
      <c r="Q125" s="687"/>
      <c r="R125" s="687"/>
      <c r="S125" s="687"/>
      <c r="T125" s="687"/>
      <c r="U125" s="687"/>
      <c r="V125" s="687"/>
      <c r="W125" s="687"/>
      <c r="X125" s="687"/>
      <c r="Y125" s="687"/>
      <c r="Z125" s="687"/>
      <c r="AA125" s="687"/>
      <c r="AV125" s="700" t="str">
        <f t="shared" si="147"/>
        <v/>
      </c>
    </row>
    <row r="126" spans="1:64" s="35" customFormat="1" x14ac:dyDescent="0.25">
      <c r="B126" s="186" t="str">
        <f t="shared" si="248"/>
        <v>TLEPELC900</v>
      </c>
      <c r="C126" s="186"/>
      <c r="D126" s="187"/>
      <c r="E126" s="186"/>
      <c r="F126" s="220"/>
      <c r="G126" s="170"/>
      <c r="H126" s="190">
        <f>AE$6</f>
        <v>2030</v>
      </c>
      <c r="I126" s="191"/>
      <c r="J126" s="191"/>
      <c r="K126" s="192" t="s">
        <v>1065</v>
      </c>
      <c r="L126" s="191" t="s">
        <v>748</v>
      </c>
      <c r="M126" s="687"/>
      <c r="N126" s="687"/>
      <c r="O126" s="687"/>
      <c r="P126" s="687"/>
      <c r="Q126" s="687"/>
      <c r="R126" s="687"/>
      <c r="S126" s="687"/>
      <c r="T126" s="687"/>
      <c r="U126" s="687"/>
      <c r="V126" s="687"/>
      <c r="W126" s="687"/>
      <c r="X126" s="687"/>
      <c r="Y126" s="687"/>
      <c r="Z126" s="687"/>
      <c r="AA126" s="687"/>
      <c r="AV126" s="55" t="str">
        <f>MID(E126, 4,4)</f>
        <v/>
      </c>
    </row>
    <row r="127" spans="1:64" s="35" customFormat="1" x14ac:dyDescent="0.25">
      <c r="B127" s="186" t="str">
        <f t="shared" si="248"/>
        <v>TLEPELC900</v>
      </c>
      <c r="C127" s="186"/>
      <c r="D127" s="187"/>
      <c r="E127" s="186"/>
      <c r="F127" s="220"/>
      <c r="G127" s="170"/>
      <c r="H127" s="190">
        <f>AE$7</f>
        <v>2040</v>
      </c>
      <c r="I127" s="191"/>
      <c r="J127" s="191"/>
      <c r="K127" s="192" t="s">
        <v>1065</v>
      </c>
      <c r="L127" s="191" t="s">
        <v>748</v>
      </c>
      <c r="M127" s="687"/>
      <c r="N127" s="687"/>
      <c r="O127" s="687"/>
      <c r="P127" s="687"/>
      <c r="Q127" s="687"/>
      <c r="R127" s="687"/>
      <c r="S127" s="687"/>
      <c r="T127" s="687"/>
      <c r="U127" s="687"/>
      <c r="V127" s="687"/>
      <c r="W127" s="687"/>
      <c r="X127" s="687"/>
      <c r="Y127" s="687"/>
      <c r="Z127" s="687"/>
      <c r="AA127" s="687"/>
      <c r="AD127" s="49"/>
      <c r="AV127" s="55" t="str">
        <f>MID(E127, 4,4)</f>
        <v/>
      </c>
    </row>
    <row r="128" spans="1:64" s="35" customFormat="1" x14ac:dyDescent="0.25">
      <c r="B128" s="193" t="str">
        <f t="shared" si="248"/>
        <v>TLEPELC900</v>
      </c>
      <c r="C128" s="193"/>
      <c r="D128" s="194"/>
      <c r="E128" s="193"/>
      <c r="F128" s="221"/>
      <c r="G128" s="196"/>
      <c r="H128" s="197">
        <f>AE$8</f>
        <v>2050</v>
      </c>
      <c r="I128" s="198"/>
      <c r="J128" s="198"/>
      <c r="K128" s="199" t="s">
        <v>1065</v>
      </c>
      <c r="L128" s="198" t="s">
        <v>748</v>
      </c>
      <c r="M128" s="688"/>
      <c r="N128" s="688"/>
      <c r="O128" s="688"/>
      <c r="P128" s="688"/>
      <c r="Q128" s="688"/>
      <c r="R128" s="688"/>
      <c r="S128" s="688"/>
      <c r="T128" s="688"/>
      <c r="U128" s="688"/>
      <c r="V128" s="688"/>
      <c r="W128" s="688"/>
      <c r="X128" s="688"/>
      <c r="Y128" s="688"/>
      <c r="Z128" s="688"/>
      <c r="AA128" s="688"/>
      <c r="AD128" s="594"/>
      <c r="AE128" s="594"/>
      <c r="AF128" s="594"/>
      <c r="AG128" s="594"/>
      <c r="AH128" s="594"/>
      <c r="AI128" s="594"/>
      <c r="AJ128" s="594"/>
      <c r="AK128" s="594"/>
      <c r="AL128" s="594"/>
      <c r="AM128" s="594"/>
      <c r="AN128" s="594"/>
      <c r="AO128" s="594"/>
      <c r="AP128" s="594"/>
      <c r="AQ128" s="594"/>
      <c r="AR128" s="594"/>
      <c r="AS128" s="594"/>
      <c r="AV128" s="55" t="str">
        <f>MID(E128, 4,4)</f>
        <v/>
      </c>
    </row>
    <row r="129" spans="2:64" s="35" customFormat="1" x14ac:dyDescent="0.25">
      <c r="B129" s="22"/>
      <c r="C129" s="22"/>
      <c r="D129" s="60"/>
      <c r="E129" s="22"/>
      <c r="F129" s="61"/>
      <c r="H129" s="62"/>
      <c r="I129" s="63"/>
      <c r="J129" s="63"/>
      <c r="K129" s="64"/>
      <c r="L129" s="63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</row>
    <row r="130" spans="2:64" s="35" customFormat="1" x14ac:dyDescent="0.25">
      <c r="B130" s="66"/>
      <c r="C130" s="22"/>
      <c r="D130" s="60"/>
      <c r="E130" s="22"/>
      <c r="F130" s="61"/>
      <c r="H130" s="62"/>
      <c r="I130" s="63"/>
      <c r="J130" s="63"/>
      <c r="K130" s="64"/>
      <c r="L130" s="6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</row>
  </sheetData>
  <sortState xmlns:xlrd2="http://schemas.microsoft.com/office/spreadsheetml/2017/richdata2" ref="H10:AA17">
    <sortCondition ref="H10:H17"/>
  </sortState>
  <pageMargins left="0.7" right="0.7" top="0.75" bottom="0.75" header="0.3" footer="0.3"/>
  <pageSetup paperSize="9" orientation="portrait" r:id="rId1"/>
  <ignoredErrors>
    <ignoredError sqref="N85:AA85" formula="1"/>
  </ignoredError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59999389629810485"/>
  </sheetPr>
  <dimension ref="A1:AT40"/>
  <sheetViews>
    <sheetView zoomScale="75" zoomScaleNormal="75" workbookViewId="0">
      <selection activeCell="AE17" sqref="AE17"/>
    </sheetView>
  </sheetViews>
  <sheetFormatPr defaultRowHeight="15" x14ac:dyDescent="0.25"/>
  <cols>
    <col min="2" max="2" width="18.28515625" customWidth="1"/>
    <col min="3" max="3" width="10.5703125" bestFit="1" customWidth="1"/>
    <col min="4" max="4" width="32.28515625" customWidth="1"/>
    <col min="6" max="6" width="11.28515625" bestFit="1" customWidth="1"/>
    <col min="9" max="9" width="19.28515625" bestFit="1" customWidth="1"/>
    <col min="10" max="10" width="14.28515625" bestFit="1" customWidth="1"/>
    <col min="11" max="11" width="14.42578125" bestFit="1" customWidth="1"/>
    <col min="12" max="12" width="14.28515625" customWidth="1"/>
    <col min="13" max="28" width="11" bestFit="1" customWidth="1"/>
    <col min="29" max="29" width="16.7109375" customWidth="1"/>
    <col min="30" max="30" width="12" customWidth="1"/>
    <col min="31" max="31" width="11.5703125" customWidth="1"/>
  </cols>
  <sheetData>
    <row r="1" spans="1:46" s="35" customFormat="1" ht="19.5" customHeight="1" x14ac:dyDescent="0.25">
      <c r="A1" s="22"/>
      <c r="B1" s="148" t="s">
        <v>1135</v>
      </c>
      <c r="C1" s="22"/>
      <c r="D1" s="22"/>
      <c r="H1" s="36"/>
      <c r="L1" s="113" t="s">
        <v>1111</v>
      </c>
      <c r="M1" s="119"/>
      <c r="N1" s="119"/>
      <c r="O1" s="119"/>
      <c r="P1" s="119"/>
      <c r="AE1" s="37" t="s">
        <v>1112</v>
      </c>
      <c r="AF1" s="38"/>
      <c r="AG1" s="38"/>
      <c r="AH1" s="33"/>
      <c r="AI1" s="33"/>
      <c r="AJ1" s="33"/>
      <c r="AK1" s="33"/>
    </row>
    <row r="2" spans="1:46" s="35" customFormat="1" ht="18.75" x14ac:dyDescent="0.3">
      <c r="A2" s="22"/>
      <c r="B2" s="320"/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B2" s="295"/>
      <c r="AE2" s="38"/>
      <c r="AF2" s="406" t="s">
        <v>420</v>
      </c>
      <c r="AG2" s="406" t="s">
        <v>483</v>
      </c>
      <c r="AH2" s="33"/>
      <c r="AI2" s="33"/>
      <c r="AJ2" s="33"/>
      <c r="AK2" s="33"/>
    </row>
    <row r="3" spans="1:46" s="35" customFormat="1" x14ac:dyDescent="0.25">
      <c r="H3" s="36"/>
      <c r="L3" s="170">
        <f>INFO!$C$5</f>
        <v>2019</v>
      </c>
      <c r="M3" s="562">
        <v>1</v>
      </c>
      <c r="N3" s="562">
        <f>M3</f>
        <v>1</v>
      </c>
      <c r="O3" s="562">
        <f t="shared" ref="O3:AA5" si="0">N3</f>
        <v>1</v>
      </c>
      <c r="P3" s="562">
        <f t="shared" si="0"/>
        <v>1</v>
      </c>
      <c r="Q3" s="562">
        <f t="shared" si="0"/>
        <v>1</v>
      </c>
      <c r="R3" s="562">
        <f t="shared" si="0"/>
        <v>1</v>
      </c>
      <c r="S3" s="562">
        <f t="shared" si="0"/>
        <v>1</v>
      </c>
      <c r="T3" s="562">
        <f t="shared" si="0"/>
        <v>1</v>
      </c>
      <c r="U3" s="562">
        <f t="shared" si="0"/>
        <v>1</v>
      </c>
      <c r="V3" s="562">
        <f t="shared" si="0"/>
        <v>1</v>
      </c>
      <c r="W3" s="562">
        <f t="shared" si="0"/>
        <v>1</v>
      </c>
      <c r="X3" s="562">
        <f t="shared" si="0"/>
        <v>1</v>
      </c>
      <c r="Y3" s="562">
        <f t="shared" si="0"/>
        <v>1</v>
      </c>
      <c r="Z3" s="562">
        <f t="shared" si="0"/>
        <v>1</v>
      </c>
      <c r="AA3" s="562">
        <f t="shared" si="0"/>
        <v>1</v>
      </c>
      <c r="AB3" s="370"/>
      <c r="AE3" s="38">
        <v>2016</v>
      </c>
      <c r="AF3" s="39">
        <v>1</v>
      </c>
      <c r="AG3" s="39">
        <v>1</v>
      </c>
      <c r="AH3" s="439"/>
      <c r="AI3" s="439"/>
      <c r="AJ3" s="439"/>
      <c r="AK3" s="439"/>
    </row>
    <row r="4" spans="1:46" s="35" customFormat="1" x14ac:dyDescent="0.25">
      <c r="H4" s="36"/>
      <c r="L4" s="170">
        <f>L3+1</f>
        <v>2020</v>
      </c>
      <c r="M4" s="562">
        <v>2</v>
      </c>
      <c r="N4" s="562">
        <f>M4</f>
        <v>2</v>
      </c>
      <c r="O4" s="562">
        <f t="shared" si="0"/>
        <v>2</v>
      </c>
      <c r="P4" s="562">
        <f t="shared" si="0"/>
        <v>2</v>
      </c>
      <c r="Q4" s="562">
        <f t="shared" si="0"/>
        <v>2</v>
      </c>
      <c r="R4" s="562">
        <f t="shared" si="0"/>
        <v>2</v>
      </c>
      <c r="S4" s="562">
        <f t="shared" si="0"/>
        <v>2</v>
      </c>
      <c r="T4" s="562">
        <f t="shared" si="0"/>
        <v>2</v>
      </c>
      <c r="U4" s="562">
        <f t="shared" si="0"/>
        <v>2</v>
      </c>
      <c r="V4" s="562">
        <f t="shared" si="0"/>
        <v>2</v>
      </c>
      <c r="W4" s="562">
        <f t="shared" si="0"/>
        <v>2</v>
      </c>
      <c r="X4" s="562">
        <f t="shared" si="0"/>
        <v>2</v>
      </c>
      <c r="Y4" s="562">
        <f t="shared" si="0"/>
        <v>2</v>
      </c>
      <c r="Z4" s="562">
        <f t="shared" si="0"/>
        <v>2</v>
      </c>
      <c r="AA4" s="562">
        <f t="shared" si="0"/>
        <v>2</v>
      </c>
      <c r="AB4" s="370"/>
      <c r="AE4" s="38">
        <v>2020</v>
      </c>
      <c r="AF4" s="39">
        <v>1</v>
      </c>
      <c r="AG4" s="39">
        <v>1</v>
      </c>
      <c r="AH4" s="439"/>
      <c r="AI4" s="439"/>
      <c r="AJ4" s="439"/>
      <c r="AK4" s="439"/>
    </row>
    <row r="5" spans="1:46" s="35" customFormat="1" x14ac:dyDescent="0.25">
      <c r="H5" s="36"/>
      <c r="L5" s="170">
        <v>2050</v>
      </c>
      <c r="M5" s="562">
        <v>10</v>
      </c>
      <c r="N5" s="562">
        <f>M5</f>
        <v>10</v>
      </c>
      <c r="O5" s="562">
        <f t="shared" si="0"/>
        <v>10</v>
      </c>
      <c r="P5" s="562">
        <f t="shared" si="0"/>
        <v>10</v>
      </c>
      <c r="Q5" s="562">
        <f t="shared" si="0"/>
        <v>10</v>
      </c>
      <c r="R5" s="562">
        <f t="shared" si="0"/>
        <v>10</v>
      </c>
      <c r="S5" s="562">
        <f t="shared" si="0"/>
        <v>10</v>
      </c>
      <c r="T5" s="562">
        <f t="shared" si="0"/>
        <v>10</v>
      </c>
      <c r="U5" s="562">
        <f t="shared" si="0"/>
        <v>10</v>
      </c>
      <c r="V5" s="562">
        <f t="shared" si="0"/>
        <v>10</v>
      </c>
      <c r="W5" s="562">
        <f t="shared" si="0"/>
        <v>10</v>
      </c>
      <c r="X5" s="562">
        <f t="shared" si="0"/>
        <v>10</v>
      </c>
      <c r="Y5" s="562">
        <f t="shared" si="0"/>
        <v>10</v>
      </c>
      <c r="Z5" s="562">
        <f t="shared" si="0"/>
        <v>10</v>
      </c>
      <c r="AA5" s="562">
        <f t="shared" si="0"/>
        <v>10</v>
      </c>
      <c r="AB5" s="370"/>
      <c r="AE5" s="38">
        <f>AE4+5</f>
        <v>2025</v>
      </c>
      <c r="AF5" s="39">
        <v>1</v>
      </c>
      <c r="AG5" s="39">
        <v>1</v>
      </c>
      <c r="AH5" s="439"/>
      <c r="AI5" s="439"/>
      <c r="AJ5" s="439"/>
      <c r="AK5" s="439"/>
    </row>
    <row r="6" spans="1:46" s="35" customFormat="1" x14ac:dyDescent="0.25">
      <c r="H6" s="36"/>
      <c r="M6" s="917"/>
      <c r="N6" s="917"/>
      <c r="O6" s="917"/>
      <c r="P6" s="917"/>
      <c r="Q6" s="917"/>
      <c r="R6" s="917"/>
      <c r="S6" s="917"/>
      <c r="T6" s="917"/>
      <c r="U6" s="917"/>
      <c r="V6" s="917"/>
      <c r="W6" s="917"/>
      <c r="X6" s="917"/>
      <c r="Y6" s="917"/>
      <c r="Z6" s="917"/>
      <c r="AA6" s="917"/>
      <c r="AB6" s="370"/>
      <c r="AE6" s="38">
        <f>AE5+5</f>
        <v>2030</v>
      </c>
      <c r="AF6" s="39">
        <v>1</v>
      </c>
      <c r="AG6" s="39">
        <v>1</v>
      </c>
      <c r="AH6" s="439"/>
      <c r="AI6" s="439"/>
      <c r="AJ6" s="439"/>
      <c r="AK6" s="439"/>
    </row>
    <row r="7" spans="1:46" s="33" customFormat="1" x14ac:dyDescent="0.25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C7" s="161"/>
      <c r="AE7" s="38">
        <f>AE6+10</f>
        <v>2040</v>
      </c>
      <c r="AF7" s="39">
        <v>1</v>
      </c>
      <c r="AG7" s="39">
        <v>1</v>
      </c>
      <c r="AH7" s="439"/>
      <c r="AI7" s="439"/>
      <c r="AJ7" s="439"/>
      <c r="AK7" s="439"/>
      <c r="AL7" s="35"/>
      <c r="AM7" s="35"/>
      <c r="AN7" s="35"/>
      <c r="AO7" s="35"/>
      <c r="AP7" s="35"/>
      <c r="AQ7" s="35"/>
      <c r="AR7" s="35"/>
      <c r="AS7" s="35"/>
      <c r="AT7" s="35"/>
    </row>
    <row r="8" spans="1:46" s="33" customFormat="1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>M$2</f>
        <v>Z01</v>
      </c>
      <c r="N8" s="163" t="str">
        <f t="shared" ref="N8:AA8" si="1">N$2</f>
        <v>Z02</v>
      </c>
      <c r="O8" s="163" t="str">
        <f t="shared" si="1"/>
        <v>Z03</v>
      </c>
      <c r="P8" s="163" t="str">
        <f t="shared" si="1"/>
        <v>Z04</v>
      </c>
      <c r="Q8" s="163" t="str">
        <f t="shared" si="1"/>
        <v>Z05</v>
      </c>
      <c r="R8" s="163" t="str">
        <f t="shared" si="1"/>
        <v>Z06</v>
      </c>
      <c r="S8" s="163" t="str">
        <f t="shared" si="1"/>
        <v>Z07</v>
      </c>
      <c r="T8" s="163" t="str">
        <f t="shared" si="1"/>
        <v>Z08</v>
      </c>
      <c r="U8" s="163" t="str">
        <f t="shared" si="1"/>
        <v>Z09</v>
      </c>
      <c r="V8" s="163" t="str">
        <f t="shared" si="1"/>
        <v>Z10</v>
      </c>
      <c r="W8" s="163" t="str">
        <f t="shared" si="1"/>
        <v>Z11</v>
      </c>
      <c r="X8" s="163" t="str">
        <f t="shared" si="1"/>
        <v>Z12</v>
      </c>
      <c r="Y8" s="163" t="str">
        <f t="shared" si="1"/>
        <v>Z13</v>
      </c>
      <c r="Z8" s="163" t="str">
        <f t="shared" si="1"/>
        <v>Z14</v>
      </c>
      <c r="AA8" s="163" t="str">
        <f t="shared" si="1"/>
        <v>Z15</v>
      </c>
      <c r="AC8" s="163" t="s">
        <v>421</v>
      </c>
      <c r="AE8" s="38">
        <f>AE7+10</f>
        <v>2050</v>
      </c>
      <c r="AF8" s="39">
        <v>1</v>
      </c>
      <c r="AG8" s="39">
        <v>1</v>
      </c>
      <c r="AH8" s="439"/>
      <c r="AI8" s="439"/>
      <c r="AJ8" s="439"/>
      <c r="AK8" s="439"/>
      <c r="AL8" s="35"/>
      <c r="AM8" s="35"/>
      <c r="AN8" s="35"/>
      <c r="AO8" s="35"/>
      <c r="AP8" s="35"/>
      <c r="AQ8" s="35"/>
      <c r="AR8" s="35"/>
      <c r="AS8" s="35"/>
      <c r="AT8" s="35"/>
    </row>
    <row r="9" spans="1:46" s="33" customFormat="1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H9" s="439"/>
      <c r="AI9" s="439"/>
      <c r="AJ9" s="439"/>
      <c r="AK9" s="439"/>
      <c r="AL9" s="35"/>
      <c r="AM9" s="35"/>
      <c r="AN9" s="35"/>
      <c r="AO9" s="35"/>
      <c r="AP9" s="35"/>
      <c r="AQ9" s="35"/>
      <c r="AR9" s="35"/>
      <c r="AS9" s="35"/>
      <c r="AT9" s="35"/>
    </row>
    <row r="10" spans="1:46" s="33" customFormat="1" x14ac:dyDescent="0.25">
      <c r="A10" s="44"/>
      <c r="B10" s="44"/>
      <c r="C10" s="44"/>
      <c r="D10" s="35"/>
      <c r="E10" s="35"/>
      <c r="F10" s="44"/>
      <c r="G10" s="35"/>
      <c r="H10" s="169" t="s">
        <v>420</v>
      </c>
      <c r="I10" s="173" t="str">
        <f>LOOKUP(H10,TRA_Comm!$C$29:$C$90,TRA_Comm!$D$29:$D$90)</f>
        <v>Non-traveling.</v>
      </c>
      <c r="J10" s="173"/>
      <c r="K10" s="173" t="s">
        <v>1118</v>
      </c>
      <c r="L10" s="173" t="s">
        <v>85</v>
      </c>
      <c r="M10" s="627">
        <f>SUMIF(DEMAND_Pkm_Tkm!$C$6:$C$43, $H10, DEMAND_Pkm_Tkm!G$6:G$43)</f>
        <v>0</v>
      </c>
      <c r="N10" s="627">
        <f>SUMIF(DEMAND_Pkm_Tkm!$C$6:$C$43, $H10, DEMAND_Pkm_Tkm!H$6:H$43)</f>
        <v>0</v>
      </c>
      <c r="O10" s="627">
        <f>SUMIF(DEMAND_Pkm_Tkm!$C$6:$C$43, $H10, DEMAND_Pkm_Tkm!I$6:I$43)</f>
        <v>0</v>
      </c>
      <c r="P10" s="627">
        <f>SUMIF(DEMAND_Pkm_Tkm!$C$6:$C$43, $H10, DEMAND_Pkm_Tkm!J$6:J$43)</f>
        <v>0</v>
      </c>
      <c r="Q10" s="627">
        <f>SUMIF(DEMAND_Pkm_Tkm!$C$6:$C$43, $H10, DEMAND_Pkm_Tkm!K$6:K$43)</f>
        <v>0</v>
      </c>
      <c r="R10" s="627">
        <f>SUMIF(DEMAND_Pkm_Tkm!$C$6:$C$43, $H10, DEMAND_Pkm_Tkm!L$6:L$43)</f>
        <v>0</v>
      </c>
      <c r="S10" s="627">
        <f>SUMIF(DEMAND_Pkm_Tkm!$C$6:$C$43, $H10, DEMAND_Pkm_Tkm!M$6:M$43)</f>
        <v>0</v>
      </c>
      <c r="T10" s="627">
        <f>SUMIF(DEMAND_Pkm_Tkm!$C$6:$C$43, $H10, DEMAND_Pkm_Tkm!N$6:N$43)</f>
        <v>0</v>
      </c>
      <c r="U10" s="627">
        <f>SUMIF(DEMAND_Pkm_Tkm!$C$6:$C$43, $H10, DEMAND_Pkm_Tkm!O$6:O$43)</f>
        <v>0</v>
      </c>
      <c r="V10" s="627">
        <f>SUMIF(DEMAND_Pkm_Tkm!$C$6:$C$43, $H10, DEMAND_Pkm_Tkm!P$6:P$43)</f>
        <v>0</v>
      </c>
      <c r="W10" s="627">
        <f>SUMIF(DEMAND_Pkm_Tkm!$C$6:$C$43, $H10, DEMAND_Pkm_Tkm!Q$6:Q$43)</f>
        <v>0</v>
      </c>
      <c r="X10" s="627">
        <f>SUMIF(DEMAND_Pkm_Tkm!$C$6:$C$43, $H10, DEMAND_Pkm_Tkm!R$6:R$43)</f>
        <v>0</v>
      </c>
      <c r="Y10" s="627">
        <f>SUMIF(DEMAND_Pkm_Tkm!$C$6:$C$43, $H10, DEMAND_Pkm_Tkm!S$6:S$43)</f>
        <v>0</v>
      </c>
      <c r="Z10" s="627">
        <f>SUMIF(DEMAND_Pkm_Tkm!$C$6:$C$43, $H10, DEMAND_Pkm_Tkm!T$6:T$43)</f>
        <v>0</v>
      </c>
      <c r="AA10" s="627">
        <f>SUMIF(DEMAND_Pkm_Tkm!$C$6:$C$43, $H10, DEMAND_Pkm_Tkm!U$6:U$43)</f>
        <v>0</v>
      </c>
      <c r="AC10" s="596">
        <f>SUM(M10:AA10)</f>
        <v>0</v>
      </c>
    </row>
    <row r="11" spans="1:46" s="33" customFormat="1" x14ac:dyDescent="0.25">
      <c r="A11" s="44"/>
      <c r="B11" s="44"/>
      <c r="C11" s="44"/>
      <c r="D11" s="35"/>
      <c r="E11" s="35"/>
      <c r="F11" s="44"/>
      <c r="G11" s="35"/>
      <c r="H11" s="169" t="s">
        <v>483</v>
      </c>
      <c r="I11" s="173" t="str">
        <f>LOOKUP(H11,TRA_Comm!$C$29:$C$90,TRA_Comm!$D$29:$D$90)</f>
        <v>Non-traveling.City.</v>
      </c>
      <c r="J11" s="173"/>
      <c r="K11" s="173" t="s">
        <v>1118</v>
      </c>
      <c r="L11" s="173" t="s">
        <v>85</v>
      </c>
      <c r="M11" s="627">
        <f>SUMIF(DEMAND_Pkm_Tkm!$C$6:$C$43, $H11, DEMAND_Pkm_Tkm!G$6:G$43)</f>
        <v>0</v>
      </c>
      <c r="N11" s="627">
        <f>SUMIF(DEMAND_Pkm_Tkm!$C$6:$C$43, $H11, DEMAND_Pkm_Tkm!H$6:H$43)</f>
        <v>0</v>
      </c>
      <c r="O11" s="627">
        <f>SUMIF(DEMAND_Pkm_Tkm!$C$6:$C$43, $H11, DEMAND_Pkm_Tkm!I$6:I$43)</f>
        <v>0</v>
      </c>
      <c r="P11" s="627">
        <f>SUMIF(DEMAND_Pkm_Tkm!$C$6:$C$43, $H11, DEMAND_Pkm_Tkm!J$6:J$43)</f>
        <v>0</v>
      </c>
      <c r="Q11" s="627">
        <f>SUMIF(DEMAND_Pkm_Tkm!$C$6:$C$43, $H11, DEMAND_Pkm_Tkm!K$6:K$43)</f>
        <v>0</v>
      </c>
      <c r="R11" s="627">
        <f>SUMIF(DEMAND_Pkm_Tkm!$C$6:$C$43, $H11, DEMAND_Pkm_Tkm!L$6:L$43)</f>
        <v>0</v>
      </c>
      <c r="S11" s="627">
        <f>SUMIF(DEMAND_Pkm_Tkm!$C$6:$C$43, $H11, DEMAND_Pkm_Tkm!M$6:M$43)</f>
        <v>0</v>
      </c>
      <c r="T11" s="627">
        <f>SUMIF(DEMAND_Pkm_Tkm!$C$6:$C$43, $H11, DEMAND_Pkm_Tkm!N$6:N$43)</f>
        <v>0</v>
      </c>
      <c r="U11" s="627">
        <f>SUMIF(DEMAND_Pkm_Tkm!$C$6:$C$43, $H11, DEMAND_Pkm_Tkm!O$6:O$43)</f>
        <v>0</v>
      </c>
      <c r="V11" s="627">
        <f>SUMIF(DEMAND_Pkm_Tkm!$C$6:$C$43, $H11, DEMAND_Pkm_Tkm!P$6:P$43)</f>
        <v>0</v>
      </c>
      <c r="W11" s="627">
        <f>SUMIF(DEMAND_Pkm_Tkm!$C$6:$C$43, $H11, DEMAND_Pkm_Tkm!Q$6:Q$43)</f>
        <v>0</v>
      </c>
      <c r="X11" s="627">
        <f>SUMIF(DEMAND_Pkm_Tkm!$C$6:$C$43, $H11, DEMAND_Pkm_Tkm!R$6:R$43)</f>
        <v>0</v>
      </c>
      <c r="Y11" s="627">
        <f>SUMIF(DEMAND_Pkm_Tkm!$C$6:$C$43, $H11, DEMAND_Pkm_Tkm!S$6:S$43)</f>
        <v>0</v>
      </c>
      <c r="Z11" s="627">
        <f>SUMIF(DEMAND_Pkm_Tkm!$C$6:$C$43, $H11, DEMAND_Pkm_Tkm!T$6:T$43)</f>
        <v>0</v>
      </c>
      <c r="AA11" s="627">
        <f>SUMIF(DEMAND_Pkm_Tkm!$C$6:$C$43, $H11, DEMAND_Pkm_Tkm!U$6:U$43)</f>
        <v>0</v>
      </c>
      <c r="AC11" s="596">
        <f>SUM(M11:AA11)</f>
        <v>0</v>
      </c>
    </row>
    <row r="12" spans="1:46" s="33" customFormat="1" x14ac:dyDescent="0.25">
      <c r="A12" s="44"/>
      <c r="C12" s="44"/>
      <c r="D12" s="35"/>
      <c r="E12" s="35"/>
      <c r="F12" s="44"/>
      <c r="G12" s="35"/>
      <c r="H12" s="14"/>
      <c r="I12" s="14"/>
      <c r="J12" s="46"/>
      <c r="K12" s="46"/>
      <c r="L12" s="46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</row>
    <row r="13" spans="1:46" s="33" customFormat="1" x14ac:dyDescent="0.25">
      <c r="A13" s="44"/>
      <c r="B13" s="35"/>
      <c r="C13" s="44"/>
      <c r="D13" s="35"/>
      <c r="E13" s="35"/>
      <c r="F13" s="44"/>
      <c r="G13" s="44"/>
      <c r="H13" s="44"/>
      <c r="I13" s="44"/>
      <c r="J13" s="44"/>
      <c r="K13" s="44"/>
      <c r="L13" s="4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44"/>
    </row>
    <row r="14" spans="1:46" s="33" customFormat="1" x14ac:dyDescent="0.25">
      <c r="A14" s="44"/>
      <c r="B14" s="47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C14" s="48"/>
      <c r="AD14" s="35"/>
      <c r="AE14" s="35"/>
      <c r="AF14" s="35"/>
      <c r="AG14" s="35"/>
      <c r="AH14" s="35"/>
      <c r="AI14" s="35"/>
      <c r="AJ14" s="35"/>
    </row>
    <row r="15" spans="1:46" s="35" customFormat="1" ht="16.5" customHeight="1" x14ac:dyDescent="0.25">
      <c r="B15" s="32" t="s">
        <v>1136</v>
      </c>
      <c r="C15" s="26"/>
      <c r="D15" s="26"/>
      <c r="E15" s="607"/>
      <c r="F15" s="607"/>
      <c r="H15" s="36"/>
      <c r="AE15" s="49"/>
    </row>
    <row r="16" spans="1:46" s="22" customFormat="1" x14ac:dyDescent="0.25">
      <c r="A16" s="35"/>
      <c r="B16" s="35"/>
      <c r="C16" s="50"/>
      <c r="D16" s="50"/>
      <c r="E16" s="35"/>
      <c r="F16" s="35"/>
      <c r="G16" s="41"/>
      <c r="H16" s="51"/>
      <c r="I16" s="41"/>
      <c r="J16" s="41"/>
      <c r="K16" s="40" t="str">
        <f>IF(SUM(M10:AA10)&gt;0,"~FI_T","Not in use")</f>
        <v>Not in use</v>
      </c>
      <c r="L16" s="40"/>
      <c r="M16" s="35"/>
      <c r="N16" s="35"/>
      <c r="O16" s="35"/>
      <c r="P16" s="35"/>
      <c r="Q16" s="41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41"/>
      <c r="AC16" s="49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</row>
    <row r="17" spans="1:46" s="22" customFormat="1" x14ac:dyDescent="0.25">
      <c r="A17" s="35"/>
      <c r="B17" s="52" t="s">
        <v>1053</v>
      </c>
      <c r="C17" s="26" t="s">
        <v>104</v>
      </c>
      <c r="D17" s="26" t="s">
        <v>1054</v>
      </c>
      <c r="E17" s="26" t="s">
        <v>673</v>
      </c>
      <c r="F17" s="26" t="s">
        <v>674</v>
      </c>
      <c r="G17" s="26" t="s">
        <v>1055</v>
      </c>
      <c r="H17" s="53" t="s">
        <v>1056</v>
      </c>
      <c r="I17" s="26" t="s">
        <v>982</v>
      </c>
      <c r="J17" s="42" t="s">
        <v>1123</v>
      </c>
      <c r="K17" s="26" t="s">
        <v>1057</v>
      </c>
      <c r="L17" s="26" t="s">
        <v>1058</v>
      </c>
      <c r="M17" s="53" t="str">
        <f>M$2</f>
        <v>Z01</v>
      </c>
      <c r="N17" s="53" t="str">
        <f t="shared" ref="N17:AA17" si="2">N$2</f>
        <v>Z02</v>
      </c>
      <c r="O17" s="53" t="str">
        <f t="shared" si="2"/>
        <v>Z03</v>
      </c>
      <c r="P17" s="53" t="str">
        <f t="shared" si="2"/>
        <v>Z04</v>
      </c>
      <c r="Q17" s="53" t="str">
        <f t="shared" si="2"/>
        <v>Z05</v>
      </c>
      <c r="R17" s="53" t="str">
        <f t="shared" si="2"/>
        <v>Z06</v>
      </c>
      <c r="S17" s="53" t="str">
        <f t="shared" si="2"/>
        <v>Z07</v>
      </c>
      <c r="T17" s="53" t="str">
        <f t="shared" si="2"/>
        <v>Z08</v>
      </c>
      <c r="U17" s="53" t="str">
        <f t="shared" si="2"/>
        <v>Z09</v>
      </c>
      <c r="V17" s="53" t="str">
        <f t="shared" si="2"/>
        <v>Z10</v>
      </c>
      <c r="W17" s="53" t="str">
        <f t="shared" si="2"/>
        <v>Z11</v>
      </c>
      <c r="X17" s="53" t="str">
        <f t="shared" si="2"/>
        <v>Z12</v>
      </c>
      <c r="Y17" s="53" t="str">
        <f t="shared" si="2"/>
        <v>Z13</v>
      </c>
      <c r="Z17" s="53" t="str">
        <f t="shared" si="2"/>
        <v>Z14</v>
      </c>
      <c r="AA17" s="53" t="str">
        <f t="shared" si="2"/>
        <v>Z15</v>
      </c>
      <c r="AB17" s="48"/>
      <c r="AC17" s="594"/>
      <c r="AD17" s="594"/>
      <c r="AE17" s="594"/>
      <c r="AF17" s="594"/>
      <c r="AG17" s="594"/>
      <c r="AH17" s="594"/>
      <c r="AI17" s="594"/>
      <c r="AJ17" s="594"/>
      <c r="AK17" s="594"/>
      <c r="AL17" s="594"/>
      <c r="AM17" s="594"/>
      <c r="AN17" s="594"/>
      <c r="AO17" s="594"/>
      <c r="AP17" s="594"/>
      <c r="AQ17" s="594"/>
      <c r="AR17" s="594"/>
      <c r="AS17" s="594"/>
      <c r="AT17" s="48"/>
    </row>
    <row r="18" spans="1:46" s="22" customFormat="1" x14ac:dyDescent="0.25">
      <c r="A18" s="35"/>
      <c r="B18" s="176"/>
      <c r="C18" s="176"/>
      <c r="D18" s="176" t="s">
        <v>1062</v>
      </c>
      <c r="E18" s="176"/>
      <c r="F18" s="176"/>
      <c r="G18" s="176"/>
      <c r="H18" s="177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35"/>
      <c r="AC18" s="631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</row>
    <row r="19" spans="1:46" s="35" customFormat="1" x14ac:dyDescent="0.25">
      <c r="B19" s="186" t="str">
        <f>C19</f>
        <v>TNO100</v>
      </c>
      <c r="C19" s="186" t="s">
        <v>689</v>
      </c>
      <c r="D19" s="609" t="s">
        <v>881</v>
      </c>
      <c r="E19" s="258" t="s">
        <v>683</v>
      </c>
      <c r="F19" s="213"/>
      <c r="G19" s="170"/>
      <c r="H19" s="190"/>
      <c r="I19" s="191"/>
      <c r="J19" s="191"/>
      <c r="K19" s="192" t="s">
        <v>1137</v>
      </c>
      <c r="L19" s="191" t="s">
        <v>447</v>
      </c>
      <c r="M19" s="652">
        <v>1</v>
      </c>
      <c r="N19" s="652">
        <v>1</v>
      </c>
      <c r="O19" s="652">
        <v>1</v>
      </c>
      <c r="P19" s="652">
        <v>1</v>
      </c>
      <c r="Q19" s="652">
        <v>1</v>
      </c>
      <c r="R19" s="652">
        <v>1</v>
      </c>
      <c r="S19" s="652">
        <v>1</v>
      </c>
      <c r="T19" s="652">
        <v>1</v>
      </c>
      <c r="U19" s="652">
        <v>1</v>
      </c>
      <c r="V19" s="652">
        <v>1</v>
      </c>
      <c r="W19" s="652">
        <v>1</v>
      </c>
      <c r="X19" s="652">
        <v>1</v>
      </c>
      <c r="Y19" s="652">
        <v>1</v>
      </c>
      <c r="Z19" s="652">
        <v>1</v>
      </c>
      <c r="AA19" s="652">
        <v>1</v>
      </c>
      <c r="AC19" s="57"/>
    </row>
    <row r="20" spans="1:46" s="35" customFormat="1" x14ac:dyDescent="0.25">
      <c r="B20" s="193" t="str">
        <f>B19</f>
        <v>TNO100</v>
      </c>
      <c r="C20" s="193"/>
      <c r="D20" s="194"/>
      <c r="E20" s="650"/>
      <c r="F20" s="651" t="s">
        <v>420</v>
      </c>
      <c r="G20" s="196"/>
      <c r="H20" s="197"/>
      <c r="I20" s="198"/>
      <c r="J20" s="198"/>
      <c r="K20" s="199" t="s">
        <v>1138</v>
      </c>
      <c r="L20" s="198" t="s">
        <v>447</v>
      </c>
      <c r="M20" s="653">
        <v>1</v>
      </c>
      <c r="N20" s="653">
        <v>1</v>
      </c>
      <c r="O20" s="653">
        <v>1</v>
      </c>
      <c r="P20" s="653">
        <v>1</v>
      </c>
      <c r="Q20" s="653">
        <v>1</v>
      </c>
      <c r="R20" s="653">
        <v>1</v>
      </c>
      <c r="S20" s="653">
        <v>1</v>
      </c>
      <c r="T20" s="653">
        <v>1</v>
      </c>
      <c r="U20" s="653">
        <v>1</v>
      </c>
      <c r="V20" s="653">
        <v>1</v>
      </c>
      <c r="W20" s="653">
        <v>1</v>
      </c>
      <c r="X20" s="653">
        <v>1</v>
      </c>
      <c r="Y20" s="653">
        <v>1</v>
      </c>
      <c r="Z20" s="653">
        <v>1</v>
      </c>
      <c r="AA20" s="653">
        <v>1</v>
      </c>
    </row>
    <row r="21" spans="1:46" s="621" customFormat="1" x14ac:dyDescent="0.25">
      <c r="D21" s="654"/>
      <c r="E21" s="655"/>
      <c r="F21" s="656"/>
      <c r="H21" s="657"/>
      <c r="I21" s="434"/>
      <c r="J21" s="434"/>
      <c r="K21" s="658"/>
      <c r="L21" s="434"/>
      <c r="M21" s="659"/>
      <c r="N21" s="659"/>
      <c r="O21" s="659"/>
      <c r="P21" s="659"/>
      <c r="Q21" s="659"/>
      <c r="R21" s="659"/>
      <c r="S21" s="659"/>
      <c r="T21" s="659"/>
      <c r="U21" s="659"/>
      <c r="V21" s="659"/>
      <c r="W21" s="659"/>
      <c r="X21" s="659"/>
      <c r="Y21" s="659"/>
      <c r="Z21" s="659"/>
      <c r="AA21" s="659"/>
    </row>
    <row r="22" spans="1:46" s="621" customFormat="1" x14ac:dyDescent="0.25">
      <c r="D22" s="654"/>
      <c r="E22" s="655"/>
      <c r="F22" s="656"/>
      <c r="H22" s="657"/>
      <c r="I22" s="434"/>
      <c r="J22" s="434"/>
      <c r="K22" s="658"/>
      <c r="L22" s="434"/>
      <c r="M22" s="659"/>
      <c r="N22" s="659"/>
      <c r="O22" s="659"/>
      <c r="P22" s="659"/>
      <c r="Q22" s="659"/>
      <c r="R22" s="659"/>
      <c r="S22" s="659"/>
      <c r="T22" s="659"/>
      <c r="U22" s="659"/>
      <c r="V22" s="659"/>
      <c r="W22" s="659"/>
      <c r="X22" s="659"/>
      <c r="Y22" s="659"/>
      <c r="Z22" s="659"/>
      <c r="AA22" s="659"/>
    </row>
    <row r="23" spans="1:46" s="621" customFormat="1" x14ac:dyDescent="0.25">
      <c r="D23" s="654"/>
      <c r="E23" s="655"/>
      <c r="F23" s="656"/>
      <c r="H23" s="657"/>
      <c r="I23" s="434"/>
      <c r="J23" s="434"/>
      <c r="K23" s="658"/>
      <c r="L23" s="434"/>
      <c r="M23" s="659"/>
      <c r="N23" s="659"/>
      <c r="O23" s="659"/>
      <c r="P23" s="659"/>
      <c r="Q23" s="659"/>
      <c r="R23" s="659"/>
      <c r="S23" s="659"/>
      <c r="T23" s="659"/>
      <c r="U23" s="659"/>
      <c r="V23" s="659"/>
      <c r="W23" s="659"/>
      <c r="X23" s="659"/>
      <c r="Y23" s="659"/>
      <c r="Z23" s="659"/>
      <c r="AA23" s="659"/>
    </row>
    <row r="24" spans="1:46" s="35" customFormat="1" ht="16.5" customHeight="1" x14ac:dyDescent="0.25">
      <c r="B24" s="32" t="s">
        <v>1139</v>
      </c>
      <c r="C24" s="26"/>
      <c r="D24" s="26"/>
      <c r="E24" s="607"/>
      <c r="F24" s="607"/>
      <c r="H24" s="36"/>
      <c r="AE24" s="49"/>
    </row>
    <row r="25" spans="1:46" s="22" customFormat="1" x14ac:dyDescent="0.25">
      <c r="A25" s="35"/>
      <c r="B25" s="35"/>
      <c r="C25" s="50"/>
      <c r="D25" s="50"/>
      <c r="E25" s="35"/>
      <c r="F25" s="35"/>
      <c r="G25" s="41"/>
      <c r="H25" s="51"/>
      <c r="I25" s="41"/>
      <c r="J25" s="41"/>
      <c r="K25" s="40" t="str">
        <f>IF(SUM(M11:AA11)&gt;0,"~FI_T","Not in use")</f>
        <v>Not in use</v>
      </c>
      <c r="L25" s="40"/>
      <c r="M25" s="35"/>
      <c r="N25" s="35"/>
      <c r="O25" s="35"/>
      <c r="P25" s="35"/>
      <c r="Q25" s="41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41"/>
      <c r="AC25" s="49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</row>
    <row r="26" spans="1:46" s="22" customFormat="1" x14ac:dyDescent="0.25">
      <c r="A26" s="35"/>
      <c r="B26" s="52" t="s">
        <v>1053</v>
      </c>
      <c r="C26" s="26" t="s">
        <v>104</v>
      </c>
      <c r="D26" s="26" t="s">
        <v>1054</v>
      </c>
      <c r="E26" s="26" t="s">
        <v>673</v>
      </c>
      <c r="F26" s="26" t="s">
        <v>674</v>
      </c>
      <c r="G26" s="26" t="s">
        <v>1055</v>
      </c>
      <c r="H26" s="53" t="s">
        <v>1056</v>
      </c>
      <c r="I26" s="26" t="s">
        <v>982</v>
      </c>
      <c r="J26" s="42" t="s">
        <v>1123</v>
      </c>
      <c r="K26" s="26" t="s">
        <v>1057</v>
      </c>
      <c r="L26" s="26" t="s">
        <v>1058</v>
      </c>
      <c r="M26" s="53" t="str">
        <f>M$2</f>
        <v>Z01</v>
      </c>
      <c r="N26" s="53" t="str">
        <f t="shared" ref="N26:AA26" si="3">N$2</f>
        <v>Z02</v>
      </c>
      <c r="O26" s="53" t="str">
        <f t="shared" si="3"/>
        <v>Z03</v>
      </c>
      <c r="P26" s="53" t="str">
        <f t="shared" si="3"/>
        <v>Z04</v>
      </c>
      <c r="Q26" s="53" t="str">
        <f t="shared" si="3"/>
        <v>Z05</v>
      </c>
      <c r="R26" s="53" t="str">
        <f t="shared" si="3"/>
        <v>Z06</v>
      </c>
      <c r="S26" s="53" t="str">
        <f t="shared" si="3"/>
        <v>Z07</v>
      </c>
      <c r="T26" s="53" t="str">
        <f t="shared" si="3"/>
        <v>Z08</v>
      </c>
      <c r="U26" s="53" t="str">
        <f t="shared" si="3"/>
        <v>Z09</v>
      </c>
      <c r="V26" s="53" t="str">
        <f t="shared" si="3"/>
        <v>Z10</v>
      </c>
      <c r="W26" s="53" t="str">
        <f t="shared" si="3"/>
        <v>Z11</v>
      </c>
      <c r="X26" s="53" t="str">
        <f t="shared" si="3"/>
        <v>Z12</v>
      </c>
      <c r="Y26" s="53" t="str">
        <f t="shared" si="3"/>
        <v>Z13</v>
      </c>
      <c r="Z26" s="53" t="str">
        <f t="shared" si="3"/>
        <v>Z14</v>
      </c>
      <c r="AA26" s="53" t="str">
        <f t="shared" si="3"/>
        <v>Z15</v>
      </c>
      <c r="AB26" s="48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48"/>
    </row>
    <row r="27" spans="1:46" s="22" customFormat="1" x14ac:dyDescent="0.25">
      <c r="A27" s="35"/>
      <c r="B27" s="176"/>
      <c r="C27" s="176"/>
      <c r="D27" s="176" t="s">
        <v>1062</v>
      </c>
      <c r="E27" s="176"/>
      <c r="F27" s="176"/>
      <c r="G27" s="176"/>
      <c r="H27" s="177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35"/>
      <c r="AC27" s="631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</row>
    <row r="28" spans="1:46" s="35" customFormat="1" x14ac:dyDescent="0.25">
      <c r="B28" s="186" t="str">
        <f>C28</f>
        <v>TNO900</v>
      </c>
      <c r="C28" s="186" t="s">
        <v>690</v>
      </c>
      <c r="D28" s="609" t="s">
        <v>1140</v>
      </c>
      <c r="E28" s="258" t="s">
        <v>683</v>
      </c>
      <c r="F28" s="213"/>
      <c r="G28" s="170"/>
      <c r="H28" s="190"/>
      <c r="I28" s="191"/>
      <c r="J28" s="191"/>
      <c r="K28" s="192" t="s">
        <v>1137</v>
      </c>
      <c r="L28" s="191" t="s">
        <v>447</v>
      </c>
      <c r="M28" s="652">
        <v>1</v>
      </c>
      <c r="N28" s="652">
        <v>1</v>
      </c>
      <c r="O28" s="652">
        <v>1</v>
      </c>
      <c r="P28" s="652">
        <v>1</v>
      </c>
      <c r="Q28" s="652">
        <v>1</v>
      </c>
      <c r="R28" s="652">
        <v>1</v>
      </c>
      <c r="S28" s="652">
        <v>1</v>
      </c>
      <c r="T28" s="652">
        <v>1</v>
      </c>
      <c r="U28" s="652">
        <v>1</v>
      </c>
      <c r="V28" s="652">
        <v>1</v>
      </c>
      <c r="W28" s="652">
        <v>1</v>
      </c>
      <c r="X28" s="652">
        <v>1</v>
      </c>
      <c r="Y28" s="652">
        <v>1</v>
      </c>
      <c r="Z28" s="652">
        <v>1</v>
      </c>
      <c r="AA28" s="652">
        <v>1</v>
      </c>
      <c r="AC28" s="57"/>
    </row>
    <row r="29" spans="1:46" s="35" customFormat="1" x14ac:dyDescent="0.25">
      <c r="B29" s="193" t="str">
        <f>B28</f>
        <v>TNO900</v>
      </c>
      <c r="C29" s="193"/>
      <c r="D29" s="194"/>
      <c r="E29" s="650"/>
      <c r="F29" s="651" t="s">
        <v>483</v>
      </c>
      <c r="G29" s="196"/>
      <c r="H29" s="197"/>
      <c r="I29" s="198"/>
      <c r="J29" s="198"/>
      <c r="K29" s="199" t="s">
        <v>1138</v>
      </c>
      <c r="L29" s="198" t="s">
        <v>447</v>
      </c>
      <c r="M29" s="653">
        <v>1</v>
      </c>
      <c r="N29" s="653">
        <v>1</v>
      </c>
      <c r="O29" s="653">
        <v>1</v>
      </c>
      <c r="P29" s="653">
        <v>1</v>
      </c>
      <c r="Q29" s="653">
        <v>1</v>
      </c>
      <c r="R29" s="653">
        <v>1</v>
      </c>
      <c r="S29" s="653">
        <v>1</v>
      </c>
      <c r="T29" s="653">
        <v>1</v>
      </c>
      <c r="U29" s="653">
        <v>1</v>
      </c>
      <c r="V29" s="653">
        <v>1</v>
      </c>
      <c r="W29" s="653">
        <v>1</v>
      </c>
      <c r="X29" s="653">
        <v>1</v>
      </c>
      <c r="Y29" s="653">
        <v>1</v>
      </c>
      <c r="Z29" s="653">
        <v>1</v>
      </c>
      <c r="AA29" s="653">
        <v>1</v>
      </c>
    </row>
    <row r="30" spans="1:46" s="621" customFormat="1" x14ac:dyDescent="0.25">
      <c r="D30" s="654"/>
      <c r="E30" s="655"/>
      <c r="F30" s="656"/>
      <c r="H30" s="657"/>
      <c r="I30" s="434"/>
      <c r="J30" s="434"/>
      <c r="K30" s="658"/>
      <c r="L30" s="434"/>
      <c r="M30" s="659"/>
      <c r="N30" s="659"/>
      <c r="O30" s="659"/>
      <c r="P30" s="659"/>
      <c r="Q30" s="659"/>
      <c r="R30" s="659"/>
      <c r="S30" s="659"/>
      <c r="T30" s="659"/>
      <c r="U30" s="659"/>
      <c r="V30" s="659"/>
      <c r="W30" s="659"/>
      <c r="X30" s="659"/>
      <c r="Y30" s="659"/>
      <c r="Z30" s="659"/>
      <c r="AA30" s="659"/>
    </row>
    <row r="31" spans="1:46" s="621" customFormat="1" x14ac:dyDescent="0.25">
      <c r="D31" s="654"/>
      <c r="E31" s="655"/>
      <c r="F31" s="656"/>
      <c r="H31" s="657"/>
      <c r="I31" s="434"/>
      <c r="J31" s="434"/>
      <c r="K31" s="658"/>
      <c r="L31" s="434"/>
      <c r="M31" s="659"/>
      <c r="N31" s="659"/>
      <c r="O31" s="659"/>
      <c r="P31" s="659"/>
      <c r="Q31" s="659"/>
      <c r="R31" s="659"/>
      <c r="S31" s="659"/>
      <c r="T31" s="659"/>
      <c r="U31" s="659"/>
      <c r="V31" s="659"/>
      <c r="W31" s="659"/>
      <c r="X31" s="659"/>
      <c r="Y31" s="659"/>
      <c r="Z31" s="659"/>
      <c r="AA31" s="659"/>
    </row>
    <row r="32" spans="1:46" s="621" customFormat="1" x14ac:dyDescent="0.25">
      <c r="D32" s="654"/>
      <c r="E32" s="655"/>
      <c r="F32" s="656"/>
      <c r="H32" s="657"/>
      <c r="I32" s="434"/>
      <c r="J32" s="434"/>
      <c r="K32" s="658"/>
      <c r="L32" s="434"/>
      <c r="M32" s="659"/>
      <c r="N32" s="659"/>
      <c r="O32" s="659"/>
      <c r="P32" s="659"/>
      <c r="Q32" s="659"/>
      <c r="R32" s="659"/>
      <c r="S32" s="659"/>
      <c r="T32" s="659"/>
      <c r="U32" s="659"/>
      <c r="V32" s="659"/>
      <c r="W32" s="659"/>
      <c r="X32" s="659"/>
      <c r="Y32" s="659"/>
      <c r="Z32" s="659"/>
      <c r="AA32" s="659"/>
    </row>
    <row r="33" spans="4:27" s="621" customFormat="1" x14ac:dyDescent="0.25">
      <c r="D33" s="654"/>
      <c r="E33" s="655"/>
      <c r="F33" s="656"/>
      <c r="H33" s="657"/>
      <c r="I33" s="434"/>
      <c r="J33" s="434"/>
      <c r="K33" s="658"/>
      <c r="L33" s="434"/>
      <c r="M33" s="659"/>
      <c r="N33" s="659"/>
      <c r="O33" s="659"/>
      <c r="P33" s="659"/>
      <c r="Q33" s="659"/>
      <c r="R33" s="659"/>
      <c r="S33" s="659"/>
      <c r="T33" s="659"/>
      <c r="U33" s="659"/>
      <c r="V33" s="659"/>
      <c r="W33" s="659"/>
      <c r="X33" s="659"/>
      <c r="Y33" s="659"/>
      <c r="Z33" s="659"/>
      <c r="AA33" s="659"/>
    </row>
    <row r="34" spans="4:27" s="621" customFormat="1" x14ac:dyDescent="0.25">
      <c r="D34" s="654"/>
      <c r="E34" s="655"/>
      <c r="F34" s="656"/>
      <c r="H34" s="657"/>
      <c r="I34" s="434"/>
      <c r="J34" s="434"/>
      <c r="K34" s="658"/>
      <c r="L34" s="434"/>
      <c r="M34" s="659"/>
      <c r="N34" s="659"/>
      <c r="O34" s="659"/>
      <c r="P34" s="659"/>
      <c r="Q34" s="659"/>
      <c r="R34" s="659"/>
      <c r="S34" s="659"/>
      <c r="T34" s="659"/>
      <c r="U34" s="659"/>
      <c r="V34" s="659"/>
      <c r="W34" s="659"/>
      <c r="X34" s="659"/>
      <c r="Y34" s="659"/>
      <c r="Z34" s="659"/>
      <c r="AA34" s="659"/>
    </row>
    <row r="35" spans="4:27" s="621" customFormat="1" x14ac:dyDescent="0.25">
      <c r="D35" s="654"/>
      <c r="E35" s="655"/>
      <c r="F35" s="656"/>
      <c r="H35" s="657"/>
      <c r="I35" s="434"/>
      <c r="J35" s="434"/>
      <c r="K35" s="658"/>
      <c r="L35" s="434"/>
      <c r="M35" s="659"/>
      <c r="N35" s="659"/>
      <c r="O35" s="659"/>
      <c r="P35" s="659"/>
      <c r="Q35" s="659"/>
      <c r="R35" s="659"/>
      <c r="S35" s="659"/>
      <c r="T35" s="659"/>
      <c r="U35" s="659"/>
      <c r="V35" s="659"/>
      <c r="W35" s="659"/>
      <c r="X35" s="659"/>
      <c r="Y35" s="659"/>
      <c r="Z35" s="659"/>
      <c r="AA35" s="659"/>
    </row>
    <row r="36" spans="4:27" s="621" customFormat="1" x14ac:dyDescent="0.25">
      <c r="D36" s="654"/>
      <c r="E36" s="655"/>
      <c r="F36" s="656"/>
      <c r="H36" s="657"/>
      <c r="I36" s="434"/>
      <c r="J36" s="434"/>
      <c r="K36" s="658"/>
      <c r="L36" s="434"/>
      <c r="M36" s="659"/>
      <c r="N36" s="659"/>
      <c r="O36" s="659"/>
      <c r="P36" s="659"/>
      <c r="Q36" s="659"/>
      <c r="R36" s="659"/>
      <c r="S36" s="659"/>
      <c r="T36" s="659"/>
      <c r="U36" s="659"/>
      <c r="V36" s="659"/>
      <c r="W36" s="659"/>
      <c r="X36" s="659"/>
      <c r="Y36" s="659"/>
      <c r="Z36" s="659"/>
      <c r="AA36" s="659"/>
    </row>
    <row r="37" spans="4:27" s="621" customFormat="1" x14ac:dyDescent="0.25">
      <c r="D37" s="654"/>
      <c r="E37" s="655"/>
      <c r="F37" s="656"/>
      <c r="H37" s="657"/>
      <c r="I37" s="434"/>
      <c r="J37" s="434"/>
      <c r="K37" s="658"/>
      <c r="L37" s="434"/>
      <c r="M37" s="659"/>
      <c r="N37" s="659"/>
      <c r="O37" s="659"/>
      <c r="P37" s="659"/>
      <c r="Q37" s="659"/>
      <c r="R37" s="659"/>
      <c r="S37" s="659"/>
      <c r="T37" s="659"/>
      <c r="U37" s="659"/>
      <c r="V37" s="659"/>
      <c r="W37" s="659"/>
      <c r="X37" s="659"/>
      <c r="Y37" s="659"/>
      <c r="Z37" s="659"/>
      <c r="AA37" s="659"/>
    </row>
    <row r="38" spans="4:27" s="621" customFormat="1" x14ac:dyDescent="0.25">
      <c r="D38" s="654"/>
      <c r="E38" s="655"/>
      <c r="F38" s="656"/>
      <c r="H38" s="657"/>
      <c r="I38" s="434"/>
      <c r="J38" s="434"/>
      <c r="K38" s="658"/>
      <c r="L38" s="434"/>
      <c r="M38" s="659"/>
      <c r="N38" s="659"/>
      <c r="O38" s="659"/>
      <c r="P38" s="659"/>
      <c r="Q38" s="659"/>
      <c r="R38" s="659"/>
      <c r="S38" s="659"/>
      <c r="T38" s="659"/>
      <c r="U38" s="659"/>
      <c r="V38" s="659"/>
      <c r="W38" s="659"/>
      <c r="X38" s="659"/>
      <c r="Y38" s="659"/>
      <c r="Z38" s="659"/>
      <c r="AA38" s="659"/>
    </row>
    <row r="39" spans="4:27" s="621" customFormat="1" x14ac:dyDescent="0.25">
      <c r="D39" s="654"/>
      <c r="E39" s="655"/>
      <c r="F39" s="656"/>
      <c r="H39" s="657"/>
      <c r="I39" s="434"/>
      <c r="J39" s="434"/>
      <c r="K39" s="658"/>
      <c r="L39" s="434"/>
      <c r="M39" s="659"/>
      <c r="N39" s="659"/>
      <c r="O39" s="659"/>
      <c r="P39" s="659"/>
      <c r="Q39" s="659"/>
      <c r="R39" s="659"/>
      <c r="S39" s="659"/>
      <c r="T39" s="659"/>
      <c r="U39" s="659"/>
      <c r="V39" s="659"/>
      <c r="W39" s="659"/>
      <c r="X39" s="659"/>
      <c r="Y39" s="659"/>
      <c r="Z39" s="659"/>
      <c r="AA39" s="659"/>
    </row>
    <row r="40" spans="4:27" s="621" customFormat="1" x14ac:dyDescent="0.25">
      <c r="D40" s="654"/>
      <c r="E40" s="655"/>
      <c r="F40" s="656"/>
      <c r="H40" s="657"/>
      <c r="I40" s="434"/>
      <c r="J40" s="434"/>
      <c r="K40" s="658"/>
      <c r="L40" s="434"/>
      <c r="M40" s="659"/>
      <c r="N40" s="659"/>
      <c r="O40" s="659"/>
      <c r="P40" s="659"/>
      <c r="Q40" s="659"/>
      <c r="R40" s="659"/>
      <c r="S40" s="659"/>
      <c r="T40" s="659"/>
      <c r="U40" s="659"/>
      <c r="V40" s="659"/>
      <c r="W40" s="659"/>
      <c r="X40" s="659"/>
      <c r="Y40" s="659"/>
      <c r="Z40" s="659"/>
      <c r="AA40" s="659"/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>
    <tabColor theme="5" tint="0.59999389629810485"/>
  </sheetPr>
  <dimension ref="A1:BL168"/>
  <sheetViews>
    <sheetView topLeftCell="M1" zoomScale="75" zoomScaleNormal="75" workbookViewId="0">
      <selection activeCell="AB27" sqref="N26:AB27"/>
    </sheetView>
  </sheetViews>
  <sheetFormatPr defaultColWidth="9.28515625" defaultRowHeight="15" x14ac:dyDescent="0.25"/>
  <cols>
    <col min="1" max="1" width="9.28515625" style="35"/>
    <col min="2" max="2" width="21" style="35" customWidth="1"/>
    <col min="3" max="3" width="15.28515625" style="35" customWidth="1"/>
    <col min="4" max="4" width="36.28515625" style="35" customWidth="1"/>
    <col min="5" max="5" width="11.28515625" style="35" bestFit="1" customWidth="1"/>
    <col min="6" max="6" width="13.28515625" style="35" bestFit="1" customWidth="1"/>
    <col min="7" max="8" width="15.5703125" style="35" bestFit="1" customWidth="1"/>
    <col min="9" max="9" width="17.28515625" style="35" customWidth="1"/>
    <col min="10" max="10" width="20.7109375" style="35" customWidth="1"/>
    <col min="11" max="11" width="15.5703125" style="35" customWidth="1"/>
    <col min="12" max="12" width="14.42578125" style="35" bestFit="1" customWidth="1"/>
    <col min="13" max="13" width="19.28515625" style="35" bestFit="1" customWidth="1"/>
    <col min="14" max="28" width="11.42578125" style="35" bestFit="1" customWidth="1"/>
    <col min="29" max="29" width="12.7109375" style="35" customWidth="1"/>
    <col min="30" max="30" width="14.5703125" style="35" bestFit="1" customWidth="1"/>
    <col min="31" max="31" width="8.28515625" style="35" bestFit="1" customWidth="1"/>
    <col min="32" max="32" width="10.28515625" style="35" customWidth="1"/>
    <col min="33" max="16384" width="9.28515625" style="35"/>
  </cols>
  <sheetData>
    <row r="1" spans="1:64" x14ac:dyDescent="0.25">
      <c r="M1" s="120" t="s">
        <v>1111</v>
      </c>
    </row>
    <row r="2" spans="1:64" ht="18.600000000000001" customHeight="1" x14ac:dyDescent="0.25">
      <c r="A2" s="22"/>
      <c r="B2" s="148" t="s">
        <v>1180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25">
      <c r="A3" s="22"/>
      <c r="B3" s="34"/>
      <c r="C3" s="22"/>
      <c r="D3" s="22"/>
      <c r="I3" s="36"/>
      <c r="M3" s="17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D3" s="375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25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V4" s="701" t="s">
        <v>85</v>
      </c>
      <c r="AW4" s="701" t="s">
        <v>421</v>
      </c>
      <c r="AX4" s="701" t="str">
        <f t="shared" ref="AX4:BL4" si="2">M$2</f>
        <v>Zones</v>
      </c>
      <c r="AY4" s="701" t="str">
        <f t="shared" si="2"/>
        <v>Z01</v>
      </c>
      <c r="AZ4" s="701" t="str">
        <f t="shared" si="2"/>
        <v>Z02</v>
      </c>
      <c r="BA4" s="701" t="str">
        <f t="shared" si="2"/>
        <v>Z03</v>
      </c>
      <c r="BB4" s="701" t="str">
        <f t="shared" si="2"/>
        <v>Z04</v>
      </c>
      <c r="BC4" s="701" t="str">
        <f t="shared" si="2"/>
        <v>Z05</v>
      </c>
      <c r="BD4" s="701" t="str">
        <f t="shared" si="2"/>
        <v>Z06</v>
      </c>
      <c r="BE4" s="701" t="str">
        <f t="shared" si="2"/>
        <v>Z07</v>
      </c>
      <c r="BF4" s="701" t="str">
        <f t="shared" si="2"/>
        <v>Z08</v>
      </c>
      <c r="BG4" s="701" t="str">
        <f t="shared" si="2"/>
        <v>Z09</v>
      </c>
      <c r="BH4" s="701" t="str">
        <f t="shared" si="2"/>
        <v>Z10</v>
      </c>
      <c r="BI4" s="701" t="str">
        <f t="shared" si="2"/>
        <v>Z11</v>
      </c>
      <c r="BJ4" s="701" t="str">
        <f t="shared" si="2"/>
        <v>Z12</v>
      </c>
      <c r="BK4" s="701" t="str">
        <f t="shared" si="2"/>
        <v>Z13</v>
      </c>
      <c r="BL4" s="701" t="str">
        <f t="shared" si="2"/>
        <v>Z14</v>
      </c>
    </row>
    <row r="5" spans="1:64" x14ac:dyDescent="0.25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V5" s="398" t="s">
        <v>103</v>
      </c>
      <c r="AW5" s="710">
        <f>SUM(AX5:BL5)</f>
        <v>0</v>
      </c>
      <c r="AX5" s="709">
        <f t="shared" ref="AX5:BL5" si="3">SUM(AX6:AX24)</f>
        <v>0</v>
      </c>
      <c r="AY5" s="709">
        <f t="shared" si="3"/>
        <v>0</v>
      </c>
      <c r="AZ5" s="709">
        <f t="shared" si="3"/>
        <v>0</v>
      </c>
      <c r="BA5" s="709">
        <f t="shared" si="3"/>
        <v>0</v>
      </c>
      <c r="BB5" s="709">
        <f t="shared" si="3"/>
        <v>0</v>
      </c>
      <c r="BC5" s="709">
        <f t="shared" si="3"/>
        <v>0</v>
      </c>
      <c r="BD5" s="709">
        <f t="shared" si="3"/>
        <v>0</v>
      </c>
      <c r="BE5" s="709">
        <f t="shared" si="3"/>
        <v>0</v>
      </c>
      <c r="BF5" s="709">
        <f t="shared" si="3"/>
        <v>0</v>
      </c>
      <c r="BG5" s="709">
        <f t="shared" si="3"/>
        <v>0</v>
      </c>
      <c r="BH5" s="709">
        <f t="shared" si="3"/>
        <v>0</v>
      </c>
      <c r="BI5" s="709">
        <f t="shared" si="3"/>
        <v>0</v>
      </c>
      <c r="BJ5" s="709">
        <f t="shared" si="3"/>
        <v>0</v>
      </c>
      <c r="BK5" s="709">
        <f t="shared" si="3"/>
        <v>0</v>
      </c>
      <c r="BL5" s="709">
        <f t="shared" si="3"/>
        <v>0</v>
      </c>
    </row>
    <row r="6" spans="1:64" x14ac:dyDescent="0.25">
      <c r="I6" s="36"/>
      <c r="AV6" s="725" t="s">
        <v>988</v>
      </c>
      <c r="AW6" s="726">
        <f>SUM(AX6:BL6)</f>
        <v>0</v>
      </c>
      <c r="AX6" s="723">
        <f>AX32+AX99+AX139</f>
        <v>0</v>
      </c>
      <c r="AY6" s="723">
        <f t="shared" ref="AY6:BL6" si="4">AY32+AY99+AY139</f>
        <v>0</v>
      </c>
      <c r="AZ6" s="723">
        <f t="shared" si="4"/>
        <v>0</v>
      </c>
      <c r="BA6" s="723">
        <f t="shared" si="4"/>
        <v>0</v>
      </c>
      <c r="BB6" s="723">
        <f t="shared" si="4"/>
        <v>0</v>
      </c>
      <c r="BC6" s="723">
        <f t="shared" si="4"/>
        <v>0</v>
      </c>
      <c r="BD6" s="723">
        <f t="shared" si="4"/>
        <v>0</v>
      </c>
      <c r="BE6" s="723">
        <f t="shared" si="4"/>
        <v>0</v>
      </c>
      <c r="BF6" s="723">
        <f t="shared" si="4"/>
        <v>0</v>
      </c>
      <c r="BG6" s="723">
        <f t="shared" si="4"/>
        <v>0</v>
      </c>
      <c r="BH6" s="723">
        <f t="shared" si="4"/>
        <v>0</v>
      </c>
      <c r="BI6" s="723">
        <f t="shared" si="4"/>
        <v>0</v>
      </c>
      <c r="BJ6" s="723">
        <f t="shared" si="4"/>
        <v>0</v>
      </c>
      <c r="BK6" s="723">
        <f t="shared" si="4"/>
        <v>0</v>
      </c>
      <c r="BL6" s="723">
        <f t="shared" si="4"/>
        <v>0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V7" s="41"/>
      <c r="AV7" s="725" t="s">
        <v>990</v>
      </c>
      <c r="AW7" s="726">
        <f t="shared" ref="AW7:AW8" si="5">SUM(AX7:BL7)</f>
        <v>0</v>
      </c>
      <c r="AX7" s="723">
        <f>AX34+AX101+AX141</f>
        <v>0</v>
      </c>
      <c r="AY7" s="723">
        <f t="shared" ref="AY7:BL7" si="6">AY34+AY101+AY141</f>
        <v>0</v>
      </c>
      <c r="AZ7" s="723">
        <f t="shared" si="6"/>
        <v>0</v>
      </c>
      <c r="BA7" s="723">
        <f t="shared" si="6"/>
        <v>0</v>
      </c>
      <c r="BB7" s="723">
        <f t="shared" si="6"/>
        <v>0</v>
      </c>
      <c r="BC7" s="723">
        <f t="shared" si="6"/>
        <v>0</v>
      </c>
      <c r="BD7" s="723">
        <f t="shared" si="6"/>
        <v>0</v>
      </c>
      <c r="BE7" s="723">
        <f t="shared" si="6"/>
        <v>0</v>
      </c>
      <c r="BF7" s="723">
        <f t="shared" si="6"/>
        <v>0</v>
      </c>
      <c r="BG7" s="723">
        <f t="shared" si="6"/>
        <v>0</v>
      </c>
      <c r="BH7" s="723">
        <f t="shared" si="6"/>
        <v>0</v>
      </c>
      <c r="BI7" s="723">
        <f t="shared" si="6"/>
        <v>0</v>
      </c>
      <c r="BJ7" s="723">
        <f t="shared" si="6"/>
        <v>0</v>
      </c>
      <c r="BK7" s="723">
        <f t="shared" si="6"/>
        <v>0</v>
      </c>
      <c r="BL7" s="723">
        <f t="shared" si="6"/>
        <v>0</v>
      </c>
    </row>
    <row r="8" spans="1:64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7">N$2</f>
        <v>Z01</v>
      </c>
      <c r="O8" s="43" t="str">
        <f t="shared" si="7"/>
        <v>Z02</v>
      </c>
      <c r="P8" s="43" t="str">
        <f t="shared" si="7"/>
        <v>Z03</v>
      </c>
      <c r="Q8" s="43" t="str">
        <f t="shared" si="7"/>
        <v>Z04</v>
      </c>
      <c r="R8" s="43" t="str">
        <f t="shared" si="7"/>
        <v>Z05</v>
      </c>
      <c r="S8" s="43" t="str">
        <f t="shared" si="7"/>
        <v>Z06</v>
      </c>
      <c r="T8" s="43" t="str">
        <f t="shared" si="7"/>
        <v>Z07</v>
      </c>
      <c r="U8" s="43" t="str">
        <f t="shared" si="7"/>
        <v>Z08</v>
      </c>
      <c r="V8" s="43" t="str">
        <f t="shared" si="7"/>
        <v>Z09</v>
      </c>
      <c r="W8" s="43" t="str">
        <f t="shared" si="7"/>
        <v>Z10</v>
      </c>
      <c r="X8" s="43" t="str">
        <f t="shared" si="7"/>
        <v>Z11</v>
      </c>
      <c r="Y8" s="43" t="str">
        <f t="shared" si="7"/>
        <v>Z12</v>
      </c>
      <c r="Z8" s="43" t="str">
        <f t="shared" si="7"/>
        <v>Z13</v>
      </c>
      <c r="AA8" s="43" t="str">
        <f t="shared" si="7"/>
        <v>Z14</v>
      </c>
      <c r="AB8" s="43" t="str">
        <f t="shared" si="7"/>
        <v>Z15</v>
      </c>
      <c r="AD8" s="382" t="s">
        <v>421</v>
      </c>
      <c r="AV8" s="914" t="s">
        <v>996</v>
      </c>
      <c r="AW8" s="726">
        <f t="shared" si="5"/>
        <v>0</v>
      </c>
      <c r="AX8" s="915">
        <f>AX87+AX115+AX155</f>
        <v>0</v>
      </c>
      <c r="AY8" s="915">
        <f t="shared" ref="AY8:BL8" si="8">AY87+AY115+AY155</f>
        <v>0</v>
      </c>
      <c r="AZ8" s="915">
        <f t="shared" si="8"/>
        <v>0</v>
      </c>
      <c r="BA8" s="915">
        <f t="shared" si="8"/>
        <v>0</v>
      </c>
      <c r="BB8" s="915">
        <f t="shared" si="8"/>
        <v>0</v>
      </c>
      <c r="BC8" s="915">
        <f t="shared" si="8"/>
        <v>0</v>
      </c>
      <c r="BD8" s="915">
        <f t="shared" si="8"/>
        <v>0</v>
      </c>
      <c r="BE8" s="915">
        <f t="shared" si="8"/>
        <v>0</v>
      </c>
      <c r="BF8" s="915">
        <f t="shared" si="8"/>
        <v>0</v>
      </c>
      <c r="BG8" s="915">
        <f t="shared" si="8"/>
        <v>0</v>
      </c>
      <c r="BH8" s="915">
        <f t="shared" si="8"/>
        <v>0</v>
      </c>
      <c r="BI8" s="915">
        <f t="shared" si="8"/>
        <v>0</v>
      </c>
      <c r="BJ8" s="915">
        <f t="shared" si="8"/>
        <v>0</v>
      </c>
      <c r="BK8" s="915">
        <f t="shared" si="8"/>
        <v>0</v>
      </c>
      <c r="BL8" s="915">
        <f t="shared" si="8"/>
        <v>0</v>
      </c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V9" s="725" t="s">
        <v>994</v>
      </c>
      <c r="AW9" s="726">
        <f t="shared" ref="AW9:AW18" si="9">SUM(AX9:BL9)</f>
        <v>0</v>
      </c>
      <c r="AX9" s="723">
        <f t="shared" ref="AX9:BL9" si="10">AX71</f>
        <v>0</v>
      </c>
      <c r="AY9" s="723">
        <f t="shared" si="10"/>
        <v>0</v>
      </c>
      <c r="AZ9" s="723">
        <f t="shared" si="10"/>
        <v>0</v>
      </c>
      <c r="BA9" s="723">
        <f t="shared" si="10"/>
        <v>0</v>
      </c>
      <c r="BB9" s="723">
        <f t="shared" si="10"/>
        <v>0</v>
      </c>
      <c r="BC9" s="723">
        <f t="shared" si="10"/>
        <v>0</v>
      </c>
      <c r="BD9" s="723">
        <f t="shared" si="10"/>
        <v>0</v>
      </c>
      <c r="BE9" s="723">
        <f t="shared" si="10"/>
        <v>0</v>
      </c>
      <c r="BF9" s="723">
        <f t="shared" si="10"/>
        <v>0</v>
      </c>
      <c r="BG9" s="723">
        <f t="shared" si="10"/>
        <v>0</v>
      </c>
      <c r="BH9" s="723">
        <f t="shared" si="10"/>
        <v>0</v>
      </c>
      <c r="BI9" s="723">
        <f t="shared" si="10"/>
        <v>0</v>
      </c>
      <c r="BJ9" s="723">
        <f t="shared" si="10"/>
        <v>0</v>
      </c>
      <c r="BK9" s="723">
        <f t="shared" si="10"/>
        <v>0</v>
      </c>
      <c r="BL9" s="723">
        <f t="shared" si="10"/>
        <v>0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2" t="s">
        <v>406</v>
      </c>
      <c r="J10" s="173" t="str">
        <f>LOOKUP(I10,TRA_Comm!$C$29:$C$90,TRA_Comm!$D$29:$D$90)</f>
        <v>Road.Car.Long.City.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4">
        <f>SUM(N10:AB10)</f>
        <v>0</v>
      </c>
      <c r="AV10" s="725" t="s">
        <v>998</v>
      </c>
      <c r="AW10" s="726">
        <f t="shared" si="9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s="33" customFormat="1" x14ac:dyDescent="0.25">
      <c r="A11" s="44"/>
      <c r="B11" s="44"/>
      <c r="C11" s="44"/>
      <c r="D11" s="35"/>
      <c r="E11" s="35"/>
      <c r="F11" s="44"/>
      <c r="G11" s="44"/>
      <c r="H11" s="35"/>
      <c r="I11" s="172" t="s">
        <v>408</v>
      </c>
      <c r="J11" s="173" t="str">
        <f>LOOKUP(I11,TRA_Comm!$C$29:$C$90,TRA_Comm!$D$29:$D$90)</f>
        <v>Road.Car.Short.City.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4">
        <f>SUM(N11:AB11)</f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V11" s="727" t="s">
        <v>1000</v>
      </c>
      <c r="AW11" s="726">
        <f t="shared" si="9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s="33" customFormat="1" x14ac:dyDescent="0.25">
      <c r="A12" s="44"/>
      <c r="B12" s="45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E12" s="35"/>
      <c r="AF12" s="35"/>
      <c r="AG12" s="35"/>
      <c r="AH12" s="35"/>
      <c r="AI12" s="35"/>
      <c r="AJ12" s="35"/>
      <c r="AK12" s="35"/>
      <c r="AL12" s="35"/>
      <c r="AM12" s="35"/>
      <c r="AV12" s="728" t="s">
        <v>185</v>
      </c>
      <c r="AW12" s="726">
        <f t="shared" si="9"/>
        <v>0</v>
      </c>
      <c r="AX12" s="723">
        <f t="shared" ref="AX12:BL12" si="11">AX33+AX100+AX140</f>
        <v>0</v>
      </c>
      <c r="AY12" s="723">
        <f t="shared" si="11"/>
        <v>0</v>
      </c>
      <c r="AZ12" s="723">
        <f t="shared" si="11"/>
        <v>0</v>
      </c>
      <c r="BA12" s="723">
        <f t="shared" si="11"/>
        <v>0</v>
      </c>
      <c r="BB12" s="723">
        <f t="shared" si="11"/>
        <v>0</v>
      </c>
      <c r="BC12" s="723">
        <f t="shared" si="11"/>
        <v>0</v>
      </c>
      <c r="BD12" s="723">
        <f t="shared" si="11"/>
        <v>0</v>
      </c>
      <c r="BE12" s="723">
        <f t="shared" si="11"/>
        <v>0</v>
      </c>
      <c r="BF12" s="723">
        <f t="shared" si="11"/>
        <v>0</v>
      </c>
      <c r="BG12" s="723">
        <f t="shared" si="11"/>
        <v>0</v>
      </c>
      <c r="BH12" s="723">
        <f t="shared" si="11"/>
        <v>0</v>
      </c>
      <c r="BI12" s="723">
        <f t="shared" si="11"/>
        <v>0</v>
      </c>
      <c r="BJ12" s="723">
        <f t="shared" si="11"/>
        <v>0</v>
      </c>
      <c r="BK12" s="723">
        <f t="shared" si="11"/>
        <v>0</v>
      </c>
      <c r="BL12" s="723">
        <f t="shared" si="11"/>
        <v>0</v>
      </c>
    </row>
    <row r="13" spans="1:64" s="33" customFormat="1" x14ac:dyDescent="0.25">
      <c r="A13" s="44"/>
      <c r="B13" s="44"/>
      <c r="C13" s="44"/>
      <c r="D13" s="35"/>
      <c r="E13" s="35"/>
      <c r="F13" s="44"/>
      <c r="G13" s="44"/>
      <c r="H13" s="35"/>
      <c r="I13" s="35"/>
      <c r="J13" s="35"/>
      <c r="K13" s="35"/>
      <c r="L13" s="43" t="s">
        <v>461</v>
      </c>
      <c r="M13" s="43" t="s">
        <v>1119</v>
      </c>
      <c r="N13" s="43" t="str">
        <f t="shared" ref="N13:AB13" si="12">N$2</f>
        <v>Z01</v>
      </c>
      <c r="O13" s="43" t="str">
        <f t="shared" si="12"/>
        <v>Z02</v>
      </c>
      <c r="P13" s="43" t="str">
        <f t="shared" si="12"/>
        <v>Z03</v>
      </c>
      <c r="Q13" s="43" t="str">
        <f t="shared" si="12"/>
        <v>Z04</v>
      </c>
      <c r="R13" s="43" t="str">
        <f t="shared" si="12"/>
        <v>Z05</v>
      </c>
      <c r="S13" s="43" t="str">
        <f t="shared" si="12"/>
        <v>Z06</v>
      </c>
      <c r="T13" s="43" t="str">
        <f t="shared" si="12"/>
        <v>Z07</v>
      </c>
      <c r="U13" s="43" t="str">
        <f t="shared" si="12"/>
        <v>Z08</v>
      </c>
      <c r="V13" s="43" t="str">
        <f t="shared" si="12"/>
        <v>Z09</v>
      </c>
      <c r="W13" s="43" t="str">
        <f t="shared" si="12"/>
        <v>Z10</v>
      </c>
      <c r="X13" s="43" t="str">
        <f t="shared" si="12"/>
        <v>Z11</v>
      </c>
      <c r="Y13" s="43" t="str">
        <f t="shared" si="12"/>
        <v>Z12</v>
      </c>
      <c r="Z13" s="43" t="str">
        <f t="shared" si="12"/>
        <v>Z13</v>
      </c>
      <c r="AA13" s="43" t="str">
        <f t="shared" si="12"/>
        <v>Z14</v>
      </c>
      <c r="AB13" s="43" t="str">
        <f t="shared" si="12"/>
        <v>Z15</v>
      </c>
      <c r="AE13" s="35"/>
      <c r="AF13" s="37" t="s">
        <v>1142</v>
      </c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V13" s="728" t="s">
        <v>683</v>
      </c>
      <c r="AW13" s="726">
        <f t="shared" si="9"/>
        <v>0</v>
      </c>
      <c r="AX13" s="729">
        <f t="shared" ref="AX13:BL13" si="13">AX46</f>
        <v>0</v>
      </c>
      <c r="AY13" s="729">
        <f t="shared" si="13"/>
        <v>0</v>
      </c>
      <c r="AZ13" s="729">
        <f t="shared" si="13"/>
        <v>0</v>
      </c>
      <c r="BA13" s="729">
        <f t="shared" si="13"/>
        <v>0</v>
      </c>
      <c r="BB13" s="729">
        <f t="shared" si="13"/>
        <v>0</v>
      </c>
      <c r="BC13" s="729">
        <f t="shared" si="13"/>
        <v>0</v>
      </c>
      <c r="BD13" s="729">
        <f t="shared" si="13"/>
        <v>0</v>
      </c>
      <c r="BE13" s="729">
        <f t="shared" si="13"/>
        <v>0</v>
      </c>
      <c r="BF13" s="729">
        <f t="shared" si="13"/>
        <v>0</v>
      </c>
      <c r="BG13" s="729">
        <f t="shared" si="13"/>
        <v>0</v>
      </c>
      <c r="BH13" s="729">
        <f t="shared" si="13"/>
        <v>0</v>
      </c>
      <c r="BI13" s="729">
        <f t="shared" si="13"/>
        <v>0</v>
      </c>
      <c r="BJ13" s="729">
        <f t="shared" si="13"/>
        <v>0</v>
      </c>
      <c r="BK13" s="729">
        <f t="shared" si="13"/>
        <v>0</v>
      </c>
      <c r="BL13" s="729">
        <f t="shared" si="13"/>
        <v>0</v>
      </c>
    </row>
    <row r="14" spans="1:64" s="33" customFormat="1" x14ac:dyDescent="0.25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2" t="s">
        <v>1168</v>
      </c>
      <c r="M14" s="190" t="s">
        <v>1119</v>
      </c>
      <c r="N14" s="166">
        <f>ROUND(T_ACTFLO!E19,2)</f>
        <v>1.2</v>
      </c>
      <c r="O14" s="166">
        <f>ROUND(T_ACTFLO!F19,2)</f>
        <v>0</v>
      </c>
      <c r="P14" s="166">
        <f>ROUND(T_ACTFLO!G19,2)</f>
        <v>0</v>
      </c>
      <c r="Q14" s="166">
        <f>ROUND(T_ACTFLO!H19,2)</f>
        <v>0</v>
      </c>
      <c r="R14" s="166">
        <f>ROUND(T_ACTFLO!I19,2)</f>
        <v>0</v>
      </c>
      <c r="S14" s="166">
        <f>ROUND(T_ACTFLO!J19,2)</f>
        <v>0</v>
      </c>
      <c r="T14" s="166">
        <f>ROUND(T_ACTFLO!K19,2)</f>
        <v>0</v>
      </c>
      <c r="U14" s="166">
        <f>ROUND(T_ACTFLO!L19,2)</f>
        <v>0</v>
      </c>
      <c r="V14" s="166">
        <f>ROUND(T_ACTFLO!M19,2)</f>
        <v>0</v>
      </c>
      <c r="W14" s="166">
        <f>ROUND(T_ACTFLO!N19,2)</f>
        <v>0</v>
      </c>
      <c r="X14" s="166">
        <f>ROUND(T_ACTFLO!O19,2)</f>
        <v>0</v>
      </c>
      <c r="Y14" s="166">
        <f>ROUND(T_ACTFLO!P19,2)</f>
        <v>0</v>
      </c>
      <c r="Z14" s="166">
        <f>ROUND(T_ACTFLO!Q19,2)</f>
        <v>0</v>
      </c>
      <c r="AA14" s="166">
        <f>ROUND(T_ACTFLO!R19,2)</f>
        <v>0</v>
      </c>
      <c r="AB14" s="166">
        <f>ROUND(T_ACTFLO!S19,2)</f>
        <v>0</v>
      </c>
      <c r="AE14" s="35"/>
      <c r="AF14" s="38"/>
      <c r="AG14" s="38" t="s">
        <v>1161</v>
      </c>
      <c r="AH14" s="38" t="s">
        <v>1181</v>
      </c>
      <c r="AI14" s="38" t="s">
        <v>1143</v>
      </c>
      <c r="AJ14" s="38" t="s">
        <v>1007</v>
      </c>
      <c r="AK14" s="38" t="s">
        <v>1144</v>
      </c>
      <c r="AL14" s="38" t="s">
        <v>1145</v>
      </c>
      <c r="AM14" s="38" t="s">
        <v>1146</v>
      </c>
      <c r="AN14" s="38" t="s">
        <v>1182</v>
      </c>
      <c r="AO14" s="38" t="s">
        <v>115</v>
      </c>
      <c r="AP14" s="38" t="s">
        <v>1183</v>
      </c>
      <c r="AV14" s="728" t="s">
        <v>1010</v>
      </c>
      <c r="AW14" s="726">
        <f t="shared" si="9"/>
        <v>0</v>
      </c>
      <c r="AX14" s="723">
        <f t="shared" ref="AX14:BL14" si="14">AX58</f>
        <v>0</v>
      </c>
      <c r="AY14" s="723">
        <f t="shared" si="14"/>
        <v>0</v>
      </c>
      <c r="AZ14" s="723">
        <f t="shared" si="14"/>
        <v>0</v>
      </c>
      <c r="BA14" s="723">
        <f t="shared" si="14"/>
        <v>0</v>
      </c>
      <c r="BB14" s="723">
        <f t="shared" si="14"/>
        <v>0</v>
      </c>
      <c r="BC14" s="723">
        <f t="shared" si="14"/>
        <v>0</v>
      </c>
      <c r="BD14" s="723">
        <f t="shared" si="14"/>
        <v>0</v>
      </c>
      <c r="BE14" s="723">
        <f t="shared" si="14"/>
        <v>0</v>
      </c>
      <c r="BF14" s="723">
        <f t="shared" si="14"/>
        <v>0</v>
      </c>
      <c r="BG14" s="723">
        <f t="shared" si="14"/>
        <v>0</v>
      </c>
      <c r="BH14" s="723">
        <f t="shared" si="14"/>
        <v>0</v>
      </c>
      <c r="BI14" s="723">
        <f t="shared" si="14"/>
        <v>0</v>
      </c>
      <c r="BJ14" s="723">
        <f t="shared" si="14"/>
        <v>0</v>
      </c>
      <c r="BK14" s="723">
        <f t="shared" si="14"/>
        <v>0</v>
      </c>
      <c r="BL14" s="723">
        <f t="shared" si="14"/>
        <v>0</v>
      </c>
    </row>
    <row r="15" spans="1:64" s="33" customFormat="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E15" s="35"/>
      <c r="AF15" s="38">
        <v>2016</v>
      </c>
      <c r="AG15" s="67">
        <v>0.95</v>
      </c>
      <c r="AH15" s="67">
        <v>0.95</v>
      </c>
      <c r="AI15" s="67">
        <v>0.95</v>
      </c>
      <c r="AJ15" s="67">
        <v>0.95</v>
      </c>
      <c r="AK15" s="67">
        <v>0.95</v>
      </c>
      <c r="AL15" s="67">
        <v>0.95</v>
      </c>
      <c r="AM15" s="67">
        <v>0.95</v>
      </c>
      <c r="AN15" s="67">
        <v>0.95</v>
      </c>
      <c r="AO15" s="67">
        <v>0.95</v>
      </c>
      <c r="AP15" s="67">
        <v>0.95</v>
      </c>
      <c r="AV15" s="728" t="s">
        <v>1012</v>
      </c>
      <c r="AW15" s="726">
        <f t="shared" si="9"/>
        <v>0</v>
      </c>
      <c r="AX15" s="723">
        <f t="shared" ref="AX15:BL15" si="15">AX86+AX114+AX154</f>
        <v>0</v>
      </c>
      <c r="AY15" s="723">
        <f t="shared" si="15"/>
        <v>0</v>
      </c>
      <c r="AZ15" s="723">
        <f t="shared" si="15"/>
        <v>0</v>
      </c>
      <c r="BA15" s="723">
        <f t="shared" si="15"/>
        <v>0</v>
      </c>
      <c r="BB15" s="723">
        <f t="shared" si="15"/>
        <v>0</v>
      </c>
      <c r="BC15" s="723">
        <f t="shared" si="15"/>
        <v>0</v>
      </c>
      <c r="BD15" s="723">
        <f t="shared" si="15"/>
        <v>0</v>
      </c>
      <c r="BE15" s="723">
        <f t="shared" si="15"/>
        <v>0</v>
      </c>
      <c r="BF15" s="723">
        <f t="shared" si="15"/>
        <v>0</v>
      </c>
      <c r="BG15" s="723">
        <f t="shared" si="15"/>
        <v>0</v>
      </c>
      <c r="BH15" s="723">
        <f t="shared" si="15"/>
        <v>0</v>
      </c>
      <c r="BI15" s="723">
        <f t="shared" si="15"/>
        <v>0</v>
      </c>
      <c r="BJ15" s="723">
        <f t="shared" si="15"/>
        <v>0</v>
      </c>
      <c r="BK15" s="723">
        <f t="shared" si="15"/>
        <v>0</v>
      </c>
      <c r="BL15" s="723">
        <f t="shared" si="15"/>
        <v>0</v>
      </c>
    </row>
    <row r="16" spans="1:64" s="33" customFormat="1" x14ac:dyDescent="0.25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5">
        <f>STAT_TRA_Shares!C7</f>
        <v>0.9</v>
      </c>
      <c r="O16" s="514">
        <f t="shared" ref="O16:AB24" si="16">$N16</f>
        <v>0.9</v>
      </c>
      <c r="P16" s="514">
        <f t="shared" si="16"/>
        <v>0.9</v>
      </c>
      <c r="Q16" s="514">
        <f t="shared" si="16"/>
        <v>0.9</v>
      </c>
      <c r="R16" s="514">
        <f t="shared" si="16"/>
        <v>0.9</v>
      </c>
      <c r="S16" s="514">
        <f t="shared" si="16"/>
        <v>0.9</v>
      </c>
      <c r="T16" s="514">
        <f t="shared" si="16"/>
        <v>0.9</v>
      </c>
      <c r="U16" s="514">
        <f t="shared" si="16"/>
        <v>0.9</v>
      </c>
      <c r="V16" s="514">
        <f t="shared" si="16"/>
        <v>0.9</v>
      </c>
      <c r="W16" s="514">
        <f t="shared" si="16"/>
        <v>0.9</v>
      </c>
      <c r="X16" s="514">
        <f t="shared" si="16"/>
        <v>0.9</v>
      </c>
      <c r="Y16" s="514">
        <f t="shared" si="16"/>
        <v>0.9</v>
      </c>
      <c r="Z16" s="514">
        <f t="shared" si="16"/>
        <v>0.9</v>
      </c>
      <c r="AA16" s="514">
        <f t="shared" si="16"/>
        <v>0.9</v>
      </c>
      <c r="AB16" s="514">
        <f t="shared" si="16"/>
        <v>0.9</v>
      </c>
      <c r="AC16" s="44"/>
      <c r="AF16" s="38">
        <v>2020</v>
      </c>
      <c r="AG16" s="67">
        <v>0.5</v>
      </c>
      <c r="AH16" s="67">
        <v>0.5</v>
      </c>
      <c r="AI16" s="67">
        <v>0.5</v>
      </c>
      <c r="AJ16" s="67">
        <v>0.5</v>
      </c>
      <c r="AK16" s="67">
        <v>0.5</v>
      </c>
      <c r="AL16" s="67">
        <v>0.5</v>
      </c>
      <c r="AM16" s="67">
        <v>0.5</v>
      </c>
      <c r="AN16" s="67">
        <v>0.5</v>
      </c>
      <c r="AO16" s="67">
        <v>0.5</v>
      </c>
      <c r="AP16" s="67">
        <v>0.5</v>
      </c>
      <c r="AV16" s="728" t="s">
        <v>1014</v>
      </c>
      <c r="AW16" s="726">
        <f t="shared" si="9"/>
        <v>0</v>
      </c>
      <c r="AX16" s="723">
        <f t="shared" ref="AX16:BL16" si="17">AX59+AX73+AX85+AX113+AX153</f>
        <v>0</v>
      </c>
      <c r="AY16" s="723">
        <f t="shared" si="17"/>
        <v>0</v>
      </c>
      <c r="AZ16" s="723">
        <f t="shared" si="17"/>
        <v>0</v>
      </c>
      <c r="BA16" s="723">
        <f t="shared" si="17"/>
        <v>0</v>
      </c>
      <c r="BB16" s="723">
        <f t="shared" si="17"/>
        <v>0</v>
      </c>
      <c r="BC16" s="723">
        <f t="shared" si="17"/>
        <v>0</v>
      </c>
      <c r="BD16" s="723">
        <f t="shared" si="17"/>
        <v>0</v>
      </c>
      <c r="BE16" s="723">
        <f t="shared" si="17"/>
        <v>0</v>
      </c>
      <c r="BF16" s="723">
        <f t="shared" si="17"/>
        <v>0</v>
      </c>
      <c r="BG16" s="723">
        <f t="shared" si="17"/>
        <v>0</v>
      </c>
      <c r="BH16" s="723">
        <f t="shared" si="17"/>
        <v>0</v>
      </c>
      <c r="BI16" s="723">
        <f t="shared" si="17"/>
        <v>0</v>
      </c>
      <c r="BJ16" s="723">
        <f t="shared" si="17"/>
        <v>0</v>
      </c>
      <c r="BK16" s="723">
        <f t="shared" si="17"/>
        <v>0</v>
      </c>
      <c r="BL16" s="723">
        <f t="shared" si="17"/>
        <v>0</v>
      </c>
    </row>
    <row r="17" spans="1:64" s="33" customFormat="1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STAT_TRA_Shares!B8</f>
        <v>% of FAME in diesel</v>
      </c>
      <c r="N17" s="515">
        <f>STAT_TRA_Shares!C8</f>
        <v>7.0000000000000007E-2</v>
      </c>
      <c r="O17" s="514">
        <f t="shared" si="16"/>
        <v>7.0000000000000007E-2</v>
      </c>
      <c r="P17" s="514">
        <f t="shared" si="16"/>
        <v>7.0000000000000007E-2</v>
      </c>
      <c r="Q17" s="514">
        <f t="shared" si="16"/>
        <v>7.0000000000000007E-2</v>
      </c>
      <c r="R17" s="514">
        <f t="shared" si="16"/>
        <v>7.0000000000000007E-2</v>
      </c>
      <c r="S17" s="514">
        <f t="shared" si="16"/>
        <v>7.0000000000000007E-2</v>
      </c>
      <c r="T17" s="514">
        <f t="shared" si="16"/>
        <v>7.0000000000000007E-2</v>
      </c>
      <c r="U17" s="514">
        <f t="shared" si="16"/>
        <v>7.0000000000000007E-2</v>
      </c>
      <c r="V17" s="514">
        <f t="shared" si="16"/>
        <v>7.0000000000000007E-2</v>
      </c>
      <c r="W17" s="514">
        <f t="shared" si="16"/>
        <v>7.0000000000000007E-2</v>
      </c>
      <c r="X17" s="514">
        <f t="shared" si="16"/>
        <v>7.0000000000000007E-2</v>
      </c>
      <c r="Y17" s="514">
        <f t="shared" si="16"/>
        <v>7.0000000000000007E-2</v>
      </c>
      <c r="Z17" s="514">
        <f t="shared" si="16"/>
        <v>7.0000000000000007E-2</v>
      </c>
      <c r="AA17" s="514">
        <f t="shared" si="16"/>
        <v>7.0000000000000007E-2</v>
      </c>
      <c r="AB17" s="514">
        <f t="shared" si="16"/>
        <v>7.0000000000000007E-2</v>
      </c>
      <c r="AC17" s="44"/>
      <c r="AF17" s="38">
        <f>AF16+5</f>
        <v>2025</v>
      </c>
      <c r="AG17" s="67">
        <v>0.1</v>
      </c>
      <c r="AH17" s="67">
        <v>0.1</v>
      </c>
      <c r="AI17" s="67">
        <v>0.1</v>
      </c>
      <c r="AJ17" s="67">
        <v>0.1</v>
      </c>
      <c r="AK17" s="67">
        <v>0.1</v>
      </c>
      <c r="AL17" s="67">
        <v>0.1</v>
      </c>
      <c r="AM17" s="67">
        <v>0.1</v>
      </c>
      <c r="AN17" s="67">
        <v>0.1</v>
      </c>
      <c r="AO17" s="67">
        <v>0.1</v>
      </c>
      <c r="AP17" s="67">
        <v>0.1</v>
      </c>
      <c r="AV17" s="728" t="s">
        <v>1016</v>
      </c>
      <c r="AW17" s="726">
        <f t="shared" si="9"/>
        <v>0</v>
      </c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</row>
    <row r="18" spans="1:64" s="33" customFormat="1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16"/>
        <v>0.15</v>
      </c>
      <c r="P18" s="514">
        <f t="shared" si="16"/>
        <v>0.15</v>
      </c>
      <c r="Q18" s="514">
        <f t="shared" si="16"/>
        <v>0.15</v>
      </c>
      <c r="R18" s="514">
        <f t="shared" si="16"/>
        <v>0.15</v>
      </c>
      <c r="S18" s="514">
        <f t="shared" si="16"/>
        <v>0.15</v>
      </c>
      <c r="T18" s="514">
        <f t="shared" si="16"/>
        <v>0.15</v>
      </c>
      <c r="U18" s="514">
        <f t="shared" si="16"/>
        <v>0.15</v>
      </c>
      <c r="V18" s="514">
        <f t="shared" si="16"/>
        <v>0.15</v>
      </c>
      <c r="W18" s="514">
        <f t="shared" si="16"/>
        <v>0.15</v>
      </c>
      <c r="X18" s="514">
        <f t="shared" si="16"/>
        <v>0.15</v>
      </c>
      <c r="Y18" s="514">
        <f t="shared" si="16"/>
        <v>0.15</v>
      </c>
      <c r="Z18" s="514">
        <f t="shared" si="16"/>
        <v>0.15</v>
      </c>
      <c r="AA18" s="514">
        <f t="shared" si="16"/>
        <v>0.15</v>
      </c>
      <c r="AB18" s="514">
        <f t="shared" si="16"/>
        <v>0.15</v>
      </c>
      <c r="AC18" s="373"/>
      <c r="AF18" s="38">
        <f>AF17+5</f>
        <v>2030</v>
      </c>
      <c r="AG18" s="555">
        <v>0.01</v>
      </c>
      <c r="AH18" s="555">
        <v>0.01</v>
      </c>
      <c r="AI18" s="555">
        <v>0.01</v>
      </c>
      <c r="AJ18" s="555">
        <v>0.01</v>
      </c>
      <c r="AK18" s="555">
        <v>0.01</v>
      </c>
      <c r="AL18" s="555">
        <v>0.01</v>
      </c>
      <c r="AM18" s="555">
        <v>0.01</v>
      </c>
      <c r="AN18" s="555">
        <v>0.01</v>
      </c>
      <c r="AO18" s="555">
        <v>0.01</v>
      </c>
      <c r="AP18" s="555">
        <v>0.01</v>
      </c>
      <c r="AV18" s="728" t="s">
        <v>1023</v>
      </c>
      <c r="AW18" s="726">
        <f t="shared" si="9"/>
        <v>0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s="33" customFormat="1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16"/>
        <v>0.03</v>
      </c>
      <c r="P19" s="514">
        <f t="shared" si="16"/>
        <v>0.03</v>
      </c>
      <c r="Q19" s="514">
        <f t="shared" si="16"/>
        <v>0.03</v>
      </c>
      <c r="R19" s="514">
        <f t="shared" si="16"/>
        <v>0.03</v>
      </c>
      <c r="S19" s="514">
        <f t="shared" si="16"/>
        <v>0.03</v>
      </c>
      <c r="T19" s="514">
        <f t="shared" si="16"/>
        <v>0.03</v>
      </c>
      <c r="U19" s="514">
        <f t="shared" si="16"/>
        <v>0.03</v>
      </c>
      <c r="V19" s="514">
        <f t="shared" si="16"/>
        <v>0.03</v>
      </c>
      <c r="W19" s="514">
        <f t="shared" si="16"/>
        <v>0.03</v>
      </c>
      <c r="X19" s="514">
        <f t="shared" si="16"/>
        <v>0.03</v>
      </c>
      <c r="Y19" s="514">
        <f t="shared" si="16"/>
        <v>0.03</v>
      </c>
      <c r="Z19" s="514">
        <f t="shared" si="16"/>
        <v>0.03</v>
      </c>
      <c r="AA19" s="514">
        <f t="shared" si="16"/>
        <v>0.03</v>
      </c>
      <c r="AB19" s="514">
        <f t="shared" si="16"/>
        <v>0.03</v>
      </c>
      <c r="AC19" s="374"/>
      <c r="AF19" s="38">
        <f>AF18+10</f>
        <v>2040</v>
      </c>
      <c r="AG19" s="67">
        <v>0</v>
      </c>
      <c r="AH19" s="67">
        <v>0</v>
      </c>
      <c r="AI19" s="67">
        <v>0</v>
      </c>
      <c r="AJ19" s="67">
        <v>0</v>
      </c>
      <c r="AK19" s="67">
        <v>0</v>
      </c>
      <c r="AL19" s="67">
        <v>0</v>
      </c>
      <c r="AM19" s="67">
        <v>0</v>
      </c>
      <c r="AN19" s="67">
        <v>0</v>
      </c>
      <c r="AO19" s="67">
        <v>0</v>
      </c>
      <c r="AP19" s="67">
        <v>0</v>
      </c>
      <c r="AV19" s="725" t="s">
        <v>681</v>
      </c>
      <c r="AW19" s="726">
        <f t="shared" ref="AW19:AW24" si="18">SUM(AX19:BL19)</f>
        <v>0</v>
      </c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</row>
    <row r="20" spans="1:64" s="33" customFormat="1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STAT_TRA_Shares!B11</f>
        <v>% of low-blend biogasoline in gasoline</v>
      </c>
      <c r="N20" s="515">
        <f>STAT_TRA_Shares!C11</f>
        <v>0</v>
      </c>
      <c r="O20" s="514">
        <f t="shared" si="16"/>
        <v>0</v>
      </c>
      <c r="P20" s="514">
        <f t="shared" si="16"/>
        <v>0</v>
      </c>
      <c r="Q20" s="514">
        <f t="shared" si="16"/>
        <v>0</v>
      </c>
      <c r="R20" s="514">
        <f t="shared" si="16"/>
        <v>0</v>
      </c>
      <c r="S20" s="514">
        <f t="shared" si="16"/>
        <v>0</v>
      </c>
      <c r="T20" s="514">
        <f t="shared" si="16"/>
        <v>0</v>
      </c>
      <c r="U20" s="514">
        <f t="shared" si="16"/>
        <v>0</v>
      </c>
      <c r="V20" s="514">
        <f t="shared" si="16"/>
        <v>0</v>
      </c>
      <c r="W20" s="514">
        <f t="shared" si="16"/>
        <v>0</v>
      </c>
      <c r="X20" s="514">
        <f t="shared" si="16"/>
        <v>0</v>
      </c>
      <c r="Y20" s="514">
        <f t="shared" si="16"/>
        <v>0</v>
      </c>
      <c r="Z20" s="514">
        <f t="shared" si="16"/>
        <v>0</v>
      </c>
      <c r="AA20" s="514">
        <f t="shared" si="16"/>
        <v>0</v>
      </c>
      <c r="AB20" s="514">
        <f t="shared" si="16"/>
        <v>0</v>
      </c>
      <c r="AC20" s="374"/>
      <c r="AF20" s="38">
        <f>AF19+10</f>
        <v>2050</v>
      </c>
      <c r="AG20" s="67">
        <v>0</v>
      </c>
      <c r="AH20" s="67">
        <v>0</v>
      </c>
      <c r="AI20" s="67">
        <v>0</v>
      </c>
      <c r="AJ20" s="67">
        <v>0</v>
      </c>
      <c r="AK20" s="67">
        <v>0</v>
      </c>
      <c r="AL20" s="67">
        <v>0</v>
      </c>
      <c r="AM20" s="67">
        <v>0</v>
      </c>
      <c r="AN20" s="67">
        <v>0</v>
      </c>
      <c r="AO20" s="67">
        <v>0</v>
      </c>
      <c r="AP20" s="67">
        <v>0</v>
      </c>
      <c r="AV20" s="725" t="s">
        <v>1029</v>
      </c>
      <c r="AW20" s="726">
        <f t="shared" si="18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s="33" customFormat="1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STAT_TRA_Shares!B12</f>
        <v>% of bioethanol in E85 (TRAETH)</v>
      </c>
      <c r="N21" s="515">
        <f>STAT_TRA_Shares!C12</f>
        <v>0.85</v>
      </c>
      <c r="O21" s="514">
        <f t="shared" si="16"/>
        <v>0.85</v>
      </c>
      <c r="P21" s="514">
        <f t="shared" si="16"/>
        <v>0.85</v>
      </c>
      <c r="Q21" s="514">
        <f t="shared" si="16"/>
        <v>0.85</v>
      </c>
      <c r="R21" s="514">
        <f t="shared" si="16"/>
        <v>0.85</v>
      </c>
      <c r="S21" s="514">
        <f t="shared" si="16"/>
        <v>0.85</v>
      </c>
      <c r="T21" s="514">
        <f t="shared" si="16"/>
        <v>0.85</v>
      </c>
      <c r="U21" s="514">
        <f t="shared" si="16"/>
        <v>0.85</v>
      </c>
      <c r="V21" s="514">
        <f t="shared" si="16"/>
        <v>0.85</v>
      </c>
      <c r="W21" s="514">
        <f t="shared" si="16"/>
        <v>0.85</v>
      </c>
      <c r="X21" s="514">
        <f t="shared" si="16"/>
        <v>0.85</v>
      </c>
      <c r="Y21" s="514">
        <f t="shared" si="16"/>
        <v>0.85</v>
      </c>
      <c r="Z21" s="514">
        <f t="shared" si="16"/>
        <v>0.85</v>
      </c>
      <c r="AA21" s="514">
        <f t="shared" si="16"/>
        <v>0.85</v>
      </c>
      <c r="AB21" s="514">
        <f t="shared" si="16"/>
        <v>0.85</v>
      </c>
      <c r="AC21" s="374"/>
      <c r="AV21" s="725" t="s">
        <v>1031</v>
      </c>
      <c r="AW21" s="726">
        <f t="shared" si="18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s="33" customFormat="1" x14ac:dyDescent="0.25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STAT_TRA_Shares!B18</f>
        <v>% of CNG fuelled in flexfuel GAS vehicles (rest is GSL)</v>
      </c>
      <c r="N22" s="515">
        <f>STAT_TRA_Shares!C18</f>
        <v>0.8</v>
      </c>
      <c r="O22" s="514">
        <f t="shared" si="16"/>
        <v>0.8</v>
      </c>
      <c r="P22" s="514">
        <f t="shared" si="16"/>
        <v>0.8</v>
      </c>
      <c r="Q22" s="514">
        <f t="shared" si="16"/>
        <v>0.8</v>
      </c>
      <c r="R22" s="514">
        <f t="shared" si="16"/>
        <v>0.8</v>
      </c>
      <c r="S22" s="514">
        <f t="shared" si="16"/>
        <v>0.8</v>
      </c>
      <c r="T22" s="514">
        <f t="shared" si="16"/>
        <v>0.8</v>
      </c>
      <c r="U22" s="514">
        <f t="shared" si="16"/>
        <v>0.8</v>
      </c>
      <c r="V22" s="514">
        <f t="shared" si="16"/>
        <v>0.8</v>
      </c>
      <c r="W22" s="514">
        <f t="shared" si="16"/>
        <v>0.8</v>
      </c>
      <c r="X22" s="514">
        <f t="shared" si="16"/>
        <v>0.8</v>
      </c>
      <c r="Y22" s="514">
        <f t="shared" si="16"/>
        <v>0.8</v>
      </c>
      <c r="Z22" s="514">
        <f t="shared" si="16"/>
        <v>0.8</v>
      </c>
      <c r="AA22" s="514">
        <f t="shared" si="16"/>
        <v>0.8</v>
      </c>
      <c r="AB22" s="514">
        <f t="shared" si="16"/>
        <v>0.8</v>
      </c>
      <c r="AC22" s="44"/>
      <c r="AV22" s="725" t="s">
        <v>1033</v>
      </c>
      <c r="AW22" s="726">
        <f t="shared" si="18"/>
        <v>0</v>
      </c>
      <c r="AX22" s="723">
        <f t="shared" ref="AX22:BL22" si="19">AX127</f>
        <v>0</v>
      </c>
      <c r="AY22" s="723">
        <f t="shared" si="19"/>
        <v>0</v>
      </c>
      <c r="AZ22" s="723">
        <f t="shared" si="19"/>
        <v>0</v>
      </c>
      <c r="BA22" s="723">
        <f t="shared" si="19"/>
        <v>0</v>
      </c>
      <c r="BB22" s="723">
        <f t="shared" si="19"/>
        <v>0</v>
      </c>
      <c r="BC22" s="723">
        <f t="shared" si="19"/>
        <v>0</v>
      </c>
      <c r="BD22" s="723">
        <f t="shared" si="19"/>
        <v>0</v>
      </c>
      <c r="BE22" s="723">
        <f t="shared" si="19"/>
        <v>0</v>
      </c>
      <c r="BF22" s="723">
        <f t="shared" si="19"/>
        <v>0</v>
      </c>
      <c r="BG22" s="723">
        <f t="shared" si="19"/>
        <v>0</v>
      </c>
      <c r="BH22" s="723">
        <f t="shared" si="19"/>
        <v>0</v>
      </c>
      <c r="BI22" s="723">
        <f t="shared" si="19"/>
        <v>0</v>
      </c>
      <c r="BJ22" s="723">
        <f t="shared" si="19"/>
        <v>0</v>
      </c>
      <c r="BK22" s="723">
        <f t="shared" si="19"/>
        <v>0</v>
      </c>
      <c r="BL22" s="723">
        <f t="shared" si="19"/>
        <v>0</v>
      </c>
    </row>
    <row r="23" spans="1:64" s="33" customFormat="1" x14ac:dyDescent="0.25">
      <c r="A23" s="44"/>
      <c r="B23" s="44"/>
      <c r="C23" s="44"/>
      <c r="D23" s="44"/>
      <c r="E23" s="44"/>
      <c r="F23" s="44"/>
      <c r="G23" s="44"/>
      <c r="K23" s="172"/>
      <c r="L23" s="172"/>
      <c r="M23" s="174" t="str">
        <f>STAT_TRA_Shares!B19</f>
        <v>% of ethanol fuelled in E85 flexfuel vehicles (rest is GSL)</v>
      </c>
      <c r="N23" s="515">
        <f>STAT_TRA_Shares!C19</f>
        <v>0.75</v>
      </c>
      <c r="O23" s="514">
        <f t="shared" si="16"/>
        <v>0.75</v>
      </c>
      <c r="P23" s="514">
        <f t="shared" si="16"/>
        <v>0.75</v>
      </c>
      <c r="Q23" s="514">
        <f t="shared" si="16"/>
        <v>0.75</v>
      </c>
      <c r="R23" s="514">
        <f t="shared" si="16"/>
        <v>0.75</v>
      </c>
      <c r="S23" s="514">
        <f t="shared" si="16"/>
        <v>0.75</v>
      </c>
      <c r="T23" s="514">
        <f t="shared" si="16"/>
        <v>0.75</v>
      </c>
      <c r="U23" s="514">
        <f t="shared" si="16"/>
        <v>0.75</v>
      </c>
      <c r="V23" s="514">
        <f t="shared" si="16"/>
        <v>0.75</v>
      </c>
      <c r="W23" s="514">
        <f t="shared" si="16"/>
        <v>0.75</v>
      </c>
      <c r="X23" s="514">
        <f t="shared" si="16"/>
        <v>0.75</v>
      </c>
      <c r="Y23" s="514">
        <f t="shared" si="16"/>
        <v>0.75</v>
      </c>
      <c r="Z23" s="514">
        <f t="shared" si="16"/>
        <v>0.75</v>
      </c>
      <c r="AA23" s="514">
        <f t="shared" si="16"/>
        <v>0.75</v>
      </c>
      <c r="AB23" s="514">
        <f t="shared" si="16"/>
        <v>0.75</v>
      </c>
      <c r="AC23" s="373"/>
      <c r="AV23" s="725" t="s">
        <v>1035</v>
      </c>
      <c r="AW23" s="726">
        <f t="shared" si="18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s="33" customFormat="1" x14ac:dyDescent="0.25">
      <c r="A24" s="44"/>
      <c r="B24" s="44"/>
      <c r="C24" s="44"/>
      <c r="D24" s="44"/>
      <c r="E24" s="44"/>
      <c r="F24" s="44"/>
      <c r="G24" s="44"/>
      <c r="K24" s="172"/>
      <c r="L24" s="172"/>
      <c r="M24" s="174" t="str">
        <f>STAT_TRA_Shares!B20</f>
        <v>% of LPG fuelled in flexfuel LPG vehicles (rest is GSL)</v>
      </c>
      <c r="N24" s="515">
        <f>STAT_TRA_Shares!C20</f>
        <v>0.8</v>
      </c>
      <c r="O24" s="514">
        <f t="shared" si="16"/>
        <v>0.8</v>
      </c>
      <c r="P24" s="514">
        <f t="shared" si="16"/>
        <v>0.8</v>
      </c>
      <c r="Q24" s="514">
        <f t="shared" si="16"/>
        <v>0.8</v>
      </c>
      <c r="R24" s="514">
        <f t="shared" si="16"/>
        <v>0.8</v>
      </c>
      <c r="S24" s="514">
        <f t="shared" si="16"/>
        <v>0.8</v>
      </c>
      <c r="T24" s="514">
        <f t="shared" si="16"/>
        <v>0.8</v>
      </c>
      <c r="U24" s="514">
        <f t="shared" si="16"/>
        <v>0.8</v>
      </c>
      <c r="V24" s="514">
        <f t="shared" si="16"/>
        <v>0.8</v>
      </c>
      <c r="W24" s="514">
        <f t="shared" si="16"/>
        <v>0.8</v>
      </c>
      <c r="X24" s="514">
        <f t="shared" si="16"/>
        <v>0.8</v>
      </c>
      <c r="Y24" s="514">
        <f t="shared" si="16"/>
        <v>0.8</v>
      </c>
      <c r="Z24" s="514">
        <f t="shared" si="16"/>
        <v>0.8</v>
      </c>
      <c r="AA24" s="514">
        <f t="shared" si="16"/>
        <v>0.8</v>
      </c>
      <c r="AB24" s="514">
        <f t="shared" si="16"/>
        <v>0.8</v>
      </c>
      <c r="AC24" s="373"/>
      <c r="AV24" s="725" t="s">
        <v>1039</v>
      </c>
      <c r="AW24" s="726">
        <f t="shared" si="18"/>
        <v>0</v>
      </c>
      <c r="AX24" s="723">
        <f t="shared" ref="AX24:BL24" si="20">AX72</f>
        <v>0</v>
      </c>
      <c r="AY24" s="723">
        <f t="shared" si="20"/>
        <v>0</v>
      </c>
      <c r="AZ24" s="723">
        <f t="shared" si="20"/>
        <v>0</v>
      </c>
      <c r="BA24" s="723">
        <f t="shared" si="20"/>
        <v>0</v>
      </c>
      <c r="BB24" s="723">
        <f t="shared" si="20"/>
        <v>0</v>
      </c>
      <c r="BC24" s="723">
        <f t="shared" si="20"/>
        <v>0</v>
      </c>
      <c r="BD24" s="723">
        <f t="shared" si="20"/>
        <v>0</v>
      </c>
      <c r="BE24" s="723">
        <f t="shared" si="20"/>
        <v>0</v>
      </c>
      <c r="BF24" s="723">
        <f t="shared" si="20"/>
        <v>0</v>
      </c>
      <c r="BG24" s="723">
        <f t="shared" si="20"/>
        <v>0</v>
      </c>
      <c r="BH24" s="723">
        <f t="shared" si="20"/>
        <v>0</v>
      </c>
      <c r="BI24" s="723">
        <f t="shared" si="20"/>
        <v>0</v>
      </c>
      <c r="BJ24" s="723">
        <f t="shared" si="20"/>
        <v>0</v>
      </c>
      <c r="BK24" s="723">
        <f t="shared" si="20"/>
        <v>0</v>
      </c>
      <c r="BL24" s="723">
        <f t="shared" si="20"/>
        <v>0</v>
      </c>
    </row>
    <row r="25" spans="1:64" s="33" customFormat="1" x14ac:dyDescent="0.25">
      <c r="A25" s="44"/>
      <c r="B25" s="829"/>
      <c r="C25" s="44"/>
      <c r="D25" s="44"/>
      <c r="E25" s="44"/>
      <c r="F25" s="44"/>
      <c r="G25" s="44"/>
      <c r="M25" s="475"/>
      <c r="N25" s="373"/>
      <c r="O25" s="373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  <c r="AB25" s="373"/>
    </row>
    <row r="26" spans="1:64" s="33" customFormat="1" x14ac:dyDescent="0.25">
      <c r="A26" s="44"/>
      <c r="B26" s="474"/>
      <c r="C26" s="44"/>
      <c r="D26" s="44"/>
      <c r="E26" s="44"/>
      <c r="F26" s="44"/>
      <c r="G26" s="44"/>
      <c r="M26" s="473" t="s">
        <v>1152</v>
      </c>
      <c r="N26" s="482">
        <v>0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</row>
    <row r="27" spans="1:64" x14ac:dyDescent="0.25">
      <c r="B27" s="26" t="s">
        <v>1184</v>
      </c>
      <c r="C27" s="26"/>
      <c r="I27" s="36"/>
      <c r="M27" s="473" t="s">
        <v>1154</v>
      </c>
      <c r="N27" s="482">
        <v>0</v>
      </c>
      <c r="O27" s="482">
        <v>0</v>
      </c>
      <c r="P27" s="482">
        <v>0</v>
      </c>
      <c r="Q27" s="482">
        <v>0</v>
      </c>
      <c r="R27" s="482">
        <v>0</v>
      </c>
      <c r="S27" s="482">
        <v>0</v>
      </c>
      <c r="T27" s="482">
        <v>0</v>
      </c>
      <c r="U27" s="482">
        <v>0</v>
      </c>
      <c r="V27" s="482">
        <v>0</v>
      </c>
      <c r="W27" s="482">
        <v>0</v>
      </c>
      <c r="X27" s="482">
        <v>0</v>
      </c>
      <c r="Y27" s="482">
        <v>0</v>
      </c>
      <c r="Z27" s="482">
        <v>0</v>
      </c>
      <c r="AA27" s="482">
        <v>0</v>
      </c>
      <c r="AB27" s="482">
        <v>0</v>
      </c>
    </row>
    <row r="28" spans="1:64" x14ac:dyDescent="0.25">
      <c r="I28" s="36"/>
      <c r="M28" s="473"/>
      <c r="N28" s="473"/>
      <c r="O28" s="473"/>
      <c r="P28" s="473"/>
      <c r="Q28" s="473"/>
      <c r="R28" s="473"/>
      <c r="S28" s="473"/>
      <c r="T28" s="473"/>
      <c r="U28" s="473"/>
      <c r="V28" s="473"/>
      <c r="W28" s="473"/>
      <c r="X28" s="473"/>
      <c r="Y28" s="473"/>
      <c r="Z28" s="473"/>
      <c r="AA28" s="473"/>
      <c r="AB28" s="473"/>
    </row>
    <row r="29" spans="1:64" s="22" customFormat="1" x14ac:dyDescent="0.25">
      <c r="A29" s="35"/>
      <c r="B29" s="35"/>
      <c r="C29" s="50"/>
      <c r="D29" s="50"/>
      <c r="E29" s="35"/>
      <c r="F29" s="35"/>
      <c r="G29" s="35"/>
      <c r="H29" s="41"/>
      <c r="I29" s="51"/>
      <c r="J29" s="35"/>
      <c r="K29" s="35"/>
      <c r="L29" s="40" t="str">
        <f>IF(SUM(N10:AB11)&gt;0,"~FI_T","Not in use")</f>
        <v>Not in use</v>
      </c>
      <c r="M29" s="40"/>
      <c r="N29" s="35"/>
      <c r="O29" s="35"/>
      <c r="P29" s="35"/>
      <c r="Q29" s="35"/>
      <c r="R29" s="41"/>
      <c r="S29" s="35"/>
      <c r="T29" s="35"/>
      <c r="U29" s="35"/>
      <c r="V29" s="41"/>
      <c r="W29" s="35"/>
      <c r="X29" s="35"/>
      <c r="Y29" s="35"/>
      <c r="Z29" s="35"/>
      <c r="AA29" s="35"/>
      <c r="AB29" s="35"/>
      <c r="AC29" s="41"/>
      <c r="AD29" s="49" t="str">
        <f>CONCATENATE("TEST: ",B27)</f>
        <v>TEST: Base-year: Cars - City's OWN organisation</v>
      </c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V29" s="471" t="s">
        <v>1052</v>
      </c>
    </row>
    <row r="30" spans="1:64" s="22" customFormat="1" x14ac:dyDescent="0.25">
      <c r="A30" s="35"/>
      <c r="B30" s="52" t="s">
        <v>1053</v>
      </c>
      <c r="C30" s="26" t="s">
        <v>104</v>
      </c>
      <c r="D30" s="26" t="s">
        <v>1054</v>
      </c>
      <c r="E30" s="26" t="s">
        <v>673</v>
      </c>
      <c r="F30" s="26" t="s">
        <v>1155</v>
      </c>
      <c r="G30" s="26" t="s">
        <v>674</v>
      </c>
      <c r="H30" s="26" t="s">
        <v>1055</v>
      </c>
      <c r="I30" s="53" t="s">
        <v>1056</v>
      </c>
      <c r="J30" s="26" t="s">
        <v>982</v>
      </c>
      <c r="K30" s="42" t="s">
        <v>1123</v>
      </c>
      <c r="L30" s="26" t="s">
        <v>1057</v>
      </c>
      <c r="M30" s="26" t="s">
        <v>1058</v>
      </c>
      <c r="N30" s="26" t="str">
        <f t="shared" ref="N30:AB30" si="21">N$2</f>
        <v>Z01</v>
      </c>
      <c r="O30" s="26" t="str">
        <f t="shared" si="21"/>
        <v>Z02</v>
      </c>
      <c r="P30" s="26" t="str">
        <f t="shared" si="21"/>
        <v>Z03</v>
      </c>
      <c r="Q30" s="26" t="str">
        <f t="shared" si="21"/>
        <v>Z04</v>
      </c>
      <c r="R30" s="26" t="str">
        <f t="shared" si="21"/>
        <v>Z05</v>
      </c>
      <c r="S30" s="26" t="str">
        <f t="shared" si="21"/>
        <v>Z06</v>
      </c>
      <c r="T30" s="26" t="str">
        <f t="shared" si="21"/>
        <v>Z07</v>
      </c>
      <c r="U30" s="26" t="str">
        <f t="shared" si="21"/>
        <v>Z08</v>
      </c>
      <c r="V30" s="26" t="str">
        <f t="shared" si="21"/>
        <v>Z09</v>
      </c>
      <c r="W30" s="26" t="str">
        <f t="shared" si="21"/>
        <v>Z10</v>
      </c>
      <c r="X30" s="26" t="str">
        <f t="shared" si="21"/>
        <v>Z11</v>
      </c>
      <c r="Y30" s="26" t="str">
        <f t="shared" si="21"/>
        <v>Z12</v>
      </c>
      <c r="Z30" s="26" t="str">
        <f t="shared" si="21"/>
        <v>Z13</v>
      </c>
      <c r="AA30" s="26" t="str">
        <f t="shared" si="21"/>
        <v>Z14</v>
      </c>
      <c r="AB30" s="26" t="str">
        <f t="shared" si="21"/>
        <v>Z15</v>
      </c>
      <c r="AC30" s="48"/>
      <c r="AD30" s="43"/>
      <c r="AE30" s="43" t="s">
        <v>421</v>
      </c>
      <c r="AF30" s="382" t="str">
        <f t="shared" ref="AF30:AT30" si="22">N2</f>
        <v>Z01</v>
      </c>
      <c r="AG30" s="382" t="str">
        <f t="shared" si="22"/>
        <v>Z02</v>
      </c>
      <c r="AH30" s="382" t="str">
        <f t="shared" si="22"/>
        <v>Z03</v>
      </c>
      <c r="AI30" s="382" t="str">
        <f t="shared" si="22"/>
        <v>Z04</v>
      </c>
      <c r="AJ30" s="382" t="str">
        <f t="shared" si="22"/>
        <v>Z05</v>
      </c>
      <c r="AK30" s="382" t="str">
        <f t="shared" si="22"/>
        <v>Z06</v>
      </c>
      <c r="AL30" s="382" t="str">
        <f t="shared" si="22"/>
        <v>Z07</v>
      </c>
      <c r="AM30" s="382" t="str">
        <f t="shared" si="22"/>
        <v>Z08</v>
      </c>
      <c r="AN30" s="382" t="str">
        <f t="shared" si="22"/>
        <v>Z09</v>
      </c>
      <c r="AO30" s="382" t="str">
        <f t="shared" si="22"/>
        <v>Z10</v>
      </c>
      <c r="AP30" s="382" t="str">
        <f t="shared" si="22"/>
        <v>Z11</v>
      </c>
      <c r="AQ30" s="382" t="str">
        <f t="shared" si="22"/>
        <v>Z12</v>
      </c>
      <c r="AR30" s="382" t="str">
        <f t="shared" si="22"/>
        <v>Z13</v>
      </c>
      <c r="AS30" s="382" t="str">
        <f t="shared" si="22"/>
        <v>Z14</v>
      </c>
      <c r="AT30" s="382" t="str">
        <f t="shared" si="22"/>
        <v>Z15</v>
      </c>
      <c r="AV30" s="701" t="s">
        <v>85</v>
      </c>
      <c r="AW30" s="701" t="s">
        <v>421</v>
      </c>
      <c r="AX30" s="701" t="str">
        <f t="shared" ref="AX30:BL30" si="23">N$2</f>
        <v>Z01</v>
      </c>
      <c r="AY30" s="701" t="str">
        <f t="shared" si="23"/>
        <v>Z02</v>
      </c>
      <c r="AZ30" s="701" t="str">
        <f t="shared" si="23"/>
        <v>Z03</v>
      </c>
      <c r="BA30" s="701" t="str">
        <f t="shared" si="23"/>
        <v>Z04</v>
      </c>
      <c r="BB30" s="701" t="str">
        <f t="shared" si="23"/>
        <v>Z05</v>
      </c>
      <c r="BC30" s="701" t="str">
        <f t="shared" si="23"/>
        <v>Z06</v>
      </c>
      <c r="BD30" s="701" t="str">
        <f t="shared" si="23"/>
        <v>Z07</v>
      </c>
      <c r="BE30" s="701" t="str">
        <f t="shared" si="23"/>
        <v>Z08</v>
      </c>
      <c r="BF30" s="701" t="str">
        <f t="shared" si="23"/>
        <v>Z09</v>
      </c>
      <c r="BG30" s="701" t="str">
        <f t="shared" si="23"/>
        <v>Z10</v>
      </c>
      <c r="BH30" s="701" t="str">
        <f t="shared" si="23"/>
        <v>Z11</v>
      </c>
      <c r="BI30" s="701" t="str">
        <f t="shared" si="23"/>
        <v>Z12</v>
      </c>
      <c r="BJ30" s="701" t="str">
        <f t="shared" si="23"/>
        <v>Z13</v>
      </c>
      <c r="BK30" s="701" t="str">
        <f t="shared" si="23"/>
        <v>Z14</v>
      </c>
      <c r="BL30" s="701" t="str">
        <f t="shared" si="23"/>
        <v>Z15</v>
      </c>
    </row>
    <row r="31" spans="1:64" s="22" customFormat="1" x14ac:dyDescent="0.25">
      <c r="A31" s="35"/>
      <c r="B31" s="176"/>
      <c r="C31" s="176"/>
      <c r="D31" s="176" t="s">
        <v>1062</v>
      </c>
      <c r="E31" s="176"/>
      <c r="F31" s="176"/>
      <c r="G31" s="176"/>
      <c r="H31" s="176"/>
      <c r="I31" s="177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35"/>
      <c r="AD31" s="398" t="s">
        <v>1124</v>
      </c>
      <c r="AE31" s="625" t="str">
        <f>IF(AE32-SUM(AD10:AD11)&lt;0,"too small",IF(AE32-SUM(AD10:AD11)&gt;0.005,"Too big","ok"))</f>
        <v>ok</v>
      </c>
      <c r="AF31" s="623" t="str">
        <f>IF(AF32-SUM(N10:N11)&lt;0,"too small",IF(AF32-SUM(N10:N11)&gt;0.001,"Too big","ok"))</f>
        <v>ok</v>
      </c>
      <c r="AG31" s="623" t="str">
        <f t="shared" ref="AG31:AT31" si="24">IF(AG32-SUM(O10:O11)&lt;0,"too small",IF(AG32-SUM(O10:O11)&gt;0.001,"Too big","ok"))</f>
        <v>ok</v>
      </c>
      <c r="AH31" s="623" t="str">
        <f t="shared" si="24"/>
        <v>ok</v>
      </c>
      <c r="AI31" s="623" t="str">
        <f t="shared" si="24"/>
        <v>ok</v>
      </c>
      <c r="AJ31" s="623" t="str">
        <f t="shared" si="24"/>
        <v>ok</v>
      </c>
      <c r="AK31" s="623" t="str">
        <f t="shared" si="24"/>
        <v>ok</v>
      </c>
      <c r="AL31" s="623" t="str">
        <f t="shared" si="24"/>
        <v>ok</v>
      </c>
      <c r="AM31" s="623" t="str">
        <f t="shared" si="24"/>
        <v>ok</v>
      </c>
      <c r="AN31" s="623" t="str">
        <f>IF(AN32-SUM(V10:V11)&lt;0,"too small",IF(AN32-SUM(V10:V11)&gt;0.001,"Too big","ok"))</f>
        <v>ok</v>
      </c>
      <c r="AO31" s="623" t="str">
        <f t="shared" si="24"/>
        <v>ok</v>
      </c>
      <c r="AP31" s="623" t="str">
        <f t="shared" si="24"/>
        <v>ok</v>
      </c>
      <c r="AQ31" s="623" t="str">
        <f t="shared" si="24"/>
        <v>ok</v>
      </c>
      <c r="AR31" s="623" t="str">
        <f t="shared" si="24"/>
        <v>ok</v>
      </c>
      <c r="AS31" s="623" t="str">
        <f t="shared" si="24"/>
        <v>ok</v>
      </c>
      <c r="AT31" s="623" t="str">
        <f t="shared" si="24"/>
        <v>ok</v>
      </c>
      <c r="AV31" s="398" t="s">
        <v>103</v>
      </c>
      <c r="AW31" s="717">
        <f>SUM(AX31:BL31)</f>
        <v>0</v>
      </c>
      <c r="AX31" s="718">
        <f t="shared" ref="AX31:BL31" si="25">SUM(AX32:AX166)</f>
        <v>0</v>
      </c>
      <c r="AY31" s="718">
        <f t="shared" si="25"/>
        <v>0</v>
      </c>
      <c r="AZ31" s="718">
        <f t="shared" si="25"/>
        <v>0</v>
      </c>
      <c r="BA31" s="718">
        <f t="shared" si="25"/>
        <v>0</v>
      </c>
      <c r="BB31" s="718">
        <f t="shared" si="25"/>
        <v>0</v>
      </c>
      <c r="BC31" s="718">
        <f t="shared" si="25"/>
        <v>0</v>
      </c>
      <c r="BD31" s="718">
        <f t="shared" si="25"/>
        <v>0</v>
      </c>
      <c r="BE31" s="718">
        <f t="shared" si="25"/>
        <v>0</v>
      </c>
      <c r="BF31" s="718">
        <f t="shared" si="25"/>
        <v>0</v>
      </c>
      <c r="BG31" s="718">
        <f t="shared" si="25"/>
        <v>0</v>
      </c>
      <c r="BH31" s="718">
        <f t="shared" si="25"/>
        <v>0</v>
      </c>
      <c r="BI31" s="718">
        <f t="shared" si="25"/>
        <v>0</v>
      </c>
      <c r="BJ31" s="718">
        <f t="shared" si="25"/>
        <v>0</v>
      </c>
      <c r="BK31" s="718">
        <f t="shared" si="25"/>
        <v>0</v>
      </c>
      <c r="BL31" s="718">
        <f t="shared" si="25"/>
        <v>0</v>
      </c>
    </row>
    <row r="32" spans="1:64" x14ac:dyDescent="0.25">
      <c r="A32" s="22"/>
      <c r="B32" s="186" t="str">
        <f>C32</f>
        <v>TCARDST900</v>
      </c>
      <c r="C32" s="186" t="s">
        <v>529</v>
      </c>
      <c r="D32" s="187" t="s">
        <v>776</v>
      </c>
      <c r="E32" s="258" t="s">
        <v>988</v>
      </c>
      <c r="F32" s="170"/>
      <c r="G32" s="189"/>
      <c r="H32" s="170"/>
      <c r="I32" s="190"/>
      <c r="J32" s="191"/>
      <c r="K32" s="191"/>
      <c r="L32" s="211" t="s">
        <v>1107</v>
      </c>
      <c r="M32" s="191" t="s">
        <v>1156</v>
      </c>
      <c r="N32" s="567">
        <f>10^-3</f>
        <v>1E-3</v>
      </c>
      <c r="O32" s="366">
        <f t="shared" ref="O32:AB32" si="26">$N32</f>
        <v>1E-3</v>
      </c>
      <c r="P32" s="366">
        <f t="shared" si="26"/>
        <v>1E-3</v>
      </c>
      <c r="Q32" s="366">
        <f t="shared" si="26"/>
        <v>1E-3</v>
      </c>
      <c r="R32" s="366">
        <f t="shared" si="26"/>
        <v>1E-3</v>
      </c>
      <c r="S32" s="366">
        <f t="shared" si="26"/>
        <v>1E-3</v>
      </c>
      <c r="T32" s="366">
        <f t="shared" si="26"/>
        <v>1E-3</v>
      </c>
      <c r="U32" s="366">
        <f t="shared" si="26"/>
        <v>1E-3</v>
      </c>
      <c r="V32" s="366">
        <f t="shared" si="26"/>
        <v>1E-3</v>
      </c>
      <c r="W32" s="366">
        <f t="shared" si="26"/>
        <v>1E-3</v>
      </c>
      <c r="X32" s="366">
        <f t="shared" si="26"/>
        <v>1E-3</v>
      </c>
      <c r="Y32" s="366">
        <f t="shared" si="26"/>
        <v>1E-3</v>
      </c>
      <c r="Z32" s="366">
        <f t="shared" si="26"/>
        <v>1E-3</v>
      </c>
      <c r="AA32" s="366">
        <f t="shared" si="26"/>
        <v>1E-3</v>
      </c>
      <c r="AB32" s="366">
        <f t="shared" si="26"/>
        <v>1E-3</v>
      </c>
      <c r="AD32" s="56" t="str">
        <f>MID(D32,5,3)</f>
        <v>DST</v>
      </c>
      <c r="AE32" s="588">
        <f>SUM(AF32:AT32)</f>
        <v>0</v>
      </c>
      <c r="AF32" s="329">
        <f t="shared" ref="AF32:AT32" si="27">SUM(AF40:AF161)</f>
        <v>0</v>
      </c>
      <c r="AG32" s="329">
        <f t="shared" si="27"/>
        <v>0</v>
      </c>
      <c r="AH32" s="329">
        <f t="shared" si="27"/>
        <v>0</v>
      </c>
      <c r="AI32" s="329">
        <f t="shared" si="27"/>
        <v>0</v>
      </c>
      <c r="AJ32" s="329">
        <f t="shared" si="27"/>
        <v>0</v>
      </c>
      <c r="AK32" s="329">
        <f t="shared" si="27"/>
        <v>0</v>
      </c>
      <c r="AL32" s="329">
        <f t="shared" si="27"/>
        <v>0</v>
      </c>
      <c r="AM32" s="329">
        <f t="shared" si="27"/>
        <v>0</v>
      </c>
      <c r="AN32" s="329">
        <f t="shared" si="27"/>
        <v>0</v>
      </c>
      <c r="AO32" s="329">
        <f t="shared" si="27"/>
        <v>0</v>
      </c>
      <c r="AP32" s="329">
        <f t="shared" si="27"/>
        <v>0</v>
      </c>
      <c r="AQ32" s="329">
        <f t="shared" si="27"/>
        <v>0</v>
      </c>
      <c r="AR32" s="329">
        <f t="shared" si="27"/>
        <v>0</v>
      </c>
      <c r="AS32" s="329">
        <f t="shared" si="27"/>
        <v>0</v>
      </c>
      <c r="AT32" s="329">
        <f t="shared" si="27"/>
        <v>0</v>
      </c>
      <c r="AV32" s="700" t="str">
        <f>MID(E32,1,7)</f>
        <v>TRABDL</v>
      </c>
      <c r="AW32" s="568">
        <f>SUM(AX32:BL32)</f>
        <v>0</v>
      </c>
      <c r="AX32" s="568">
        <f>N$38*N$39*(1-N33-N34)/N$36/1000</f>
        <v>0</v>
      </c>
      <c r="AY32" s="568">
        <f t="shared" ref="AY32:BL32" si="28">O$38*O$39*(1-O33-O34)/O$36/1000</f>
        <v>0</v>
      </c>
      <c r="AZ32" s="568">
        <f t="shared" si="28"/>
        <v>0</v>
      </c>
      <c r="BA32" s="568">
        <f t="shared" si="28"/>
        <v>0</v>
      </c>
      <c r="BB32" s="568">
        <f t="shared" si="28"/>
        <v>0</v>
      </c>
      <c r="BC32" s="568">
        <f t="shared" si="28"/>
        <v>0</v>
      </c>
      <c r="BD32" s="568">
        <f t="shared" si="28"/>
        <v>0</v>
      </c>
      <c r="BE32" s="568">
        <f t="shared" si="28"/>
        <v>0</v>
      </c>
      <c r="BF32" s="568">
        <f t="shared" si="28"/>
        <v>0</v>
      </c>
      <c r="BG32" s="568">
        <f t="shared" si="28"/>
        <v>0</v>
      </c>
      <c r="BH32" s="568">
        <f t="shared" si="28"/>
        <v>0</v>
      </c>
      <c r="BI32" s="568">
        <f t="shared" si="28"/>
        <v>0</v>
      </c>
      <c r="BJ32" s="568">
        <f t="shared" si="28"/>
        <v>0</v>
      </c>
      <c r="BK32" s="568">
        <f t="shared" si="28"/>
        <v>0</v>
      </c>
      <c r="BL32" s="568">
        <f t="shared" si="28"/>
        <v>0</v>
      </c>
    </row>
    <row r="33" spans="1:64" x14ac:dyDescent="0.25">
      <c r="A33" s="22"/>
      <c r="B33" s="186" t="str">
        <f>B32</f>
        <v>TCARDST900</v>
      </c>
      <c r="C33" s="186"/>
      <c r="D33" s="187"/>
      <c r="E33" s="258" t="s">
        <v>185</v>
      </c>
      <c r="F33" s="170"/>
      <c r="G33" s="189"/>
      <c r="H33" s="170"/>
      <c r="I33" s="190"/>
      <c r="J33" s="191" t="s">
        <v>1157</v>
      </c>
      <c r="K33" s="191"/>
      <c r="L33" s="211" t="s">
        <v>101</v>
      </c>
      <c r="M33" s="191"/>
      <c r="N33" s="377">
        <f>1-N$17-N$18</f>
        <v>0.77999999999999992</v>
      </c>
      <c r="O33" s="377">
        <f t="shared" ref="O33:AB33" si="29">1-O$17-O$18</f>
        <v>0.77999999999999992</v>
      </c>
      <c r="P33" s="377">
        <f t="shared" si="29"/>
        <v>0.77999999999999992</v>
      </c>
      <c r="Q33" s="377">
        <f t="shared" si="29"/>
        <v>0.77999999999999992</v>
      </c>
      <c r="R33" s="377">
        <f t="shared" si="29"/>
        <v>0.77999999999999992</v>
      </c>
      <c r="S33" s="377">
        <f t="shared" si="29"/>
        <v>0.77999999999999992</v>
      </c>
      <c r="T33" s="377">
        <f t="shared" si="29"/>
        <v>0.77999999999999992</v>
      </c>
      <c r="U33" s="377">
        <f t="shared" si="29"/>
        <v>0.77999999999999992</v>
      </c>
      <c r="V33" s="377">
        <f t="shared" si="29"/>
        <v>0.77999999999999992</v>
      </c>
      <c r="W33" s="377">
        <f t="shared" si="29"/>
        <v>0.77999999999999992</v>
      </c>
      <c r="X33" s="377">
        <f t="shared" si="29"/>
        <v>0.77999999999999992</v>
      </c>
      <c r="Y33" s="377">
        <f t="shared" si="29"/>
        <v>0.77999999999999992</v>
      </c>
      <c r="Z33" s="377">
        <f t="shared" si="29"/>
        <v>0.77999999999999992</v>
      </c>
      <c r="AA33" s="377">
        <f t="shared" si="29"/>
        <v>0.77999999999999992</v>
      </c>
      <c r="AB33" s="377">
        <f t="shared" si="29"/>
        <v>0.77999999999999992</v>
      </c>
      <c r="AD33" s="399" t="str">
        <f>IF(COUNTIF($AG$14:$AP$14,AD32)=1,"ok","MISSING")</f>
        <v>ok</v>
      </c>
      <c r="AE33" s="405"/>
      <c r="AV33" s="700" t="str">
        <f>MID(E33,1,7)</f>
        <v>TRADST</v>
      </c>
      <c r="AW33" s="568">
        <f>SUM(AX33:BL33)</f>
        <v>0</v>
      </c>
      <c r="AX33" s="568">
        <f>N$38*N$39*N33/N$36/1000</f>
        <v>0</v>
      </c>
      <c r="AY33" s="568">
        <f t="shared" ref="AY33:BL34" si="30">O$38*O$39*O33/O$36/1000</f>
        <v>0</v>
      </c>
      <c r="AZ33" s="568">
        <f t="shared" si="30"/>
        <v>0</v>
      </c>
      <c r="BA33" s="568">
        <f t="shared" si="30"/>
        <v>0</v>
      </c>
      <c r="BB33" s="568">
        <f t="shared" si="30"/>
        <v>0</v>
      </c>
      <c r="BC33" s="568">
        <f t="shared" si="30"/>
        <v>0</v>
      </c>
      <c r="BD33" s="568">
        <f t="shared" si="30"/>
        <v>0</v>
      </c>
      <c r="BE33" s="568">
        <f t="shared" si="30"/>
        <v>0</v>
      </c>
      <c r="BF33" s="568">
        <f t="shared" si="30"/>
        <v>0</v>
      </c>
      <c r="BG33" s="568">
        <f t="shared" si="30"/>
        <v>0</v>
      </c>
      <c r="BH33" s="568">
        <f t="shared" si="30"/>
        <v>0</v>
      </c>
      <c r="BI33" s="568">
        <f t="shared" si="30"/>
        <v>0</v>
      </c>
      <c r="BJ33" s="568">
        <f t="shared" si="30"/>
        <v>0</v>
      </c>
      <c r="BK33" s="568">
        <f t="shared" si="30"/>
        <v>0</v>
      </c>
      <c r="BL33" s="568">
        <f t="shared" si="30"/>
        <v>0</v>
      </c>
    </row>
    <row r="34" spans="1:64" x14ac:dyDescent="0.25">
      <c r="A34" s="22"/>
      <c r="B34" s="186" t="str">
        <f t="shared" ref="B34:B45" si="31">B33</f>
        <v>TCARDST900</v>
      </c>
      <c r="C34" s="186"/>
      <c r="D34" s="187"/>
      <c r="E34" s="258" t="s">
        <v>990</v>
      </c>
      <c r="F34" s="170"/>
      <c r="G34" s="189"/>
      <c r="H34" s="170"/>
      <c r="I34" s="190"/>
      <c r="J34" s="191" t="s">
        <v>1157</v>
      </c>
      <c r="K34" s="191"/>
      <c r="L34" s="211" t="s">
        <v>101</v>
      </c>
      <c r="M34" s="191"/>
      <c r="N34" s="377">
        <f>N$17</f>
        <v>7.0000000000000007E-2</v>
      </c>
      <c r="O34" s="377">
        <f t="shared" ref="O34:AB34" si="32">O$17</f>
        <v>7.0000000000000007E-2</v>
      </c>
      <c r="P34" s="377">
        <f t="shared" si="32"/>
        <v>7.0000000000000007E-2</v>
      </c>
      <c r="Q34" s="377">
        <f t="shared" si="32"/>
        <v>7.0000000000000007E-2</v>
      </c>
      <c r="R34" s="377">
        <f t="shared" si="32"/>
        <v>7.0000000000000007E-2</v>
      </c>
      <c r="S34" s="377">
        <f t="shared" si="32"/>
        <v>7.0000000000000007E-2</v>
      </c>
      <c r="T34" s="377">
        <f t="shared" si="32"/>
        <v>7.0000000000000007E-2</v>
      </c>
      <c r="U34" s="377">
        <f t="shared" si="32"/>
        <v>7.0000000000000007E-2</v>
      </c>
      <c r="V34" s="377">
        <f t="shared" si="32"/>
        <v>7.0000000000000007E-2</v>
      </c>
      <c r="W34" s="377">
        <f t="shared" si="32"/>
        <v>7.0000000000000007E-2</v>
      </c>
      <c r="X34" s="377">
        <f t="shared" si="32"/>
        <v>7.0000000000000007E-2</v>
      </c>
      <c r="Y34" s="377">
        <f t="shared" si="32"/>
        <v>7.0000000000000007E-2</v>
      </c>
      <c r="Z34" s="377">
        <f t="shared" si="32"/>
        <v>7.0000000000000007E-2</v>
      </c>
      <c r="AA34" s="377">
        <f t="shared" si="32"/>
        <v>7.0000000000000007E-2</v>
      </c>
      <c r="AB34" s="377">
        <f t="shared" si="32"/>
        <v>7.0000000000000007E-2</v>
      </c>
      <c r="AD34" s="399"/>
      <c r="AE34" s="405"/>
      <c r="AV34" s="700" t="str">
        <f>MID(E34,1,7)</f>
        <v>TRABDLM</v>
      </c>
      <c r="AW34" s="568">
        <f>SUM(AX34:BL34)</f>
        <v>0</v>
      </c>
      <c r="AX34" s="568">
        <f>N$38*N$39*N34/N$36/1000</f>
        <v>0</v>
      </c>
      <c r="AY34" s="568">
        <f t="shared" si="30"/>
        <v>0</v>
      </c>
      <c r="AZ34" s="568">
        <f t="shared" si="30"/>
        <v>0</v>
      </c>
      <c r="BA34" s="568">
        <f t="shared" si="30"/>
        <v>0</v>
      </c>
      <c r="BB34" s="568">
        <f t="shared" si="30"/>
        <v>0</v>
      </c>
      <c r="BC34" s="568">
        <f t="shared" si="30"/>
        <v>0</v>
      </c>
      <c r="BD34" s="568">
        <f t="shared" si="30"/>
        <v>0</v>
      </c>
      <c r="BE34" s="568">
        <f t="shared" si="30"/>
        <v>0</v>
      </c>
      <c r="BF34" s="568">
        <f t="shared" si="30"/>
        <v>0</v>
      </c>
      <c r="BG34" s="568">
        <f t="shared" si="30"/>
        <v>0</v>
      </c>
      <c r="BH34" s="568">
        <f t="shared" si="30"/>
        <v>0</v>
      </c>
      <c r="BI34" s="568">
        <f t="shared" si="30"/>
        <v>0</v>
      </c>
      <c r="BJ34" s="568">
        <f t="shared" si="30"/>
        <v>0</v>
      </c>
      <c r="BK34" s="568">
        <f t="shared" si="30"/>
        <v>0</v>
      </c>
      <c r="BL34" s="568">
        <f t="shared" si="30"/>
        <v>0</v>
      </c>
    </row>
    <row r="35" spans="1:64" x14ac:dyDescent="0.25">
      <c r="B35" s="186" t="str">
        <f t="shared" si="31"/>
        <v>TCARDST900</v>
      </c>
      <c r="C35" s="186"/>
      <c r="D35" s="187"/>
      <c r="E35" s="186"/>
      <c r="F35" s="170"/>
      <c r="G35" s="188" t="s">
        <v>406</v>
      </c>
      <c r="H35" s="170"/>
      <c r="I35" s="190"/>
      <c r="J35" s="191"/>
      <c r="K35" s="191"/>
      <c r="L35" s="191" t="s">
        <v>1126</v>
      </c>
      <c r="M35" s="186" t="s">
        <v>678</v>
      </c>
      <c r="N35" s="377">
        <f>T_CEFF!H34</f>
        <v>0.42781000000000002</v>
      </c>
      <c r="O35" s="377">
        <f>T_CEFF!I34</f>
        <v>0.42781000000000002</v>
      </c>
      <c r="P35" s="377">
        <f>T_CEFF!J34</f>
        <v>0.42781000000000002</v>
      </c>
      <c r="Q35" s="377">
        <f>T_CEFF!K34</f>
        <v>0.42781000000000002</v>
      </c>
      <c r="R35" s="377">
        <f>T_CEFF!L34</f>
        <v>0.42781000000000002</v>
      </c>
      <c r="S35" s="377">
        <f>T_CEFF!M34</f>
        <v>0.42781000000000002</v>
      </c>
      <c r="T35" s="377">
        <f>T_CEFF!N34</f>
        <v>0.42781000000000002</v>
      </c>
      <c r="U35" s="377">
        <f>T_CEFF!O34</f>
        <v>0.42781000000000002</v>
      </c>
      <c r="V35" s="377">
        <f>T_CEFF!P34</f>
        <v>0.42781000000000002</v>
      </c>
      <c r="W35" s="377">
        <f>T_CEFF!Q34</f>
        <v>0.42781000000000002</v>
      </c>
      <c r="X35" s="377">
        <f>T_CEFF!R34</f>
        <v>0.42781000000000002</v>
      </c>
      <c r="Y35" s="377">
        <f>T_CEFF!S34</f>
        <v>0.42781000000000002</v>
      </c>
      <c r="Z35" s="377">
        <f>T_CEFF!T34</f>
        <v>0.42781000000000002</v>
      </c>
      <c r="AA35" s="377">
        <f>T_CEFF!U34</f>
        <v>0.42781000000000002</v>
      </c>
      <c r="AB35" s="377">
        <f>T_CEFF!V34</f>
        <v>0.42781000000000002</v>
      </c>
      <c r="AV35" s="700" t="str">
        <f t="shared" ref="AV35:AV99" si="33">MID(E35,1,7)</f>
        <v/>
      </c>
      <c r="AW35" s="705"/>
      <c r="AX35" s="568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x14ac:dyDescent="0.25">
      <c r="B36" s="186" t="str">
        <f t="shared" si="31"/>
        <v>TCARDST900</v>
      </c>
      <c r="C36" s="186"/>
      <c r="D36" s="187"/>
      <c r="E36" s="186"/>
      <c r="F36" s="170"/>
      <c r="G36" s="188" t="s">
        <v>408</v>
      </c>
      <c r="H36" s="170"/>
      <c r="I36" s="190"/>
      <c r="J36" s="191"/>
      <c r="K36" s="191"/>
      <c r="L36" s="191" t="s">
        <v>1126</v>
      </c>
      <c r="M36" s="186" t="s">
        <v>678</v>
      </c>
      <c r="N36" s="377">
        <f>T_CEFF!H35</f>
        <v>0.37558999999999998</v>
      </c>
      <c r="O36" s="377">
        <f>T_CEFF!I35</f>
        <v>0.37558999999999998</v>
      </c>
      <c r="P36" s="377">
        <f>T_CEFF!J35</f>
        <v>0.37558999999999998</v>
      </c>
      <c r="Q36" s="377">
        <f>T_CEFF!K35</f>
        <v>0.37558999999999998</v>
      </c>
      <c r="R36" s="377">
        <f>T_CEFF!L35</f>
        <v>0.37558999999999998</v>
      </c>
      <c r="S36" s="377">
        <f>T_CEFF!M35</f>
        <v>0.37558999999999998</v>
      </c>
      <c r="T36" s="377">
        <f>T_CEFF!N35</f>
        <v>0.37558999999999998</v>
      </c>
      <c r="U36" s="377">
        <f>T_CEFF!O35</f>
        <v>0.37558999999999998</v>
      </c>
      <c r="V36" s="377">
        <f>T_CEFF!P35</f>
        <v>0.37558999999999998</v>
      </c>
      <c r="W36" s="377">
        <f>T_CEFF!Q35</f>
        <v>0.37558999999999998</v>
      </c>
      <c r="X36" s="377">
        <f>T_CEFF!R35</f>
        <v>0.37558999999999998</v>
      </c>
      <c r="Y36" s="377">
        <f>T_CEFF!S35</f>
        <v>0.37558999999999998</v>
      </c>
      <c r="Z36" s="377">
        <f>T_CEFF!T35</f>
        <v>0.37558999999999998</v>
      </c>
      <c r="AA36" s="377">
        <f>T_CEFF!U35</f>
        <v>0.37558999999999998</v>
      </c>
      <c r="AB36" s="377">
        <f>T_CEFF!V35</f>
        <v>0.37558999999999998</v>
      </c>
      <c r="AV36" s="700" t="str">
        <f t="shared" si="33"/>
        <v/>
      </c>
      <c r="AX36" s="568"/>
    </row>
    <row r="37" spans="1:64" x14ac:dyDescent="0.25">
      <c r="B37" s="186" t="str">
        <f t="shared" si="31"/>
        <v>TCARDST900</v>
      </c>
      <c r="C37" s="186"/>
      <c r="D37" s="187"/>
      <c r="E37" s="186"/>
      <c r="F37" s="170"/>
      <c r="G37" s="189"/>
      <c r="H37" s="170"/>
      <c r="I37" s="190"/>
      <c r="J37" s="191"/>
      <c r="K37" s="191" t="s">
        <v>749</v>
      </c>
      <c r="L37" s="191" t="s">
        <v>1128</v>
      </c>
      <c r="M37" s="186" t="s">
        <v>1119</v>
      </c>
      <c r="N37" s="368">
        <f>N$14</f>
        <v>1.2</v>
      </c>
      <c r="O37" s="368">
        <f t="shared" ref="O37:AB37" si="34">O$14</f>
        <v>0</v>
      </c>
      <c r="P37" s="368">
        <f t="shared" si="34"/>
        <v>0</v>
      </c>
      <c r="Q37" s="368">
        <f t="shared" si="34"/>
        <v>0</v>
      </c>
      <c r="R37" s="368">
        <f t="shared" si="34"/>
        <v>0</v>
      </c>
      <c r="S37" s="368">
        <f t="shared" si="34"/>
        <v>0</v>
      </c>
      <c r="T37" s="368">
        <f t="shared" si="34"/>
        <v>0</v>
      </c>
      <c r="U37" s="368">
        <f t="shared" si="34"/>
        <v>0</v>
      </c>
      <c r="V37" s="368">
        <f t="shared" si="34"/>
        <v>0</v>
      </c>
      <c r="W37" s="368">
        <f t="shared" si="34"/>
        <v>0</v>
      </c>
      <c r="X37" s="368">
        <f t="shared" si="34"/>
        <v>0</v>
      </c>
      <c r="Y37" s="368">
        <f t="shared" si="34"/>
        <v>0</v>
      </c>
      <c r="Z37" s="368">
        <f t="shared" si="34"/>
        <v>0</v>
      </c>
      <c r="AA37" s="368">
        <f t="shared" si="34"/>
        <v>0</v>
      </c>
      <c r="AB37" s="368">
        <f t="shared" si="34"/>
        <v>0</v>
      </c>
      <c r="AV37" s="700" t="str">
        <f t="shared" si="33"/>
        <v/>
      </c>
    </row>
    <row r="38" spans="1:64" x14ac:dyDescent="0.25">
      <c r="B38" s="186" t="str">
        <f t="shared" si="31"/>
        <v>TCARDST900</v>
      </c>
      <c r="C38" s="186"/>
      <c r="D38" s="187"/>
      <c r="E38" s="186"/>
      <c r="F38" s="170"/>
      <c r="G38" s="189"/>
      <c r="H38" s="170"/>
      <c r="I38" s="190"/>
      <c r="J38" s="191"/>
      <c r="K38" s="191"/>
      <c r="L38" s="211" t="s">
        <v>1130</v>
      </c>
      <c r="M38" s="186" t="s">
        <v>1131</v>
      </c>
      <c r="N38" s="376">
        <f>LOOKUP($C$32, T_NCAP_AF!$C$20:$C$30, T_NCAP_AF!D$20:D$30)*(1+N26)</f>
        <v>0</v>
      </c>
      <c r="O38" s="376">
        <f>LOOKUP($C$32, T_NCAP_AF!$C$20:$C$30, T_NCAP_AF!E$20:E$30)*(1+O26)</f>
        <v>0</v>
      </c>
      <c r="P38" s="376">
        <f>LOOKUP($C$32, T_NCAP_AF!$C$20:$C$30, T_NCAP_AF!F$20:F$30)*(1+P26)</f>
        <v>0</v>
      </c>
      <c r="Q38" s="376">
        <f>LOOKUP($C$32, T_NCAP_AF!$C$20:$C$30, T_NCAP_AF!G$20:G$30)*(1+Q26)</f>
        <v>0</v>
      </c>
      <c r="R38" s="376">
        <f>LOOKUP($C$32, T_NCAP_AF!$C$20:$C$30, T_NCAP_AF!H$20:H$30)*(1+R26)</f>
        <v>0</v>
      </c>
      <c r="S38" s="376">
        <f>LOOKUP($C$32, T_NCAP_AF!$C$20:$C$30, T_NCAP_AF!I$20:I$30)*(1+S26)</f>
        <v>0</v>
      </c>
      <c r="T38" s="376">
        <f>LOOKUP($C$32, T_NCAP_AF!$C$20:$C$30, T_NCAP_AF!J$20:J$30)*(1+T26)</f>
        <v>0</v>
      </c>
      <c r="U38" s="376">
        <f>LOOKUP($C$32, T_NCAP_AF!$C$20:$C$30, T_NCAP_AF!K$20:K$30)*(1+U26)</f>
        <v>0</v>
      </c>
      <c r="V38" s="376">
        <f>LOOKUP($C$32, T_NCAP_AF!$C$20:$C$30, T_NCAP_AF!L$20:L$30)*(1+V26)</f>
        <v>0</v>
      </c>
      <c r="W38" s="376">
        <f>LOOKUP($C$32, T_NCAP_AF!$C$20:$C$30, T_NCAP_AF!M$20:M$30)*(1+W26)</f>
        <v>0</v>
      </c>
      <c r="X38" s="376">
        <f>LOOKUP($C$32, T_NCAP_AF!$C$20:$C$30, T_NCAP_AF!N$20:N$30)*(1+X26)</f>
        <v>0</v>
      </c>
      <c r="Y38" s="376">
        <f>LOOKUP($C$32, T_NCAP_AF!$C$20:$C$30, T_NCAP_AF!O$20:O$30)*(1+Y26)</f>
        <v>0</v>
      </c>
      <c r="Z38" s="376">
        <f>LOOKUP($C$32, T_NCAP_AF!$C$20:$C$30, T_NCAP_AF!P$20:P$30)*(1+Z26)</f>
        <v>0</v>
      </c>
      <c r="AA38" s="376">
        <f>LOOKUP($C$32, T_NCAP_AF!$C$20:$C$30, T_NCAP_AF!Q$20:Q$30)*(1+AA26)</f>
        <v>0</v>
      </c>
      <c r="AB38" s="376">
        <f>LOOKUP($C$32, T_NCAP_AF!$C$20:$C$30, T_NCAP_AF!R$20:R$30)*(1+AB26)</f>
        <v>0</v>
      </c>
      <c r="AV38" s="700" t="str">
        <f t="shared" si="33"/>
        <v/>
      </c>
    </row>
    <row r="39" spans="1:64" x14ac:dyDescent="0.25">
      <c r="B39" s="186" t="str">
        <f t="shared" si="31"/>
        <v>TCARDST900</v>
      </c>
      <c r="C39" s="186"/>
      <c r="D39" s="187"/>
      <c r="E39" s="186"/>
      <c r="F39" s="170"/>
      <c r="G39" s="189"/>
      <c r="H39" s="170"/>
      <c r="I39" s="190">
        <f>$M$3</f>
        <v>2019</v>
      </c>
      <c r="J39" s="191"/>
      <c r="K39" s="191"/>
      <c r="L39" s="211" t="s">
        <v>1065</v>
      </c>
      <c r="M39" s="186" t="s">
        <v>748</v>
      </c>
      <c r="N39" s="687">
        <f>LOOKUP($C$32, 'T_Stock_TOTAL_&amp;_City'!$C$10:$C$20, 'T_Stock_TOTAL_&amp;_City'!D$10:D$20)*(1+N27)</f>
        <v>0</v>
      </c>
      <c r="O39" s="687">
        <f>LOOKUP($C$32, 'T_Stock_TOTAL_&amp;_City'!$C$10:$C$20, 'T_Stock_TOTAL_&amp;_City'!E$10:E$20)*(1+O27)</f>
        <v>0</v>
      </c>
      <c r="P39" s="687">
        <f>LOOKUP($C$32, 'T_Stock_TOTAL_&amp;_City'!$C$10:$C$20, 'T_Stock_TOTAL_&amp;_City'!F$10:F$20)*(1+P27)</f>
        <v>0</v>
      </c>
      <c r="Q39" s="687">
        <f>LOOKUP($C$32, 'T_Stock_TOTAL_&amp;_City'!$C$10:$C$20, 'T_Stock_TOTAL_&amp;_City'!G$10:G$20)*(1+Q27)</f>
        <v>0</v>
      </c>
      <c r="R39" s="687">
        <f>LOOKUP($C$32, 'T_Stock_TOTAL_&amp;_City'!$C$10:$C$20, 'T_Stock_TOTAL_&amp;_City'!H$10:H$20)*(1+R27)</f>
        <v>0</v>
      </c>
      <c r="S39" s="687">
        <f>LOOKUP($C$32, 'T_Stock_TOTAL_&amp;_City'!$C$10:$C$20, 'T_Stock_TOTAL_&amp;_City'!I$10:I$20)*(1+S27)</f>
        <v>0</v>
      </c>
      <c r="T39" s="687">
        <f>LOOKUP($C$32, 'T_Stock_TOTAL_&amp;_City'!$C$10:$C$20, 'T_Stock_TOTAL_&amp;_City'!J$10:J$20)*(1+T27)</f>
        <v>0</v>
      </c>
      <c r="U39" s="687">
        <f>LOOKUP($C$32, 'T_Stock_TOTAL_&amp;_City'!$C$10:$C$20, 'T_Stock_TOTAL_&amp;_City'!K$10:K$20)*(1+U27)</f>
        <v>0</v>
      </c>
      <c r="V39" s="687">
        <f>LOOKUP($C$32, 'T_Stock_TOTAL_&amp;_City'!$C$10:$C$20, 'T_Stock_TOTAL_&amp;_City'!L$10:L$20)*(1+V27)</f>
        <v>0</v>
      </c>
      <c r="W39" s="687">
        <f>LOOKUP($C$32, 'T_Stock_TOTAL_&amp;_City'!$C$10:$C$20, 'T_Stock_TOTAL_&amp;_City'!M$10:M$20)*(1+W27)</f>
        <v>0</v>
      </c>
      <c r="X39" s="687">
        <f>LOOKUP($C$32, 'T_Stock_TOTAL_&amp;_City'!$C$10:$C$20, 'T_Stock_TOTAL_&amp;_City'!N$10:N$20)*(1+X27)</f>
        <v>0</v>
      </c>
      <c r="Y39" s="687">
        <f>LOOKUP($C$32, 'T_Stock_TOTAL_&amp;_City'!$C$10:$C$20, 'T_Stock_TOTAL_&amp;_City'!O$10:O$20)*(1+Y27)</f>
        <v>0</v>
      </c>
      <c r="Z39" s="687">
        <f>LOOKUP($C$32, 'T_Stock_TOTAL_&amp;_City'!$C$10:$C$20, 'T_Stock_TOTAL_&amp;_City'!P$10:P$20)*(1+Z27)</f>
        <v>0</v>
      </c>
      <c r="AA39" s="687">
        <f>LOOKUP($C$32, 'T_Stock_TOTAL_&amp;_City'!$C$10:$C$20, 'T_Stock_TOTAL_&amp;_City'!Q$10:Q$20)*(1+AA27)</f>
        <v>0</v>
      </c>
      <c r="AB39" s="687">
        <f>LOOKUP($C$32, 'T_Stock_TOTAL_&amp;_City'!$C$10:$C$20, 'T_Stock_TOTAL_&amp;_City'!R$10:R$20)*(1+AB27)</f>
        <v>0</v>
      </c>
      <c r="AC39" s="61"/>
      <c r="AV39" s="700" t="str">
        <f t="shared" si="33"/>
        <v/>
      </c>
    </row>
    <row r="40" spans="1:64" x14ac:dyDescent="0.25">
      <c r="B40" s="186" t="str">
        <f t="shared" si="31"/>
        <v>TCARDST900</v>
      </c>
      <c r="C40" s="186"/>
      <c r="D40" s="187"/>
      <c r="E40" s="186"/>
      <c r="F40" s="170"/>
      <c r="G40" s="189"/>
      <c r="H40" s="170"/>
      <c r="I40" s="190">
        <f>AF$15</f>
        <v>2016</v>
      </c>
      <c r="J40" s="191"/>
      <c r="K40" s="191"/>
      <c r="L40" s="211" t="s">
        <v>1065</v>
      </c>
      <c r="M40" s="186" t="s">
        <v>748</v>
      </c>
      <c r="N40" s="687">
        <f t="shared" ref="N40:AB40" si="35">N$39*LOOKUP($AD$32,$AG$14:$AP$14,$AG$15:$AP$15)</f>
        <v>0</v>
      </c>
      <c r="O40" s="687">
        <f t="shared" si="35"/>
        <v>0</v>
      </c>
      <c r="P40" s="687">
        <f t="shared" si="35"/>
        <v>0</v>
      </c>
      <c r="Q40" s="687">
        <f t="shared" si="35"/>
        <v>0</v>
      </c>
      <c r="R40" s="687">
        <f t="shared" si="35"/>
        <v>0</v>
      </c>
      <c r="S40" s="687">
        <f t="shared" si="35"/>
        <v>0</v>
      </c>
      <c r="T40" s="687">
        <f t="shared" si="35"/>
        <v>0</v>
      </c>
      <c r="U40" s="687">
        <f t="shared" si="35"/>
        <v>0</v>
      </c>
      <c r="V40" s="687">
        <f t="shared" si="35"/>
        <v>0</v>
      </c>
      <c r="W40" s="687">
        <f t="shared" si="35"/>
        <v>0</v>
      </c>
      <c r="X40" s="687">
        <f t="shared" si="35"/>
        <v>0</v>
      </c>
      <c r="Y40" s="687">
        <f t="shared" si="35"/>
        <v>0</v>
      </c>
      <c r="Z40" s="687">
        <f t="shared" si="35"/>
        <v>0</v>
      </c>
      <c r="AA40" s="687">
        <f t="shared" si="35"/>
        <v>0</v>
      </c>
      <c r="AB40" s="687">
        <f t="shared" si="35"/>
        <v>0</v>
      </c>
      <c r="AE40" s="569">
        <f>SUM(AF40:AT40)</f>
        <v>0</v>
      </c>
      <c r="AF40" s="568">
        <f>N37*N38*N39/1000</f>
        <v>0</v>
      </c>
      <c r="AG40" s="568">
        <f t="shared" ref="AG40:AT40" si="36">O37*O38*O39/1000</f>
        <v>0</v>
      </c>
      <c r="AH40" s="568">
        <f t="shared" si="36"/>
        <v>0</v>
      </c>
      <c r="AI40" s="568">
        <f t="shared" si="36"/>
        <v>0</v>
      </c>
      <c r="AJ40" s="568">
        <f t="shared" si="36"/>
        <v>0</v>
      </c>
      <c r="AK40" s="568">
        <f t="shared" si="36"/>
        <v>0</v>
      </c>
      <c r="AL40" s="568">
        <f t="shared" si="36"/>
        <v>0</v>
      </c>
      <c r="AM40" s="568">
        <f t="shared" si="36"/>
        <v>0</v>
      </c>
      <c r="AN40" s="568">
        <f t="shared" si="36"/>
        <v>0</v>
      </c>
      <c r="AO40" s="568">
        <f t="shared" si="36"/>
        <v>0</v>
      </c>
      <c r="AP40" s="568">
        <f t="shared" si="36"/>
        <v>0</v>
      </c>
      <c r="AQ40" s="568">
        <f t="shared" si="36"/>
        <v>0</v>
      </c>
      <c r="AR40" s="568">
        <f t="shared" si="36"/>
        <v>0</v>
      </c>
      <c r="AS40" s="568">
        <f t="shared" si="36"/>
        <v>0</v>
      </c>
      <c r="AT40" s="568">
        <f t="shared" si="36"/>
        <v>0</v>
      </c>
      <c r="AV40" s="700" t="str">
        <f t="shared" si="33"/>
        <v/>
      </c>
    </row>
    <row r="41" spans="1:64" x14ac:dyDescent="0.25">
      <c r="B41" s="186" t="str">
        <f t="shared" si="31"/>
        <v>TCARDST900</v>
      </c>
      <c r="C41" s="186"/>
      <c r="D41" s="187"/>
      <c r="E41" s="186"/>
      <c r="F41" s="170"/>
      <c r="G41" s="189"/>
      <c r="H41" s="170"/>
      <c r="I41" s="190">
        <f>AF$16</f>
        <v>2020</v>
      </c>
      <c r="J41" s="191"/>
      <c r="K41" s="191"/>
      <c r="L41" s="211" t="s">
        <v>1065</v>
      </c>
      <c r="M41" s="186" t="s">
        <v>748</v>
      </c>
      <c r="N41" s="687">
        <f t="shared" ref="N41:AB41" si="37">N$39*LOOKUP($AD$32,$AG$14:$AP$14,$AG$16:$AP$16)</f>
        <v>0</v>
      </c>
      <c r="O41" s="687">
        <f t="shared" si="37"/>
        <v>0</v>
      </c>
      <c r="P41" s="687">
        <f t="shared" si="37"/>
        <v>0</v>
      </c>
      <c r="Q41" s="687">
        <f t="shared" si="37"/>
        <v>0</v>
      </c>
      <c r="R41" s="687">
        <f t="shared" si="37"/>
        <v>0</v>
      </c>
      <c r="S41" s="687">
        <f t="shared" si="37"/>
        <v>0</v>
      </c>
      <c r="T41" s="687">
        <f t="shared" si="37"/>
        <v>0</v>
      </c>
      <c r="U41" s="687">
        <f t="shared" si="37"/>
        <v>0</v>
      </c>
      <c r="V41" s="687">
        <f t="shared" si="37"/>
        <v>0</v>
      </c>
      <c r="W41" s="687">
        <f t="shared" si="37"/>
        <v>0</v>
      </c>
      <c r="X41" s="687">
        <f t="shared" si="37"/>
        <v>0</v>
      </c>
      <c r="Y41" s="687">
        <f t="shared" si="37"/>
        <v>0</v>
      </c>
      <c r="Z41" s="687">
        <f t="shared" si="37"/>
        <v>0</v>
      </c>
      <c r="AA41" s="687">
        <f t="shared" si="37"/>
        <v>0</v>
      </c>
      <c r="AB41" s="687">
        <f t="shared" si="37"/>
        <v>0</v>
      </c>
      <c r="AV41" s="700" t="str">
        <f t="shared" si="33"/>
        <v/>
      </c>
    </row>
    <row r="42" spans="1:64" x14ac:dyDescent="0.25">
      <c r="B42" s="186" t="str">
        <f t="shared" si="31"/>
        <v>TCARDST900</v>
      </c>
      <c r="C42" s="186"/>
      <c r="D42" s="187"/>
      <c r="E42" s="186"/>
      <c r="F42" s="170"/>
      <c r="G42" s="189"/>
      <c r="H42" s="170"/>
      <c r="I42" s="190">
        <v>2025</v>
      </c>
      <c r="J42" s="191"/>
      <c r="K42" s="191"/>
      <c r="L42" s="211" t="s">
        <v>1065</v>
      </c>
      <c r="M42" s="186" t="s">
        <v>748</v>
      </c>
      <c r="N42" s="687">
        <f t="shared" ref="N42:AB42" si="38">N$39*LOOKUP($AD$32,$AG$14:$AP$14,$AG$17:$AP$17)</f>
        <v>0</v>
      </c>
      <c r="O42" s="687">
        <f t="shared" si="38"/>
        <v>0</v>
      </c>
      <c r="P42" s="687">
        <f t="shared" si="38"/>
        <v>0</v>
      </c>
      <c r="Q42" s="687">
        <f t="shared" si="38"/>
        <v>0</v>
      </c>
      <c r="R42" s="687">
        <f t="shared" si="38"/>
        <v>0</v>
      </c>
      <c r="S42" s="687">
        <f t="shared" si="38"/>
        <v>0</v>
      </c>
      <c r="T42" s="687">
        <f t="shared" si="38"/>
        <v>0</v>
      </c>
      <c r="U42" s="687">
        <f t="shared" si="38"/>
        <v>0</v>
      </c>
      <c r="V42" s="687">
        <f t="shared" si="38"/>
        <v>0</v>
      </c>
      <c r="W42" s="687">
        <f t="shared" si="38"/>
        <v>0</v>
      </c>
      <c r="X42" s="687">
        <f t="shared" si="38"/>
        <v>0</v>
      </c>
      <c r="Y42" s="687">
        <f t="shared" si="38"/>
        <v>0</v>
      </c>
      <c r="Z42" s="687">
        <f t="shared" si="38"/>
        <v>0</v>
      </c>
      <c r="AA42" s="687">
        <f t="shared" si="38"/>
        <v>0</v>
      </c>
      <c r="AB42" s="687">
        <f t="shared" si="38"/>
        <v>0</v>
      </c>
      <c r="AV42" s="700" t="str">
        <f t="shared" si="33"/>
        <v/>
      </c>
    </row>
    <row r="43" spans="1:64" x14ac:dyDescent="0.25">
      <c r="B43" s="186" t="str">
        <f t="shared" si="31"/>
        <v>TCARDST900</v>
      </c>
      <c r="C43" s="186"/>
      <c r="D43" s="187"/>
      <c r="E43" s="186"/>
      <c r="F43" s="170"/>
      <c r="G43" s="189"/>
      <c r="H43" s="170"/>
      <c r="I43" s="190">
        <f>AF$18</f>
        <v>2030</v>
      </c>
      <c r="J43" s="191"/>
      <c r="K43" s="191"/>
      <c r="L43" s="211" t="s">
        <v>1065</v>
      </c>
      <c r="M43" s="186" t="s">
        <v>748</v>
      </c>
      <c r="N43" s="687">
        <f t="shared" ref="N43:AB43" si="39">N$39*LOOKUP($AD$32,$AG$14:$AP$14,$AG$18:$AP$18)</f>
        <v>0</v>
      </c>
      <c r="O43" s="687">
        <f t="shared" si="39"/>
        <v>0</v>
      </c>
      <c r="P43" s="687">
        <f t="shared" si="39"/>
        <v>0</v>
      </c>
      <c r="Q43" s="687">
        <f t="shared" si="39"/>
        <v>0</v>
      </c>
      <c r="R43" s="687">
        <f t="shared" si="39"/>
        <v>0</v>
      </c>
      <c r="S43" s="687">
        <f t="shared" si="39"/>
        <v>0</v>
      </c>
      <c r="T43" s="687">
        <f t="shared" si="39"/>
        <v>0</v>
      </c>
      <c r="U43" s="687">
        <f t="shared" si="39"/>
        <v>0</v>
      </c>
      <c r="V43" s="687">
        <f t="shared" si="39"/>
        <v>0</v>
      </c>
      <c r="W43" s="687">
        <f t="shared" si="39"/>
        <v>0</v>
      </c>
      <c r="X43" s="687">
        <f t="shared" si="39"/>
        <v>0</v>
      </c>
      <c r="Y43" s="687">
        <f t="shared" si="39"/>
        <v>0</v>
      </c>
      <c r="Z43" s="687">
        <f t="shared" si="39"/>
        <v>0</v>
      </c>
      <c r="AA43" s="687">
        <f t="shared" si="39"/>
        <v>0</v>
      </c>
      <c r="AB43" s="687">
        <f t="shared" si="39"/>
        <v>0</v>
      </c>
      <c r="AV43" s="700" t="str">
        <f t="shared" si="33"/>
        <v/>
      </c>
    </row>
    <row r="44" spans="1:64" x14ac:dyDescent="0.25">
      <c r="B44" s="186" t="str">
        <f t="shared" si="31"/>
        <v>TCARDST900</v>
      </c>
      <c r="C44" s="186"/>
      <c r="D44" s="187"/>
      <c r="E44" s="186"/>
      <c r="F44" s="170"/>
      <c r="G44" s="189"/>
      <c r="H44" s="170"/>
      <c r="I44" s="190">
        <f>AF$19</f>
        <v>2040</v>
      </c>
      <c r="J44" s="191"/>
      <c r="K44" s="191"/>
      <c r="L44" s="211" t="s">
        <v>1065</v>
      </c>
      <c r="M44" s="186" t="s">
        <v>748</v>
      </c>
      <c r="N44" s="687">
        <f t="shared" ref="N44:AB44" si="40">N$39*LOOKUP($AD$32,$AG$14:$AP$14,$AG$19:$AP$19)</f>
        <v>0</v>
      </c>
      <c r="O44" s="687">
        <f t="shared" si="40"/>
        <v>0</v>
      </c>
      <c r="P44" s="687">
        <f t="shared" si="40"/>
        <v>0</v>
      </c>
      <c r="Q44" s="687">
        <f t="shared" si="40"/>
        <v>0</v>
      </c>
      <c r="R44" s="687">
        <f t="shared" si="40"/>
        <v>0</v>
      </c>
      <c r="S44" s="687">
        <f t="shared" si="40"/>
        <v>0</v>
      </c>
      <c r="T44" s="687">
        <f t="shared" si="40"/>
        <v>0</v>
      </c>
      <c r="U44" s="687">
        <f t="shared" si="40"/>
        <v>0</v>
      </c>
      <c r="V44" s="687">
        <f t="shared" si="40"/>
        <v>0</v>
      </c>
      <c r="W44" s="687">
        <f t="shared" si="40"/>
        <v>0</v>
      </c>
      <c r="X44" s="687">
        <f t="shared" si="40"/>
        <v>0</v>
      </c>
      <c r="Y44" s="687">
        <f t="shared" si="40"/>
        <v>0</v>
      </c>
      <c r="Z44" s="687">
        <f t="shared" si="40"/>
        <v>0</v>
      </c>
      <c r="AA44" s="687">
        <f t="shared" si="40"/>
        <v>0</v>
      </c>
      <c r="AB44" s="687">
        <f t="shared" si="40"/>
        <v>0</v>
      </c>
      <c r="AV44" s="700" t="str">
        <f t="shared" si="33"/>
        <v/>
      </c>
    </row>
    <row r="45" spans="1:64" x14ac:dyDescent="0.25">
      <c r="B45" s="193" t="str">
        <f t="shared" si="31"/>
        <v>TCARDST900</v>
      </c>
      <c r="C45" s="193"/>
      <c r="D45" s="194"/>
      <c r="E45" s="193"/>
      <c r="F45" s="196"/>
      <c r="G45" s="195"/>
      <c r="H45" s="196"/>
      <c r="I45" s="197">
        <f>AF$20</f>
        <v>2050</v>
      </c>
      <c r="J45" s="198"/>
      <c r="K45" s="198"/>
      <c r="L45" s="212" t="s">
        <v>1065</v>
      </c>
      <c r="M45" s="193" t="s">
        <v>748</v>
      </c>
      <c r="N45" s="688">
        <f t="shared" ref="N45:AB45" si="41">N$39*LOOKUP($AD$32,$AG$14:$AP$14,$AG$20:$AP$20)</f>
        <v>0</v>
      </c>
      <c r="O45" s="688">
        <f t="shared" si="41"/>
        <v>0</v>
      </c>
      <c r="P45" s="688">
        <f t="shared" si="41"/>
        <v>0</v>
      </c>
      <c r="Q45" s="688">
        <f t="shared" si="41"/>
        <v>0</v>
      </c>
      <c r="R45" s="688">
        <f t="shared" si="41"/>
        <v>0</v>
      </c>
      <c r="S45" s="688">
        <f t="shared" si="41"/>
        <v>0</v>
      </c>
      <c r="T45" s="688">
        <f t="shared" si="41"/>
        <v>0</v>
      </c>
      <c r="U45" s="688">
        <f t="shared" si="41"/>
        <v>0</v>
      </c>
      <c r="V45" s="688">
        <f t="shared" si="41"/>
        <v>0</v>
      </c>
      <c r="W45" s="688">
        <f t="shared" si="41"/>
        <v>0</v>
      </c>
      <c r="X45" s="688">
        <f t="shared" si="41"/>
        <v>0</v>
      </c>
      <c r="Y45" s="688">
        <f t="shared" si="41"/>
        <v>0</v>
      </c>
      <c r="Z45" s="688">
        <f t="shared" si="41"/>
        <v>0</v>
      </c>
      <c r="AA45" s="688">
        <f t="shared" si="41"/>
        <v>0</v>
      </c>
      <c r="AB45" s="688">
        <f t="shared" si="41"/>
        <v>0</v>
      </c>
      <c r="AD45" s="400"/>
      <c r="AV45" s="700" t="str">
        <f t="shared" si="33"/>
        <v/>
      </c>
    </row>
    <row r="46" spans="1:64" x14ac:dyDescent="0.25">
      <c r="A46" s="22"/>
      <c r="B46" s="186" t="str">
        <f>C46</f>
        <v>TCARELC900</v>
      </c>
      <c r="C46" s="186" t="s">
        <v>530</v>
      </c>
      <c r="D46" s="187" t="s">
        <v>779</v>
      </c>
      <c r="E46" s="188" t="s">
        <v>683</v>
      </c>
      <c r="F46" s="170"/>
      <c r="G46" s="189"/>
      <c r="H46" s="170"/>
      <c r="I46" s="190"/>
      <c r="J46" s="191"/>
      <c r="K46" s="191"/>
      <c r="L46" s="211" t="s">
        <v>1107</v>
      </c>
      <c r="M46" s="191" t="s">
        <v>1156</v>
      </c>
      <c r="N46" s="366">
        <f>N$32</f>
        <v>1E-3</v>
      </c>
      <c r="O46" s="366">
        <f t="shared" ref="O46:AB46" si="42">$N46</f>
        <v>1E-3</v>
      </c>
      <c r="P46" s="366">
        <f t="shared" si="42"/>
        <v>1E-3</v>
      </c>
      <c r="Q46" s="366">
        <f t="shared" si="42"/>
        <v>1E-3</v>
      </c>
      <c r="R46" s="366">
        <f t="shared" si="42"/>
        <v>1E-3</v>
      </c>
      <c r="S46" s="366">
        <f t="shared" si="42"/>
        <v>1E-3</v>
      </c>
      <c r="T46" s="366">
        <f t="shared" si="42"/>
        <v>1E-3</v>
      </c>
      <c r="U46" s="366">
        <f t="shared" si="42"/>
        <v>1E-3</v>
      </c>
      <c r="V46" s="366">
        <f t="shared" si="42"/>
        <v>1E-3</v>
      </c>
      <c r="W46" s="366">
        <f t="shared" si="42"/>
        <v>1E-3</v>
      </c>
      <c r="X46" s="366">
        <f t="shared" si="42"/>
        <v>1E-3</v>
      </c>
      <c r="Y46" s="366">
        <f t="shared" si="42"/>
        <v>1E-3</v>
      </c>
      <c r="Z46" s="366">
        <f t="shared" si="42"/>
        <v>1E-3</v>
      </c>
      <c r="AA46" s="366">
        <f t="shared" si="42"/>
        <v>1E-3</v>
      </c>
      <c r="AB46" s="366">
        <f t="shared" si="42"/>
        <v>1E-3</v>
      </c>
      <c r="AD46" s="56" t="str">
        <f>MID(D46,5,3)</f>
        <v>ELC</v>
      </c>
      <c r="AV46" s="700" t="str">
        <f t="shared" si="33"/>
        <v>TRAELC</v>
      </c>
      <c r="AW46" s="568">
        <f>SUM(AX46:BL46)</f>
        <v>0</v>
      </c>
      <c r="AX46" s="568">
        <f>N50*N51/N47/1000</f>
        <v>0</v>
      </c>
      <c r="AY46" s="568">
        <f t="shared" ref="AY46:BL46" si="43">O50*O51/O47/1000</f>
        <v>0</v>
      </c>
      <c r="AZ46" s="568">
        <f t="shared" si="43"/>
        <v>0</v>
      </c>
      <c r="BA46" s="568">
        <f t="shared" si="43"/>
        <v>0</v>
      </c>
      <c r="BB46" s="568">
        <f t="shared" si="43"/>
        <v>0</v>
      </c>
      <c r="BC46" s="568">
        <f t="shared" si="43"/>
        <v>0</v>
      </c>
      <c r="BD46" s="568">
        <f t="shared" si="43"/>
        <v>0</v>
      </c>
      <c r="BE46" s="568">
        <f t="shared" si="43"/>
        <v>0</v>
      </c>
      <c r="BF46" s="568">
        <f t="shared" si="43"/>
        <v>0</v>
      </c>
      <c r="BG46" s="568">
        <f t="shared" si="43"/>
        <v>0</v>
      </c>
      <c r="BH46" s="568">
        <f t="shared" si="43"/>
        <v>0</v>
      </c>
      <c r="BI46" s="568">
        <f t="shared" si="43"/>
        <v>0</v>
      </c>
      <c r="BJ46" s="568">
        <f t="shared" si="43"/>
        <v>0</v>
      </c>
      <c r="BK46" s="568">
        <f t="shared" si="43"/>
        <v>0</v>
      </c>
      <c r="BL46" s="568">
        <f t="shared" si="43"/>
        <v>0</v>
      </c>
    </row>
    <row r="47" spans="1:64" x14ac:dyDescent="0.25">
      <c r="A47" s="22"/>
      <c r="B47" s="186" t="str">
        <f>B46</f>
        <v>TCARELC900</v>
      </c>
      <c r="C47" s="186"/>
      <c r="D47" s="187"/>
      <c r="E47" s="186"/>
      <c r="F47" s="170"/>
      <c r="G47" s="188" t="s">
        <v>406</v>
      </c>
      <c r="H47" s="170"/>
      <c r="I47" s="190"/>
      <c r="J47" s="191"/>
      <c r="K47" s="191"/>
      <c r="L47" s="191" t="s">
        <v>1126</v>
      </c>
      <c r="M47" s="186" t="s">
        <v>678</v>
      </c>
      <c r="N47" s="377">
        <f>T_CEFF!H36</f>
        <v>1.0389600000000001</v>
      </c>
      <c r="O47" s="377">
        <f>T_CEFF!I36</f>
        <v>1.0389600000000001</v>
      </c>
      <c r="P47" s="377">
        <f>T_CEFF!J36</f>
        <v>1.0389600000000001</v>
      </c>
      <c r="Q47" s="377">
        <f>T_CEFF!K36</f>
        <v>1.0389600000000001</v>
      </c>
      <c r="R47" s="377">
        <f>T_CEFF!L36</f>
        <v>1.0389600000000001</v>
      </c>
      <c r="S47" s="377">
        <f>T_CEFF!M36</f>
        <v>1.0389600000000001</v>
      </c>
      <c r="T47" s="377">
        <f>T_CEFF!N36</f>
        <v>1.0389600000000001</v>
      </c>
      <c r="U47" s="377">
        <f>T_CEFF!O36</f>
        <v>1.0389600000000001</v>
      </c>
      <c r="V47" s="377">
        <f>T_CEFF!P36</f>
        <v>1.0389600000000001</v>
      </c>
      <c r="W47" s="377">
        <f>T_CEFF!Q36</f>
        <v>1.0389600000000001</v>
      </c>
      <c r="X47" s="377">
        <f>T_CEFF!R36</f>
        <v>1.0389600000000001</v>
      </c>
      <c r="Y47" s="377">
        <f>T_CEFF!S36</f>
        <v>1.0389600000000001</v>
      </c>
      <c r="Z47" s="377">
        <f>T_CEFF!T36</f>
        <v>1.0389600000000001</v>
      </c>
      <c r="AA47" s="377">
        <f>T_CEFF!U36</f>
        <v>1.0389600000000001</v>
      </c>
      <c r="AB47" s="377">
        <f>T_CEFF!V36</f>
        <v>1.0389600000000001</v>
      </c>
      <c r="AD47" s="399" t="str">
        <f>IF(COUNTIF($AG$14:$AP$14,AD46)=1,"ok","MISSING")</f>
        <v>ok</v>
      </c>
      <c r="AV47" s="700" t="str">
        <f t="shared" si="33"/>
        <v/>
      </c>
    </row>
    <row r="48" spans="1:64" x14ac:dyDescent="0.25">
      <c r="A48" s="22"/>
      <c r="B48" s="186" t="str">
        <f t="shared" ref="B48:B57" si="44">B47</f>
        <v>TCARELC900</v>
      </c>
      <c r="C48" s="186"/>
      <c r="D48" s="187"/>
      <c r="E48" s="186"/>
      <c r="F48" s="170"/>
      <c r="G48" s="188" t="s">
        <v>408</v>
      </c>
      <c r="H48" s="170"/>
      <c r="I48" s="190"/>
      <c r="J48" s="191"/>
      <c r="K48" s="191"/>
      <c r="L48" s="191" t="s">
        <v>1126</v>
      </c>
      <c r="M48" s="186" t="s">
        <v>678</v>
      </c>
      <c r="N48" s="377">
        <f>T_CEFF!H37</f>
        <v>1.2903199999999999</v>
      </c>
      <c r="O48" s="377">
        <f>T_CEFF!I37</f>
        <v>1.2903199999999999</v>
      </c>
      <c r="P48" s="377">
        <f>T_CEFF!J37</f>
        <v>1.2903199999999999</v>
      </c>
      <c r="Q48" s="377">
        <f>T_CEFF!K37</f>
        <v>1.2903199999999999</v>
      </c>
      <c r="R48" s="377">
        <f>T_CEFF!L37</f>
        <v>1.2903199999999999</v>
      </c>
      <c r="S48" s="377">
        <f>T_CEFF!M37</f>
        <v>1.2903199999999999</v>
      </c>
      <c r="T48" s="377">
        <f>T_CEFF!N37</f>
        <v>1.2903199999999999</v>
      </c>
      <c r="U48" s="377">
        <f>T_CEFF!O37</f>
        <v>1.2903199999999999</v>
      </c>
      <c r="V48" s="377">
        <f>T_CEFF!P37</f>
        <v>1.2903199999999999</v>
      </c>
      <c r="W48" s="377">
        <f>T_CEFF!Q37</f>
        <v>1.2903199999999999</v>
      </c>
      <c r="X48" s="377">
        <f>T_CEFF!R37</f>
        <v>1.2903199999999999</v>
      </c>
      <c r="Y48" s="377">
        <f>T_CEFF!S37</f>
        <v>1.2903199999999999</v>
      </c>
      <c r="Z48" s="377">
        <f>T_CEFF!T37</f>
        <v>1.2903199999999999</v>
      </c>
      <c r="AA48" s="377">
        <f>T_CEFF!U37</f>
        <v>1.2903199999999999</v>
      </c>
      <c r="AB48" s="377">
        <f>T_CEFF!V37</f>
        <v>1.2903199999999999</v>
      </c>
      <c r="AV48" s="700" t="str">
        <f t="shared" si="33"/>
        <v/>
      </c>
    </row>
    <row r="49" spans="1:64" x14ac:dyDescent="0.25">
      <c r="A49" s="22"/>
      <c r="B49" s="186" t="str">
        <f>B48</f>
        <v>TCARELC900</v>
      </c>
      <c r="C49" s="186"/>
      <c r="D49" s="187"/>
      <c r="E49" s="186"/>
      <c r="F49" s="170"/>
      <c r="G49" s="189"/>
      <c r="H49" s="170"/>
      <c r="I49" s="190"/>
      <c r="J49" s="191"/>
      <c r="K49" s="191" t="s">
        <v>749</v>
      </c>
      <c r="L49" s="191" t="s">
        <v>1128</v>
      </c>
      <c r="M49" s="186" t="s">
        <v>1119</v>
      </c>
      <c r="N49" s="368">
        <f>N$14</f>
        <v>1.2</v>
      </c>
      <c r="O49" s="368">
        <f t="shared" ref="O49:AB49" si="45">O$14</f>
        <v>0</v>
      </c>
      <c r="P49" s="368">
        <f t="shared" si="45"/>
        <v>0</v>
      </c>
      <c r="Q49" s="368">
        <f t="shared" si="45"/>
        <v>0</v>
      </c>
      <c r="R49" s="368">
        <f t="shared" si="45"/>
        <v>0</v>
      </c>
      <c r="S49" s="368">
        <f t="shared" si="45"/>
        <v>0</v>
      </c>
      <c r="T49" s="368">
        <f t="shared" si="45"/>
        <v>0</v>
      </c>
      <c r="U49" s="368">
        <f t="shared" si="45"/>
        <v>0</v>
      </c>
      <c r="V49" s="368">
        <f t="shared" si="45"/>
        <v>0</v>
      </c>
      <c r="W49" s="368">
        <f t="shared" si="45"/>
        <v>0</v>
      </c>
      <c r="X49" s="368">
        <f t="shared" si="45"/>
        <v>0</v>
      </c>
      <c r="Y49" s="368">
        <f t="shared" si="45"/>
        <v>0</v>
      </c>
      <c r="Z49" s="368">
        <f t="shared" si="45"/>
        <v>0</v>
      </c>
      <c r="AA49" s="368">
        <f t="shared" si="45"/>
        <v>0</v>
      </c>
      <c r="AB49" s="368">
        <f t="shared" si="45"/>
        <v>0</v>
      </c>
      <c r="AV49" s="700" t="str">
        <f t="shared" si="33"/>
        <v/>
      </c>
    </row>
    <row r="50" spans="1:64" x14ac:dyDescent="0.25">
      <c r="A50" s="22"/>
      <c r="B50" s="186" t="str">
        <f t="shared" si="44"/>
        <v>TCARELC900</v>
      </c>
      <c r="C50" s="186"/>
      <c r="D50" s="187"/>
      <c r="E50" s="186"/>
      <c r="F50" s="170"/>
      <c r="G50" s="189"/>
      <c r="H50" s="170"/>
      <c r="I50" s="190"/>
      <c r="J50" s="191"/>
      <c r="K50" s="191"/>
      <c r="L50" s="211" t="s">
        <v>1130</v>
      </c>
      <c r="M50" s="186" t="s">
        <v>1131</v>
      </c>
      <c r="N50" s="376">
        <f>LOOKUP($C$46, T_NCAP_AF!$C$20:$C$30, T_NCAP_AF!D$20:D$30)*(1+N26)</f>
        <v>0</v>
      </c>
      <c r="O50" s="376">
        <f>LOOKUP($C$46, T_NCAP_AF!$C$20:$C$30, T_NCAP_AF!E$20:E$30)*(1+O26)</f>
        <v>0</v>
      </c>
      <c r="P50" s="376">
        <f>LOOKUP($C$46, T_NCAP_AF!$C$20:$C$30, T_NCAP_AF!F$20:F$30)*(1+P26)</f>
        <v>0</v>
      </c>
      <c r="Q50" s="376">
        <f>LOOKUP($C$46, T_NCAP_AF!$C$20:$C$30, T_NCAP_AF!G$20:G$30)*(1+Q26)</f>
        <v>0</v>
      </c>
      <c r="R50" s="376">
        <f>LOOKUP($C$46, T_NCAP_AF!$C$20:$C$30, T_NCAP_AF!H$20:H$30)*(1+R26)</f>
        <v>0</v>
      </c>
      <c r="S50" s="376">
        <f>LOOKUP($C$46, T_NCAP_AF!$C$20:$C$30, T_NCAP_AF!I$20:I$30)*(1+S26)</f>
        <v>0</v>
      </c>
      <c r="T50" s="376">
        <f>LOOKUP($C$46, T_NCAP_AF!$C$20:$C$30, T_NCAP_AF!J$20:J$30)*(1+T26)</f>
        <v>0</v>
      </c>
      <c r="U50" s="376">
        <f>LOOKUP($C$46, T_NCAP_AF!$C$20:$C$30, T_NCAP_AF!K$20:K$30)*(1+U26)</f>
        <v>0</v>
      </c>
      <c r="V50" s="376">
        <f>LOOKUP($C$46, T_NCAP_AF!$C$20:$C$30, T_NCAP_AF!L$20:L$30)*(1+V26)</f>
        <v>0</v>
      </c>
      <c r="W50" s="376">
        <f>LOOKUP($C$46, T_NCAP_AF!$C$20:$C$30, T_NCAP_AF!M$20:M$30)*(1+W26)</f>
        <v>0</v>
      </c>
      <c r="X50" s="376">
        <f>LOOKUP($C$46, T_NCAP_AF!$C$20:$C$30, T_NCAP_AF!N$20:N$30)*(1+X26)</f>
        <v>0</v>
      </c>
      <c r="Y50" s="376">
        <f>LOOKUP($C$46, T_NCAP_AF!$C$20:$C$30, T_NCAP_AF!O$20:O$30)*(1+Y26)</f>
        <v>0</v>
      </c>
      <c r="Z50" s="376">
        <f>LOOKUP($C$46, T_NCAP_AF!$C$20:$C$30, T_NCAP_AF!P$20:P$30)*(1+Z26)</f>
        <v>0</v>
      </c>
      <c r="AA50" s="376">
        <f>LOOKUP($C$46, T_NCAP_AF!$C$20:$C$30, T_NCAP_AF!Q$20:Q$30)*(1+AA26)</f>
        <v>0</v>
      </c>
      <c r="AB50" s="376">
        <f>LOOKUP($C$46, T_NCAP_AF!$C$20:$C$30, T_NCAP_AF!R$20:R$30)*(1+AB26)</f>
        <v>0</v>
      </c>
      <c r="AV50" s="700" t="str">
        <f t="shared" si="33"/>
        <v/>
      </c>
    </row>
    <row r="51" spans="1:64" x14ac:dyDescent="0.25">
      <c r="A51" s="22"/>
      <c r="B51" s="186" t="str">
        <f>B50</f>
        <v>TCARELC900</v>
      </c>
      <c r="C51" s="186"/>
      <c r="D51" s="187"/>
      <c r="E51" s="186"/>
      <c r="F51" s="170"/>
      <c r="G51" s="189"/>
      <c r="H51" s="170"/>
      <c r="I51" s="190">
        <f>$M$3</f>
        <v>2019</v>
      </c>
      <c r="J51" s="191"/>
      <c r="K51" s="191"/>
      <c r="L51" s="211" t="s">
        <v>1065</v>
      </c>
      <c r="M51" s="186" t="s">
        <v>748</v>
      </c>
      <c r="N51" s="687">
        <f>LOOKUP($C$46, 'T_Stock_TOTAL_&amp;_City'!$C$10:$C$20, 'T_Stock_TOTAL_&amp;_City'!D$10:D$20)*(1+N27)</f>
        <v>0</v>
      </c>
      <c r="O51" s="687">
        <f>LOOKUP($C$46, 'T_Stock_TOTAL_&amp;_City'!$C$10:$C$20, 'T_Stock_TOTAL_&amp;_City'!E$10:E$20)*(1+O27)</f>
        <v>0</v>
      </c>
      <c r="P51" s="687">
        <f>LOOKUP($C$46, 'T_Stock_TOTAL_&amp;_City'!$C$10:$C$20, 'T_Stock_TOTAL_&amp;_City'!F$10:F$20)*(1+P27)</f>
        <v>0</v>
      </c>
      <c r="Q51" s="687">
        <f>LOOKUP($C$46, 'T_Stock_TOTAL_&amp;_City'!$C$10:$C$20, 'T_Stock_TOTAL_&amp;_City'!G$10:G$20)*(1+Q27)</f>
        <v>0</v>
      </c>
      <c r="R51" s="687">
        <f>LOOKUP($C$46, 'T_Stock_TOTAL_&amp;_City'!$C$10:$C$20, 'T_Stock_TOTAL_&amp;_City'!H$10:H$20)*(1+R27)</f>
        <v>0</v>
      </c>
      <c r="S51" s="687">
        <f>LOOKUP($C$46, 'T_Stock_TOTAL_&amp;_City'!$C$10:$C$20, 'T_Stock_TOTAL_&amp;_City'!I$10:I$20)*(1+S27)</f>
        <v>0</v>
      </c>
      <c r="T51" s="687">
        <f>LOOKUP($C$46, 'T_Stock_TOTAL_&amp;_City'!$C$10:$C$20, 'T_Stock_TOTAL_&amp;_City'!J$10:J$20)*(1+T27)</f>
        <v>0</v>
      </c>
      <c r="U51" s="687">
        <f>LOOKUP($C$46, 'T_Stock_TOTAL_&amp;_City'!$C$10:$C$20, 'T_Stock_TOTAL_&amp;_City'!K$10:K$20)*(1+U27)</f>
        <v>0</v>
      </c>
      <c r="V51" s="687">
        <f>LOOKUP($C$46, 'T_Stock_TOTAL_&amp;_City'!$C$10:$C$20, 'T_Stock_TOTAL_&amp;_City'!L$10:L$20)*(1+V27)</f>
        <v>0</v>
      </c>
      <c r="W51" s="687">
        <f>LOOKUP($C$46, 'T_Stock_TOTAL_&amp;_City'!$C$10:$C$20, 'T_Stock_TOTAL_&amp;_City'!M$10:M$20)*(1+W27)</f>
        <v>0</v>
      </c>
      <c r="X51" s="687">
        <f>LOOKUP($C$46, 'T_Stock_TOTAL_&amp;_City'!$C$10:$C$20, 'T_Stock_TOTAL_&amp;_City'!N$10:N$20)*(1+X27)</f>
        <v>0</v>
      </c>
      <c r="Y51" s="687">
        <f>LOOKUP($C$46, 'T_Stock_TOTAL_&amp;_City'!$C$10:$C$20, 'T_Stock_TOTAL_&amp;_City'!O$10:O$20)*(1+Y27)</f>
        <v>0</v>
      </c>
      <c r="Z51" s="687">
        <f>LOOKUP($C$46, 'T_Stock_TOTAL_&amp;_City'!$C$10:$C$20, 'T_Stock_TOTAL_&amp;_City'!P$10:P$20)*(1+Z27)</f>
        <v>0</v>
      </c>
      <c r="AA51" s="687">
        <f>LOOKUP($C$46, 'T_Stock_TOTAL_&amp;_City'!$C$10:$C$20, 'T_Stock_TOTAL_&amp;_City'!Q$10:Q$20)*(1+AA27)</f>
        <v>0</v>
      </c>
      <c r="AB51" s="687">
        <f>LOOKUP($C$46, 'T_Stock_TOTAL_&amp;_City'!$C$10:$C$20, 'T_Stock_TOTAL_&amp;_City'!R$10:R$20)*(1+AB27)</f>
        <v>0</v>
      </c>
      <c r="AV51" s="700" t="str">
        <f t="shared" si="33"/>
        <v/>
      </c>
    </row>
    <row r="52" spans="1:64" x14ac:dyDescent="0.25">
      <c r="A52" s="22"/>
      <c r="B52" s="186" t="str">
        <f t="shared" si="44"/>
        <v>TCARELC900</v>
      </c>
      <c r="C52" s="186"/>
      <c r="D52" s="187"/>
      <c r="E52" s="186"/>
      <c r="F52" s="170"/>
      <c r="G52" s="189"/>
      <c r="H52" s="170"/>
      <c r="I52" s="190">
        <f>AF$15</f>
        <v>2016</v>
      </c>
      <c r="J52" s="191"/>
      <c r="K52" s="191"/>
      <c r="L52" s="211" t="s">
        <v>1065</v>
      </c>
      <c r="M52" s="186" t="s">
        <v>748</v>
      </c>
      <c r="N52" s="687">
        <f t="shared" ref="N52:AB52" si="46">N$51*LOOKUP($AD$46,$AG$14:$AP$14,$AG15:$AP15)</f>
        <v>0</v>
      </c>
      <c r="O52" s="687">
        <f t="shared" si="46"/>
        <v>0</v>
      </c>
      <c r="P52" s="687">
        <f t="shared" si="46"/>
        <v>0</v>
      </c>
      <c r="Q52" s="687">
        <f t="shared" si="46"/>
        <v>0</v>
      </c>
      <c r="R52" s="687">
        <f t="shared" si="46"/>
        <v>0</v>
      </c>
      <c r="S52" s="687">
        <f t="shared" si="46"/>
        <v>0</v>
      </c>
      <c r="T52" s="687">
        <f t="shared" si="46"/>
        <v>0</v>
      </c>
      <c r="U52" s="687">
        <f t="shared" si="46"/>
        <v>0</v>
      </c>
      <c r="V52" s="687">
        <f t="shared" si="46"/>
        <v>0</v>
      </c>
      <c r="W52" s="687">
        <f t="shared" si="46"/>
        <v>0</v>
      </c>
      <c r="X52" s="687">
        <f t="shared" si="46"/>
        <v>0</v>
      </c>
      <c r="Y52" s="687">
        <f t="shared" si="46"/>
        <v>0</v>
      </c>
      <c r="Z52" s="687">
        <f t="shared" si="46"/>
        <v>0</v>
      </c>
      <c r="AA52" s="687">
        <f t="shared" si="46"/>
        <v>0</v>
      </c>
      <c r="AB52" s="687">
        <f t="shared" si="46"/>
        <v>0</v>
      </c>
      <c r="AE52" s="569">
        <f>SUM(AF52:AT52)</f>
        <v>0</v>
      </c>
      <c r="AF52" s="568">
        <f t="shared" ref="AF52:AT52" si="47">N49*N50*N51/1000</f>
        <v>0</v>
      </c>
      <c r="AG52" s="568">
        <f t="shared" si="47"/>
        <v>0</v>
      </c>
      <c r="AH52" s="568">
        <f t="shared" si="47"/>
        <v>0</v>
      </c>
      <c r="AI52" s="568">
        <f t="shared" si="47"/>
        <v>0</v>
      </c>
      <c r="AJ52" s="568">
        <f t="shared" si="47"/>
        <v>0</v>
      </c>
      <c r="AK52" s="568">
        <f t="shared" si="47"/>
        <v>0</v>
      </c>
      <c r="AL52" s="568">
        <f t="shared" si="47"/>
        <v>0</v>
      </c>
      <c r="AM52" s="568">
        <f t="shared" si="47"/>
        <v>0</v>
      </c>
      <c r="AN52" s="568">
        <f t="shared" si="47"/>
        <v>0</v>
      </c>
      <c r="AO52" s="568">
        <f t="shared" si="47"/>
        <v>0</v>
      </c>
      <c r="AP52" s="568">
        <f t="shared" si="47"/>
        <v>0</v>
      </c>
      <c r="AQ52" s="568">
        <f t="shared" si="47"/>
        <v>0</v>
      </c>
      <c r="AR52" s="568">
        <f t="shared" si="47"/>
        <v>0</v>
      </c>
      <c r="AS52" s="568">
        <f t="shared" si="47"/>
        <v>0</v>
      </c>
      <c r="AT52" s="568">
        <f t="shared" si="47"/>
        <v>0</v>
      </c>
      <c r="AV52" s="700" t="str">
        <f t="shared" si="33"/>
        <v/>
      </c>
    </row>
    <row r="53" spans="1:64" x14ac:dyDescent="0.25">
      <c r="A53" s="22"/>
      <c r="B53" s="186" t="str">
        <f t="shared" si="44"/>
        <v>TCARELC900</v>
      </c>
      <c r="C53" s="186"/>
      <c r="D53" s="187"/>
      <c r="E53" s="186"/>
      <c r="F53" s="170"/>
      <c r="G53" s="189"/>
      <c r="H53" s="170"/>
      <c r="I53" s="190">
        <f>AF$16</f>
        <v>2020</v>
      </c>
      <c r="J53" s="191"/>
      <c r="K53" s="191"/>
      <c r="L53" s="211" t="s">
        <v>1065</v>
      </c>
      <c r="M53" s="186" t="s">
        <v>748</v>
      </c>
      <c r="N53" s="687">
        <f t="shared" ref="N53:AB53" si="48">N$51*LOOKUP($AD$46,$AG$14:$AP$14,$AG16:$AP16)</f>
        <v>0</v>
      </c>
      <c r="O53" s="687">
        <f t="shared" si="48"/>
        <v>0</v>
      </c>
      <c r="P53" s="687">
        <f t="shared" si="48"/>
        <v>0</v>
      </c>
      <c r="Q53" s="687">
        <f t="shared" si="48"/>
        <v>0</v>
      </c>
      <c r="R53" s="687">
        <f t="shared" si="48"/>
        <v>0</v>
      </c>
      <c r="S53" s="687">
        <f t="shared" si="48"/>
        <v>0</v>
      </c>
      <c r="T53" s="687">
        <f t="shared" si="48"/>
        <v>0</v>
      </c>
      <c r="U53" s="687">
        <f t="shared" si="48"/>
        <v>0</v>
      </c>
      <c r="V53" s="687">
        <f t="shared" si="48"/>
        <v>0</v>
      </c>
      <c r="W53" s="687">
        <f t="shared" si="48"/>
        <v>0</v>
      </c>
      <c r="X53" s="687">
        <f t="shared" si="48"/>
        <v>0</v>
      </c>
      <c r="Y53" s="687">
        <f t="shared" si="48"/>
        <v>0</v>
      </c>
      <c r="Z53" s="687">
        <f t="shared" si="48"/>
        <v>0</v>
      </c>
      <c r="AA53" s="687">
        <f t="shared" si="48"/>
        <v>0</v>
      </c>
      <c r="AB53" s="687">
        <f t="shared" si="48"/>
        <v>0</v>
      </c>
      <c r="AV53" s="700" t="str">
        <f t="shared" si="33"/>
        <v/>
      </c>
    </row>
    <row r="54" spans="1:64" x14ac:dyDescent="0.25">
      <c r="A54" s="22"/>
      <c r="B54" s="186" t="str">
        <f t="shared" si="44"/>
        <v>TCARELC900</v>
      </c>
      <c r="C54" s="186"/>
      <c r="D54" s="187"/>
      <c r="E54" s="186"/>
      <c r="F54" s="170"/>
      <c r="G54" s="189"/>
      <c r="H54" s="170"/>
      <c r="I54" s="190">
        <v>2025</v>
      </c>
      <c r="J54" s="191"/>
      <c r="K54" s="191"/>
      <c r="L54" s="211" t="s">
        <v>1065</v>
      </c>
      <c r="M54" s="186" t="s">
        <v>748</v>
      </c>
      <c r="N54" s="687">
        <f t="shared" ref="N54:AB54" si="49">N$51*LOOKUP($AD$46,$AG$14:$AP$14,$AG17:$AP17)</f>
        <v>0</v>
      </c>
      <c r="O54" s="687">
        <f t="shared" si="49"/>
        <v>0</v>
      </c>
      <c r="P54" s="687">
        <f t="shared" si="49"/>
        <v>0</v>
      </c>
      <c r="Q54" s="687">
        <f t="shared" si="49"/>
        <v>0</v>
      </c>
      <c r="R54" s="687">
        <f t="shared" si="49"/>
        <v>0</v>
      </c>
      <c r="S54" s="687">
        <f t="shared" si="49"/>
        <v>0</v>
      </c>
      <c r="T54" s="687">
        <f t="shared" si="49"/>
        <v>0</v>
      </c>
      <c r="U54" s="687">
        <f t="shared" si="49"/>
        <v>0</v>
      </c>
      <c r="V54" s="687">
        <f t="shared" si="49"/>
        <v>0</v>
      </c>
      <c r="W54" s="687">
        <f t="shared" si="49"/>
        <v>0</v>
      </c>
      <c r="X54" s="687">
        <f t="shared" si="49"/>
        <v>0</v>
      </c>
      <c r="Y54" s="687">
        <f t="shared" si="49"/>
        <v>0</v>
      </c>
      <c r="Z54" s="687">
        <f t="shared" si="49"/>
        <v>0</v>
      </c>
      <c r="AA54" s="687">
        <f t="shared" si="49"/>
        <v>0</v>
      </c>
      <c r="AB54" s="687">
        <f t="shared" si="49"/>
        <v>0</v>
      </c>
      <c r="AV54" s="700" t="str">
        <f t="shared" si="33"/>
        <v/>
      </c>
    </row>
    <row r="55" spans="1:64" x14ac:dyDescent="0.25">
      <c r="A55" s="22"/>
      <c r="B55" s="186" t="str">
        <f t="shared" si="44"/>
        <v>TCARELC900</v>
      </c>
      <c r="C55" s="186"/>
      <c r="D55" s="187"/>
      <c r="E55" s="186"/>
      <c r="F55" s="170"/>
      <c r="G55" s="189"/>
      <c r="H55" s="170"/>
      <c r="I55" s="190">
        <f>AF$18</f>
        <v>2030</v>
      </c>
      <c r="J55" s="191"/>
      <c r="K55" s="191"/>
      <c r="L55" s="211" t="s">
        <v>1065</v>
      </c>
      <c r="M55" s="186" t="s">
        <v>748</v>
      </c>
      <c r="N55" s="687">
        <f t="shared" ref="N55:AB55" si="50">N$51*LOOKUP($AD$46,$AG$14:$AP$14,$AG18:$AP18)</f>
        <v>0</v>
      </c>
      <c r="O55" s="687">
        <f t="shared" si="50"/>
        <v>0</v>
      </c>
      <c r="P55" s="687">
        <f t="shared" si="50"/>
        <v>0</v>
      </c>
      <c r="Q55" s="687">
        <f t="shared" si="50"/>
        <v>0</v>
      </c>
      <c r="R55" s="687">
        <f t="shared" si="50"/>
        <v>0</v>
      </c>
      <c r="S55" s="687">
        <f t="shared" si="50"/>
        <v>0</v>
      </c>
      <c r="T55" s="687">
        <f t="shared" si="50"/>
        <v>0</v>
      </c>
      <c r="U55" s="687">
        <f t="shared" si="50"/>
        <v>0</v>
      </c>
      <c r="V55" s="687">
        <f t="shared" si="50"/>
        <v>0</v>
      </c>
      <c r="W55" s="687">
        <f t="shared" si="50"/>
        <v>0</v>
      </c>
      <c r="X55" s="687">
        <f t="shared" si="50"/>
        <v>0</v>
      </c>
      <c r="Y55" s="687">
        <f t="shared" si="50"/>
        <v>0</v>
      </c>
      <c r="Z55" s="687">
        <f t="shared" si="50"/>
        <v>0</v>
      </c>
      <c r="AA55" s="687">
        <f t="shared" si="50"/>
        <v>0</v>
      </c>
      <c r="AB55" s="687">
        <f t="shared" si="50"/>
        <v>0</v>
      </c>
      <c r="AV55" s="700" t="str">
        <f t="shared" si="33"/>
        <v/>
      </c>
    </row>
    <row r="56" spans="1:64" x14ac:dyDescent="0.25">
      <c r="A56" s="22"/>
      <c r="B56" s="186" t="str">
        <f t="shared" si="44"/>
        <v>TCARELC900</v>
      </c>
      <c r="C56" s="186"/>
      <c r="D56" s="187"/>
      <c r="E56" s="186"/>
      <c r="F56" s="170"/>
      <c r="G56" s="189"/>
      <c r="H56" s="170"/>
      <c r="I56" s="190">
        <f>AF$19</f>
        <v>2040</v>
      </c>
      <c r="J56" s="191"/>
      <c r="K56" s="191"/>
      <c r="L56" s="211" t="s">
        <v>1065</v>
      </c>
      <c r="M56" s="186" t="s">
        <v>748</v>
      </c>
      <c r="N56" s="687">
        <f t="shared" ref="N56:AB56" si="51">N$51*LOOKUP($AD$46,$AG$14:$AP$14,$AG19:$AP19)</f>
        <v>0</v>
      </c>
      <c r="O56" s="687">
        <f t="shared" si="51"/>
        <v>0</v>
      </c>
      <c r="P56" s="687">
        <f t="shared" si="51"/>
        <v>0</v>
      </c>
      <c r="Q56" s="687">
        <f t="shared" si="51"/>
        <v>0</v>
      </c>
      <c r="R56" s="687">
        <f t="shared" si="51"/>
        <v>0</v>
      </c>
      <c r="S56" s="687">
        <f t="shared" si="51"/>
        <v>0</v>
      </c>
      <c r="T56" s="687">
        <f t="shared" si="51"/>
        <v>0</v>
      </c>
      <c r="U56" s="687">
        <f t="shared" si="51"/>
        <v>0</v>
      </c>
      <c r="V56" s="687">
        <f t="shared" si="51"/>
        <v>0</v>
      </c>
      <c r="W56" s="687">
        <f t="shared" si="51"/>
        <v>0</v>
      </c>
      <c r="X56" s="687">
        <f t="shared" si="51"/>
        <v>0</v>
      </c>
      <c r="Y56" s="687">
        <f t="shared" si="51"/>
        <v>0</v>
      </c>
      <c r="Z56" s="687">
        <f t="shared" si="51"/>
        <v>0</v>
      </c>
      <c r="AA56" s="687">
        <f t="shared" si="51"/>
        <v>0</v>
      </c>
      <c r="AB56" s="687">
        <f t="shared" si="51"/>
        <v>0</v>
      </c>
      <c r="AV56" s="700" t="str">
        <f t="shared" si="33"/>
        <v/>
      </c>
    </row>
    <row r="57" spans="1:64" x14ac:dyDescent="0.25">
      <c r="A57" s="22"/>
      <c r="B57" s="193" t="str">
        <f t="shared" si="44"/>
        <v>TCARELC900</v>
      </c>
      <c r="C57" s="193"/>
      <c r="D57" s="194"/>
      <c r="E57" s="193"/>
      <c r="F57" s="196"/>
      <c r="G57" s="195"/>
      <c r="H57" s="196"/>
      <c r="I57" s="197">
        <f>AF$20</f>
        <v>2050</v>
      </c>
      <c r="J57" s="198"/>
      <c r="K57" s="198"/>
      <c r="L57" s="212" t="s">
        <v>1065</v>
      </c>
      <c r="M57" s="193" t="s">
        <v>748</v>
      </c>
      <c r="N57" s="688">
        <f t="shared" ref="N57:AB57" si="52">N$51*LOOKUP($AD$46,$AG$14:$AP$14,$AG20:$AP20)</f>
        <v>0</v>
      </c>
      <c r="O57" s="688">
        <f t="shared" si="52"/>
        <v>0</v>
      </c>
      <c r="P57" s="688">
        <f t="shared" si="52"/>
        <v>0</v>
      </c>
      <c r="Q57" s="688">
        <f t="shared" si="52"/>
        <v>0</v>
      </c>
      <c r="R57" s="688">
        <f t="shared" si="52"/>
        <v>0</v>
      </c>
      <c r="S57" s="688">
        <f t="shared" si="52"/>
        <v>0</v>
      </c>
      <c r="T57" s="688">
        <f t="shared" si="52"/>
        <v>0</v>
      </c>
      <c r="U57" s="688">
        <f t="shared" si="52"/>
        <v>0</v>
      </c>
      <c r="V57" s="688">
        <f t="shared" si="52"/>
        <v>0</v>
      </c>
      <c r="W57" s="688">
        <f t="shared" si="52"/>
        <v>0</v>
      </c>
      <c r="X57" s="688">
        <f t="shared" si="52"/>
        <v>0</v>
      </c>
      <c r="Y57" s="688">
        <f t="shared" si="52"/>
        <v>0</v>
      </c>
      <c r="Z57" s="688">
        <f t="shared" si="52"/>
        <v>0</v>
      </c>
      <c r="AA57" s="688">
        <f t="shared" si="52"/>
        <v>0</v>
      </c>
      <c r="AB57" s="688">
        <f t="shared" si="52"/>
        <v>0</v>
      </c>
      <c r="AD57" s="400"/>
      <c r="AV57" s="700" t="str">
        <f t="shared" si="33"/>
        <v/>
      </c>
    </row>
    <row r="58" spans="1:64" x14ac:dyDescent="0.25">
      <c r="A58" s="22"/>
      <c r="B58" s="186" t="str">
        <f>C58</f>
        <v>TCARETH900</v>
      </c>
      <c r="C58" s="186" t="s">
        <v>531</v>
      </c>
      <c r="D58" s="187" t="s">
        <v>782</v>
      </c>
      <c r="E58" s="188" t="s">
        <v>1010</v>
      </c>
      <c r="F58" s="170"/>
      <c r="G58" s="189"/>
      <c r="H58" s="170"/>
      <c r="I58" s="190"/>
      <c r="J58" s="191"/>
      <c r="K58" s="191"/>
      <c r="L58" s="211" t="s">
        <v>1107</v>
      </c>
      <c r="M58" s="191" t="s">
        <v>1156</v>
      </c>
      <c r="N58" s="366">
        <f>N$32</f>
        <v>1E-3</v>
      </c>
      <c r="O58" s="366">
        <f t="shared" ref="O58:AB58" si="53">$N58</f>
        <v>1E-3</v>
      </c>
      <c r="P58" s="366">
        <f t="shared" si="53"/>
        <v>1E-3</v>
      </c>
      <c r="Q58" s="366">
        <f t="shared" si="53"/>
        <v>1E-3</v>
      </c>
      <c r="R58" s="366">
        <f t="shared" si="53"/>
        <v>1E-3</v>
      </c>
      <c r="S58" s="366">
        <f t="shared" si="53"/>
        <v>1E-3</v>
      </c>
      <c r="T58" s="366">
        <f t="shared" si="53"/>
        <v>1E-3</v>
      </c>
      <c r="U58" s="366">
        <f t="shared" si="53"/>
        <v>1E-3</v>
      </c>
      <c r="V58" s="366">
        <f t="shared" si="53"/>
        <v>1E-3</v>
      </c>
      <c r="W58" s="366">
        <f t="shared" si="53"/>
        <v>1E-3</v>
      </c>
      <c r="X58" s="366">
        <f t="shared" si="53"/>
        <v>1E-3</v>
      </c>
      <c r="Y58" s="366">
        <f t="shared" si="53"/>
        <v>1E-3</v>
      </c>
      <c r="Z58" s="366">
        <f t="shared" si="53"/>
        <v>1E-3</v>
      </c>
      <c r="AA58" s="366">
        <f t="shared" si="53"/>
        <v>1E-3</v>
      </c>
      <c r="AB58" s="366">
        <f t="shared" si="53"/>
        <v>1E-3</v>
      </c>
      <c r="AD58" s="56" t="str">
        <f>MID(D58,5,3)</f>
        <v>ETH</v>
      </c>
      <c r="AV58" s="700" t="str">
        <f t="shared" si="33"/>
        <v>TRAETH</v>
      </c>
      <c r="AW58" s="568">
        <f t="shared" ref="AW58:AW59" si="54">SUM(AX58:BL58)</f>
        <v>0</v>
      </c>
      <c r="AX58" s="568">
        <f t="shared" ref="AX58:BL58" si="55">N63*N64*(1-N59)/N61/1000</f>
        <v>0</v>
      </c>
      <c r="AY58" s="568">
        <f t="shared" si="55"/>
        <v>0</v>
      </c>
      <c r="AZ58" s="568">
        <f t="shared" si="55"/>
        <v>0</v>
      </c>
      <c r="BA58" s="568">
        <f t="shared" si="55"/>
        <v>0</v>
      </c>
      <c r="BB58" s="568">
        <f t="shared" si="55"/>
        <v>0</v>
      </c>
      <c r="BC58" s="568">
        <f t="shared" si="55"/>
        <v>0</v>
      </c>
      <c r="BD58" s="568">
        <f t="shared" si="55"/>
        <v>0</v>
      </c>
      <c r="BE58" s="568">
        <f t="shared" si="55"/>
        <v>0</v>
      </c>
      <c r="BF58" s="568">
        <f t="shared" si="55"/>
        <v>0</v>
      </c>
      <c r="BG58" s="568">
        <f t="shared" si="55"/>
        <v>0</v>
      </c>
      <c r="BH58" s="568">
        <f t="shared" si="55"/>
        <v>0</v>
      </c>
      <c r="BI58" s="568">
        <f t="shared" si="55"/>
        <v>0</v>
      </c>
      <c r="BJ58" s="568">
        <f t="shared" si="55"/>
        <v>0</v>
      </c>
      <c r="BK58" s="568">
        <f t="shared" si="55"/>
        <v>0</v>
      </c>
      <c r="BL58" s="568">
        <f t="shared" si="55"/>
        <v>0</v>
      </c>
    </row>
    <row r="59" spans="1:64" x14ac:dyDescent="0.25">
      <c r="A59" s="22"/>
      <c r="B59" s="186" t="str">
        <f>B58</f>
        <v>TCARETH900</v>
      </c>
      <c r="C59" s="186"/>
      <c r="D59" s="186"/>
      <c r="E59" s="188" t="s">
        <v>1014</v>
      </c>
      <c r="F59" s="170"/>
      <c r="G59" s="189"/>
      <c r="H59" s="170"/>
      <c r="I59" s="190"/>
      <c r="J59" s="191" t="s">
        <v>1157</v>
      </c>
      <c r="K59" s="191"/>
      <c r="L59" s="211" t="s">
        <v>101</v>
      </c>
      <c r="M59" s="186"/>
      <c r="N59" s="377">
        <f>1-N23</f>
        <v>0.25</v>
      </c>
      <c r="O59" s="377">
        <f t="shared" ref="O59:AB59" si="56">1-O23</f>
        <v>0.25</v>
      </c>
      <c r="P59" s="377">
        <f t="shared" si="56"/>
        <v>0.25</v>
      </c>
      <c r="Q59" s="377">
        <f t="shared" si="56"/>
        <v>0.25</v>
      </c>
      <c r="R59" s="377">
        <f t="shared" si="56"/>
        <v>0.25</v>
      </c>
      <c r="S59" s="377">
        <f t="shared" si="56"/>
        <v>0.25</v>
      </c>
      <c r="T59" s="377">
        <f t="shared" si="56"/>
        <v>0.25</v>
      </c>
      <c r="U59" s="377">
        <f t="shared" si="56"/>
        <v>0.25</v>
      </c>
      <c r="V59" s="377">
        <f t="shared" si="56"/>
        <v>0.25</v>
      </c>
      <c r="W59" s="377">
        <f t="shared" si="56"/>
        <v>0.25</v>
      </c>
      <c r="X59" s="377">
        <f t="shared" si="56"/>
        <v>0.25</v>
      </c>
      <c r="Y59" s="377">
        <f t="shared" si="56"/>
        <v>0.25</v>
      </c>
      <c r="Z59" s="377">
        <f t="shared" si="56"/>
        <v>0.25</v>
      </c>
      <c r="AA59" s="377">
        <f t="shared" si="56"/>
        <v>0.25</v>
      </c>
      <c r="AB59" s="377">
        <f t="shared" si="56"/>
        <v>0.25</v>
      </c>
      <c r="AD59" s="399" t="str">
        <f>IF(COUNTIF($AG$14:$AP$14,AD58)=1,"ok","MISSING")</f>
        <v>ok</v>
      </c>
      <c r="AV59" s="700" t="str">
        <f t="shared" si="33"/>
        <v>TRAGSL</v>
      </c>
      <c r="AW59" s="568">
        <f t="shared" si="54"/>
        <v>0</v>
      </c>
      <c r="AX59" s="568">
        <f t="shared" ref="AX59:BL59" si="57">N63*N64*N59/N61/1000</f>
        <v>0</v>
      </c>
      <c r="AY59" s="568">
        <f t="shared" si="57"/>
        <v>0</v>
      </c>
      <c r="AZ59" s="568">
        <f t="shared" si="57"/>
        <v>0</v>
      </c>
      <c r="BA59" s="568">
        <f t="shared" si="57"/>
        <v>0</v>
      </c>
      <c r="BB59" s="568">
        <f t="shared" si="57"/>
        <v>0</v>
      </c>
      <c r="BC59" s="568">
        <f t="shared" si="57"/>
        <v>0</v>
      </c>
      <c r="BD59" s="568">
        <f t="shared" si="57"/>
        <v>0</v>
      </c>
      <c r="BE59" s="568">
        <f t="shared" si="57"/>
        <v>0</v>
      </c>
      <c r="BF59" s="568">
        <f t="shared" si="57"/>
        <v>0</v>
      </c>
      <c r="BG59" s="568">
        <f t="shared" si="57"/>
        <v>0</v>
      </c>
      <c r="BH59" s="568">
        <f t="shared" si="57"/>
        <v>0</v>
      </c>
      <c r="BI59" s="568">
        <f t="shared" si="57"/>
        <v>0</v>
      </c>
      <c r="BJ59" s="568">
        <f t="shared" si="57"/>
        <v>0</v>
      </c>
      <c r="BK59" s="568">
        <f t="shared" si="57"/>
        <v>0</v>
      </c>
      <c r="BL59" s="568">
        <f t="shared" si="57"/>
        <v>0</v>
      </c>
    </row>
    <row r="60" spans="1:64" x14ac:dyDescent="0.25">
      <c r="A60" s="22"/>
      <c r="B60" s="186" t="str">
        <f t="shared" ref="B60:B70" si="58">B59</f>
        <v>TCARETH900</v>
      </c>
      <c r="C60" s="186"/>
      <c r="D60" s="187"/>
      <c r="E60" s="186"/>
      <c r="F60" s="170"/>
      <c r="G60" s="188" t="s">
        <v>406</v>
      </c>
      <c r="H60" s="170"/>
      <c r="I60" s="190"/>
      <c r="J60" s="191"/>
      <c r="K60" s="191"/>
      <c r="L60" s="191" t="s">
        <v>1126</v>
      </c>
      <c r="M60" s="186" t="s">
        <v>678</v>
      </c>
      <c r="N60" s="377">
        <f>T_CEFF!H38</f>
        <v>0.38646999999999998</v>
      </c>
      <c r="O60" s="377">
        <f>T_CEFF!I38</f>
        <v>0.38646999999999998</v>
      </c>
      <c r="P60" s="377">
        <f>T_CEFF!J38</f>
        <v>0.38646999999999998</v>
      </c>
      <c r="Q60" s="377">
        <f>T_CEFF!K38</f>
        <v>0.38646999999999998</v>
      </c>
      <c r="R60" s="377">
        <f>T_CEFF!L38</f>
        <v>0.38646999999999998</v>
      </c>
      <c r="S60" s="377">
        <f>T_CEFF!M38</f>
        <v>0.38646999999999998</v>
      </c>
      <c r="T60" s="377">
        <f>T_CEFF!N38</f>
        <v>0.38646999999999998</v>
      </c>
      <c r="U60" s="377">
        <f>T_CEFF!O38</f>
        <v>0.38646999999999998</v>
      </c>
      <c r="V60" s="377">
        <f>T_CEFF!P38</f>
        <v>0.38646999999999998</v>
      </c>
      <c r="W60" s="377">
        <f>T_CEFF!Q38</f>
        <v>0.38646999999999998</v>
      </c>
      <c r="X60" s="377">
        <f>T_CEFF!R38</f>
        <v>0.38646999999999998</v>
      </c>
      <c r="Y60" s="377">
        <f>T_CEFF!S38</f>
        <v>0.38646999999999998</v>
      </c>
      <c r="Z60" s="377">
        <f>T_CEFF!T38</f>
        <v>0.38646999999999998</v>
      </c>
      <c r="AA60" s="377">
        <f>T_CEFF!U38</f>
        <v>0.38646999999999998</v>
      </c>
      <c r="AB60" s="377">
        <f>T_CEFF!V38</f>
        <v>0.38646999999999998</v>
      </c>
      <c r="AV60" s="700" t="str">
        <f t="shared" si="33"/>
        <v/>
      </c>
    </row>
    <row r="61" spans="1:64" x14ac:dyDescent="0.25">
      <c r="A61" s="22"/>
      <c r="B61" s="186" t="str">
        <f t="shared" si="58"/>
        <v>TCARETH900</v>
      </c>
      <c r="C61" s="186"/>
      <c r="D61" s="187"/>
      <c r="E61" s="186"/>
      <c r="F61" s="170"/>
      <c r="G61" s="188" t="s">
        <v>408</v>
      </c>
      <c r="H61" s="170"/>
      <c r="I61" s="190"/>
      <c r="J61" s="191"/>
      <c r="K61" s="191"/>
      <c r="L61" s="191" t="s">
        <v>1126</v>
      </c>
      <c r="M61" s="186" t="s">
        <v>678</v>
      </c>
      <c r="N61" s="377">
        <f>T_CEFF!H39</f>
        <v>0.31873000000000001</v>
      </c>
      <c r="O61" s="377">
        <f>T_CEFF!I39</f>
        <v>0.31873000000000001</v>
      </c>
      <c r="P61" s="377">
        <f>T_CEFF!J39</f>
        <v>0.31873000000000001</v>
      </c>
      <c r="Q61" s="377">
        <f>T_CEFF!K39</f>
        <v>0.31873000000000001</v>
      </c>
      <c r="R61" s="377">
        <f>T_CEFF!L39</f>
        <v>0.31873000000000001</v>
      </c>
      <c r="S61" s="377">
        <f>T_CEFF!M39</f>
        <v>0.31873000000000001</v>
      </c>
      <c r="T61" s="377">
        <f>T_CEFF!N39</f>
        <v>0.31873000000000001</v>
      </c>
      <c r="U61" s="377">
        <f>T_CEFF!O39</f>
        <v>0.31873000000000001</v>
      </c>
      <c r="V61" s="377">
        <f>T_CEFF!P39</f>
        <v>0.31873000000000001</v>
      </c>
      <c r="W61" s="377">
        <f>T_CEFF!Q39</f>
        <v>0.31873000000000001</v>
      </c>
      <c r="X61" s="377">
        <f>T_CEFF!R39</f>
        <v>0.31873000000000001</v>
      </c>
      <c r="Y61" s="377">
        <f>T_CEFF!S39</f>
        <v>0.31873000000000001</v>
      </c>
      <c r="Z61" s="377">
        <f>T_CEFF!T39</f>
        <v>0.31873000000000001</v>
      </c>
      <c r="AA61" s="377">
        <f>T_CEFF!U39</f>
        <v>0.31873000000000001</v>
      </c>
      <c r="AB61" s="377">
        <f>T_CEFF!V39</f>
        <v>0.31873000000000001</v>
      </c>
      <c r="AV61" s="700" t="str">
        <f t="shared" si="33"/>
        <v/>
      </c>
    </row>
    <row r="62" spans="1:64" x14ac:dyDescent="0.25">
      <c r="A62" s="22"/>
      <c r="B62" s="186" t="str">
        <f>B61</f>
        <v>TCARETH900</v>
      </c>
      <c r="C62" s="186"/>
      <c r="D62" s="187"/>
      <c r="E62" s="186"/>
      <c r="F62" s="170"/>
      <c r="G62" s="189"/>
      <c r="H62" s="170"/>
      <c r="I62" s="190"/>
      <c r="J62" s="191"/>
      <c r="K62" s="191" t="s">
        <v>749</v>
      </c>
      <c r="L62" s="191" t="s">
        <v>1128</v>
      </c>
      <c r="M62" s="186" t="s">
        <v>1119</v>
      </c>
      <c r="N62" s="368">
        <f>N$14</f>
        <v>1.2</v>
      </c>
      <c r="O62" s="368">
        <f t="shared" ref="O62:AB62" si="59">O$14</f>
        <v>0</v>
      </c>
      <c r="P62" s="368">
        <f t="shared" si="59"/>
        <v>0</v>
      </c>
      <c r="Q62" s="368">
        <f t="shared" si="59"/>
        <v>0</v>
      </c>
      <c r="R62" s="368">
        <f t="shared" si="59"/>
        <v>0</v>
      </c>
      <c r="S62" s="368">
        <f t="shared" si="59"/>
        <v>0</v>
      </c>
      <c r="T62" s="368">
        <f t="shared" si="59"/>
        <v>0</v>
      </c>
      <c r="U62" s="368">
        <f t="shared" si="59"/>
        <v>0</v>
      </c>
      <c r="V62" s="368">
        <f t="shared" si="59"/>
        <v>0</v>
      </c>
      <c r="W62" s="368">
        <f t="shared" si="59"/>
        <v>0</v>
      </c>
      <c r="X62" s="368">
        <f t="shared" si="59"/>
        <v>0</v>
      </c>
      <c r="Y62" s="368">
        <f t="shared" si="59"/>
        <v>0</v>
      </c>
      <c r="Z62" s="368">
        <f t="shared" si="59"/>
        <v>0</v>
      </c>
      <c r="AA62" s="368">
        <f t="shared" si="59"/>
        <v>0</v>
      </c>
      <c r="AB62" s="368">
        <f t="shared" si="59"/>
        <v>0</v>
      </c>
      <c r="AV62" s="700" t="str">
        <f t="shared" si="33"/>
        <v/>
      </c>
    </row>
    <row r="63" spans="1:64" x14ac:dyDescent="0.25">
      <c r="A63" s="22"/>
      <c r="B63" s="186" t="str">
        <f t="shared" si="58"/>
        <v>TCARETH900</v>
      </c>
      <c r="C63" s="186"/>
      <c r="D63" s="187"/>
      <c r="E63" s="186"/>
      <c r="F63" s="170"/>
      <c r="G63" s="189"/>
      <c r="H63" s="170"/>
      <c r="I63" s="190"/>
      <c r="J63" s="191"/>
      <c r="K63" s="191"/>
      <c r="L63" s="211" t="s">
        <v>1130</v>
      </c>
      <c r="M63" s="186" t="s">
        <v>1131</v>
      </c>
      <c r="N63" s="376">
        <f>LOOKUP($C$58, T_NCAP_AF!$C$20:$C$30, T_NCAP_AF!D$20:D$30)*(1+N26)</f>
        <v>0</v>
      </c>
      <c r="O63" s="376">
        <f>LOOKUP($C$58, T_NCAP_AF!$C$20:$C$30, T_NCAP_AF!E$20:E$30)*(1+O26)</f>
        <v>0</v>
      </c>
      <c r="P63" s="376">
        <f>LOOKUP($C$58, T_NCAP_AF!$C$20:$C$30, T_NCAP_AF!F$20:F$30)*(1+P26)</f>
        <v>0</v>
      </c>
      <c r="Q63" s="376">
        <f>LOOKUP($C$58, T_NCAP_AF!$C$20:$C$30, T_NCAP_AF!G$20:G$30)*(1+Q26)</f>
        <v>0</v>
      </c>
      <c r="R63" s="376">
        <f>LOOKUP($C$58, T_NCAP_AF!$C$20:$C$30, T_NCAP_AF!H$20:H$30)*(1+R26)</f>
        <v>0</v>
      </c>
      <c r="S63" s="376">
        <f>LOOKUP($C$58, T_NCAP_AF!$C$20:$C$30, T_NCAP_AF!I$20:I$30)*(1+S26)</f>
        <v>0</v>
      </c>
      <c r="T63" s="376">
        <f>LOOKUP($C$58, T_NCAP_AF!$C$20:$C$30, T_NCAP_AF!J$20:J$30)*(1+T26)</f>
        <v>0</v>
      </c>
      <c r="U63" s="376">
        <f>LOOKUP($C$58, T_NCAP_AF!$C$20:$C$30, T_NCAP_AF!K$20:K$30)*(1+U26)</f>
        <v>0</v>
      </c>
      <c r="V63" s="376">
        <f>LOOKUP($C$58, T_NCAP_AF!$C$20:$C$30, T_NCAP_AF!L$20:L$30)*(1+V26)</f>
        <v>0</v>
      </c>
      <c r="W63" s="376">
        <f>LOOKUP($C$58, T_NCAP_AF!$C$20:$C$30, T_NCAP_AF!M$20:M$30)*(1+W26)</f>
        <v>0</v>
      </c>
      <c r="X63" s="376">
        <f>LOOKUP($C$58, T_NCAP_AF!$C$20:$C$30, T_NCAP_AF!N$20:N$30)*(1+X26)</f>
        <v>0</v>
      </c>
      <c r="Y63" s="376">
        <f>LOOKUP($C$58, T_NCAP_AF!$C$20:$C$30, T_NCAP_AF!O$20:O$30)*(1+Y26)</f>
        <v>0</v>
      </c>
      <c r="Z63" s="376">
        <f>LOOKUP($C$58, T_NCAP_AF!$C$20:$C$30, T_NCAP_AF!P$20:P$30)*(1+Z26)</f>
        <v>0</v>
      </c>
      <c r="AA63" s="376">
        <f>LOOKUP($C$58, T_NCAP_AF!$C$20:$C$30, T_NCAP_AF!Q$20:Q$30)*(1+AA26)</f>
        <v>0</v>
      </c>
      <c r="AB63" s="376">
        <f>LOOKUP($C$58, T_NCAP_AF!$C$20:$C$30, T_NCAP_AF!R$20:R$30)*(1+AB26)</f>
        <v>0</v>
      </c>
      <c r="AV63" s="700" t="str">
        <f t="shared" si="33"/>
        <v/>
      </c>
    </row>
    <row r="64" spans="1:64" x14ac:dyDescent="0.25">
      <c r="A64" s="22"/>
      <c r="B64" s="186" t="str">
        <f>B63</f>
        <v>TCARETH900</v>
      </c>
      <c r="C64" s="186"/>
      <c r="D64" s="187"/>
      <c r="E64" s="186"/>
      <c r="F64" s="170"/>
      <c r="G64" s="189"/>
      <c r="H64" s="170"/>
      <c r="I64" s="190">
        <f>$M$3</f>
        <v>2019</v>
      </c>
      <c r="J64" s="191"/>
      <c r="K64" s="191"/>
      <c r="L64" s="211" t="s">
        <v>1065</v>
      </c>
      <c r="M64" s="186" t="s">
        <v>748</v>
      </c>
      <c r="N64" s="687">
        <f>LOOKUP($C$58, 'T_Stock_TOTAL_&amp;_City'!$C$10:$C$20, 'T_Stock_TOTAL_&amp;_City'!D$10:D$20)*(1+N27)</f>
        <v>0</v>
      </c>
      <c r="O64" s="687">
        <f>LOOKUP($C$58, 'T_Stock_TOTAL_&amp;_City'!$C$10:$C$20, 'T_Stock_TOTAL_&amp;_City'!E$10:E$20)*(1+O27)</f>
        <v>0</v>
      </c>
      <c r="P64" s="687">
        <f>LOOKUP($C$58, 'T_Stock_TOTAL_&amp;_City'!$C$10:$C$20, 'T_Stock_TOTAL_&amp;_City'!F$10:F$20)*(1+P27)</f>
        <v>0</v>
      </c>
      <c r="Q64" s="687">
        <f>LOOKUP($C$58, 'T_Stock_TOTAL_&amp;_City'!$C$10:$C$20, 'T_Stock_TOTAL_&amp;_City'!G$10:G$20)*(1+Q27)</f>
        <v>0</v>
      </c>
      <c r="R64" s="687">
        <f>LOOKUP($C$58, 'T_Stock_TOTAL_&amp;_City'!$C$10:$C$20, 'T_Stock_TOTAL_&amp;_City'!H$10:H$20)*(1+R27)</f>
        <v>0</v>
      </c>
      <c r="S64" s="687">
        <f>LOOKUP($C$58, 'T_Stock_TOTAL_&amp;_City'!$C$10:$C$20, 'T_Stock_TOTAL_&amp;_City'!I$10:I$20)*(1+S27)</f>
        <v>0</v>
      </c>
      <c r="T64" s="687">
        <f>LOOKUP($C$58, 'T_Stock_TOTAL_&amp;_City'!$C$10:$C$20, 'T_Stock_TOTAL_&amp;_City'!J$10:J$20)*(1+T27)</f>
        <v>0</v>
      </c>
      <c r="U64" s="687">
        <f>LOOKUP($C$58, 'T_Stock_TOTAL_&amp;_City'!$C$10:$C$20, 'T_Stock_TOTAL_&amp;_City'!K$10:K$20)*(1+U27)</f>
        <v>0</v>
      </c>
      <c r="V64" s="687">
        <f>LOOKUP($C$58, 'T_Stock_TOTAL_&amp;_City'!$C$10:$C$20, 'T_Stock_TOTAL_&amp;_City'!L$10:L$20)*(1+V27)</f>
        <v>0</v>
      </c>
      <c r="W64" s="687">
        <f>LOOKUP($C$58, 'T_Stock_TOTAL_&amp;_City'!$C$10:$C$20, 'T_Stock_TOTAL_&amp;_City'!M$10:M$20)*(1+W27)</f>
        <v>0</v>
      </c>
      <c r="X64" s="687">
        <f>LOOKUP($C$58, 'T_Stock_TOTAL_&amp;_City'!$C$10:$C$20, 'T_Stock_TOTAL_&amp;_City'!N$10:N$20)*(1+X27)</f>
        <v>0</v>
      </c>
      <c r="Y64" s="687">
        <f>LOOKUP($C$58, 'T_Stock_TOTAL_&amp;_City'!$C$10:$C$20, 'T_Stock_TOTAL_&amp;_City'!O$10:O$20)*(1+Y27)</f>
        <v>0</v>
      </c>
      <c r="Z64" s="687">
        <f>LOOKUP($C$58, 'T_Stock_TOTAL_&amp;_City'!$C$10:$C$20, 'T_Stock_TOTAL_&amp;_City'!P$10:P$20)*(1+Z27)</f>
        <v>0</v>
      </c>
      <c r="AA64" s="687">
        <f>LOOKUP($C$58, 'T_Stock_TOTAL_&amp;_City'!$C$10:$C$20, 'T_Stock_TOTAL_&amp;_City'!Q$10:Q$20)*(1+AA27)</f>
        <v>0</v>
      </c>
      <c r="AB64" s="687">
        <f>LOOKUP($C$58, 'T_Stock_TOTAL_&amp;_City'!$C$10:$C$20, 'T_Stock_TOTAL_&amp;_City'!R$10:R$20)*(1+AB27)</f>
        <v>0</v>
      </c>
      <c r="AV64" s="700" t="str">
        <f t="shared" si="33"/>
        <v/>
      </c>
    </row>
    <row r="65" spans="1:64" x14ac:dyDescent="0.25">
      <c r="A65" s="22"/>
      <c r="B65" s="186" t="str">
        <f t="shared" si="58"/>
        <v>TCARETH900</v>
      </c>
      <c r="C65" s="186"/>
      <c r="D65" s="187"/>
      <c r="E65" s="186"/>
      <c r="F65" s="170"/>
      <c r="G65" s="189"/>
      <c r="H65" s="170"/>
      <c r="I65" s="190">
        <f>AF$15</f>
        <v>2016</v>
      </c>
      <c r="J65" s="191"/>
      <c r="K65" s="191"/>
      <c r="L65" s="211" t="s">
        <v>1065</v>
      </c>
      <c r="M65" s="186" t="s">
        <v>748</v>
      </c>
      <c r="N65" s="687">
        <f t="shared" ref="N65:AB65" si="60">N$64*LOOKUP($AD$58,$AG$14:$AP$14,$AG15:$AP15)</f>
        <v>0</v>
      </c>
      <c r="O65" s="687">
        <f t="shared" si="60"/>
        <v>0</v>
      </c>
      <c r="P65" s="687">
        <f t="shared" si="60"/>
        <v>0</v>
      </c>
      <c r="Q65" s="687">
        <f t="shared" si="60"/>
        <v>0</v>
      </c>
      <c r="R65" s="687">
        <f t="shared" si="60"/>
        <v>0</v>
      </c>
      <c r="S65" s="687">
        <f t="shared" si="60"/>
        <v>0</v>
      </c>
      <c r="T65" s="687">
        <f t="shared" si="60"/>
        <v>0</v>
      </c>
      <c r="U65" s="687">
        <f t="shared" si="60"/>
        <v>0</v>
      </c>
      <c r="V65" s="687">
        <f t="shared" si="60"/>
        <v>0</v>
      </c>
      <c r="W65" s="687">
        <f t="shared" si="60"/>
        <v>0</v>
      </c>
      <c r="X65" s="687">
        <f t="shared" si="60"/>
        <v>0</v>
      </c>
      <c r="Y65" s="687">
        <f t="shared" si="60"/>
        <v>0</v>
      </c>
      <c r="Z65" s="687">
        <f t="shared" si="60"/>
        <v>0</v>
      </c>
      <c r="AA65" s="687">
        <f t="shared" si="60"/>
        <v>0</v>
      </c>
      <c r="AB65" s="687">
        <f t="shared" si="60"/>
        <v>0</v>
      </c>
      <c r="AE65" s="569">
        <f>SUM(AF65:AT65)</f>
        <v>0</v>
      </c>
      <c r="AF65" s="568">
        <f t="shared" ref="AF65:AT65" si="61">N62*N63*N64/1000</f>
        <v>0</v>
      </c>
      <c r="AG65" s="568">
        <f t="shared" si="61"/>
        <v>0</v>
      </c>
      <c r="AH65" s="568">
        <f t="shared" si="61"/>
        <v>0</v>
      </c>
      <c r="AI65" s="568">
        <f t="shared" si="61"/>
        <v>0</v>
      </c>
      <c r="AJ65" s="568">
        <f t="shared" si="61"/>
        <v>0</v>
      </c>
      <c r="AK65" s="568">
        <f t="shared" si="61"/>
        <v>0</v>
      </c>
      <c r="AL65" s="568">
        <f t="shared" si="61"/>
        <v>0</v>
      </c>
      <c r="AM65" s="568">
        <f t="shared" si="61"/>
        <v>0</v>
      </c>
      <c r="AN65" s="568">
        <f t="shared" si="61"/>
        <v>0</v>
      </c>
      <c r="AO65" s="568">
        <f t="shared" si="61"/>
        <v>0</v>
      </c>
      <c r="AP65" s="568">
        <f t="shared" si="61"/>
        <v>0</v>
      </c>
      <c r="AQ65" s="568">
        <f t="shared" si="61"/>
        <v>0</v>
      </c>
      <c r="AR65" s="568">
        <f t="shared" si="61"/>
        <v>0</v>
      </c>
      <c r="AS65" s="568">
        <f t="shared" si="61"/>
        <v>0</v>
      </c>
      <c r="AT65" s="568">
        <f t="shared" si="61"/>
        <v>0</v>
      </c>
      <c r="AV65" s="700" t="str">
        <f t="shared" si="33"/>
        <v/>
      </c>
    </row>
    <row r="66" spans="1:64" x14ac:dyDescent="0.25">
      <c r="A66" s="22"/>
      <c r="B66" s="186" t="str">
        <f t="shared" si="58"/>
        <v>TCARETH900</v>
      </c>
      <c r="C66" s="186"/>
      <c r="D66" s="187"/>
      <c r="E66" s="186"/>
      <c r="F66" s="170"/>
      <c r="G66" s="189"/>
      <c r="H66" s="170"/>
      <c r="I66" s="190">
        <f>AF$16</f>
        <v>2020</v>
      </c>
      <c r="J66" s="191"/>
      <c r="K66" s="191"/>
      <c r="L66" s="211" t="s">
        <v>1065</v>
      </c>
      <c r="M66" s="186" t="s">
        <v>748</v>
      </c>
      <c r="N66" s="687">
        <f t="shared" ref="N66:AB66" si="62">N$64*LOOKUP($AD$58,$AG$14:$AP$14,$AG16:$AP16)</f>
        <v>0</v>
      </c>
      <c r="O66" s="687">
        <f t="shared" si="62"/>
        <v>0</v>
      </c>
      <c r="P66" s="687">
        <f t="shared" si="62"/>
        <v>0</v>
      </c>
      <c r="Q66" s="687">
        <f t="shared" si="62"/>
        <v>0</v>
      </c>
      <c r="R66" s="687">
        <f t="shared" si="62"/>
        <v>0</v>
      </c>
      <c r="S66" s="687">
        <f t="shared" si="62"/>
        <v>0</v>
      </c>
      <c r="T66" s="687">
        <f t="shared" si="62"/>
        <v>0</v>
      </c>
      <c r="U66" s="687">
        <f t="shared" si="62"/>
        <v>0</v>
      </c>
      <c r="V66" s="687">
        <f t="shared" si="62"/>
        <v>0</v>
      </c>
      <c r="W66" s="687">
        <f t="shared" si="62"/>
        <v>0</v>
      </c>
      <c r="X66" s="687">
        <f t="shared" si="62"/>
        <v>0</v>
      </c>
      <c r="Y66" s="687">
        <f t="shared" si="62"/>
        <v>0</v>
      </c>
      <c r="Z66" s="687">
        <f t="shared" si="62"/>
        <v>0</v>
      </c>
      <c r="AA66" s="687">
        <f t="shared" si="62"/>
        <v>0</v>
      </c>
      <c r="AB66" s="687">
        <f t="shared" si="62"/>
        <v>0</v>
      </c>
      <c r="AV66" s="700" t="str">
        <f t="shared" si="33"/>
        <v/>
      </c>
    </row>
    <row r="67" spans="1:64" x14ac:dyDescent="0.25">
      <c r="A67" s="22"/>
      <c r="B67" s="186" t="str">
        <f t="shared" si="58"/>
        <v>TCARETH900</v>
      </c>
      <c r="C67" s="186"/>
      <c r="D67" s="187"/>
      <c r="E67" s="186"/>
      <c r="F67" s="170"/>
      <c r="G67" s="189"/>
      <c r="H67" s="170"/>
      <c r="I67" s="190">
        <v>2025</v>
      </c>
      <c r="J67" s="191"/>
      <c r="K67" s="191"/>
      <c r="L67" s="211" t="s">
        <v>1065</v>
      </c>
      <c r="M67" s="186" t="s">
        <v>748</v>
      </c>
      <c r="N67" s="687">
        <f t="shared" ref="N67:AB67" si="63">N$64*LOOKUP($AD$58,$AG$14:$AP$14,$AG17:$AP17)</f>
        <v>0</v>
      </c>
      <c r="O67" s="687">
        <f t="shared" si="63"/>
        <v>0</v>
      </c>
      <c r="P67" s="687">
        <f t="shared" si="63"/>
        <v>0</v>
      </c>
      <c r="Q67" s="687">
        <f t="shared" si="63"/>
        <v>0</v>
      </c>
      <c r="R67" s="687">
        <f t="shared" si="63"/>
        <v>0</v>
      </c>
      <c r="S67" s="687">
        <f t="shared" si="63"/>
        <v>0</v>
      </c>
      <c r="T67" s="687">
        <f t="shared" si="63"/>
        <v>0</v>
      </c>
      <c r="U67" s="687">
        <f t="shared" si="63"/>
        <v>0</v>
      </c>
      <c r="V67" s="687">
        <f t="shared" si="63"/>
        <v>0</v>
      </c>
      <c r="W67" s="687">
        <f t="shared" si="63"/>
        <v>0</v>
      </c>
      <c r="X67" s="687">
        <f t="shared" si="63"/>
        <v>0</v>
      </c>
      <c r="Y67" s="687">
        <f t="shared" si="63"/>
        <v>0</v>
      </c>
      <c r="Z67" s="687">
        <f t="shared" si="63"/>
        <v>0</v>
      </c>
      <c r="AA67" s="687">
        <f t="shared" si="63"/>
        <v>0</v>
      </c>
      <c r="AB67" s="687">
        <f t="shared" si="63"/>
        <v>0</v>
      </c>
      <c r="AV67" s="700" t="str">
        <f t="shared" si="33"/>
        <v/>
      </c>
    </row>
    <row r="68" spans="1:64" x14ac:dyDescent="0.25">
      <c r="A68" s="22"/>
      <c r="B68" s="186" t="str">
        <f t="shared" si="58"/>
        <v>TCARETH900</v>
      </c>
      <c r="C68" s="186"/>
      <c r="D68" s="187"/>
      <c r="E68" s="186"/>
      <c r="F68" s="170"/>
      <c r="G68" s="189"/>
      <c r="H68" s="170"/>
      <c r="I68" s="190">
        <f>AF$18</f>
        <v>2030</v>
      </c>
      <c r="J68" s="191"/>
      <c r="K68" s="191"/>
      <c r="L68" s="211" t="s">
        <v>1065</v>
      </c>
      <c r="M68" s="186" t="s">
        <v>748</v>
      </c>
      <c r="N68" s="687">
        <f t="shared" ref="N68:AB68" si="64">N$64*LOOKUP($AD$58,$AG$14:$AP$14,$AG18:$AP18)</f>
        <v>0</v>
      </c>
      <c r="O68" s="687">
        <f t="shared" si="64"/>
        <v>0</v>
      </c>
      <c r="P68" s="687">
        <f t="shared" si="64"/>
        <v>0</v>
      </c>
      <c r="Q68" s="687">
        <f t="shared" si="64"/>
        <v>0</v>
      </c>
      <c r="R68" s="687">
        <f t="shared" si="64"/>
        <v>0</v>
      </c>
      <c r="S68" s="687">
        <f t="shared" si="64"/>
        <v>0</v>
      </c>
      <c r="T68" s="687">
        <f t="shared" si="64"/>
        <v>0</v>
      </c>
      <c r="U68" s="687">
        <f t="shared" si="64"/>
        <v>0</v>
      </c>
      <c r="V68" s="687">
        <f t="shared" si="64"/>
        <v>0</v>
      </c>
      <c r="W68" s="687">
        <f t="shared" si="64"/>
        <v>0</v>
      </c>
      <c r="X68" s="687">
        <f t="shared" si="64"/>
        <v>0</v>
      </c>
      <c r="Y68" s="687">
        <f t="shared" si="64"/>
        <v>0</v>
      </c>
      <c r="Z68" s="687">
        <f t="shared" si="64"/>
        <v>0</v>
      </c>
      <c r="AA68" s="687">
        <f t="shared" si="64"/>
        <v>0</v>
      </c>
      <c r="AB68" s="687">
        <f t="shared" si="64"/>
        <v>0</v>
      </c>
      <c r="AV68" s="700" t="str">
        <f t="shared" si="33"/>
        <v/>
      </c>
    </row>
    <row r="69" spans="1:64" x14ac:dyDescent="0.25">
      <c r="A69" s="22"/>
      <c r="B69" s="186" t="str">
        <f t="shared" si="58"/>
        <v>TCARETH900</v>
      </c>
      <c r="C69" s="186"/>
      <c r="D69" s="187"/>
      <c r="E69" s="186"/>
      <c r="F69" s="170"/>
      <c r="G69" s="189"/>
      <c r="H69" s="170"/>
      <c r="I69" s="190">
        <f>AF$19</f>
        <v>2040</v>
      </c>
      <c r="J69" s="191"/>
      <c r="K69" s="191"/>
      <c r="L69" s="211" t="s">
        <v>1065</v>
      </c>
      <c r="M69" s="186" t="s">
        <v>748</v>
      </c>
      <c r="N69" s="687">
        <f t="shared" ref="N69:AB69" si="65">N$64*LOOKUP($AD$58,$AG$14:$AP$14,$AG19:$AP19)</f>
        <v>0</v>
      </c>
      <c r="O69" s="687">
        <f t="shared" si="65"/>
        <v>0</v>
      </c>
      <c r="P69" s="687">
        <f t="shared" si="65"/>
        <v>0</v>
      </c>
      <c r="Q69" s="687">
        <f t="shared" si="65"/>
        <v>0</v>
      </c>
      <c r="R69" s="687">
        <f t="shared" si="65"/>
        <v>0</v>
      </c>
      <c r="S69" s="687">
        <f t="shared" si="65"/>
        <v>0</v>
      </c>
      <c r="T69" s="687">
        <f t="shared" si="65"/>
        <v>0</v>
      </c>
      <c r="U69" s="687">
        <f t="shared" si="65"/>
        <v>0</v>
      </c>
      <c r="V69" s="687">
        <f t="shared" si="65"/>
        <v>0</v>
      </c>
      <c r="W69" s="687">
        <f t="shared" si="65"/>
        <v>0</v>
      </c>
      <c r="X69" s="687">
        <f t="shared" si="65"/>
        <v>0</v>
      </c>
      <c r="Y69" s="687">
        <f t="shared" si="65"/>
        <v>0</v>
      </c>
      <c r="Z69" s="687">
        <f t="shared" si="65"/>
        <v>0</v>
      </c>
      <c r="AA69" s="687">
        <f t="shared" si="65"/>
        <v>0</v>
      </c>
      <c r="AB69" s="687">
        <f t="shared" si="65"/>
        <v>0</v>
      </c>
      <c r="AV69" s="700" t="str">
        <f t="shared" si="33"/>
        <v/>
      </c>
    </row>
    <row r="70" spans="1:64" x14ac:dyDescent="0.25">
      <c r="A70" s="22"/>
      <c r="B70" s="193" t="str">
        <f t="shared" si="58"/>
        <v>TCARETH900</v>
      </c>
      <c r="C70" s="193"/>
      <c r="D70" s="194"/>
      <c r="E70" s="193"/>
      <c r="F70" s="196"/>
      <c r="G70" s="195"/>
      <c r="H70" s="196"/>
      <c r="I70" s="197">
        <f>AF$20</f>
        <v>2050</v>
      </c>
      <c r="J70" s="198"/>
      <c r="K70" s="198"/>
      <c r="L70" s="212" t="s">
        <v>1065</v>
      </c>
      <c r="M70" s="193" t="s">
        <v>748</v>
      </c>
      <c r="N70" s="688">
        <f t="shared" ref="N70:AB70" si="66">N$64*LOOKUP($AD$58,$AG$14:$AP$14,$AG20:$AP20)</f>
        <v>0</v>
      </c>
      <c r="O70" s="688">
        <f t="shared" si="66"/>
        <v>0</v>
      </c>
      <c r="P70" s="688">
        <f t="shared" si="66"/>
        <v>0</v>
      </c>
      <c r="Q70" s="688">
        <f t="shared" si="66"/>
        <v>0</v>
      </c>
      <c r="R70" s="688">
        <f t="shared" si="66"/>
        <v>0</v>
      </c>
      <c r="S70" s="688">
        <f t="shared" si="66"/>
        <v>0</v>
      </c>
      <c r="T70" s="688">
        <f t="shared" si="66"/>
        <v>0</v>
      </c>
      <c r="U70" s="688">
        <f t="shared" si="66"/>
        <v>0</v>
      </c>
      <c r="V70" s="688">
        <f t="shared" si="66"/>
        <v>0</v>
      </c>
      <c r="W70" s="688">
        <f t="shared" si="66"/>
        <v>0</v>
      </c>
      <c r="X70" s="688">
        <f t="shared" si="66"/>
        <v>0</v>
      </c>
      <c r="Y70" s="688">
        <f t="shared" si="66"/>
        <v>0</v>
      </c>
      <c r="Z70" s="688">
        <f t="shared" si="66"/>
        <v>0</v>
      </c>
      <c r="AA70" s="688">
        <f t="shared" si="66"/>
        <v>0</v>
      </c>
      <c r="AB70" s="688">
        <f t="shared" si="66"/>
        <v>0</v>
      </c>
      <c r="AD70" s="400"/>
      <c r="AV70" s="700" t="str">
        <f t="shared" si="33"/>
        <v/>
      </c>
    </row>
    <row r="71" spans="1:64" x14ac:dyDescent="0.25">
      <c r="A71" s="22"/>
      <c r="B71" s="186" t="str">
        <f>C71</f>
        <v>TCARGAS900</v>
      </c>
      <c r="C71" s="186" t="s">
        <v>532</v>
      </c>
      <c r="D71" s="187" t="s">
        <v>785</v>
      </c>
      <c r="E71" s="258" t="s">
        <v>994</v>
      </c>
      <c r="F71" s="170"/>
      <c r="G71" s="189"/>
      <c r="H71" s="170"/>
      <c r="I71" s="190"/>
      <c r="J71" s="191"/>
      <c r="K71" s="191"/>
      <c r="L71" s="211" t="s">
        <v>1107</v>
      </c>
      <c r="M71" s="191" t="s">
        <v>1156</v>
      </c>
      <c r="N71" s="366">
        <f>N$32</f>
        <v>1E-3</v>
      </c>
      <c r="O71" s="366">
        <f t="shared" ref="O71:AB71" si="67">$N71</f>
        <v>1E-3</v>
      </c>
      <c r="P71" s="366">
        <f t="shared" si="67"/>
        <v>1E-3</v>
      </c>
      <c r="Q71" s="366">
        <f t="shared" si="67"/>
        <v>1E-3</v>
      </c>
      <c r="R71" s="366">
        <f t="shared" si="67"/>
        <v>1E-3</v>
      </c>
      <c r="S71" s="366">
        <f t="shared" si="67"/>
        <v>1E-3</v>
      </c>
      <c r="T71" s="366">
        <f t="shared" si="67"/>
        <v>1E-3</v>
      </c>
      <c r="U71" s="366">
        <f t="shared" si="67"/>
        <v>1E-3</v>
      </c>
      <c r="V71" s="366">
        <f t="shared" si="67"/>
        <v>1E-3</v>
      </c>
      <c r="W71" s="366">
        <f t="shared" si="67"/>
        <v>1E-3</v>
      </c>
      <c r="X71" s="366">
        <f t="shared" si="67"/>
        <v>1E-3</v>
      </c>
      <c r="Y71" s="366">
        <f t="shared" si="67"/>
        <v>1E-3</v>
      </c>
      <c r="Z71" s="366">
        <f t="shared" si="67"/>
        <v>1E-3</v>
      </c>
      <c r="AA71" s="366">
        <f t="shared" si="67"/>
        <v>1E-3</v>
      </c>
      <c r="AB71" s="366">
        <f t="shared" si="67"/>
        <v>1E-3</v>
      </c>
      <c r="AD71" s="56" t="str">
        <f>MID(D71,5,3)</f>
        <v>GAS</v>
      </c>
      <c r="AV71" s="700" t="str">
        <f t="shared" si="33"/>
        <v>TRABGS</v>
      </c>
      <c r="AW71" s="568">
        <f t="shared" ref="AW71:AW73" si="68">SUM(AX71:BL71)</f>
        <v>0</v>
      </c>
      <c r="AX71" s="568">
        <f>N$77*N$78*0.6/N$75/1000</f>
        <v>0</v>
      </c>
      <c r="AY71" s="568">
        <f t="shared" ref="AY71:BL71" si="69">O$77*O$78*0.6/O$75/1000</f>
        <v>0</v>
      </c>
      <c r="AZ71" s="568">
        <f t="shared" si="69"/>
        <v>0</v>
      </c>
      <c r="BA71" s="568">
        <f t="shared" si="69"/>
        <v>0</v>
      </c>
      <c r="BB71" s="568">
        <f t="shared" si="69"/>
        <v>0</v>
      </c>
      <c r="BC71" s="568">
        <f t="shared" si="69"/>
        <v>0</v>
      </c>
      <c r="BD71" s="568">
        <f t="shared" si="69"/>
        <v>0</v>
      </c>
      <c r="BE71" s="568">
        <f t="shared" si="69"/>
        <v>0</v>
      </c>
      <c r="BF71" s="568">
        <f t="shared" si="69"/>
        <v>0</v>
      </c>
      <c r="BG71" s="568">
        <f t="shared" si="69"/>
        <v>0</v>
      </c>
      <c r="BH71" s="568">
        <f t="shared" si="69"/>
        <v>0</v>
      </c>
      <c r="BI71" s="568">
        <f t="shared" si="69"/>
        <v>0</v>
      </c>
      <c r="BJ71" s="568">
        <f t="shared" si="69"/>
        <v>0</v>
      </c>
      <c r="BK71" s="568">
        <f t="shared" si="69"/>
        <v>0</v>
      </c>
      <c r="BL71" s="568">
        <f t="shared" si="69"/>
        <v>0</v>
      </c>
    </row>
    <row r="72" spans="1:64" x14ac:dyDescent="0.25">
      <c r="A72" s="22"/>
      <c r="B72" s="186" t="str">
        <f>B71</f>
        <v>TCARGAS900</v>
      </c>
      <c r="C72" s="186"/>
      <c r="D72" s="187"/>
      <c r="E72" s="188" t="s">
        <v>1039</v>
      </c>
      <c r="F72" s="170"/>
      <c r="G72" s="189"/>
      <c r="H72" s="170"/>
      <c r="I72" s="190"/>
      <c r="J72" s="191" t="s">
        <v>1157</v>
      </c>
      <c r="K72" s="191"/>
      <c r="L72" s="211" t="s">
        <v>101</v>
      </c>
      <c r="M72" s="186"/>
      <c r="N72" s="377">
        <f>N22*0.25</f>
        <v>0.2</v>
      </c>
      <c r="O72" s="377">
        <f t="shared" ref="O72:AB72" si="70">O22*0.25</f>
        <v>0.2</v>
      </c>
      <c r="P72" s="377">
        <f t="shared" si="70"/>
        <v>0.2</v>
      </c>
      <c r="Q72" s="377">
        <f t="shared" si="70"/>
        <v>0.2</v>
      </c>
      <c r="R72" s="377">
        <f t="shared" si="70"/>
        <v>0.2</v>
      </c>
      <c r="S72" s="377">
        <f t="shared" si="70"/>
        <v>0.2</v>
      </c>
      <c r="T72" s="377">
        <f t="shared" si="70"/>
        <v>0.2</v>
      </c>
      <c r="U72" s="377">
        <f t="shared" si="70"/>
        <v>0.2</v>
      </c>
      <c r="V72" s="377">
        <f t="shared" si="70"/>
        <v>0.2</v>
      </c>
      <c r="W72" s="377">
        <f t="shared" si="70"/>
        <v>0.2</v>
      </c>
      <c r="X72" s="377">
        <f t="shared" si="70"/>
        <v>0.2</v>
      </c>
      <c r="Y72" s="377">
        <f t="shared" si="70"/>
        <v>0.2</v>
      </c>
      <c r="Z72" s="377">
        <f t="shared" si="70"/>
        <v>0.2</v>
      </c>
      <c r="AA72" s="377">
        <f t="shared" si="70"/>
        <v>0.2</v>
      </c>
      <c r="AB72" s="377">
        <f t="shared" si="70"/>
        <v>0.2</v>
      </c>
      <c r="AD72" s="399" t="str">
        <f>IF(COUNTIF($AG$14:$AP$14,AD71)=1,"ok","MISSING")</f>
        <v>ok</v>
      </c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V72" s="700" t="str">
        <f t="shared" si="33"/>
        <v>TRANGS</v>
      </c>
      <c r="AW72" s="568">
        <f t="shared" si="68"/>
        <v>0</v>
      </c>
      <c r="AX72" s="568">
        <f>N$77*N$78*0.2/N$75/1000</f>
        <v>0</v>
      </c>
      <c r="AY72" s="568">
        <f t="shared" ref="AY72:BL73" si="71">O$77*O$78*0.2/O$75/1000</f>
        <v>0</v>
      </c>
      <c r="AZ72" s="568">
        <f t="shared" si="71"/>
        <v>0</v>
      </c>
      <c r="BA72" s="568">
        <f t="shared" si="71"/>
        <v>0</v>
      </c>
      <c r="BB72" s="568">
        <f t="shared" si="71"/>
        <v>0</v>
      </c>
      <c r="BC72" s="568">
        <f t="shared" si="71"/>
        <v>0</v>
      </c>
      <c r="BD72" s="568">
        <f t="shared" si="71"/>
        <v>0</v>
      </c>
      <c r="BE72" s="568">
        <f t="shared" si="71"/>
        <v>0</v>
      </c>
      <c r="BF72" s="568">
        <f t="shared" si="71"/>
        <v>0</v>
      </c>
      <c r="BG72" s="568">
        <f t="shared" si="71"/>
        <v>0</v>
      </c>
      <c r="BH72" s="568">
        <f t="shared" si="71"/>
        <v>0</v>
      </c>
      <c r="BI72" s="568">
        <f t="shared" si="71"/>
        <v>0</v>
      </c>
      <c r="BJ72" s="568">
        <f t="shared" si="71"/>
        <v>0</v>
      </c>
      <c r="BK72" s="568">
        <f t="shared" si="71"/>
        <v>0</v>
      </c>
      <c r="BL72" s="568">
        <f t="shared" si="71"/>
        <v>0</v>
      </c>
    </row>
    <row r="73" spans="1:64" x14ac:dyDescent="0.25">
      <c r="A73" s="22"/>
      <c r="B73" s="186" t="str">
        <f>B72</f>
        <v>TCARGAS900</v>
      </c>
      <c r="C73" s="186"/>
      <c r="D73" s="187"/>
      <c r="E73" s="188" t="s">
        <v>1014</v>
      </c>
      <c r="F73" s="170"/>
      <c r="G73" s="189"/>
      <c r="H73" s="170"/>
      <c r="I73" s="190"/>
      <c r="J73" s="191" t="s">
        <v>1157</v>
      </c>
      <c r="K73" s="191"/>
      <c r="L73" s="211" t="s">
        <v>101</v>
      </c>
      <c r="M73" s="186"/>
      <c r="N73" s="377">
        <f>1-N22</f>
        <v>0.19999999999999996</v>
      </c>
      <c r="O73" s="377">
        <f t="shared" ref="O73:AB73" si="72">1-O22</f>
        <v>0.19999999999999996</v>
      </c>
      <c r="P73" s="377">
        <f t="shared" si="72"/>
        <v>0.19999999999999996</v>
      </c>
      <c r="Q73" s="377">
        <f t="shared" si="72"/>
        <v>0.19999999999999996</v>
      </c>
      <c r="R73" s="377">
        <f t="shared" si="72"/>
        <v>0.19999999999999996</v>
      </c>
      <c r="S73" s="377">
        <f t="shared" si="72"/>
        <v>0.19999999999999996</v>
      </c>
      <c r="T73" s="377">
        <f t="shared" si="72"/>
        <v>0.19999999999999996</v>
      </c>
      <c r="U73" s="377">
        <f t="shared" si="72"/>
        <v>0.19999999999999996</v>
      </c>
      <c r="V73" s="377">
        <f t="shared" si="72"/>
        <v>0.19999999999999996</v>
      </c>
      <c r="W73" s="377">
        <f t="shared" si="72"/>
        <v>0.19999999999999996</v>
      </c>
      <c r="X73" s="377">
        <f t="shared" si="72"/>
        <v>0.19999999999999996</v>
      </c>
      <c r="Y73" s="377">
        <f t="shared" si="72"/>
        <v>0.19999999999999996</v>
      </c>
      <c r="Z73" s="377">
        <f t="shared" si="72"/>
        <v>0.19999999999999996</v>
      </c>
      <c r="AA73" s="377">
        <f t="shared" si="72"/>
        <v>0.19999999999999996</v>
      </c>
      <c r="AB73" s="377">
        <f t="shared" si="72"/>
        <v>0.19999999999999996</v>
      </c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V73" s="700" t="str">
        <f t="shared" si="33"/>
        <v>TRAGSL</v>
      </c>
      <c r="AW73" s="568">
        <f t="shared" si="68"/>
        <v>0</v>
      </c>
      <c r="AX73" s="568">
        <f>N$77*N$78*0.2/N$75/1000</f>
        <v>0</v>
      </c>
      <c r="AY73" s="568">
        <f t="shared" si="71"/>
        <v>0</v>
      </c>
      <c r="AZ73" s="568">
        <f t="shared" si="71"/>
        <v>0</v>
      </c>
      <c r="BA73" s="568">
        <f t="shared" si="71"/>
        <v>0</v>
      </c>
      <c r="BB73" s="568">
        <f t="shared" si="71"/>
        <v>0</v>
      </c>
      <c r="BC73" s="568">
        <f t="shared" si="71"/>
        <v>0</v>
      </c>
      <c r="BD73" s="568">
        <f t="shared" si="71"/>
        <v>0</v>
      </c>
      <c r="BE73" s="568">
        <f t="shared" si="71"/>
        <v>0</v>
      </c>
      <c r="BF73" s="568">
        <f t="shared" si="71"/>
        <v>0</v>
      </c>
      <c r="BG73" s="568">
        <f t="shared" si="71"/>
        <v>0</v>
      </c>
      <c r="BH73" s="568">
        <f t="shared" si="71"/>
        <v>0</v>
      </c>
      <c r="BI73" s="568">
        <f t="shared" si="71"/>
        <v>0</v>
      </c>
      <c r="BJ73" s="568">
        <f t="shared" si="71"/>
        <v>0</v>
      </c>
      <c r="BK73" s="568">
        <f t="shared" si="71"/>
        <v>0</v>
      </c>
      <c r="BL73" s="568">
        <f t="shared" si="71"/>
        <v>0</v>
      </c>
    </row>
    <row r="74" spans="1:64" x14ac:dyDescent="0.25">
      <c r="A74" s="22"/>
      <c r="B74" s="186" t="str">
        <f t="shared" ref="B74:B81" si="73">B73</f>
        <v>TCARGAS900</v>
      </c>
      <c r="C74" s="186"/>
      <c r="D74" s="187"/>
      <c r="E74" s="186"/>
      <c r="F74" s="170"/>
      <c r="G74" s="188" t="s">
        <v>406</v>
      </c>
      <c r="H74" s="170"/>
      <c r="I74" s="190"/>
      <c r="J74" s="191"/>
      <c r="K74" s="191"/>
      <c r="L74" s="191" t="s">
        <v>1126</v>
      </c>
      <c r="M74" s="186" t="s">
        <v>678</v>
      </c>
      <c r="N74" s="377">
        <f>T_CEFF!H40</f>
        <v>0.38646999999999998</v>
      </c>
      <c r="O74" s="377">
        <f>T_CEFF!I40</f>
        <v>0.38646999999999998</v>
      </c>
      <c r="P74" s="377">
        <f>T_CEFF!J40</f>
        <v>0.38646999999999998</v>
      </c>
      <c r="Q74" s="377">
        <f>T_CEFF!K40</f>
        <v>0.38646999999999998</v>
      </c>
      <c r="R74" s="377">
        <f>T_CEFF!L40</f>
        <v>0.38646999999999998</v>
      </c>
      <c r="S74" s="377">
        <f>T_CEFF!M40</f>
        <v>0.38646999999999998</v>
      </c>
      <c r="T74" s="377">
        <f>T_CEFF!N40</f>
        <v>0.38646999999999998</v>
      </c>
      <c r="U74" s="377">
        <f>T_CEFF!O40</f>
        <v>0.38646999999999998</v>
      </c>
      <c r="V74" s="377">
        <f>T_CEFF!P40</f>
        <v>0.38646999999999998</v>
      </c>
      <c r="W74" s="377">
        <f>T_CEFF!Q40</f>
        <v>0.38646999999999998</v>
      </c>
      <c r="X74" s="377">
        <f>T_CEFF!R40</f>
        <v>0.38646999999999998</v>
      </c>
      <c r="Y74" s="377">
        <f>T_CEFF!S40</f>
        <v>0.38646999999999998</v>
      </c>
      <c r="Z74" s="377">
        <f>T_CEFF!T40</f>
        <v>0.38646999999999998</v>
      </c>
      <c r="AA74" s="377">
        <f>T_CEFF!U40</f>
        <v>0.38646999999999998</v>
      </c>
      <c r="AB74" s="377">
        <f>T_CEFF!V40</f>
        <v>0.38646999999999998</v>
      </c>
      <c r="AV74" s="700" t="str">
        <f t="shared" si="33"/>
        <v/>
      </c>
    </row>
    <row r="75" spans="1:64" x14ac:dyDescent="0.25">
      <c r="A75" s="22"/>
      <c r="B75" s="186" t="str">
        <f t="shared" si="73"/>
        <v>TCARGAS900</v>
      </c>
      <c r="C75" s="186"/>
      <c r="D75" s="187"/>
      <c r="E75" s="186"/>
      <c r="F75" s="170"/>
      <c r="G75" s="188" t="s">
        <v>408</v>
      </c>
      <c r="H75" s="170"/>
      <c r="I75" s="190"/>
      <c r="J75" s="191"/>
      <c r="K75" s="191"/>
      <c r="L75" s="191" t="s">
        <v>1126</v>
      </c>
      <c r="M75" s="186" t="s">
        <v>678</v>
      </c>
      <c r="N75" s="377">
        <f>T_CEFF!H41</f>
        <v>0.31873000000000001</v>
      </c>
      <c r="O75" s="377">
        <f>T_CEFF!I41</f>
        <v>0.31873000000000001</v>
      </c>
      <c r="P75" s="377">
        <f>T_CEFF!J41</f>
        <v>0.31873000000000001</v>
      </c>
      <c r="Q75" s="377">
        <f>T_CEFF!K41</f>
        <v>0.31873000000000001</v>
      </c>
      <c r="R75" s="377">
        <f>T_CEFF!L41</f>
        <v>0.31873000000000001</v>
      </c>
      <c r="S75" s="377">
        <f>T_CEFF!M41</f>
        <v>0.31873000000000001</v>
      </c>
      <c r="T75" s="377">
        <f>T_CEFF!N41</f>
        <v>0.31873000000000001</v>
      </c>
      <c r="U75" s="377">
        <f>T_CEFF!O41</f>
        <v>0.31873000000000001</v>
      </c>
      <c r="V75" s="377">
        <f>T_CEFF!P41</f>
        <v>0.31873000000000001</v>
      </c>
      <c r="W75" s="377">
        <f>T_CEFF!Q41</f>
        <v>0.31873000000000001</v>
      </c>
      <c r="X75" s="377">
        <f>T_CEFF!R41</f>
        <v>0.31873000000000001</v>
      </c>
      <c r="Y75" s="377">
        <f>T_CEFF!S41</f>
        <v>0.31873000000000001</v>
      </c>
      <c r="Z75" s="377">
        <f>T_CEFF!T41</f>
        <v>0.31873000000000001</v>
      </c>
      <c r="AA75" s="377">
        <f>T_CEFF!U41</f>
        <v>0.31873000000000001</v>
      </c>
      <c r="AB75" s="377">
        <f>T_CEFF!V41</f>
        <v>0.31873000000000001</v>
      </c>
      <c r="AV75" s="700" t="str">
        <f t="shared" si="33"/>
        <v/>
      </c>
    </row>
    <row r="76" spans="1:64" x14ac:dyDescent="0.25">
      <c r="A76" s="22"/>
      <c r="B76" s="186" t="str">
        <f t="shared" si="73"/>
        <v>TCARGAS900</v>
      </c>
      <c r="C76" s="186"/>
      <c r="D76" s="187"/>
      <c r="E76" s="186"/>
      <c r="F76" s="170"/>
      <c r="G76" s="189"/>
      <c r="H76" s="170"/>
      <c r="I76" s="190"/>
      <c r="J76" s="191"/>
      <c r="K76" s="191" t="s">
        <v>749</v>
      </c>
      <c r="L76" s="191" t="s">
        <v>1128</v>
      </c>
      <c r="M76" s="186" t="s">
        <v>1119</v>
      </c>
      <c r="N76" s="368">
        <f>N$14</f>
        <v>1.2</v>
      </c>
      <c r="O76" s="368">
        <f t="shared" ref="O76:AB76" si="74">O$14</f>
        <v>0</v>
      </c>
      <c r="P76" s="368">
        <f t="shared" si="74"/>
        <v>0</v>
      </c>
      <c r="Q76" s="368">
        <f t="shared" si="74"/>
        <v>0</v>
      </c>
      <c r="R76" s="368">
        <f t="shared" si="74"/>
        <v>0</v>
      </c>
      <c r="S76" s="368">
        <f t="shared" si="74"/>
        <v>0</v>
      </c>
      <c r="T76" s="368">
        <f t="shared" si="74"/>
        <v>0</v>
      </c>
      <c r="U76" s="368">
        <f t="shared" si="74"/>
        <v>0</v>
      </c>
      <c r="V76" s="368">
        <f t="shared" si="74"/>
        <v>0</v>
      </c>
      <c r="W76" s="368">
        <f t="shared" si="74"/>
        <v>0</v>
      </c>
      <c r="X76" s="368">
        <f t="shared" si="74"/>
        <v>0</v>
      </c>
      <c r="Y76" s="368">
        <f t="shared" si="74"/>
        <v>0</v>
      </c>
      <c r="Z76" s="368">
        <f t="shared" si="74"/>
        <v>0</v>
      </c>
      <c r="AA76" s="368">
        <f t="shared" si="74"/>
        <v>0</v>
      </c>
      <c r="AB76" s="368">
        <f t="shared" si="74"/>
        <v>0</v>
      </c>
      <c r="AV76" s="700" t="str">
        <f t="shared" si="33"/>
        <v/>
      </c>
    </row>
    <row r="77" spans="1:64" x14ac:dyDescent="0.25">
      <c r="A77" s="22"/>
      <c r="B77" s="186" t="str">
        <f t="shared" si="73"/>
        <v>TCARGAS900</v>
      </c>
      <c r="C77" s="186"/>
      <c r="D77" s="187"/>
      <c r="E77" s="186"/>
      <c r="F77" s="170"/>
      <c r="G77" s="189"/>
      <c r="H77" s="170"/>
      <c r="I77" s="190"/>
      <c r="J77" s="191"/>
      <c r="K77" s="191"/>
      <c r="L77" s="211" t="s">
        <v>1130</v>
      </c>
      <c r="M77" s="186" t="s">
        <v>1131</v>
      </c>
      <c r="N77" s="376">
        <f>LOOKUP($C$71, T_NCAP_AF!$C$20:$C$30, T_NCAP_AF!D$20:D$30)*(1+N26)</f>
        <v>0</v>
      </c>
      <c r="O77" s="376">
        <f>LOOKUP($C$71, T_NCAP_AF!$C$20:$C$30, T_NCAP_AF!E$20:E$30)*(1+O26)</f>
        <v>0</v>
      </c>
      <c r="P77" s="376">
        <f>LOOKUP($C$71, T_NCAP_AF!$C$20:$C$30, T_NCAP_AF!F$20:F$30)*(1+P26)</f>
        <v>0</v>
      </c>
      <c r="Q77" s="376">
        <f>LOOKUP($C$71, T_NCAP_AF!$C$20:$C$30, T_NCAP_AF!G$20:G$30)*(1+Q26)</f>
        <v>0</v>
      </c>
      <c r="R77" s="376">
        <f>LOOKUP($C$71, T_NCAP_AF!$C$20:$C$30, T_NCAP_AF!H$20:H$30)*(1+R26)</f>
        <v>0</v>
      </c>
      <c r="S77" s="376">
        <f>LOOKUP($C$71, T_NCAP_AF!$C$20:$C$30, T_NCAP_AF!I$20:I$30)*(1+S26)</f>
        <v>0</v>
      </c>
      <c r="T77" s="376">
        <f>LOOKUP($C$71, T_NCAP_AF!$C$20:$C$30, T_NCAP_AF!J$20:J$30)*(1+T26)</f>
        <v>0</v>
      </c>
      <c r="U77" s="376">
        <f>LOOKUP($C$71, T_NCAP_AF!$C$20:$C$30, T_NCAP_AF!K$20:K$30)*(1+U26)</f>
        <v>0</v>
      </c>
      <c r="V77" s="376">
        <f>LOOKUP($C$71, T_NCAP_AF!$C$20:$C$30, T_NCAP_AF!L$20:L$30)*(1+V26)</f>
        <v>0</v>
      </c>
      <c r="W77" s="376">
        <f>LOOKUP($C$71, T_NCAP_AF!$C$20:$C$30, T_NCAP_AF!M$20:M$30)*(1+W26)</f>
        <v>0</v>
      </c>
      <c r="X77" s="376">
        <f>LOOKUP($C$71, T_NCAP_AF!$C$20:$C$30, T_NCAP_AF!N$20:N$30)*(1+X26)</f>
        <v>0</v>
      </c>
      <c r="Y77" s="376">
        <f>LOOKUP($C$71, T_NCAP_AF!$C$20:$C$30, T_NCAP_AF!O$20:O$30)*(1+Y26)</f>
        <v>0</v>
      </c>
      <c r="Z77" s="376">
        <f>LOOKUP($C$71, T_NCAP_AF!$C$20:$C$30, T_NCAP_AF!P$20:P$30)*(1+Z26)</f>
        <v>0</v>
      </c>
      <c r="AA77" s="376">
        <f>LOOKUP($C$71, T_NCAP_AF!$C$20:$C$30, T_NCAP_AF!Q$20:Q$30)*(1+AA26)</f>
        <v>0</v>
      </c>
      <c r="AB77" s="376">
        <f>LOOKUP($C$71, T_NCAP_AF!$C$20:$C$30, T_NCAP_AF!R$20:R$30)*(1+AB26)</f>
        <v>0</v>
      </c>
      <c r="AV77" s="700" t="str">
        <f t="shared" si="33"/>
        <v/>
      </c>
    </row>
    <row r="78" spans="1:64" x14ac:dyDescent="0.25">
      <c r="A78" s="22"/>
      <c r="B78" s="186" t="str">
        <f t="shared" si="73"/>
        <v>TCARGAS900</v>
      </c>
      <c r="C78" s="186"/>
      <c r="D78" s="187"/>
      <c r="E78" s="186"/>
      <c r="F78" s="170"/>
      <c r="G78" s="189"/>
      <c r="H78" s="170"/>
      <c r="I78" s="190">
        <f>$M$3</f>
        <v>2019</v>
      </c>
      <c r="J78" s="191"/>
      <c r="K78" s="191"/>
      <c r="L78" s="211" t="s">
        <v>1065</v>
      </c>
      <c r="M78" s="186" t="s">
        <v>748</v>
      </c>
      <c r="N78" s="687">
        <f>LOOKUP($C$71, 'T_Stock_TOTAL_&amp;_City'!$C$10:$C$20, 'T_Stock_TOTAL_&amp;_City'!D$10:D$20)*(1+N27)</f>
        <v>0</v>
      </c>
      <c r="O78" s="687">
        <f>LOOKUP($C$71, 'T_Stock_TOTAL_&amp;_City'!$C$10:$C$20, 'T_Stock_TOTAL_&amp;_City'!E$10:E$20)*(1+O27)</f>
        <v>0</v>
      </c>
      <c r="P78" s="687">
        <f>LOOKUP($C$71, 'T_Stock_TOTAL_&amp;_City'!$C$10:$C$20, 'T_Stock_TOTAL_&amp;_City'!F$10:F$20)*(1+P27)</f>
        <v>0</v>
      </c>
      <c r="Q78" s="687">
        <f>LOOKUP($C$71, 'T_Stock_TOTAL_&amp;_City'!$C$10:$C$20, 'T_Stock_TOTAL_&amp;_City'!G$10:G$20)*(1+Q27)</f>
        <v>0</v>
      </c>
      <c r="R78" s="687">
        <f>LOOKUP($C$71, 'T_Stock_TOTAL_&amp;_City'!$C$10:$C$20, 'T_Stock_TOTAL_&amp;_City'!H$10:H$20)*(1+R27)</f>
        <v>0</v>
      </c>
      <c r="S78" s="687">
        <f>LOOKUP($C$71, 'T_Stock_TOTAL_&amp;_City'!$C$10:$C$20, 'T_Stock_TOTAL_&amp;_City'!I$10:I$20)*(1+S27)</f>
        <v>0</v>
      </c>
      <c r="T78" s="687">
        <f>LOOKUP($C$71, 'T_Stock_TOTAL_&amp;_City'!$C$10:$C$20, 'T_Stock_TOTAL_&amp;_City'!J$10:J$20)*(1+T27)</f>
        <v>0</v>
      </c>
      <c r="U78" s="687">
        <f>LOOKUP($C$71, 'T_Stock_TOTAL_&amp;_City'!$C$10:$C$20, 'T_Stock_TOTAL_&amp;_City'!K$10:K$20)*(1+U27)</f>
        <v>0</v>
      </c>
      <c r="V78" s="687">
        <f>LOOKUP($C$71, 'T_Stock_TOTAL_&amp;_City'!$C$10:$C$20, 'T_Stock_TOTAL_&amp;_City'!L$10:L$20)*(1+V27)</f>
        <v>0</v>
      </c>
      <c r="W78" s="687">
        <f>LOOKUP($C$71, 'T_Stock_TOTAL_&amp;_City'!$C$10:$C$20, 'T_Stock_TOTAL_&amp;_City'!M$10:M$20)*(1+W27)</f>
        <v>0</v>
      </c>
      <c r="X78" s="687">
        <f>LOOKUP($C$71, 'T_Stock_TOTAL_&amp;_City'!$C$10:$C$20, 'T_Stock_TOTAL_&amp;_City'!N$10:N$20)*(1+X27)</f>
        <v>0</v>
      </c>
      <c r="Y78" s="687">
        <f>LOOKUP($C$71, 'T_Stock_TOTAL_&amp;_City'!$C$10:$C$20, 'T_Stock_TOTAL_&amp;_City'!O$10:O$20)*(1+Y27)</f>
        <v>0</v>
      </c>
      <c r="Z78" s="687">
        <f>LOOKUP($C$71, 'T_Stock_TOTAL_&amp;_City'!$C$10:$C$20, 'T_Stock_TOTAL_&amp;_City'!P$10:P$20)*(1+Z27)</f>
        <v>0</v>
      </c>
      <c r="AA78" s="687">
        <f>LOOKUP($C$71, 'T_Stock_TOTAL_&amp;_City'!$C$10:$C$20, 'T_Stock_TOTAL_&amp;_City'!Q$10:Q$20)*(1+AA27)</f>
        <v>0</v>
      </c>
      <c r="AB78" s="687">
        <f>LOOKUP($C$71, 'T_Stock_TOTAL_&amp;_City'!$C$10:$C$20, 'T_Stock_TOTAL_&amp;_City'!R$10:R$20)*(1+AB27)</f>
        <v>0</v>
      </c>
      <c r="AV78" s="700" t="str">
        <f t="shared" si="33"/>
        <v/>
      </c>
    </row>
    <row r="79" spans="1:64" x14ac:dyDescent="0.25">
      <c r="A79" s="22"/>
      <c r="B79" s="186" t="str">
        <f t="shared" si="73"/>
        <v>TCARGAS900</v>
      </c>
      <c r="C79" s="186"/>
      <c r="D79" s="187"/>
      <c r="E79" s="186"/>
      <c r="F79" s="170"/>
      <c r="G79" s="189"/>
      <c r="H79" s="170"/>
      <c r="I79" s="190">
        <f>AF$15</f>
        <v>2016</v>
      </c>
      <c r="J79" s="191"/>
      <c r="K79" s="191"/>
      <c r="L79" s="211" t="s">
        <v>1065</v>
      </c>
      <c r="M79" s="186" t="s">
        <v>748</v>
      </c>
      <c r="N79" s="687">
        <f t="shared" ref="N79:AB79" si="75">N$78*LOOKUP($AD$71,$AG$14:$AP$14,$AG15:$AP15)</f>
        <v>0</v>
      </c>
      <c r="O79" s="687">
        <f t="shared" si="75"/>
        <v>0</v>
      </c>
      <c r="P79" s="687">
        <f t="shared" si="75"/>
        <v>0</v>
      </c>
      <c r="Q79" s="687">
        <f t="shared" si="75"/>
        <v>0</v>
      </c>
      <c r="R79" s="687">
        <f t="shared" si="75"/>
        <v>0</v>
      </c>
      <c r="S79" s="687">
        <f t="shared" si="75"/>
        <v>0</v>
      </c>
      <c r="T79" s="687">
        <f t="shared" si="75"/>
        <v>0</v>
      </c>
      <c r="U79" s="687">
        <f t="shared" si="75"/>
        <v>0</v>
      </c>
      <c r="V79" s="687">
        <f t="shared" si="75"/>
        <v>0</v>
      </c>
      <c r="W79" s="687">
        <f t="shared" si="75"/>
        <v>0</v>
      </c>
      <c r="X79" s="687">
        <f t="shared" si="75"/>
        <v>0</v>
      </c>
      <c r="Y79" s="687">
        <f t="shared" si="75"/>
        <v>0</v>
      </c>
      <c r="Z79" s="687">
        <f t="shared" si="75"/>
        <v>0</v>
      </c>
      <c r="AA79" s="687">
        <f t="shared" si="75"/>
        <v>0</v>
      </c>
      <c r="AB79" s="687">
        <f t="shared" si="75"/>
        <v>0</v>
      </c>
      <c r="AE79" s="569">
        <f>SUM(AF79:AT79)</f>
        <v>0</v>
      </c>
      <c r="AF79" s="568">
        <f t="shared" ref="AF79:AT79" si="76">N76*N77*N78/1000</f>
        <v>0</v>
      </c>
      <c r="AG79" s="568">
        <f t="shared" si="76"/>
        <v>0</v>
      </c>
      <c r="AH79" s="568">
        <f t="shared" si="76"/>
        <v>0</v>
      </c>
      <c r="AI79" s="568">
        <f t="shared" si="76"/>
        <v>0</v>
      </c>
      <c r="AJ79" s="568">
        <f t="shared" si="76"/>
        <v>0</v>
      </c>
      <c r="AK79" s="568">
        <f t="shared" si="76"/>
        <v>0</v>
      </c>
      <c r="AL79" s="568">
        <f t="shared" si="76"/>
        <v>0</v>
      </c>
      <c r="AM79" s="568">
        <f t="shared" si="76"/>
        <v>0</v>
      </c>
      <c r="AN79" s="568">
        <f t="shared" si="76"/>
        <v>0</v>
      </c>
      <c r="AO79" s="568">
        <f t="shared" si="76"/>
        <v>0</v>
      </c>
      <c r="AP79" s="568">
        <f t="shared" si="76"/>
        <v>0</v>
      </c>
      <c r="AQ79" s="568">
        <f t="shared" si="76"/>
        <v>0</v>
      </c>
      <c r="AR79" s="568">
        <f t="shared" si="76"/>
        <v>0</v>
      </c>
      <c r="AS79" s="568">
        <f t="shared" si="76"/>
        <v>0</v>
      </c>
      <c r="AT79" s="568">
        <f t="shared" si="76"/>
        <v>0</v>
      </c>
      <c r="AV79" s="700" t="str">
        <f t="shared" si="33"/>
        <v/>
      </c>
    </row>
    <row r="80" spans="1:64" x14ac:dyDescent="0.25">
      <c r="A80" s="22"/>
      <c r="B80" s="186" t="str">
        <f t="shared" si="73"/>
        <v>TCARGAS900</v>
      </c>
      <c r="C80" s="186"/>
      <c r="D80" s="187"/>
      <c r="E80" s="186"/>
      <c r="F80" s="170"/>
      <c r="G80" s="189"/>
      <c r="H80" s="170"/>
      <c r="I80" s="190">
        <f>AF$16</f>
        <v>2020</v>
      </c>
      <c r="J80" s="191"/>
      <c r="K80" s="191"/>
      <c r="L80" s="211" t="s">
        <v>1065</v>
      </c>
      <c r="M80" s="186" t="s">
        <v>748</v>
      </c>
      <c r="N80" s="687">
        <f t="shared" ref="N80:AB80" si="77">N$78*LOOKUP($AD$71,$AG$14:$AP$14,$AG16:$AP16)</f>
        <v>0</v>
      </c>
      <c r="O80" s="687">
        <f t="shared" si="77"/>
        <v>0</v>
      </c>
      <c r="P80" s="687">
        <f t="shared" si="77"/>
        <v>0</v>
      </c>
      <c r="Q80" s="687">
        <f t="shared" si="77"/>
        <v>0</v>
      </c>
      <c r="R80" s="687">
        <f t="shared" si="77"/>
        <v>0</v>
      </c>
      <c r="S80" s="687">
        <f t="shared" si="77"/>
        <v>0</v>
      </c>
      <c r="T80" s="687">
        <f t="shared" si="77"/>
        <v>0</v>
      </c>
      <c r="U80" s="687">
        <f t="shared" si="77"/>
        <v>0</v>
      </c>
      <c r="V80" s="687">
        <f t="shared" si="77"/>
        <v>0</v>
      </c>
      <c r="W80" s="687">
        <f t="shared" si="77"/>
        <v>0</v>
      </c>
      <c r="X80" s="687">
        <f t="shared" si="77"/>
        <v>0</v>
      </c>
      <c r="Y80" s="687">
        <f t="shared" si="77"/>
        <v>0</v>
      </c>
      <c r="Z80" s="687">
        <f t="shared" si="77"/>
        <v>0</v>
      </c>
      <c r="AA80" s="687">
        <f t="shared" si="77"/>
        <v>0</v>
      </c>
      <c r="AB80" s="687">
        <f t="shared" si="77"/>
        <v>0</v>
      </c>
      <c r="AV80" s="700" t="str">
        <f t="shared" si="33"/>
        <v/>
      </c>
    </row>
    <row r="81" spans="1:64" x14ac:dyDescent="0.25">
      <c r="A81" s="22"/>
      <c r="B81" s="186" t="str">
        <f t="shared" si="73"/>
        <v>TCARGAS900</v>
      </c>
      <c r="C81" s="186"/>
      <c r="D81" s="187"/>
      <c r="E81" s="186"/>
      <c r="F81" s="170"/>
      <c r="G81" s="189"/>
      <c r="H81" s="170"/>
      <c r="I81" s="190">
        <v>2025</v>
      </c>
      <c r="J81" s="191"/>
      <c r="K81" s="191"/>
      <c r="L81" s="211" t="s">
        <v>1065</v>
      </c>
      <c r="M81" s="186" t="s">
        <v>748</v>
      </c>
      <c r="N81" s="687">
        <f t="shared" ref="N81:AB81" si="78">N$78*LOOKUP($AD$71,$AG$14:$AP$14,$AG17:$AP17)</f>
        <v>0</v>
      </c>
      <c r="O81" s="687">
        <f t="shared" si="78"/>
        <v>0</v>
      </c>
      <c r="P81" s="687">
        <f t="shared" si="78"/>
        <v>0</v>
      </c>
      <c r="Q81" s="687">
        <f t="shared" si="78"/>
        <v>0</v>
      </c>
      <c r="R81" s="687">
        <f t="shared" si="78"/>
        <v>0</v>
      </c>
      <c r="S81" s="687">
        <f t="shared" si="78"/>
        <v>0</v>
      </c>
      <c r="T81" s="687">
        <f t="shared" si="78"/>
        <v>0</v>
      </c>
      <c r="U81" s="687">
        <f t="shared" si="78"/>
        <v>0</v>
      </c>
      <c r="V81" s="687">
        <f t="shared" si="78"/>
        <v>0</v>
      </c>
      <c r="W81" s="687">
        <f t="shared" si="78"/>
        <v>0</v>
      </c>
      <c r="X81" s="687">
        <f t="shared" si="78"/>
        <v>0</v>
      </c>
      <c r="Y81" s="687">
        <f t="shared" si="78"/>
        <v>0</v>
      </c>
      <c r="Z81" s="687">
        <f t="shared" si="78"/>
        <v>0</v>
      </c>
      <c r="AA81" s="687">
        <f t="shared" si="78"/>
        <v>0</v>
      </c>
      <c r="AB81" s="687">
        <f t="shared" si="78"/>
        <v>0</v>
      </c>
      <c r="AV81" s="700" t="str">
        <f t="shared" si="33"/>
        <v/>
      </c>
    </row>
    <row r="82" spans="1:64" x14ac:dyDescent="0.25">
      <c r="A82" s="22"/>
      <c r="B82" s="186" t="str">
        <f>B81</f>
        <v>TCARGAS900</v>
      </c>
      <c r="C82" s="186"/>
      <c r="D82" s="187"/>
      <c r="E82" s="186"/>
      <c r="F82" s="170"/>
      <c r="G82" s="189"/>
      <c r="H82" s="170"/>
      <c r="I82" s="190">
        <f>AF$18</f>
        <v>2030</v>
      </c>
      <c r="J82" s="191"/>
      <c r="K82" s="191"/>
      <c r="L82" s="211" t="s">
        <v>1065</v>
      </c>
      <c r="M82" s="186" t="s">
        <v>748</v>
      </c>
      <c r="N82" s="687">
        <f t="shared" ref="N82:AB82" si="79">N$78*LOOKUP($AD$71,$AG$14:$AP$14,$AG18:$AP18)</f>
        <v>0</v>
      </c>
      <c r="O82" s="687">
        <f t="shared" si="79"/>
        <v>0</v>
      </c>
      <c r="P82" s="687">
        <f t="shared" si="79"/>
        <v>0</v>
      </c>
      <c r="Q82" s="687">
        <f t="shared" si="79"/>
        <v>0</v>
      </c>
      <c r="R82" s="687">
        <f t="shared" si="79"/>
        <v>0</v>
      </c>
      <c r="S82" s="687">
        <f t="shared" si="79"/>
        <v>0</v>
      </c>
      <c r="T82" s="687">
        <f t="shared" si="79"/>
        <v>0</v>
      </c>
      <c r="U82" s="687">
        <f t="shared" si="79"/>
        <v>0</v>
      </c>
      <c r="V82" s="687">
        <f t="shared" si="79"/>
        <v>0</v>
      </c>
      <c r="W82" s="687">
        <f t="shared" si="79"/>
        <v>0</v>
      </c>
      <c r="X82" s="687">
        <f t="shared" si="79"/>
        <v>0</v>
      </c>
      <c r="Y82" s="687">
        <f t="shared" si="79"/>
        <v>0</v>
      </c>
      <c r="Z82" s="687">
        <f t="shared" si="79"/>
        <v>0</v>
      </c>
      <c r="AA82" s="687">
        <f t="shared" si="79"/>
        <v>0</v>
      </c>
      <c r="AB82" s="687">
        <f t="shared" si="79"/>
        <v>0</v>
      </c>
      <c r="AV82" s="700" t="str">
        <f t="shared" si="33"/>
        <v/>
      </c>
    </row>
    <row r="83" spans="1:64" x14ac:dyDescent="0.25">
      <c r="A83" s="22"/>
      <c r="B83" s="186" t="str">
        <f>B82</f>
        <v>TCARGAS900</v>
      </c>
      <c r="C83" s="186"/>
      <c r="D83" s="187"/>
      <c r="E83" s="186"/>
      <c r="F83" s="170"/>
      <c r="G83" s="189"/>
      <c r="H83" s="170"/>
      <c r="I83" s="190">
        <f>AF$19</f>
        <v>2040</v>
      </c>
      <c r="J83" s="191"/>
      <c r="K83" s="191"/>
      <c r="L83" s="211" t="s">
        <v>1065</v>
      </c>
      <c r="M83" s="186" t="s">
        <v>748</v>
      </c>
      <c r="N83" s="687">
        <f t="shared" ref="N83:AB83" si="80">N$78*LOOKUP($AD$71,$AG$14:$AP$14,$AG19:$AP19)</f>
        <v>0</v>
      </c>
      <c r="O83" s="687">
        <f t="shared" si="80"/>
        <v>0</v>
      </c>
      <c r="P83" s="687">
        <f t="shared" si="80"/>
        <v>0</v>
      </c>
      <c r="Q83" s="687">
        <f t="shared" si="80"/>
        <v>0</v>
      </c>
      <c r="R83" s="687">
        <f t="shared" si="80"/>
        <v>0</v>
      </c>
      <c r="S83" s="687">
        <f t="shared" si="80"/>
        <v>0</v>
      </c>
      <c r="T83" s="687">
        <f t="shared" si="80"/>
        <v>0</v>
      </c>
      <c r="U83" s="687">
        <f t="shared" si="80"/>
        <v>0</v>
      </c>
      <c r="V83" s="687">
        <f t="shared" si="80"/>
        <v>0</v>
      </c>
      <c r="W83" s="687">
        <f t="shared" si="80"/>
        <v>0</v>
      </c>
      <c r="X83" s="687">
        <f t="shared" si="80"/>
        <v>0</v>
      </c>
      <c r="Y83" s="687">
        <f t="shared" si="80"/>
        <v>0</v>
      </c>
      <c r="Z83" s="687">
        <f t="shared" si="80"/>
        <v>0</v>
      </c>
      <c r="AA83" s="687">
        <f t="shared" si="80"/>
        <v>0</v>
      </c>
      <c r="AB83" s="687">
        <f t="shared" si="80"/>
        <v>0</v>
      </c>
      <c r="AV83" s="700" t="str">
        <f t="shared" si="33"/>
        <v/>
      </c>
    </row>
    <row r="84" spans="1:64" x14ac:dyDescent="0.25">
      <c r="A84" s="22"/>
      <c r="B84" s="193" t="str">
        <f>B83</f>
        <v>TCARGAS900</v>
      </c>
      <c r="C84" s="193"/>
      <c r="D84" s="194"/>
      <c r="E84" s="193"/>
      <c r="F84" s="196"/>
      <c r="G84" s="195"/>
      <c r="H84" s="196"/>
      <c r="I84" s="197">
        <f>AF$20</f>
        <v>2050</v>
      </c>
      <c r="J84" s="198"/>
      <c r="K84" s="198"/>
      <c r="L84" s="212" t="s">
        <v>1065</v>
      </c>
      <c r="M84" s="193" t="s">
        <v>748</v>
      </c>
      <c r="N84" s="688">
        <f t="shared" ref="N84:AB84" si="81">N$78*LOOKUP($AD$71,$AG$14:$AP$14,$AG20:$AP20)</f>
        <v>0</v>
      </c>
      <c r="O84" s="688">
        <f t="shared" si="81"/>
        <v>0</v>
      </c>
      <c r="P84" s="688">
        <f t="shared" si="81"/>
        <v>0</v>
      </c>
      <c r="Q84" s="688">
        <f t="shared" si="81"/>
        <v>0</v>
      </c>
      <c r="R84" s="688">
        <f t="shared" si="81"/>
        <v>0</v>
      </c>
      <c r="S84" s="688">
        <f t="shared" si="81"/>
        <v>0</v>
      </c>
      <c r="T84" s="688">
        <f t="shared" si="81"/>
        <v>0</v>
      </c>
      <c r="U84" s="688">
        <f t="shared" si="81"/>
        <v>0</v>
      </c>
      <c r="V84" s="688">
        <f t="shared" si="81"/>
        <v>0</v>
      </c>
      <c r="W84" s="688">
        <f t="shared" si="81"/>
        <v>0</v>
      </c>
      <c r="X84" s="688">
        <f t="shared" si="81"/>
        <v>0</v>
      </c>
      <c r="Y84" s="688">
        <f t="shared" si="81"/>
        <v>0</v>
      </c>
      <c r="Z84" s="688">
        <f t="shared" si="81"/>
        <v>0</v>
      </c>
      <c r="AA84" s="688">
        <f t="shared" si="81"/>
        <v>0</v>
      </c>
      <c r="AB84" s="688">
        <f t="shared" si="81"/>
        <v>0</v>
      </c>
      <c r="AD84" s="400"/>
      <c r="AV84" s="700" t="str">
        <f t="shared" si="33"/>
        <v/>
      </c>
    </row>
    <row r="85" spans="1:64" x14ac:dyDescent="0.25">
      <c r="A85" s="22"/>
      <c r="B85" s="186" t="str">
        <f>C85</f>
        <v>TCARGSL900</v>
      </c>
      <c r="C85" s="186" t="s">
        <v>533</v>
      </c>
      <c r="D85" s="187" t="s">
        <v>788</v>
      </c>
      <c r="E85" s="258" t="s">
        <v>1014</v>
      </c>
      <c r="F85" s="170"/>
      <c r="G85" s="189"/>
      <c r="H85" s="170"/>
      <c r="I85" s="190"/>
      <c r="J85" s="191"/>
      <c r="K85" s="191"/>
      <c r="L85" s="211" t="s">
        <v>1107</v>
      </c>
      <c r="M85" s="191" t="s">
        <v>1156</v>
      </c>
      <c r="N85" s="366">
        <f>N$32</f>
        <v>1E-3</v>
      </c>
      <c r="O85" s="366">
        <f t="shared" ref="O85:AB85" si="82">$N85</f>
        <v>1E-3</v>
      </c>
      <c r="P85" s="366">
        <f t="shared" si="82"/>
        <v>1E-3</v>
      </c>
      <c r="Q85" s="366">
        <f t="shared" si="82"/>
        <v>1E-3</v>
      </c>
      <c r="R85" s="366">
        <f t="shared" si="82"/>
        <v>1E-3</v>
      </c>
      <c r="S85" s="366">
        <f t="shared" si="82"/>
        <v>1E-3</v>
      </c>
      <c r="T85" s="366">
        <f t="shared" si="82"/>
        <v>1E-3</v>
      </c>
      <c r="U85" s="366">
        <f t="shared" si="82"/>
        <v>1E-3</v>
      </c>
      <c r="V85" s="366">
        <f t="shared" si="82"/>
        <v>1E-3</v>
      </c>
      <c r="W85" s="366">
        <f t="shared" si="82"/>
        <v>1E-3</v>
      </c>
      <c r="X85" s="366">
        <f t="shared" si="82"/>
        <v>1E-3</v>
      </c>
      <c r="Y85" s="366">
        <f t="shared" si="82"/>
        <v>1E-3</v>
      </c>
      <c r="Z85" s="366">
        <f t="shared" si="82"/>
        <v>1E-3</v>
      </c>
      <c r="AA85" s="366">
        <f t="shared" si="82"/>
        <v>1E-3</v>
      </c>
      <c r="AB85" s="366">
        <f t="shared" si="82"/>
        <v>1E-3</v>
      </c>
      <c r="AD85" s="56" t="str">
        <f>MID(D85,5,3)</f>
        <v>GSL</v>
      </c>
      <c r="AV85" s="700" t="str">
        <f t="shared" si="33"/>
        <v>TRAGSL</v>
      </c>
      <c r="AW85" s="568">
        <f t="shared" ref="AW85:AW87" si="83">SUM(AX85:BL85)</f>
        <v>0</v>
      </c>
      <c r="AX85" s="568">
        <f t="shared" ref="AX85:BL85" si="84">N$91*N$92*(1-N86)/N$89/1000</f>
        <v>0</v>
      </c>
      <c r="AY85" s="568">
        <f t="shared" si="84"/>
        <v>0</v>
      </c>
      <c r="AZ85" s="568">
        <f t="shared" si="84"/>
        <v>0</v>
      </c>
      <c r="BA85" s="568">
        <f t="shared" si="84"/>
        <v>0</v>
      </c>
      <c r="BB85" s="568">
        <f t="shared" si="84"/>
        <v>0</v>
      </c>
      <c r="BC85" s="568">
        <f t="shared" si="84"/>
        <v>0</v>
      </c>
      <c r="BD85" s="568">
        <f t="shared" si="84"/>
        <v>0</v>
      </c>
      <c r="BE85" s="568">
        <f t="shared" si="84"/>
        <v>0</v>
      </c>
      <c r="BF85" s="568">
        <f t="shared" si="84"/>
        <v>0</v>
      </c>
      <c r="BG85" s="568">
        <f t="shared" si="84"/>
        <v>0</v>
      </c>
      <c r="BH85" s="568">
        <f t="shared" si="84"/>
        <v>0</v>
      </c>
      <c r="BI85" s="568">
        <f t="shared" si="84"/>
        <v>0</v>
      </c>
      <c r="BJ85" s="568">
        <f t="shared" si="84"/>
        <v>0</v>
      </c>
      <c r="BK85" s="568">
        <f t="shared" si="84"/>
        <v>0</v>
      </c>
      <c r="BL85" s="568">
        <f t="shared" si="84"/>
        <v>0</v>
      </c>
    </row>
    <row r="86" spans="1:64" x14ac:dyDescent="0.25">
      <c r="A86" s="22"/>
      <c r="B86" s="186" t="str">
        <f t="shared" ref="B86:B98" si="85">B85</f>
        <v>TCARGSL900</v>
      </c>
      <c r="C86" s="186"/>
      <c r="D86" s="187"/>
      <c r="E86" s="258" t="s">
        <v>1012</v>
      </c>
      <c r="F86" s="170"/>
      <c r="G86" s="189"/>
      <c r="H86" s="170"/>
      <c r="I86" s="190"/>
      <c r="J86" s="191" t="s">
        <v>1157</v>
      </c>
      <c r="K86" s="191"/>
      <c r="L86" s="211" t="s">
        <v>101</v>
      </c>
      <c r="M86" s="186"/>
      <c r="N86" s="377">
        <f>N$19</f>
        <v>0.03</v>
      </c>
      <c r="O86" s="377">
        <f t="shared" ref="O86:AB86" si="86">O$19</f>
        <v>0.03</v>
      </c>
      <c r="P86" s="377">
        <f t="shared" si="86"/>
        <v>0.03</v>
      </c>
      <c r="Q86" s="377">
        <f t="shared" si="86"/>
        <v>0.03</v>
      </c>
      <c r="R86" s="377">
        <f t="shared" si="86"/>
        <v>0.03</v>
      </c>
      <c r="S86" s="377">
        <f t="shared" si="86"/>
        <v>0.03</v>
      </c>
      <c r="T86" s="377">
        <f t="shared" si="86"/>
        <v>0.03</v>
      </c>
      <c r="U86" s="377">
        <f t="shared" si="86"/>
        <v>0.03</v>
      </c>
      <c r="V86" s="377">
        <f t="shared" si="86"/>
        <v>0.03</v>
      </c>
      <c r="W86" s="377">
        <f t="shared" si="86"/>
        <v>0.03</v>
      </c>
      <c r="X86" s="377">
        <f t="shared" si="86"/>
        <v>0.03</v>
      </c>
      <c r="Y86" s="377">
        <f t="shared" si="86"/>
        <v>0.03</v>
      </c>
      <c r="Z86" s="377">
        <f t="shared" si="86"/>
        <v>0.03</v>
      </c>
      <c r="AA86" s="377">
        <f t="shared" si="86"/>
        <v>0.03</v>
      </c>
      <c r="AB86" s="377">
        <f t="shared" si="86"/>
        <v>0.03</v>
      </c>
      <c r="AD86" s="399" t="str">
        <f>IF(COUNTIF($AG$14:$AP$14,AD85)=1,"ok","MISSING")</f>
        <v>ok</v>
      </c>
      <c r="AV86" s="700" t="str">
        <f t="shared" si="33"/>
        <v>TRAETHM</v>
      </c>
      <c r="AW86" s="568">
        <f t="shared" si="83"/>
        <v>0</v>
      </c>
      <c r="AX86" s="568">
        <f t="shared" ref="AX86:BL87" si="87">N$91*N$92*N86/N$89/1000</f>
        <v>0</v>
      </c>
      <c r="AY86" s="568">
        <f t="shared" si="87"/>
        <v>0</v>
      </c>
      <c r="AZ86" s="568">
        <f t="shared" si="87"/>
        <v>0</v>
      </c>
      <c r="BA86" s="568">
        <f t="shared" si="87"/>
        <v>0</v>
      </c>
      <c r="BB86" s="568">
        <f t="shared" si="87"/>
        <v>0</v>
      </c>
      <c r="BC86" s="568">
        <f t="shared" si="87"/>
        <v>0</v>
      </c>
      <c r="BD86" s="568">
        <f t="shared" si="87"/>
        <v>0</v>
      </c>
      <c r="BE86" s="568">
        <f t="shared" si="87"/>
        <v>0</v>
      </c>
      <c r="BF86" s="568">
        <f t="shared" si="87"/>
        <v>0</v>
      </c>
      <c r="BG86" s="568">
        <f t="shared" si="87"/>
        <v>0</v>
      </c>
      <c r="BH86" s="568">
        <f t="shared" si="87"/>
        <v>0</v>
      </c>
      <c r="BI86" s="568">
        <f t="shared" si="87"/>
        <v>0</v>
      </c>
      <c r="BJ86" s="568">
        <f t="shared" si="87"/>
        <v>0</v>
      </c>
      <c r="BK86" s="568">
        <f t="shared" si="87"/>
        <v>0</v>
      </c>
      <c r="BL86" s="568">
        <f t="shared" si="87"/>
        <v>0</v>
      </c>
    </row>
    <row r="87" spans="1:64" x14ac:dyDescent="0.25">
      <c r="A87" s="22"/>
      <c r="B87" s="186" t="str">
        <f t="shared" si="85"/>
        <v>TCARGSL900</v>
      </c>
      <c r="C87" s="186"/>
      <c r="D87" s="187"/>
      <c r="E87" s="258" t="s">
        <v>996</v>
      </c>
      <c r="F87" s="170"/>
      <c r="G87" s="213"/>
      <c r="H87" s="170"/>
      <c r="I87" s="190"/>
      <c r="J87" s="191" t="s">
        <v>1157</v>
      </c>
      <c r="K87" s="191"/>
      <c r="L87" s="211" t="s">
        <v>101</v>
      </c>
      <c r="M87" s="186"/>
      <c r="N87" s="377">
        <f>N$20</f>
        <v>0</v>
      </c>
      <c r="O87" s="377">
        <f t="shared" ref="O87:AB87" si="88">O$20</f>
        <v>0</v>
      </c>
      <c r="P87" s="377">
        <f t="shared" si="88"/>
        <v>0</v>
      </c>
      <c r="Q87" s="377">
        <f t="shared" si="88"/>
        <v>0</v>
      </c>
      <c r="R87" s="377">
        <f t="shared" si="88"/>
        <v>0</v>
      </c>
      <c r="S87" s="377">
        <f t="shared" si="88"/>
        <v>0</v>
      </c>
      <c r="T87" s="377">
        <f t="shared" si="88"/>
        <v>0</v>
      </c>
      <c r="U87" s="377">
        <f t="shared" si="88"/>
        <v>0</v>
      </c>
      <c r="V87" s="377">
        <f t="shared" si="88"/>
        <v>0</v>
      </c>
      <c r="W87" s="377">
        <f t="shared" si="88"/>
        <v>0</v>
      </c>
      <c r="X87" s="377">
        <f t="shared" si="88"/>
        <v>0</v>
      </c>
      <c r="Y87" s="377">
        <f t="shared" si="88"/>
        <v>0</v>
      </c>
      <c r="Z87" s="377">
        <f t="shared" si="88"/>
        <v>0</v>
      </c>
      <c r="AA87" s="377">
        <f t="shared" si="88"/>
        <v>0</v>
      </c>
      <c r="AB87" s="377">
        <f t="shared" si="88"/>
        <v>0</v>
      </c>
      <c r="AD87" s="66"/>
      <c r="AE87" s="568"/>
      <c r="AV87" s="700" t="str">
        <f>MID(E87,1,8)</f>
        <v>TRABGSLM</v>
      </c>
      <c r="AW87" s="568">
        <f t="shared" si="83"/>
        <v>0</v>
      </c>
      <c r="AX87" s="568">
        <f t="shared" si="87"/>
        <v>0</v>
      </c>
      <c r="AY87" s="568">
        <f t="shared" si="87"/>
        <v>0</v>
      </c>
      <c r="AZ87" s="568">
        <f t="shared" si="87"/>
        <v>0</v>
      </c>
      <c r="BA87" s="568">
        <f t="shared" si="87"/>
        <v>0</v>
      </c>
      <c r="BB87" s="568">
        <f t="shared" si="87"/>
        <v>0</v>
      </c>
      <c r="BC87" s="568">
        <f t="shared" si="87"/>
        <v>0</v>
      </c>
      <c r="BD87" s="568">
        <f t="shared" si="87"/>
        <v>0</v>
      </c>
      <c r="BE87" s="568">
        <f t="shared" si="87"/>
        <v>0</v>
      </c>
      <c r="BF87" s="568">
        <f t="shared" si="87"/>
        <v>0</v>
      </c>
      <c r="BG87" s="568">
        <f t="shared" si="87"/>
        <v>0</v>
      </c>
      <c r="BH87" s="568">
        <f t="shared" si="87"/>
        <v>0</v>
      </c>
      <c r="BI87" s="568">
        <f t="shared" si="87"/>
        <v>0</v>
      </c>
      <c r="BJ87" s="568">
        <f t="shared" si="87"/>
        <v>0</v>
      </c>
      <c r="BK87" s="568">
        <f t="shared" si="87"/>
        <v>0</v>
      </c>
      <c r="BL87" s="568">
        <f t="shared" si="87"/>
        <v>0</v>
      </c>
    </row>
    <row r="88" spans="1:64" x14ac:dyDescent="0.25">
      <c r="A88" s="22"/>
      <c r="B88" s="186" t="str">
        <f>B86</f>
        <v>TCARGSL900</v>
      </c>
      <c r="C88" s="186"/>
      <c r="D88" s="187"/>
      <c r="E88" s="186"/>
      <c r="F88" s="170"/>
      <c r="G88" s="188" t="s">
        <v>406</v>
      </c>
      <c r="H88" s="170"/>
      <c r="I88" s="190"/>
      <c r="J88" s="191"/>
      <c r="K88" s="191"/>
      <c r="L88" s="191" t="s">
        <v>1126</v>
      </c>
      <c r="M88" s="186" t="s">
        <v>678</v>
      </c>
      <c r="N88" s="377">
        <f>T_CEFF!H42</f>
        <v>0.37208999999999998</v>
      </c>
      <c r="O88" s="377">
        <f>T_CEFF!I42</f>
        <v>0.37208999999999998</v>
      </c>
      <c r="P88" s="377">
        <f>T_CEFF!J42</f>
        <v>0.37208999999999998</v>
      </c>
      <c r="Q88" s="377">
        <f>T_CEFF!K42</f>
        <v>0.37208999999999998</v>
      </c>
      <c r="R88" s="377">
        <f>T_CEFF!L42</f>
        <v>0.37208999999999998</v>
      </c>
      <c r="S88" s="377">
        <f>T_CEFF!M42</f>
        <v>0.37208999999999998</v>
      </c>
      <c r="T88" s="377">
        <f>T_CEFF!N42</f>
        <v>0.37208999999999998</v>
      </c>
      <c r="U88" s="377">
        <f>T_CEFF!O42</f>
        <v>0.37208999999999998</v>
      </c>
      <c r="V88" s="377">
        <f>T_CEFF!P42</f>
        <v>0.37208999999999998</v>
      </c>
      <c r="W88" s="377">
        <f>T_CEFF!Q42</f>
        <v>0.37208999999999998</v>
      </c>
      <c r="X88" s="377">
        <f>T_CEFF!R42</f>
        <v>0.37208999999999998</v>
      </c>
      <c r="Y88" s="377">
        <f>T_CEFF!S42</f>
        <v>0.37208999999999998</v>
      </c>
      <c r="Z88" s="377">
        <f>T_CEFF!T42</f>
        <v>0.37208999999999998</v>
      </c>
      <c r="AA88" s="377">
        <f>T_CEFF!U42</f>
        <v>0.37208999999999998</v>
      </c>
      <c r="AB88" s="377">
        <f>T_CEFF!V42</f>
        <v>0.37208999999999998</v>
      </c>
      <c r="AV88" s="700" t="str">
        <f t="shared" si="33"/>
        <v/>
      </c>
    </row>
    <row r="89" spans="1:64" x14ac:dyDescent="0.25">
      <c r="A89" s="22"/>
      <c r="B89" s="186" t="str">
        <f t="shared" si="85"/>
        <v>TCARGSL900</v>
      </c>
      <c r="C89" s="186"/>
      <c r="D89" s="187"/>
      <c r="E89" s="186"/>
      <c r="F89" s="170"/>
      <c r="G89" s="188" t="s">
        <v>408</v>
      </c>
      <c r="H89" s="170"/>
      <c r="I89" s="190"/>
      <c r="J89" s="191"/>
      <c r="K89" s="191"/>
      <c r="L89" s="191" t="s">
        <v>1126</v>
      </c>
      <c r="M89" s="186" t="s">
        <v>678</v>
      </c>
      <c r="N89" s="377">
        <f>T_CEFF!H43</f>
        <v>0.30188999999999999</v>
      </c>
      <c r="O89" s="377">
        <f>T_CEFF!I43</f>
        <v>0.30188999999999999</v>
      </c>
      <c r="P89" s="377">
        <f>T_CEFF!J43</f>
        <v>0.30188999999999999</v>
      </c>
      <c r="Q89" s="377">
        <f>T_CEFF!K43</f>
        <v>0.30188999999999999</v>
      </c>
      <c r="R89" s="377">
        <f>T_CEFF!L43</f>
        <v>0.30188999999999999</v>
      </c>
      <c r="S89" s="377">
        <f>T_CEFF!M43</f>
        <v>0.30188999999999999</v>
      </c>
      <c r="T89" s="377">
        <f>T_CEFF!N43</f>
        <v>0.30188999999999999</v>
      </c>
      <c r="U89" s="377">
        <f>T_CEFF!O43</f>
        <v>0.30188999999999999</v>
      </c>
      <c r="V89" s="377">
        <f>T_CEFF!P43</f>
        <v>0.30188999999999999</v>
      </c>
      <c r="W89" s="377">
        <f>T_CEFF!Q43</f>
        <v>0.30188999999999999</v>
      </c>
      <c r="X89" s="377">
        <f>T_CEFF!R43</f>
        <v>0.30188999999999999</v>
      </c>
      <c r="Y89" s="377">
        <f>T_CEFF!S43</f>
        <v>0.30188999999999999</v>
      </c>
      <c r="Z89" s="377">
        <f>T_CEFF!T43</f>
        <v>0.30188999999999999</v>
      </c>
      <c r="AA89" s="377">
        <f>T_CEFF!U43</f>
        <v>0.30188999999999999</v>
      </c>
      <c r="AB89" s="377">
        <f>T_CEFF!V43</f>
        <v>0.30188999999999999</v>
      </c>
      <c r="AV89" s="700" t="str">
        <f t="shared" si="33"/>
        <v/>
      </c>
    </row>
    <row r="90" spans="1:64" x14ac:dyDescent="0.25">
      <c r="A90" s="22"/>
      <c r="B90" s="186" t="str">
        <f t="shared" si="85"/>
        <v>TCARGSL900</v>
      </c>
      <c r="C90" s="186"/>
      <c r="D90" s="187"/>
      <c r="E90" s="186"/>
      <c r="F90" s="170"/>
      <c r="G90" s="189"/>
      <c r="H90" s="170"/>
      <c r="I90" s="190"/>
      <c r="J90" s="191"/>
      <c r="K90" s="191" t="s">
        <v>749</v>
      </c>
      <c r="L90" s="191" t="s">
        <v>1128</v>
      </c>
      <c r="M90" s="186" t="s">
        <v>1119</v>
      </c>
      <c r="N90" s="368">
        <f>N$14</f>
        <v>1.2</v>
      </c>
      <c r="O90" s="368">
        <f t="shared" ref="O90:AB90" si="89">O$14</f>
        <v>0</v>
      </c>
      <c r="P90" s="368">
        <f t="shared" si="89"/>
        <v>0</v>
      </c>
      <c r="Q90" s="368">
        <f t="shared" si="89"/>
        <v>0</v>
      </c>
      <c r="R90" s="368">
        <f t="shared" si="89"/>
        <v>0</v>
      </c>
      <c r="S90" s="368">
        <f t="shared" si="89"/>
        <v>0</v>
      </c>
      <c r="T90" s="368">
        <f t="shared" si="89"/>
        <v>0</v>
      </c>
      <c r="U90" s="368">
        <f t="shared" si="89"/>
        <v>0</v>
      </c>
      <c r="V90" s="368">
        <f t="shared" si="89"/>
        <v>0</v>
      </c>
      <c r="W90" s="368">
        <f t="shared" si="89"/>
        <v>0</v>
      </c>
      <c r="X90" s="368">
        <f t="shared" si="89"/>
        <v>0</v>
      </c>
      <c r="Y90" s="368">
        <f t="shared" si="89"/>
        <v>0</v>
      </c>
      <c r="Z90" s="368">
        <f t="shared" si="89"/>
        <v>0</v>
      </c>
      <c r="AA90" s="368">
        <f t="shared" si="89"/>
        <v>0</v>
      </c>
      <c r="AB90" s="368">
        <f t="shared" si="89"/>
        <v>0</v>
      </c>
      <c r="AV90" s="700" t="str">
        <f t="shared" si="33"/>
        <v/>
      </c>
    </row>
    <row r="91" spans="1:64" x14ac:dyDescent="0.25">
      <c r="A91" s="22"/>
      <c r="B91" s="186" t="str">
        <f t="shared" si="85"/>
        <v>TCARGSL900</v>
      </c>
      <c r="C91" s="186"/>
      <c r="D91" s="187"/>
      <c r="E91" s="186"/>
      <c r="F91" s="170"/>
      <c r="G91" s="189"/>
      <c r="H91" s="170"/>
      <c r="I91" s="190"/>
      <c r="J91" s="191"/>
      <c r="K91" s="191"/>
      <c r="L91" s="211" t="s">
        <v>1130</v>
      </c>
      <c r="M91" s="186" t="s">
        <v>1131</v>
      </c>
      <c r="N91" s="376">
        <f>LOOKUP($C$85, T_NCAP_AF!$C$20:$C$30, T_NCAP_AF!D$20:D$30)*(1+N26)</f>
        <v>0</v>
      </c>
      <c r="O91" s="376">
        <f>LOOKUP($C$85, T_NCAP_AF!$C$20:$C$30, T_NCAP_AF!E$20:E$30)*(1+O26)</f>
        <v>0</v>
      </c>
      <c r="P91" s="376">
        <f>LOOKUP($C$85, T_NCAP_AF!$C$20:$C$30, T_NCAP_AF!F$20:F$30)*(1+P26)</f>
        <v>0</v>
      </c>
      <c r="Q91" s="376">
        <f>LOOKUP($C$85, T_NCAP_AF!$C$20:$C$30, T_NCAP_AF!G$20:G$30)*(1+Q26)</f>
        <v>0</v>
      </c>
      <c r="R91" s="376">
        <f>LOOKUP($C$85, T_NCAP_AF!$C$20:$C$30, T_NCAP_AF!H$20:H$30)*(1+R26)</f>
        <v>0</v>
      </c>
      <c r="S91" s="376">
        <f>LOOKUP($C$85, T_NCAP_AF!$C$20:$C$30, T_NCAP_AF!I$20:I$30)*(1+S26)</f>
        <v>0</v>
      </c>
      <c r="T91" s="376">
        <f>LOOKUP($C$85, T_NCAP_AF!$C$20:$C$30, T_NCAP_AF!J$20:J$30)*(1+T26)</f>
        <v>0</v>
      </c>
      <c r="U91" s="376">
        <f>LOOKUP($C$85, T_NCAP_AF!$C$20:$C$30, T_NCAP_AF!K$20:K$30)*(1+U26)</f>
        <v>0</v>
      </c>
      <c r="V91" s="376">
        <f>LOOKUP($C$85, T_NCAP_AF!$C$20:$C$30, T_NCAP_AF!L$20:L$30)*(1+V26)</f>
        <v>0</v>
      </c>
      <c r="W91" s="376">
        <f>LOOKUP($C$85, T_NCAP_AF!$C$20:$C$30, T_NCAP_AF!M$20:M$30)*(1+W26)</f>
        <v>0</v>
      </c>
      <c r="X91" s="376">
        <f>LOOKUP($C$85, T_NCAP_AF!$C$20:$C$30, T_NCAP_AF!N$20:N$30)*(1+X26)</f>
        <v>0</v>
      </c>
      <c r="Y91" s="376">
        <f>LOOKUP($C$85, T_NCAP_AF!$C$20:$C$30, T_NCAP_AF!O$20:O$30)*(1+Y26)</f>
        <v>0</v>
      </c>
      <c r="Z91" s="376">
        <f>LOOKUP($C$85, T_NCAP_AF!$C$20:$C$30, T_NCAP_AF!P$20:P$30)*(1+Z26)</f>
        <v>0</v>
      </c>
      <c r="AA91" s="376">
        <f>LOOKUP($C$85, T_NCAP_AF!$C$20:$C$30, T_NCAP_AF!Q$20:Q$30)*(1+AA26)</f>
        <v>0</v>
      </c>
      <c r="AB91" s="376">
        <f>LOOKUP($C$85, T_NCAP_AF!$C$20:$C$30, T_NCAP_AF!R$20:R$30)*(1+AB26)</f>
        <v>0</v>
      </c>
      <c r="AV91" s="700" t="str">
        <f t="shared" si="33"/>
        <v/>
      </c>
    </row>
    <row r="92" spans="1:64" x14ac:dyDescent="0.25">
      <c r="A92" s="22"/>
      <c r="B92" s="186" t="str">
        <f t="shared" si="85"/>
        <v>TCARGSL900</v>
      </c>
      <c r="C92" s="186"/>
      <c r="D92" s="187"/>
      <c r="E92" s="186"/>
      <c r="F92" s="170"/>
      <c r="G92" s="189"/>
      <c r="H92" s="170"/>
      <c r="I92" s="190">
        <f>$M$3</f>
        <v>2019</v>
      </c>
      <c r="J92" s="191"/>
      <c r="K92" s="191"/>
      <c r="L92" s="211" t="s">
        <v>1065</v>
      </c>
      <c r="M92" s="186" t="s">
        <v>748</v>
      </c>
      <c r="N92" s="687">
        <f>LOOKUP($C$85, 'T_Stock_TOTAL_&amp;_City'!$C$10:$C$20, 'T_Stock_TOTAL_&amp;_City'!D$10:D$20)*(1+N27)</f>
        <v>0</v>
      </c>
      <c r="O92" s="687">
        <f>LOOKUP($C$85, 'T_Stock_TOTAL_&amp;_City'!$C$10:$C$20, 'T_Stock_TOTAL_&amp;_City'!E$10:E$20)*(1+O27)</f>
        <v>0</v>
      </c>
      <c r="P92" s="687">
        <f>LOOKUP($C$85, 'T_Stock_TOTAL_&amp;_City'!$C$10:$C$20, 'T_Stock_TOTAL_&amp;_City'!F$10:F$20)*(1+P27)</f>
        <v>0</v>
      </c>
      <c r="Q92" s="687">
        <f>LOOKUP($C$85, 'T_Stock_TOTAL_&amp;_City'!$C$10:$C$20, 'T_Stock_TOTAL_&amp;_City'!G$10:G$20)*(1+Q27)</f>
        <v>0</v>
      </c>
      <c r="R92" s="687">
        <f>LOOKUP($C$85, 'T_Stock_TOTAL_&amp;_City'!$C$10:$C$20, 'T_Stock_TOTAL_&amp;_City'!H$10:H$20)*(1+R27)</f>
        <v>0</v>
      </c>
      <c r="S92" s="687">
        <f>LOOKUP($C$85, 'T_Stock_TOTAL_&amp;_City'!$C$10:$C$20, 'T_Stock_TOTAL_&amp;_City'!I$10:I$20)*(1+S27)</f>
        <v>0</v>
      </c>
      <c r="T92" s="687">
        <f>LOOKUP($C$85, 'T_Stock_TOTAL_&amp;_City'!$C$10:$C$20, 'T_Stock_TOTAL_&amp;_City'!J$10:J$20)*(1+T27)</f>
        <v>0</v>
      </c>
      <c r="U92" s="687">
        <f>LOOKUP($C$85, 'T_Stock_TOTAL_&amp;_City'!$C$10:$C$20, 'T_Stock_TOTAL_&amp;_City'!K$10:K$20)*(1+U27)</f>
        <v>0</v>
      </c>
      <c r="V92" s="687">
        <f>LOOKUP($C$85, 'T_Stock_TOTAL_&amp;_City'!$C$10:$C$20, 'T_Stock_TOTAL_&amp;_City'!L$10:L$20)*(1+V27)</f>
        <v>0</v>
      </c>
      <c r="W92" s="687">
        <f>LOOKUP($C$85, 'T_Stock_TOTAL_&amp;_City'!$C$10:$C$20, 'T_Stock_TOTAL_&amp;_City'!M$10:M$20)*(1+W27)</f>
        <v>0</v>
      </c>
      <c r="X92" s="687">
        <f>LOOKUP($C$85, 'T_Stock_TOTAL_&amp;_City'!$C$10:$C$20, 'T_Stock_TOTAL_&amp;_City'!N$10:N$20)*(1+X27)</f>
        <v>0</v>
      </c>
      <c r="Y92" s="687">
        <f>LOOKUP($C$85, 'T_Stock_TOTAL_&amp;_City'!$C$10:$C$20, 'T_Stock_TOTAL_&amp;_City'!O$10:O$20)*(1+Y27)</f>
        <v>0</v>
      </c>
      <c r="Z92" s="687">
        <f>LOOKUP($C$85, 'T_Stock_TOTAL_&amp;_City'!$C$10:$C$20, 'T_Stock_TOTAL_&amp;_City'!P$10:P$20)*(1+Z27)</f>
        <v>0</v>
      </c>
      <c r="AA92" s="687">
        <f>LOOKUP($C$85, 'T_Stock_TOTAL_&amp;_City'!$C$10:$C$20, 'T_Stock_TOTAL_&amp;_City'!Q$10:Q$20)*(1+AA27)</f>
        <v>0</v>
      </c>
      <c r="AB92" s="687">
        <f>LOOKUP($C$85, 'T_Stock_TOTAL_&amp;_City'!$C$10:$C$20, 'T_Stock_TOTAL_&amp;_City'!R$10:R$20)*(1+AB27)</f>
        <v>0</v>
      </c>
      <c r="AV92" s="700" t="str">
        <f t="shared" si="33"/>
        <v/>
      </c>
    </row>
    <row r="93" spans="1:64" x14ac:dyDescent="0.25">
      <c r="A93" s="22"/>
      <c r="B93" s="186" t="str">
        <f t="shared" si="85"/>
        <v>TCARGSL900</v>
      </c>
      <c r="C93" s="186"/>
      <c r="D93" s="187"/>
      <c r="E93" s="186"/>
      <c r="F93" s="170"/>
      <c r="G93" s="189"/>
      <c r="H93" s="170"/>
      <c r="I93" s="190">
        <f>AF$15</f>
        <v>2016</v>
      </c>
      <c r="J93" s="191"/>
      <c r="K93" s="191"/>
      <c r="L93" s="211" t="s">
        <v>1065</v>
      </c>
      <c r="M93" s="186" t="s">
        <v>748</v>
      </c>
      <c r="N93" s="687">
        <f t="shared" ref="N93:AB93" si="90">N$92*LOOKUP($AD$85,$AG$14:$AP$14,$AG15:$AP15)</f>
        <v>0</v>
      </c>
      <c r="O93" s="687">
        <f t="shared" si="90"/>
        <v>0</v>
      </c>
      <c r="P93" s="687">
        <f t="shared" si="90"/>
        <v>0</v>
      </c>
      <c r="Q93" s="687">
        <f t="shared" si="90"/>
        <v>0</v>
      </c>
      <c r="R93" s="687">
        <f t="shared" si="90"/>
        <v>0</v>
      </c>
      <c r="S93" s="687">
        <f t="shared" si="90"/>
        <v>0</v>
      </c>
      <c r="T93" s="687">
        <f t="shared" si="90"/>
        <v>0</v>
      </c>
      <c r="U93" s="687">
        <f t="shared" si="90"/>
        <v>0</v>
      </c>
      <c r="V93" s="687">
        <f t="shared" si="90"/>
        <v>0</v>
      </c>
      <c r="W93" s="687">
        <f t="shared" si="90"/>
        <v>0</v>
      </c>
      <c r="X93" s="687">
        <f t="shared" si="90"/>
        <v>0</v>
      </c>
      <c r="Y93" s="687">
        <f t="shared" si="90"/>
        <v>0</v>
      </c>
      <c r="Z93" s="687">
        <f t="shared" si="90"/>
        <v>0</v>
      </c>
      <c r="AA93" s="687">
        <f t="shared" si="90"/>
        <v>0</v>
      </c>
      <c r="AB93" s="687">
        <f t="shared" si="90"/>
        <v>0</v>
      </c>
      <c r="AE93" s="569">
        <f>SUM(AF93:AT93)</f>
        <v>0</v>
      </c>
      <c r="AF93" s="568">
        <f t="shared" ref="AF93:AT93" si="91">N90*N91*N92/1000</f>
        <v>0</v>
      </c>
      <c r="AG93" s="568">
        <f t="shared" si="91"/>
        <v>0</v>
      </c>
      <c r="AH93" s="568">
        <f t="shared" si="91"/>
        <v>0</v>
      </c>
      <c r="AI93" s="568">
        <f t="shared" si="91"/>
        <v>0</v>
      </c>
      <c r="AJ93" s="568">
        <f t="shared" si="91"/>
        <v>0</v>
      </c>
      <c r="AK93" s="568">
        <f t="shared" si="91"/>
        <v>0</v>
      </c>
      <c r="AL93" s="568">
        <f t="shared" si="91"/>
        <v>0</v>
      </c>
      <c r="AM93" s="568">
        <f t="shared" si="91"/>
        <v>0</v>
      </c>
      <c r="AN93" s="568">
        <f t="shared" si="91"/>
        <v>0</v>
      </c>
      <c r="AO93" s="568">
        <f t="shared" si="91"/>
        <v>0</v>
      </c>
      <c r="AP93" s="568">
        <f t="shared" si="91"/>
        <v>0</v>
      </c>
      <c r="AQ93" s="568">
        <f t="shared" si="91"/>
        <v>0</v>
      </c>
      <c r="AR93" s="568">
        <f t="shared" si="91"/>
        <v>0</v>
      </c>
      <c r="AS93" s="568">
        <f t="shared" si="91"/>
        <v>0</v>
      </c>
      <c r="AT93" s="568">
        <f t="shared" si="91"/>
        <v>0</v>
      </c>
      <c r="AV93" s="700" t="str">
        <f t="shared" si="33"/>
        <v/>
      </c>
    </row>
    <row r="94" spans="1:64" x14ac:dyDescent="0.25">
      <c r="A94" s="22"/>
      <c r="B94" s="186" t="str">
        <f t="shared" si="85"/>
        <v>TCARGSL900</v>
      </c>
      <c r="C94" s="186"/>
      <c r="D94" s="187"/>
      <c r="E94" s="186"/>
      <c r="F94" s="170"/>
      <c r="G94" s="189"/>
      <c r="H94" s="170"/>
      <c r="I94" s="190">
        <f>AF$16</f>
        <v>2020</v>
      </c>
      <c r="J94" s="191"/>
      <c r="K94" s="191"/>
      <c r="L94" s="211" t="s">
        <v>1065</v>
      </c>
      <c r="M94" s="186" t="s">
        <v>748</v>
      </c>
      <c r="N94" s="687">
        <f t="shared" ref="N94:AB94" si="92">N$92*LOOKUP($AD$85,$AG$14:$AP$14,$AG16:$AP16)</f>
        <v>0</v>
      </c>
      <c r="O94" s="687">
        <f t="shared" si="92"/>
        <v>0</v>
      </c>
      <c r="P94" s="687">
        <f t="shared" si="92"/>
        <v>0</v>
      </c>
      <c r="Q94" s="687">
        <f t="shared" si="92"/>
        <v>0</v>
      </c>
      <c r="R94" s="687">
        <f t="shared" si="92"/>
        <v>0</v>
      </c>
      <c r="S94" s="687">
        <f t="shared" si="92"/>
        <v>0</v>
      </c>
      <c r="T94" s="687">
        <f t="shared" si="92"/>
        <v>0</v>
      </c>
      <c r="U94" s="687">
        <f t="shared" si="92"/>
        <v>0</v>
      </c>
      <c r="V94" s="687">
        <f t="shared" si="92"/>
        <v>0</v>
      </c>
      <c r="W94" s="687">
        <f t="shared" si="92"/>
        <v>0</v>
      </c>
      <c r="X94" s="687">
        <f t="shared" si="92"/>
        <v>0</v>
      </c>
      <c r="Y94" s="687">
        <f t="shared" si="92"/>
        <v>0</v>
      </c>
      <c r="Z94" s="687">
        <f t="shared" si="92"/>
        <v>0</v>
      </c>
      <c r="AA94" s="687">
        <f t="shared" si="92"/>
        <v>0</v>
      </c>
      <c r="AB94" s="687">
        <f t="shared" si="92"/>
        <v>0</v>
      </c>
      <c r="AV94" s="700" t="str">
        <f t="shared" si="33"/>
        <v/>
      </c>
    </row>
    <row r="95" spans="1:64" x14ac:dyDescent="0.25">
      <c r="A95" s="22"/>
      <c r="B95" s="186" t="str">
        <f t="shared" si="85"/>
        <v>TCARGSL900</v>
      </c>
      <c r="C95" s="186"/>
      <c r="D95" s="187"/>
      <c r="E95" s="186"/>
      <c r="F95" s="170"/>
      <c r="G95" s="189"/>
      <c r="H95" s="170"/>
      <c r="I95" s="190">
        <v>2025</v>
      </c>
      <c r="J95" s="191"/>
      <c r="K95" s="191"/>
      <c r="L95" s="211" t="s">
        <v>1065</v>
      </c>
      <c r="M95" s="186" t="s">
        <v>748</v>
      </c>
      <c r="N95" s="687">
        <f t="shared" ref="N95:AB95" si="93">N$92*LOOKUP($AD$85,$AG$14:$AP$14,$AG17:$AP17)</f>
        <v>0</v>
      </c>
      <c r="O95" s="687">
        <f t="shared" si="93"/>
        <v>0</v>
      </c>
      <c r="P95" s="687">
        <f t="shared" si="93"/>
        <v>0</v>
      </c>
      <c r="Q95" s="687">
        <f t="shared" si="93"/>
        <v>0</v>
      </c>
      <c r="R95" s="687">
        <f t="shared" si="93"/>
        <v>0</v>
      </c>
      <c r="S95" s="687">
        <f t="shared" si="93"/>
        <v>0</v>
      </c>
      <c r="T95" s="687">
        <f t="shared" si="93"/>
        <v>0</v>
      </c>
      <c r="U95" s="687">
        <f t="shared" si="93"/>
        <v>0</v>
      </c>
      <c r="V95" s="687">
        <f t="shared" si="93"/>
        <v>0</v>
      </c>
      <c r="W95" s="687">
        <f t="shared" si="93"/>
        <v>0</v>
      </c>
      <c r="X95" s="687">
        <f t="shared" si="93"/>
        <v>0</v>
      </c>
      <c r="Y95" s="687">
        <f t="shared" si="93"/>
        <v>0</v>
      </c>
      <c r="Z95" s="687">
        <f t="shared" si="93"/>
        <v>0</v>
      </c>
      <c r="AA95" s="687">
        <f t="shared" si="93"/>
        <v>0</v>
      </c>
      <c r="AB95" s="687">
        <f t="shared" si="93"/>
        <v>0</v>
      </c>
      <c r="AV95" s="700" t="str">
        <f t="shared" si="33"/>
        <v/>
      </c>
    </row>
    <row r="96" spans="1:64" x14ac:dyDescent="0.25">
      <c r="A96" s="22"/>
      <c r="B96" s="186" t="str">
        <f t="shared" si="85"/>
        <v>TCARGSL900</v>
      </c>
      <c r="C96" s="186"/>
      <c r="D96" s="187"/>
      <c r="E96" s="186"/>
      <c r="F96" s="170"/>
      <c r="G96" s="189"/>
      <c r="H96" s="170"/>
      <c r="I96" s="190">
        <f>AF$18</f>
        <v>2030</v>
      </c>
      <c r="J96" s="191"/>
      <c r="K96" s="191"/>
      <c r="L96" s="211" t="s">
        <v>1065</v>
      </c>
      <c r="M96" s="186" t="s">
        <v>748</v>
      </c>
      <c r="N96" s="687">
        <f t="shared" ref="N96:AB96" si="94">N$92*LOOKUP($AD$85,$AG$14:$AP$14,$AG18:$AP18)</f>
        <v>0</v>
      </c>
      <c r="O96" s="687">
        <f t="shared" si="94"/>
        <v>0</v>
      </c>
      <c r="P96" s="687">
        <f t="shared" si="94"/>
        <v>0</v>
      </c>
      <c r="Q96" s="687">
        <f t="shared" si="94"/>
        <v>0</v>
      </c>
      <c r="R96" s="687">
        <f t="shared" si="94"/>
        <v>0</v>
      </c>
      <c r="S96" s="687">
        <f t="shared" si="94"/>
        <v>0</v>
      </c>
      <c r="T96" s="687">
        <f t="shared" si="94"/>
        <v>0</v>
      </c>
      <c r="U96" s="687">
        <f t="shared" si="94"/>
        <v>0</v>
      </c>
      <c r="V96" s="687">
        <f t="shared" si="94"/>
        <v>0</v>
      </c>
      <c r="W96" s="687">
        <f t="shared" si="94"/>
        <v>0</v>
      </c>
      <c r="X96" s="687">
        <f t="shared" si="94"/>
        <v>0</v>
      </c>
      <c r="Y96" s="687">
        <f t="shared" si="94"/>
        <v>0</v>
      </c>
      <c r="Z96" s="687">
        <f t="shared" si="94"/>
        <v>0</v>
      </c>
      <c r="AA96" s="687">
        <f t="shared" si="94"/>
        <v>0</v>
      </c>
      <c r="AB96" s="687">
        <f t="shared" si="94"/>
        <v>0</v>
      </c>
      <c r="AV96" s="700" t="str">
        <f t="shared" si="33"/>
        <v/>
      </c>
    </row>
    <row r="97" spans="1:64" x14ac:dyDescent="0.25">
      <c r="A97" s="22"/>
      <c r="B97" s="186" t="str">
        <f t="shared" si="85"/>
        <v>TCARGSL900</v>
      </c>
      <c r="C97" s="186"/>
      <c r="D97" s="187"/>
      <c r="E97" s="186"/>
      <c r="F97" s="170"/>
      <c r="G97" s="189"/>
      <c r="H97" s="170"/>
      <c r="I97" s="190">
        <f>AF$19</f>
        <v>2040</v>
      </c>
      <c r="J97" s="191"/>
      <c r="K97" s="191"/>
      <c r="L97" s="211" t="s">
        <v>1065</v>
      </c>
      <c r="M97" s="186" t="s">
        <v>748</v>
      </c>
      <c r="N97" s="687">
        <f t="shared" ref="N97:AB97" si="95">N$92*LOOKUP($AD$85,$AG$14:$AP$14,$AG19:$AP19)</f>
        <v>0</v>
      </c>
      <c r="O97" s="687">
        <f t="shared" si="95"/>
        <v>0</v>
      </c>
      <c r="P97" s="687">
        <f t="shared" si="95"/>
        <v>0</v>
      </c>
      <c r="Q97" s="687">
        <f t="shared" si="95"/>
        <v>0</v>
      </c>
      <c r="R97" s="687">
        <f t="shared" si="95"/>
        <v>0</v>
      </c>
      <c r="S97" s="687">
        <f t="shared" si="95"/>
        <v>0</v>
      </c>
      <c r="T97" s="687">
        <f t="shared" si="95"/>
        <v>0</v>
      </c>
      <c r="U97" s="687">
        <f t="shared" si="95"/>
        <v>0</v>
      </c>
      <c r="V97" s="687">
        <f t="shared" si="95"/>
        <v>0</v>
      </c>
      <c r="W97" s="687">
        <f t="shared" si="95"/>
        <v>0</v>
      </c>
      <c r="X97" s="687">
        <f t="shared" si="95"/>
        <v>0</v>
      </c>
      <c r="Y97" s="687">
        <f t="shared" si="95"/>
        <v>0</v>
      </c>
      <c r="Z97" s="687">
        <f t="shared" si="95"/>
        <v>0</v>
      </c>
      <c r="AA97" s="687">
        <f t="shared" si="95"/>
        <v>0</v>
      </c>
      <c r="AB97" s="687">
        <f t="shared" si="95"/>
        <v>0</v>
      </c>
      <c r="AV97" s="700" t="str">
        <f t="shared" si="33"/>
        <v/>
      </c>
    </row>
    <row r="98" spans="1:64" x14ac:dyDescent="0.25">
      <c r="A98" s="22"/>
      <c r="B98" s="193" t="str">
        <f t="shared" si="85"/>
        <v>TCARGSL900</v>
      </c>
      <c r="C98" s="193"/>
      <c r="D98" s="194"/>
      <c r="E98" s="193"/>
      <c r="F98" s="196"/>
      <c r="G98" s="195"/>
      <c r="H98" s="196"/>
      <c r="I98" s="197">
        <f>AF$20</f>
        <v>2050</v>
      </c>
      <c r="J98" s="198"/>
      <c r="K98" s="198"/>
      <c r="L98" s="212" t="s">
        <v>1065</v>
      </c>
      <c r="M98" s="193" t="s">
        <v>748</v>
      </c>
      <c r="N98" s="688">
        <f t="shared" ref="N98:AB98" si="96">N$92*LOOKUP($AD$85,$AG$14:$AP$14,$AG20:$AP20)</f>
        <v>0</v>
      </c>
      <c r="O98" s="688">
        <f t="shared" si="96"/>
        <v>0</v>
      </c>
      <c r="P98" s="688">
        <f t="shared" si="96"/>
        <v>0</v>
      </c>
      <c r="Q98" s="688">
        <f t="shared" si="96"/>
        <v>0</v>
      </c>
      <c r="R98" s="688">
        <f t="shared" si="96"/>
        <v>0</v>
      </c>
      <c r="S98" s="688">
        <f t="shared" si="96"/>
        <v>0</v>
      </c>
      <c r="T98" s="688">
        <f t="shared" si="96"/>
        <v>0</v>
      </c>
      <c r="U98" s="688">
        <f t="shared" si="96"/>
        <v>0</v>
      </c>
      <c r="V98" s="688">
        <f t="shared" si="96"/>
        <v>0</v>
      </c>
      <c r="W98" s="688">
        <f t="shared" si="96"/>
        <v>0</v>
      </c>
      <c r="X98" s="688">
        <f t="shared" si="96"/>
        <v>0</v>
      </c>
      <c r="Y98" s="688">
        <f t="shared" si="96"/>
        <v>0</v>
      </c>
      <c r="Z98" s="688">
        <f t="shared" si="96"/>
        <v>0</v>
      </c>
      <c r="AA98" s="688">
        <f t="shared" si="96"/>
        <v>0</v>
      </c>
      <c r="AB98" s="688">
        <f t="shared" si="96"/>
        <v>0</v>
      </c>
      <c r="AD98" s="400"/>
      <c r="AV98" s="700" t="str">
        <f t="shared" si="33"/>
        <v/>
      </c>
    </row>
    <row r="99" spans="1:64" x14ac:dyDescent="0.25">
      <c r="A99" s="22"/>
      <c r="B99" s="186" t="str">
        <f>C99</f>
        <v>TCARHYD900</v>
      </c>
      <c r="C99" s="186" t="s">
        <v>534</v>
      </c>
      <c r="D99" s="187" t="s">
        <v>791</v>
      </c>
      <c r="E99" s="258" t="s">
        <v>988</v>
      </c>
      <c r="F99" s="170"/>
      <c r="G99" s="213"/>
      <c r="H99" s="170"/>
      <c r="I99" s="190"/>
      <c r="J99" s="191"/>
      <c r="K99" s="191"/>
      <c r="L99" s="211" t="s">
        <v>1107</v>
      </c>
      <c r="M99" s="191" t="s">
        <v>1156</v>
      </c>
      <c r="N99" s="366">
        <f>N$32</f>
        <v>1E-3</v>
      </c>
      <c r="O99" s="366">
        <f t="shared" ref="O99:AB99" si="97">$N99</f>
        <v>1E-3</v>
      </c>
      <c r="P99" s="366">
        <f t="shared" si="97"/>
        <v>1E-3</v>
      </c>
      <c r="Q99" s="366">
        <f t="shared" si="97"/>
        <v>1E-3</v>
      </c>
      <c r="R99" s="366">
        <f t="shared" si="97"/>
        <v>1E-3</v>
      </c>
      <c r="S99" s="366">
        <f t="shared" si="97"/>
        <v>1E-3</v>
      </c>
      <c r="T99" s="366">
        <f t="shared" si="97"/>
        <v>1E-3</v>
      </c>
      <c r="U99" s="366">
        <f t="shared" si="97"/>
        <v>1E-3</v>
      </c>
      <c r="V99" s="366">
        <f t="shared" si="97"/>
        <v>1E-3</v>
      </c>
      <c r="W99" s="366">
        <f t="shared" si="97"/>
        <v>1E-3</v>
      </c>
      <c r="X99" s="366">
        <f t="shared" si="97"/>
        <v>1E-3</v>
      </c>
      <c r="Y99" s="366">
        <f t="shared" si="97"/>
        <v>1E-3</v>
      </c>
      <c r="Z99" s="366">
        <f t="shared" si="97"/>
        <v>1E-3</v>
      </c>
      <c r="AA99" s="366">
        <f t="shared" si="97"/>
        <v>1E-3</v>
      </c>
      <c r="AB99" s="366">
        <f t="shared" si="97"/>
        <v>1E-3</v>
      </c>
      <c r="AD99" s="56" t="s">
        <v>1182</v>
      </c>
      <c r="AV99" s="700" t="str">
        <f t="shared" si="33"/>
        <v>TRABDL</v>
      </c>
      <c r="AW99" s="568">
        <f t="shared" ref="AW99:AW101" si="98">SUM(AX99:BL99)</f>
        <v>0</v>
      </c>
      <c r="AX99" s="568">
        <f>N$105*N$106*(1-N100)/N$103/1000</f>
        <v>0</v>
      </c>
      <c r="AY99" s="568">
        <f t="shared" ref="AY99:BL99" si="99">O$105*O$106*(1-O100)/O$103/1000</f>
        <v>0</v>
      </c>
      <c r="AZ99" s="568">
        <f t="shared" si="99"/>
        <v>0</v>
      </c>
      <c r="BA99" s="568">
        <f t="shared" si="99"/>
        <v>0</v>
      </c>
      <c r="BB99" s="568">
        <f t="shared" si="99"/>
        <v>0</v>
      </c>
      <c r="BC99" s="568">
        <f t="shared" si="99"/>
        <v>0</v>
      </c>
      <c r="BD99" s="568">
        <f t="shared" si="99"/>
        <v>0</v>
      </c>
      <c r="BE99" s="568">
        <f t="shared" si="99"/>
        <v>0</v>
      </c>
      <c r="BF99" s="568">
        <f t="shared" si="99"/>
        <v>0</v>
      </c>
      <c r="BG99" s="568">
        <f t="shared" si="99"/>
        <v>0</v>
      </c>
      <c r="BH99" s="568">
        <f t="shared" si="99"/>
        <v>0</v>
      </c>
      <c r="BI99" s="568">
        <f t="shared" si="99"/>
        <v>0</v>
      </c>
      <c r="BJ99" s="568">
        <f t="shared" si="99"/>
        <v>0</v>
      </c>
      <c r="BK99" s="568">
        <f t="shared" si="99"/>
        <v>0</v>
      </c>
      <c r="BL99" s="568">
        <f t="shared" si="99"/>
        <v>0</v>
      </c>
    </row>
    <row r="100" spans="1:64" x14ac:dyDescent="0.25">
      <c r="A100" s="22"/>
      <c r="B100" s="186" t="str">
        <f>B99</f>
        <v>TCARHYD900</v>
      </c>
      <c r="C100" s="186"/>
      <c r="D100" s="187"/>
      <c r="E100" s="258" t="s">
        <v>185</v>
      </c>
      <c r="F100" s="170"/>
      <c r="G100" s="213"/>
      <c r="H100" s="170"/>
      <c r="I100" s="190"/>
      <c r="J100" s="191" t="s">
        <v>1157</v>
      </c>
      <c r="K100" s="191"/>
      <c r="L100" s="211" t="s">
        <v>101</v>
      </c>
      <c r="M100" s="186"/>
      <c r="N100" s="377">
        <f>1-N$17-N$18</f>
        <v>0.77999999999999992</v>
      </c>
      <c r="O100" s="377">
        <f t="shared" ref="O100:AB100" si="100">1-O$17-O$18</f>
        <v>0.77999999999999992</v>
      </c>
      <c r="P100" s="377">
        <f t="shared" si="100"/>
        <v>0.77999999999999992</v>
      </c>
      <c r="Q100" s="377">
        <f t="shared" si="100"/>
        <v>0.77999999999999992</v>
      </c>
      <c r="R100" s="377">
        <f t="shared" si="100"/>
        <v>0.77999999999999992</v>
      </c>
      <c r="S100" s="377">
        <f t="shared" si="100"/>
        <v>0.77999999999999992</v>
      </c>
      <c r="T100" s="377">
        <f t="shared" si="100"/>
        <v>0.77999999999999992</v>
      </c>
      <c r="U100" s="377">
        <f t="shared" si="100"/>
        <v>0.77999999999999992</v>
      </c>
      <c r="V100" s="377">
        <f t="shared" si="100"/>
        <v>0.77999999999999992</v>
      </c>
      <c r="W100" s="377">
        <f t="shared" si="100"/>
        <v>0.77999999999999992</v>
      </c>
      <c r="X100" s="377">
        <f t="shared" si="100"/>
        <v>0.77999999999999992</v>
      </c>
      <c r="Y100" s="377">
        <f t="shared" si="100"/>
        <v>0.77999999999999992</v>
      </c>
      <c r="Z100" s="377">
        <f t="shared" si="100"/>
        <v>0.77999999999999992</v>
      </c>
      <c r="AA100" s="377">
        <f t="shared" si="100"/>
        <v>0.77999999999999992</v>
      </c>
      <c r="AB100" s="377">
        <f t="shared" si="100"/>
        <v>0.77999999999999992</v>
      </c>
      <c r="AD100" s="399" t="str">
        <f>IF(COUNTIF($AG$14:$AP$14,AD99)=1,"ok","MISSING")</f>
        <v>ok</v>
      </c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V100" s="700" t="str">
        <f t="shared" ref="AV100:AV154" si="101">MID(E100,1,7)</f>
        <v>TRADST</v>
      </c>
      <c r="AW100" s="568">
        <f t="shared" si="98"/>
        <v>0</v>
      </c>
      <c r="AX100" s="568">
        <f>N$105*N$106*N100/N$103/1000</f>
        <v>0</v>
      </c>
      <c r="AY100" s="568">
        <f t="shared" ref="AY100:BL101" si="102">O$105*O$106*O100/O$103/1000</f>
        <v>0</v>
      </c>
      <c r="AZ100" s="568">
        <f t="shared" si="102"/>
        <v>0</v>
      </c>
      <c r="BA100" s="568">
        <f t="shared" si="102"/>
        <v>0</v>
      </c>
      <c r="BB100" s="568">
        <f t="shared" si="102"/>
        <v>0</v>
      </c>
      <c r="BC100" s="568">
        <f t="shared" si="102"/>
        <v>0</v>
      </c>
      <c r="BD100" s="568">
        <f t="shared" si="102"/>
        <v>0</v>
      </c>
      <c r="BE100" s="568">
        <f t="shared" si="102"/>
        <v>0</v>
      </c>
      <c r="BF100" s="568">
        <f t="shared" si="102"/>
        <v>0</v>
      </c>
      <c r="BG100" s="568">
        <f t="shared" si="102"/>
        <v>0</v>
      </c>
      <c r="BH100" s="568">
        <f t="shared" si="102"/>
        <v>0</v>
      </c>
      <c r="BI100" s="568">
        <f t="shared" si="102"/>
        <v>0</v>
      </c>
      <c r="BJ100" s="568">
        <f t="shared" si="102"/>
        <v>0</v>
      </c>
      <c r="BK100" s="568">
        <f t="shared" si="102"/>
        <v>0</v>
      </c>
      <c r="BL100" s="568">
        <f t="shared" si="102"/>
        <v>0</v>
      </c>
    </row>
    <row r="101" spans="1:64" x14ac:dyDescent="0.25">
      <c r="A101" s="22"/>
      <c r="B101" s="186" t="str">
        <f t="shared" ref="B101" si="103">B100</f>
        <v>TCARHYD900</v>
      </c>
      <c r="C101" s="186"/>
      <c r="D101" s="187"/>
      <c r="E101" s="258" t="s">
        <v>990</v>
      </c>
      <c r="F101" s="170"/>
      <c r="G101" s="189"/>
      <c r="H101" s="170"/>
      <c r="I101" s="190"/>
      <c r="J101" s="191" t="s">
        <v>1157</v>
      </c>
      <c r="K101" s="191"/>
      <c r="L101" s="211" t="s">
        <v>101</v>
      </c>
      <c r="M101" s="191"/>
      <c r="N101" s="377">
        <f>N$17</f>
        <v>7.0000000000000007E-2</v>
      </c>
      <c r="O101" s="377">
        <f t="shared" ref="O101:AB101" si="104">O$17</f>
        <v>7.0000000000000007E-2</v>
      </c>
      <c r="P101" s="377">
        <f t="shared" si="104"/>
        <v>7.0000000000000007E-2</v>
      </c>
      <c r="Q101" s="377">
        <f t="shared" si="104"/>
        <v>7.0000000000000007E-2</v>
      </c>
      <c r="R101" s="377">
        <f t="shared" si="104"/>
        <v>7.0000000000000007E-2</v>
      </c>
      <c r="S101" s="377">
        <f t="shared" si="104"/>
        <v>7.0000000000000007E-2</v>
      </c>
      <c r="T101" s="377">
        <f t="shared" si="104"/>
        <v>7.0000000000000007E-2</v>
      </c>
      <c r="U101" s="377">
        <f t="shared" si="104"/>
        <v>7.0000000000000007E-2</v>
      </c>
      <c r="V101" s="377">
        <f t="shared" si="104"/>
        <v>7.0000000000000007E-2</v>
      </c>
      <c r="W101" s="377">
        <f t="shared" si="104"/>
        <v>7.0000000000000007E-2</v>
      </c>
      <c r="X101" s="377">
        <f t="shared" si="104"/>
        <v>7.0000000000000007E-2</v>
      </c>
      <c r="Y101" s="377">
        <f t="shared" si="104"/>
        <v>7.0000000000000007E-2</v>
      </c>
      <c r="Z101" s="377">
        <f t="shared" si="104"/>
        <v>7.0000000000000007E-2</v>
      </c>
      <c r="AA101" s="377">
        <f t="shared" si="104"/>
        <v>7.0000000000000007E-2</v>
      </c>
      <c r="AB101" s="377">
        <f t="shared" si="104"/>
        <v>7.0000000000000007E-2</v>
      </c>
      <c r="AD101" s="399"/>
      <c r="AE101" s="405"/>
      <c r="AV101" s="700" t="str">
        <f t="shared" si="101"/>
        <v>TRABDLM</v>
      </c>
      <c r="AW101" s="568">
        <f t="shared" si="98"/>
        <v>0</v>
      </c>
      <c r="AX101" s="568">
        <f>N$105*N$106*N101/N$103/1000</f>
        <v>0</v>
      </c>
      <c r="AY101" s="568">
        <f t="shared" si="102"/>
        <v>0</v>
      </c>
      <c r="AZ101" s="568">
        <f t="shared" si="102"/>
        <v>0</v>
      </c>
      <c r="BA101" s="568">
        <f t="shared" si="102"/>
        <v>0</v>
      </c>
      <c r="BB101" s="568">
        <f t="shared" si="102"/>
        <v>0</v>
      </c>
      <c r="BC101" s="568">
        <f t="shared" si="102"/>
        <v>0</v>
      </c>
      <c r="BD101" s="568">
        <f t="shared" si="102"/>
        <v>0</v>
      </c>
      <c r="BE101" s="568">
        <f t="shared" si="102"/>
        <v>0</v>
      </c>
      <c r="BF101" s="568">
        <f t="shared" si="102"/>
        <v>0</v>
      </c>
      <c r="BG101" s="568">
        <f t="shared" si="102"/>
        <v>0</v>
      </c>
      <c r="BH101" s="568">
        <f t="shared" si="102"/>
        <v>0</v>
      </c>
      <c r="BI101" s="568">
        <f t="shared" si="102"/>
        <v>0</v>
      </c>
      <c r="BJ101" s="568">
        <f t="shared" si="102"/>
        <v>0</v>
      </c>
      <c r="BK101" s="568">
        <f t="shared" si="102"/>
        <v>0</v>
      </c>
      <c r="BL101" s="568">
        <f t="shared" si="102"/>
        <v>0</v>
      </c>
    </row>
    <row r="102" spans="1:64" x14ac:dyDescent="0.25">
      <c r="A102" s="22"/>
      <c r="B102" s="186" t="str">
        <f>B100</f>
        <v>TCARHYD900</v>
      </c>
      <c r="C102" s="186"/>
      <c r="D102" s="187"/>
      <c r="E102" s="186"/>
      <c r="F102" s="170"/>
      <c r="G102" s="188" t="s">
        <v>406</v>
      </c>
      <c r="H102" s="170"/>
      <c r="I102" s="190"/>
      <c r="J102" s="191"/>
      <c r="K102" s="191"/>
      <c r="L102" s="191" t="s">
        <v>1126</v>
      </c>
      <c r="M102" s="186" t="s">
        <v>678</v>
      </c>
      <c r="N102" s="377">
        <f>T_CEFF!H44</f>
        <v>0.53332999999999997</v>
      </c>
      <c r="O102" s="377">
        <f>T_CEFF!I44</f>
        <v>0.53332999999999997</v>
      </c>
      <c r="P102" s="377">
        <f>T_CEFF!J44</f>
        <v>0.53332999999999997</v>
      </c>
      <c r="Q102" s="377">
        <f>T_CEFF!K44</f>
        <v>0.53332999999999997</v>
      </c>
      <c r="R102" s="377">
        <f>T_CEFF!L44</f>
        <v>0.53332999999999997</v>
      </c>
      <c r="S102" s="377">
        <f>T_CEFF!M44</f>
        <v>0.53332999999999997</v>
      </c>
      <c r="T102" s="377">
        <f>T_CEFF!N44</f>
        <v>0.53332999999999997</v>
      </c>
      <c r="U102" s="377">
        <f>T_CEFF!O44</f>
        <v>0.53332999999999997</v>
      </c>
      <c r="V102" s="377">
        <f>T_CEFF!P44</f>
        <v>0.53332999999999997</v>
      </c>
      <c r="W102" s="377">
        <f>T_CEFF!Q44</f>
        <v>0.53332999999999997</v>
      </c>
      <c r="X102" s="377">
        <f>T_CEFF!R44</f>
        <v>0.53332999999999997</v>
      </c>
      <c r="Y102" s="377">
        <f>T_CEFF!S44</f>
        <v>0.53332999999999997</v>
      </c>
      <c r="Z102" s="377">
        <f>T_CEFF!T44</f>
        <v>0.53332999999999997</v>
      </c>
      <c r="AA102" s="377">
        <f>T_CEFF!U44</f>
        <v>0.53332999999999997</v>
      </c>
      <c r="AB102" s="377">
        <f>T_CEFF!V44</f>
        <v>0.53332999999999997</v>
      </c>
      <c r="AV102" s="700" t="str">
        <f t="shared" si="101"/>
        <v/>
      </c>
    </row>
    <row r="103" spans="1:64" x14ac:dyDescent="0.25">
      <c r="A103" s="22"/>
      <c r="B103" s="186" t="str">
        <f>B102</f>
        <v>TCARHYD900</v>
      </c>
      <c r="C103" s="186"/>
      <c r="D103" s="187"/>
      <c r="E103" s="186"/>
      <c r="F103" s="170"/>
      <c r="G103" s="188" t="s">
        <v>408</v>
      </c>
      <c r="H103" s="170"/>
      <c r="I103" s="190"/>
      <c r="J103" s="191"/>
      <c r="K103" s="191"/>
      <c r="L103" s="191" t="s">
        <v>1126</v>
      </c>
      <c r="M103" s="186" t="s">
        <v>678</v>
      </c>
      <c r="N103" s="377">
        <f>T_CEFF!H45</f>
        <v>0.47059000000000001</v>
      </c>
      <c r="O103" s="377">
        <f>T_CEFF!I45</f>
        <v>0.47059000000000001</v>
      </c>
      <c r="P103" s="377">
        <f>T_CEFF!J45</f>
        <v>0.47059000000000001</v>
      </c>
      <c r="Q103" s="377">
        <f>T_CEFF!K45</f>
        <v>0.47059000000000001</v>
      </c>
      <c r="R103" s="377">
        <f>T_CEFF!L45</f>
        <v>0.47059000000000001</v>
      </c>
      <c r="S103" s="377">
        <f>T_CEFF!M45</f>
        <v>0.47059000000000001</v>
      </c>
      <c r="T103" s="377">
        <f>T_CEFF!N45</f>
        <v>0.47059000000000001</v>
      </c>
      <c r="U103" s="377">
        <f>T_CEFF!O45</f>
        <v>0.47059000000000001</v>
      </c>
      <c r="V103" s="377">
        <f>T_CEFF!P45</f>
        <v>0.47059000000000001</v>
      </c>
      <c r="W103" s="377">
        <f>T_CEFF!Q45</f>
        <v>0.47059000000000001</v>
      </c>
      <c r="X103" s="377">
        <f>T_CEFF!R45</f>
        <v>0.47059000000000001</v>
      </c>
      <c r="Y103" s="377">
        <f>T_CEFF!S45</f>
        <v>0.47059000000000001</v>
      </c>
      <c r="Z103" s="377">
        <f>T_CEFF!T45</f>
        <v>0.47059000000000001</v>
      </c>
      <c r="AA103" s="377">
        <f>T_CEFF!U45</f>
        <v>0.47059000000000001</v>
      </c>
      <c r="AB103" s="377">
        <f>T_CEFF!V45</f>
        <v>0.47059000000000001</v>
      </c>
      <c r="AV103" s="700" t="str">
        <f t="shared" si="101"/>
        <v/>
      </c>
    </row>
    <row r="104" spans="1:64" x14ac:dyDescent="0.25">
      <c r="A104" s="22"/>
      <c r="B104" s="186" t="str">
        <f t="shared" ref="B104:B112" si="105">B103</f>
        <v>TCARHYD900</v>
      </c>
      <c r="C104" s="186"/>
      <c r="D104" s="187"/>
      <c r="E104" s="186"/>
      <c r="F104" s="170"/>
      <c r="G104" s="213"/>
      <c r="H104" s="170"/>
      <c r="I104" s="190"/>
      <c r="J104" s="191"/>
      <c r="K104" s="191" t="s">
        <v>749</v>
      </c>
      <c r="L104" s="191" t="s">
        <v>1128</v>
      </c>
      <c r="M104" s="186" t="s">
        <v>1119</v>
      </c>
      <c r="N104" s="368">
        <f>N$14</f>
        <v>1.2</v>
      </c>
      <c r="O104" s="368">
        <f t="shared" ref="O104:AB104" si="106">O$14</f>
        <v>0</v>
      </c>
      <c r="P104" s="368">
        <f t="shared" si="106"/>
        <v>0</v>
      </c>
      <c r="Q104" s="368">
        <f t="shared" si="106"/>
        <v>0</v>
      </c>
      <c r="R104" s="368">
        <f t="shared" si="106"/>
        <v>0</v>
      </c>
      <c r="S104" s="368">
        <f t="shared" si="106"/>
        <v>0</v>
      </c>
      <c r="T104" s="368">
        <f t="shared" si="106"/>
        <v>0</v>
      </c>
      <c r="U104" s="368">
        <f t="shared" si="106"/>
        <v>0</v>
      </c>
      <c r="V104" s="368">
        <f t="shared" si="106"/>
        <v>0</v>
      </c>
      <c r="W104" s="368">
        <f t="shared" si="106"/>
        <v>0</v>
      </c>
      <c r="X104" s="368">
        <f t="shared" si="106"/>
        <v>0</v>
      </c>
      <c r="Y104" s="368">
        <f t="shared" si="106"/>
        <v>0</v>
      </c>
      <c r="Z104" s="368">
        <f t="shared" si="106"/>
        <v>0</v>
      </c>
      <c r="AA104" s="368">
        <f t="shared" si="106"/>
        <v>0</v>
      </c>
      <c r="AB104" s="368">
        <f t="shared" si="106"/>
        <v>0</v>
      </c>
      <c r="AV104" s="700" t="str">
        <f t="shared" si="101"/>
        <v/>
      </c>
    </row>
    <row r="105" spans="1:64" x14ac:dyDescent="0.25">
      <c r="A105" s="22"/>
      <c r="B105" s="186" t="str">
        <f t="shared" si="105"/>
        <v>TCARHYD900</v>
      </c>
      <c r="C105" s="186"/>
      <c r="D105" s="187"/>
      <c r="E105" s="186"/>
      <c r="F105" s="170"/>
      <c r="G105" s="213"/>
      <c r="H105" s="170"/>
      <c r="I105" s="190"/>
      <c r="J105" s="191"/>
      <c r="K105" s="191"/>
      <c r="L105" s="211" t="s">
        <v>1130</v>
      </c>
      <c r="M105" s="186" t="s">
        <v>1131</v>
      </c>
      <c r="N105" s="376">
        <f>LOOKUP($C$99, T_NCAP_AF!$C$20:$C$30, T_NCAP_AF!D$20:D$30)*(1+N26)</f>
        <v>0</v>
      </c>
      <c r="O105" s="376">
        <f>LOOKUP($C$99, T_NCAP_AF!$C$20:$C$30, T_NCAP_AF!E$20:E$30)*(1+O26)</f>
        <v>0</v>
      </c>
      <c r="P105" s="376">
        <f>LOOKUP($C$99, T_NCAP_AF!$C$20:$C$30, T_NCAP_AF!F$20:F$30)*(1+P26)</f>
        <v>0</v>
      </c>
      <c r="Q105" s="376">
        <f>LOOKUP($C$99, T_NCAP_AF!$C$20:$C$30, T_NCAP_AF!G$20:G$30)*(1+Q26)</f>
        <v>0</v>
      </c>
      <c r="R105" s="376">
        <f>LOOKUP($C$99, T_NCAP_AF!$C$20:$C$30, T_NCAP_AF!H$20:H$30)*(1+R26)</f>
        <v>0</v>
      </c>
      <c r="S105" s="376">
        <f>LOOKUP($C$99, T_NCAP_AF!$C$20:$C$30, T_NCAP_AF!I$20:I$30)*(1+S26)</f>
        <v>0</v>
      </c>
      <c r="T105" s="376">
        <f>LOOKUP($C$99, T_NCAP_AF!$C$20:$C$30, T_NCAP_AF!J$20:J$30)*(1+T26)</f>
        <v>0</v>
      </c>
      <c r="U105" s="376">
        <f>LOOKUP($C$99, T_NCAP_AF!$C$20:$C$30, T_NCAP_AF!K$20:K$30)*(1+U26)</f>
        <v>0</v>
      </c>
      <c r="V105" s="376">
        <f>LOOKUP($C$99, T_NCAP_AF!$C$20:$C$30, T_NCAP_AF!L$20:L$30)*(1+V26)</f>
        <v>0</v>
      </c>
      <c r="W105" s="376">
        <f>LOOKUP($C$99, T_NCAP_AF!$C$20:$C$30, T_NCAP_AF!M$20:M$30)*(1+W26)</f>
        <v>0</v>
      </c>
      <c r="X105" s="376">
        <f>LOOKUP($C$99, T_NCAP_AF!$C$20:$C$30, T_NCAP_AF!N$20:N$30)*(1+X26)</f>
        <v>0</v>
      </c>
      <c r="Y105" s="376">
        <f>LOOKUP($C$99, T_NCAP_AF!$C$20:$C$30, T_NCAP_AF!O$20:O$30)*(1+Y26)</f>
        <v>0</v>
      </c>
      <c r="Z105" s="376">
        <f>LOOKUP($C$99, T_NCAP_AF!$C$20:$C$30, T_NCAP_AF!P$20:P$30)*(1+Z26)</f>
        <v>0</v>
      </c>
      <c r="AA105" s="376">
        <f>LOOKUP($C$99, T_NCAP_AF!$C$20:$C$30, T_NCAP_AF!Q$20:Q$30)*(1+AA26)</f>
        <v>0</v>
      </c>
      <c r="AB105" s="376">
        <f>LOOKUP($C$99, T_NCAP_AF!$C$20:$C$30, T_NCAP_AF!R$20:R$30)*(1+AB26)</f>
        <v>0</v>
      </c>
      <c r="AV105" s="700" t="str">
        <f t="shared" si="101"/>
        <v/>
      </c>
    </row>
    <row r="106" spans="1:64" x14ac:dyDescent="0.25">
      <c r="A106" s="22"/>
      <c r="B106" s="186" t="str">
        <f t="shared" si="105"/>
        <v>TCARHYD900</v>
      </c>
      <c r="C106" s="186"/>
      <c r="D106" s="187"/>
      <c r="E106" s="186"/>
      <c r="F106" s="170"/>
      <c r="G106" s="213"/>
      <c r="H106" s="170"/>
      <c r="I106" s="190">
        <f>$M$3</f>
        <v>2019</v>
      </c>
      <c r="J106" s="191"/>
      <c r="K106" s="191"/>
      <c r="L106" s="211" t="s">
        <v>1065</v>
      </c>
      <c r="M106" s="186" t="s">
        <v>748</v>
      </c>
      <c r="N106" s="687">
        <f>LOOKUP($C$99, 'T_Stock_TOTAL_&amp;_City'!$C$10:$C$20, 'T_Stock_TOTAL_&amp;_City'!D$10:D$20)*(1+N27)</f>
        <v>0</v>
      </c>
      <c r="O106" s="687">
        <f>LOOKUP($C$99, 'T_Stock_TOTAL_&amp;_City'!$C$10:$C$20, 'T_Stock_TOTAL_&amp;_City'!E$10:E$20)*(1+O27)</f>
        <v>0</v>
      </c>
      <c r="P106" s="687">
        <f>LOOKUP($C$99, 'T_Stock_TOTAL_&amp;_City'!$C$10:$C$20, 'T_Stock_TOTAL_&amp;_City'!F$10:F$20)*(1+P27)</f>
        <v>0</v>
      </c>
      <c r="Q106" s="687">
        <f>LOOKUP($C$99, 'T_Stock_TOTAL_&amp;_City'!$C$10:$C$20, 'T_Stock_TOTAL_&amp;_City'!G$10:G$20)*(1+Q27)</f>
        <v>0</v>
      </c>
      <c r="R106" s="687">
        <f>LOOKUP($C$99, 'T_Stock_TOTAL_&amp;_City'!$C$10:$C$20, 'T_Stock_TOTAL_&amp;_City'!H$10:H$20)*(1+R27)</f>
        <v>0</v>
      </c>
      <c r="S106" s="687">
        <f>LOOKUP($C$99, 'T_Stock_TOTAL_&amp;_City'!$C$10:$C$20, 'T_Stock_TOTAL_&amp;_City'!I$10:I$20)*(1+S27)</f>
        <v>0</v>
      </c>
      <c r="T106" s="687">
        <f>LOOKUP($C$99, 'T_Stock_TOTAL_&amp;_City'!$C$10:$C$20, 'T_Stock_TOTAL_&amp;_City'!J$10:J$20)*(1+T27)</f>
        <v>0</v>
      </c>
      <c r="U106" s="687">
        <f>LOOKUP($C$99, 'T_Stock_TOTAL_&amp;_City'!$C$10:$C$20, 'T_Stock_TOTAL_&amp;_City'!K$10:K$20)*(1+U27)</f>
        <v>0</v>
      </c>
      <c r="V106" s="687">
        <f>LOOKUP($C$99, 'T_Stock_TOTAL_&amp;_City'!$C$10:$C$20, 'T_Stock_TOTAL_&amp;_City'!L$10:L$20)*(1+V27)</f>
        <v>0</v>
      </c>
      <c r="W106" s="687">
        <f>LOOKUP($C$99, 'T_Stock_TOTAL_&amp;_City'!$C$10:$C$20, 'T_Stock_TOTAL_&amp;_City'!M$10:M$20)*(1+W27)</f>
        <v>0</v>
      </c>
      <c r="X106" s="687">
        <f>LOOKUP($C$99, 'T_Stock_TOTAL_&amp;_City'!$C$10:$C$20, 'T_Stock_TOTAL_&amp;_City'!N$10:N$20)*(1+X27)</f>
        <v>0</v>
      </c>
      <c r="Y106" s="687">
        <f>LOOKUP($C$99, 'T_Stock_TOTAL_&amp;_City'!$C$10:$C$20, 'T_Stock_TOTAL_&amp;_City'!O$10:O$20)*(1+Y27)</f>
        <v>0</v>
      </c>
      <c r="Z106" s="687">
        <f>LOOKUP($C$99, 'T_Stock_TOTAL_&amp;_City'!$C$10:$C$20, 'T_Stock_TOTAL_&amp;_City'!P$10:P$20)*(1+Z27)</f>
        <v>0</v>
      </c>
      <c r="AA106" s="687">
        <f>LOOKUP($C$99, 'T_Stock_TOTAL_&amp;_City'!$C$10:$C$20, 'T_Stock_TOTAL_&amp;_City'!Q$10:Q$20)*(1+AA27)</f>
        <v>0</v>
      </c>
      <c r="AB106" s="687">
        <f>LOOKUP($C$99, 'T_Stock_TOTAL_&amp;_City'!$C$10:$C$20, 'T_Stock_TOTAL_&amp;_City'!R$10:R$20)*(1+AB27)</f>
        <v>0</v>
      </c>
      <c r="AV106" s="700" t="str">
        <f t="shared" si="101"/>
        <v/>
      </c>
    </row>
    <row r="107" spans="1:64" x14ac:dyDescent="0.25">
      <c r="A107" s="22"/>
      <c r="B107" s="186" t="str">
        <f t="shared" si="105"/>
        <v>TCARHYD900</v>
      </c>
      <c r="C107" s="186"/>
      <c r="D107" s="187"/>
      <c r="E107" s="186"/>
      <c r="F107" s="170"/>
      <c r="G107" s="213"/>
      <c r="H107" s="170"/>
      <c r="I107" s="190">
        <f>AF$15</f>
        <v>2016</v>
      </c>
      <c r="J107" s="191"/>
      <c r="K107" s="191"/>
      <c r="L107" s="211" t="s">
        <v>1065</v>
      </c>
      <c r="M107" s="186" t="s">
        <v>748</v>
      </c>
      <c r="N107" s="687">
        <f t="shared" ref="N107:AB107" si="107">N106*LOOKUP($AD99,$AG$14:$AP$14,$AG$15:$AP$15)</f>
        <v>0</v>
      </c>
      <c r="O107" s="687">
        <f t="shared" si="107"/>
        <v>0</v>
      </c>
      <c r="P107" s="687">
        <f t="shared" si="107"/>
        <v>0</v>
      </c>
      <c r="Q107" s="687">
        <f t="shared" si="107"/>
        <v>0</v>
      </c>
      <c r="R107" s="687">
        <f t="shared" si="107"/>
        <v>0</v>
      </c>
      <c r="S107" s="687">
        <f t="shared" si="107"/>
        <v>0</v>
      </c>
      <c r="T107" s="687">
        <f t="shared" si="107"/>
        <v>0</v>
      </c>
      <c r="U107" s="687">
        <f t="shared" si="107"/>
        <v>0</v>
      </c>
      <c r="V107" s="687">
        <f t="shared" si="107"/>
        <v>0</v>
      </c>
      <c r="W107" s="687">
        <f t="shared" si="107"/>
        <v>0</v>
      </c>
      <c r="X107" s="687">
        <f t="shared" si="107"/>
        <v>0</v>
      </c>
      <c r="Y107" s="687">
        <f t="shared" si="107"/>
        <v>0</v>
      </c>
      <c r="Z107" s="687">
        <f t="shared" si="107"/>
        <v>0</v>
      </c>
      <c r="AA107" s="687">
        <f t="shared" si="107"/>
        <v>0</v>
      </c>
      <c r="AB107" s="687">
        <f t="shared" si="107"/>
        <v>0</v>
      </c>
      <c r="AE107" s="569">
        <f>SUM(AF107:AT107)</f>
        <v>0</v>
      </c>
      <c r="AF107" s="568">
        <f t="shared" ref="AF107:AT107" si="108">N104*N105*N106/1000</f>
        <v>0</v>
      </c>
      <c r="AG107" s="568">
        <f t="shared" si="108"/>
        <v>0</v>
      </c>
      <c r="AH107" s="568">
        <f t="shared" si="108"/>
        <v>0</v>
      </c>
      <c r="AI107" s="568">
        <f t="shared" si="108"/>
        <v>0</v>
      </c>
      <c r="AJ107" s="568">
        <f t="shared" si="108"/>
        <v>0</v>
      </c>
      <c r="AK107" s="568">
        <f t="shared" si="108"/>
        <v>0</v>
      </c>
      <c r="AL107" s="568">
        <f t="shared" si="108"/>
        <v>0</v>
      </c>
      <c r="AM107" s="568">
        <f t="shared" si="108"/>
        <v>0</v>
      </c>
      <c r="AN107" s="568">
        <f t="shared" si="108"/>
        <v>0</v>
      </c>
      <c r="AO107" s="568">
        <f t="shared" si="108"/>
        <v>0</v>
      </c>
      <c r="AP107" s="568">
        <f t="shared" si="108"/>
        <v>0</v>
      </c>
      <c r="AQ107" s="568">
        <f t="shared" si="108"/>
        <v>0</v>
      </c>
      <c r="AR107" s="568">
        <f t="shared" si="108"/>
        <v>0</v>
      </c>
      <c r="AS107" s="568">
        <f t="shared" si="108"/>
        <v>0</v>
      </c>
      <c r="AT107" s="568">
        <f t="shared" si="108"/>
        <v>0</v>
      </c>
      <c r="AV107" s="700" t="str">
        <f t="shared" si="101"/>
        <v/>
      </c>
    </row>
    <row r="108" spans="1:64" x14ac:dyDescent="0.25">
      <c r="A108" s="22"/>
      <c r="B108" s="186" t="str">
        <f t="shared" si="105"/>
        <v>TCARHYD900</v>
      </c>
      <c r="C108" s="186"/>
      <c r="D108" s="187"/>
      <c r="E108" s="186"/>
      <c r="F108" s="170"/>
      <c r="G108" s="213"/>
      <c r="H108" s="170"/>
      <c r="I108" s="190">
        <f>AF$16</f>
        <v>2020</v>
      </c>
      <c r="J108" s="191"/>
      <c r="K108" s="191"/>
      <c r="L108" s="211" t="s">
        <v>1065</v>
      </c>
      <c r="M108" s="186" t="s">
        <v>748</v>
      </c>
      <c r="N108" s="687">
        <f t="shared" ref="N108:AB108" si="109">N106*LOOKUP($AD99,$AG$14:$AP$14,$AG$16:$AP$16)</f>
        <v>0</v>
      </c>
      <c r="O108" s="687">
        <f t="shared" si="109"/>
        <v>0</v>
      </c>
      <c r="P108" s="687">
        <f t="shared" si="109"/>
        <v>0</v>
      </c>
      <c r="Q108" s="687">
        <f t="shared" si="109"/>
        <v>0</v>
      </c>
      <c r="R108" s="687">
        <f t="shared" si="109"/>
        <v>0</v>
      </c>
      <c r="S108" s="687">
        <f t="shared" si="109"/>
        <v>0</v>
      </c>
      <c r="T108" s="687">
        <f t="shared" si="109"/>
        <v>0</v>
      </c>
      <c r="U108" s="687">
        <f t="shared" si="109"/>
        <v>0</v>
      </c>
      <c r="V108" s="687">
        <f t="shared" si="109"/>
        <v>0</v>
      </c>
      <c r="W108" s="687">
        <f t="shared" si="109"/>
        <v>0</v>
      </c>
      <c r="X108" s="687">
        <f t="shared" si="109"/>
        <v>0</v>
      </c>
      <c r="Y108" s="687">
        <f t="shared" si="109"/>
        <v>0</v>
      </c>
      <c r="Z108" s="687">
        <f t="shared" si="109"/>
        <v>0</v>
      </c>
      <c r="AA108" s="687">
        <f t="shared" si="109"/>
        <v>0</v>
      </c>
      <c r="AB108" s="687">
        <f t="shared" si="109"/>
        <v>0</v>
      </c>
      <c r="AV108" s="700" t="str">
        <f t="shared" si="101"/>
        <v/>
      </c>
    </row>
    <row r="109" spans="1:64" x14ac:dyDescent="0.25">
      <c r="A109" s="22"/>
      <c r="B109" s="186" t="str">
        <f t="shared" si="105"/>
        <v>TCARHYD900</v>
      </c>
      <c r="C109" s="186"/>
      <c r="D109" s="187"/>
      <c r="E109" s="186"/>
      <c r="F109" s="170"/>
      <c r="G109" s="213"/>
      <c r="H109" s="170"/>
      <c r="I109" s="190">
        <f>AF$17</f>
        <v>2025</v>
      </c>
      <c r="J109" s="191"/>
      <c r="K109" s="191"/>
      <c r="L109" s="211" t="s">
        <v>1065</v>
      </c>
      <c r="M109" s="186" t="s">
        <v>748</v>
      </c>
      <c r="N109" s="687">
        <f t="shared" ref="N109:AB109" si="110">N106*LOOKUP($AD99,$AG$14:$AP$14,$AG$17:$AP$17)</f>
        <v>0</v>
      </c>
      <c r="O109" s="687">
        <f t="shared" si="110"/>
        <v>0</v>
      </c>
      <c r="P109" s="687">
        <f t="shared" si="110"/>
        <v>0</v>
      </c>
      <c r="Q109" s="687">
        <f t="shared" si="110"/>
        <v>0</v>
      </c>
      <c r="R109" s="687">
        <f t="shared" si="110"/>
        <v>0</v>
      </c>
      <c r="S109" s="687">
        <f t="shared" si="110"/>
        <v>0</v>
      </c>
      <c r="T109" s="687">
        <f t="shared" si="110"/>
        <v>0</v>
      </c>
      <c r="U109" s="687">
        <f t="shared" si="110"/>
        <v>0</v>
      </c>
      <c r="V109" s="687">
        <f t="shared" si="110"/>
        <v>0</v>
      </c>
      <c r="W109" s="687">
        <f t="shared" si="110"/>
        <v>0</v>
      </c>
      <c r="X109" s="687">
        <f t="shared" si="110"/>
        <v>0</v>
      </c>
      <c r="Y109" s="687">
        <f t="shared" si="110"/>
        <v>0</v>
      </c>
      <c r="Z109" s="687">
        <f t="shared" si="110"/>
        <v>0</v>
      </c>
      <c r="AA109" s="687">
        <f t="shared" si="110"/>
        <v>0</v>
      </c>
      <c r="AB109" s="687">
        <f t="shared" si="110"/>
        <v>0</v>
      </c>
      <c r="AV109" s="700" t="str">
        <f t="shared" si="101"/>
        <v/>
      </c>
    </row>
    <row r="110" spans="1:64" x14ac:dyDescent="0.25">
      <c r="A110" s="22"/>
      <c r="B110" s="186" t="str">
        <f t="shared" si="105"/>
        <v>TCARHYD900</v>
      </c>
      <c r="C110" s="186"/>
      <c r="D110" s="187"/>
      <c r="E110" s="186"/>
      <c r="F110" s="170"/>
      <c r="G110" s="213"/>
      <c r="H110" s="170"/>
      <c r="I110" s="190">
        <f>AF$18</f>
        <v>2030</v>
      </c>
      <c r="J110" s="191"/>
      <c r="K110" s="191"/>
      <c r="L110" s="211" t="s">
        <v>1065</v>
      </c>
      <c r="M110" s="186" t="s">
        <v>748</v>
      </c>
      <c r="N110" s="687">
        <f t="shared" ref="N110:AB110" si="111">N106*LOOKUP($AD99,$AG$14:$AP$14,$AG$18:$AP$18)</f>
        <v>0</v>
      </c>
      <c r="O110" s="687">
        <f t="shared" si="111"/>
        <v>0</v>
      </c>
      <c r="P110" s="687">
        <f t="shared" si="111"/>
        <v>0</v>
      </c>
      <c r="Q110" s="687">
        <f t="shared" si="111"/>
        <v>0</v>
      </c>
      <c r="R110" s="687">
        <f t="shared" si="111"/>
        <v>0</v>
      </c>
      <c r="S110" s="687">
        <f t="shared" si="111"/>
        <v>0</v>
      </c>
      <c r="T110" s="687">
        <f t="shared" si="111"/>
        <v>0</v>
      </c>
      <c r="U110" s="687">
        <f t="shared" si="111"/>
        <v>0</v>
      </c>
      <c r="V110" s="687">
        <f t="shared" si="111"/>
        <v>0</v>
      </c>
      <c r="W110" s="687">
        <f t="shared" si="111"/>
        <v>0</v>
      </c>
      <c r="X110" s="687">
        <f t="shared" si="111"/>
        <v>0</v>
      </c>
      <c r="Y110" s="687">
        <f t="shared" si="111"/>
        <v>0</v>
      </c>
      <c r="Z110" s="687">
        <f t="shared" si="111"/>
        <v>0</v>
      </c>
      <c r="AA110" s="687">
        <f t="shared" si="111"/>
        <v>0</v>
      </c>
      <c r="AB110" s="687">
        <f t="shared" si="111"/>
        <v>0</v>
      </c>
      <c r="AV110" s="700" t="str">
        <f t="shared" si="101"/>
        <v/>
      </c>
    </row>
    <row r="111" spans="1:64" x14ac:dyDescent="0.25">
      <c r="A111" s="22"/>
      <c r="B111" s="186" t="str">
        <f t="shared" si="105"/>
        <v>TCARHYD900</v>
      </c>
      <c r="C111" s="186"/>
      <c r="D111" s="187"/>
      <c r="E111" s="186"/>
      <c r="F111" s="170"/>
      <c r="G111" s="213"/>
      <c r="H111" s="170"/>
      <c r="I111" s="190">
        <f>AF$19</f>
        <v>2040</v>
      </c>
      <c r="J111" s="191"/>
      <c r="K111" s="191"/>
      <c r="L111" s="211" t="s">
        <v>1065</v>
      </c>
      <c r="M111" s="186" t="s">
        <v>748</v>
      </c>
      <c r="N111" s="687">
        <f t="shared" ref="N111:AB111" si="112">N106*LOOKUP($AD99,$AG$14:$AP$14,$AG$19:$AP$19)</f>
        <v>0</v>
      </c>
      <c r="O111" s="687">
        <f t="shared" si="112"/>
        <v>0</v>
      </c>
      <c r="P111" s="687">
        <f t="shared" si="112"/>
        <v>0</v>
      </c>
      <c r="Q111" s="687">
        <f t="shared" si="112"/>
        <v>0</v>
      </c>
      <c r="R111" s="687">
        <f t="shared" si="112"/>
        <v>0</v>
      </c>
      <c r="S111" s="687">
        <f t="shared" si="112"/>
        <v>0</v>
      </c>
      <c r="T111" s="687">
        <f t="shared" si="112"/>
        <v>0</v>
      </c>
      <c r="U111" s="687">
        <f t="shared" si="112"/>
        <v>0</v>
      </c>
      <c r="V111" s="687">
        <f t="shared" si="112"/>
        <v>0</v>
      </c>
      <c r="W111" s="687">
        <f t="shared" si="112"/>
        <v>0</v>
      </c>
      <c r="X111" s="687">
        <f t="shared" si="112"/>
        <v>0</v>
      </c>
      <c r="Y111" s="687">
        <f t="shared" si="112"/>
        <v>0</v>
      </c>
      <c r="Z111" s="687">
        <f t="shared" si="112"/>
        <v>0</v>
      </c>
      <c r="AA111" s="687">
        <f t="shared" si="112"/>
        <v>0</v>
      </c>
      <c r="AB111" s="687">
        <f t="shared" si="112"/>
        <v>0</v>
      </c>
      <c r="AV111" s="700" t="str">
        <f t="shared" si="101"/>
        <v/>
      </c>
    </row>
    <row r="112" spans="1:64" x14ac:dyDescent="0.25">
      <c r="A112" s="22"/>
      <c r="B112" s="193" t="str">
        <f t="shared" si="105"/>
        <v>TCARHYD900</v>
      </c>
      <c r="C112" s="193"/>
      <c r="D112" s="194"/>
      <c r="E112" s="193"/>
      <c r="F112" s="196"/>
      <c r="G112" s="215"/>
      <c r="H112" s="196"/>
      <c r="I112" s="197">
        <f>AF$20</f>
        <v>2050</v>
      </c>
      <c r="J112" s="198"/>
      <c r="K112" s="198"/>
      <c r="L112" s="212" t="s">
        <v>1065</v>
      </c>
      <c r="M112" s="193" t="s">
        <v>748</v>
      </c>
      <c r="N112" s="688">
        <f t="shared" ref="N112:AB112" si="113">N106*LOOKUP($AD99,$AG$14:$AP$14,$AG$20:$AP$20)</f>
        <v>0</v>
      </c>
      <c r="O112" s="688">
        <f t="shared" si="113"/>
        <v>0</v>
      </c>
      <c r="P112" s="688">
        <f t="shared" si="113"/>
        <v>0</v>
      </c>
      <c r="Q112" s="688">
        <f t="shared" si="113"/>
        <v>0</v>
      </c>
      <c r="R112" s="688">
        <f t="shared" si="113"/>
        <v>0</v>
      </c>
      <c r="S112" s="688">
        <f t="shared" si="113"/>
        <v>0</v>
      </c>
      <c r="T112" s="688">
        <f t="shared" si="113"/>
        <v>0</v>
      </c>
      <c r="U112" s="688">
        <f t="shared" si="113"/>
        <v>0</v>
      </c>
      <c r="V112" s="688">
        <f t="shared" si="113"/>
        <v>0</v>
      </c>
      <c r="W112" s="688">
        <f t="shared" si="113"/>
        <v>0</v>
      </c>
      <c r="X112" s="688">
        <f t="shared" si="113"/>
        <v>0</v>
      </c>
      <c r="Y112" s="688">
        <f t="shared" si="113"/>
        <v>0</v>
      </c>
      <c r="Z112" s="688">
        <f t="shared" si="113"/>
        <v>0</v>
      </c>
      <c r="AA112" s="688">
        <f t="shared" si="113"/>
        <v>0</v>
      </c>
      <c r="AB112" s="688">
        <f t="shared" si="113"/>
        <v>0</v>
      </c>
      <c r="AD112" s="400"/>
      <c r="AV112" s="700" t="str">
        <f t="shared" si="101"/>
        <v/>
      </c>
    </row>
    <row r="113" spans="1:64" x14ac:dyDescent="0.25">
      <c r="A113" s="22"/>
      <c r="B113" s="186" t="str">
        <f>C113</f>
        <v>TCARHYG900</v>
      </c>
      <c r="C113" s="186" t="s">
        <v>535</v>
      </c>
      <c r="D113" s="187" t="s">
        <v>794</v>
      </c>
      <c r="E113" s="258" t="s">
        <v>1014</v>
      </c>
      <c r="F113" s="170"/>
      <c r="G113" s="213"/>
      <c r="H113" s="170"/>
      <c r="I113" s="190"/>
      <c r="J113" s="191"/>
      <c r="K113" s="191"/>
      <c r="L113" s="211" t="s">
        <v>1107</v>
      </c>
      <c r="M113" s="191" t="s">
        <v>1156</v>
      </c>
      <c r="N113" s="366">
        <f>N$32</f>
        <v>1E-3</v>
      </c>
      <c r="O113" s="366">
        <f t="shared" ref="O113:AB113" si="114">$N113</f>
        <v>1E-3</v>
      </c>
      <c r="P113" s="366">
        <f t="shared" si="114"/>
        <v>1E-3</v>
      </c>
      <c r="Q113" s="366">
        <f t="shared" si="114"/>
        <v>1E-3</v>
      </c>
      <c r="R113" s="366">
        <f t="shared" si="114"/>
        <v>1E-3</v>
      </c>
      <c r="S113" s="366">
        <f t="shared" si="114"/>
        <v>1E-3</v>
      </c>
      <c r="T113" s="366">
        <f t="shared" si="114"/>
        <v>1E-3</v>
      </c>
      <c r="U113" s="366">
        <f t="shared" si="114"/>
        <v>1E-3</v>
      </c>
      <c r="V113" s="366">
        <f t="shared" si="114"/>
        <v>1E-3</v>
      </c>
      <c r="W113" s="366">
        <f t="shared" si="114"/>
        <v>1E-3</v>
      </c>
      <c r="X113" s="366">
        <f t="shared" si="114"/>
        <v>1E-3</v>
      </c>
      <c r="Y113" s="366">
        <f t="shared" si="114"/>
        <v>1E-3</v>
      </c>
      <c r="Z113" s="366">
        <f t="shared" si="114"/>
        <v>1E-3</v>
      </c>
      <c r="AA113" s="366">
        <f t="shared" si="114"/>
        <v>1E-3</v>
      </c>
      <c r="AB113" s="366">
        <f t="shared" si="114"/>
        <v>1E-3</v>
      </c>
      <c r="AD113" s="56" t="s">
        <v>1182</v>
      </c>
      <c r="AV113" s="700" t="str">
        <f t="shared" si="101"/>
        <v>TRAGSL</v>
      </c>
      <c r="AW113" s="568">
        <f t="shared" ref="AW113:AW115" si="115">SUM(AX113:BL113)</f>
        <v>0</v>
      </c>
      <c r="AX113" s="568">
        <f>N$119*N$120*(1-N114)/N$117/1000</f>
        <v>0</v>
      </c>
      <c r="AY113" s="568">
        <f t="shared" ref="AY113:BL113" si="116">O$119*O$120*(1-O114)/O$117/1000</f>
        <v>0</v>
      </c>
      <c r="AZ113" s="568">
        <f t="shared" si="116"/>
        <v>0</v>
      </c>
      <c r="BA113" s="568">
        <f t="shared" si="116"/>
        <v>0</v>
      </c>
      <c r="BB113" s="568">
        <f t="shared" si="116"/>
        <v>0</v>
      </c>
      <c r="BC113" s="568">
        <f t="shared" si="116"/>
        <v>0</v>
      </c>
      <c r="BD113" s="568">
        <f t="shared" si="116"/>
        <v>0</v>
      </c>
      <c r="BE113" s="568">
        <f t="shared" si="116"/>
        <v>0</v>
      </c>
      <c r="BF113" s="568">
        <f t="shared" si="116"/>
        <v>0</v>
      </c>
      <c r="BG113" s="568">
        <f t="shared" si="116"/>
        <v>0</v>
      </c>
      <c r="BH113" s="568">
        <f t="shared" si="116"/>
        <v>0</v>
      </c>
      <c r="BI113" s="568">
        <f t="shared" si="116"/>
        <v>0</v>
      </c>
      <c r="BJ113" s="568">
        <f t="shared" si="116"/>
        <v>0</v>
      </c>
      <c r="BK113" s="568">
        <f t="shared" si="116"/>
        <v>0</v>
      </c>
      <c r="BL113" s="568">
        <f t="shared" si="116"/>
        <v>0</v>
      </c>
    </row>
    <row r="114" spans="1:64" x14ac:dyDescent="0.25">
      <c r="A114" s="22"/>
      <c r="B114" s="186" t="str">
        <f>B113</f>
        <v>TCARHYG900</v>
      </c>
      <c r="C114" s="186"/>
      <c r="D114" s="187"/>
      <c r="E114" s="258" t="s">
        <v>1012</v>
      </c>
      <c r="F114" s="170"/>
      <c r="G114" s="213"/>
      <c r="H114" s="170"/>
      <c r="I114" s="190"/>
      <c r="J114" s="191" t="s">
        <v>1157</v>
      </c>
      <c r="K114" s="191"/>
      <c r="L114" s="211" t="s">
        <v>101</v>
      </c>
      <c r="M114" s="186"/>
      <c r="N114" s="377">
        <f>N$19</f>
        <v>0.03</v>
      </c>
      <c r="O114" s="377">
        <f t="shared" ref="O114:AB114" si="117">O$19</f>
        <v>0.03</v>
      </c>
      <c r="P114" s="377">
        <f t="shared" si="117"/>
        <v>0.03</v>
      </c>
      <c r="Q114" s="377">
        <f t="shared" si="117"/>
        <v>0.03</v>
      </c>
      <c r="R114" s="377">
        <f t="shared" si="117"/>
        <v>0.03</v>
      </c>
      <c r="S114" s="377">
        <f t="shared" si="117"/>
        <v>0.03</v>
      </c>
      <c r="T114" s="377">
        <f t="shared" si="117"/>
        <v>0.03</v>
      </c>
      <c r="U114" s="377">
        <f t="shared" si="117"/>
        <v>0.03</v>
      </c>
      <c r="V114" s="377">
        <f t="shared" si="117"/>
        <v>0.03</v>
      </c>
      <c r="W114" s="377">
        <f t="shared" si="117"/>
        <v>0.03</v>
      </c>
      <c r="X114" s="377">
        <f t="shared" si="117"/>
        <v>0.03</v>
      </c>
      <c r="Y114" s="377">
        <f t="shared" si="117"/>
        <v>0.03</v>
      </c>
      <c r="Z114" s="377">
        <f t="shared" si="117"/>
        <v>0.03</v>
      </c>
      <c r="AA114" s="377">
        <f t="shared" si="117"/>
        <v>0.03</v>
      </c>
      <c r="AB114" s="377">
        <f t="shared" si="117"/>
        <v>0.03</v>
      </c>
      <c r="AD114" s="399" t="str">
        <f>IF(COUNTIF($AG$14:$AP$14,AD113)=1,"ok","MISSING")</f>
        <v>ok</v>
      </c>
      <c r="AV114" s="700" t="str">
        <f t="shared" si="101"/>
        <v>TRAETHM</v>
      </c>
      <c r="AW114" s="568">
        <f t="shared" si="115"/>
        <v>0</v>
      </c>
      <c r="AX114" s="568">
        <f>N$119*N$120*N114/N$117/1000</f>
        <v>0</v>
      </c>
      <c r="AY114" s="568">
        <f t="shared" ref="AY114:BL115" si="118">O$119*O$120*O114/O$117/1000</f>
        <v>0</v>
      </c>
      <c r="AZ114" s="568">
        <f t="shared" si="118"/>
        <v>0</v>
      </c>
      <c r="BA114" s="568">
        <f t="shared" si="118"/>
        <v>0</v>
      </c>
      <c r="BB114" s="568">
        <f t="shared" si="118"/>
        <v>0</v>
      </c>
      <c r="BC114" s="568">
        <f t="shared" si="118"/>
        <v>0</v>
      </c>
      <c r="BD114" s="568">
        <f t="shared" si="118"/>
        <v>0</v>
      </c>
      <c r="BE114" s="568">
        <f t="shared" si="118"/>
        <v>0</v>
      </c>
      <c r="BF114" s="568">
        <f t="shared" si="118"/>
        <v>0</v>
      </c>
      <c r="BG114" s="568">
        <f t="shared" si="118"/>
        <v>0</v>
      </c>
      <c r="BH114" s="568">
        <f t="shared" si="118"/>
        <v>0</v>
      </c>
      <c r="BI114" s="568">
        <f t="shared" si="118"/>
        <v>0</v>
      </c>
      <c r="BJ114" s="568">
        <f t="shared" si="118"/>
        <v>0</v>
      </c>
      <c r="BK114" s="568">
        <f t="shared" si="118"/>
        <v>0</v>
      </c>
      <c r="BL114" s="568">
        <f t="shared" si="118"/>
        <v>0</v>
      </c>
    </row>
    <row r="115" spans="1:64" x14ac:dyDescent="0.25">
      <c r="A115" s="22"/>
      <c r="B115" s="186" t="str">
        <f t="shared" ref="B115" si="119">B114</f>
        <v>TCARHYG900</v>
      </c>
      <c r="C115" s="186"/>
      <c r="D115" s="187"/>
      <c r="E115" s="258" t="s">
        <v>996</v>
      </c>
      <c r="F115" s="170"/>
      <c r="G115" s="213"/>
      <c r="H115" s="170"/>
      <c r="I115" s="190"/>
      <c r="J115" s="191" t="s">
        <v>1157</v>
      </c>
      <c r="K115" s="191"/>
      <c r="L115" s="211" t="s">
        <v>101</v>
      </c>
      <c r="M115" s="186"/>
      <c r="N115" s="377">
        <f>N$20</f>
        <v>0</v>
      </c>
      <c r="O115" s="377">
        <f t="shared" ref="O115:AB115" si="120">O$20</f>
        <v>0</v>
      </c>
      <c r="P115" s="377">
        <f t="shared" si="120"/>
        <v>0</v>
      </c>
      <c r="Q115" s="377">
        <f t="shared" si="120"/>
        <v>0</v>
      </c>
      <c r="R115" s="377">
        <f t="shared" si="120"/>
        <v>0</v>
      </c>
      <c r="S115" s="377">
        <f t="shared" si="120"/>
        <v>0</v>
      </c>
      <c r="T115" s="377">
        <f t="shared" si="120"/>
        <v>0</v>
      </c>
      <c r="U115" s="377">
        <f t="shared" si="120"/>
        <v>0</v>
      </c>
      <c r="V115" s="377">
        <f t="shared" si="120"/>
        <v>0</v>
      </c>
      <c r="W115" s="377">
        <f t="shared" si="120"/>
        <v>0</v>
      </c>
      <c r="X115" s="377">
        <f t="shared" si="120"/>
        <v>0</v>
      </c>
      <c r="Y115" s="377">
        <f t="shared" si="120"/>
        <v>0</v>
      </c>
      <c r="Z115" s="377">
        <f t="shared" si="120"/>
        <v>0</v>
      </c>
      <c r="AA115" s="377">
        <f t="shared" si="120"/>
        <v>0</v>
      </c>
      <c r="AB115" s="377">
        <f t="shared" si="120"/>
        <v>0</v>
      </c>
      <c r="AD115" s="66"/>
      <c r="AE115" s="568"/>
      <c r="AV115" s="700" t="str">
        <f>MID(E115,1,8)</f>
        <v>TRABGSLM</v>
      </c>
      <c r="AW115" s="568">
        <f t="shared" si="115"/>
        <v>0</v>
      </c>
      <c r="AX115" s="568">
        <f>N$119*N$120*N115/N$117/1000</f>
        <v>0</v>
      </c>
      <c r="AY115" s="568">
        <f t="shared" si="118"/>
        <v>0</v>
      </c>
      <c r="AZ115" s="568">
        <f t="shared" si="118"/>
        <v>0</v>
      </c>
      <c r="BA115" s="568">
        <f t="shared" si="118"/>
        <v>0</v>
      </c>
      <c r="BB115" s="568">
        <f t="shared" si="118"/>
        <v>0</v>
      </c>
      <c r="BC115" s="568">
        <f t="shared" si="118"/>
        <v>0</v>
      </c>
      <c r="BD115" s="568">
        <f t="shared" si="118"/>
        <v>0</v>
      </c>
      <c r="BE115" s="568">
        <f t="shared" si="118"/>
        <v>0</v>
      </c>
      <c r="BF115" s="568">
        <f t="shared" si="118"/>
        <v>0</v>
      </c>
      <c r="BG115" s="568">
        <f t="shared" si="118"/>
        <v>0</v>
      </c>
      <c r="BH115" s="568">
        <f t="shared" si="118"/>
        <v>0</v>
      </c>
      <c r="BI115" s="568">
        <f t="shared" si="118"/>
        <v>0</v>
      </c>
      <c r="BJ115" s="568">
        <f t="shared" si="118"/>
        <v>0</v>
      </c>
      <c r="BK115" s="568">
        <f t="shared" si="118"/>
        <v>0</v>
      </c>
      <c r="BL115" s="568">
        <f t="shared" si="118"/>
        <v>0</v>
      </c>
    </row>
    <row r="116" spans="1:64" x14ac:dyDescent="0.25">
      <c r="A116" s="22"/>
      <c r="B116" s="186" t="str">
        <f>B114</f>
        <v>TCARHYG900</v>
      </c>
      <c r="C116" s="186"/>
      <c r="D116" s="187"/>
      <c r="E116" s="186"/>
      <c r="F116" s="170"/>
      <c r="G116" s="188" t="s">
        <v>406</v>
      </c>
      <c r="H116" s="170"/>
      <c r="I116" s="190"/>
      <c r="J116" s="191"/>
      <c r="K116" s="191"/>
      <c r="L116" s="191" t="s">
        <v>1126</v>
      </c>
      <c r="M116" s="186" t="s">
        <v>678</v>
      </c>
      <c r="N116" s="377">
        <f>T_CEFF!H46</f>
        <v>0.47904000000000002</v>
      </c>
      <c r="O116" s="377">
        <f>T_CEFF!I46</f>
        <v>0.47904000000000002</v>
      </c>
      <c r="P116" s="377">
        <f>T_CEFF!J46</f>
        <v>0.47904000000000002</v>
      </c>
      <c r="Q116" s="377">
        <f>T_CEFF!K46</f>
        <v>0.47904000000000002</v>
      </c>
      <c r="R116" s="377">
        <f>T_CEFF!L46</f>
        <v>0.47904000000000002</v>
      </c>
      <c r="S116" s="377">
        <f>T_CEFF!M46</f>
        <v>0.47904000000000002</v>
      </c>
      <c r="T116" s="377">
        <f>T_CEFF!N46</f>
        <v>0.47904000000000002</v>
      </c>
      <c r="U116" s="377">
        <f>T_CEFF!O46</f>
        <v>0.47904000000000002</v>
      </c>
      <c r="V116" s="377">
        <f>T_CEFF!P46</f>
        <v>0.47904000000000002</v>
      </c>
      <c r="W116" s="377">
        <f>T_CEFF!Q46</f>
        <v>0.47904000000000002</v>
      </c>
      <c r="X116" s="377">
        <f>T_CEFF!R46</f>
        <v>0.47904000000000002</v>
      </c>
      <c r="Y116" s="377">
        <f>T_CEFF!S46</f>
        <v>0.47904000000000002</v>
      </c>
      <c r="Z116" s="377">
        <f>T_CEFF!T46</f>
        <v>0.47904000000000002</v>
      </c>
      <c r="AA116" s="377">
        <f>T_CEFF!U46</f>
        <v>0.47904000000000002</v>
      </c>
      <c r="AB116" s="377">
        <f>T_CEFF!V46</f>
        <v>0.47904000000000002</v>
      </c>
      <c r="AV116" s="700" t="str">
        <f t="shared" si="101"/>
        <v/>
      </c>
    </row>
    <row r="117" spans="1:64" x14ac:dyDescent="0.25">
      <c r="A117" s="22"/>
      <c r="B117" s="186" t="str">
        <f>B116</f>
        <v>TCARHYG900</v>
      </c>
      <c r="C117" s="186"/>
      <c r="D117" s="187"/>
      <c r="E117" s="186"/>
      <c r="F117" s="170"/>
      <c r="G117" s="188" t="s">
        <v>408</v>
      </c>
      <c r="H117" s="170"/>
      <c r="I117" s="190"/>
      <c r="J117" s="191"/>
      <c r="K117" s="191"/>
      <c r="L117" s="191" t="s">
        <v>1126</v>
      </c>
      <c r="M117" s="186" t="s">
        <v>678</v>
      </c>
      <c r="N117" s="377">
        <f>T_CEFF!H47</f>
        <v>0.39604</v>
      </c>
      <c r="O117" s="377">
        <f>T_CEFF!I47</f>
        <v>0.39604</v>
      </c>
      <c r="P117" s="377">
        <f>T_CEFF!J47</f>
        <v>0.39604</v>
      </c>
      <c r="Q117" s="377">
        <f>T_CEFF!K47</f>
        <v>0.39604</v>
      </c>
      <c r="R117" s="377">
        <f>T_CEFF!L47</f>
        <v>0.39604</v>
      </c>
      <c r="S117" s="377">
        <f>T_CEFF!M47</f>
        <v>0.39604</v>
      </c>
      <c r="T117" s="377">
        <f>T_CEFF!N47</f>
        <v>0.39604</v>
      </c>
      <c r="U117" s="377">
        <f>T_CEFF!O47</f>
        <v>0.39604</v>
      </c>
      <c r="V117" s="377">
        <f>T_CEFF!P47</f>
        <v>0.39604</v>
      </c>
      <c r="W117" s="377">
        <f>T_CEFF!Q47</f>
        <v>0.39604</v>
      </c>
      <c r="X117" s="377">
        <f>T_CEFF!R47</f>
        <v>0.39604</v>
      </c>
      <c r="Y117" s="377">
        <f>T_CEFF!S47</f>
        <v>0.39604</v>
      </c>
      <c r="Z117" s="377">
        <f>T_CEFF!T47</f>
        <v>0.39604</v>
      </c>
      <c r="AA117" s="377">
        <f>T_CEFF!U47</f>
        <v>0.39604</v>
      </c>
      <c r="AB117" s="377">
        <f>T_CEFF!V47</f>
        <v>0.39604</v>
      </c>
      <c r="AV117" s="700" t="str">
        <f t="shared" si="101"/>
        <v/>
      </c>
    </row>
    <row r="118" spans="1:64" x14ac:dyDescent="0.25">
      <c r="A118" s="22"/>
      <c r="B118" s="186" t="str">
        <f t="shared" ref="B118:B126" si="121">B117</f>
        <v>TCARHYG900</v>
      </c>
      <c r="C118" s="186"/>
      <c r="D118" s="187"/>
      <c r="E118" s="186"/>
      <c r="F118" s="170"/>
      <c r="G118" s="213"/>
      <c r="H118" s="170"/>
      <c r="I118" s="190"/>
      <c r="J118" s="191"/>
      <c r="K118" s="191" t="s">
        <v>749</v>
      </c>
      <c r="L118" s="191" t="s">
        <v>1128</v>
      </c>
      <c r="M118" s="186" t="s">
        <v>1119</v>
      </c>
      <c r="N118" s="368">
        <f>N$14</f>
        <v>1.2</v>
      </c>
      <c r="O118" s="368">
        <f t="shared" ref="O118:AB118" si="122">O$14</f>
        <v>0</v>
      </c>
      <c r="P118" s="368">
        <f t="shared" si="122"/>
        <v>0</v>
      </c>
      <c r="Q118" s="368">
        <f t="shared" si="122"/>
        <v>0</v>
      </c>
      <c r="R118" s="368">
        <f t="shared" si="122"/>
        <v>0</v>
      </c>
      <c r="S118" s="368">
        <f t="shared" si="122"/>
        <v>0</v>
      </c>
      <c r="T118" s="368">
        <f t="shared" si="122"/>
        <v>0</v>
      </c>
      <c r="U118" s="368">
        <f t="shared" si="122"/>
        <v>0</v>
      </c>
      <c r="V118" s="368">
        <f t="shared" si="122"/>
        <v>0</v>
      </c>
      <c r="W118" s="368">
        <f t="shared" si="122"/>
        <v>0</v>
      </c>
      <c r="X118" s="368">
        <f t="shared" si="122"/>
        <v>0</v>
      </c>
      <c r="Y118" s="368">
        <f t="shared" si="122"/>
        <v>0</v>
      </c>
      <c r="Z118" s="368">
        <f t="shared" si="122"/>
        <v>0</v>
      </c>
      <c r="AA118" s="368">
        <f t="shared" si="122"/>
        <v>0</v>
      </c>
      <c r="AB118" s="368">
        <f t="shared" si="122"/>
        <v>0</v>
      </c>
      <c r="AV118" s="700" t="str">
        <f t="shared" si="101"/>
        <v/>
      </c>
    </row>
    <row r="119" spans="1:64" x14ac:dyDescent="0.25">
      <c r="A119" s="22"/>
      <c r="B119" s="186" t="str">
        <f t="shared" si="121"/>
        <v>TCARHYG900</v>
      </c>
      <c r="C119" s="186"/>
      <c r="D119" s="187"/>
      <c r="E119" s="186"/>
      <c r="F119" s="170"/>
      <c r="G119" s="213"/>
      <c r="H119" s="170"/>
      <c r="I119" s="190"/>
      <c r="J119" s="191"/>
      <c r="K119" s="191"/>
      <c r="L119" s="211" t="s">
        <v>1130</v>
      </c>
      <c r="M119" s="186" t="s">
        <v>1131</v>
      </c>
      <c r="N119" s="376">
        <f>LOOKUP($C$113, T_NCAP_AF!$C$20:$C$30, T_NCAP_AF!D$20:D$30)*(1+N26)</f>
        <v>0</v>
      </c>
      <c r="O119" s="376">
        <f>LOOKUP($C$113, T_NCAP_AF!$C$20:$C$30, T_NCAP_AF!E$20:E$30)*(1+O26)</f>
        <v>0</v>
      </c>
      <c r="P119" s="376">
        <f>LOOKUP($C$113, T_NCAP_AF!$C$20:$C$30, T_NCAP_AF!F$20:F$30)*(1+P26)</f>
        <v>0</v>
      </c>
      <c r="Q119" s="376">
        <f>LOOKUP($C$113, T_NCAP_AF!$C$20:$C$30, T_NCAP_AF!G$20:G$30)*(1+Q26)</f>
        <v>0</v>
      </c>
      <c r="R119" s="376">
        <f>LOOKUP($C$113, T_NCAP_AF!$C$20:$C$30, T_NCAP_AF!H$20:H$30)*(1+R26)</f>
        <v>0</v>
      </c>
      <c r="S119" s="376">
        <f>LOOKUP($C$113, T_NCAP_AF!$C$20:$C$30, T_NCAP_AF!I$20:I$30)*(1+S26)</f>
        <v>0</v>
      </c>
      <c r="T119" s="376">
        <f>LOOKUP($C$113, T_NCAP_AF!$C$20:$C$30, T_NCAP_AF!J$20:J$30)*(1+T26)</f>
        <v>0</v>
      </c>
      <c r="U119" s="376">
        <f>LOOKUP($C$113, T_NCAP_AF!$C$20:$C$30, T_NCAP_AF!K$20:K$30)*(1+U26)</f>
        <v>0</v>
      </c>
      <c r="V119" s="376">
        <f>LOOKUP($C$113, T_NCAP_AF!$C$20:$C$30, T_NCAP_AF!L$20:L$30)*(1+V26)</f>
        <v>0</v>
      </c>
      <c r="W119" s="376">
        <f>LOOKUP($C$113, T_NCAP_AF!$C$20:$C$30, T_NCAP_AF!M$20:M$30)*(1+W26)</f>
        <v>0</v>
      </c>
      <c r="X119" s="376">
        <f>LOOKUP($C$113, T_NCAP_AF!$C$20:$C$30, T_NCAP_AF!N$20:N$30)*(1+X26)</f>
        <v>0</v>
      </c>
      <c r="Y119" s="376">
        <f>LOOKUP($C$113, T_NCAP_AF!$C$20:$C$30, T_NCAP_AF!O$20:O$30)*(1+Y26)</f>
        <v>0</v>
      </c>
      <c r="Z119" s="376">
        <f>LOOKUP($C$113, T_NCAP_AF!$C$20:$C$30, T_NCAP_AF!P$20:P$30)*(1+Z26)</f>
        <v>0</v>
      </c>
      <c r="AA119" s="376">
        <f>LOOKUP($C$113, T_NCAP_AF!$C$20:$C$30, T_NCAP_AF!Q$20:Q$30)*(1+AA26)</f>
        <v>0</v>
      </c>
      <c r="AB119" s="376">
        <f>LOOKUP($C$113, T_NCAP_AF!$C$20:$C$30, T_NCAP_AF!R$20:R$30)*(1+AB26)</f>
        <v>0</v>
      </c>
      <c r="AV119" s="700" t="str">
        <f t="shared" si="101"/>
        <v/>
      </c>
    </row>
    <row r="120" spans="1:64" x14ac:dyDescent="0.25">
      <c r="A120" s="22"/>
      <c r="B120" s="186" t="str">
        <f t="shared" si="121"/>
        <v>TCARHYG900</v>
      </c>
      <c r="C120" s="186"/>
      <c r="D120" s="187"/>
      <c r="E120" s="186"/>
      <c r="F120" s="170"/>
      <c r="G120" s="213"/>
      <c r="H120" s="170"/>
      <c r="I120" s="190">
        <f>$M$3</f>
        <v>2019</v>
      </c>
      <c r="J120" s="191"/>
      <c r="K120" s="191"/>
      <c r="L120" s="211" t="s">
        <v>1065</v>
      </c>
      <c r="M120" s="186" t="s">
        <v>748</v>
      </c>
      <c r="N120" s="687">
        <f>LOOKUP($C$113, 'T_Stock_TOTAL_&amp;_City'!$C$10:$C$20, 'T_Stock_TOTAL_&amp;_City'!D$10:D$20)*(1+N27)</f>
        <v>0</v>
      </c>
      <c r="O120" s="687">
        <f>LOOKUP($C$113, 'T_Stock_TOTAL_&amp;_City'!$C$10:$C$20, 'T_Stock_TOTAL_&amp;_City'!E$10:E$20)*(1+O27)</f>
        <v>0</v>
      </c>
      <c r="P120" s="687">
        <f>LOOKUP($C$113, 'T_Stock_TOTAL_&amp;_City'!$C$10:$C$20, 'T_Stock_TOTAL_&amp;_City'!F$10:F$20)*(1+P27)</f>
        <v>0</v>
      </c>
      <c r="Q120" s="687">
        <f>LOOKUP($C$113, 'T_Stock_TOTAL_&amp;_City'!$C$10:$C$20, 'T_Stock_TOTAL_&amp;_City'!G$10:G$20)*(1+Q27)</f>
        <v>0</v>
      </c>
      <c r="R120" s="687">
        <f>LOOKUP($C$113, 'T_Stock_TOTAL_&amp;_City'!$C$10:$C$20, 'T_Stock_TOTAL_&amp;_City'!H$10:H$20)*(1+R27)</f>
        <v>0</v>
      </c>
      <c r="S120" s="687">
        <f>LOOKUP($C$113, 'T_Stock_TOTAL_&amp;_City'!$C$10:$C$20, 'T_Stock_TOTAL_&amp;_City'!I$10:I$20)*(1+S27)</f>
        <v>0</v>
      </c>
      <c r="T120" s="687">
        <f>LOOKUP($C$113, 'T_Stock_TOTAL_&amp;_City'!$C$10:$C$20, 'T_Stock_TOTAL_&amp;_City'!J$10:J$20)*(1+T27)</f>
        <v>0</v>
      </c>
      <c r="U120" s="687">
        <f>LOOKUP($C$113, 'T_Stock_TOTAL_&amp;_City'!$C$10:$C$20, 'T_Stock_TOTAL_&amp;_City'!K$10:K$20)*(1+U27)</f>
        <v>0</v>
      </c>
      <c r="V120" s="687">
        <f>LOOKUP($C$113, 'T_Stock_TOTAL_&amp;_City'!$C$10:$C$20, 'T_Stock_TOTAL_&amp;_City'!L$10:L$20)*(1+V27)</f>
        <v>0</v>
      </c>
      <c r="W120" s="687">
        <f>LOOKUP($C$113, 'T_Stock_TOTAL_&amp;_City'!$C$10:$C$20, 'T_Stock_TOTAL_&amp;_City'!M$10:M$20)*(1+W27)</f>
        <v>0</v>
      </c>
      <c r="X120" s="687">
        <f>LOOKUP($C$113, 'T_Stock_TOTAL_&amp;_City'!$C$10:$C$20, 'T_Stock_TOTAL_&amp;_City'!N$10:N$20)*(1+X27)</f>
        <v>0</v>
      </c>
      <c r="Y120" s="687">
        <f>LOOKUP($C$113, 'T_Stock_TOTAL_&amp;_City'!$C$10:$C$20, 'T_Stock_TOTAL_&amp;_City'!O$10:O$20)*(1+Y27)</f>
        <v>0</v>
      </c>
      <c r="Z120" s="687">
        <f>LOOKUP($C$113, 'T_Stock_TOTAL_&amp;_City'!$C$10:$C$20, 'T_Stock_TOTAL_&amp;_City'!P$10:P$20)*(1+Z27)</f>
        <v>0</v>
      </c>
      <c r="AA120" s="687">
        <f>LOOKUP($C$113, 'T_Stock_TOTAL_&amp;_City'!$C$10:$C$20, 'T_Stock_TOTAL_&amp;_City'!Q$10:Q$20)*(1+AA27)</f>
        <v>0</v>
      </c>
      <c r="AB120" s="687">
        <f>LOOKUP($C$113, 'T_Stock_TOTAL_&amp;_City'!$C$10:$C$20, 'T_Stock_TOTAL_&amp;_City'!R$10:R$20)*(1+AB27)</f>
        <v>0</v>
      </c>
      <c r="AV120" s="700" t="str">
        <f t="shared" si="101"/>
        <v/>
      </c>
    </row>
    <row r="121" spans="1:64" x14ac:dyDescent="0.25">
      <c r="A121" s="22"/>
      <c r="B121" s="186" t="str">
        <f t="shared" si="121"/>
        <v>TCARHYG900</v>
      </c>
      <c r="C121" s="186"/>
      <c r="D121" s="187"/>
      <c r="E121" s="186"/>
      <c r="F121" s="170"/>
      <c r="G121" s="213"/>
      <c r="H121" s="170"/>
      <c r="I121" s="190">
        <f>AF$15</f>
        <v>2016</v>
      </c>
      <c r="J121" s="191"/>
      <c r="K121" s="191"/>
      <c r="L121" s="211" t="s">
        <v>1065</v>
      </c>
      <c r="M121" s="186" t="s">
        <v>748</v>
      </c>
      <c r="N121" s="687">
        <f t="shared" ref="N121:AB121" si="123">N120*LOOKUP($AD113,$AG$14:$AP$14,$AG$15:$AP$15)</f>
        <v>0</v>
      </c>
      <c r="O121" s="687">
        <f t="shared" si="123"/>
        <v>0</v>
      </c>
      <c r="P121" s="687">
        <f t="shared" si="123"/>
        <v>0</v>
      </c>
      <c r="Q121" s="687">
        <f t="shared" si="123"/>
        <v>0</v>
      </c>
      <c r="R121" s="687">
        <f t="shared" si="123"/>
        <v>0</v>
      </c>
      <c r="S121" s="687">
        <f t="shared" si="123"/>
        <v>0</v>
      </c>
      <c r="T121" s="687">
        <f t="shared" si="123"/>
        <v>0</v>
      </c>
      <c r="U121" s="687">
        <f t="shared" si="123"/>
        <v>0</v>
      </c>
      <c r="V121" s="687">
        <f t="shared" si="123"/>
        <v>0</v>
      </c>
      <c r="W121" s="687">
        <f t="shared" si="123"/>
        <v>0</v>
      </c>
      <c r="X121" s="687">
        <f t="shared" si="123"/>
        <v>0</v>
      </c>
      <c r="Y121" s="687">
        <f t="shared" si="123"/>
        <v>0</v>
      </c>
      <c r="Z121" s="687">
        <f t="shared" si="123"/>
        <v>0</v>
      </c>
      <c r="AA121" s="687">
        <f t="shared" si="123"/>
        <v>0</v>
      </c>
      <c r="AB121" s="687">
        <f t="shared" si="123"/>
        <v>0</v>
      </c>
      <c r="AE121" s="569">
        <f>SUM(AF121:AT121)</f>
        <v>0</v>
      </c>
      <c r="AF121" s="568">
        <f t="shared" ref="AF121:AT121" si="124">N118*N119*N120/1000</f>
        <v>0</v>
      </c>
      <c r="AG121" s="568">
        <f t="shared" si="124"/>
        <v>0</v>
      </c>
      <c r="AH121" s="568">
        <f t="shared" si="124"/>
        <v>0</v>
      </c>
      <c r="AI121" s="568">
        <f t="shared" si="124"/>
        <v>0</v>
      </c>
      <c r="AJ121" s="568">
        <f t="shared" si="124"/>
        <v>0</v>
      </c>
      <c r="AK121" s="568">
        <f t="shared" si="124"/>
        <v>0</v>
      </c>
      <c r="AL121" s="568">
        <f t="shared" si="124"/>
        <v>0</v>
      </c>
      <c r="AM121" s="568">
        <f t="shared" si="124"/>
        <v>0</v>
      </c>
      <c r="AN121" s="568">
        <f t="shared" si="124"/>
        <v>0</v>
      </c>
      <c r="AO121" s="568">
        <f t="shared" si="124"/>
        <v>0</v>
      </c>
      <c r="AP121" s="568">
        <f t="shared" si="124"/>
        <v>0</v>
      </c>
      <c r="AQ121" s="568">
        <f t="shared" si="124"/>
        <v>0</v>
      </c>
      <c r="AR121" s="568">
        <f t="shared" si="124"/>
        <v>0</v>
      </c>
      <c r="AS121" s="568">
        <f t="shared" si="124"/>
        <v>0</v>
      </c>
      <c r="AT121" s="568">
        <f t="shared" si="124"/>
        <v>0</v>
      </c>
      <c r="AV121" s="700" t="str">
        <f t="shared" si="101"/>
        <v/>
      </c>
    </row>
    <row r="122" spans="1:64" x14ac:dyDescent="0.25">
      <c r="A122" s="22"/>
      <c r="B122" s="186" t="str">
        <f t="shared" si="121"/>
        <v>TCARHYG900</v>
      </c>
      <c r="C122" s="186"/>
      <c r="D122" s="187"/>
      <c r="E122" s="186"/>
      <c r="F122" s="170"/>
      <c r="G122" s="213"/>
      <c r="H122" s="170"/>
      <c r="I122" s="190">
        <f>AF$16</f>
        <v>2020</v>
      </c>
      <c r="J122" s="191"/>
      <c r="K122" s="191"/>
      <c r="L122" s="211" t="s">
        <v>1065</v>
      </c>
      <c r="M122" s="186" t="s">
        <v>748</v>
      </c>
      <c r="N122" s="687">
        <f t="shared" ref="N122:AB122" si="125">N120*LOOKUP($AD113,$AG$14:$AP$14,$AG$16:$AP$16)</f>
        <v>0</v>
      </c>
      <c r="O122" s="687">
        <f t="shared" si="125"/>
        <v>0</v>
      </c>
      <c r="P122" s="687">
        <f t="shared" si="125"/>
        <v>0</v>
      </c>
      <c r="Q122" s="687">
        <f t="shared" si="125"/>
        <v>0</v>
      </c>
      <c r="R122" s="687">
        <f t="shared" si="125"/>
        <v>0</v>
      </c>
      <c r="S122" s="687">
        <f t="shared" si="125"/>
        <v>0</v>
      </c>
      <c r="T122" s="687">
        <f t="shared" si="125"/>
        <v>0</v>
      </c>
      <c r="U122" s="687">
        <f t="shared" si="125"/>
        <v>0</v>
      </c>
      <c r="V122" s="687">
        <f t="shared" si="125"/>
        <v>0</v>
      </c>
      <c r="W122" s="687">
        <f t="shared" si="125"/>
        <v>0</v>
      </c>
      <c r="X122" s="687">
        <f t="shared" si="125"/>
        <v>0</v>
      </c>
      <c r="Y122" s="687">
        <f t="shared" si="125"/>
        <v>0</v>
      </c>
      <c r="Z122" s="687">
        <f t="shared" si="125"/>
        <v>0</v>
      </c>
      <c r="AA122" s="687">
        <f t="shared" si="125"/>
        <v>0</v>
      </c>
      <c r="AB122" s="687">
        <f t="shared" si="125"/>
        <v>0</v>
      </c>
      <c r="AV122" s="700" t="str">
        <f t="shared" si="101"/>
        <v/>
      </c>
    </row>
    <row r="123" spans="1:64" x14ac:dyDescent="0.25">
      <c r="A123" s="22"/>
      <c r="B123" s="186" t="str">
        <f t="shared" si="121"/>
        <v>TCARHYG900</v>
      </c>
      <c r="C123" s="186"/>
      <c r="D123" s="187"/>
      <c r="E123" s="186"/>
      <c r="F123" s="170"/>
      <c r="G123" s="213"/>
      <c r="H123" s="170"/>
      <c r="I123" s="190">
        <v>2025</v>
      </c>
      <c r="J123" s="191"/>
      <c r="K123" s="191"/>
      <c r="L123" s="211" t="s">
        <v>1065</v>
      </c>
      <c r="M123" s="186" t="s">
        <v>748</v>
      </c>
      <c r="N123" s="687">
        <f t="shared" ref="N123:AB123" si="126">N120*LOOKUP($AD113,$AG$14:$AP$14,$AG$17:$AP$17)</f>
        <v>0</v>
      </c>
      <c r="O123" s="687">
        <f t="shared" si="126"/>
        <v>0</v>
      </c>
      <c r="P123" s="687">
        <f t="shared" si="126"/>
        <v>0</v>
      </c>
      <c r="Q123" s="687">
        <f t="shared" si="126"/>
        <v>0</v>
      </c>
      <c r="R123" s="687">
        <f t="shared" si="126"/>
        <v>0</v>
      </c>
      <c r="S123" s="687">
        <f t="shared" si="126"/>
        <v>0</v>
      </c>
      <c r="T123" s="687">
        <f t="shared" si="126"/>
        <v>0</v>
      </c>
      <c r="U123" s="687">
        <f t="shared" si="126"/>
        <v>0</v>
      </c>
      <c r="V123" s="687">
        <f t="shared" si="126"/>
        <v>0</v>
      </c>
      <c r="W123" s="687">
        <f t="shared" si="126"/>
        <v>0</v>
      </c>
      <c r="X123" s="687">
        <f t="shared" si="126"/>
        <v>0</v>
      </c>
      <c r="Y123" s="687">
        <f t="shared" si="126"/>
        <v>0</v>
      </c>
      <c r="Z123" s="687">
        <f t="shared" si="126"/>
        <v>0</v>
      </c>
      <c r="AA123" s="687">
        <f t="shared" si="126"/>
        <v>0</v>
      </c>
      <c r="AB123" s="687">
        <f t="shared" si="126"/>
        <v>0</v>
      </c>
      <c r="AV123" s="700" t="str">
        <f t="shared" si="101"/>
        <v/>
      </c>
    </row>
    <row r="124" spans="1:64" x14ac:dyDescent="0.25">
      <c r="A124" s="22"/>
      <c r="B124" s="186" t="str">
        <f t="shared" si="121"/>
        <v>TCARHYG900</v>
      </c>
      <c r="C124" s="186"/>
      <c r="D124" s="187"/>
      <c r="E124" s="186"/>
      <c r="F124" s="170"/>
      <c r="G124" s="213"/>
      <c r="H124" s="170"/>
      <c r="I124" s="190">
        <f>AF$18</f>
        <v>2030</v>
      </c>
      <c r="J124" s="191"/>
      <c r="K124" s="191"/>
      <c r="L124" s="211" t="s">
        <v>1065</v>
      </c>
      <c r="M124" s="186" t="s">
        <v>748</v>
      </c>
      <c r="N124" s="687">
        <f t="shared" ref="N124:AB124" si="127">N120*LOOKUP($AD113,$AG$14:$AP$14,$AG$18:$AP$18)</f>
        <v>0</v>
      </c>
      <c r="O124" s="687">
        <f t="shared" si="127"/>
        <v>0</v>
      </c>
      <c r="P124" s="687">
        <f t="shared" si="127"/>
        <v>0</v>
      </c>
      <c r="Q124" s="687">
        <f t="shared" si="127"/>
        <v>0</v>
      </c>
      <c r="R124" s="687">
        <f t="shared" si="127"/>
        <v>0</v>
      </c>
      <c r="S124" s="687">
        <f t="shared" si="127"/>
        <v>0</v>
      </c>
      <c r="T124" s="687">
        <f t="shared" si="127"/>
        <v>0</v>
      </c>
      <c r="U124" s="687">
        <f t="shared" si="127"/>
        <v>0</v>
      </c>
      <c r="V124" s="687">
        <f t="shared" si="127"/>
        <v>0</v>
      </c>
      <c r="W124" s="687">
        <f t="shared" si="127"/>
        <v>0</v>
      </c>
      <c r="X124" s="687">
        <f t="shared" si="127"/>
        <v>0</v>
      </c>
      <c r="Y124" s="687">
        <f t="shared" si="127"/>
        <v>0</v>
      </c>
      <c r="Z124" s="687">
        <f t="shared" si="127"/>
        <v>0</v>
      </c>
      <c r="AA124" s="687">
        <f t="shared" si="127"/>
        <v>0</v>
      </c>
      <c r="AB124" s="687">
        <f t="shared" si="127"/>
        <v>0</v>
      </c>
      <c r="AV124" s="700" t="str">
        <f t="shared" si="101"/>
        <v/>
      </c>
    </row>
    <row r="125" spans="1:64" x14ac:dyDescent="0.25">
      <c r="A125" s="22"/>
      <c r="B125" s="186" t="str">
        <f t="shared" si="121"/>
        <v>TCARHYG900</v>
      </c>
      <c r="C125" s="186"/>
      <c r="D125" s="187"/>
      <c r="E125" s="186"/>
      <c r="F125" s="170"/>
      <c r="G125" s="213"/>
      <c r="H125" s="170"/>
      <c r="I125" s="190">
        <f>AF$19</f>
        <v>2040</v>
      </c>
      <c r="J125" s="191"/>
      <c r="K125" s="191"/>
      <c r="L125" s="211" t="s">
        <v>1065</v>
      </c>
      <c r="M125" s="186" t="s">
        <v>748</v>
      </c>
      <c r="N125" s="687">
        <f t="shared" ref="N125:AB125" si="128">N120*LOOKUP($AD113,$AG$14:$AP$14,$AG$19:$AP$19)</f>
        <v>0</v>
      </c>
      <c r="O125" s="687">
        <f t="shared" si="128"/>
        <v>0</v>
      </c>
      <c r="P125" s="687">
        <f t="shared" si="128"/>
        <v>0</v>
      </c>
      <c r="Q125" s="687">
        <f t="shared" si="128"/>
        <v>0</v>
      </c>
      <c r="R125" s="687">
        <f t="shared" si="128"/>
        <v>0</v>
      </c>
      <c r="S125" s="687">
        <f t="shared" si="128"/>
        <v>0</v>
      </c>
      <c r="T125" s="687">
        <f t="shared" si="128"/>
        <v>0</v>
      </c>
      <c r="U125" s="687">
        <f t="shared" si="128"/>
        <v>0</v>
      </c>
      <c r="V125" s="687">
        <f t="shared" si="128"/>
        <v>0</v>
      </c>
      <c r="W125" s="687">
        <f t="shared" si="128"/>
        <v>0</v>
      </c>
      <c r="X125" s="687">
        <f t="shared" si="128"/>
        <v>0</v>
      </c>
      <c r="Y125" s="687">
        <f t="shared" si="128"/>
        <v>0</v>
      </c>
      <c r="Z125" s="687">
        <f t="shared" si="128"/>
        <v>0</v>
      </c>
      <c r="AA125" s="687">
        <f t="shared" si="128"/>
        <v>0</v>
      </c>
      <c r="AB125" s="687">
        <f t="shared" si="128"/>
        <v>0</v>
      </c>
      <c r="AV125" s="700" t="str">
        <f t="shared" si="101"/>
        <v/>
      </c>
    </row>
    <row r="126" spans="1:64" x14ac:dyDescent="0.25">
      <c r="A126" s="22"/>
      <c r="B126" s="193" t="str">
        <f t="shared" si="121"/>
        <v>TCARHYG900</v>
      </c>
      <c r="C126" s="193"/>
      <c r="D126" s="194"/>
      <c r="E126" s="193"/>
      <c r="F126" s="196"/>
      <c r="G126" s="215"/>
      <c r="H126" s="196"/>
      <c r="I126" s="197">
        <f>AF$20</f>
        <v>2050</v>
      </c>
      <c r="J126" s="198"/>
      <c r="K126" s="198"/>
      <c r="L126" s="212" t="s">
        <v>1065</v>
      </c>
      <c r="M126" s="193" t="s">
        <v>748</v>
      </c>
      <c r="N126" s="688">
        <f t="shared" ref="N126:AB126" si="129">N120*LOOKUP($AD113,$AG$14:$AP$14,$AG$20:$AP$20)</f>
        <v>0</v>
      </c>
      <c r="O126" s="688">
        <f t="shared" si="129"/>
        <v>0</v>
      </c>
      <c r="P126" s="688">
        <f t="shared" si="129"/>
        <v>0</v>
      </c>
      <c r="Q126" s="688">
        <f t="shared" si="129"/>
        <v>0</v>
      </c>
      <c r="R126" s="688">
        <f t="shared" si="129"/>
        <v>0</v>
      </c>
      <c r="S126" s="688">
        <f t="shared" si="129"/>
        <v>0</v>
      </c>
      <c r="T126" s="688">
        <f t="shared" si="129"/>
        <v>0</v>
      </c>
      <c r="U126" s="688">
        <f t="shared" si="129"/>
        <v>0</v>
      </c>
      <c r="V126" s="688">
        <f t="shared" si="129"/>
        <v>0</v>
      </c>
      <c r="W126" s="688">
        <f t="shared" si="129"/>
        <v>0</v>
      </c>
      <c r="X126" s="688">
        <f t="shared" si="129"/>
        <v>0</v>
      </c>
      <c r="Y126" s="688">
        <f t="shared" si="129"/>
        <v>0</v>
      </c>
      <c r="Z126" s="688">
        <f t="shared" si="129"/>
        <v>0</v>
      </c>
      <c r="AA126" s="688">
        <f t="shared" si="129"/>
        <v>0</v>
      </c>
      <c r="AB126" s="688">
        <f t="shared" si="129"/>
        <v>0</v>
      </c>
      <c r="AD126" s="400"/>
      <c r="AV126" s="700" t="str">
        <f t="shared" si="101"/>
        <v/>
      </c>
    </row>
    <row r="127" spans="1:64" x14ac:dyDescent="0.25">
      <c r="A127" s="22"/>
      <c r="B127" s="186" t="str">
        <f>C127</f>
        <v>TCARLPG900</v>
      </c>
      <c r="C127" s="186" t="s">
        <v>536</v>
      </c>
      <c r="D127" s="187" t="s">
        <v>797</v>
      </c>
      <c r="E127" s="188" t="s">
        <v>1033</v>
      </c>
      <c r="F127" s="170"/>
      <c r="G127" s="189"/>
      <c r="H127" s="170"/>
      <c r="I127" s="190"/>
      <c r="J127" s="191"/>
      <c r="K127" s="191"/>
      <c r="L127" s="211" t="s">
        <v>1107</v>
      </c>
      <c r="M127" s="191" t="s">
        <v>1156</v>
      </c>
      <c r="N127" s="366">
        <f>N$32</f>
        <v>1E-3</v>
      </c>
      <c r="O127" s="366">
        <f t="shared" ref="O127:AB127" si="130">$N127</f>
        <v>1E-3</v>
      </c>
      <c r="P127" s="366">
        <f t="shared" si="130"/>
        <v>1E-3</v>
      </c>
      <c r="Q127" s="366">
        <f t="shared" si="130"/>
        <v>1E-3</v>
      </c>
      <c r="R127" s="366">
        <f t="shared" si="130"/>
        <v>1E-3</v>
      </c>
      <c r="S127" s="366">
        <f t="shared" si="130"/>
        <v>1E-3</v>
      </c>
      <c r="T127" s="366">
        <f t="shared" si="130"/>
        <v>1E-3</v>
      </c>
      <c r="U127" s="366">
        <f t="shared" si="130"/>
        <v>1E-3</v>
      </c>
      <c r="V127" s="366">
        <f t="shared" si="130"/>
        <v>1E-3</v>
      </c>
      <c r="W127" s="366">
        <f t="shared" si="130"/>
        <v>1E-3</v>
      </c>
      <c r="X127" s="366">
        <f t="shared" si="130"/>
        <v>1E-3</v>
      </c>
      <c r="Y127" s="366">
        <f t="shared" si="130"/>
        <v>1E-3</v>
      </c>
      <c r="Z127" s="366">
        <f t="shared" si="130"/>
        <v>1E-3</v>
      </c>
      <c r="AA127" s="366">
        <f t="shared" si="130"/>
        <v>1E-3</v>
      </c>
      <c r="AB127" s="366">
        <f t="shared" si="130"/>
        <v>1E-3</v>
      </c>
      <c r="AD127" s="56" t="str">
        <f>MID(D127,5,3)</f>
        <v>LPG</v>
      </c>
      <c r="AV127" s="700" t="str">
        <f t="shared" si="101"/>
        <v>TRALPG</v>
      </c>
      <c r="AW127" s="568">
        <f>SUM(AX127:BL127)</f>
        <v>0</v>
      </c>
      <c r="AX127" s="568">
        <f>N$131*N$132/N$129/1000</f>
        <v>0</v>
      </c>
      <c r="AY127" s="568">
        <f t="shared" ref="AY127:BL127" si="131">O$131*O$132/O$129/1000</f>
        <v>0</v>
      </c>
      <c r="AZ127" s="568">
        <f t="shared" si="131"/>
        <v>0</v>
      </c>
      <c r="BA127" s="568">
        <f t="shared" si="131"/>
        <v>0</v>
      </c>
      <c r="BB127" s="568">
        <f t="shared" si="131"/>
        <v>0</v>
      </c>
      <c r="BC127" s="568">
        <f t="shared" si="131"/>
        <v>0</v>
      </c>
      <c r="BD127" s="568">
        <f t="shared" si="131"/>
        <v>0</v>
      </c>
      <c r="BE127" s="568">
        <f t="shared" si="131"/>
        <v>0</v>
      </c>
      <c r="BF127" s="568">
        <f t="shared" si="131"/>
        <v>0</v>
      </c>
      <c r="BG127" s="568">
        <f t="shared" si="131"/>
        <v>0</v>
      </c>
      <c r="BH127" s="568">
        <f t="shared" si="131"/>
        <v>0</v>
      </c>
      <c r="BI127" s="568">
        <f t="shared" si="131"/>
        <v>0</v>
      </c>
      <c r="BJ127" s="568">
        <f t="shared" si="131"/>
        <v>0</v>
      </c>
      <c r="BK127" s="568">
        <f t="shared" si="131"/>
        <v>0</v>
      </c>
      <c r="BL127" s="568">
        <f t="shared" si="131"/>
        <v>0</v>
      </c>
    </row>
    <row r="128" spans="1:64" x14ac:dyDescent="0.25">
      <c r="A128" s="22"/>
      <c r="B128" s="186" t="str">
        <f>B127</f>
        <v>TCARLPG900</v>
      </c>
      <c r="C128" s="186"/>
      <c r="D128" s="187"/>
      <c r="E128" s="186"/>
      <c r="F128" s="170"/>
      <c r="G128" s="188" t="s">
        <v>406</v>
      </c>
      <c r="H128" s="170"/>
      <c r="I128" s="190"/>
      <c r="J128" s="191"/>
      <c r="K128" s="191"/>
      <c r="L128" s="191" t="s">
        <v>1126</v>
      </c>
      <c r="M128" s="186" t="s">
        <v>678</v>
      </c>
      <c r="N128" s="377">
        <f>T_CEFF!H48</f>
        <v>0.38646999999999998</v>
      </c>
      <c r="O128" s="377">
        <f>T_CEFF!I48</f>
        <v>0.38646999999999998</v>
      </c>
      <c r="P128" s="377">
        <f>T_CEFF!J48</f>
        <v>0.38646999999999998</v>
      </c>
      <c r="Q128" s="377">
        <f>T_CEFF!K48</f>
        <v>0.38646999999999998</v>
      </c>
      <c r="R128" s="377">
        <f>T_CEFF!L48</f>
        <v>0.38646999999999998</v>
      </c>
      <c r="S128" s="377">
        <f>T_CEFF!M48</f>
        <v>0.38646999999999998</v>
      </c>
      <c r="T128" s="377">
        <f>T_CEFF!N48</f>
        <v>0.38646999999999998</v>
      </c>
      <c r="U128" s="377">
        <f>T_CEFF!O48</f>
        <v>0.38646999999999998</v>
      </c>
      <c r="V128" s="377">
        <f>T_CEFF!P48</f>
        <v>0.38646999999999998</v>
      </c>
      <c r="W128" s="377">
        <f>T_CEFF!Q48</f>
        <v>0.38646999999999998</v>
      </c>
      <c r="X128" s="377">
        <f>T_CEFF!R48</f>
        <v>0.38646999999999998</v>
      </c>
      <c r="Y128" s="377">
        <f>T_CEFF!S48</f>
        <v>0.38646999999999998</v>
      </c>
      <c r="Z128" s="377">
        <f>T_CEFF!T48</f>
        <v>0.38646999999999998</v>
      </c>
      <c r="AA128" s="377">
        <f>T_CEFF!U48</f>
        <v>0.38646999999999998</v>
      </c>
      <c r="AB128" s="377">
        <f>T_CEFF!V48</f>
        <v>0.38646999999999998</v>
      </c>
      <c r="AD128" s="399" t="str">
        <f>IF(COUNTIF($AG$14:$AP$14,AD127)=1,"ok","MISSING")</f>
        <v>ok</v>
      </c>
      <c r="AV128" s="700" t="str">
        <f t="shared" si="101"/>
        <v/>
      </c>
    </row>
    <row r="129" spans="1:64" x14ac:dyDescent="0.25">
      <c r="A129" s="22"/>
      <c r="B129" s="186" t="str">
        <f t="shared" ref="B129:B138" si="132">B128</f>
        <v>TCARLPG900</v>
      </c>
      <c r="C129" s="186"/>
      <c r="D129" s="187"/>
      <c r="E129" s="186"/>
      <c r="F129" s="170"/>
      <c r="G129" s="188" t="s">
        <v>408</v>
      </c>
      <c r="H129" s="170"/>
      <c r="I129" s="190"/>
      <c r="J129" s="191"/>
      <c r="K129" s="191"/>
      <c r="L129" s="191" t="s">
        <v>1126</v>
      </c>
      <c r="M129" s="186" t="s">
        <v>678</v>
      </c>
      <c r="N129" s="377">
        <f>T_CEFF!H49</f>
        <v>0.31873000000000001</v>
      </c>
      <c r="O129" s="377">
        <f>T_CEFF!I49</f>
        <v>0.31873000000000001</v>
      </c>
      <c r="P129" s="377">
        <f>T_CEFF!J49</f>
        <v>0.31873000000000001</v>
      </c>
      <c r="Q129" s="377">
        <f>T_CEFF!K49</f>
        <v>0.31873000000000001</v>
      </c>
      <c r="R129" s="377">
        <f>T_CEFF!L49</f>
        <v>0.31873000000000001</v>
      </c>
      <c r="S129" s="377">
        <f>T_CEFF!M49</f>
        <v>0.31873000000000001</v>
      </c>
      <c r="T129" s="377">
        <f>T_CEFF!N49</f>
        <v>0.31873000000000001</v>
      </c>
      <c r="U129" s="377">
        <f>T_CEFF!O49</f>
        <v>0.31873000000000001</v>
      </c>
      <c r="V129" s="377">
        <f>T_CEFF!P49</f>
        <v>0.31873000000000001</v>
      </c>
      <c r="W129" s="377">
        <f>T_CEFF!Q49</f>
        <v>0.31873000000000001</v>
      </c>
      <c r="X129" s="377">
        <f>T_CEFF!R49</f>
        <v>0.31873000000000001</v>
      </c>
      <c r="Y129" s="377">
        <f>T_CEFF!S49</f>
        <v>0.31873000000000001</v>
      </c>
      <c r="Z129" s="377">
        <f>T_CEFF!T49</f>
        <v>0.31873000000000001</v>
      </c>
      <c r="AA129" s="377">
        <f>T_CEFF!U49</f>
        <v>0.31873000000000001</v>
      </c>
      <c r="AB129" s="377">
        <f>T_CEFF!V49</f>
        <v>0.31873000000000001</v>
      </c>
      <c r="AV129" s="700" t="str">
        <f t="shared" si="101"/>
        <v/>
      </c>
    </row>
    <row r="130" spans="1:64" x14ac:dyDescent="0.25">
      <c r="A130" s="22"/>
      <c r="B130" s="186" t="str">
        <f t="shared" si="132"/>
        <v>TCARLPG900</v>
      </c>
      <c r="C130" s="186"/>
      <c r="D130" s="187"/>
      <c r="E130" s="186"/>
      <c r="F130" s="170"/>
      <c r="G130" s="189"/>
      <c r="H130" s="170"/>
      <c r="I130" s="190"/>
      <c r="J130" s="191"/>
      <c r="K130" s="191" t="s">
        <v>749</v>
      </c>
      <c r="L130" s="191" t="s">
        <v>1128</v>
      </c>
      <c r="M130" s="186" t="s">
        <v>1119</v>
      </c>
      <c r="N130" s="368">
        <f>N$14</f>
        <v>1.2</v>
      </c>
      <c r="O130" s="368">
        <f t="shared" ref="O130:AB130" si="133">O$14</f>
        <v>0</v>
      </c>
      <c r="P130" s="368">
        <f t="shared" si="133"/>
        <v>0</v>
      </c>
      <c r="Q130" s="368">
        <f t="shared" si="133"/>
        <v>0</v>
      </c>
      <c r="R130" s="368">
        <f t="shared" si="133"/>
        <v>0</v>
      </c>
      <c r="S130" s="368">
        <f t="shared" si="133"/>
        <v>0</v>
      </c>
      <c r="T130" s="368">
        <f t="shared" si="133"/>
        <v>0</v>
      </c>
      <c r="U130" s="368">
        <f t="shared" si="133"/>
        <v>0</v>
      </c>
      <c r="V130" s="368">
        <f t="shared" si="133"/>
        <v>0</v>
      </c>
      <c r="W130" s="368">
        <f t="shared" si="133"/>
        <v>0</v>
      </c>
      <c r="X130" s="368">
        <f t="shared" si="133"/>
        <v>0</v>
      </c>
      <c r="Y130" s="368">
        <f t="shared" si="133"/>
        <v>0</v>
      </c>
      <c r="Z130" s="368">
        <f t="shared" si="133"/>
        <v>0</v>
      </c>
      <c r="AA130" s="368">
        <f t="shared" si="133"/>
        <v>0</v>
      </c>
      <c r="AB130" s="368">
        <f t="shared" si="133"/>
        <v>0</v>
      </c>
      <c r="AV130" s="700" t="str">
        <f t="shared" si="101"/>
        <v/>
      </c>
    </row>
    <row r="131" spans="1:64" x14ac:dyDescent="0.25">
      <c r="A131" s="22"/>
      <c r="B131" s="186" t="str">
        <f t="shared" si="132"/>
        <v>TCARLPG900</v>
      </c>
      <c r="C131" s="186"/>
      <c r="D131" s="187"/>
      <c r="E131" s="186"/>
      <c r="F131" s="170"/>
      <c r="G131" s="189"/>
      <c r="H131" s="170"/>
      <c r="I131" s="190"/>
      <c r="J131" s="191"/>
      <c r="K131" s="191"/>
      <c r="L131" s="211" t="s">
        <v>1130</v>
      </c>
      <c r="M131" s="186" t="s">
        <v>1131</v>
      </c>
      <c r="N131" s="376">
        <f>LOOKUP($C$127, T_NCAP_AF!$C$20:$C$30, T_NCAP_AF!D$20:D$30)*(1+N26)</f>
        <v>0</v>
      </c>
      <c r="O131" s="376">
        <f>LOOKUP($C$127, T_NCAP_AF!$C$20:$C$30, T_NCAP_AF!E$20:E$30)*(1+O26)</f>
        <v>0</v>
      </c>
      <c r="P131" s="376">
        <f>LOOKUP($C$127, T_NCAP_AF!$C$20:$C$30, T_NCAP_AF!F$20:F$30)*(1+P26)</f>
        <v>0</v>
      </c>
      <c r="Q131" s="376">
        <f>LOOKUP($C$127, T_NCAP_AF!$C$20:$C$30, T_NCAP_AF!G$20:G$30)*(1+Q26)</f>
        <v>0</v>
      </c>
      <c r="R131" s="376">
        <f>LOOKUP($C$127, T_NCAP_AF!$C$20:$C$30, T_NCAP_AF!H$20:H$30)*(1+R26)</f>
        <v>0</v>
      </c>
      <c r="S131" s="376">
        <f>LOOKUP($C$127, T_NCAP_AF!$C$20:$C$30, T_NCAP_AF!I$20:I$30)*(1+S26)</f>
        <v>0</v>
      </c>
      <c r="T131" s="376">
        <f>LOOKUP($C$127, T_NCAP_AF!$C$20:$C$30, T_NCAP_AF!J$20:J$30)*(1+T26)</f>
        <v>0</v>
      </c>
      <c r="U131" s="376">
        <f>LOOKUP($C$127, T_NCAP_AF!$C$20:$C$30, T_NCAP_AF!K$20:K$30)*(1+U26)</f>
        <v>0</v>
      </c>
      <c r="V131" s="376">
        <f>LOOKUP($C$127, T_NCAP_AF!$C$20:$C$30, T_NCAP_AF!L$20:L$30)*(1+V26)</f>
        <v>0</v>
      </c>
      <c r="W131" s="376">
        <f>LOOKUP($C$127, T_NCAP_AF!$C$20:$C$30, T_NCAP_AF!M$20:M$30)*(1+W26)</f>
        <v>0</v>
      </c>
      <c r="X131" s="376">
        <f>LOOKUP($C$127, T_NCAP_AF!$C$20:$C$30, T_NCAP_AF!N$20:N$30)*(1+X26)</f>
        <v>0</v>
      </c>
      <c r="Y131" s="376">
        <f>LOOKUP($C$127, T_NCAP_AF!$C$20:$C$30, T_NCAP_AF!O$20:O$30)*(1+Y26)</f>
        <v>0</v>
      </c>
      <c r="Z131" s="376">
        <f>LOOKUP($C$127, T_NCAP_AF!$C$20:$C$30, T_NCAP_AF!P$20:P$30)*(1+Z26)</f>
        <v>0</v>
      </c>
      <c r="AA131" s="376">
        <f>LOOKUP($C$127, T_NCAP_AF!$C$20:$C$30, T_NCAP_AF!Q$20:Q$30)*(1+AA26)</f>
        <v>0</v>
      </c>
      <c r="AB131" s="376">
        <f>LOOKUP($C$127, T_NCAP_AF!$C$20:$C$30, T_NCAP_AF!R$20:R$30)*(1+AB26)</f>
        <v>0</v>
      </c>
      <c r="AV131" s="700" t="str">
        <f t="shared" si="101"/>
        <v/>
      </c>
    </row>
    <row r="132" spans="1:64" x14ac:dyDescent="0.25">
      <c r="A132" s="22"/>
      <c r="B132" s="186" t="str">
        <f t="shared" si="132"/>
        <v>TCARLPG900</v>
      </c>
      <c r="C132" s="186"/>
      <c r="D132" s="187"/>
      <c r="E132" s="186"/>
      <c r="F132" s="170"/>
      <c r="G132" s="189"/>
      <c r="H132" s="170"/>
      <c r="I132" s="190">
        <f>$M$3</f>
        <v>2019</v>
      </c>
      <c r="J132" s="191"/>
      <c r="K132" s="191"/>
      <c r="L132" s="211" t="s">
        <v>1065</v>
      </c>
      <c r="M132" s="186" t="s">
        <v>748</v>
      </c>
      <c r="N132" s="687">
        <f>LOOKUP($C$127, 'T_Stock_TOTAL_&amp;_City'!$C$10:$C$20, 'T_Stock_TOTAL_&amp;_City'!D$10:D$20)*(1+N27)</f>
        <v>0</v>
      </c>
      <c r="O132" s="687">
        <f>LOOKUP($C$127, 'T_Stock_TOTAL_&amp;_City'!$C$10:$C$20, 'T_Stock_TOTAL_&amp;_City'!E$10:E$20)*(1+O27)</f>
        <v>0</v>
      </c>
      <c r="P132" s="687">
        <f>LOOKUP($C$127, 'T_Stock_TOTAL_&amp;_City'!$C$10:$C$20, 'T_Stock_TOTAL_&amp;_City'!F$10:F$20)*(1+P27)</f>
        <v>0</v>
      </c>
      <c r="Q132" s="687">
        <f>LOOKUP($C$127, 'T_Stock_TOTAL_&amp;_City'!$C$10:$C$20, 'T_Stock_TOTAL_&amp;_City'!G$10:G$20)*(1+Q27)</f>
        <v>0</v>
      </c>
      <c r="R132" s="687">
        <f>LOOKUP($C$127, 'T_Stock_TOTAL_&amp;_City'!$C$10:$C$20, 'T_Stock_TOTAL_&amp;_City'!H$10:H$20)*(1+R27)</f>
        <v>0</v>
      </c>
      <c r="S132" s="687">
        <f>LOOKUP($C$127, 'T_Stock_TOTAL_&amp;_City'!$C$10:$C$20, 'T_Stock_TOTAL_&amp;_City'!I$10:I$20)*(1+S27)</f>
        <v>0</v>
      </c>
      <c r="T132" s="687">
        <f>LOOKUP($C$127, 'T_Stock_TOTAL_&amp;_City'!$C$10:$C$20, 'T_Stock_TOTAL_&amp;_City'!J$10:J$20)*(1+T27)</f>
        <v>0</v>
      </c>
      <c r="U132" s="687">
        <f>LOOKUP($C$127, 'T_Stock_TOTAL_&amp;_City'!$C$10:$C$20, 'T_Stock_TOTAL_&amp;_City'!K$10:K$20)*(1+U27)</f>
        <v>0</v>
      </c>
      <c r="V132" s="687">
        <f>LOOKUP($C$127, 'T_Stock_TOTAL_&amp;_City'!$C$10:$C$20, 'T_Stock_TOTAL_&amp;_City'!L$10:L$20)*(1+V27)</f>
        <v>0</v>
      </c>
      <c r="W132" s="687">
        <f>LOOKUP($C$127, 'T_Stock_TOTAL_&amp;_City'!$C$10:$C$20, 'T_Stock_TOTAL_&amp;_City'!M$10:M$20)*(1+W27)</f>
        <v>0</v>
      </c>
      <c r="X132" s="687">
        <f>LOOKUP($C$127, 'T_Stock_TOTAL_&amp;_City'!$C$10:$C$20, 'T_Stock_TOTAL_&amp;_City'!N$10:N$20)*(1+X27)</f>
        <v>0</v>
      </c>
      <c r="Y132" s="687">
        <f>LOOKUP($C$127, 'T_Stock_TOTAL_&amp;_City'!$C$10:$C$20, 'T_Stock_TOTAL_&amp;_City'!O$10:O$20)*(1+Y27)</f>
        <v>0</v>
      </c>
      <c r="Z132" s="687">
        <f>LOOKUP($C$127, 'T_Stock_TOTAL_&amp;_City'!$C$10:$C$20, 'T_Stock_TOTAL_&amp;_City'!P$10:P$20)*(1+Z27)</f>
        <v>0</v>
      </c>
      <c r="AA132" s="687">
        <f>LOOKUP($C$127, 'T_Stock_TOTAL_&amp;_City'!$C$10:$C$20, 'T_Stock_TOTAL_&amp;_City'!Q$10:Q$20)*(1+AA27)</f>
        <v>0</v>
      </c>
      <c r="AB132" s="687">
        <f>LOOKUP($C$127, 'T_Stock_TOTAL_&amp;_City'!$C$10:$C$20, 'T_Stock_TOTAL_&amp;_City'!R$10:R$20)*(1+AB27)</f>
        <v>0</v>
      </c>
      <c r="AV132" s="700" t="str">
        <f t="shared" si="101"/>
        <v/>
      </c>
    </row>
    <row r="133" spans="1:64" x14ac:dyDescent="0.25">
      <c r="A133" s="22"/>
      <c r="B133" s="186" t="str">
        <f t="shared" si="132"/>
        <v>TCARLPG900</v>
      </c>
      <c r="C133" s="186"/>
      <c r="D133" s="187"/>
      <c r="E133" s="186"/>
      <c r="F133" s="170"/>
      <c r="G133" s="189"/>
      <c r="H133" s="170"/>
      <c r="I133" s="190">
        <f>AF$15</f>
        <v>2016</v>
      </c>
      <c r="J133" s="191"/>
      <c r="K133" s="191"/>
      <c r="L133" s="211" t="s">
        <v>1065</v>
      </c>
      <c r="M133" s="186" t="s">
        <v>748</v>
      </c>
      <c r="N133" s="687">
        <f t="shared" ref="N133:AB133" si="134">N$132*LOOKUP($AD$127,$AG$14:$AP$14,$AG15:$AP15)</f>
        <v>0</v>
      </c>
      <c r="O133" s="687">
        <f t="shared" si="134"/>
        <v>0</v>
      </c>
      <c r="P133" s="687">
        <f t="shared" si="134"/>
        <v>0</v>
      </c>
      <c r="Q133" s="687">
        <f t="shared" si="134"/>
        <v>0</v>
      </c>
      <c r="R133" s="687">
        <f t="shared" si="134"/>
        <v>0</v>
      </c>
      <c r="S133" s="687">
        <f t="shared" si="134"/>
        <v>0</v>
      </c>
      <c r="T133" s="687">
        <f t="shared" si="134"/>
        <v>0</v>
      </c>
      <c r="U133" s="687">
        <f t="shared" si="134"/>
        <v>0</v>
      </c>
      <c r="V133" s="687">
        <f t="shared" si="134"/>
        <v>0</v>
      </c>
      <c r="W133" s="687">
        <f t="shared" si="134"/>
        <v>0</v>
      </c>
      <c r="X133" s="687">
        <f t="shared" si="134"/>
        <v>0</v>
      </c>
      <c r="Y133" s="687">
        <f t="shared" si="134"/>
        <v>0</v>
      </c>
      <c r="Z133" s="687">
        <f t="shared" si="134"/>
        <v>0</v>
      </c>
      <c r="AA133" s="687">
        <f t="shared" si="134"/>
        <v>0</v>
      </c>
      <c r="AB133" s="687">
        <f t="shared" si="134"/>
        <v>0</v>
      </c>
      <c r="AE133" s="569">
        <f>SUM(AF133:AT133)</f>
        <v>0</v>
      </c>
      <c r="AF133" s="568">
        <f t="shared" ref="AF133:AT133" si="135">N130*N131*N132/1000</f>
        <v>0</v>
      </c>
      <c r="AG133" s="568">
        <f t="shared" si="135"/>
        <v>0</v>
      </c>
      <c r="AH133" s="568">
        <f t="shared" si="135"/>
        <v>0</v>
      </c>
      <c r="AI133" s="568">
        <f t="shared" si="135"/>
        <v>0</v>
      </c>
      <c r="AJ133" s="568">
        <f t="shared" si="135"/>
        <v>0</v>
      </c>
      <c r="AK133" s="568">
        <f t="shared" si="135"/>
        <v>0</v>
      </c>
      <c r="AL133" s="568">
        <f t="shared" si="135"/>
        <v>0</v>
      </c>
      <c r="AM133" s="568">
        <f t="shared" si="135"/>
        <v>0</v>
      </c>
      <c r="AN133" s="568">
        <f t="shared" si="135"/>
        <v>0</v>
      </c>
      <c r="AO133" s="568">
        <f t="shared" si="135"/>
        <v>0</v>
      </c>
      <c r="AP133" s="568">
        <f t="shared" si="135"/>
        <v>0</v>
      </c>
      <c r="AQ133" s="568">
        <f t="shared" si="135"/>
        <v>0</v>
      </c>
      <c r="AR133" s="568">
        <f t="shared" si="135"/>
        <v>0</v>
      </c>
      <c r="AS133" s="568">
        <f t="shared" si="135"/>
        <v>0</v>
      </c>
      <c r="AT133" s="568">
        <f t="shared" si="135"/>
        <v>0</v>
      </c>
      <c r="AV133" s="700" t="str">
        <f t="shared" si="101"/>
        <v/>
      </c>
    </row>
    <row r="134" spans="1:64" x14ac:dyDescent="0.25">
      <c r="A134" s="22"/>
      <c r="B134" s="186" t="str">
        <f t="shared" si="132"/>
        <v>TCARLPG900</v>
      </c>
      <c r="C134" s="186"/>
      <c r="D134" s="187"/>
      <c r="E134" s="186"/>
      <c r="F134" s="170"/>
      <c r="G134" s="189"/>
      <c r="H134" s="170"/>
      <c r="I134" s="190">
        <f>AF$16</f>
        <v>2020</v>
      </c>
      <c r="J134" s="191"/>
      <c r="K134" s="191"/>
      <c r="L134" s="211" t="s">
        <v>1065</v>
      </c>
      <c r="M134" s="186" t="s">
        <v>748</v>
      </c>
      <c r="N134" s="687">
        <f t="shared" ref="N134:AB134" si="136">N$132*LOOKUP($AD$127,$AG$14:$AP$14,$AG16:$AP16)</f>
        <v>0</v>
      </c>
      <c r="O134" s="687">
        <f t="shared" si="136"/>
        <v>0</v>
      </c>
      <c r="P134" s="687">
        <f t="shared" si="136"/>
        <v>0</v>
      </c>
      <c r="Q134" s="687">
        <f t="shared" si="136"/>
        <v>0</v>
      </c>
      <c r="R134" s="687">
        <f t="shared" si="136"/>
        <v>0</v>
      </c>
      <c r="S134" s="687">
        <f t="shared" si="136"/>
        <v>0</v>
      </c>
      <c r="T134" s="687">
        <f t="shared" si="136"/>
        <v>0</v>
      </c>
      <c r="U134" s="687">
        <f t="shared" si="136"/>
        <v>0</v>
      </c>
      <c r="V134" s="687">
        <f t="shared" si="136"/>
        <v>0</v>
      </c>
      <c r="W134" s="687">
        <f t="shared" si="136"/>
        <v>0</v>
      </c>
      <c r="X134" s="687">
        <f t="shared" si="136"/>
        <v>0</v>
      </c>
      <c r="Y134" s="687">
        <f t="shared" si="136"/>
        <v>0</v>
      </c>
      <c r="Z134" s="687">
        <f t="shared" si="136"/>
        <v>0</v>
      </c>
      <c r="AA134" s="687">
        <f t="shared" si="136"/>
        <v>0</v>
      </c>
      <c r="AB134" s="687">
        <f t="shared" si="136"/>
        <v>0</v>
      </c>
      <c r="AV134" s="700" t="str">
        <f t="shared" si="101"/>
        <v/>
      </c>
    </row>
    <row r="135" spans="1:64" x14ac:dyDescent="0.25">
      <c r="A135" s="22"/>
      <c r="B135" s="186" t="str">
        <f t="shared" si="132"/>
        <v>TCARLPG900</v>
      </c>
      <c r="C135" s="186"/>
      <c r="D135" s="187"/>
      <c r="E135" s="186"/>
      <c r="F135" s="170"/>
      <c r="G135" s="189"/>
      <c r="H135" s="170"/>
      <c r="I135" s="190">
        <v>2025</v>
      </c>
      <c r="J135" s="191"/>
      <c r="K135" s="191"/>
      <c r="L135" s="211" t="s">
        <v>1065</v>
      </c>
      <c r="M135" s="186" t="s">
        <v>748</v>
      </c>
      <c r="N135" s="687">
        <f t="shared" ref="N135:AB135" si="137">N$132*LOOKUP($AD$127,$AG$14:$AP$14,$AG17:$AP17)</f>
        <v>0</v>
      </c>
      <c r="O135" s="687">
        <f t="shared" si="137"/>
        <v>0</v>
      </c>
      <c r="P135" s="687">
        <f t="shared" si="137"/>
        <v>0</v>
      </c>
      <c r="Q135" s="687">
        <f t="shared" si="137"/>
        <v>0</v>
      </c>
      <c r="R135" s="687">
        <f t="shared" si="137"/>
        <v>0</v>
      </c>
      <c r="S135" s="687">
        <f t="shared" si="137"/>
        <v>0</v>
      </c>
      <c r="T135" s="687">
        <f t="shared" si="137"/>
        <v>0</v>
      </c>
      <c r="U135" s="687">
        <f t="shared" si="137"/>
        <v>0</v>
      </c>
      <c r="V135" s="687">
        <f t="shared" si="137"/>
        <v>0</v>
      </c>
      <c r="W135" s="687">
        <f t="shared" si="137"/>
        <v>0</v>
      </c>
      <c r="X135" s="687">
        <f t="shared" si="137"/>
        <v>0</v>
      </c>
      <c r="Y135" s="687">
        <f t="shared" si="137"/>
        <v>0</v>
      </c>
      <c r="Z135" s="687">
        <f t="shared" si="137"/>
        <v>0</v>
      </c>
      <c r="AA135" s="687">
        <f t="shared" si="137"/>
        <v>0</v>
      </c>
      <c r="AB135" s="687">
        <f t="shared" si="137"/>
        <v>0</v>
      </c>
      <c r="AV135" s="700" t="str">
        <f t="shared" si="101"/>
        <v/>
      </c>
    </row>
    <row r="136" spans="1:64" x14ac:dyDescent="0.25">
      <c r="A136" s="22"/>
      <c r="B136" s="186" t="str">
        <f t="shared" si="132"/>
        <v>TCARLPG900</v>
      </c>
      <c r="C136" s="186"/>
      <c r="D136" s="187"/>
      <c r="E136" s="186"/>
      <c r="F136" s="170"/>
      <c r="G136" s="189"/>
      <c r="H136" s="170"/>
      <c r="I136" s="190">
        <f>AF$18</f>
        <v>2030</v>
      </c>
      <c r="J136" s="191"/>
      <c r="K136" s="191"/>
      <c r="L136" s="211" t="s">
        <v>1065</v>
      </c>
      <c r="M136" s="186" t="s">
        <v>748</v>
      </c>
      <c r="N136" s="687">
        <f t="shared" ref="N136:AB136" si="138">N$132*LOOKUP($AD$127,$AG$14:$AP$14,$AG18:$AP18)</f>
        <v>0</v>
      </c>
      <c r="O136" s="687">
        <f t="shared" si="138"/>
        <v>0</v>
      </c>
      <c r="P136" s="687">
        <f t="shared" si="138"/>
        <v>0</v>
      </c>
      <c r="Q136" s="687">
        <f t="shared" si="138"/>
        <v>0</v>
      </c>
      <c r="R136" s="687">
        <f t="shared" si="138"/>
        <v>0</v>
      </c>
      <c r="S136" s="687">
        <f t="shared" si="138"/>
        <v>0</v>
      </c>
      <c r="T136" s="687">
        <f t="shared" si="138"/>
        <v>0</v>
      </c>
      <c r="U136" s="687">
        <f t="shared" si="138"/>
        <v>0</v>
      </c>
      <c r="V136" s="687">
        <f t="shared" si="138"/>
        <v>0</v>
      </c>
      <c r="W136" s="687">
        <f t="shared" si="138"/>
        <v>0</v>
      </c>
      <c r="X136" s="687">
        <f t="shared" si="138"/>
        <v>0</v>
      </c>
      <c r="Y136" s="687">
        <f t="shared" si="138"/>
        <v>0</v>
      </c>
      <c r="Z136" s="687">
        <f t="shared" si="138"/>
        <v>0</v>
      </c>
      <c r="AA136" s="687">
        <f t="shared" si="138"/>
        <v>0</v>
      </c>
      <c r="AB136" s="687">
        <f t="shared" si="138"/>
        <v>0</v>
      </c>
      <c r="AV136" s="700" t="str">
        <f t="shared" si="101"/>
        <v/>
      </c>
    </row>
    <row r="137" spans="1:64" x14ac:dyDescent="0.25">
      <c r="A137" s="22"/>
      <c r="B137" s="186" t="str">
        <f t="shared" si="132"/>
        <v>TCARLPG900</v>
      </c>
      <c r="C137" s="186"/>
      <c r="D137" s="187"/>
      <c r="E137" s="186"/>
      <c r="F137" s="170"/>
      <c r="G137" s="189"/>
      <c r="H137" s="170"/>
      <c r="I137" s="190">
        <f>AF$19</f>
        <v>2040</v>
      </c>
      <c r="J137" s="191"/>
      <c r="K137" s="191"/>
      <c r="L137" s="211" t="s">
        <v>1065</v>
      </c>
      <c r="M137" s="186" t="s">
        <v>748</v>
      </c>
      <c r="N137" s="687">
        <f t="shared" ref="N137:AB137" si="139">N$132*LOOKUP($AD$127,$AG$14:$AP$14,$AG19:$AP19)</f>
        <v>0</v>
      </c>
      <c r="O137" s="687">
        <f t="shared" si="139"/>
        <v>0</v>
      </c>
      <c r="P137" s="687">
        <f t="shared" si="139"/>
        <v>0</v>
      </c>
      <c r="Q137" s="687">
        <f t="shared" si="139"/>
        <v>0</v>
      </c>
      <c r="R137" s="687">
        <f t="shared" si="139"/>
        <v>0</v>
      </c>
      <c r="S137" s="687">
        <f t="shared" si="139"/>
        <v>0</v>
      </c>
      <c r="T137" s="687">
        <f t="shared" si="139"/>
        <v>0</v>
      </c>
      <c r="U137" s="687">
        <f t="shared" si="139"/>
        <v>0</v>
      </c>
      <c r="V137" s="687">
        <f t="shared" si="139"/>
        <v>0</v>
      </c>
      <c r="W137" s="687">
        <f t="shared" si="139"/>
        <v>0</v>
      </c>
      <c r="X137" s="687">
        <f t="shared" si="139"/>
        <v>0</v>
      </c>
      <c r="Y137" s="687">
        <f t="shared" si="139"/>
        <v>0</v>
      </c>
      <c r="Z137" s="687">
        <f t="shared" si="139"/>
        <v>0</v>
      </c>
      <c r="AA137" s="687">
        <f t="shared" si="139"/>
        <v>0</v>
      </c>
      <c r="AB137" s="687">
        <f t="shared" si="139"/>
        <v>0</v>
      </c>
      <c r="AV137" s="700" t="str">
        <f t="shared" si="101"/>
        <v/>
      </c>
    </row>
    <row r="138" spans="1:64" x14ac:dyDescent="0.25">
      <c r="A138" s="22"/>
      <c r="B138" s="193" t="str">
        <f t="shared" si="132"/>
        <v>TCARLPG900</v>
      </c>
      <c r="C138" s="193"/>
      <c r="D138" s="194"/>
      <c r="E138" s="193"/>
      <c r="F138" s="196"/>
      <c r="G138" s="195"/>
      <c r="H138" s="196"/>
      <c r="I138" s="197">
        <f>AF$20</f>
        <v>2050</v>
      </c>
      <c r="J138" s="198"/>
      <c r="K138" s="198"/>
      <c r="L138" s="212" t="s">
        <v>1065</v>
      </c>
      <c r="M138" s="193" t="s">
        <v>748</v>
      </c>
      <c r="N138" s="688">
        <f t="shared" ref="N138:AB138" si="140">N$132*LOOKUP($AD$127,$AG$14:$AP$14,$AG20:$AP20)</f>
        <v>0</v>
      </c>
      <c r="O138" s="688">
        <f t="shared" si="140"/>
        <v>0</v>
      </c>
      <c r="P138" s="688">
        <f t="shared" si="140"/>
        <v>0</v>
      </c>
      <c r="Q138" s="688">
        <f t="shared" si="140"/>
        <v>0</v>
      </c>
      <c r="R138" s="688">
        <f t="shared" si="140"/>
        <v>0</v>
      </c>
      <c r="S138" s="688">
        <f t="shared" si="140"/>
        <v>0</v>
      </c>
      <c r="T138" s="688">
        <f t="shared" si="140"/>
        <v>0</v>
      </c>
      <c r="U138" s="688">
        <f t="shared" si="140"/>
        <v>0</v>
      </c>
      <c r="V138" s="688">
        <f t="shared" si="140"/>
        <v>0</v>
      </c>
      <c r="W138" s="688">
        <f t="shared" si="140"/>
        <v>0</v>
      </c>
      <c r="X138" s="688">
        <f t="shared" si="140"/>
        <v>0</v>
      </c>
      <c r="Y138" s="688">
        <f t="shared" si="140"/>
        <v>0</v>
      </c>
      <c r="Z138" s="688">
        <f t="shared" si="140"/>
        <v>0</v>
      </c>
      <c r="AA138" s="688">
        <f t="shared" si="140"/>
        <v>0</v>
      </c>
      <c r="AB138" s="688">
        <f t="shared" si="140"/>
        <v>0</v>
      </c>
      <c r="AD138" s="400"/>
      <c r="AV138" s="700" t="str">
        <f t="shared" si="101"/>
        <v/>
      </c>
    </row>
    <row r="139" spans="1:64" s="83" customFormat="1" x14ac:dyDescent="0.25">
      <c r="A139" s="82"/>
      <c r="B139" s="178" t="str">
        <f>C139</f>
        <v>TCARPYD900</v>
      </c>
      <c r="C139" s="178" t="s">
        <v>537</v>
      </c>
      <c r="D139" s="179" t="s">
        <v>800</v>
      </c>
      <c r="E139" s="407" t="s">
        <v>988</v>
      </c>
      <c r="F139" s="182"/>
      <c r="G139" s="326"/>
      <c r="H139" s="182"/>
      <c r="I139" s="183"/>
      <c r="J139" s="184"/>
      <c r="K139" s="184"/>
      <c r="L139" s="203" t="s">
        <v>1107</v>
      </c>
      <c r="M139" s="191" t="s">
        <v>1156</v>
      </c>
      <c r="N139" s="378">
        <f>N$32</f>
        <v>1E-3</v>
      </c>
      <c r="O139" s="378">
        <f t="shared" ref="O139:AB139" si="141">$N139</f>
        <v>1E-3</v>
      </c>
      <c r="P139" s="378">
        <f t="shared" si="141"/>
        <v>1E-3</v>
      </c>
      <c r="Q139" s="378">
        <f t="shared" si="141"/>
        <v>1E-3</v>
      </c>
      <c r="R139" s="378">
        <f t="shared" si="141"/>
        <v>1E-3</v>
      </c>
      <c r="S139" s="378">
        <f t="shared" si="141"/>
        <v>1E-3</v>
      </c>
      <c r="T139" s="378">
        <f t="shared" si="141"/>
        <v>1E-3</v>
      </c>
      <c r="U139" s="378">
        <f t="shared" si="141"/>
        <v>1E-3</v>
      </c>
      <c r="V139" s="378">
        <f t="shared" si="141"/>
        <v>1E-3</v>
      </c>
      <c r="W139" s="378">
        <f t="shared" si="141"/>
        <v>1E-3</v>
      </c>
      <c r="X139" s="378">
        <f t="shared" si="141"/>
        <v>1E-3</v>
      </c>
      <c r="Y139" s="378">
        <f t="shared" si="141"/>
        <v>1E-3</v>
      </c>
      <c r="Z139" s="378">
        <f t="shared" si="141"/>
        <v>1E-3</v>
      </c>
      <c r="AA139" s="378">
        <f t="shared" si="141"/>
        <v>1E-3</v>
      </c>
      <c r="AB139" s="378">
        <f t="shared" si="141"/>
        <v>1E-3</v>
      </c>
      <c r="AD139" s="86" t="s">
        <v>1183</v>
      </c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V139" s="714" t="str">
        <f t="shared" si="101"/>
        <v>TRABDL</v>
      </c>
      <c r="AW139" s="570">
        <f t="shared" ref="AW139:AW141" si="142">SUM(AX139:BL139)</f>
        <v>0</v>
      </c>
      <c r="AX139" s="570">
        <f>N$145*N$146*(1-N140)/N$142/1000</f>
        <v>0</v>
      </c>
      <c r="AY139" s="570">
        <f t="shared" ref="AY139:BL139" si="143">O$145*O$146*(1-O140)/O$142/1000</f>
        <v>0</v>
      </c>
      <c r="AZ139" s="570">
        <f t="shared" si="143"/>
        <v>0</v>
      </c>
      <c r="BA139" s="570">
        <f t="shared" si="143"/>
        <v>0</v>
      </c>
      <c r="BB139" s="570">
        <f t="shared" si="143"/>
        <v>0</v>
      </c>
      <c r="BC139" s="570">
        <f t="shared" si="143"/>
        <v>0</v>
      </c>
      <c r="BD139" s="570">
        <f t="shared" si="143"/>
        <v>0</v>
      </c>
      <c r="BE139" s="570">
        <f t="shared" si="143"/>
        <v>0</v>
      </c>
      <c r="BF139" s="570">
        <f t="shared" si="143"/>
        <v>0</v>
      </c>
      <c r="BG139" s="570">
        <f t="shared" si="143"/>
        <v>0</v>
      </c>
      <c r="BH139" s="570">
        <f t="shared" si="143"/>
        <v>0</v>
      </c>
      <c r="BI139" s="570">
        <f t="shared" si="143"/>
        <v>0</v>
      </c>
      <c r="BJ139" s="570">
        <f t="shared" si="143"/>
        <v>0</v>
      </c>
      <c r="BK139" s="570">
        <f t="shared" si="143"/>
        <v>0</v>
      </c>
      <c r="BL139" s="570">
        <f t="shared" si="143"/>
        <v>0</v>
      </c>
    </row>
    <row r="140" spans="1:64" x14ac:dyDescent="0.25">
      <c r="A140" s="22"/>
      <c r="B140" s="186" t="str">
        <f>B139</f>
        <v>TCARPYD900</v>
      </c>
      <c r="C140" s="186"/>
      <c r="D140" s="187"/>
      <c r="E140" s="258" t="s">
        <v>185</v>
      </c>
      <c r="F140" s="170"/>
      <c r="G140" s="213"/>
      <c r="H140" s="170"/>
      <c r="I140" s="190"/>
      <c r="J140" s="191" t="s">
        <v>1157</v>
      </c>
      <c r="K140" s="191"/>
      <c r="L140" s="211" t="s">
        <v>101</v>
      </c>
      <c r="M140" s="186"/>
      <c r="N140" s="377">
        <f>1-N$17-N$18</f>
        <v>0.77999999999999992</v>
      </c>
      <c r="O140" s="377">
        <f t="shared" ref="O140:AB140" si="144">1-O$17-O$18</f>
        <v>0.77999999999999992</v>
      </c>
      <c r="P140" s="377">
        <f t="shared" si="144"/>
        <v>0.77999999999999992</v>
      </c>
      <c r="Q140" s="377">
        <f t="shared" si="144"/>
        <v>0.77999999999999992</v>
      </c>
      <c r="R140" s="377">
        <f t="shared" si="144"/>
        <v>0.77999999999999992</v>
      </c>
      <c r="S140" s="377">
        <f t="shared" si="144"/>
        <v>0.77999999999999992</v>
      </c>
      <c r="T140" s="377">
        <f t="shared" si="144"/>
        <v>0.77999999999999992</v>
      </c>
      <c r="U140" s="377">
        <f t="shared" si="144"/>
        <v>0.77999999999999992</v>
      </c>
      <c r="V140" s="377">
        <f t="shared" si="144"/>
        <v>0.77999999999999992</v>
      </c>
      <c r="W140" s="377">
        <f t="shared" si="144"/>
        <v>0.77999999999999992</v>
      </c>
      <c r="X140" s="377">
        <f t="shared" si="144"/>
        <v>0.77999999999999992</v>
      </c>
      <c r="Y140" s="377">
        <f t="shared" si="144"/>
        <v>0.77999999999999992</v>
      </c>
      <c r="Z140" s="377">
        <f t="shared" si="144"/>
        <v>0.77999999999999992</v>
      </c>
      <c r="AA140" s="377">
        <f t="shared" si="144"/>
        <v>0.77999999999999992</v>
      </c>
      <c r="AB140" s="377">
        <f t="shared" si="144"/>
        <v>0.77999999999999992</v>
      </c>
      <c r="AD140" s="399" t="str">
        <f>IF(COUNTIF($AG$14:$AP$14,AD139)=1,"ok","MISSING")</f>
        <v>ok</v>
      </c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V140" s="700" t="str">
        <f t="shared" si="101"/>
        <v>TRADST</v>
      </c>
      <c r="AW140" s="568">
        <f t="shared" si="142"/>
        <v>0</v>
      </c>
      <c r="AX140" s="570">
        <f>N$145*N$146*N140/N$142/1000</f>
        <v>0</v>
      </c>
      <c r="AY140" s="570">
        <f t="shared" ref="AY140:BL141" si="145">O$145*O$146*O140/O$142/1000</f>
        <v>0</v>
      </c>
      <c r="AZ140" s="570">
        <f t="shared" si="145"/>
        <v>0</v>
      </c>
      <c r="BA140" s="570">
        <f t="shared" si="145"/>
        <v>0</v>
      </c>
      <c r="BB140" s="570">
        <f t="shared" si="145"/>
        <v>0</v>
      </c>
      <c r="BC140" s="570">
        <f t="shared" si="145"/>
        <v>0</v>
      </c>
      <c r="BD140" s="570">
        <f t="shared" si="145"/>
        <v>0</v>
      </c>
      <c r="BE140" s="570">
        <f t="shared" si="145"/>
        <v>0</v>
      </c>
      <c r="BF140" s="570">
        <f t="shared" si="145"/>
        <v>0</v>
      </c>
      <c r="BG140" s="570">
        <f t="shared" si="145"/>
        <v>0</v>
      </c>
      <c r="BH140" s="570">
        <f t="shared" si="145"/>
        <v>0</v>
      </c>
      <c r="BI140" s="570">
        <f t="shared" si="145"/>
        <v>0</v>
      </c>
      <c r="BJ140" s="570">
        <f t="shared" si="145"/>
        <v>0</v>
      </c>
      <c r="BK140" s="570">
        <f t="shared" si="145"/>
        <v>0</v>
      </c>
      <c r="BL140" s="570">
        <f t="shared" si="145"/>
        <v>0</v>
      </c>
    </row>
    <row r="141" spans="1:64" x14ac:dyDescent="0.25">
      <c r="A141" s="22"/>
      <c r="B141" s="186" t="str">
        <f t="shared" ref="B141" si="146">B140</f>
        <v>TCARPYD900</v>
      </c>
      <c r="C141" s="186"/>
      <c r="D141" s="187"/>
      <c r="E141" s="258" t="s">
        <v>990</v>
      </c>
      <c r="F141" s="170"/>
      <c r="G141" s="189"/>
      <c r="H141" s="170"/>
      <c r="I141" s="190"/>
      <c r="J141" s="191" t="s">
        <v>1157</v>
      </c>
      <c r="K141" s="191"/>
      <c r="L141" s="211" t="s">
        <v>101</v>
      </c>
      <c r="M141" s="191"/>
      <c r="N141" s="377">
        <f>N$17</f>
        <v>7.0000000000000007E-2</v>
      </c>
      <c r="O141" s="377">
        <f t="shared" ref="O141:AB141" si="147">O$17</f>
        <v>7.0000000000000007E-2</v>
      </c>
      <c r="P141" s="377">
        <f t="shared" si="147"/>
        <v>7.0000000000000007E-2</v>
      </c>
      <c r="Q141" s="377">
        <f t="shared" si="147"/>
        <v>7.0000000000000007E-2</v>
      </c>
      <c r="R141" s="377">
        <f t="shared" si="147"/>
        <v>7.0000000000000007E-2</v>
      </c>
      <c r="S141" s="377">
        <f t="shared" si="147"/>
        <v>7.0000000000000007E-2</v>
      </c>
      <c r="T141" s="377">
        <f t="shared" si="147"/>
        <v>7.0000000000000007E-2</v>
      </c>
      <c r="U141" s="377">
        <f t="shared" si="147"/>
        <v>7.0000000000000007E-2</v>
      </c>
      <c r="V141" s="377">
        <f t="shared" si="147"/>
        <v>7.0000000000000007E-2</v>
      </c>
      <c r="W141" s="377">
        <f t="shared" si="147"/>
        <v>7.0000000000000007E-2</v>
      </c>
      <c r="X141" s="377">
        <f t="shared" si="147"/>
        <v>7.0000000000000007E-2</v>
      </c>
      <c r="Y141" s="377">
        <f t="shared" si="147"/>
        <v>7.0000000000000007E-2</v>
      </c>
      <c r="Z141" s="377">
        <f t="shared" si="147"/>
        <v>7.0000000000000007E-2</v>
      </c>
      <c r="AA141" s="377">
        <f t="shared" si="147"/>
        <v>7.0000000000000007E-2</v>
      </c>
      <c r="AB141" s="377">
        <f t="shared" si="147"/>
        <v>7.0000000000000007E-2</v>
      </c>
      <c r="AD141" s="399"/>
      <c r="AE141" s="405"/>
      <c r="AV141" s="700" t="str">
        <f t="shared" si="101"/>
        <v>TRABDLM</v>
      </c>
      <c r="AW141" s="568">
        <f t="shared" si="142"/>
        <v>0</v>
      </c>
      <c r="AX141" s="570">
        <f>N$145*N$146*N141/N$142/1000</f>
        <v>0</v>
      </c>
      <c r="AY141" s="570">
        <f t="shared" si="145"/>
        <v>0</v>
      </c>
      <c r="AZ141" s="570">
        <f t="shared" si="145"/>
        <v>0</v>
      </c>
      <c r="BA141" s="570">
        <f t="shared" si="145"/>
        <v>0</v>
      </c>
      <c r="BB141" s="570">
        <f t="shared" si="145"/>
        <v>0</v>
      </c>
      <c r="BC141" s="570">
        <f t="shared" si="145"/>
        <v>0</v>
      </c>
      <c r="BD141" s="570">
        <f t="shared" si="145"/>
        <v>0</v>
      </c>
      <c r="BE141" s="570">
        <f t="shared" si="145"/>
        <v>0</v>
      </c>
      <c r="BF141" s="570">
        <f t="shared" si="145"/>
        <v>0</v>
      </c>
      <c r="BG141" s="570">
        <f t="shared" si="145"/>
        <v>0</v>
      </c>
      <c r="BH141" s="570">
        <f t="shared" si="145"/>
        <v>0</v>
      </c>
      <c r="BI141" s="570">
        <f t="shared" si="145"/>
        <v>0</v>
      </c>
      <c r="BJ141" s="570">
        <f t="shared" si="145"/>
        <v>0</v>
      </c>
      <c r="BK141" s="570">
        <f t="shared" si="145"/>
        <v>0</v>
      </c>
      <c r="BL141" s="570">
        <f t="shared" si="145"/>
        <v>0</v>
      </c>
    </row>
    <row r="142" spans="1:64" x14ac:dyDescent="0.25">
      <c r="A142" s="22"/>
      <c r="B142" s="186" t="str">
        <f>B140</f>
        <v>TCARPYD900</v>
      </c>
      <c r="C142" s="186"/>
      <c r="D142" s="187"/>
      <c r="E142" s="186"/>
      <c r="F142" s="170"/>
      <c r="G142" s="188" t="s">
        <v>406</v>
      </c>
      <c r="H142" s="170"/>
      <c r="I142" s="190"/>
      <c r="J142" s="191"/>
      <c r="K142" s="191"/>
      <c r="L142" s="191" t="s">
        <v>1126</v>
      </c>
      <c r="M142" s="186" t="s">
        <v>678</v>
      </c>
      <c r="N142" s="377">
        <f>T_CEFF!H70</f>
        <v>0.68376000000000003</v>
      </c>
      <c r="O142" s="377">
        <f>T_CEFF!I70</f>
        <v>0.68376000000000003</v>
      </c>
      <c r="P142" s="377">
        <f>T_CEFF!J70</f>
        <v>0.68376000000000003</v>
      </c>
      <c r="Q142" s="377">
        <f>T_CEFF!K70</f>
        <v>0.68376000000000003</v>
      </c>
      <c r="R142" s="377">
        <f>T_CEFF!L70</f>
        <v>0.68376000000000003</v>
      </c>
      <c r="S142" s="377">
        <f>T_CEFF!M70</f>
        <v>0.68376000000000003</v>
      </c>
      <c r="T142" s="377">
        <f>T_CEFF!N70</f>
        <v>0.68376000000000003</v>
      </c>
      <c r="U142" s="377">
        <f>T_CEFF!O70</f>
        <v>0.68376000000000003</v>
      </c>
      <c r="V142" s="377">
        <f>T_CEFF!P70</f>
        <v>0.68376000000000003</v>
      </c>
      <c r="W142" s="377">
        <f>T_CEFF!Q70</f>
        <v>0.68376000000000003</v>
      </c>
      <c r="X142" s="377">
        <f>T_CEFF!R70</f>
        <v>0.68376000000000003</v>
      </c>
      <c r="Y142" s="377">
        <f>T_CEFF!S70</f>
        <v>0.68376000000000003</v>
      </c>
      <c r="Z142" s="377">
        <f>T_CEFF!T70</f>
        <v>0.68376000000000003</v>
      </c>
      <c r="AA142" s="377">
        <f>T_CEFF!U70</f>
        <v>0.68376000000000003</v>
      </c>
      <c r="AB142" s="377">
        <f>T_CEFF!V70</f>
        <v>0.68376000000000003</v>
      </c>
      <c r="AV142" s="700" t="str">
        <f t="shared" si="101"/>
        <v/>
      </c>
    </row>
    <row r="143" spans="1:64" x14ac:dyDescent="0.25">
      <c r="A143" s="22"/>
      <c r="B143" s="186" t="str">
        <f>B142</f>
        <v>TCARPYD900</v>
      </c>
      <c r="C143" s="186"/>
      <c r="D143" s="187"/>
      <c r="E143" s="186"/>
      <c r="F143" s="170"/>
      <c r="G143" s="188" t="s">
        <v>408</v>
      </c>
      <c r="H143" s="170"/>
      <c r="I143" s="190"/>
      <c r="J143" s="191"/>
      <c r="K143" s="191"/>
      <c r="L143" s="191" t="s">
        <v>1126</v>
      </c>
      <c r="M143" s="186" t="s">
        <v>678</v>
      </c>
      <c r="N143" s="377">
        <f>T_CEFF!H71</f>
        <v>0.87912000000000001</v>
      </c>
      <c r="O143" s="377">
        <f>T_CEFF!I71</f>
        <v>0.87912000000000001</v>
      </c>
      <c r="P143" s="377">
        <f>T_CEFF!J71</f>
        <v>0.87912000000000001</v>
      </c>
      <c r="Q143" s="377">
        <f>T_CEFF!K71</f>
        <v>0.87912000000000001</v>
      </c>
      <c r="R143" s="377">
        <f>T_CEFF!L71</f>
        <v>0.87912000000000001</v>
      </c>
      <c r="S143" s="377">
        <f>T_CEFF!M71</f>
        <v>0.87912000000000001</v>
      </c>
      <c r="T143" s="377">
        <f>T_CEFF!N71</f>
        <v>0.87912000000000001</v>
      </c>
      <c r="U143" s="377">
        <f>T_CEFF!O71</f>
        <v>0.87912000000000001</v>
      </c>
      <c r="V143" s="377">
        <f>T_CEFF!P71</f>
        <v>0.87912000000000001</v>
      </c>
      <c r="W143" s="377">
        <f>T_CEFF!Q71</f>
        <v>0.87912000000000001</v>
      </c>
      <c r="X143" s="377">
        <f>T_CEFF!R71</f>
        <v>0.87912000000000001</v>
      </c>
      <c r="Y143" s="377">
        <f>T_CEFF!S71</f>
        <v>0.87912000000000001</v>
      </c>
      <c r="Z143" s="377">
        <f>T_CEFF!T71</f>
        <v>0.87912000000000001</v>
      </c>
      <c r="AA143" s="377">
        <f>T_CEFF!U71</f>
        <v>0.87912000000000001</v>
      </c>
      <c r="AB143" s="377">
        <f>T_CEFF!V71</f>
        <v>0.87912000000000001</v>
      </c>
      <c r="AV143" s="700" t="str">
        <f t="shared" si="101"/>
        <v/>
      </c>
    </row>
    <row r="144" spans="1:64" x14ac:dyDescent="0.25">
      <c r="A144" s="22"/>
      <c r="B144" s="186" t="str">
        <f t="shared" ref="B144:B152" si="148">B143</f>
        <v>TCARPYD900</v>
      </c>
      <c r="C144" s="186"/>
      <c r="D144" s="187"/>
      <c r="E144" s="186"/>
      <c r="F144" s="170"/>
      <c r="G144" s="213"/>
      <c r="H144" s="170"/>
      <c r="I144" s="190"/>
      <c r="J144" s="191"/>
      <c r="K144" s="191" t="s">
        <v>749</v>
      </c>
      <c r="L144" s="191" t="s">
        <v>1128</v>
      </c>
      <c r="M144" s="186" t="s">
        <v>1119</v>
      </c>
      <c r="N144" s="368">
        <f>N$14</f>
        <v>1.2</v>
      </c>
      <c r="O144" s="368">
        <f t="shared" ref="O144:AB144" si="149">O$14</f>
        <v>0</v>
      </c>
      <c r="P144" s="368">
        <f t="shared" si="149"/>
        <v>0</v>
      </c>
      <c r="Q144" s="368">
        <f t="shared" si="149"/>
        <v>0</v>
      </c>
      <c r="R144" s="368">
        <f t="shared" si="149"/>
        <v>0</v>
      </c>
      <c r="S144" s="368">
        <f t="shared" si="149"/>
        <v>0</v>
      </c>
      <c r="T144" s="368">
        <f t="shared" si="149"/>
        <v>0</v>
      </c>
      <c r="U144" s="368">
        <f t="shared" si="149"/>
        <v>0</v>
      </c>
      <c r="V144" s="368">
        <f t="shared" si="149"/>
        <v>0</v>
      </c>
      <c r="W144" s="368">
        <f t="shared" si="149"/>
        <v>0</v>
      </c>
      <c r="X144" s="368">
        <f t="shared" si="149"/>
        <v>0</v>
      </c>
      <c r="Y144" s="368">
        <f t="shared" si="149"/>
        <v>0</v>
      </c>
      <c r="Z144" s="368">
        <f t="shared" si="149"/>
        <v>0</v>
      </c>
      <c r="AA144" s="368">
        <f t="shared" si="149"/>
        <v>0</v>
      </c>
      <c r="AB144" s="368">
        <f t="shared" si="149"/>
        <v>0</v>
      </c>
      <c r="AV144" s="700" t="str">
        <f t="shared" si="101"/>
        <v/>
      </c>
    </row>
    <row r="145" spans="1:64" x14ac:dyDescent="0.25">
      <c r="A145" s="22"/>
      <c r="B145" s="186" t="str">
        <f t="shared" si="148"/>
        <v>TCARPYD900</v>
      </c>
      <c r="C145" s="186"/>
      <c r="D145" s="187"/>
      <c r="E145" s="186"/>
      <c r="F145" s="170"/>
      <c r="G145" s="213"/>
      <c r="H145" s="170"/>
      <c r="I145" s="190"/>
      <c r="J145" s="191"/>
      <c r="K145" s="191"/>
      <c r="L145" s="211" t="s">
        <v>1130</v>
      </c>
      <c r="M145" s="186" t="s">
        <v>1131</v>
      </c>
      <c r="N145" s="376">
        <f>LOOKUP($C$139, T_NCAP_AF!$C$20:$C$30, T_NCAP_AF!D$20:D$30)*(1+N26)</f>
        <v>0</v>
      </c>
      <c r="O145" s="376">
        <f>LOOKUP($C$139, T_NCAP_AF!$C$20:$C$30, T_NCAP_AF!E$20:E$30)*(1+O26)</f>
        <v>0</v>
      </c>
      <c r="P145" s="376">
        <f>LOOKUP($C$139, T_NCAP_AF!$C$20:$C$30, T_NCAP_AF!F$20:F$30)*(1+P26)</f>
        <v>0</v>
      </c>
      <c r="Q145" s="376">
        <f>LOOKUP($C$139, T_NCAP_AF!$C$20:$C$30, T_NCAP_AF!G$20:G$30)*(1+Q26)</f>
        <v>0</v>
      </c>
      <c r="R145" s="376">
        <f>LOOKUP($C$139, T_NCAP_AF!$C$20:$C$30, T_NCAP_AF!H$20:H$30)*(1+R26)</f>
        <v>0</v>
      </c>
      <c r="S145" s="376">
        <f>LOOKUP($C$139, T_NCAP_AF!$C$20:$C$30, T_NCAP_AF!I$20:I$30)*(1+S26)</f>
        <v>0</v>
      </c>
      <c r="T145" s="376">
        <f>LOOKUP($C$139, T_NCAP_AF!$C$20:$C$30, T_NCAP_AF!J$20:J$30)*(1+T26)</f>
        <v>0</v>
      </c>
      <c r="U145" s="376">
        <f>LOOKUP($C$139, T_NCAP_AF!$C$20:$C$30, T_NCAP_AF!K$20:K$30)*(1+U26)</f>
        <v>0</v>
      </c>
      <c r="V145" s="376">
        <f>LOOKUP($C$139, T_NCAP_AF!$C$20:$C$30, T_NCAP_AF!L$20:L$30)*(1+V26)</f>
        <v>0</v>
      </c>
      <c r="W145" s="376">
        <f>LOOKUP($C$139, T_NCAP_AF!$C$20:$C$30, T_NCAP_AF!M$20:M$30)*(1+W26)</f>
        <v>0</v>
      </c>
      <c r="X145" s="376">
        <f>LOOKUP($C$139, T_NCAP_AF!$C$20:$C$30, T_NCAP_AF!N$20:N$30)*(1+X26)</f>
        <v>0</v>
      </c>
      <c r="Y145" s="376">
        <f>LOOKUP($C$139, T_NCAP_AF!$C$20:$C$30, T_NCAP_AF!O$20:O$30)*(1+Y26)</f>
        <v>0</v>
      </c>
      <c r="Z145" s="376">
        <f>LOOKUP($C$139, T_NCAP_AF!$C$20:$C$30, T_NCAP_AF!P$20:P$30)*(1+Z26)</f>
        <v>0</v>
      </c>
      <c r="AA145" s="376">
        <f>LOOKUP($C$139, T_NCAP_AF!$C$20:$C$30, T_NCAP_AF!Q$20:Q$30)*(1+AA26)</f>
        <v>0</v>
      </c>
      <c r="AB145" s="376">
        <f>LOOKUP($C$139, T_NCAP_AF!$C$20:$C$30, T_NCAP_AF!R$20:R$30)*(1+AB26)</f>
        <v>0</v>
      </c>
      <c r="AV145" s="700" t="str">
        <f t="shared" si="101"/>
        <v/>
      </c>
    </row>
    <row r="146" spans="1:64" x14ac:dyDescent="0.25">
      <c r="A146" s="22"/>
      <c r="B146" s="186" t="str">
        <f t="shared" si="148"/>
        <v>TCARPYD900</v>
      </c>
      <c r="C146" s="186"/>
      <c r="D146" s="187"/>
      <c r="E146" s="186"/>
      <c r="F146" s="170"/>
      <c r="G146" s="213"/>
      <c r="H146" s="170"/>
      <c r="I146" s="190">
        <f>$M$3</f>
        <v>2019</v>
      </c>
      <c r="J146" s="191"/>
      <c r="K146" s="191"/>
      <c r="L146" s="211" t="s">
        <v>1065</v>
      </c>
      <c r="M146" s="186" t="s">
        <v>748</v>
      </c>
      <c r="N146" s="687">
        <f>LOOKUP($C$139, 'T_Stock_TOTAL_&amp;_City'!$C$10:$C$20, 'T_Stock_TOTAL_&amp;_City'!D$10:D$20)*(1+N27)</f>
        <v>0</v>
      </c>
      <c r="O146" s="687">
        <f>LOOKUP($C$139, 'T_Stock_TOTAL_&amp;_City'!$C$10:$C$20, 'T_Stock_TOTAL_&amp;_City'!E$10:E$20)*(1+O27)</f>
        <v>0</v>
      </c>
      <c r="P146" s="687">
        <f>LOOKUP($C$139, 'T_Stock_TOTAL_&amp;_City'!$C$10:$C$20, 'T_Stock_TOTAL_&amp;_City'!F$10:F$20)*(1+P27)</f>
        <v>0</v>
      </c>
      <c r="Q146" s="687">
        <f>LOOKUP($C$139, 'T_Stock_TOTAL_&amp;_City'!$C$10:$C$20, 'T_Stock_TOTAL_&amp;_City'!G$10:G$20)*(1+Q27)</f>
        <v>0</v>
      </c>
      <c r="R146" s="687">
        <f>LOOKUP($C$139, 'T_Stock_TOTAL_&amp;_City'!$C$10:$C$20, 'T_Stock_TOTAL_&amp;_City'!H$10:H$20)*(1+R27)</f>
        <v>0</v>
      </c>
      <c r="S146" s="687">
        <f>LOOKUP($C$139, 'T_Stock_TOTAL_&amp;_City'!$C$10:$C$20, 'T_Stock_TOTAL_&amp;_City'!I$10:I$20)*(1+S27)</f>
        <v>0</v>
      </c>
      <c r="T146" s="687">
        <f>LOOKUP($C$139, 'T_Stock_TOTAL_&amp;_City'!$C$10:$C$20, 'T_Stock_TOTAL_&amp;_City'!J$10:J$20)*(1+T27)</f>
        <v>0</v>
      </c>
      <c r="U146" s="687">
        <f>LOOKUP($C$139, 'T_Stock_TOTAL_&amp;_City'!$C$10:$C$20, 'T_Stock_TOTAL_&amp;_City'!K$10:K$20)*(1+U27)</f>
        <v>0</v>
      </c>
      <c r="V146" s="687">
        <f>LOOKUP($C$139, 'T_Stock_TOTAL_&amp;_City'!$C$10:$C$20, 'T_Stock_TOTAL_&amp;_City'!L$10:L$20)*(1+V27)</f>
        <v>0</v>
      </c>
      <c r="W146" s="687">
        <f>LOOKUP($C$139, 'T_Stock_TOTAL_&amp;_City'!$C$10:$C$20, 'T_Stock_TOTAL_&amp;_City'!M$10:M$20)*(1+W27)</f>
        <v>0</v>
      </c>
      <c r="X146" s="687">
        <f>LOOKUP($C$139, 'T_Stock_TOTAL_&amp;_City'!$C$10:$C$20, 'T_Stock_TOTAL_&amp;_City'!N$10:N$20)*(1+X27)</f>
        <v>0</v>
      </c>
      <c r="Y146" s="687">
        <f>LOOKUP($C$139, 'T_Stock_TOTAL_&amp;_City'!$C$10:$C$20, 'T_Stock_TOTAL_&amp;_City'!O$10:O$20)*(1+Y27)</f>
        <v>0</v>
      </c>
      <c r="Z146" s="687">
        <f>LOOKUP($C$139, 'T_Stock_TOTAL_&amp;_City'!$C$10:$C$20, 'T_Stock_TOTAL_&amp;_City'!P$10:P$20)*(1+Z27)</f>
        <v>0</v>
      </c>
      <c r="AA146" s="687">
        <f>LOOKUP($C$139, 'T_Stock_TOTAL_&amp;_City'!$C$10:$C$20, 'T_Stock_TOTAL_&amp;_City'!Q$10:Q$20)*(1+AA27)</f>
        <v>0</v>
      </c>
      <c r="AB146" s="687">
        <f>LOOKUP($C$139, 'T_Stock_TOTAL_&amp;_City'!$C$10:$C$20, 'T_Stock_TOTAL_&amp;_City'!R$10:R$20)*(1+AB27)</f>
        <v>0</v>
      </c>
      <c r="AV146" s="700" t="str">
        <f t="shared" si="101"/>
        <v/>
      </c>
    </row>
    <row r="147" spans="1:64" x14ac:dyDescent="0.25">
      <c r="A147" s="22"/>
      <c r="B147" s="186" t="str">
        <f t="shared" si="148"/>
        <v>TCARPYD900</v>
      </c>
      <c r="C147" s="186"/>
      <c r="D147" s="187"/>
      <c r="E147" s="186"/>
      <c r="F147" s="170"/>
      <c r="G147" s="213"/>
      <c r="H147" s="170"/>
      <c r="I147" s="190">
        <f>AF$15</f>
        <v>2016</v>
      </c>
      <c r="J147" s="191"/>
      <c r="K147" s="191"/>
      <c r="L147" s="211" t="s">
        <v>1065</v>
      </c>
      <c r="M147" s="186" t="s">
        <v>748</v>
      </c>
      <c r="N147" s="687">
        <f t="shared" ref="N147:AB147" si="150">N146*LOOKUP($AD139,$AG$14:$AP$14,$AG$15:$AP$15)</f>
        <v>0</v>
      </c>
      <c r="O147" s="687">
        <f t="shared" si="150"/>
        <v>0</v>
      </c>
      <c r="P147" s="687">
        <f t="shared" si="150"/>
        <v>0</v>
      </c>
      <c r="Q147" s="687">
        <f t="shared" si="150"/>
        <v>0</v>
      </c>
      <c r="R147" s="687">
        <f t="shared" si="150"/>
        <v>0</v>
      </c>
      <c r="S147" s="687">
        <f t="shared" si="150"/>
        <v>0</v>
      </c>
      <c r="T147" s="687">
        <f t="shared" si="150"/>
        <v>0</v>
      </c>
      <c r="U147" s="687">
        <f t="shared" si="150"/>
        <v>0</v>
      </c>
      <c r="V147" s="687">
        <f t="shared" si="150"/>
        <v>0</v>
      </c>
      <c r="W147" s="687">
        <f t="shared" si="150"/>
        <v>0</v>
      </c>
      <c r="X147" s="687">
        <f t="shared" si="150"/>
        <v>0</v>
      </c>
      <c r="Y147" s="687">
        <f t="shared" si="150"/>
        <v>0</v>
      </c>
      <c r="Z147" s="687">
        <f t="shared" si="150"/>
        <v>0</v>
      </c>
      <c r="AA147" s="687">
        <f t="shared" si="150"/>
        <v>0</v>
      </c>
      <c r="AB147" s="687">
        <f t="shared" si="150"/>
        <v>0</v>
      </c>
      <c r="AE147" s="569">
        <f>SUM(AF147:AT147)</f>
        <v>0</v>
      </c>
      <c r="AF147" s="568">
        <f t="shared" ref="AF147:AT147" si="151">N144*N145*N146/1000</f>
        <v>0</v>
      </c>
      <c r="AG147" s="568">
        <f t="shared" si="151"/>
        <v>0</v>
      </c>
      <c r="AH147" s="568">
        <f t="shared" si="151"/>
        <v>0</v>
      </c>
      <c r="AI147" s="568">
        <f t="shared" si="151"/>
        <v>0</v>
      </c>
      <c r="AJ147" s="568">
        <f t="shared" si="151"/>
        <v>0</v>
      </c>
      <c r="AK147" s="568">
        <f t="shared" si="151"/>
        <v>0</v>
      </c>
      <c r="AL147" s="568">
        <f t="shared" si="151"/>
        <v>0</v>
      </c>
      <c r="AM147" s="568">
        <f t="shared" si="151"/>
        <v>0</v>
      </c>
      <c r="AN147" s="568">
        <f t="shared" si="151"/>
        <v>0</v>
      </c>
      <c r="AO147" s="568">
        <f t="shared" si="151"/>
        <v>0</v>
      </c>
      <c r="AP147" s="568">
        <f t="shared" si="151"/>
        <v>0</v>
      </c>
      <c r="AQ147" s="568">
        <f t="shared" si="151"/>
        <v>0</v>
      </c>
      <c r="AR147" s="568">
        <f t="shared" si="151"/>
        <v>0</v>
      </c>
      <c r="AS147" s="568">
        <f t="shared" si="151"/>
        <v>0</v>
      </c>
      <c r="AT147" s="568">
        <f t="shared" si="151"/>
        <v>0</v>
      </c>
      <c r="AV147" s="700" t="str">
        <f t="shared" si="101"/>
        <v/>
      </c>
    </row>
    <row r="148" spans="1:64" x14ac:dyDescent="0.25">
      <c r="A148" s="22"/>
      <c r="B148" s="186" t="str">
        <f t="shared" si="148"/>
        <v>TCARPYD900</v>
      </c>
      <c r="C148" s="186"/>
      <c r="D148" s="187"/>
      <c r="E148" s="186"/>
      <c r="F148" s="170"/>
      <c r="G148" s="213"/>
      <c r="H148" s="170"/>
      <c r="I148" s="190">
        <f>AF$16</f>
        <v>2020</v>
      </c>
      <c r="J148" s="191"/>
      <c r="K148" s="191"/>
      <c r="L148" s="211" t="s">
        <v>1065</v>
      </c>
      <c r="M148" s="186" t="s">
        <v>748</v>
      </c>
      <c r="N148" s="687">
        <f t="shared" ref="N148:AB148" si="152">N146*LOOKUP($AD139,$AG$14:$AP$14,$AG$16:$AP$16)</f>
        <v>0</v>
      </c>
      <c r="O148" s="687">
        <f t="shared" si="152"/>
        <v>0</v>
      </c>
      <c r="P148" s="687">
        <f t="shared" si="152"/>
        <v>0</v>
      </c>
      <c r="Q148" s="687">
        <f t="shared" si="152"/>
        <v>0</v>
      </c>
      <c r="R148" s="687">
        <f t="shared" si="152"/>
        <v>0</v>
      </c>
      <c r="S148" s="687">
        <f t="shared" si="152"/>
        <v>0</v>
      </c>
      <c r="T148" s="687">
        <f t="shared" si="152"/>
        <v>0</v>
      </c>
      <c r="U148" s="687">
        <f t="shared" si="152"/>
        <v>0</v>
      </c>
      <c r="V148" s="687">
        <f t="shared" si="152"/>
        <v>0</v>
      </c>
      <c r="W148" s="687">
        <f t="shared" si="152"/>
        <v>0</v>
      </c>
      <c r="X148" s="687">
        <f t="shared" si="152"/>
        <v>0</v>
      </c>
      <c r="Y148" s="687">
        <f t="shared" si="152"/>
        <v>0</v>
      </c>
      <c r="Z148" s="687">
        <f t="shared" si="152"/>
        <v>0</v>
      </c>
      <c r="AA148" s="687">
        <f t="shared" si="152"/>
        <v>0</v>
      </c>
      <c r="AB148" s="687">
        <f t="shared" si="152"/>
        <v>0</v>
      </c>
      <c r="AV148" s="700" t="str">
        <f t="shared" si="101"/>
        <v/>
      </c>
    </row>
    <row r="149" spans="1:64" x14ac:dyDescent="0.25">
      <c r="A149" s="22"/>
      <c r="B149" s="186" t="str">
        <f t="shared" si="148"/>
        <v>TCARPYD900</v>
      </c>
      <c r="C149" s="186"/>
      <c r="D149" s="187"/>
      <c r="E149" s="186"/>
      <c r="F149" s="170"/>
      <c r="G149" s="213"/>
      <c r="H149" s="170"/>
      <c r="I149" s="190">
        <f>AF$17</f>
        <v>2025</v>
      </c>
      <c r="J149" s="191"/>
      <c r="K149" s="191"/>
      <c r="L149" s="211" t="s">
        <v>1065</v>
      </c>
      <c r="M149" s="186" t="s">
        <v>748</v>
      </c>
      <c r="N149" s="687">
        <f t="shared" ref="N149:AB149" si="153">N146*LOOKUP($AD139,$AG$14:$AP$14,$AG$17:$AP$17)</f>
        <v>0</v>
      </c>
      <c r="O149" s="687">
        <f t="shared" si="153"/>
        <v>0</v>
      </c>
      <c r="P149" s="687">
        <f t="shared" si="153"/>
        <v>0</v>
      </c>
      <c r="Q149" s="687">
        <f t="shared" si="153"/>
        <v>0</v>
      </c>
      <c r="R149" s="687">
        <f t="shared" si="153"/>
        <v>0</v>
      </c>
      <c r="S149" s="687">
        <f t="shared" si="153"/>
        <v>0</v>
      </c>
      <c r="T149" s="687">
        <f t="shared" si="153"/>
        <v>0</v>
      </c>
      <c r="U149" s="687">
        <f t="shared" si="153"/>
        <v>0</v>
      </c>
      <c r="V149" s="687">
        <f t="shared" si="153"/>
        <v>0</v>
      </c>
      <c r="W149" s="687">
        <f t="shared" si="153"/>
        <v>0</v>
      </c>
      <c r="X149" s="687">
        <f t="shared" si="153"/>
        <v>0</v>
      </c>
      <c r="Y149" s="687">
        <f t="shared" si="153"/>
        <v>0</v>
      </c>
      <c r="Z149" s="687">
        <f t="shared" si="153"/>
        <v>0</v>
      </c>
      <c r="AA149" s="687">
        <f t="shared" si="153"/>
        <v>0</v>
      </c>
      <c r="AB149" s="687">
        <f t="shared" si="153"/>
        <v>0</v>
      </c>
      <c r="AV149" s="700" t="str">
        <f t="shared" si="101"/>
        <v/>
      </c>
    </row>
    <row r="150" spans="1:64" x14ac:dyDescent="0.25">
      <c r="A150" s="22"/>
      <c r="B150" s="186" t="str">
        <f t="shared" si="148"/>
        <v>TCARPYD900</v>
      </c>
      <c r="C150" s="186"/>
      <c r="D150" s="187"/>
      <c r="E150" s="186"/>
      <c r="F150" s="170"/>
      <c r="G150" s="213"/>
      <c r="H150" s="170"/>
      <c r="I150" s="190">
        <f>AF$18</f>
        <v>2030</v>
      </c>
      <c r="J150" s="191"/>
      <c r="K150" s="191"/>
      <c r="L150" s="211" t="s">
        <v>1065</v>
      </c>
      <c r="M150" s="186" t="s">
        <v>748</v>
      </c>
      <c r="N150" s="687">
        <f t="shared" ref="N150:AB150" si="154">N146*LOOKUP($AD139,$AG$14:$AP$14,$AG$18:$AP$18)</f>
        <v>0</v>
      </c>
      <c r="O150" s="687">
        <f t="shared" si="154"/>
        <v>0</v>
      </c>
      <c r="P150" s="687">
        <f t="shared" si="154"/>
        <v>0</v>
      </c>
      <c r="Q150" s="687">
        <f t="shared" si="154"/>
        <v>0</v>
      </c>
      <c r="R150" s="687">
        <f t="shared" si="154"/>
        <v>0</v>
      </c>
      <c r="S150" s="687">
        <f t="shared" si="154"/>
        <v>0</v>
      </c>
      <c r="T150" s="687">
        <f t="shared" si="154"/>
        <v>0</v>
      </c>
      <c r="U150" s="687">
        <f t="shared" si="154"/>
        <v>0</v>
      </c>
      <c r="V150" s="687">
        <f t="shared" si="154"/>
        <v>0</v>
      </c>
      <c r="W150" s="687">
        <f t="shared" si="154"/>
        <v>0</v>
      </c>
      <c r="X150" s="687">
        <f t="shared" si="154"/>
        <v>0</v>
      </c>
      <c r="Y150" s="687">
        <f t="shared" si="154"/>
        <v>0</v>
      </c>
      <c r="Z150" s="687">
        <f t="shared" si="154"/>
        <v>0</v>
      </c>
      <c r="AA150" s="687">
        <f t="shared" si="154"/>
        <v>0</v>
      </c>
      <c r="AB150" s="687">
        <f t="shared" si="154"/>
        <v>0</v>
      </c>
      <c r="AV150" s="700" t="str">
        <f t="shared" si="101"/>
        <v/>
      </c>
    </row>
    <row r="151" spans="1:64" x14ac:dyDescent="0.25">
      <c r="A151" s="22"/>
      <c r="B151" s="186" t="str">
        <f t="shared" si="148"/>
        <v>TCARPYD900</v>
      </c>
      <c r="C151" s="186"/>
      <c r="D151" s="187"/>
      <c r="E151" s="186"/>
      <c r="F151" s="170"/>
      <c r="G151" s="213"/>
      <c r="H151" s="170"/>
      <c r="I151" s="190">
        <f>AF$19</f>
        <v>2040</v>
      </c>
      <c r="J151" s="191"/>
      <c r="K151" s="191"/>
      <c r="L151" s="211" t="s">
        <v>1065</v>
      </c>
      <c r="M151" s="186" t="s">
        <v>748</v>
      </c>
      <c r="N151" s="687">
        <f t="shared" ref="N151:AB151" si="155">N146*LOOKUP($AD139,$AG$14:$AP$14,$AG$19:$AP$19)</f>
        <v>0</v>
      </c>
      <c r="O151" s="687">
        <f t="shared" si="155"/>
        <v>0</v>
      </c>
      <c r="P151" s="687">
        <f t="shared" si="155"/>
        <v>0</v>
      </c>
      <c r="Q151" s="687">
        <f t="shared" si="155"/>
        <v>0</v>
      </c>
      <c r="R151" s="687">
        <f t="shared" si="155"/>
        <v>0</v>
      </c>
      <c r="S151" s="687">
        <f t="shared" si="155"/>
        <v>0</v>
      </c>
      <c r="T151" s="687">
        <f t="shared" si="155"/>
        <v>0</v>
      </c>
      <c r="U151" s="687">
        <f t="shared" si="155"/>
        <v>0</v>
      </c>
      <c r="V151" s="687">
        <f t="shared" si="155"/>
        <v>0</v>
      </c>
      <c r="W151" s="687">
        <f t="shared" si="155"/>
        <v>0</v>
      </c>
      <c r="X151" s="687">
        <f t="shared" si="155"/>
        <v>0</v>
      </c>
      <c r="Y151" s="687">
        <f t="shared" si="155"/>
        <v>0</v>
      </c>
      <c r="Z151" s="687">
        <f t="shared" si="155"/>
        <v>0</v>
      </c>
      <c r="AA151" s="687">
        <f t="shared" si="155"/>
        <v>0</v>
      </c>
      <c r="AB151" s="687">
        <f t="shared" si="155"/>
        <v>0</v>
      </c>
      <c r="AV151" s="700" t="str">
        <f t="shared" si="101"/>
        <v/>
      </c>
    </row>
    <row r="152" spans="1:64" x14ac:dyDescent="0.25">
      <c r="A152" s="22"/>
      <c r="B152" s="193" t="str">
        <f t="shared" si="148"/>
        <v>TCARPYD900</v>
      </c>
      <c r="C152" s="193"/>
      <c r="D152" s="194"/>
      <c r="E152" s="193"/>
      <c r="F152" s="196"/>
      <c r="G152" s="215"/>
      <c r="H152" s="196"/>
      <c r="I152" s="197">
        <f>AF$20</f>
        <v>2050</v>
      </c>
      <c r="J152" s="198"/>
      <c r="K152" s="198"/>
      <c r="L152" s="212" t="s">
        <v>1065</v>
      </c>
      <c r="M152" s="193" t="s">
        <v>748</v>
      </c>
      <c r="N152" s="688">
        <f t="shared" ref="N152:AB152" si="156">N146*LOOKUP($AD139,$AG$14:$AP$14,$AG$20:$AP$20)</f>
        <v>0</v>
      </c>
      <c r="O152" s="688">
        <f t="shared" si="156"/>
        <v>0</v>
      </c>
      <c r="P152" s="688">
        <f t="shared" si="156"/>
        <v>0</v>
      </c>
      <c r="Q152" s="688">
        <f t="shared" si="156"/>
        <v>0</v>
      </c>
      <c r="R152" s="688">
        <f t="shared" si="156"/>
        <v>0</v>
      </c>
      <c r="S152" s="688">
        <f t="shared" si="156"/>
        <v>0</v>
      </c>
      <c r="T152" s="688">
        <f t="shared" si="156"/>
        <v>0</v>
      </c>
      <c r="U152" s="688">
        <f t="shared" si="156"/>
        <v>0</v>
      </c>
      <c r="V152" s="688">
        <f t="shared" si="156"/>
        <v>0</v>
      </c>
      <c r="W152" s="688">
        <f t="shared" si="156"/>
        <v>0</v>
      </c>
      <c r="X152" s="688">
        <f t="shared" si="156"/>
        <v>0</v>
      </c>
      <c r="Y152" s="688">
        <f t="shared" si="156"/>
        <v>0</v>
      </c>
      <c r="Z152" s="688">
        <f t="shared" si="156"/>
        <v>0</v>
      </c>
      <c r="AA152" s="688">
        <f t="shared" si="156"/>
        <v>0</v>
      </c>
      <c r="AB152" s="688">
        <f t="shared" si="156"/>
        <v>0</v>
      </c>
      <c r="AD152" s="400"/>
      <c r="AV152" s="700" t="str">
        <f t="shared" si="101"/>
        <v/>
      </c>
    </row>
    <row r="153" spans="1:64" x14ac:dyDescent="0.25">
      <c r="A153" s="22"/>
      <c r="B153" s="186" t="str">
        <f>C153</f>
        <v>TCARPYG900</v>
      </c>
      <c r="C153" s="186" t="s">
        <v>538</v>
      </c>
      <c r="D153" s="187" t="s">
        <v>803</v>
      </c>
      <c r="E153" s="258" t="s">
        <v>1014</v>
      </c>
      <c r="F153" s="170"/>
      <c r="G153" s="213"/>
      <c r="H153" s="170"/>
      <c r="I153" s="190"/>
      <c r="J153" s="191"/>
      <c r="K153" s="191"/>
      <c r="L153" s="211" t="s">
        <v>1107</v>
      </c>
      <c r="M153" s="191" t="s">
        <v>1156</v>
      </c>
      <c r="N153" s="366">
        <f>N$32</f>
        <v>1E-3</v>
      </c>
      <c r="O153" s="366">
        <f t="shared" ref="O153:AB153" si="157">$N153</f>
        <v>1E-3</v>
      </c>
      <c r="P153" s="366">
        <f t="shared" si="157"/>
        <v>1E-3</v>
      </c>
      <c r="Q153" s="366">
        <f t="shared" si="157"/>
        <v>1E-3</v>
      </c>
      <c r="R153" s="366">
        <f t="shared" si="157"/>
        <v>1E-3</v>
      </c>
      <c r="S153" s="366">
        <f t="shared" si="157"/>
        <v>1E-3</v>
      </c>
      <c r="T153" s="366">
        <f t="shared" si="157"/>
        <v>1E-3</v>
      </c>
      <c r="U153" s="366">
        <f t="shared" si="157"/>
        <v>1E-3</v>
      </c>
      <c r="V153" s="366">
        <f t="shared" si="157"/>
        <v>1E-3</v>
      </c>
      <c r="W153" s="366">
        <f t="shared" si="157"/>
        <v>1E-3</v>
      </c>
      <c r="X153" s="366">
        <f t="shared" si="157"/>
        <v>1E-3</v>
      </c>
      <c r="Y153" s="366">
        <f t="shared" si="157"/>
        <v>1E-3</v>
      </c>
      <c r="Z153" s="366">
        <f t="shared" si="157"/>
        <v>1E-3</v>
      </c>
      <c r="AA153" s="366">
        <f t="shared" si="157"/>
        <v>1E-3</v>
      </c>
      <c r="AB153" s="366">
        <f t="shared" si="157"/>
        <v>1E-3</v>
      </c>
      <c r="AD153" s="401" t="s">
        <v>1183</v>
      </c>
      <c r="AV153" s="714" t="str">
        <f t="shared" si="101"/>
        <v>TRAGSL</v>
      </c>
      <c r="AW153" s="570">
        <f t="shared" ref="AW153:AW155" si="158">SUM(AX153:BL153)</f>
        <v>0</v>
      </c>
      <c r="AX153" s="570">
        <f>N$159*N$160*(1-N154)/N$156/1000</f>
        <v>0</v>
      </c>
      <c r="AY153" s="570">
        <f t="shared" ref="AY153:BL153" si="159">O$159*O$160*(1-O154)/O$156/1000</f>
        <v>0</v>
      </c>
      <c r="AZ153" s="570">
        <f t="shared" si="159"/>
        <v>0</v>
      </c>
      <c r="BA153" s="570">
        <f t="shared" si="159"/>
        <v>0</v>
      </c>
      <c r="BB153" s="570">
        <f t="shared" si="159"/>
        <v>0</v>
      </c>
      <c r="BC153" s="570">
        <f t="shared" si="159"/>
        <v>0</v>
      </c>
      <c r="BD153" s="570">
        <f t="shared" si="159"/>
        <v>0</v>
      </c>
      <c r="BE153" s="570">
        <f t="shared" si="159"/>
        <v>0</v>
      </c>
      <c r="BF153" s="570">
        <f t="shared" si="159"/>
        <v>0</v>
      </c>
      <c r="BG153" s="570">
        <f t="shared" si="159"/>
        <v>0</v>
      </c>
      <c r="BH153" s="570">
        <f t="shared" si="159"/>
        <v>0</v>
      </c>
      <c r="BI153" s="570">
        <f t="shared" si="159"/>
        <v>0</v>
      </c>
      <c r="BJ153" s="570">
        <f t="shared" si="159"/>
        <v>0</v>
      </c>
      <c r="BK153" s="570">
        <f t="shared" si="159"/>
        <v>0</v>
      </c>
      <c r="BL153" s="570">
        <f t="shared" si="159"/>
        <v>0</v>
      </c>
    </row>
    <row r="154" spans="1:64" x14ac:dyDescent="0.25">
      <c r="A154" s="22"/>
      <c r="B154" s="186" t="str">
        <f>B153</f>
        <v>TCARPYG900</v>
      </c>
      <c r="C154" s="186"/>
      <c r="D154" s="187"/>
      <c r="E154" s="258" t="s">
        <v>1012</v>
      </c>
      <c r="F154" s="170"/>
      <c r="G154" s="213"/>
      <c r="H154" s="170"/>
      <c r="I154" s="190"/>
      <c r="J154" s="191" t="s">
        <v>1157</v>
      </c>
      <c r="K154" s="191"/>
      <c r="L154" s="211" t="s">
        <v>101</v>
      </c>
      <c r="M154" s="186"/>
      <c r="N154" s="377">
        <f>N$19</f>
        <v>0.03</v>
      </c>
      <c r="O154" s="377">
        <f t="shared" ref="O154:AB154" si="160">O$19</f>
        <v>0.03</v>
      </c>
      <c r="P154" s="377">
        <f t="shared" si="160"/>
        <v>0.03</v>
      </c>
      <c r="Q154" s="377">
        <f t="shared" si="160"/>
        <v>0.03</v>
      </c>
      <c r="R154" s="377">
        <f t="shared" si="160"/>
        <v>0.03</v>
      </c>
      <c r="S154" s="377">
        <f t="shared" si="160"/>
        <v>0.03</v>
      </c>
      <c r="T154" s="377">
        <f t="shared" si="160"/>
        <v>0.03</v>
      </c>
      <c r="U154" s="377">
        <f t="shared" si="160"/>
        <v>0.03</v>
      </c>
      <c r="V154" s="377">
        <f t="shared" si="160"/>
        <v>0.03</v>
      </c>
      <c r="W154" s="377">
        <f t="shared" si="160"/>
        <v>0.03</v>
      </c>
      <c r="X154" s="377">
        <f t="shared" si="160"/>
        <v>0.03</v>
      </c>
      <c r="Y154" s="377">
        <f t="shared" si="160"/>
        <v>0.03</v>
      </c>
      <c r="Z154" s="377">
        <f t="shared" si="160"/>
        <v>0.03</v>
      </c>
      <c r="AA154" s="377">
        <f t="shared" si="160"/>
        <v>0.03</v>
      </c>
      <c r="AB154" s="377">
        <f t="shared" si="160"/>
        <v>0.03</v>
      </c>
      <c r="AD154" s="399" t="str">
        <f>IF(COUNTIF($AG$14:$AP$14,AD153)=1,"ok","MISSING")</f>
        <v>ok</v>
      </c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01"/>
        <v>TRAETHM</v>
      </c>
      <c r="AW154" s="568">
        <f t="shared" si="158"/>
        <v>0</v>
      </c>
      <c r="AX154" s="568">
        <f>N$159*N$160*N154/N$156/1000</f>
        <v>0</v>
      </c>
      <c r="AY154" s="568">
        <f t="shared" ref="AY154:BL155" si="161">O$159*O$160*O154/O$156/1000</f>
        <v>0</v>
      </c>
      <c r="AZ154" s="568">
        <f t="shared" si="161"/>
        <v>0</v>
      </c>
      <c r="BA154" s="568">
        <f t="shared" si="161"/>
        <v>0</v>
      </c>
      <c r="BB154" s="568">
        <f t="shared" si="161"/>
        <v>0</v>
      </c>
      <c r="BC154" s="568">
        <f t="shared" si="161"/>
        <v>0</v>
      </c>
      <c r="BD154" s="568">
        <f t="shared" si="161"/>
        <v>0</v>
      </c>
      <c r="BE154" s="568">
        <f t="shared" si="161"/>
        <v>0</v>
      </c>
      <c r="BF154" s="568">
        <f t="shared" si="161"/>
        <v>0</v>
      </c>
      <c r="BG154" s="568">
        <f t="shared" si="161"/>
        <v>0</v>
      </c>
      <c r="BH154" s="568">
        <f t="shared" si="161"/>
        <v>0</v>
      </c>
      <c r="BI154" s="568">
        <f t="shared" si="161"/>
        <v>0</v>
      </c>
      <c r="BJ154" s="568">
        <f t="shared" si="161"/>
        <v>0</v>
      </c>
      <c r="BK154" s="568">
        <f t="shared" si="161"/>
        <v>0</v>
      </c>
      <c r="BL154" s="568">
        <f t="shared" si="161"/>
        <v>0</v>
      </c>
    </row>
    <row r="155" spans="1:64" x14ac:dyDescent="0.25">
      <c r="A155" s="22"/>
      <c r="B155" s="186" t="str">
        <f t="shared" ref="B155" si="162">B154</f>
        <v>TCARPYG900</v>
      </c>
      <c r="C155" s="186"/>
      <c r="D155" s="187"/>
      <c r="E155" s="258" t="s">
        <v>996</v>
      </c>
      <c r="F155" s="170"/>
      <c r="G155" s="213"/>
      <c r="H155" s="170"/>
      <c r="I155" s="190"/>
      <c r="J155" s="191" t="s">
        <v>1157</v>
      </c>
      <c r="K155" s="191"/>
      <c r="L155" s="211" t="s">
        <v>101</v>
      </c>
      <c r="M155" s="186"/>
      <c r="N155" s="377">
        <f>N$20</f>
        <v>0</v>
      </c>
      <c r="O155" s="377">
        <f t="shared" ref="O155:AB155" si="163">O$20</f>
        <v>0</v>
      </c>
      <c r="P155" s="377">
        <f t="shared" si="163"/>
        <v>0</v>
      </c>
      <c r="Q155" s="377">
        <f t="shared" si="163"/>
        <v>0</v>
      </c>
      <c r="R155" s="377">
        <f t="shared" si="163"/>
        <v>0</v>
      </c>
      <c r="S155" s="377">
        <f t="shared" si="163"/>
        <v>0</v>
      </c>
      <c r="T155" s="377">
        <f t="shared" si="163"/>
        <v>0</v>
      </c>
      <c r="U155" s="377">
        <f t="shared" si="163"/>
        <v>0</v>
      </c>
      <c r="V155" s="377">
        <f t="shared" si="163"/>
        <v>0</v>
      </c>
      <c r="W155" s="377">
        <f t="shared" si="163"/>
        <v>0</v>
      </c>
      <c r="X155" s="377">
        <f t="shared" si="163"/>
        <v>0</v>
      </c>
      <c r="Y155" s="377">
        <f t="shared" si="163"/>
        <v>0</v>
      </c>
      <c r="Z155" s="377">
        <f t="shared" si="163"/>
        <v>0</v>
      </c>
      <c r="AA155" s="377">
        <f t="shared" si="163"/>
        <v>0</v>
      </c>
      <c r="AB155" s="377">
        <f t="shared" si="163"/>
        <v>0</v>
      </c>
      <c r="AD155" s="66"/>
      <c r="AE155" s="568"/>
      <c r="AV155" s="700" t="str">
        <f>MID(E155,1,8)</f>
        <v>TRABGSLM</v>
      </c>
      <c r="AW155" s="568">
        <f t="shared" si="158"/>
        <v>0</v>
      </c>
      <c r="AX155" s="568">
        <f>N$159*N$160*N155/N$156/1000</f>
        <v>0</v>
      </c>
      <c r="AY155" s="568">
        <f t="shared" si="161"/>
        <v>0</v>
      </c>
      <c r="AZ155" s="568">
        <f t="shared" si="161"/>
        <v>0</v>
      </c>
      <c r="BA155" s="568">
        <f t="shared" si="161"/>
        <v>0</v>
      </c>
      <c r="BB155" s="568">
        <f t="shared" si="161"/>
        <v>0</v>
      </c>
      <c r="BC155" s="568">
        <f t="shared" si="161"/>
        <v>0</v>
      </c>
      <c r="BD155" s="568">
        <f t="shared" si="161"/>
        <v>0</v>
      </c>
      <c r="BE155" s="568">
        <f t="shared" si="161"/>
        <v>0</v>
      </c>
      <c r="BF155" s="568">
        <f t="shared" si="161"/>
        <v>0</v>
      </c>
      <c r="BG155" s="568">
        <f t="shared" si="161"/>
        <v>0</v>
      </c>
      <c r="BH155" s="568">
        <f t="shared" si="161"/>
        <v>0</v>
      </c>
      <c r="BI155" s="568">
        <f t="shared" si="161"/>
        <v>0</v>
      </c>
      <c r="BJ155" s="568">
        <f t="shared" si="161"/>
        <v>0</v>
      </c>
      <c r="BK155" s="568">
        <f t="shared" si="161"/>
        <v>0</v>
      </c>
      <c r="BL155" s="568">
        <f t="shared" si="161"/>
        <v>0</v>
      </c>
    </row>
    <row r="156" spans="1:64" x14ac:dyDescent="0.25">
      <c r="A156" s="22"/>
      <c r="B156" s="186" t="str">
        <f>B154</f>
        <v>TCARPYG900</v>
      </c>
      <c r="C156" s="186"/>
      <c r="D156" s="187"/>
      <c r="E156" s="186"/>
      <c r="F156" s="170"/>
      <c r="G156" s="188" t="s">
        <v>406</v>
      </c>
      <c r="H156" s="170"/>
      <c r="I156" s="190"/>
      <c r="J156" s="191"/>
      <c r="K156" s="191"/>
      <c r="L156" s="191" t="s">
        <v>1126</v>
      </c>
      <c r="M156" s="186" t="s">
        <v>678</v>
      </c>
      <c r="N156" s="377">
        <f>T_CEFF!H72</f>
        <v>0.72726999999999997</v>
      </c>
      <c r="O156" s="377">
        <f>T_CEFF!I72</f>
        <v>0.72726999999999997</v>
      </c>
      <c r="P156" s="377">
        <f>T_CEFF!J72</f>
        <v>0.72726999999999997</v>
      </c>
      <c r="Q156" s="377">
        <f>T_CEFF!K72</f>
        <v>0.72726999999999997</v>
      </c>
      <c r="R156" s="377">
        <f>T_CEFF!L72</f>
        <v>0.72726999999999997</v>
      </c>
      <c r="S156" s="377">
        <f>T_CEFF!M72</f>
        <v>0.72726999999999997</v>
      </c>
      <c r="T156" s="377">
        <f>T_CEFF!N72</f>
        <v>0.72726999999999997</v>
      </c>
      <c r="U156" s="377">
        <f>T_CEFF!O72</f>
        <v>0.72726999999999997</v>
      </c>
      <c r="V156" s="377">
        <f>T_CEFF!P72</f>
        <v>0.72726999999999997</v>
      </c>
      <c r="W156" s="377">
        <f>T_CEFF!Q72</f>
        <v>0.72726999999999997</v>
      </c>
      <c r="X156" s="377">
        <f>T_CEFF!R72</f>
        <v>0.72726999999999997</v>
      </c>
      <c r="Y156" s="377">
        <f>T_CEFF!S72</f>
        <v>0.72726999999999997</v>
      </c>
      <c r="Z156" s="377">
        <f>T_CEFF!T72</f>
        <v>0.72726999999999997</v>
      </c>
      <c r="AA156" s="377">
        <f>T_CEFF!U72</f>
        <v>0.72726999999999997</v>
      </c>
      <c r="AB156" s="377">
        <f>T_CEFF!V72</f>
        <v>0.72726999999999997</v>
      </c>
    </row>
    <row r="157" spans="1:64" x14ac:dyDescent="0.25">
      <c r="A157" s="22"/>
      <c r="B157" s="186" t="str">
        <f>B156</f>
        <v>TCARPYG900</v>
      </c>
      <c r="C157" s="186"/>
      <c r="D157" s="187"/>
      <c r="E157" s="186"/>
      <c r="F157" s="170"/>
      <c r="G157" s="188" t="s">
        <v>408</v>
      </c>
      <c r="H157" s="170"/>
      <c r="I157" s="190"/>
      <c r="J157" s="191"/>
      <c r="K157" s="191"/>
      <c r="L157" s="191" t="s">
        <v>1126</v>
      </c>
      <c r="M157" s="186" t="s">
        <v>678</v>
      </c>
      <c r="N157" s="377">
        <f>T_CEFF!H73</f>
        <v>0.82474000000000003</v>
      </c>
      <c r="O157" s="377">
        <f>T_CEFF!I73</f>
        <v>0.82474000000000003</v>
      </c>
      <c r="P157" s="377">
        <f>T_CEFF!J73</f>
        <v>0.82474000000000003</v>
      </c>
      <c r="Q157" s="377">
        <f>T_CEFF!K73</f>
        <v>0.82474000000000003</v>
      </c>
      <c r="R157" s="377">
        <f>T_CEFF!L73</f>
        <v>0.82474000000000003</v>
      </c>
      <c r="S157" s="377">
        <f>T_CEFF!M73</f>
        <v>0.82474000000000003</v>
      </c>
      <c r="T157" s="377">
        <f>T_CEFF!N73</f>
        <v>0.82474000000000003</v>
      </c>
      <c r="U157" s="377">
        <f>T_CEFF!O73</f>
        <v>0.82474000000000003</v>
      </c>
      <c r="V157" s="377">
        <f>T_CEFF!P73</f>
        <v>0.82474000000000003</v>
      </c>
      <c r="W157" s="377">
        <f>T_CEFF!Q73</f>
        <v>0.82474000000000003</v>
      </c>
      <c r="X157" s="377">
        <f>T_CEFF!R73</f>
        <v>0.82474000000000003</v>
      </c>
      <c r="Y157" s="377">
        <f>T_CEFF!S73</f>
        <v>0.82474000000000003</v>
      </c>
      <c r="Z157" s="377">
        <f>T_CEFF!T73</f>
        <v>0.82474000000000003</v>
      </c>
      <c r="AA157" s="377">
        <f>T_CEFF!U73</f>
        <v>0.82474000000000003</v>
      </c>
      <c r="AB157" s="377">
        <f>T_CEFF!V73</f>
        <v>0.82474000000000003</v>
      </c>
    </row>
    <row r="158" spans="1:64" x14ac:dyDescent="0.25">
      <c r="A158" s="22"/>
      <c r="B158" s="186" t="str">
        <f t="shared" ref="B158:B166" si="164">B157</f>
        <v>TCARPYG900</v>
      </c>
      <c r="C158" s="186"/>
      <c r="D158" s="187"/>
      <c r="E158" s="186"/>
      <c r="F158" s="170"/>
      <c r="G158" s="213"/>
      <c r="H158" s="170"/>
      <c r="I158" s="190"/>
      <c r="J158" s="191"/>
      <c r="K158" s="191" t="s">
        <v>749</v>
      </c>
      <c r="L158" s="191" t="s">
        <v>1128</v>
      </c>
      <c r="M158" s="186" t="s">
        <v>1119</v>
      </c>
      <c r="N158" s="368">
        <f>N$14</f>
        <v>1.2</v>
      </c>
      <c r="O158" s="368">
        <f t="shared" ref="O158:AB158" si="165">O$14</f>
        <v>0</v>
      </c>
      <c r="P158" s="368">
        <f t="shared" si="165"/>
        <v>0</v>
      </c>
      <c r="Q158" s="368">
        <f t="shared" si="165"/>
        <v>0</v>
      </c>
      <c r="R158" s="368">
        <f t="shared" si="165"/>
        <v>0</v>
      </c>
      <c r="S158" s="368">
        <f t="shared" si="165"/>
        <v>0</v>
      </c>
      <c r="T158" s="368">
        <f t="shared" si="165"/>
        <v>0</v>
      </c>
      <c r="U158" s="368">
        <f t="shared" si="165"/>
        <v>0</v>
      </c>
      <c r="V158" s="368">
        <f t="shared" si="165"/>
        <v>0</v>
      </c>
      <c r="W158" s="368">
        <f t="shared" si="165"/>
        <v>0</v>
      </c>
      <c r="X158" s="368">
        <f t="shared" si="165"/>
        <v>0</v>
      </c>
      <c r="Y158" s="368">
        <f t="shared" si="165"/>
        <v>0</v>
      </c>
      <c r="Z158" s="368">
        <f t="shared" si="165"/>
        <v>0</v>
      </c>
      <c r="AA158" s="368">
        <f t="shared" si="165"/>
        <v>0</v>
      </c>
      <c r="AB158" s="368">
        <f t="shared" si="165"/>
        <v>0</v>
      </c>
    </row>
    <row r="159" spans="1:64" x14ac:dyDescent="0.25">
      <c r="A159" s="22"/>
      <c r="B159" s="186" t="str">
        <f t="shared" si="164"/>
        <v>TCARPYG900</v>
      </c>
      <c r="C159" s="186"/>
      <c r="D159" s="187"/>
      <c r="E159" s="186"/>
      <c r="F159" s="170"/>
      <c r="G159" s="213"/>
      <c r="H159" s="170"/>
      <c r="I159" s="190"/>
      <c r="J159" s="191"/>
      <c r="K159" s="191"/>
      <c r="L159" s="211" t="s">
        <v>1130</v>
      </c>
      <c r="M159" s="186" t="s">
        <v>1131</v>
      </c>
      <c r="N159" s="376">
        <f>LOOKUP($C$153, T_NCAP_AF!$C$20:$C$30, T_NCAP_AF!D$20:D$30)*(1+N26)</f>
        <v>0</v>
      </c>
      <c r="O159" s="376">
        <f>LOOKUP($C$153, T_NCAP_AF!$C$20:$C$30, T_NCAP_AF!E$20:E$30)*(1+O26)</f>
        <v>0</v>
      </c>
      <c r="P159" s="376">
        <f>LOOKUP($C$153, T_NCAP_AF!$C$20:$C$30, T_NCAP_AF!F$20:F$30)*(1+P26)</f>
        <v>0</v>
      </c>
      <c r="Q159" s="376">
        <f>LOOKUP($C$153, T_NCAP_AF!$C$20:$C$30, T_NCAP_AF!G$20:G$30)*(1+Q26)</f>
        <v>0</v>
      </c>
      <c r="R159" s="376">
        <f>LOOKUP($C$153, T_NCAP_AF!$C$20:$C$30, T_NCAP_AF!H$20:H$30)*(1+R26)</f>
        <v>0</v>
      </c>
      <c r="S159" s="376">
        <f>LOOKUP($C$153, T_NCAP_AF!$C$20:$C$30, T_NCAP_AF!I$20:I$30)*(1+S26)</f>
        <v>0</v>
      </c>
      <c r="T159" s="376">
        <f>LOOKUP($C$153, T_NCAP_AF!$C$20:$C$30, T_NCAP_AF!J$20:J$30)*(1+T26)</f>
        <v>0</v>
      </c>
      <c r="U159" s="376">
        <f>LOOKUP($C$153, T_NCAP_AF!$C$20:$C$30, T_NCAP_AF!K$20:K$30)*(1+U26)</f>
        <v>0</v>
      </c>
      <c r="V159" s="376">
        <f>LOOKUP($C$153, T_NCAP_AF!$C$20:$C$30, T_NCAP_AF!L$20:L$30)*(1+V26)</f>
        <v>0</v>
      </c>
      <c r="W159" s="376">
        <f>LOOKUP($C$153, T_NCAP_AF!$C$20:$C$30, T_NCAP_AF!M$20:M$30)*(1+W26)</f>
        <v>0</v>
      </c>
      <c r="X159" s="376">
        <f>LOOKUP($C$153, T_NCAP_AF!$C$20:$C$30, T_NCAP_AF!N$20:N$30)*(1+X26)</f>
        <v>0</v>
      </c>
      <c r="Y159" s="376">
        <f>LOOKUP($C$153, T_NCAP_AF!$C$20:$C$30, T_NCAP_AF!O$20:O$30)*(1+Y26)</f>
        <v>0</v>
      </c>
      <c r="Z159" s="376">
        <f>LOOKUP($C$153, T_NCAP_AF!$C$20:$C$30, T_NCAP_AF!P$20:P$30)*(1+Z26)</f>
        <v>0</v>
      </c>
      <c r="AA159" s="376">
        <f>LOOKUP($C$153, T_NCAP_AF!$C$20:$C$30, T_NCAP_AF!Q$20:Q$30)*(1+AA26)</f>
        <v>0</v>
      </c>
      <c r="AB159" s="376">
        <f>LOOKUP($C$153, T_NCAP_AF!$C$20:$C$30, T_NCAP_AF!R$20:R$30)*(1+AB26)</f>
        <v>0</v>
      </c>
    </row>
    <row r="160" spans="1:64" x14ac:dyDescent="0.25">
      <c r="A160" s="22"/>
      <c r="B160" s="186" t="str">
        <f t="shared" si="164"/>
        <v>TCARPYG900</v>
      </c>
      <c r="C160" s="186"/>
      <c r="D160" s="187"/>
      <c r="E160" s="186"/>
      <c r="F160" s="170"/>
      <c r="G160" s="213"/>
      <c r="H160" s="170"/>
      <c r="I160" s="190">
        <f>$M$3</f>
        <v>2019</v>
      </c>
      <c r="J160" s="191"/>
      <c r="K160" s="191"/>
      <c r="L160" s="211" t="s">
        <v>1065</v>
      </c>
      <c r="M160" s="186" t="s">
        <v>748</v>
      </c>
      <c r="N160" s="687">
        <f>LOOKUP($C$153, 'T_Stock_TOTAL_&amp;_City'!$C$10:$C$20, 'T_Stock_TOTAL_&amp;_City'!D$10:D$20)*(1+N27)</f>
        <v>0</v>
      </c>
      <c r="O160" s="687">
        <f>LOOKUP($C$153, 'T_Stock_TOTAL_&amp;_City'!$C$10:$C$20, 'T_Stock_TOTAL_&amp;_City'!E$10:E$20)*(1+O27)</f>
        <v>0</v>
      </c>
      <c r="P160" s="687">
        <f>LOOKUP($C$153, 'T_Stock_TOTAL_&amp;_City'!$C$10:$C$20, 'T_Stock_TOTAL_&amp;_City'!F$10:F$20)*(1+P27)</f>
        <v>0</v>
      </c>
      <c r="Q160" s="687">
        <f>LOOKUP($C$153, 'T_Stock_TOTAL_&amp;_City'!$C$10:$C$20, 'T_Stock_TOTAL_&amp;_City'!G$10:G$20)*(1+Q27)</f>
        <v>0</v>
      </c>
      <c r="R160" s="687">
        <f>LOOKUP($C$153, 'T_Stock_TOTAL_&amp;_City'!$C$10:$C$20, 'T_Stock_TOTAL_&amp;_City'!H$10:H$20)*(1+R27)</f>
        <v>0</v>
      </c>
      <c r="S160" s="687">
        <f>LOOKUP($C$153, 'T_Stock_TOTAL_&amp;_City'!$C$10:$C$20, 'T_Stock_TOTAL_&amp;_City'!I$10:I$20)*(1+S27)</f>
        <v>0</v>
      </c>
      <c r="T160" s="687">
        <f>LOOKUP($C$153, 'T_Stock_TOTAL_&amp;_City'!$C$10:$C$20, 'T_Stock_TOTAL_&amp;_City'!J$10:J$20)*(1+T27)</f>
        <v>0</v>
      </c>
      <c r="U160" s="687">
        <f>LOOKUP($C$153, 'T_Stock_TOTAL_&amp;_City'!$C$10:$C$20, 'T_Stock_TOTAL_&amp;_City'!K$10:K$20)*(1+U27)</f>
        <v>0</v>
      </c>
      <c r="V160" s="687">
        <f>LOOKUP($C$153, 'T_Stock_TOTAL_&amp;_City'!$C$10:$C$20, 'T_Stock_TOTAL_&amp;_City'!L$10:L$20)*(1+V27)</f>
        <v>0</v>
      </c>
      <c r="W160" s="687">
        <f>LOOKUP($C$153, 'T_Stock_TOTAL_&amp;_City'!$C$10:$C$20, 'T_Stock_TOTAL_&amp;_City'!M$10:M$20)*(1+W27)</f>
        <v>0</v>
      </c>
      <c r="X160" s="687">
        <f>LOOKUP($C$153, 'T_Stock_TOTAL_&amp;_City'!$C$10:$C$20, 'T_Stock_TOTAL_&amp;_City'!N$10:N$20)*(1+X27)</f>
        <v>0</v>
      </c>
      <c r="Y160" s="687">
        <f>LOOKUP($C$153, 'T_Stock_TOTAL_&amp;_City'!$C$10:$C$20, 'T_Stock_TOTAL_&amp;_City'!O$10:O$20)*(1+Y27)</f>
        <v>0</v>
      </c>
      <c r="Z160" s="687">
        <f>LOOKUP($C$153, 'T_Stock_TOTAL_&amp;_City'!$C$10:$C$20, 'T_Stock_TOTAL_&amp;_City'!P$10:P$20)*(1+Z27)</f>
        <v>0</v>
      </c>
      <c r="AA160" s="687">
        <f>LOOKUP($C$153, 'T_Stock_TOTAL_&amp;_City'!$C$10:$C$20, 'T_Stock_TOTAL_&amp;_City'!Q$10:Q$20)*(1+AA27)</f>
        <v>0</v>
      </c>
      <c r="AB160" s="687">
        <f>LOOKUP($C$153, 'T_Stock_TOTAL_&amp;_City'!$C$10:$C$20, 'T_Stock_TOTAL_&amp;_City'!R$10:R$20)*(1+AB27)</f>
        <v>0</v>
      </c>
    </row>
    <row r="161" spans="1:46" x14ac:dyDescent="0.25">
      <c r="A161" s="22"/>
      <c r="B161" s="186" t="str">
        <f t="shared" si="164"/>
        <v>TCARPYG900</v>
      </c>
      <c r="C161" s="186"/>
      <c r="D161" s="187"/>
      <c r="E161" s="186"/>
      <c r="F161" s="170"/>
      <c r="G161" s="213"/>
      <c r="H161" s="170"/>
      <c r="I161" s="190">
        <f>AF$15</f>
        <v>2016</v>
      </c>
      <c r="J161" s="191"/>
      <c r="K161" s="191"/>
      <c r="L161" s="211" t="s">
        <v>1065</v>
      </c>
      <c r="M161" s="186" t="s">
        <v>748</v>
      </c>
      <c r="N161" s="687">
        <f t="shared" ref="N161:AB161" si="166">N$160*LOOKUP($AD$153,$AG$14:$AP$14,$AG15:$AP15)</f>
        <v>0</v>
      </c>
      <c r="O161" s="687">
        <f t="shared" si="166"/>
        <v>0</v>
      </c>
      <c r="P161" s="687">
        <f t="shared" si="166"/>
        <v>0</v>
      </c>
      <c r="Q161" s="687">
        <f t="shared" si="166"/>
        <v>0</v>
      </c>
      <c r="R161" s="687">
        <f t="shared" si="166"/>
        <v>0</v>
      </c>
      <c r="S161" s="687">
        <f t="shared" si="166"/>
        <v>0</v>
      </c>
      <c r="T161" s="687">
        <f t="shared" si="166"/>
        <v>0</v>
      </c>
      <c r="U161" s="687">
        <f t="shared" si="166"/>
        <v>0</v>
      </c>
      <c r="V161" s="687">
        <f t="shared" si="166"/>
        <v>0</v>
      </c>
      <c r="W161" s="687">
        <f t="shared" si="166"/>
        <v>0</v>
      </c>
      <c r="X161" s="687">
        <f t="shared" si="166"/>
        <v>0</v>
      </c>
      <c r="Y161" s="687">
        <f t="shared" si="166"/>
        <v>0</v>
      </c>
      <c r="Z161" s="687">
        <f t="shared" si="166"/>
        <v>0</v>
      </c>
      <c r="AA161" s="687">
        <f t="shared" si="166"/>
        <v>0</v>
      </c>
      <c r="AB161" s="687">
        <f t="shared" si="166"/>
        <v>0</v>
      </c>
      <c r="AE161" s="569">
        <f>SUM(AF161:AT161)</f>
        <v>0</v>
      </c>
      <c r="AF161" s="568">
        <f t="shared" ref="AF161:AT161" si="167">N158*N159*N160/1000</f>
        <v>0</v>
      </c>
      <c r="AG161" s="568">
        <f t="shared" si="167"/>
        <v>0</v>
      </c>
      <c r="AH161" s="568">
        <f t="shared" si="167"/>
        <v>0</v>
      </c>
      <c r="AI161" s="568">
        <f t="shared" si="167"/>
        <v>0</v>
      </c>
      <c r="AJ161" s="568">
        <f t="shared" si="167"/>
        <v>0</v>
      </c>
      <c r="AK161" s="568">
        <f t="shared" si="167"/>
        <v>0</v>
      </c>
      <c r="AL161" s="568">
        <f t="shared" si="167"/>
        <v>0</v>
      </c>
      <c r="AM161" s="568">
        <f t="shared" si="167"/>
        <v>0</v>
      </c>
      <c r="AN161" s="568">
        <f t="shared" si="167"/>
        <v>0</v>
      </c>
      <c r="AO161" s="568">
        <f t="shared" si="167"/>
        <v>0</v>
      </c>
      <c r="AP161" s="568">
        <f t="shared" si="167"/>
        <v>0</v>
      </c>
      <c r="AQ161" s="568">
        <f t="shared" si="167"/>
        <v>0</v>
      </c>
      <c r="AR161" s="568">
        <f t="shared" si="167"/>
        <v>0</v>
      </c>
      <c r="AS161" s="568">
        <f t="shared" si="167"/>
        <v>0</v>
      </c>
      <c r="AT161" s="568">
        <f t="shared" si="167"/>
        <v>0</v>
      </c>
    </row>
    <row r="162" spans="1:46" x14ac:dyDescent="0.25">
      <c r="A162" s="22"/>
      <c r="B162" s="186" t="str">
        <f t="shared" si="164"/>
        <v>TCARPYG900</v>
      </c>
      <c r="C162" s="186"/>
      <c r="D162" s="187"/>
      <c r="E162" s="186"/>
      <c r="F162" s="170"/>
      <c r="G162" s="213"/>
      <c r="H162" s="170"/>
      <c r="I162" s="190">
        <f>AF$16</f>
        <v>2020</v>
      </c>
      <c r="J162" s="191"/>
      <c r="K162" s="191"/>
      <c r="L162" s="211" t="s">
        <v>1065</v>
      </c>
      <c r="M162" s="186" t="s">
        <v>748</v>
      </c>
      <c r="N162" s="687">
        <f t="shared" ref="N162:AB162" si="168">N$160*LOOKUP($AD$153,$AG$14:$AP$14,$AG16:$AP16)</f>
        <v>0</v>
      </c>
      <c r="O162" s="687">
        <f t="shared" si="168"/>
        <v>0</v>
      </c>
      <c r="P162" s="687">
        <f t="shared" si="168"/>
        <v>0</v>
      </c>
      <c r="Q162" s="687">
        <f t="shared" si="168"/>
        <v>0</v>
      </c>
      <c r="R162" s="687">
        <f t="shared" si="168"/>
        <v>0</v>
      </c>
      <c r="S162" s="687">
        <f t="shared" si="168"/>
        <v>0</v>
      </c>
      <c r="T162" s="687">
        <f t="shared" si="168"/>
        <v>0</v>
      </c>
      <c r="U162" s="687">
        <f t="shared" si="168"/>
        <v>0</v>
      </c>
      <c r="V162" s="687">
        <f t="shared" si="168"/>
        <v>0</v>
      </c>
      <c r="W162" s="687">
        <f t="shared" si="168"/>
        <v>0</v>
      </c>
      <c r="X162" s="687">
        <f t="shared" si="168"/>
        <v>0</v>
      </c>
      <c r="Y162" s="687">
        <f t="shared" si="168"/>
        <v>0</v>
      </c>
      <c r="Z162" s="687">
        <f t="shared" si="168"/>
        <v>0</v>
      </c>
      <c r="AA162" s="687">
        <f t="shared" si="168"/>
        <v>0</v>
      </c>
      <c r="AB162" s="687">
        <f t="shared" si="168"/>
        <v>0</v>
      </c>
    </row>
    <row r="163" spans="1:46" x14ac:dyDescent="0.25">
      <c r="A163" s="22"/>
      <c r="B163" s="186" t="str">
        <f t="shared" si="164"/>
        <v>TCARPYG900</v>
      </c>
      <c r="C163" s="186"/>
      <c r="D163" s="187"/>
      <c r="E163" s="186"/>
      <c r="F163" s="170"/>
      <c r="G163" s="213"/>
      <c r="H163" s="170"/>
      <c r="I163" s="190">
        <f>AF$17</f>
        <v>2025</v>
      </c>
      <c r="J163" s="191"/>
      <c r="K163" s="191"/>
      <c r="L163" s="211" t="s">
        <v>1065</v>
      </c>
      <c r="M163" s="186" t="s">
        <v>748</v>
      </c>
      <c r="N163" s="687">
        <f t="shared" ref="N163:AB163" si="169">N$160*LOOKUP($AD$153,$AG$14:$AP$14,$AG17:$AP17)</f>
        <v>0</v>
      </c>
      <c r="O163" s="687">
        <f t="shared" si="169"/>
        <v>0</v>
      </c>
      <c r="P163" s="687">
        <f t="shared" si="169"/>
        <v>0</v>
      </c>
      <c r="Q163" s="687">
        <f t="shared" si="169"/>
        <v>0</v>
      </c>
      <c r="R163" s="687">
        <f t="shared" si="169"/>
        <v>0</v>
      </c>
      <c r="S163" s="687">
        <f t="shared" si="169"/>
        <v>0</v>
      </c>
      <c r="T163" s="687">
        <f t="shared" si="169"/>
        <v>0</v>
      </c>
      <c r="U163" s="687">
        <f t="shared" si="169"/>
        <v>0</v>
      </c>
      <c r="V163" s="687">
        <f t="shared" si="169"/>
        <v>0</v>
      </c>
      <c r="W163" s="687">
        <f t="shared" si="169"/>
        <v>0</v>
      </c>
      <c r="X163" s="687">
        <f t="shared" si="169"/>
        <v>0</v>
      </c>
      <c r="Y163" s="687">
        <f t="shared" si="169"/>
        <v>0</v>
      </c>
      <c r="Z163" s="687">
        <f t="shared" si="169"/>
        <v>0</v>
      </c>
      <c r="AA163" s="687">
        <f t="shared" si="169"/>
        <v>0</v>
      </c>
      <c r="AB163" s="687">
        <f t="shared" si="169"/>
        <v>0</v>
      </c>
    </row>
    <row r="164" spans="1:46" x14ac:dyDescent="0.25">
      <c r="A164" s="22"/>
      <c r="B164" s="186" t="str">
        <f t="shared" si="164"/>
        <v>TCARPYG900</v>
      </c>
      <c r="C164" s="186"/>
      <c r="D164" s="187"/>
      <c r="E164" s="186"/>
      <c r="F164" s="170"/>
      <c r="G164" s="213"/>
      <c r="H164" s="170"/>
      <c r="I164" s="190">
        <f>AF$18</f>
        <v>2030</v>
      </c>
      <c r="J164" s="191"/>
      <c r="K164" s="191"/>
      <c r="L164" s="211" t="s">
        <v>1065</v>
      </c>
      <c r="M164" s="186" t="s">
        <v>748</v>
      </c>
      <c r="N164" s="687">
        <f t="shared" ref="N164:AB164" si="170">N$160*LOOKUP($AD$153,$AG$14:$AP$14,$AG18:$AP18)</f>
        <v>0</v>
      </c>
      <c r="O164" s="687">
        <f t="shared" si="170"/>
        <v>0</v>
      </c>
      <c r="P164" s="687">
        <f t="shared" si="170"/>
        <v>0</v>
      </c>
      <c r="Q164" s="687">
        <f t="shared" si="170"/>
        <v>0</v>
      </c>
      <c r="R164" s="687">
        <f t="shared" si="170"/>
        <v>0</v>
      </c>
      <c r="S164" s="687">
        <f t="shared" si="170"/>
        <v>0</v>
      </c>
      <c r="T164" s="687">
        <f t="shared" si="170"/>
        <v>0</v>
      </c>
      <c r="U164" s="687">
        <f t="shared" si="170"/>
        <v>0</v>
      </c>
      <c r="V164" s="687">
        <f t="shared" si="170"/>
        <v>0</v>
      </c>
      <c r="W164" s="687">
        <f t="shared" si="170"/>
        <v>0</v>
      </c>
      <c r="X164" s="687">
        <f t="shared" si="170"/>
        <v>0</v>
      </c>
      <c r="Y164" s="687">
        <f t="shared" si="170"/>
        <v>0</v>
      </c>
      <c r="Z164" s="687">
        <f t="shared" si="170"/>
        <v>0</v>
      </c>
      <c r="AA164" s="687">
        <f t="shared" si="170"/>
        <v>0</v>
      </c>
      <c r="AB164" s="687">
        <f t="shared" si="170"/>
        <v>0</v>
      </c>
    </row>
    <row r="165" spans="1:46" x14ac:dyDescent="0.25">
      <c r="A165" s="22"/>
      <c r="B165" s="186" t="str">
        <f t="shared" si="164"/>
        <v>TCARPYG900</v>
      </c>
      <c r="C165" s="186"/>
      <c r="D165" s="187"/>
      <c r="E165" s="186"/>
      <c r="F165" s="170"/>
      <c r="G165" s="213"/>
      <c r="H165" s="170"/>
      <c r="I165" s="190">
        <f>AF$19</f>
        <v>2040</v>
      </c>
      <c r="J165" s="191"/>
      <c r="K165" s="191"/>
      <c r="L165" s="211" t="s">
        <v>1065</v>
      </c>
      <c r="M165" s="186" t="s">
        <v>748</v>
      </c>
      <c r="N165" s="687">
        <f t="shared" ref="N165:AB165" si="171">N$160*LOOKUP($AD$153,$AG$14:$AP$14,$AG19:$AP19)</f>
        <v>0</v>
      </c>
      <c r="O165" s="687">
        <f t="shared" si="171"/>
        <v>0</v>
      </c>
      <c r="P165" s="687">
        <f t="shared" si="171"/>
        <v>0</v>
      </c>
      <c r="Q165" s="687">
        <f t="shared" si="171"/>
        <v>0</v>
      </c>
      <c r="R165" s="687">
        <f t="shared" si="171"/>
        <v>0</v>
      </c>
      <c r="S165" s="687">
        <f t="shared" si="171"/>
        <v>0</v>
      </c>
      <c r="T165" s="687">
        <f t="shared" si="171"/>
        <v>0</v>
      </c>
      <c r="U165" s="687">
        <f t="shared" si="171"/>
        <v>0</v>
      </c>
      <c r="V165" s="687">
        <f t="shared" si="171"/>
        <v>0</v>
      </c>
      <c r="W165" s="687">
        <f t="shared" si="171"/>
        <v>0</v>
      </c>
      <c r="X165" s="687">
        <f t="shared" si="171"/>
        <v>0</v>
      </c>
      <c r="Y165" s="687">
        <f t="shared" si="171"/>
        <v>0</v>
      </c>
      <c r="Z165" s="687">
        <f t="shared" si="171"/>
        <v>0</v>
      </c>
      <c r="AA165" s="687">
        <f t="shared" si="171"/>
        <v>0</v>
      </c>
      <c r="AB165" s="687">
        <f t="shared" si="171"/>
        <v>0</v>
      </c>
    </row>
    <row r="166" spans="1:46" x14ac:dyDescent="0.25">
      <c r="A166" s="22"/>
      <c r="B166" s="193" t="str">
        <f t="shared" si="164"/>
        <v>TCARPYG900</v>
      </c>
      <c r="C166" s="193"/>
      <c r="D166" s="194"/>
      <c r="E166" s="193"/>
      <c r="F166" s="196"/>
      <c r="G166" s="215"/>
      <c r="H166" s="196"/>
      <c r="I166" s="197">
        <f>AF$20</f>
        <v>2050</v>
      </c>
      <c r="J166" s="198"/>
      <c r="K166" s="198"/>
      <c r="L166" s="212" t="s">
        <v>1065</v>
      </c>
      <c r="M166" s="193" t="s">
        <v>748</v>
      </c>
      <c r="N166" s="688">
        <f t="shared" ref="N166:AB166" si="172">N$160*LOOKUP($AD$153,$AG$14:$AP$14,$AG20:$AP20)</f>
        <v>0</v>
      </c>
      <c r="O166" s="688">
        <f t="shared" si="172"/>
        <v>0</v>
      </c>
      <c r="P166" s="688">
        <f t="shared" si="172"/>
        <v>0</v>
      </c>
      <c r="Q166" s="688">
        <f t="shared" si="172"/>
        <v>0</v>
      </c>
      <c r="R166" s="688">
        <f t="shared" si="172"/>
        <v>0</v>
      </c>
      <c r="S166" s="688">
        <f t="shared" si="172"/>
        <v>0</v>
      </c>
      <c r="T166" s="688">
        <f t="shared" si="172"/>
        <v>0</v>
      </c>
      <c r="U166" s="688">
        <f t="shared" si="172"/>
        <v>0</v>
      </c>
      <c r="V166" s="688">
        <f t="shared" si="172"/>
        <v>0</v>
      </c>
      <c r="W166" s="688">
        <f t="shared" si="172"/>
        <v>0</v>
      </c>
      <c r="X166" s="688">
        <f t="shared" si="172"/>
        <v>0</v>
      </c>
      <c r="Y166" s="688">
        <f t="shared" si="172"/>
        <v>0</v>
      </c>
      <c r="Z166" s="688">
        <f t="shared" si="172"/>
        <v>0</v>
      </c>
      <c r="AA166" s="688">
        <f t="shared" si="172"/>
        <v>0</v>
      </c>
      <c r="AB166" s="688">
        <f t="shared" si="172"/>
        <v>0</v>
      </c>
    </row>
    <row r="167" spans="1:46" x14ac:dyDescent="0.25">
      <c r="L167" s="70"/>
    </row>
    <row r="168" spans="1:46" x14ac:dyDescent="0.25">
      <c r="L168" s="70"/>
    </row>
  </sheetData>
  <sortState xmlns:xlrd2="http://schemas.microsoft.com/office/spreadsheetml/2017/richdata2" ref="G36:G37">
    <sortCondition ref="G36"/>
  </sortState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59999389629810485"/>
  </sheetPr>
  <dimension ref="A1:AV158"/>
  <sheetViews>
    <sheetView zoomScale="75" zoomScaleNormal="75" workbookViewId="0">
      <selection activeCell="N25" sqref="N24:AB25"/>
    </sheetView>
  </sheetViews>
  <sheetFormatPr defaultRowHeight="15" x14ac:dyDescent="0.25"/>
  <cols>
    <col min="2" max="2" width="18.5703125" customWidth="1"/>
    <col min="3" max="3" width="14.5703125" customWidth="1"/>
    <col min="4" max="4" width="36.7109375" customWidth="1"/>
    <col min="5" max="5" width="10.28515625" customWidth="1"/>
    <col min="6" max="6" width="11.42578125" bestFit="1" customWidth="1"/>
    <col min="7" max="7" width="11.28515625" bestFit="1" customWidth="1"/>
    <col min="8" max="8" width="9.7109375" bestFit="1" customWidth="1"/>
    <col min="9" max="9" width="15.5703125" bestFit="1" customWidth="1"/>
    <col min="10" max="10" width="20.28515625" bestFit="1" customWidth="1"/>
    <col min="11" max="11" width="14.28515625" bestFit="1" customWidth="1"/>
    <col min="12" max="12" width="12.28515625" bestFit="1" customWidth="1"/>
    <col min="13" max="13" width="20.7109375" customWidth="1"/>
    <col min="14" max="14" width="9.7109375" bestFit="1" customWidth="1"/>
    <col min="30" max="30" width="14.5703125" bestFit="1" customWidth="1"/>
    <col min="32" max="32" width="12.28515625" customWidth="1"/>
  </cols>
  <sheetData>
    <row r="1" spans="1:42" x14ac:dyDescent="0.25">
      <c r="M1" s="120" t="s">
        <v>1111</v>
      </c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 spans="1:42" s="35" customFormat="1" ht="18.600000000000001" customHeight="1" x14ac:dyDescent="0.25">
      <c r="A2" s="22"/>
      <c r="B2" s="148" t="s">
        <v>1185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42" s="35" customFormat="1" x14ac:dyDescent="0.25">
      <c r="A3" s="22"/>
      <c r="B3" s="34"/>
      <c r="C3" s="22"/>
      <c r="D3" s="22"/>
      <c r="I3" s="36"/>
      <c r="M3" s="170">
        <f>INFO!$C$5</f>
        <v>2019</v>
      </c>
      <c r="N3" s="170">
        <v>1</v>
      </c>
      <c r="O3" s="170">
        <f>N3</f>
        <v>1</v>
      </c>
      <c r="P3" s="170">
        <f t="shared" ref="P3:AB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si="0"/>
        <v>1</v>
      </c>
      <c r="W3" s="170">
        <f t="shared" si="0"/>
        <v>1</v>
      </c>
      <c r="X3" s="170">
        <f t="shared" si="0"/>
        <v>1</v>
      </c>
      <c r="Y3" s="170">
        <f t="shared" si="0"/>
        <v>1</v>
      </c>
      <c r="Z3" s="170">
        <f t="shared" si="0"/>
        <v>1</v>
      </c>
      <c r="AA3" s="170">
        <f t="shared" si="0"/>
        <v>1</v>
      </c>
      <c r="AB3" s="170">
        <f t="shared" si="0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</row>
    <row r="4" spans="1:42" s="35" customFormat="1" x14ac:dyDescent="0.25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0"/>
        <v>2</v>
      </c>
      <c r="W4" s="170">
        <f t="shared" si="0"/>
        <v>2</v>
      </c>
      <c r="X4" s="170">
        <f t="shared" si="0"/>
        <v>2</v>
      </c>
      <c r="Y4" s="170">
        <f t="shared" si="0"/>
        <v>2</v>
      </c>
      <c r="Z4" s="170">
        <f t="shared" si="0"/>
        <v>2</v>
      </c>
      <c r="AA4" s="170">
        <f t="shared" si="0"/>
        <v>2</v>
      </c>
      <c r="AB4" s="170">
        <f t="shared" si="0"/>
        <v>2</v>
      </c>
      <c r="AF4" s="38"/>
      <c r="AG4" s="38" t="s">
        <v>1143</v>
      </c>
      <c r="AH4" s="38" t="s">
        <v>1007</v>
      </c>
      <c r="AI4" s="38" t="s">
        <v>1144</v>
      </c>
      <c r="AJ4" s="38" t="s">
        <v>1145</v>
      </c>
      <c r="AK4" s="38" t="s">
        <v>1146</v>
      </c>
      <c r="AL4" s="406" t="s">
        <v>1147</v>
      </c>
      <c r="AM4" s="406" t="s">
        <v>1148</v>
      </c>
      <c r="AN4" s="38" t="s">
        <v>115</v>
      </c>
      <c r="AO4" s="406" t="s">
        <v>1149</v>
      </c>
      <c r="AP4" s="406" t="s">
        <v>1150</v>
      </c>
    </row>
    <row r="5" spans="1:42" s="35" customFormat="1" x14ac:dyDescent="0.25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0"/>
        <v>10</v>
      </c>
      <c r="W5" s="170">
        <f t="shared" si="0"/>
        <v>10</v>
      </c>
      <c r="X5" s="170">
        <f t="shared" si="0"/>
        <v>10</v>
      </c>
      <c r="Y5" s="170">
        <f t="shared" si="0"/>
        <v>10</v>
      </c>
      <c r="Z5" s="170">
        <f t="shared" si="0"/>
        <v>10</v>
      </c>
      <c r="AA5" s="170">
        <f t="shared" si="0"/>
        <v>10</v>
      </c>
      <c r="AB5" s="170">
        <f t="shared" si="0"/>
        <v>10</v>
      </c>
      <c r="AF5" s="38">
        <v>2016</v>
      </c>
      <c r="AG5" s="67">
        <v>0.95</v>
      </c>
      <c r="AH5" s="67">
        <v>0.99</v>
      </c>
      <c r="AI5" s="67">
        <v>0.95</v>
      </c>
      <c r="AJ5" s="67">
        <v>0.95</v>
      </c>
      <c r="AK5" s="67">
        <v>0.95</v>
      </c>
      <c r="AL5" s="67">
        <v>0.99</v>
      </c>
      <c r="AM5" s="67">
        <v>0.99</v>
      </c>
      <c r="AN5" s="67">
        <v>0.95</v>
      </c>
      <c r="AO5" s="67">
        <v>0.99</v>
      </c>
      <c r="AP5" s="67">
        <v>0.99</v>
      </c>
    </row>
    <row r="6" spans="1:42" s="35" customFormat="1" x14ac:dyDescent="0.25">
      <c r="I6" s="36"/>
      <c r="AF6" s="38">
        <v>2020</v>
      </c>
      <c r="AG6" s="67">
        <v>0.7</v>
      </c>
      <c r="AH6" s="67">
        <v>0.75</v>
      </c>
      <c r="AI6" s="67">
        <v>0.7</v>
      </c>
      <c r="AJ6" s="67">
        <v>0.7</v>
      </c>
      <c r="AK6" s="67">
        <v>0.7</v>
      </c>
      <c r="AL6" s="67">
        <v>0.75</v>
      </c>
      <c r="AM6" s="67">
        <v>0.75</v>
      </c>
      <c r="AN6" s="67">
        <v>0.7</v>
      </c>
      <c r="AO6" s="67">
        <v>0.75</v>
      </c>
      <c r="AP6" s="67">
        <v>0.75</v>
      </c>
    </row>
    <row r="7" spans="1:42" s="33" customFormat="1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2025</v>
      </c>
      <c r="AG7" s="67">
        <v>0.4</v>
      </c>
      <c r="AH7" s="67">
        <v>0.5</v>
      </c>
      <c r="AI7" s="67">
        <v>0.4</v>
      </c>
      <c r="AJ7" s="67">
        <v>0.4</v>
      </c>
      <c r="AK7" s="67">
        <v>0.4</v>
      </c>
      <c r="AL7" s="67">
        <v>0.5</v>
      </c>
      <c r="AM7" s="67">
        <v>0.5</v>
      </c>
      <c r="AN7" s="67">
        <v>0.4</v>
      </c>
      <c r="AO7" s="67">
        <v>0.5</v>
      </c>
      <c r="AP7" s="67">
        <v>0.5</v>
      </c>
    </row>
    <row r="8" spans="1:42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1">N$2</f>
        <v>Z01</v>
      </c>
      <c r="O8" s="43" t="str">
        <f t="shared" si="1"/>
        <v>Z02</v>
      </c>
      <c r="P8" s="43" t="str">
        <f t="shared" si="1"/>
        <v>Z03</v>
      </c>
      <c r="Q8" s="43" t="str">
        <f t="shared" si="1"/>
        <v>Z04</v>
      </c>
      <c r="R8" s="43" t="str">
        <f t="shared" si="1"/>
        <v>Z05</v>
      </c>
      <c r="S8" s="43" t="str">
        <f t="shared" si="1"/>
        <v>Z06</v>
      </c>
      <c r="T8" s="43" t="str">
        <f t="shared" si="1"/>
        <v>Z07</v>
      </c>
      <c r="U8" s="43" t="str">
        <f t="shared" si="1"/>
        <v>Z08</v>
      </c>
      <c r="V8" s="43" t="str">
        <f t="shared" si="1"/>
        <v>Z09</v>
      </c>
      <c r="W8" s="43" t="str">
        <f t="shared" si="1"/>
        <v>Z10</v>
      </c>
      <c r="X8" s="43" t="str">
        <f t="shared" si="1"/>
        <v>Z11</v>
      </c>
      <c r="Y8" s="43" t="str">
        <f t="shared" si="1"/>
        <v>Z12</v>
      </c>
      <c r="Z8" s="43" t="str">
        <f t="shared" si="1"/>
        <v>Z13</v>
      </c>
      <c r="AA8" s="43" t="str">
        <f t="shared" si="1"/>
        <v>Z14</v>
      </c>
      <c r="AB8" s="43" t="str">
        <f t="shared" si="1"/>
        <v>Z15</v>
      </c>
      <c r="AD8" s="382" t="s">
        <v>421</v>
      </c>
      <c r="AE8" s="545"/>
      <c r="AF8" s="38">
        <f>AF7+5</f>
        <v>2030</v>
      </c>
      <c r="AG8" s="555">
        <v>0.15</v>
      </c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</row>
    <row r="9" spans="1:42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E9" s="102"/>
      <c r="AF9" s="38">
        <f>AF8+10</f>
        <v>2040</v>
      </c>
      <c r="AG9" s="67">
        <v>5.0000000000000001E-3</v>
      </c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</row>
    <row r="10" spans="1:42" s="33" customFormat="1" x14ac:dyDescent="0.25">
      <c r="A10" s="44"/>
      <c r="B10" s="44"/>
      <c r="C10" s="44"/>
      <c r="D10" s="35"/>
      <c r="E10" s="35"/>
      <c r="F10" s="44"/>
      <c r="G10" s="44"/>
      <c r="H10" s="35"/>
      <c r="I10" s="224" t="s">
        <v>410</v>
      </c>
      <c r="J10" s="173" t="str">
        <f>LOOKUP(I10,TRA_Comm!$C$29:$C$90,TRA_Comm!$D$29:$D$90)</f>
        <v>Road.Car.Long.Pool.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16">
        <f>SUM(N10:AB10)</f>
        <v>0</v>
      </c>
      <c r="AE10" s="77"/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</row>
    <row r="11" spans="1:42" s="33" customFormat="1" x14ac:dyDescent="0.25">
      <c r="A11" s="44"/>
      <c r="B11" s="44"/>
      <c r="C11" s="44"/>
      <c r="D11" s="35"/>
      <c r="E11" s="35"/>
      <c r="F11" s="44"/>
      <c r="G11" s="44"/>
      <c r="H11" s="35"/>
      <c r="I11" s="224" t="s">
        <v>412</v>
      </c>
      <c r="J11" s="173" t="str">
        <f>LOOKUP(I11,TRA_Comm!$C$29:$C$90,TRA_Comm!$D$29:$D$90)</f>
        <v>Road.Car.Short.Pool.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16">
        <f>SUM(N11:AB11)</f>
        <v>0</v>
      </c>
      <c r="AE11" s="77"/>
      <c r="AG11" s="35"/>
      <c r="AH11" s="35"/>
      <c r="AI11" s="35"/>
      <c r="AJ11" s="35"/>
      <c r="AK11" s="35"/>
      <c r="AL11" s="35"/>
      <c r="AM11" s="35"/>
      <c r="AN11" s="35"/>
      <c r="AO11" s="35"/>
      <c r="AP11" s="35"/>
    </row>
    <row r="12" spans="1:42" s="33" customFormat="1" x14ac:dyDescent="0.25">
      <c r="A12" s="44"/>
      <c r="B12" s="34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</row>
    <row r="13" spans="1:42" s="33" customFormat="1" ht="30" x14ac:dyDescent="0.25">
      <c r="A13" s="44"/>
      <c r="B13" s="44"/>
      <c r="C13" s="44"/>
      <c r="D13" s="35"/>
      <c r="E13" s="35"/>
      <c r="F13" s="44"/>
      <c r="G13" s="44"/>
      <c r="H13" s="35"/>
      <c r="I13" s="35"/>
      <c r="J13" s="35"/>
      <c r="K13" s="35"/>
      <c r="L13" s="43" t="s">
        <v>461</v>
      </c>
      <c r="M13" s="43" t="s">
        <v>1119</v>
      </c>
      <c r="N13" s="43" t="str">
        <f t="shared" ref="N13:AB13" si="2">N$2</f>
        <v>Z01</v>
      </c>
      <c r="O13" s="43" t="str">
        <f t="shared" si="2"/>
        <v>Z02</v>
      </c>
      <c r="P13" s="43" t="str">
        <f t="shared" si="2"/>
        <v>Z03</v>
      </c>
      <c r="Q13" s="43" t="str">
        <f t="shared" si="2"/>
        <v>Z04</v>
      </c>
      <c r="R13" s="43" t="str">
        <f t="shared" si="2"/>
        <v>Z05</v>
      </c>
      <c r="S13" s="43" t="str">
        <f t="shared" si="2"/>
        <v>Z06</v>
      </c>
      <c r="T13" s="43" t="str">
        <f t="shared" si="2"/>
        <v>Z07</v>
      </c>
      <c r="U13" s="43" t="str">
        <f t="shared" si="2"/>
        <v>Z08</v>
      </c>
      <c r="V13" s="43" t="str">
        <f t="shared" si="2"/>
        <v>Z09</v>
      </c>
      <c r="W13" s="43" t="str">
        <f t="shared" si="2"/>
        <v>Z10</v>
      </c>
      <c r="X13" s="43" t="str">
        <f t="shared" si="2"/>
        <v>Z11</v>
      </c>
      <c r="Y13" s="43" t="str">
        <f t="shared" si="2"/>
        <v>Z12</v>
      </c>
      <c r="Z13" s="43" t="str">
        <f t="shared" si="2"/>
        <v>Z13</v>
      </c>
      <c r="AA13" s="43" t="str">
        <f t="shared" si="2"/>
        <v>Z14</v>
      </c>
      <c r="AB13" s="43" t="str">
        <f t="shared" si="2"/>
        <v>Z15</v>
      </c>
      <c r="AE13" s="35"/>
      <c r="AF13" s="35"/>
      <c r="AG13" s="35"/>
      <c r="AH13" s="35"/>
      <c r="AI13" s="35"/>
      <c r="AJ13" s="35"/>
      <c r="AK13" s="35"/>
    </row>
    <row r="14" spans="1:42" s="33" customFormat="1" x14ac:dyDescent="0.25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2" t="s">
        <v>1168</v>
      </c>
      <c r="M14" s="190" t="s">
        <v>1119</v>
      </c>
      <c r="N14" s="166">
        <f>ROUND(T_ACTFLO!E20,2)</f>
        <v>0</v>
      </c>
      <c r="O14" s="166">
        <f>ROUND(T_ACTFLO!F20,2)</f>
        <v>0</v>
      </c>
      <c r="P14" s="166">
        <f>ROUND(T_ACTFLO!G20,2)</f>
        <v>0</v>
      </c>
      <c r="Q14" s="166">
        <f>ROUND(T_ACTFLO!H20,2)</f>
        <v>0</v>
      </c>
      <c r="R14" s="166">
        <f>ROUND(T_ACTFLO!I20,2)</f>
        <v>0</v>
      </c>
      <c r="S14" s="166">
        <f>ROUND(T_ACTFLO!J20,2)</f>
        <v>0</v>
      </c>
      <c r="T14" s="166">
        <f>ROUND(T_ACTFLO!K20,2)</f>
        <v>0</v>
      </c>
      <c r="U14" s="166">
        <f>ROUND(T_ACTFLO!L20,2)</f>
        <v>0</v>
      </c>
      <c r="V14" s="166">
        <f>ROUND(T_ACTFLO!M20,2)</f>
        <v>0</v>
      </c>
      <c r="W14" s="166">
        <f>ROUND(T_ACTFLO!N20,2)</f>
        <v>0</v>
      </c>
      <c r="X14" s="166">
        <f>ROUND(T_ACTFLO!O20,2)</f>
        <v>0</v>
      </c>
      <c r="Y14" s="166">
        <f>ROUND(T_ACTFLO!P20,2)</f>
        <v>0</v>
      </c>
      <c r="Z14" s="166">
        <f>ROUND(T_ACTFLO!Q20,2)</f>
        <v>0</v>
      </c>
      <c r="AA14" s="166">
        <f>ROUND(T_ACTFLO!R20,2)</f>
        <v>0</v>
      </c>
      <c r="AB14" s="166">
        <f>ROUND(T_ACTFLO!S20,2)</f>
        <v>0</v>
      </c>
      <c r="AE14" s="35"/>
      <c r="AF14" s="35"/>
      <c r="AG14" s="35"/>
      <c r="AH14" s="35"/>
      <c r="AI14" s="35"/>
      <c r="AJ14" s="35"/>
      <c r="AK14" s="35"/>
    </row>
    <row r="15" spans="1:42" s="33" customFormat="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F15" s="35"/>
      <c r="AG15" s="35"/>
      <c r="AH15" s="35"/>
      <c r="AI15" s="35"/>
      <c r="AJ15" s="35"/>
      <c r="AK15" s="35"/>
      <c r="AL15" s="35"/>
    </row>
    <row r="16" spans="1:42" s="33" customFormat="1" x14ac:dyDescent="0.25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4">
        <f>STAT_TRA_Shares!C7</f>
        <v>0.9</v>
      </c>
      <c r="O16" s="514">
        <f t="shared" ref="O16:AB22" si="3">$N16</f>
        <v>0.9</v>
      </c>
      <c r="P16" s="514">
        <f t="shared" si="3"/>
        <v>0.9</v>
      </c>
      <c r="Q16" s="514">
        <f t="shared" si="3"/>
        <v>0.9</v>
      </c>
      <c r="R16" s="514">
        <f t="shared" si="3"/>
        <v>0.9</v>
      </c>
      <c r="S16" s="514">
        <f t="shared" si="3"/>
        <v>0.9</v>
      </c>
      <c r="T16" s="514">
        <f t="shared" si="3"/>
        <v>0.9</v>
      </c>
      <c r="U16" s="514">
        <f t="shared" si="3"/>
        <v>0.9</v>
      </c>
      <c r="V16" s="514">
        <f t="shared" si="3"/>
        <v>0.9</v>
      </c>
      <c r="W16" s="514">
        <f t="shared" si="3"/>
        <v>0.9</v>
      </c>
      <c r="X16" s="514">
        <f t="shared" si="3"/>
        <v>0.9</v>
      </c>
      <c r="Y16" s="514">
        <f t="shared" si="3"/>
        <v>0.9</v>
      </c>
      <c r="Z16" s="514">
        <f t="shared" si="3"/>
        <v>0.9</v>
      </c>
      <c r="AA16" s="514">
        <f t="shared" si="3"/>
        <v>0.9</v>
      </c>
      <c r="AB16" s="514">
        <f t="shared" si="3"/>
        <v>0.9</v>
      </c>
      <c r="AC16" s="44"/>
    </row>
    <row r="17" spans="1:46" s="33" customFormat="1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STAT_TRA_Shares!B9</f>
        <v>% of HVO in diesel</v>
      </c>
      <c r="N17" s="514">
        <f>STAT_TRA_Shares!C9</f>
        <v>0.15</v>
      </c>
      <c r="O17" s="514">
        <f t="shared" si="3"/>
        <v>0.15</v>
      </c>
      <c r="P17" s="514">
        <f t="shared" si="3"/>
        <v>0.15</v>
      </c>
      <c r="Q17" s="514">
        <f t="shared" si="3"/>
        <v>0.15</v>
      </c>
      <c r="R17" s="514">
        <f t="shared" si="3"/>
        <v>0.15</v>
      </c>
      <c r="S17" s="514">
        <f t="shared" si="3"/>
        <v>0.15</v>
      </c>
      <c r="T17" s="514">
        <f t="shared" si="3"/>
        <v>0.15</v>
      </c>
      <c r="U17" s="514">
        <f t="shared" si="3"/>
        <v>0.15</v>
      </c>
      <c r="V17" s="514">
        <f t="shared" si="3"/>
        <v>0.15</v>
      </c>
      <c r="W17" s="514">
        <f t="shared" si="3"/>
        <v>0.15</v>
      </c>
      <c r="X17" s="514">
        <f t="shared" si="3"/>
        <v>0.15</v>
      </c>
      <c r="Y17" s="514">
        <f t="shared" si="3"/>
        <v>0.15</v>
      </c>
      <c r="Z17" s="514">
        <f t="shared" si="3"/>
        <v>0.15</v>
      </c>
      <c r="AA17" s="514">
        <f t="shared" si="3"/>
        <v>0.15</v>
      </c>
      <c r="AB17" s="514">
        <f t="shared" si="3"/>
        <v>0.15</v>
      </c>
      <c r="AC17" s="373"/>
    </row>
    <row r="18" spans="1:46" s="33" customFormat="1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STAT_TRA_Shares!B10</f>
        <v>% of low-blend bioethanol in gasoline</v>
      </c>
      <c r="N18" s="514">
        <f>STAT_TRA_Shares!C10</f>
        <v>0.03</v>
      </c>
      <c r="O18" s="514">
        <f t="shared" si="3"/>
        <v>0.03</v>
      </c>
      <c r="P18" s="514">
        <f t="shared" si="3"/>
        <v>0.03</v>
      </c>
      <c r="Q18" s="514">
        <f t="shared" si="3"/>
        <v>0.03</v>
      </c>
      <c r="R18" s="514">
        <f t="shared" si="3"/>
        <v>0.03</v>
      </c>
      <c r="S18" s="514">
        <f t="shared" si="3"/>
        <v>0.03</v>
      </c>
      <c r="T18" s="514">
        <f t="shared" si="3"/>
        <v>0.03</v>
      </c>
      <c r="U18" s="514">
        <f t="shared" si="3"/>
        <v>0.03</v>
      </c>
      <c r="V18" s="514">
        <f t="shared" si="3"/>
        <v>0.03</v>
      </c>
      <c r="W18" s="514">
        <f t="shared" si="3"/>
        <v>0.03</v>
      </c>
      <c r="X18" s="514">
        <f t="shared" si="3"/>
        <v>0.03</v>
      </c>
      <c r="Y18" s="514">
        <f t="shared" si="3"/>
        <v>0.03</v>
      </c>
      <c r="Z18" s="514">
        <f t="shared" si="3"/>
        <v>0.03</v>
      </c>
      <c r="AA18" s="514">
        <f t="shared" si="3"/>
        <v>0.03</v>
      </c>
      <c r="AB18" s="514">
        <f t="shared" si="3"/>
        <v>0.03</v>
      </c>
      <c r="AC18" s="374"/>
    </row>
    <row r="19" spans="1:46" s="33" customFormat="1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STAT_TRA_Shares!B12</f>
        <v>% of bioethanol in E85 (TRAETH)</v>
      </c>
      <c r="N19" s="514">
        <f>STAT_TRA_Shares!C12</f>
        <v>0.85</v>
      </c>
      <c r="O19" s="514">
        <f t="shared" si="3"/>
        <v>0.85</v>
      </c>
      <c r="P19" s="514">
        <f t="shared" si="3"/>
        <v>0.85</v>
      </c>
      <c r="Q19" s="514">
        <f t="shared" si="3"/>
        <v>0.85</v>
      </c>
      <c r="R19" s="514">
        <f t="shared" si="3"/>
        <v>0.85</v>
      </c>
      <c r="S19" s="514">
        <f t="shared" si="3"/>
        <v>0.85</v>
      </c>
      <c r="T19" s="514">
        <f t="shared" si="3"/>
        <v>0.85</v>
      </c>
      <c r="U19" s="514">
        <f t="shared" si="3"/>
        <v>0.85</v>
      </c>
      <c r="V19" s="514">
        <f t="shared" si="3"/>
        <v>0.85</v>
      </c>
      <c r="W19" s="514">
        <f t="shared" si="3"/>
        <v>0.85</v>
      </c>
      <c r="X19" s="514">
        <f t="shared" si="3"/>
        <v>0.85</v>
      </c>
      <c r="Y19" s="514">
        <f t="shared" si="3"/>
        <v>0.85</v>
      </c>
      <c r="Z19" s="514">
        <f t="shared" si="3"/>
        <v>0.85</v>
      </c>
      <c r="AA19" s="514">
        <f t="shared" si="3"/>
        <v>0.85</v>
      </c>
      <c r="AB19" s="514">
        <f t="shared" si="3"/>
        <v>0.85</v>
      </c>
      <c r="AC19" s="374"/>
    </row>
    <row r="20" spans="1:46" s="33" customFormat="1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STAT_TRA_Shares!B18</f>
        <v>% of CNG fuelled in flexfuel GAS vehicles (rest is GSL)</v>
      </c>
      <c r="N20" s="514">
        <f>STAT_TRA_Shares!C18</f>
        <v>0.8</v>
      </c>
      <c r="O20" s="514">
        <f t="shared" si="3"/>
        <v>0.8</v>
      </c>
      <c r="P20" s="514">
        <f t="shared" si="3"/>
        <v>0.8</v>
      </c>
      <c r="Q20" s="514">
        <f t="shared" si="3"/>
        <v>0.8</v>
      </c>
      <c r="R20" s="514">
        <f t="shared" si="3"/>
        <v>0.8</v>
      </c>
      <c r="S20" s="514">
        <f t="shared" si="3"/>
        <v>0.8</v>
      </c>
      <c r="T20" s="514">
        <f t="shared" si="3"/>
        <v>0.8</v>
      </c>
      <c r="U20" s="514">
        <f t="shared" si="3"/>
        <v>0.8</v>
      </c>
      <c r="V20" s="514">
        <f t="shared" si="3"/>
        <v>0.8</v>
      </c>
      <c r="W20" s="514">
        <f t="shared" si="3"/>
        <v>0.8</v>
      </c>
      <c r="X20" s="514">
        <f t="shared" si="3"/>
        <v>0.8</v>
      </c>
      <c r="Y20" s="514">
        <f t="shared" si="3"/>
        <v>0.8</v>
      </c>
      <c r="Z20" s="514">
        <f t="shared" si="3"/>
        <v>0.8</v>
      </c>
      <c r="AA20" s="514">
        <f t="shared" si="3"/>
        <v>0.8</v>
      </c>
      <c r="AB20" s="514">
        <f t="shared" si="3"/>
        <v>0.8</v>
      </c>
      <c r="AC20" s="44"/>
    </row>
    <row r="21" spans="1:46" s="33" customFormat="1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STAT_TRA_Shares!B19</f>
        <v>% of ethanol fuelled in E85 flexfuel vehicles (rest is GSL)</v>
      </c>
      <c r="N21" s="514">
        <f>STAT_TRA_Shares!C19</f>
        <v>0.75</v>
      </c>
      <c r="O21" s="514">
        <f t="shared" si="3"/>
        <v>0.75</v>
      </c>
      <c r="P21" s="514">
        <f t="shared" si="3"/>
        <v>0.75</v>
      </c>
      <c r="Q21" s="514">
        <f t="shared" si="3"/>
        <v>0.75</v>
      </c>
      <c r="R21" s="514">
        <f t="shared" si="3"/>
        <v>0.75</v>
      </c>
      <c r="S21" s="514">
        <f t="shared" si="3"/>
        <v>0.75</v>
      </c>
      <c r="T21" s="514">
        <f t="shared" si="3"/>
        <v>0.75</v>
      </c>
      <c r="U21" s="514">
        <f t="shared" si="3"/>
        <v>0.75</v>
      </c>
      <c r="V21" s="514">
        <f t="shared" si="3"/>
        <v>0.75</v>
      </c>
      <c r="W21" s="514">
        <f t="shared" si="3"/>
        <v>0.75</v>
      </c>
      <c r="X21" s="514">
        <f t="shared" si="3"/>
        <v>0.75</v>
      </c>
      <c r="Y21" s="514">
        <f t="shared" si="3"/>
        <v>0.75</v>
      </c>
      <c r="Z21" s="514">
        <f t="shared" si="3"/>
        <v>0.75</v>
      </c>
      <c r="AA21" s="514">
        <f t="shared" si="3"/>
        <v>0.75</v>
      </c>
      <c r="AB21" s="514">
        <f t="shared" si="3"/>
        <v>0.75</v>
      </c>
      <c r="AC21" s="373"/>
    </row>
    <row r="22" spans="1:46" s="33" customFormat="1" x14ac:dyDescent="0.25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STAT_TRA_Shares!B20</f>
        <v>% of LPG fuelled in flexfuel LPG vehicles (rest is GSL)</v>
      </c>
      <c r="N22" s="514">
        <f>STAT_TRA_Shares!C20</f>
        <v>0.8</v>
      </c>
      <c r="O22" s="514">
        <f t="shared" si="3"/>
        <v>0.8</v>
      </c>
      <c r="P22" s="514">
        <f t="shared" si="3"/>
        <v>0.8</v>
      </c>
      <c r="Q22" s="514">
        <f t="shared" si="3"/>
        <v>0.8</v>
      </c>
      <c r="R22" s="514">
        <f t="shared" si="3"/>
        <v>0.8</v>
      </c>
      <c r="S22" s="514">
        <f t="shared" si="3"/>
        <v>0.8</v>
      </c>
      <c r="T22" s="514">
        <f t="shared" si="3"/>
        <v>0.8</v>
      </c>
      <c r="U22" s="514">
        <f t="shared" si="3"/>
        <v>0.8</v>
      </c>
      <c r="V22" s="514">
        <f t="shared" si="3"/>
        <v>0.8</v>
      </c>
      <c r="W22" s="514">
        <f t="shared" si="3"/>
        <v>0.8</v>
      </c>
      <c r="X22" s="514">
        <f t="shared" si="3"/>
        <v>0.8</v>
      </c>
      <c r="Y22" s="514">
        <f t="shared" si="3"/>
        <v>0.8</v>
      </c>
      <c r="Z22" s="514">
        <f t="shared" si="3"/>
        <v>0.8</v>
      </c>
      <c r="AA22" s="514">
        <f t="shared" si="3"/>
        <v>0.8</v>
      </c>
      <c r="AB22" s="514">
        <f t="shared" si="3"/>
        <v>0.8</v>
      </c>
      <c r="AC22" s="373"/>
    </row>
    <row r="23" spans="1:46" s="33" customFormat="1" x14ac:dyDescent="0.25">
      <c r="A23" s="44"/>
      <c r="B23" s="556" t="s">
        <v>1186</v>
      </c>
      <c r="C23" s="44"/>
      <c r="D23" s="44"/>
      <c r="E23" s="44"/>
      <c r="F23" s="44"/>
      <c r="G23" s="44"/>
      <c r="M23" s="469"/>
      <c r="N23" s="470"/>
      <c r="O23" s="470"/>
      <c r="P23" s="470"/>
      <c r="Q23" s="470"/>
      <c r="R23" s="470"/>
      <c r="S23" s="470"/>
      <c r="T23" s="470"/>
      <c r="U23" s="470"/>
      <c r="V23" s="470"/>
      <c r="W23" s="470"/>
      <c r="X23" s="470"/>
      <c r="Y23" s="470"/>
      <c r="Z23" s="470"/>
      <c r="AA23" s="470"/>
      <c r="AB23" s="470"/>
      <c r="AC23" s="373"/>
    </row>
    <row r="24" spans="1:46" s="35" customFormat="1" x14ac:dyDescent="0.25">
      <c r="I24" s="36"/>
      <c r="M24" s="473" t="s">
        <v>1152</v>
      </c>
      <c r="N24" s="482">
        <v>0</v>
      </c>
      <c r="O24" s="482">
        <v>0</v>
      </c>
      <c r="P24" s="482">
        <v>0</v>
      </c>
      <c r="Q24" s="482">
        <v>0</v>
      </c>
      <c r="R24" s="482">
        <v>0</v>
      </c>
      <c r="S24" s="482">
        <v>0</v>
      </c>
      <c r="T24" s="482">
        <v>0</v>
      </c>
      <c r="U24" s="482">
        <v>0</v>
      </c>
      <c r="V24" s="482">
        <v>0</v>
      </c>
      <c r="W24" s="482">
        <v>0</v>
      </c>
      <c r="X24" s="482">
        <v>0</v>
      </c>
      <c r="Y24" s="482">
        <v>0</v>
      </c>
      <c r="Z24" s="482">
        <v>0</v>
      </c>
      <c r="AA24" s="482">
        <v>0</v>
      </c>
      <c r="AB24" s="482">
        <v>0</v>
      </c>
    </row>
    <row r="25" spans="1:46" s="33" customFormat="1" x14ac:dyDescent="0.25">
      <c r="A25" s="44"/>
      <c r="B25" s="26" t="s">
        <v>1153</v>
      </c>
      <c r="C25" s="26"/>
      <c r="D25" s="44"/>
      <c r="E25" s="44"/>
      <c r="F25" s="44"/>
      <c r="G25" s="44"/>
      <c r="M25" s="473" t="s">
        <v>1154</v>
      </c>
      <c r="N25" s="482">
        <v>0</v>
      </c>
      <c r="O25" s="482">
        <v>0</v>
      </c>
      <c r="P25" s="482">
        <v>0</v>
      </c>
      <c r="Q25" s="482">
        <v>0</v>
      </c>
      <c r="R25" s="482">
        <v>0</v>
      </c>
      <c r="S25" s="482">
        <v>0</v>
      </c>
      <c r="T25" s="482">
        <v>0</v>
      </c>
      <c r="U25" s="482">
        <v>0</v>
      </c>
      <c r="V25" s="482">
        <v>0</v>
      </c>
      <c r="W25" s="482">
        <v>0</v>
      </c>
      <c r="X25" s="482">
        <v>0</v>
      </c>
      <c r="Y25" s="482">
        <v>0</v>
      </c>
      <c r="Z25" s="482">
        <v>0</v>
      </c>
      <c r="AA25" s="482">
        <v>0</v>
      </c>
      <c r="AB25" s="482">
        <v>0</v>
      </c>
      <c r="AC25" s="373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</row>
    <row r="26" spans="1:46" s="33" customFormat="1" x14ac:dyDescent="0.25">
      <c r="A26" s="44"/>
      <c r="B26" s="44"/>
      <c r="C26" s="44"/>
      <c r="D26" s="44"/>
      <c r="E26" s="44"/>
      <c r="F26" s="44"/>
      <c r="G26" s="44"/>
      <c r="M26" s="473"/>
      <c r="N26" s="473"/>
      <c r="O26" s="473"/>
      <c r="P26" s="473"/>
      <c r="Q26" s="473"/>
      <c r="R26" s="473"/>
      <c r="S26" s="473"/>
      <c r="T26" s="473"/>
      <c r="U26" s="473"/>
      <c r="V26" s="473"/>
      <c r="W26" s="473"/>
      <c r="X26" s="473"/>
      <c r="Y26" s="473"/>
      <c r="Z26" s="473"/>
      <c r="AA26" s="473"/>
      <c r="AB26" s="473"/>
      <c r="AC26" s="373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</row>
    <row r="27" spans="1:46" s="22" customFormat="1" x14ac:dyDescent="0.25">
      <c r="A27" s="35"/>
      <c r="B27" s="35"/>
      <c r="C27" s="50"/>
      <c r="D27" s="50"/>
      <c r="E27" s="35"/>
      <c r="F27" s="35"/>
      <c r="G27" s="35"/>
      <c r="H27" s="41"/>
      <c r="I27" s="51"/>
      <c r="J27" s="41"/>
      <c r="K27" s="35"/>
      <c r="L27" s="40" t="str">
        <f>IF(SUM(N10:AB11)&gt;0,"~FI_T","Not in use")</f>
        <v>Not in use</v>
      </c>
      <c r="M27" s="40"/>
      <c r="N27" s="471"/>
      <c r="O27" s="35"/>
      <c r="P27" s="35"/>
      <c r="Q27" s="35"/>
      <c r="R27" s="41"/>
      <c r="S27" s="35"/>
      <c r="T27" s="35"/>
      <c r="U27" s="35"/>
      <c r="V27" s="41"/>
      <c r="W27" s="35"/>
      <c r="X27" s="35"/>
      <c r="Y27" s="35"/>
      <c r="Z27" s="35"/>
      <c r="AA27" s="35"/>
      <c r="AB27" s="35"/>
      <c r="AC27" s="41"/>
      <c r="AD27" s="49" t="str">
        <f>CONCATENATE("TEST: ",B25)</f>
        <v>TEST: Base-year: Cars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</row>
    <row r="28" spans="1:46" s="82" customFormat="1" x14ac:dyDescent="0.25">
      <c r="A28" s="83"/>
      <c r="B28" s="351" t="s">
        <v>1053</v>
      </c>
      <c r="C28" s="352" t="s">
        <v>104</v>
      </c>
      <c r="D28" s="352" t="s">
        <v>1054</v>
      </c>
      <c r="E28" s="352" t="s">
        <v>673</v>
      </c>
      <c r="F28" s="352" t="s">
        <v>1155</v>
      </c>
      <c r="G28" s="352" t="s">
        <v>674</v>
      </c>
      <c r="H28" s="352" t="s">
        <v>1055</v>
      </c>
      <c r="I28" s="353" t="s">
        <v>1056</v>
      </c>
      <c r="J28" s="352" t="s">
        <v>982</v>
      </c>
      <c r="K28" s="354" t="s">
        <v>1123</v>
      </c>
      <c r="L28" s="352" t="s">
        <v>1057</v>
      </c>
      <c r="M28" s="352" t="s">
        <v>1058</v>
      </c>
      <c r="N28" s="352" t="str">
        <f t="shared" ref="N28:AB28" si="4">N$2</f>
        <v>Z01</v>
      </c>
      <c r="O28" s="352" t="str">
        <f t="shared" si="4"/>
        <v>Z02</v>
      </c>
      <c r="P28" s="352" t="str">
        <f t="shared" si="4"/>
        <v>Z03</v>
      </c>
      <c r="Q28" s="352" t="str">
        <f t="shared" si="4"/>
        <v>Z04</v>
      </c>
      <c r="R28" s="352" t="str">
        <f t="shared" si="4"/>
        <v>Z05</v>
      </c>
      <c r="S28" s="352" t="str">
        <f t="shared" si="4"/>
        <v>Z06</v>
      </c>
      <c r="T28" s="352" t="str">
        <f t="shared" si="4"/>
        <v>Z07</v>
      </c>
      <c r="U28" s="352" t="str">
        <f t="shared" si="4"/>
        <v>Z08</v>
      </c>
      <c r="V28" s="352" t="str">
        <f t="shared" si="4"/>
        <v>Z09</v>
      </c>
      <c r="W28" s="352" t="str">
        <f t="shared" si="4"/>
        <v>Z10</v>
      </c>
      <c r="X28" s="352" t="str">
        <f t="shared" si="4"/>
        <v>Z11</v>
      </c>
      <c r="Y28" s="352" t="str">
        <f t="shared" si="4"/>
        <v>Z12</v>
      </c>
      <c r="Z28" s="352" t="str">
        <f t="shared" si="4"/>
        <v>Z13</v>
      </c>
      <c r="AA28" s="352" t="str">
        <f t="shared" si="4"/>
        <v>Z14</v>
      </c>
      <c r="AB28" s="352" t="str">
        <f t="shared" si="4"/>
        <v>Z15</v>
      </c>
      <c r="AC28" s="355"/>
      <c r="AD28" s="552"/>
      <c r="AE28" s="552" t="s">
        <v>421</v>
      </c>
      <c r="AF28" s="553" t="str">
        <f t="shared" ref="AF28:AT28" si="5">N8</f>
        <v>Z01</v>
      </c>
      <c r="AG28" s="553" t="str">
        <f t="shared" si="5"/>
        <v>Z02</v>
      </c>
      <c r="AH28" s="553" t="str">
        <f t="shared" si="5"/>
        <v>Z03</v>
      </c>
      <c r="AI28" s="553" t="str">
        <f t="shared" si="5"/>
        <v>Z04</v>
      </c>
      <c r="AJ28" s="553" t="str">
        <f t="shared" si="5"/>
        <v>Z05</v>
      </c>
      <c r="AK28" s="553" t="str">
        <f t="shared" si="5"/>
        <v>Z06</v>
      </c>
      <c r="AL28" s="553" t="str">
        <f t="shared" si="5"/>
        <v>Z07</v>
      </c>
      <c r="AM28" s="553" t="str">
        <f t="shared" si="5"/>
        <v>Z08</v>
      </c>
      <c r="AN28" s="553" t="str">
        <f t="shared" si="5"/>
        <v>Z09</v>
      </c>
      <c r="AO28" s="553" t="str">
        <f t="shared" si="5"/>
        <v>Z10</v>
      </c>
      <c r="AP28" s="553" t="str">
        <f t="shared" si="5"/>
        <v>Z11</v>
      </c>
      <c r="AQ28" s="553" t="str">
        <f t="shared" si="5"/>
        <v>Z12</v>
      </c>
      <c r="AR28" s="553" t="str">
        <f t="shared" si="5"/>
        <v>Z13</v>
      </c>
      <c r="AS28" s="553" t="str">
        <f t="shared" si="5"/>
        <v>Z14</v>
      </c>
      <c r="AT28" s="553" t="str">
        <f t="shared" si="5"/>
        <v>Z15</v>
      </c>
    </row>
    <row r="29" spans="1:46" s="22" customFormat="1" x14ac:dyDescent="0.25">
      <c r="A29" s="35"/>
      <c r="B29" s="176"/>
      <c r="C29" s="176"/>
      <c r="D29" s="176" t="s">
        <v>1062</v>
      </c>
      <c r="E29" s="176"/>
      <c r="F29" s="176"/>
      <c r="G29" s="176"/>
      <c r="H29" s="176"/>
      <c r="I29" s="177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35"/>
      <c r="AD29" s="398" t="s">
        <v>1124</v>
      </c>
      <c r="AE29" s="625" t="str">
        <f>IF(AE30-(AD10+AD11)&lt;0,"too small",IF(AE30-(AD10+AD11)&gt;0.001,"Too big","ok"))</f>
        <v>ok</v>
      </c>
      <c r="AF29" s="623" t="str">
        <f t="shared" ref="AF29:AT29" si="6">IF(AF30-SUM(N12:N12)&lt;0,"too small",IF(AF30-SUM(N12:N12)&gt;0.05,"Too big","ok"))</f>
        <v>ok</v>
      </c>
      <c r="AG29" s="623" t="str">
        <f t="shared" si="6"/>
        <v>ok</v>
      </c>
      <c r="AH29" s="623" t="str">
        <f t="shared" si="6"/>
        <v>ok</v>
      </c>
      <c r="AI29" s="623" t="str">
        <f t="shared" si="6"/>
        <v>ok</v>
      </c>
      <c r="AJ29" s="623" t="str">
        <f t="shared" si="6"/>
        <v>ok</v>
      </c>
      <c r="AK29" s="623" t="str">
        <f t="shared" si="6"/>
        <v>ok</v>
      </c>
      <c r="AL29" s="623" t="str">
        <f t="shared" si="6"/>
        <v>ok</v>
      </c>
      <c r="AM29" s="623" t="str">
        <f t="shared" si="6"/>
        <v>ok</v>
      </c>
      <c r="AN29" s="623" t="str">
        <f t="shared" si="6"/>
        <v>ok</v>
      </c>
      <c r="AO29" s="623" t="str">
        <f t="shared" si="6"/>
        <v>ok</v>
      </c>
      <c r="AP29" s="623" t="str">
        <f t="shared" si="6"/>
        <v>ok</v>
      </c>
      <c r="AQ29" s="623" t="str">
        <f t="shared" si="6"/>
        <v>ok</v>
      </c>
      <c r="AR29" s="623" t="str">
        <f t="shared" si="6"/>
        <v>ok</v>
      </c>
      <c r="AS29" s="623" t="str">
        <f t="shared" si="6"/>
        <v>ok</v>
      </c>
      <c r="AT29" s="623" t="str">
        <f t="shared" si="6"/>
        <v>ok</v>
      </c>
    </row>
    <row r="30" spans="1:46" s="35" customFormat="1" x14ac:dyDescent="0.25">
      <c r="A30" s="22"/>
      <c r="B30" s="186" t="str">
        <f>C30</f>
        <v>TCARDST100P</v>
      </c>
      <c r="C30" s="216" t="s">
        <v>313</v>
      </c>
      <c r="D30" s="187" t="s">
        <v>775</v>
      </c>
      <c r="E30" s="258" t="s">
        <v>988</v>
      </c>
      <c r="F30" s="170"/>
      <c r="G30" s="189"/>
      <c r="H30" s="170"/>
      <c r="I30" s="190"/>
      <c r="J30" s="191"/>
      <c r="K30" s="191"/>
      <c r="L30" s="211" t="s">
        <v>1107</v>
      </c>
      <c r="M30" s="191" t="s">
        <v>1156</v>
      </c>
      <c r="N30" s="567">
        <f>10^-3</f>
        <v>1E-3</v>
      </c>
      <c r="O30" s="366">
        <f t="shared" ref="O30:AB30" si="7">$N30</f>
        <v>1E-3</v>
      </c>
      <c r="P30" s="366">
        <f t="shared" si="7"/>
        <v>1E-3</v>
      </c>
      <c r="Q30" s="366">
        <f t="shared" si="7"/>
        <v>1E-3</v>
      </c>
      <c r="R30" s="366">
        <f t="shared" si="7"/>
        <v>1E-3</v>
      </c>
      <c r="S30" s="366">
        <f t="shared" si="7"/>
        <v>1E-3</v>
      </c>
      <c r="T30" s="366">
        <f t="shared" si="7"/>
        <v>1E-3</v>
      </c>
      <c r="U30" s="366">
        <f t="shared" si="7"/>
        <v>1E-3</v>
      </c>
      <c r="V30" s="366">
        <f t="shared" si="7"/>
        <v>1E-3</v>
      </c>
      <c r="W30" s="366">
        <f t="shared" si="7"/>
        <v>1E-3</v>
      </c>
      <c r="X30" s="366">
        <f t="shared" si="7"/>
        <v>1E-3</v>
      </c>
      <c r="Y30" s="366">
        <f t="shared" si="7"/>
        <v>1E-3</v>
      </c>
      <c r="Z30" s="366">
        <f t="shared" si="7"/>
        <v>1E-3</v>
      </c>
      <c r="AA30" s="366">
        <f t="shared" si="7"/>
        <v>1E-3</v>
      </c>
      <c r="AB30" s="366">
        <f t="shared" si="7"/>
        <v>1E-3</v>
      </c>
      <c r="AD30" s="56" t="str">
        <f>MID(D30,5,3)</f>
        <v>DST</v>
      </c>
      <c r="AE30" s="59">
        <f>SUM(AF30:AT30)</f>
        <v>0</v>
      </c>
      <c r="AF30" s="322">
        <f t="shared" ref="AF30:AT30" si="8">SUM(AF37:AF153)</f>
        <v>0</v>
      </c>
      <c r="AG30" s="322">
        <f t="shared" si="8"/>
        <v>0</v>
      </c>
      <c r="AH30" s="322">
        <f t="shared" si="8"/>
        <v>0</v>
      </c>
      <c r="AI30" s="322">
        <f t="shared" si="8"/>
        <v>0</v>
      </c>
      <c r="AJ30" s="322">
        <f t="shared" si="8"/>
        <v>0</v>
      </c>
      <c r="AK30" s="322">
        <f t="shared" si="8"/>
        <v>0</v>
      </c>
      <c r="AL30" s="322">
        <f t="shared" si="8"/>
        <v>0</v>
      </c>
      <c r="AM30" s="322">
        <f t="shared" si="8"/>
        <v>0</v>
      </c>
      <c r="AN30" s="322">
        <f t="shared" si="8"/>
        <v>0</v>
      </c>
      <c r="AO30" s="322">
        <f t="shared" si="8"/>
        <v>0</v>
      </c>
      <c r="AP30" s="322">
        <f t="shared" si="8"/>
        <v>0</v>
      </c>
      <c r="AQ30" s="322">
        <f t="shared" si="8"/>
        <v>0</v>
      </c>
      <c r="AR30" s="322">
        <f t="shared" si="8"/>
        <v>0</v>
      </c>
      <c r="AS30" s="322">
        <f t="shared" si="8"/>
        <v>0</v>
      </c>
      <c r="AT30" s="322">
        <f t="shared" si="8"/>
        <v>0</v>
      </c>
    </row>
    <row r="31" spans="1:46" s="35" customFormat="1" x14ac:dyDescent="0.25">
      <c r="A31" s="22"/>
      <c r="B31" s="186" t="str">
        <f>B30</f>
        <v>TCARDST100P</v>
      </c>
      <c r="C31" s="186"/>
      <c r="D31" s="187"/>
      <c r="E31" s="258" t="s">
        <v>185</v>
      </c>
      <c r="F31" s="170"/>
      <c r="G31" s="189"/>
      <c r="H31" s="170"/>
      <c r="I31" s="190"/>
      <c r="J31" s="191" t="s">
        <v>1157</v>
      </c>
      <c r="K31" s="191"/>
      <c r="L31" s="211" t="s">
        <v>101</v>
      </c>
      <c r="M31" s="191"/>
      <c r="N31" s="377">
        <f>1-N17</f>
        <v>0.85</v>
      </c>
      <c r="O31" s="377">
        <f t="shared" ref="O31:AB31" si="9">1-O17</f>
        <v>0.85</v>
      </c>
      <c r="P31" s="377">
        <f t="shared" si="9"/>
        <v>0.85</v>
      </c>
      <c r="Q31" s="377">
        <f t="shared" si="9"/>
        <v>0.85</v>
      </c>
      <c r="R31" s="377">
        <f t="shared" si="9"/>
        <v>0.85</v>
      </c>
      <c r="S31" s="377">
        <f t="shared" si="9"/>
        <v>0.85</v>
      </c>
      <c r="T31" s="377">
        <f t="shared" si="9"/>
        <v>0.85</v>
      </c>
      <c r="U31" s="377">
        <f t="shared" si="9"/>
        <v>0.85</v>
      </c>
      <c r="V31" s="377">
        <f t="shared" si="9"/>
        <v>0.85</v>
      </c>
      <c r="W31" s="377">
        <f t="shared" si="9"/>
        <v>0.85</v>
      </c>
      <c r="X31" s="377">
        <f t="shared" si="9"/>
        <v>0.85</v>
      </c>
      <c r="Y31" s="377">
        <f t="shared" si="9"/>
        <v>0.85</v>
      </c>
      <c r="Z31" s="377">
        <f t="shared" si="9"/>
        <v>0.85</v>
      </c>
      <c r="AA31" s="377">
        <f t="shared" si="9"/>
        <v>0.85</v>
      </c>
      <c r="AB31" s="377">
        <f t="shared" si="9"/>
        <v>0.85</v>
      </c>
      <c r="AD31" s="66" t="str">
        <f>IF(COUNTIF($AG$4:$AP$4,AD30)=1,"ok","MISSING")</f>
        <v>ok</v>
      </c>
      <c r="AE31" s="327"/>
    </row>
    <row r="32" spans="1:46" s="35" customFormat="1" x14ac:dyDescent="0.25">
      <c r="B32" s="186" t="str">
        <f t="shared" ref="B32:B42" si="10">B31</f>
        <v>TCARDST100P</v>
      </c>
      <c r="C32" s="186"/>
      <c r="D32" s="187"/>
      <c r="E32" s="186"/>
      <c r="F32" s="170"/>
      <c r="G32" s="214" t="s">
        <v>410</v>
      </c>
      <c r="H32" s="170"/>
      <c r="I32" s="190"/>
      <c r="J32" s="191"/>
      <c r="K32" s="191"/>
      <c r="L32" s="191" t="s">
        <v>1126</v>
      </c>
      <c r="M32" s="186" t="s">
        <v>678</v>
      </c>
      <c r="N32" s="377">
        <f>T_CEFF!H74</f>
        <v>0.42781000000000002</v>
      </c>
      <c r="O32" s="377">
        <f>T_CEFF!I74</f>
        <v>0.42781000000000002</v>
      </c>
      <c r="P32" s="377">
        <f>T_CEFF!J74</f>
        <v>0.42781000000000002</v>
      </c>
      <c r="Q32" s="377">
        <f>T_CEFF!K74</f>
        <v>0.42781000000000002</v>
      </c>
      <c r="R32" s="377">
        <f>T_CEFF!L74</f>
        <v>0.42781000000000002</v>
      </c>
      <c r="S32" s="377">
        <f>T_CEFF!M74</f>
        <v>0.42781000000000002</v>
      </c>
      <c r="T32" s="377">
        <f>T_CEFF!N74</f>
        <v>0.42781000000000002</v>
      </c>
      <c r="U32" s="377">
        <f>T_CEFF!O74</f>
        <v>0.42781000000000002</v>
      </c>
      <c r="V32" s="377">
        <f>T_CEFF!P74</f>
        <v>0.42781000000000002</v>
      </c>
      <c r="W32" s="377">
        <f>T_CEFF!Q74</f>
        <v>0.42781000000000002</v>
      </c>
      <c r="X32" s="377">
        <f>T_CEFF!R74</f>
        <v>0.42781000000000002</v>
      </c>
      <c r="Y32" s="377">
        <f>T_CEFF!S74</f>
        <v>0.42781000000000002</v>
      </c>
      <c r="Z32" s="377">
        <f>T_CEFF!T74</f>
        <v>0.42781000000000002</v>
      </c>
      <c r="AA32" s="377">
        <f>T_CEFF!U74</f>
        <v>0.42781000000000002</v>
      </c>
      <c r="AB32" s="377">
        <f>T_CEFF!V74</f>
        <v>0.42781000000000002</v>
      </c>
    </row>
    <row r="33" spans="1:46" s="35" customFormat="1" x14ac:dyDescent="0.25">
      <c r="B33" s="186" t="str">
        <f t="shared" si="10"/>
        <v>TCARDST100P</v>
      </c>
      <c r="C33" s="186"/>
      <c r="D33" s="187"/>
      <c r="E33" s="186"/>
      <c r="F33" s="170"/>
      <c r="G33" s="214" t="s">
        <v>412</v>
      </c>
      <c r="H33" s="170"/>
      <c r="I33" s="190"/>
      <c r="J33" s="191"/>
      <c r="K33" s="191"/>
      <c r="L33" s="191" t="s">
        <v>1126</v>
      </c>
      <c r="M33" s="186" t="s">
        <v>678</v>
      </c>
      <c r="N33" s="377">
        <f>T_CEFF!H75</f>
        <v>0.37558999999999998</v>
      </c>
      <c r="O33" s="377">
        <f>T_CEFF!I75</f>
        <v>0.37558999999999998</v>
      </c>
      <c r="P33" s="377">
        <f>T_CEFF!J75</f>
        <v>0.37558999999999998</v>
      </c>
      <c r="Q33" s="377">
        <f>T_CEFF!K75</f>
        <v>0.37558999999999998</v>
      </c>
      <c r="R33" s="377">
        <f>T_CEFF!L75</f>
        <v>0.37558999999999998</v>
      </c>
      <c r="S33" s="377">
        <f>T_CEFF!M75</f>
        <v>0.37558999999999998</v>
      </c>
      <c r="T33" s="377">
        <f>T_CEFF!N75</f>
        <v>0.37558999999999998</v>
      </c>
      <c r="U33" s="377">
        <f>T_CEFF!O75</f>
        <v>0.37558999999999998</v>
      </c>
      <c r="V33" s="377">
        <f>T_CEFF!P75</f>
        <v>0.37558999999999998</v>
      </c>
      <c r="W33" s="377">
        <f>T_CEFF!Q75</f>
        <v>0.37558999999999998</v>
      </c>
      <c r="X33" s="377">
        <f>T_CEFF!R75</f>
        <v>0.37558999999999998</v>
      </c>
      <c r="Y33" s="377">
        <f>T_CEFF!S75</f>
        <v>0.37558999999999998</v>
      </c>
      <c r="Z33" s="377">
        <f>T_CEFF!T75</f>
        <v>0.37558999999999998</v>
      </c>
      <c r="AA33" s="377">
        <f>T_CEFF!U75</f>
        <v>0.37558999999999998</v>
      </c>
      <c r="AB33" s="377">
        <f>T_CEFF!V75</f>
        <v>0.37558999999999998</v>
      </c>
    </row>
    <row r="34" spans="1:46" s="35" customFormat="1" x14ac:dyDescent="0.25">
      <c r="B34" s="186" t="str">
        <f>B33</f>
        <v>TCARDST100P</v>
      </c>
      <c r="C34" s="186"/>
      <c r="D34" s="187"/>
      <c r="E34" s="186"/>
      <c r="F34" s="170"/>
      <c r="G34" s="213"/>
      <c r="H34" s="170"/>
      <c r="I34" s="190"/>
      <c r="J34" s="191"/>
      <c r="K34" s="191" t="s">
        <v>749</v>
      </c>
      <c r="L34" s="191" t="s">
        <v>1128</v>
      </c>
      <c r="M34" s="186" t="s">
        <v>1159</v>
      </c>
      <c r="N34" s="368">
        <f>N$14</f>
        <v>0</v>
      </c>
      <c r="O34" s="368">
        <f t="shared" ref="O34:AB34" si="11">O$14</f>
        <v>0</v>
      </c>
      <c r="P34" s="368">
        <f t="shared" si="11"/>
        <v>0</v>
      </c>
      <c r="Q34" s="368">
        <f t="shared" si="11"/>
        <v>0</v>
      </c>
      <c r="R34" s="368">
        <f t="shared" si="11"/>
        <v>0</v>
      </c>
      <c r="S34" s="368">
        <f t="shared" si="11"/>
        <v>0</v>
      </c>
      <c r="T34" s="368">
        <f t="shared" si="11"/>
        <v>0</v>
      </c>
      <c r="U34" s="368">
        <f t="shared" si="11"/>
        <v>0</v>
      </c>
      <c r="V34" s="368">
        <f t="shared" si="11"/>
        <v>0</v>
      </c>
      <c r="W34" s="368">
        <f t="shared" si="11"/>
        <v>0</v>
      </c>
      <c r="X34" s="368">
        <f t="shared" si="11"/>
        <v>0</v>
      </c>
      <c r="Y34" s="368">
        <f t="shared" si="11"/>
        <v>0</v>
      </c>
      <c r="Z34" s="368">
        <f t="shared" si="11"/>
        <v>0</v>
      </c>
      <c r="AA34" s="368">
        <f t="shared" si="11"/>
        <v>0</v>
      </c>
      <c r="AB34" s="368">
        <f t="shared" si="11"/>
        <v>0</v>
      </c>
    </row>
    <row r="35" spans="1:46" s="35" customFormat="1" x14ac:dyDescent="0.25">
      <c r="B35" s="186" t="str">
        <f t="shared" si="10"/>
        <v>TCARDST100P</v>
      </c>
      <c r="C35" s="186"/>
      <c r="D35" s="187"/>
      <c r="E35" s="186"/>
      <c r="F35" s="170"/>
      <c r="G35" s="213"/>
      <c r="H35" s="170"/>
      <c r="I35" s="190"/>
      <c r="J35" s="191"/>
      <c r="K35" s="191"/>
      <c r="L35" s="211" t="s">
        <v>1130</v>
      </c>
      <c r="M35" s="186" t="s">
        <v>1131</v>
      </c>
      <c r="N35" s="376">
        <f>LOOKUP($C$30, T_NCAP_AF!$C$35:$C$45, T_NCAP_AF!D$35:D$45)*(1+N$24)</f>
        <v>0</v>
      </c>
      <c r="O35" s="376">
        <f>LOOKUP($C$30, T_NCAP_AF!$C$35:$C$45, T_NCAP_AF!E$35:E$45)*(1+O$24)</f>
        <v>0</v>
      </c>
      <c r="P35" s="376">
        <f>LOOKUP($C$30, T_NCAP_AF!$C$35:$C$45, T_NCAP_AF!F$35:F$45)*(1+P$24)</f>
        <v>0</v>
      </c>
      <c r="Q35" s="376">
        <f>LOOKUP($C$30, T_NCAP_AF!$C$35:$C$45, T_NCAP_AF!G$35:G$45)*(1+Q$24)</f>
        <v>0</v>
      </c>
      <c r="R35" s="376">
        <f>LOOKUP($C$30, T_NCAP_AF!$C$35:$C$45, T_NCAP_AF!H$35:H$45)*(1+R$24)</f>
        <v>0</v>
      </c>
      <c r="S35" s="376">
        <f>LOOKUP($C$30, T_NCAP_AF!$C$35:$C$45, T_NCAP_AF!I$35:I$45)*(1+S$24)</f>
        <v>0</v>
      </c>
      <c r="T35" s="376">
        <f>LOOKUP($C$30, T_NCAP_AF!$C$35:$C$45, T_NCAP_AF!J$35:J$45)*(1+T$24)</f>
        <v>0</v>
      </c>
      <c r="U35" s="376">
        <f>LOOKUP($C$30, T_NCAP_AF!$C$35:$C$45, T_NCAP_AF!K$35:K$45)*(1+U$24)</f>
        <v>0</v>
      </c>
      <c r="V35" s="376">
        <f>LOOKUP($C$30, T_NCAP_AF!$C$35:$C$45, T_NCAP_AF!L$35:L$45)*(1+V$24)</f>
        <v>0</v>
      </c>
      <c r="W35" s="376">
        <f>LOOKUP($C$30, T_NCAP_AF!$C$35:$C$45, T_NCAP_AF!M$35:M$45)*(1+W$24)</f>
        <v>0</v>
      </c>
      <c r="X35" s="376">
        <f>LOOKUP($C$30, T_NCAP_AF!$C$35:$C$45, T_NCAP_AF!N$35:N$45)*(1+X$24)</f>
        <v>0</v>
      </c>
      <c r="Y35" s="376">
        <f>LOOKUP($C$30, T_NCAP_AF!$C$35:$C$45, T_NCAP_AF!O$35:O$45)*(1+Y$24)</f>
        <v>0</v>
      </c>
      <c r="Z35" s="376">
        <f>LOOKUP($C$30, T_NCAP_AF!$C$35:$C$45, T_NCAP_AF!P$35:P$45)*(1+Z$24)</f>
        <v>0</v>
      </c>
      <c r="AA35" s="376">
        <f>LOOKUP($C$30, T_NCAP_AF!$C$35:$C$45, T_NCAP_AF!Q$35:Q$45)*(1+AA$24)</f>
        <v>0</v>
      </c>
      <c r="AB35" s="376">
        <f>LOOKUP($C$30, T_NCAP_AF!$C$35:$C$45, T_NCAP_AF!R$35:R$45)*(1+AB$24)</f>
        <v>0</v>
      </c>
    </row>
    <row r="36" spans="1:46" s="35" customFormat="1" x14ac:dyDescent="0.25">
      <c r="B36" s="186" t="str">
        <f>B35</f>
        <v>TCARDST100P</v>
      </c>
      <c r="C36" s="186"/>
      <c r="D36" s="187"/>
      <c r="E36" s="186"/>
      <c r="F36" s="170"/>
      <c r="G36" s="213"/>
      <c r="H36" s="170"/>
      <c r="I36" s="190">
        <f>$M$3</f>
        <v>2019</v>
      </c>
      <c r="J36" s="191"/>
      <c r="K36" s="191"/>
      <c r="L36" s="211" t="s">
        <v>1065</v>
      </c>
      <c r="M36" s="217" t="s">
        <v>748</v>
      </c>
      <c r="N36" s="687">
        <f>LOOKUP($C$30, T_Stock_Private!$C$26:$C$36, T_Stock_Private!D$26:D$36)*(1+N$25)</f>
        <v>0</v>
      </c>
      <c r="O36" s="687">
        <f>LOOKUP($C$30, T_Stock_Private!$C$26:$C$36, T_Stock_Private!E$26:E$36)*(1+O$25)</f>
        <v>0</v>
      </c>
      <c r="P36" s="687">
        <f>LOOKUP($C$30, T_Stock_Private!$C$26:$C$36, T_Stock_Private!F$26:F$36)*(1+P$25)</f>
        <v>0</v>
      </c>
      <c r="Q36" s="687">
        <f>LOOKUP($C$30, T_Stock_Private!$C$26:$C$36, T_Stock_Private!G$26:G$36)*(1+Q$25)</f>
        <v>0</v>
      </c>
      <c r="R36" s="687">
        <f>LOOKUP($C$30, T_Stock_Private!$C$26:$C$36, T_Stock_Private!H$26:H$36)*(1+R$25)</f>
        <v>0</v>
      </c>
      <c r="S36" s="687">
        <f>LOOKUP($C$30, T_Stock_Private!$C$26:$C$36, T_Stock_Private!I$26:I$36)*(1+S$25)</f>
        <v>0</v>
      </c>
      <c r="T36" s="687">
        <f>LOOKUP($C$30, T_Stock_Private!$C$26:$C$36, T_Stock_Private!J$26:J$36)*(1+T$25)</f>
        <v>0</v>
      </c>
      <c r="U36" s="687">
        <f>LOOKUP($C$30, T_Stock_Private!$C$26:$C$36, T_Stock_Private!K$26:K$36)*(1+U$25)</f>
        <v>0</v>
      </c>
      <c r="V36" s="687">
        <f>LOOKUP($C$30, T_Stock_Private!$C$26:$C$36, T_Stock_Private!L$26:L$36)*(1+V$25)</f>
        <v>0</v>
      </c>
      <c r="W36" s="687">
        <f>LOOKUP($C$30, T_Stock_Private!$C$26:$C$36, T_Stock_Private!M$26:M$36)*(1+W$25)</f>
        <v>0</v>
      </c>
      <c r="X36" s="687">
        <f>LOOKUP($C$30, T_Stock_Private!$C$26:$C$36, T_Stock_Private!N$26:N$36)*(1+X$25)</f>
        <v>0</v>
      </c>
      <c r="Y36" s="687">
        <f>LOOKUP($C$30, T_Stock_Private!$C$26:$C$36, T_Stock_Private!O$26:O$36)*(1+Y$25)</f>
        <v>0</v>
      </c>
      <c r="Z36" s="687">
        <f>LOOKUP($C$30, T_Stock_Private!$C$26:$C$36, T_Stock_Private!P$26:P$36)*(1+Z$25)</f>
        <v>0</v>
      </c>
      <c r="AA36" s="687">
        <f>LOOKUP($C$30, T_Stock_Private!$C$26:$C$36, T_Stock_Private!Q$26:Q$36)*(1+AA$25)</f>
        <v>0</v>
      </c>
      <c r="AB36" s="687">
        <f>LOOKUP($C$30, T_Stock_Private!$C$26:$C$36, T_Stock_Private!R$26:R$36)*(1+AB$25)</f>
        <v>0</v>
      </c>
    </row>
    <row r="37" spans="1:46" s="35" customFormat="1" x14ac:dyDescent="0.25">
      <c r="B37" s="186" t="str">
        <f t="shared" si="10"/>
        <v>TCARDST100P</v>
      </c>
      <c r="C37" s="186"/>
      <c r="D37" s="187"/>
      <c r="E37" s="186"/>
      <c r="F37" s="170"/>
      <c r="G37" s="213"/>
      <c r="H37" s="170"/>
      <c r="I37" s="190">
        <f>AF$5</f>
        <v>2016</v>
      </c>
      <c r="J37" s="191"/>
      <c r="K37" s="191"/>
      <c r="L37" s="211" t="s">
        <v>1065</v>
      </c>
      <c r="M37" s="186" t="s">
        <v>748</v>
      </c>
      <c r="N37" s="687">
        <f t="shared" ref="N37:AB37" si="12">N$36*LOOKUP($AD$30,$AG$4:$AP$4,$AG5:$AP5)</f>
        <v>0</v>
      </c>
      <c r="O37" s="687">
        <f t="shared" si="12"/>
        <v>0</v>
      </c>
      <c r="P37" s="687">
        <f t="shared" si="12"/>
        <v>0</v>
      </c>
      <c r="Q37" s="687">
        <f t="shared" si="12"/>
        <v>0</v>
      </c>
      <c r="R37" s="687">
        <f t="shared" si="12"/>
        <v>0</v>
      </c>
      <c r="S37" s="687">
        <f t="shared" si="12"/>
        <v>0</v>
      </c>
      <c r="T37" s="687">
        <f t="shared" si="12"/>
        <v>0</v>
      </c>
      <c r="U37" s="687">
        <f t="shared" si="12"/>
        <v>0</v>
      </c>
      <c r="V37" s="687">
        <f t="shared" si="12"/>
        <v>0</v>
      </c>
      <c r="W37" s="687">
        <f t="shared" si="12"/>
        <v>0</v>
      </c>
      <c r="X37" s="687">
        <f t="shared" si="12"/>
        <v>0</v>
      </c>
      <c r="Y37" s="687">
        <f t="shared" si="12"/>
        <v>0</v>
      </c>
      <c r="Z37" s="687">
        <f t="shared" si="12"/>
        <v>0</v>
      </c>
      <c r="AA37" s="687">
        <f t="shared" si="12"/>
        <v>0</v>
      </c>
      <c r="AB37" s="687">
        <f t="shared" si="12"/>
        <v>0</v>
      </c>
      <c r="AE37" s="569">
        <f>SUM(AF37:AT37)</f>
        <v>0</v>
      </c>
      <c r="AF37" s="568">
        <f>N34*N35*N36/1000</f>
        <v>0</v>
      </c>
      <c r="AG37" s="568">
        <f t="shared" ref="AG37:AT37" si="13">O34*O35*O36</f>
        <v>0</v>
      </c>
      <c r="AH37" s="568">
        <f t="shared" si="13"/>
        <v>0</v>
      </c>
      <c r="AI37" s="568">
        <f t="shared" si="13"/>
        <v>0</v>
      </c>
      <c r="AJ37" s="568">
        <f t="shared" si="13"/>
        <v>0</v>
      </c>
      <c r="AK37" s="568">
        <f t="shared" si="13"/>
        <v>0</v>
      </c>
      <c r="AL37" s="568">
        <f t="shared" si="13"/>
        <v>0</v>
      </c>
      <c r="AM37" s="568">
        <f t="shared" si="13"/>
        <v>0</v>
      </c>
      <c r="AN37" s="568">
        <f t="shared" si="13"/>
        <v>0</v>
      </c>
      <c r="AO37" s="568">
        <f t="shared" si="13"/>
        <v>0</v>
      </c>
      <c r="AP37" s="568">
        <f t="shared" si="13"/>
        <v>0</v>
      </c>
      <c r="AQ37" s="568">
        <f t="shared" si="13"/>
        <v>0</v>
      </c>
      <c r="AR37" s="568">
        <f t="shared" si="13"/>
        <v>0</v>
      </c>
      <c r="AS37" s="568">
        <f t="shared" si="13"/>
        <v>0</v>
      </c>
      <c r="AT37" s="568">
        <f t="shared" si="13"/>
        <v>0</v>
      </c>
    </row>
    <row r="38" spans="1:46" s="35" customFormat="1" x14ac:dyDescent="0.25">
      <c r="B38" s="186" t="str">
        <f t="shared" si="10"/>
        <v>TCARDST100P</v>
      </c>
      <c r="C38" s="186"/>
      <c r="D38" s="187"/>
      <c r="E38" s="186"/>
      <c r="F38" s="170"/>
      <c r="G38" s="213"/>
      <c r="H38" s="170"/>
      <c r="I38" s="190">
        <f>AF$6</f>
        <v>2020</v>
      </c>
      <c r="J38" s="191"/>
      <c r="K38" s="191"/>
      <c r="L38" s="211" t="s">
        <v>1065</v>
      </c>
      <c r="M38" s="186" t="s">
        <v>748</v>
      </c>
      <c r="N38" s="687">
        <f t="shared" ref="N38:AB38" si="14">N$36*LOOKUP($AD$30,$AG$4:$AP$4,$AG6:$AP6)</f>
        <v>0</v>
      </c>
      <c r="O38" s="687">
        <f t="shared" si="14"/>
        <v>0</v>
      </c>
      <c r="P38" s="687">
        <f t="shared" si="14"/>
        <v>0</v>
      </c>
      <c r="Q38" s="687">
        <f t="shared" si="14"/>
        <v>0</v>
      </c>
      <c r="R38" s="687">
        <f t="shared" si="14"/>
        <v>0</v>
      </c>
      <c r="S38" s="687">
        <f t="shared" si="14"/>
        <v>0</v>
      </c>
      <c r="T38" s="687">
        <f t="shared" si="14"/>
        <v>0</v>
      </c>
      <c r="U38" s="687">
        <f t="shared" si="14"/>
        <v>0</v>
      </c>
      <c r="V38" s="687">
        <f t="shared" si="14"/>
        <v>0</v>
      </c>
      <c r="W38" s="687">
        <f t="shared" si="14"/>
        <v>0</v>
      </c>
      <c r="X38" s="687">
        <f t="shared" si="14"/>
        <v>0</v>
      </c>
      <c r="Y38" s="687">
        <f t="shared" si="14"/>
        <v>0</v>
      </c>
      <c r="Z38" s="687">
        <f t="shared" si="14"/>
        <v>0</v>
      </c>
      <c r="AA38" s="687">
        <f t="shared" si="14"/>
        <v>0</v>
      </c>
      <c r="AB38" s="687">
        <f t="shared" si="14"/>
        <v>0</v>
      </c>
    </row>
    <row r="39" spans="1:46" s="35" customFormat="1" x14ac:dyDescent="0.25">
      <c r="B39" s="186" t="str">
        <f t="shared" si="10"/>
        <v>TCARDST100P</v>
      </c>
      <c r="C39" s="186"/>
      <c r="D39" s="187"/>
      <c r="E39" s="186"/>
      <c r="F39" s="170"/>
      <c r="G39" s="213"/>
      <c r="H39" s="170"/>
      <c r="I39" s="190">
        <f>AF$7</f>
        <v>2025</v>
      </c>
      <c r="J39" s="191"/>
      <c r="K39" s="191"/>
      <c r="L39" s="211" t="s">
        <v>1065</v>
      </c>
      <c r="M39" s="186" t="s">
        <v>748</v>
      </c>
      <c r="N39" s="687">
        <f t="shared" ref="N39:AB39" si="15">N$36*LOOKUP($AD$30,$AG$4:$AP$4,$AG7:$AP7)</f>
        <v>0</v>
      </c>
      <c r="O39" s="687">
        <f t="shared" si="15"/>
        <v>0</v>
      </c>
      <c r="P39" s="687">
        <f t="shared" si="15"/>
        <v>0</v>
      </c>
      <c r="Q39" s="687">
        <f t="shared" si="15"/>
        <v>0</v>
      </c>
      <c r="R39" s="687">
        <f t="shared" si="15"/>
        <v>0</v>
      </c>
      <c r="S39" s="687">
        <f t="shared" si="15"/>
        <v>0</v>
      </c>
      <c r="T39" s="687">
        <f t="shared" si="15"/>
        <v>0</v>
      </c>
      <c r="U39" s="687">
        <f t="shared" si="15"/>
        <v>0</v>
      </c>
      <c r="V39" s="687">
        <f t="shared" si="15"/>
        <v>0</v>
      </c>
      <c r="W39" s="687">
        <f t="shared" si="15"/>
        <v>0</v>
      </c>
      <c r="X39" s="687">
        <f t="shared" si="15"/>
        <v>0</v>
      </c>
      <c r="Y39" s="687">
        <f t="shared" si="15"/>
        <v>0</v>
      </c>
      <c r="Z39" s="687">
        <f t="shared" si="15"/>
        <v>0</v>
      </c>
      <c r="AA39" s="687">
        <f t="shared" si="15"/>
        <v>0</v>
      </c>
      <c r="AB39" s="687">
        <f t="shared" si="15"/>
        <v>0</v>
      </c>
    </row>
    <row r="40" spans="1:46" s="35" customFormat="1" x14ac:dyDescent="0.25">
      <c r="B40" s="186" t="str">
        <f t="shared" si="10"/>
        <v>TCARDST100P</v>
      </c>
      <c r="C40" s="186"/>
      <c r="D40" s="187"/>
      <c r="E40" s="186"/>
      <c r="F40" s="170"/>
      <c r="G40" s="213"/>
      <c r="H40" s="170"/>
      <c r="I40" s="190">
        <f>AF$8</f>
        <v>2030</v>
      </c>
      <c r="J40" s="191"/>
      <c r="K40" s="191"/>
      <c r="L40" s="211" t="s">
        <v>1065</v>
      </c>
      <c r="M40" s="186" t="s">
        <v>748</v>
      </c>
      <c r="N40" s="687">
        <f t="shared" ref="N40:AB40" si="16">N$36*LOOKUP($AD$30,$AG$4:$AP$4,$AG8:$AP8)</f>
        <v>0</v>
      </c>
      <c r="O40" s="687">
        <f t="shared" si="16"/>
        <v>0</v>
      </c>
      <c r="P40" s="687">
        <f t="shared" si="16"/>
        <v>0</v>
      </c>
      <c r="Q40" s="687">
        <f t="shared" si="16"/>
        <v>0</v>
      </c>
      <c r="R40" s="687">
        <f t="shared" si="16"/>
        <v>0</v>
      </c>
      <c r="S40" s="687">
        <f t="shared" si="16"/>
        <v>0</v>
      </c>
      <c r="T40" s="687">
        <f t="shared" si="16"/>
        <v>0</v>
      </c>
      <c r="U40" s="687">
        <f t="shared" si="16"/>
        <v>0</v>
      </c>
      <c r="V40" s="687">
        <f t="shared" si="16"/>
        <v>0</v>
      </c>
      <c r="W40" s="687">
        <f t="shared" si="16"/>
        <v>0</v>
      </c>
      <c r="X40" s="687">
        <f t="shared" si="16"/>
        <v>0</v>
      </c>
      <c r="Y40" s="687">
        <f t="shared" si="16"/>
        <v>0</v>
      </c>
      <c r="Z40" s="687">
        <f t="shared" si="16"/>
        <v>0</v>
      </c>
      <c r="AA40" s="687">
        <f t="shared" si="16"/>
        <v>0</v>
      </c>
      <c r="AB40" s="687">
        <f t="shared" si="16"/>
        <v>0</v>
      </c>
    </row>
    <row r="41" spans="1:46" s="35" customFormat="1" x14ac:dyDescent="0.25">
      <c r="B41" s="186" t="str">
        <f t="shared" si="10"/>
        <v>TCARDST100P</v>
      </c>
      <c r="C41" s="186"/>
      <c r="D41" s="187"/>
      <c r="E41" s="186"/>
      <c r="F41" s="170"/>
      <c r="G41" s="213"/>
      <c r="H41" s="170"/>
      <c r="I41" s="190">
        <f>AF$9</f>
        <v>2040</v>
      </c>
      <c r="J41" s="191"/>
      <c r="K41" s="191"/>
      <c r="L41" s="211" t="s">
        <v>1065</v>
      </c>
      <c r="M41" s="186" t="s">
        <v>748</v>
      </c>
      <c r="N41" s="687">
        <f t="shared" ref="N41:AB41" si="17">N$36*LOOKUP($AD$30,$AG$4:$AP$4,$AG9:$AP9)</f>
        <v>0</v>
      </c>
      <c r="O41" s="687">
        <f t="shared" si="17"/>
        <v>0</v>
      </c>
      <c r="P41" s="687">
        <f t="shared" si="17"/>
        <v>0</v>
      </c>
      <c r="Q41" s="687">
        <f t="shared" si="17"/>
        <v>0</v>
      </c>
      <c r="R41" s="687">
        <f t="shared" si="17"/>
        <v>0</v>
      </c>
      <c r="S41" s="687">
        <f t="shared" si="17"/>
        <v>0</v>
      </c>
      <c r="T41" s="687">
        <f t="shared" si="17"/>
        <v>0</v>
      </c>
      <c r="U41" s="687">
        <f t="shared" si="17"/>
        <v>0</v>
      </c>
      <c r="V41" s="687">
        <f t="shared" si="17"/>
        <v>0</v>
      </c>
      <c r="W41" s="687">
        <f t="shared" si="17"/>
        <v>0</v>
      </c>
      <c r="X41" s="687">
        <f t="shared" si="17"/>
        <v>0</v>
      </c>
      <c r="Y41" s="687">
        <f t="shared" si="17"/>
        <v>0</v>
      </c>
      <c r="Z41" s="687">
        <f t="shared" si="17"/>
        <v>0</v>
      </c>
      <c r="AA41" s="687">
        <f t="shared" si="17"/>
        <v>0</v>
      </c>
      <c r="AB41" s="687">
        <f t="shared" si="17"/>
        <v>0</v>
      </c>
    </row>
    <row r="42" spans="1:46" s="35" customFormat="1" x14ac:dyDescent="0.25">
      <c r="B42" s="193" t="str">
        <f t="shared" si="10"/>
        <v>TCARDST100P</v>
      </c>
      <c r="C42" s="193"/>
      <c r="D42" s="194"/>
      <c r="E42" s="193"/>
      <c r="F42" s="196"/>
      <c r="G42" s="215"/>
      <c r="H42" s="196"/>
      <c r="I42" s="197">
        <f>AF$10</f>
        <v>2050</v>
      </c>
      <c r="J42" s="198"/>
      <c r="K42" s="198"/>
      <c r="L42" s="212" t="s">
        <v>1065</v>
      </c>
      <c r="M42" s="193" t="s">
        <v>748</v>
      </c>
      <c r="N42" s="688">
        <f t="shared" ref="N42:AB42" si="18">N$36*LOOKUP($AD$30,$AG$4:$AP$4,$AG10:$AP10)</f>
        <v>0</v>
      </c>
      <c r="O42" s="688">
        <f t="shared" si="18"/>
        <v>0</v>
      </c>
      <c r="P42" s="688">
        <f t="shared" si="18"/>
        <v>0</v>
      </c>
      <c r="Q42" s="688">
        <f t="shared" si="18"/>
        <v>0</v>
      </c>
      <c r="R42" s="688">
        <f t="shared" si="18"/>
        <v>0</v>
      </c>
      <c r="S42" s="688">
        <f t="shared" si="18"/>
        <v>0</v>
      </c>
      <c r="T42" s="688">
        <f t="shared" si="18"/>
        <v>0</v>
      </c>
      <c r="U42" s="688">
        <f t="shared" si="18"/>
        <v>0</v>
      </c>
      <c r="V42" s="688">
        <f t="shared" si="18"/>
        <v>0</v>
      </c>
      <c r="W42" s="688">
        <f t="shared" si="18"/>
        <v>0</v>
      </c>
      <c r="X42" s="688">
        <f t="shared" si="18"/>
        <v>0</v>
      </c>
      <c r="Y42" s="688">
        <f t="shared" si="18"/>
        <v>0</v>
      </c>
      <c r="Z42" s="688">
        <f t="shared" si="18"/>
        <v>0</v>
      </c>
      <c r="AA42" s="688">
        <f t="shared" si="18"/>
        <v>0</v>
      </c>
      <c r="AB42" s="688">
        <f t="shared" si="18"/>
        <v>0</v>
      </c>
      <c r="AD42" s="400"/>
    </row>
    <row r="43" spans="1:46" s="35" customFormat="1" x14ac:dyDescent="0.25">
      <c r="A43" s="22"/>
      <c r="B43" s="186" t="str">
        <f>C43</f>
        <v>TCARELC100P</v>
      </c>
      <c r="C43" s="186" t="s">
        <v>314</v>
      </c>
      <c r="D43" s="187" t="s">
        <v>778</v>
      </c>
      <c r="E43" s="188" t="s">
        <v>683</v>
      </c>
      <c r="F43" s="170"/>
      <c r="G43" s="213"/>
      <c r="H43" s="170"/>
      <c r="I43" s="190"/>
      <c r="J43" s="191"/>
      <c r="K43" s="191"/>
      <c r="L43" s="211" t="s">
        <v>1107</v>
      </c>
      <c r="M43" s="191" t="s">
        <v>1156</v>
      </c>
      <c r="N43" s="366">
        <f>N$30</f>
        <v>1E-3</v>
      </c>
      <c r="O43" s="366">
        <f t="shared" ref="O43:AB43" si="19">$N43</f>
        <v>1E-3</v>
      </c>
      <c r="P43" s="366">
        <f t="shared" si="19"/>
        <v>1E-3</v>
      </c>
      <c r="Q43" s="366">
        <f t="shared" si="19"/>
        <v>1E-3</v>
      </c>
      <c r="R43" s="366">
        <f t="shared" si="19"/>
        <v>1E-3</v>
      </c>
      <c r="S43" s="366">
        <f t="shared" si="19"/>
        <v>1E-3</v>
      </c>
      <c r="T43" s="366">
        <f t="shared" si="19"/>
        <v>1E-3</v>
      </c>
      <c r="U43" s="366">
        <f t="shared" si="19"/>
        <v>1E-3</v>
      </c>
      <c r="V43" s="366">
        <f t="shared" si="19"/>
        <v>1E-3</v>
      </c>
      <c r="W43" s="366">
        <f t="shared" si="19"/>
        <v>1E-3</v>
      </c>
      <c r="X43" s="366">
        <f t="shared" si="19"/>
        <v>1E-3</v>
      </c>
      <c r="Y43" s="366">
        <f t="shared" si="19"/>
        <v>1E-3</v>
      </c>
      <c r="Z43" s="366">
        <f t="shared" si="19"/>
        <v>1E-3</v>
      </c>
      <c r="AA43" s="366">
        <f t="shared" si="19"/>
        <v>1E-3</v>
      </c>
      <c r="AB43" s="366">
        <f t="shared" si="19"/>
        <v>1E-3</v>
      </c>
      <c r="AD43" s="56" t="str">
        <f>MID(D43,5,3)</f>
        <v>ELC</v>
      </c>
    </row>
    <row r="44" spans="1:46" s="35" customFormat="1" x14ac:dyDescent="0.25">
      <c r="A44" s="22"/>
      <c r="B44" s="186" t="str">
        <f>B43</f>
        <v>TCARELC100P</v>
      </c>
      <c r="C44" s="186"/>
      <c r="D44" s="187"/>
      <c r="E44" s="186"/>
      <c r="F44" s="170"/>
      <c r="G44" s="214" t="s">
        <v>410</v>
      </c>
      <c r="H44" s="170"/>
      <c r="I44" s="190"/>
      <c r="J44" s="191"/>
      <c r="K44" s="191"/>
      <c r="L44" s="191" t="s">
        <v>1126</v>
      </c>
      <c r="M44" s="186" t="s">
        <v>678</v>
      </c>
      <c r="N44" s="377">
        <f>T_CEFF!H76</f>
        <v>1.0389600000000001</v>
      </c>
      <c r="O44" s="377">
        <f>T_CEFF!I76</f>
        <v>1.0389600000000001</v>
      </c>
      <c r="P44" s="377">
        <f>T_CEFF!J76</f>
        <v>1.0389600000000001</v>
      </c>
      <c r="Q44" s="377">
        <f>T_CEFF!K76</f>
        <v>1.0389600000000001</v>
      </c>
      <c r="R44" s="377">
        <f>T_CEFF!L76</f>
        <v>1.0389600000000001</v>
      </c>
      <c r="S44" s="377">
        <f>T_CEFF!M76</f>
        <v>1.0389600000000001</v>
      </c>
      <c r="T44" s="377">
        <f>T_CEFF!N76</f>
        <v>1.0389600000000001</v>
      </c>
      <c r="U44" s="377">
        <f>T_CEFF!O76</f>
        <v>1.0389600000000001</v>
      </c>
      <c r="V44" s="377">
        <f>T_CEFF!P76</f>
        <v>1.0389600000000001</v>
      </c>
      <c r="W44" s="377">
        <f>T_CEFF!Q76</f>
        <v>1.0389600000000001</v>
      </c>
      <c r="X44" s="377">
        <f>T_CEFF!R76</f>
        <v>1.0389600000000001</v>
      </c>
      <c r="Y44" s="377">
        <f>T_CEFF!S76</f>
        <v>1.0389600000000001</v>
      </c>
      <c r="Z44" s="377">
        <f>T_CEFF!T76</f>
        <v>1.0389600000000001</v>
      </c>
      <c r="AA44" s="377">
        <f>T_CEFF!U76</f>
        <v>1.0389600000000001</v>
      </c>
      <c r="AB44" s="377">
        <f>T_CEFF!V76</f>
        <v>1.0389600000000001</v>
      </c>
      <c r="AD44" s="66" t="str">
        <f>IF(COUNTIF($AG$4:$AP$4,AD43)=1,"ok","MISSING")</f>
        <v>ok</v>
      </c>
    </row>
    <row r="45" spans="1:46" s="35" customFormat="1" x14ac:dyDescent="0.25">
      <c r="A45" s="22"/>
      <c r="B45" s="186" t="str">
        <f t="shared" ref="B45:B54" si="20">B44</f>
        <v>TCARELC100P</v>
      </c>
      <c r="C45" s="186"/>
      <c r="D45" s="187"/>
      <c r="E45" s="186"/>
      <c r="F45" s="170"/>
      <c r="G45" s="214" t="s">
        <v>412</v>
      </c>
      <c r="H45" s="170"/>
      <c r="I45" s="190"/>
      <c r="J45" s="191"/>
      <c r="K45" s="191"/>
      <c r="L45" s="191" t="s">
        <v>1126</v>
      </c>
      <c r="M45" s="186" t="s">
        <v>678</v>
      </c>
      <c r="N45" s="377">
        <f>T_CEFF!H77</f>
        <v>1.2903199999999999</v>
      </c>
      <c r="O45" s="377">
        <f>T_CEFF!I77</f>
        <v>1.2903199999999999</v>
      </c>
      <c r="P45" s="377">
        <f>T_CEFF!J77</f>
        <v>1.2903199999999999</v>
      </c>
      <c r="Q45" s="377">
        <f>T_CEFF!K77</f>
        <v>1.2903199999999999</v>
      </c>
      <c r="R45" s="377">
        <f>T_CEFF!L77</f>
        <v>1.2903199999999999</v>
      </c>
      <c r="S45" s="377">
        <f>T_CEFF!M77</f>
        <v>1.2903199999999999</v>
      </c>
      <c r="T45" s="377">
        <f>T_CEFF!N77</f>
        <v>1.2903199999999999</v>
      </c>
      <c r="U45" s="377">
        <f>T_CEFF!O77</f>
        <v>1.2903199999999999</v>
      </c>
      <c r="V45" s="377">
        <f>T_CEFF!P77</f>
        <v>1.2903199999999999</v>
      </c>
      <c r="W45" s="377">
        <f>T_CEFF!Q77</f>
        <v>1.2903199999999999</v>
      </c>
      <c r="X45" s="377">
        <f>T_CEFF!R77</f>
        <v>1.2903199999999999</v>
      </c>
      <c r="Y45" s="377">
        <f>T_CEFF!S77</f>
        <v>1.2903199999999999</v>
      </c>
      <c r="Z45" s="377">
        <f>T_CEFF!T77</f>
        <v>1.2903199999999999</v>
      </c>
      <c r="AA45" s="377">
        <f>T_CEFF!U77</f>
        <v>1.2903199999999999</v>
      </c>
      <c r="AB45" s="377">
        <f>T_CEFF!V77</f>
        <v>1.2903199999999999</v>
      </c>
    </row>
    <row r="46" spans="1:46" s="35" customFormat="1" x14ac:dyDescent="0.25">
      <c r="A46" s="22"/>
      <c r="B46" s="186" t="str">
        <f>B45</f>
        <v>TCARELC100P</v>
      </c>
      <c r="C46" s="186"/>
      <c r="D46" s="187"/>
      <c r="E46" s="186"/>
      <c r="F46" s="170"/>
      <c r="G46" s="213"/>
      <c r="H46" s="170"/>
      <c r="I46" s="190"/>
      <c r="J46" s="191"/>
      <c r="K46" s="191" t="s">
        <v>749</v>
      </c>
      <c r="L46" s="191" t="s">
        <v>1128</v>
      </c>
      <c r="M46" s="186" t="s">
        <v>1159</v>
      </c>
      <c r="N46" s="368">
        <f>N$14</f>
        <v>0</v>
      </c>
      <c r="O46" s="368">
        <f t="shared" ref="O46:AB46" si="21">O$14</f>
        <v>0</v>
      </c>
      <c r="P46" s="368">
        <f t="shared" si="21"/>
        <v>0</v>
      </c>
      <c r="Q46" s="368">
        <f t="shared" si="21"/>
        <v>0</v>
      </c>
      <c r="R46" s="368">
        <f t="shared" si="21"/>
        <v>0</v>
      </c>
      <c r="S46" s="368">
        <f t="shared" si="21"/>
        <v>0</v>
      </c>
      <c r="T46" s="368">
        <f t="shared" si="21"/>
        <v>0</v>
      </c>
      <c r="U46" s="368">
        <f t="shared" si="21"/>
        <v>0</v>
      </c>
      <c r="V46" s="368">
        <f t="shared" si="21"/>
        <v>0</v>
      </c>
      <c r="W46" s="368">
        <f t="shared" si="21"/>
        <v>0</v>
      </c>
      <c r="X46" s="368">
        <f t="shared" si="21"/>
        <v>0</v>
      </c>
      <c r="Y46" s="368">
        <f t="shared" si="21"/>
        <v>0</v>
      </c>
      <c r="Z46" s="368">
        <f t="shared" si="21"/>
        <v>0</v>
      </c>
      <c r="AA46" s="368">
        <f t="shared" si="21"/>
        <v>0</v>
      </c>
      <c r="AB46" s="368">
        <f t="shared" si="21"/>
        <v>0</v>
      </c>
    </row>
    <row r="47" spans="1:46" s="35" customFormat="1" x14ac:dyDescent="0.25">
      <c r="A47" s="22"/>
      <c r="B47" s="186" t="str">
        <f t="shared" si="20"/>
        <v>TCARELC100P</v>
      </c>
      <c r="C47" s="186"/>
      <c r="D47" s="187"/>
      <c r="E47" s="186"/>
      <c r="F47" s="170"/>
      <c r="G47" s="213"/>
      <c r="H47" s="170"/>
      <c r="I47" s="190"/>
      <c r="J47" s="191"/>
      <c r="K47" s="191"/>
      <c r="L47" s="211" t="s">
        <v>1130</v>
      </c>
      <c r="M47" s="186" t="s">
        <v>1131</v>
      </c>
      <c r="N47" s="376">
        <f>LOOKUP($C$43, T_NCAP_AF!$C$35:$C$45, T_NCAP_AF!D$35:D$45)*(1+N$24)</f>
        <v>0</v>
      </c>
      <c r="O47" s="376">
        <f>LOOKUP($C$43, T_NCAP_AF!$C$35:$C$45, T_NCAP_AF!E$35:E$45)*(1+O$24)</f>
        <v>0</v>
      </c>
      <c r="P47" s="376">
        <f>LOOKUP($C$43, T_NCAP_AF!$C$35:$C$45, T_NCAP_AF!F$35:F$45)*(1+P$24)</f>
        <v>0</v>
      </c>
      <c r="Q47" s="376">
        <f>LOOKUP($C$43, T_NCAP_AF!$C$35:$C$45, T_NCAP_AF!G$35:G$45)*(1+Q$24)</f>
        <v>0</v>
      </c>
      <c r="R47" s="376">
        <f>LOOKUP($C$43, T_NCAP_AF!$C$35:$C$45, T_NCAP_AF!H$35:H$45)*(1+R$24)</f>
        <v>0</v>
      </c>
      <c r="S47" s="376">
        <f>LOOKUP($C$43, T_NCAP_AF!$C$35:$C$45, T_NCAP_AF!I$35:I$45)*(1+S$24)</f>
        <v>0</v>
      </c>
      <c r="T47" s="376">
        <f>LOOKUP($C$43, T_NCAP_AF!$C$35:$C$45, T_NCAP_AF!J$35:J$45)*(1+T$24)</f>
        <v>0</v>
      </c>
      <c r="U47" s="376">
        <f>LOOKUP($C$43, T_NCAP_AF!$C$35:$C$45, T_NCAP_AF!K$35:K$45)*(1+U$24)</f>
        <v>0</v>
      </c>
      <c r="V47" s="376">
        <f>LOOKUP($C$43, T_NCAP_AF!$C$35:$C$45, T_NCAP_AF!L$35:L$45)*(1+V$24)</f>
        <v>0</v>
      </c>
      <c r="W47" s="376">
        <f>LOOKUP($C$43, T_NCAP_AF!$C$35:$C$45, T_NCAP_AF!M$35:M$45)*(1+W$24)</f>
        <v>0</v>
      </c>
      <c r="X47" s="376">
        <f>LOOKUP($C$43, T_NCAP_AF!$C$35:$C$45, T_NCAP_AF!N$35:N$45)*(1+X$24)</f>
        <v>0</v>
      </c>
      <c r="Y47" s="376">
        <f>LOOKUP($C$43, T_NCAP_AF!$C$35:$C$45, T_NCAP_AF!O$35:O$45)*(1+Y$24)</f>
        <v>0</v>
      </c>
      <c r="Z47" s="376">
        <f>LOOKUP($C$43, T_NCAP_AF!$C$35:$C$45, T_NCAP_AF!P$35:P$45)*(1+Z$24)</f>
        <v>0</v>
      </c>
      <c r="AA47" s="376">
        <f>LOOKUP($C$43, T_NCAP_AF!$C$35:$C$45, T_NCAP_AF!Q$35:Q$45)*(1+AA$24)</f>
        <v>0</v>
      </c>
      <c r="AB47" s="376">
        <f>LOOKUP($C$43, T_NCAP_AF!$C$35:$C$45, T_NCAP_AF!R$35:R$45)*(1+AB$24)</f>
        <v>0</v>
      </c>
    </row>
    <row r="48" spans="1:46" s="35" customFormat="1" x14ac:dyDescent="0.25">
      <c r="A48" s="22"/>
      <c r="B48" s="186" t="str">
        <f>B47</f>
        <v>TCARELC100P</v>
      </c>
      <c r="C48" s="186"/>
      <c r="D48" s="187"/>
      <c r="E48" s="186"/>
      <c r="F48" s="170"/>
      <c r="G48" s="213"/>
      <c r="H48" s="170"/>
      <c r="I48" s="190">
        <f>$M$3</f>
        <v>2019</v>
      </c>
      <c r="J48" s="191"/>
      <c r="K48" s="191"/>
      <c r="L48" s="211" t="s">
        <v>1065</v>
      </c>
      <c r="M48" s="186" t="s">
        <v>748</v>
      </c>
      <c r="N48" s="687">
        <f>LOOKUP($C$43, T_Stock_Private!$C$26:$C$36, T_Stock_Private!D$26:D$36)*(1+N$25)</f>
        <v>0</v>
      </c>
      <c r="O48" s="687">
        <f>LOOKUP($C$43, T_Stock_Private!$C$26:$C$36, T_Stock_Private!E$26:E$36)*(1+O$25)</f>
        <v>0</v>
      </c>
      <c r="P48" s="687">
        <f>LOOKUP($C$43, T_Stock_Private!$C$26:$C$36, T_Stock_Private!F$26:F$36)*(1+P$25)</f>
        <v>0</v>
      </c>
      <c r="Q48" s="687">
        <f>LOOKUP($C$43, T_Stock_Private!$C$26:$C$36, T_Stock_Private!G$26:G$36)*(1+Q$25)</f>
        <v>0</v>
      </c>
      <c r="R48" s="687">
        <f>LOOKUP($C$43, T_Stock_Private!$C$26:$C$36, T_Stock_Private!H$26:H$36)*(1+R$25)</f>
        <v>0</v>
      </c>
      <c r="S48" s="687">
        <f>LOOKUP($C$43, T_Stock_Private!$C$26:$C$36, T_Stock_Private!I$26:I$36)*(1+S$25)</f>
        <v>0</v>
      </c>
      <c r="T48" s="687">
        <f>LOOKUP($C$43, T_Stock_Private!$C$26:$C$36, T_Stock_Private!J$26:J$36)*(1+T$25)</f>
        <v>0</v>
      </c>
      <c r="U48" s="687">
        <f>LOOKUP($C$43, T_Stock_Private!$C$26:$C$36, T_Stock_Private!K$26:K$36)*(1+U$25)</f>
        <v>0</v>
      </c>
      <c r="V48" s="687">
        <f>LOOKUP($C$43, T_Stock_Private!$C$26:$C$36, T_Stock_Private!L$26:L$36)*(1+V$25)</f>
        <v>0</v>
      </c>
      <c r="W48" s="687">
        <f>LOOKUP($C$43, T_Stock_Private!$C$26:$C$36, T_Stock_Private!M$26:M$36)*(1+W$25)</f>
        <v>0</v>
      </c>
      <c r="X48" s="687">
        <f>LOOKUP($C$43, T_Stock_Private!$C$26:$C$36, T_Stock_Private!N$26:N$36)*(1+X$25)</f>
        <v>0</v>
      </c>
      <c r="Y48" s="687">
        <f>LOOKUP($C$43, T_Stock_Private!$C$26:$C$36, T_Stock_Private!O$26:O$36)*(1+Y$25)</f>
        <v>0</v>
      </c>
      <c r="Z48" s="687">
        <f>LOOKUP($C$43, T_Stock_Private!$C$26:$C$36, T_Stock_Private!P$26:P$36)*(1+Z$25)</f>
        <v>0</v>
      </c>
      <c r="AA48" s="687">
        <f>LOOKUP($C$43, T_Stock_Private!$C$26:$C$36, T_Stock_Private!Q$26:Q$36)*(1+AA$25)</f>
        <v>0</v>
      </c>
      <c r="AB48" s="687">
        <f>LOOKUP($C$43, T_Stock_Private!$C$26:$C$36, T_Stock_Private!R$26:R$36)*(1+AB$25)</f>
        <v>0</v>
      </c>
    </row>
    <row r="49" spans="1:46" s="35" customFormat="1" x14ac:dyDescent="0.25">
      <c r="A49" s="22"/>
      <c r="B49" s="186" t="str">
        <f t="shared" si="20"/>
        <v>TCARELC100P</v>
      </c>
      <c r="C49" s="186"/>
      <c r="D49" s="187"/>
      <c r="E49" s="186"/>
      <c r="F49" s="170"/>
      <c r="G49" s="213"/>
      <c r="H49" s="170"/>
      <c r="I49" s="190">
        <f>AF$5</f>
        <v>2016</v>
      </c>
      <c r="J49" s="191"/>
      <c r="K49" s="191"/>
      <c r="L49" s="211" t="s">
        <v>1065</v>
      </c>
      <c r="M49" s="186" t="s">
        <v>748</v>
      </c>
      <c r="N49" s="687">
        <f t="shared" ref="N49:AB49" si="22">N$48*LOOKUP($AD$43,$AG$4:$AP$4,$AG5:$AP5)</f>
        <v>0</v>
      </c>
      <c r="O49" s="687">
        <f t="shared" si="22"/>
        <v>0</v>
      </c>
      <c r="P49" s="687">
        <f t="shared" si="22"/>
        <v>0</v>
      </c>
      <c r="Q49" s="687">
        <f t="shared" si="22"/>
        <v>0</v>
      </c>
      <c r="R49" s="687">
        <f t="shared" si="22"/>
        <v>0</v>
      </c>
      <c r="S49" s="687">
        <f t="shared" si="22"/>
        <v>0</v>
      </c>
      <c r="T49" s="687">
        <f t="shared" si="22"/>
        <v>0</v>
      </c>
      <c r="U49" s="687">
        <f t="shared" si="22"/>
        <v>0</v>
      </c>
      <c r="V49" s="687">
        <f t="shared" si="22"/>
        <v>0</v>
      </c>
      <c r="W49" s="687">
        <f t="shared" si="22"/>
        <v>0</v>
      </c>
      <c r="X49" s="687">
        <f t="shared" si="22"/>
        <v>0</v>
      </c>
      <c r="Y49" s="687">
        <f t="shared" si="22"/>
        <v>0</v>
      </c>
      <c r="Z49" s="687">
        <f t="shared" si="22"/>
        <v>0</v>
      </c>
      <c r="AA49" s="687">
        <f t="shared" si="22"/>
        <v>0</v>
      </c>
      <c r="AB49" s="687">
        <f t="shared" si="22"/>
        <v>0</v>
      </c>
      <c r="AE49" s="569">
        <f>SUM(AF49:AT49)</f>
        <v>0</v>
      </c>
      <c r="AF49" s="568">
        <f>N46*N47*N48/1000</f>
        <v>0</v>
      </c>
      <c r="AG49" s="568">
        <f t="shared" ref="AG49:AT49" si="23">O46*O47*O48</f>
        <v>0</v>
      </c>
      <c r="AH49" s="568">
        <f t="shared" si="23"/>
        <v>0</v>
      </c>
      <c r="AI49" s="568">
        <f t="shared" si="23"/>
        <v>0</v>
      </c>
      <c r="AJ49" s="568">
        <f t="shared" si="23"/>
        <v>0</v>
      </c>
      <c r="AK49" s="568">
        <f t="shared" si="23"/>
        <v>0</v>
      </c>
      <c r="AL49" s="568">
        <f t="shared" si="23"/>
        <v>0</v>
      </c>
      <c r="AM49" s="568">
        <f t="shared" si="23"/>
        <v>0</v>
      </c>
      <c r="AN49" s="568">
        <f t="shared" si="23"/>
        <v>0</v>
      </c>
      <c r="AO49" s="568">
        <f t="shared" si="23"/>
        <v>0</v>
      </c>
      <c r="AP49" s="568">
        <f t="shared" si="23"/>
        <v>0</v>
      </c>
      <c r="AQ49" s="568">
        <f t="shared" si="23"/>
        <v>0</v>
      </c>
      <c r="AR49" s="568">
        <f t="shared" si="23"/>
        <v>0</v>
      </c>
      <c r="AS49" s="568">
        <f t="shared" si="23"/>
        <v>0</v>
      </c>
      <c r="AT49" s="568">
        <f t="shared" si="23"/>
        <v>0</v>
      </c>
    </row>
    <row r="50" spans="1:46" s="35" customFormat="1" x14ac:dyDescent="0.25">
      <c r="A50" s="22"/>
      <c r="B50" s="186" t="str">
        <f t="shared" si="20"/>
        <v>TCARELC100P</v>
      </c>
      <c r="C50" s="186"/>
      <c r="D50" s="187"/>
      <c r="E50" s="186"/>
      <c r="F50" s="170"/>
      <c r="G50" s="213"/>
      <c r="H50" s="170"/>
      <c r="I50" s="190">
        <f>AF$6</f>
        <v>2020</v>
      </c>
      <c r="J50" s="191"/>
      <c r="K50" s="191"/>
      <c r="L50" s="211" t="s">
        <v>1065</v>
      </c>
      <c r="M50" s="186" t="s">
        <v>748</v>
      </c>
      <c r="N50" s="687">
        <f t="shared" ref="N50:AB50" si="24">N$48*LOOKUP($AD$43,$AG$4:$AP$4,$AG6:$AP6)</f>
        <v>0</v>
      </c>
      <c r="O50" s="687">
        <f t="shared" si="24"/>
        <v>0</v>
      </c>
      <c r="P50" s="687">
        <f t="shared" si="24"/>
        <v>0</v>
      </c>
      <c r="Q50" s="687">
        <f t="shared" si="24"/>
        <v>0</v>
      </c>
      <c r="R50" s="687">
        <f t="shared" si="24"/>
        <v>0</v>
      </c>
      <c r="S50" s="687">
        <f t="shared" si="24"/>
        <v>0</v>
      </c>
      <c r="T50" s="687">
        <f t="shared" si="24"/>
        <v>0</v>
      </c>
      <c r="U50" s="687">
        <f t="shared" si="24"/>
        <v>0</v>
      </c>
      <c r="V50" s="687">
        <f t="shared" si="24"/>
        <v>0</v>
      </c>
      <c r="W50" s="687">
        <f t="shared" si="24"/>
        <v>0</v>
      </c>
      <c r="X50" s="687">
        <f t="shared" si="24"/>
        <v>0</v>
      </c>
      <c r="Y50" s="687">
        <f t="shared" si="24"/>
        <v>0</v>
      </c>
      <c r="Z50" s="687">
        <f t="shared" si="24"/>
        <v>0</v>
      </c>
      <c r="AA50" s="687">
        <f t="shared" si="24"/>
        <v>0</v>
      </c>
      <c r="AB50" s="687">
        <f t="shared" si="24"/>
        <v>0</v>
      </c>
    </row>
    <row r="51" spans="1:46" s="35" customFormat="1" x14ac:dyDescent="0.25">
      <c r="A51" s="22"/>
      <c r="B51" s="186" t="str">
        <f t="shared" si="20"/>
        <v>TCARELC100P</v>
      </c>
      <c r="C51" s="186"/>
      <c r="D51" s="187"/>
      <c r="E51" s="186"/>
      <c r="F51" s="170"/>
      <c r="G51" s="213"/>
      <c r="H51" s="170"/>
      <c r="I51" s="190">
        <f>AF$7</f>
        <v>2025</v>
      </c>
      <c r="J51" s="191"/>
      <c r="K51" s="191"/>
      <c r="L51" s="211" t="s">
        <v>1065</v>
      </c>
      <c r="M51" s="186" t="s">
        <v>748</v>
      </c>
      <c r="N51" s="687">
        <f t="shared" ref="N51:AB51" si="25">N$48*LOOKUP($AD$43,$AG$4:$AP$4,$AG7:$AP7)</f>
        <v>0</v>
      </c>
      <c r="O51" s="687">
        <f t="shared" si="25"/>
        <v>0</v>
      </c>
      <c r="P51" s="687">
        <f t="shared" si="25"/>
        <v>0</v>
      </c>
      <c r="Q51" s="687">
        <f t="shared" si="25"/>
        <v>0</v>
      </c>
      <c r="R51" s="687">
        <f t="shared" si="25"/>
        <v>0</v>
      </c>
      <c r="S51" s="687">
        <f t="shared" si="25"/>
        <v>0</v>
      </c>
      <c r="T51" s="687">
        <f t="shared" si="25"/>
        <v>0</v>
      </c>
      <c r="U51" s="687">
        <f t="shared" si="25"/>
        <v>0</v>
      </c>
      <c r="V51" s="687">
        <f t="shared" si="25"/>
        <v>0</v>
      </c>
      <c r="W51" s="687">
        <f t="shared" si="25"/>
        <v>0</v>
      </c>
      <c r="X51" s="687">
        <f t="shared" si="25"/>
        <v>0</v>
      </c>
      <c r="Y51" s="687">
        <f t="shared" si="25"/>
        <v>0</v>
      </c>
      <c r="Z51" s="687">
        <f t="shared" si="25"/>
        <v>0</v>
      </c>
      <c r="AA51" s="687">
        <f t="shared" si="25"/>
        <v>0</v>
      </c>
      <c r="AB51" s="687">
        <f t="shared" si="25"/>
        <v>0</v>
      </c>
    </row>
    <row r="52" spans="1:46" s="35" customFormat="1" x14ac:dyDescent="0.25">
      <c r="A52" s="22"/>
      <c r="B52" s="186" t="str">
        <f t="shared" si="20"/>
        <v>TCARELC100P</v>
      </c>
      <c r="C52" s="186"/>
      <c r="D52" s="187"/>
      <c r="E52" s="186"/>
      <c r="F52" s="170"/>
      <c r="G52" s="213"/>
      <c r="H52" s="170"/>
      <c r="I52" s="190">
        <f>AF$8</f>
        <v>2030</v>
      </c>
      <c r="J52" s="191"/>
      <c r="K52" s="191"/>
      <c r="L52" s="211" t="s">
        <v>1065</v>
      </c>
      <c r="M52" s="186" t="s">
        <v>748</v>
      </c>
      <c r="N52" s="687">
        <f t="shared" ref="N52:AB52" si="26">N$48*LOOKUP($AD$43,$AG$4:$AP$4,$AG8:$AP8)</f>
        <v>0</v>
      </c>
      <c r="O52" s="687">
        <f t="shared" si="26"/>
        <v>0</v>
      </c>
      <c r="P52" s="687">
        <f t="shared" si="26"/>
        <v>0</v>
      </c>
      <c r="Q52" s="687">
        <f t="shared" si="26"/>
        <v>0</v>
      </c>
      <c r="R52" s="687">
        <f t="shared" si="26"/>
        <v>0</v>
      </c>
      <c r="S52" s="687">
        <f t="shared" si="26"/>
        <v>0</v>
      </c>
      <c r="T52" s="687">
        <f t="shared" si="26"/>
        <v>0</v>
      </c>
      <c r="U52" s="687">
        <f t="shared" si="26"/>
        <v>0</v>
      </c>
      <c r="V52" s="687">
        <f t="shared" si="26"/>
        <v>0</v>
      </c>
      <c r="W52" s="687">
        <f t="shared" si="26"/>
        <v>0</v>
      </c>
      <c r="X52" s="687">
        <f t="shared" si="26"/>
        <v>0</v>
      </c>
      <c r="Y52" s="687">
        <f t="shared" si="26"/>
        <v>0</v>
      </c>
      <c r="Z52" s="687">
        <f t="shared" si="26"/>
        <v>0</v>
      </c>
      <c r="AA52" s="687">
        <f t="shared" si="26"/>
        <v>0</v>
      </c>
      <c r="AB52" s="687">
        <f t="shared" si="26"/>
        <v>0</v>
      </c>
    </row>
    <row r="53" spans="1:46" s="35" customFormat="1" x14ac:dyDescent="0.25">
      <c r="A53" s="22"/>
      <c r="B53" s="186" t="str">
        <f t="shared" si="20"/>
        <v>TCARELC100P</v>
      </c>
      <c r="C53" s="186"/>
      <c r="D53" s="187"/>
      <c r="E53" s="186"/>
      <c r="F53" s="170"/>
      <c r="G53" s="213"/>
      <c r="H53" s="170"/>
      <c r="I53" s="190">
        <f>AF$9</f>
        <v>2040</v>
      </c>
      <c r="J53" s="191"/>
      <c r="K53" s="191"/>
      <c r="L53" s="211" t="s">
        <v>1065</v>
      </c>
      <c r="M53" s="186" t="s">
        <v>748</v>
      </c>
      <c r="N53" s="687">
        <f t="shared" ref="N53:AB53" si="27">N$48*LOOKUP($AD$43,$AG$4:$AP$4,$AG9:$AP9)</f>
        <v>0</v>
      </c>
      <c r="O53" s="687">
        <f t="shared" si="27"/>
        <v>0</v>
      </c>
      <c r="P53" s="687">
        <f t="shared" si="27"/>
        <v>0</v>
      </c>
      <c r="Q53" s="687">
        <f t="shared" si="27"/>
        <v>0</v>
      </c>
      <c r="R53" s="687">
        <f t="shared" si="27"/>
        <v>0</v>
      </c>
      <c r="S53" s="687">
        <f t="shared" si="27"/>
        <v>0</v>
      </c>
      <c r="T53" s="687">
        <f t="shared" si="27"/>
        <v>0</v>
      </c>
      <c r="U53" s="687">
        <f t="shared" si="27"/>
        <v>0</v>
      </c>
      <c r="V53" s="687">
        <f t="shared" si="27"/>
        <v>0</v>
      </c>
      <c r="W53" s="687">
        <f t="shared" si="27"/>
        <v>0</v>
      </c>
      <c r="X53" s="687">
        <f t="shared" si="27"/>
        <v>0</v>
      </c>
      <c r="Y53" s="687">
        <f t="shared" si="27"/>
        <v>0</v>
      </c>
      <c r="Z53" s="687">
        <f t="shared" si="27"/>
        <v>0</v>
      </c>
      <c r="AA53" s="687">
        <f t="shared" si="27"/>
        <v>0</v>
      </c>
      <c r="AB53" s="687">
        <f t="shared" si="27"/>
        <v>0</v>
      </c>
    </row>
    <row r="54" spans="1:46" s="35" customFormat="1" x14ac:dyDescent="0.25">
      <c r="A54" s="22"/>
      <c r="B54" s="193" t="str">
        <f t="shared" si="20"/>
        <v>TCARELC100P</v>
      </c>
      <c r="C54" s="193"/>
      <c r="D54" s="194"/>
      <c r="E54" s="193"/>
      <c r="F54" s="196"/>
      <c r="G54" s="215"/>
      <c r="H54" s="196"/>
      <c r="I54" s="197">
        <f>AF$10</f>
        <v>2050</v>
      </c>
      <c r="J54" s="198"/>
      <c r="K54" s="198"/>
      <c r="L54" s="212" t="s">
        <v>1065</v>
      </c>
      <c r="M54" s="193" t="s">
        <v>748</v>
      </c>
      <c r="N54" s="688">
        <f t="shared" ref="N54:AB54" si="28">N$48*LOOKUP($AD$43,$AG$4:$AP$4,$AG10:$AP10)</f>
        <v>0</v>
      </c>
      <c r="O54" s="688">
        <f t="shared" si="28"/>
        <v>0</v>
      </c>
      <c r="P54" s="688">
        <f t="shared" si="28"/>
        <v>0</v>
      </c>
      <c r="Q54" s="688">
        <f t="shared" si="28"/>
        <v>0</v>
      </c>
      <c r="R54" s="688">
        <f t="shared" si="28"/>
        <v>0</v>
      </c>
      <c r="S54" s="688">
        <f t="shared" si="28"/>
        <v>0</v>
      </c>
      <c r="T54" s="688">
        <f t="shared" si="28"/>
        <v>0</v>
      </c>
      <c r="U54" s="688">
        <f t="shared" si="28"/>
        <v>0</v>
      </c>
      <c r="V54" s="688">
        <f t="shared" si="28"/>
        <v>0</v>
      </c>
      <c r="W54" s="688">
        <f t="shared" si="28"/>
        <v>0</v>
      </c>
      <c r="X54" s="688">
        <f t="shared" si="28"/>
        <v>0</v>
      </c>
      <c r="Y54" s="688">
        <f t="shared" si="28"/>
        <v>0</v>
      </c>
      <c r="Z54" s="688">
        <f t="shared" si="28"/>
        <v>0</v>
      </c>
      <c r="AA54" s="688">
        <f t="shared" si="28"/>
        <v>0</v>
      </c>
      <c r="AB54" s="688">
        <f t="shared" si="28"/>
        <v>0</v>
      </c>
    </row>
    <row r="55" spans="1:46" s="35" customFormat="1" x14ac:dyDescent="0.25">
      <c r="A55" s="22"/>
      <c r="B55" s="186" t="str">
        <f>C55</f>
        <v>TCARETH100P</v>
      </c>
      <c r="C55" s="186" t="s">
        <v>315</v>
      </c>
      <c r="D55" s="187" t="s">
        <v>781</v>
      </c>
      <c r="E55" s="188" t="s">
        <v>1010</v>
      </c>
      <c r="F55" s="170"/>
      <c r="G55" s="213"/>
      <c r="H55" s="170"/>
      <c r="I55" s="190"/>
      <c r="J55" s="191"/>
      <c r="K55" s="191"/>
      <c r="L55" s="211" t="s">
        <v>1107</v>
      </c>
      <c r="M55" s="191" t="s">
        <v>1156</v>
      </c>
      <c r="N55" s="366">
        <f>N$30</f>
        <v>1E-3</v>
      </c>
      <c r="O55" s="366">
        <f t="shared" ref="O55:AB55" si="29">$N55</f>
        <v>1E-3</v>
      </c>
      <c r="P55" s="366">
        <f t="shared" si="29"/>
        <v>1E-3</v>
      </c>
      <c r="Q55" s="366">
        <f t="shared" si="29"/>
        <v>1E-3</v>
      </c>
      <c r="R55" s="366">
        <f t="shared" si="29"/>
        <v>1E-3</v>
      </c>
      <c r="S55" s="366">
        <f t="shared" si="29"/>
        <v>1E-3</v>
      </c>
      <c r="T55" s="366">
        <f t="shared" si="29"/>
        <v>1E-3</v>
      </c>
      <c r="U55" s="366">
        <f t="shared" si="29"/>
        <v>1E-3</v>
      </c>
      <c r="V55" s="366">
        <f t="shared" si="29"/>
        <v>1E-3</v>
      </c>
      <c r="W55" s="366">
        <f t="shared" si="29"/>
        <v>1E-3</v>
      </c>
      <c r="X55" s="366">
        <f t="shared" si="29"/>
        <v>1E-3</v>
      </c>
      <c r="Y55" s="366">
        <f t="shared" si="29"/>
        <v>1E-3</v>
      </c>
      <c r="Z55" s="366">
        <f t="shared" si="29"/>
        <v>1E-3</v>
      </c>
      <c r="AA55" s="366">
        <f t="shared" si="29"/>
        <v>1E-3</v>
      </c>
      <c r="AB55" s="366">
        <f t="shared" si="29"/>
        <v>1E-3</v>
      </c>
      <c r="AD55" s="402" t="str">
        <f>MID(D55,5,3)</f>
        <v>ETH</v>
      </c>
    </row>
    <row r="56" spans="1:46" s="35" customFormat="1" x14ac:dyDescent="0.25">
      <c r="A56" s="22"/>
      <c r="B56" s="186" t="str">
        <f>B55</f>
        <v>TCARETH100P</v>
      </c>
      <c r="C56" s="186"/>
      <c r="D56" s="186"/>
      <c r="E56" s="188" t="s">
        <v>1014</v>
      </c>
      <c r="F56" s="170"/>
      <c r="G56" s="213"/>
      <c r="H56" s="170"/>
      <c r="I56" s="190"/>
      <c r="J56" s="191" t="s">
        <v>1157</v>
      </c>
      <c r="K56" s="191"/>
      <c r="L56" s="211" t="s">
        <v>101</v>
      </c>
      <c r="M56" s="186"/>
      <c r="N56" s="377">
        <f>1-N$21</f>
        <v>0.25</v>
      </c>
      <c r="O56" s="377">
        <f t="shared" ref="O56:AB56" si="30">1-O$21</f>
        <v>0.25</v>
      </c>
      <c r="P56" s="377">
        <f t="shared" si="30"/>
        <v>0.25</v>
      </c>
      <c r="Q56" s="377">
        <f t="shared" si="30"/>
        <v>0.25</v>
      </c>
      <c r="R56" s="377">
        <f t="shared" si="30"/>
        <v>0.25</v>
      </c>
      <c r="S56" s="377">
        <f t="shared" si="30"/>
        <v>0.25</v>
      </c>
      <c r="T56" s="377">
        <f t="shared" si="30"/>
        <v>0.25</v>
      </c>
      <c r="U56" s="377">
        <f t="shared" si="30"/>
        <v>0.25</v>
      </c>
      <c r="V56" s="377">
        <f t="shared" si="30"/>
        <v>0.25</v>
      </c>
      <c r="W56" s="377">
        <f t="shared" si="30"/>
        <v>0.25</v>
      </c>
      <c r="X56" s="377">
        <f t="shared" si="30"/>
        <v>0.25</v>
      </c>
      <c r="Y56" s="377">
        <f t="shared" si="30"/>
        <v>0.25</v>
      </c>
      <c r="Z56" s="377">
        <f t="shared" si="30"/>
        <v>0.25</v>
      </c>
      <c r="AA56" s="377">
        <f t="shared" si="30"/>
        <v>0.25</v>
      </c>
      <c r="AB56" s="377">
        <f t="shared" si="30"/>
        <v>0.25</v>
      </c>
      <c r="AD56" s="66" t="str">
        <f>IF(COUNTIF($AG$4:$AP$4,AD55)=1,"ok","MISSING")</f>
        <v>ok</v>
      </c>
    </row>
    <row r="57" spans="1:46" s="35" customFormat="1" x14ac:dyDescent="0.25">
      <c r="A57" s="22"/>
      <c r="B57" s="186" t="str">
        <f t="shared" ref="B57:B67" si="31">B56</f>
        <v>TCARETH100P</v>
      </c>
      <c r="C57" s="186"/>
      <c r="D57" s="187"/>
      <c r="E57" s="186"/>
      <c r="F57" s="170"/>
      <c r="G57" s="214" t="s">
        <v>410</v>
      </c>
      <c r="H57" s="170"/>
      <c r="I57" s="190"/>
      <c r="J57" s="191"/>
      <c r="K57" s="191"/>
      <c r="L57" s="191" t="s">
        <v>1126</v>
      </c>
      <c r="M57" s="186" t="s">
        <v>678</v>
      </c>
      <c r="N57" s="377">
        <f>T_CEFF!H78</f>
        <v>0.38646999999999998</v>
      </c>
      <c r="O57" s="377">
        <f>T_CEFF!I78</f>
        <v>0.38646999999999998</v>
      </c>
      <c r="P57" s="377">
        <f>T_CEFF!J78</f>
        <v>0.38646999999999998</v>
      </c>
      <c r="Q57" s="377">
        <f>T_CEFF!K78</f>
        <v>0.38646999999999998</v>
      </c>
      <c r="R57" s="377">
        <f>T_CEFF!L78</f>
        <v>0.38646999999999998</v>
      </c>
      <c r="S57" s="377">
        <f>T_CEFF!M78</f>
        <v>0.38646999999999998</v>
      </c>
      <c r="T57" s="377">
        <f>T_CEFF!N78</f>
        <v>0.38646999999999998</v>
      </c>
      <c r="U57" s="377">
        <f>T_CEFF!O78</f>
        <v>0.38646999999999998</v>
      </c>
      <c r="V57" s="377">
        <f>T_CEFF!P78</f>
        <v>0.38646999999999998</v>
      </c>
      <c r="W57" s="377">
        <f>T_CEFF!Q78</f>
        <v>0.38646999999999998</v>
      </c>
      <c r="X57" s="377">
        <f>T_CEFF!R78</f>
        <v>0.38646999999999998</v>
      </c>
      <c r="Y57" s="377">
        <f>T_CEFF!S78</f>
        <v>0.38646999999999998</v>
      </c>
      <c r="Z57" s="377">
        <f>T_CEFF!T78</f>
        <v>0.38646999999999998</v>
      </c>
      <c r="AA57" s="377">
        <f>T_CEFF!U78</f>
        <v>0.38646999999999998</v>
      </c>
      <c r="AB57" s="377">
        <f>T_CEFF!V78</f>
        <v>0.38646999999999998</v>
      </c>
    </row>
    <row r="58" spans="1:46" s="35" customFormat="1" x14ac:dyDescent="0.25">
      <c r="A58" s="22"/>
      <c r="B58" s="186" t="str">
        <f t="shared" si="31"/>
        <v>TCARETH100P</v>
      </c>
      <c r="C58" s="186"/>
      <c r="D58" s="187"/>
      <c r="E58" s="186"/>
      <c r="F58" s="170"/>
      <c r="G58" s="214" t="s">
        <v>412</v>
      </c>
      <c r="H58" s="170"/>
      <c r="I58" s="190"/>
      <c r="J58" s="191"/>
      <c r="K58" s="191"/>
      <c r="L58" s="191" t="s">
        <v>1126</v>
      </c>
      <c r="M58" s="186" t="s">
        <v>678</v>
      </c>
      <c r="N58" s="377">
        <f>T_CEFF!H79</f>
        <v>0.31873000000000001</v>
      </c>
      <c r="O58" s="377">
        <f>T_CEFF!I79</f>
        <v>0.31873000000000001</v>
      </c>
      <c r="P58" s="377">
        <f>T_CEFF!J79</f>
        <v>0.31873000000000001</v>
      </c>
      <c r="Q58" s="377">
        <f>T_CEFF!K79</f>
        <v>0.31873000000000001</v>
      </c>
      <c r="R58" s="377">
        <f>T_CEFF!L79</f>
        <v>0.31873000000000001</v>
      </c>
      <c r="S58" s="377">
        <f>T_CEFF!M79</f>
        <v>0.31873000000000001</v>
      </c>
      <c r="T58" s="377">
        <f>T_CEFF!N79</f>
        <v>0.31873000000000001</v>
      </c>
      <c r="U58" s="377">
        <f>T_CEFF!O79</f>
        <v>0.31873000000000001</v>
      </c>
      <c r="V58" s="377">
        <f>T_CEFF!P79</f>
        <v>0.31873000000000001</v>
      </c>
      <c r="W58" s="377">
        <f>T_CEFF!Q79</f>
        <v>0.31873000000000001</v>
      </c>
      <c r="X58" s="377">
        <f>T_CEFF!R79</f>
        <v>0.31873000000000001</v>
      </c>
      <c r="Y58" s="377">
        <f>T_CEFF!S79</f>
        <v>0.31873000000000001</v>
      </c>
      <c r="Z58" s="377">
        <f>T_CEFF!T79</f>
        <v>0.31873000000000001</v>
      </c>
      <c r="AA58" s="377">
        <f>T_CEFF!U79</f>
        <v>0.31873000000000001</v>
      </c>
      <c r="AB58" s="377">
        <f>T_CEFF!V79</f>
        <v>0.31873000000000001</v>
      </c>
    </row>
    <row r="59" spans="1:46" s="35" customFormat="1" x14ac:dyDescent="0.25">
      <c r="A59" s="22"/>
      <c r="B59" s="186" t="str">
        <f>B58</f>
        <v>TCARETH100P</v>
      </c>
      <c r="C59" s="186"/>
      <c r="D59" s="187"/>
      <c r="E59" s="186"/>
      <c r="F59" s="170"/>
      <c r="G59" s="213"/>
      <c r="H59" s="170"/>
      <c r="I59" s="190"/>
      <c r="J59" s="191"/>
      <c r="K59" s="191" t="s">
        <v>749</v>
      </c>
      <c r="L59" s="191" t="s">
        <v>1128</v>
      </c>
      <c r="M59" s="186" t="s">
        <v>1159</v>
      </c>
      <c r="N59" s="368">
        <f>N$14</f>
        <v>0</v>
      </c>
      <c r="O59" s="368">
        <f t="shared" ref="O59:AB59" si="32">O$14</f>
        <v>0</v>
      </c>
      <c r="P59" s="368">
        <f t="shared" si="32"/>
        <v>0</v>
      </c>
      <c r="Q59" s="368">
        <f t="shared" si="32"/>
        <v>0</v>
      </c>
      <c r="R59" s="368">
        <f t="shared" si="32"/>
        <v>0</v>
      </c>
      <c r="S59" s="368">
        <f t="shared" si="32"/>
        <v>0</v>
      </c>
      <c r="T59" s="368">
        <f t="shared" si="32"/>
        <v>0</v>
      </c>
      <c r="U59" s="368">
        <f t="shared" si="32"/>
        <v>0</v>
      </c>
      <c r="V59" s="368">
        <f t="shared" si="32"/>
        <v>0</v>
      </c>
      <c r="W59" s="368">
        <f t="shared" si="32"/>
        <v>0</v>
      </c>
      <c r="X59" s="368">
        <f t="shared" si="32"/>
        <v>0</v>
      </c>
      <c r="Y59" s="368">
        <f t="shared" si="32"/>
        <v>0</v>
      </c>
      <c r="Z59" s="368">
        <f t="shared" si="32"/>
        <v>0</v>
      </c>
      <c r="AA59" s="368">
        <f t="shared" si="32"/>
        <v>0</v>
      </c>
      <c r="AB59" s="368">
        <f t="shared" si="32"/>
        <v>0</v>
      </c>
    </row>
    <row r="60" spans="1:46" s="35" customFormat="1" x14ac:dyDescent="0.25">
      <c r="A60" s="22"/>
      <c r="B60" s="186" t="str">
        <f t="shared" si="31"/>
        <v>TCARETH100P</v>
      </c>
      <c r="C60" s="186"/>
      <c r="D60" s="187"/>
      <c r="E60" s="186"/>
      <c r="F60" s="170"/>
      <c r="G60" s="213"/>
      <c r="H60" s="170"/>
      <c r="I60" s="190"/>
      <c r="J60" s="191"/>
      <c r="K60" s="191"/>
      <c r="L60" s="211" t="s">
        <v>1130</v>
      </c>
      <c r="M60" s="186" t="s">
        <v>1131</v>
      </c>
      <c r="N60" s="376">
        <f>LOOKUP($C$55, T_NCAP_AF!$C$35:$C$45, T_NCAP_AF!D$35:D$45)*(1+N$24)</f>
        <v>0</v>
      </c>
      <c r="O60" s="376">
        <f>LOOKUP($C$55, T_NCAP_AF!$C$35:$C$45, T_NCAP_AF!E$35:E$45)*(1+O$24)</f>
        <v>0</v>
      </c>
      <c r="P60" s="376">
        <f>LOOKUP($C$55, T_NCAP_AF!$C$35:$C$45, T_NCAP_AF!F$35:F$45)*(1+P$24)</f>
        <v>0</v>
      </c>
      <c r="Q60" s="376">
        <f>LOOKUP($C$55, T_NCAP_AF!$C$35:$C$45, T_NCAP_AF!G$35:G$45)*(1+Q$24)</f>
        <v>0</v>
      </c>
      <c r="R60" s="376">
        <f>LOOKUP($C$55, T_NCAP_AF!$C$35:$C$45, T_NCAP_AF!H$35:H$45)*(1+R$24)</f>
        <v>0</v>
      </c>
      <c r="S60" s="376">
        <f>LOOKUP($C$55, T_NCAP_AF!$C$35:$C$45, T_NCAP_AF!I$35:I$45)*(1+S$24)</f>
        <v>0</v>
      </c>
      <c r="T60" s="376">
        <f>LOOKUP($C$55, T_NCAP_AF!$C$35:$C$45, T_NCAP_AF!J$35:J$45)*(1+T$24)</f>
        <v>0</v>
      </c>
      <c r="U60" s="376">
        <f>LOOKUP($C$55, T_NCAP_AF!$C$35:$C$45, T_NCAP_AF!K$35:K$45)*(1+U$24)</f>
        <v>0</v>
      </c>
      <c r="V60" s="376">
        <f>LOOKUP($C$55, T_NCAP_AF!$C$35:$C$45, T_NCAP_AF!L$35:L$45)*(1+V$24)</f>
        <v>0</v>
      </c>
      <c r="W60" s="376">
        <f>LOOKUP($C$55, T_NCAP_AF!$C$35:$C$45, T_NCAP_AF!M$35:M$45)*(1+W$24)</f>
        <v>0</v>
      </c>
      <c r="X60" s="376">
        <f>LOOKUP($C$55, T_NCAP_AF!$C$35:$C$45, T_NCAP_AF!N$35:N$45)*(1+X$24)</f>
        <v>0</v>
      </c>
      <c r="Y60" s="376">
        <f>LOOKUP($C$55, T_NCAP_AF!$C$35:$C$45, T_NCAP_AF!O$35:O$45)*(1+Y$24)</f>
        <v>0</v>
      </c>
      <c r="Z60" s="376">
        <f>LOOKUP($C$55, T_NCAP_AF!$C$35:$C$45, T_NCAP_AF!P$35:P$45)*(1+Z$24)</f>
        <v>0</v>
      </c>
      <c r="AA60" s="376">
        <f>LOOKUP($C$55, T_NCAP_AF!$C$35:$C$45, T_NCAP_AF!Q$35:Q$45)*(1+AA$24)</f>
        <v>0</v>
      </c>
      <c r="AB60" s="376">
        <f>LOOKUP($C$55, T_NCAP_AF!$C$35:$C$45, T_NCAP_AF!R$35:R$45)*(1+AB$24)</f>
        <v>0</v>
      </c>
    </row>
    <row r="61" spans="1:46" s="35" customFormat="1" x14ac:dyDescent="0.25">
      <c r="A61" s="22"/>
      <c r="B61" s="186" t="str">
        <f>B60</f>
        <v>TCARETH100P</v>
      </c>
      <c r="C61" s="186"/>
      <c r="D61" s="187"/>
      <c r="E61" s="186"/>
      <c r="F61" s="170"/>
      <c r="G61" s="213"/>
      <c r="H61" s="170"/>
      <c r="I61" s="190">
        <f>$M$3</f>
        <v>2019</v>
      </c>
      <c r="J61" s="191"/>
      <c r="K61" s="191"/>
      <c r="L61" s="211" t="s">
        <v>1065</v>
      </c>
      <c r="M61" s="186" t="s">
        <v>748</v>
      </c>
      <c r="N61" s="687">
        <f>LOOKUP($C$55, T_Stock_Private!$C$26:$C$36, T_Stock_Private!D$26:D$36)*(1+N$25)</f>
        <v>0</v>
      </c>
      <c r="O61" s="687">
        <f>LOOKUP($C$55, T_Stock_Private!$C$26:$C$36, T_Stock_Private!E$26:E$36)*(1+O$25)</f>
        <v>0</v>
      </c>
      <c r="P61" s="687">
        <f>LOOKUP($C$55, T_Stock_Private!$C$26:$C$36, T_Stock_Private!F$26:F$36)*(1+P$25)</f>
        <v>0</v>
      </c>
      <c r="Q61" s="687">
        <f>LOOKUP($C$55, T_Stock_Private!$C$26:$C$36, T_Stock_Private!G$26:G$36)*(1+Q$25)</f>
        <v>0</v>
      </c>
      <c r="R61" s="687">
        <f>LOOKUP($C$55, T_Stock_Private!$C$26:$C$36, T_Stock_Private!H$26:H$36)*(1+R$25)</f>
        <v>0</v>
      </c>
      <c r="S61" s="687">
        <f>LOOKUP($C$55, T_Stock_Private!$C$26:$C$36, T_Stock_Private!I$26:I$36)*(1+S$25)</f>
        <v>0</v>
      </c>
      <c r="T61" s="687">
        <f>LOOKUP($C$55, T_Stock_Private!$C$26:$C$36, T_Stock_Private!J$26:J$36)*(1+T$25)</f>
        <v>0</v>
      </c>
      <c r="U61" s="687">
        <f>LOOKUP($C$55, T_Stock_Private!$C$26:$C$36, T_Stock_Private!K$26:K$36)*(1+U$25)</f>
        <v>0</v>
      </c>
      <c r="V61" s="687">
        <f>LOOKUP($C$55, T_Stock_Private!$C$26:$C$36, T_Stock_Private!L$26:L$36)*(1+V$25)</f>
        <v>0</v>
      </c>
      <c r="W61" s="687">
        <f>LOOKUP($C$55, T_Stock_Private!$C$26:$C$36, T_Stock_Private!M$26:M$36)*(1+W$25)</f>
        <v>0</v>
      </c>
      <c r="X61" s="687">
        <f>LOOKUP($C$55, T_Stock_Private!$C$26:$C$36, T_Stock_Private!N$26:N$36)*(1+X$25)</f>
        <v>0</v>
      </c>
      <c r="Y61" s="687">
        <f>LOOKUP($C$55, T_Stock_Private!$C$26:$C$36, T_Stock_Private!O$26:O$36)*(1+Y$25)</f>
        <v>0</v>
      </c>
      <c r="Z61" s="687">
        <f>LOOKUP($C$55, T_Stock_Private!$C$26:$C$36, T_Stock_Private!P$26:P$36)*(1+Z$25)</f>
        <v>0</v>
      </c>
      <c r="AA61" s="687">
        <f>LOOKUP($C$55, T_Stock_Private!$C$26:$C$36, T_Stock_Private!Q$26:Q$36)*(1+AA$25)</f>
        <v>0</v>
      </c>
      <c r="AB61" s="687">
        <f>LOOKUP($C$55, T_Stock_Private!$C$26:$C$36, T_Stock_Private!R$26:R$36)*(1+AB$25)</f>
        <v>0</v>
      </c>
    </row>
    <row r="62" spans="1:46" s="35" customFormat="1" x14ac:dyDescent="0.25">
      <c r="A62" s="22"/>
      <c r="B62" s="186" t="str">
        <f t="shared" si="31"/>
        <v>TCARETH100P</v>
      </c>
      <c r="C62" s="186"/>
      <c r="D62" s="187"/>
      <c r="E62" s="186"/>
      <c r="F62" s="170"/>
      <c r="G62" s="213"/>
      <c r="H62" s="170"/>
      <c r="I62" s="190">
        <f>AF$5</f>
        <v>2016</v>
      </c>
      <c r="J62" s="191"/>
      <c r="K62" s="191"/>
      <c r="L62" s="211" t="s">
        <v>1065</v>
      </c>
      <c r="M62" s="186" t="s">
        <v>748</v>
      </c>
      <c r="N62" s="687">
        <f t="shared" ref="N62:AB62" si="33">N$61*LOOKUP($AD$55,$AG$4:$AP$4,$AG5:$AP5)</f>
        <v>0</v>
      </c>
      <c r="O62" s="687">
        <f t="shared" si="33"/>
        <v>0</v>
      </c>
      <c r="P62" s="687">
        <f t="shared" si="33"/>
        <v>0</v>
      </c>
      <c r="Q62" s="687">
        <f t="shared" si="33"/>
        <v>0</v>
      </c>
      <c r="R62" s="687">
        <f t="shared" si="33"/>
        <v>0</v>
      </c>
      <c r="S62" s="687">
        <f t="shared" si="33"/>
        <v>0</v>
      </c>
      <c r="T62" s="687">
        <f t="shared" si="33"/>
        <v>0</v>
      </c>
      <c r="U62" s="687">
        <f t="shared" si="33"/>
        <v>0</v>
      </c>
      <c r="V62" s="687">
        <f t="shared" si="33"/>
        <v>0</v>
      </c>
      <c r="W62" s="687">
        <f t="shared" si="33"/>
        <v>0</v>
      </c>
      <c r="X62" s="687">
        <f t="shared" si="33"/>
        <v>0</v>
      </c>
      <c r="Y62" s="687">
        <f t="shared" si="33"/>
        <v>0</v>
      </c>
      <c r="Z62" s="687">
        <f t="shared" si="33"/>
        <v>0</v>
      </c>
      <c r="AA62" s="687">
        <f t="shared" si="33"/>
        <v>0</v>
      </c>
      <c r="AB62" s="687">
        <f t="shared" si="33"/>
        <v>0</v>
      </c>
      <c r="AE62" s="569">
        <f>SUM(AF62:AT62)</f>
        <v>0</v>
      </c>
      <c r="AF62" s="568">
        <f>N59*N60*N61/1000</f>
        <v>0</v>
      </c>
      <c r="AG62" s="568">
        <f t="shared" ref="AG62:AT62" si="34">O59*O60*O61</f>
        <v>0</v>
      </c>
      <c r="AH62" s="568">
        <f t="shared" si="34"/>
        <v>0</v>
      </c>
      <c r="AI62" s="568">
        <f t="shared" si="34"/>
        <v>0</v>
      </c>
      <c r="AJ62" s="568">
        <f t="shared" si="34"/>
        <v>0</v>
      </c>
      <c r="AK62" s="568">
        <f t="shared" si="34"/>
        <v>0</v>
      </c>
      <c r="AL62" s="568">
        <f t="shared" si="34"/>
        <v>0</v>
      </c>
      <c r="AM62" s="568">
        <f t="shared" si="34"/>
        <v>0</v>
      </c>
      <c r="AN62" s="568">
        <f t="shared" si="34"/>
        <v>0</v>
      </c>
      <c r="AO62" s="568">
        <f t="shared" si="34"/>
        <v>0</v>
      </c>
      <c r="AP62" s="568">
        <f t="shared" si="34"/>
        <v>0</v>
      </c>
      <c r="AQ62" s="568">
        <f t="shared" si="34"/>
        <v>0</v>
      </c>
      <c r="AR62" s="568">
        <f t="shared" si="34"/>
        <v>0</v>
      </c>
      <c r="AS62" s="568">
        <f t="shared" si="34"/>
        <v>0</v>
      </c>
      <c r="AT62" s="568">
        <f t="shared" si="34"/>
        <v>0</v>
      </c>
    </row>
    <row r="63" spans="1:46" s="35" customFormat="1" x14ac:dyDescent="0.25">
      <c r="A63" s="22"/>
      <c r="B63" s="186" t="str">
        <f t="shared" si="31"/>
        <v>TCARETH100P</v>
      </c>
      <c r="C63" s="186"/>
      <c r="D63" s="187"/>
      <c r="E63" s="186"/>
      <c r="F63" s="170"/>
      <c r="G63" s="213"/>
      <c r="H63" s="170"/>
      <c r="I63" s="190">
        <f>AF$6</f>
        <v>2020</v>
      </c>
      <c r="J63" s="191"/>
      <c r="K63" s="191"/>
      <c r="L63" s="211" t="s">
        <v>1065</v>
      </c>
      <c r="M63" s="186" t="s">
        <v>748</v>
      </c>
      <c r="N63" s="687">
        <f t="shared" ref="N63:AB63" si="35">N$61*LOOKUP($AD$55,$AG$4:$AP$4,$AG6:$AP6)</f>
        <v>0</v>
      </c>
      <c r="O63" s="687">
        <f t="shared" si="35"/>
        <v>0</v>
      </c>
      <c r="P63" s="687">
        <f t="shared" si="35"/>
        <v>0</v>
      </c>
      <c r="Q63" s="687">
        <f t="shared" si="35"/>
        <v>0</v>
      </c>
      <c r="R63" s="687">
        <f t="shared" si="35"/>
        <v>0</v>
      </c>
      <c r="S63" s="687">
        <f t="shared" si="35"/>
        <v>0</v>
      </c>
      <c r="T63" s="687">
        <f t="shared" si="35"/>
        <v>0</v>
      </c>
      <c r="U63" s="687">
        <f t="shared" si="35"/>
        <v>0</v>
      </c>
      <c r="V63" s="687">
        <f t="shared" si="35"/>
        <v>0</v>
      </c>
      <c r="W63" s="687">
        <f t="shared" si="35"/>
        <v>0</v>
      </c>
      <c r="X63" s="687">
        <f t="shared" si="35"/>
        <v>0</v>
      </c>
      <c r="Y63" s="687">
        <f t="shared" si="35"/>
        <v>0</v>
      </c>
      <c r="Z63" s="687">
        <f t="shared" si="35"/>
        <v>0</v>
      </c>
      <c r="AA63" s="687">
        <f t="shared" si="35"/>
        <v>0</v>
      </c>
      <c r="AB63" s="687">
        <f t="shared" si="35"/>
        <v>0</v>
      </c>
    </row>
    <row r="64" spans="1:46" s="35" customFormat="1" x14ac:dyDescent="0.25">
      <c r="A64" s="22"/>
      <c r="B64" s="186" t="str">
        <f t="shared" si="31"/>
        <v>TCARETH100P</v>
      </c>
      <c r="C64" s="186"/>
      <c r="D64" s="187"/>
      <c r="E64" s="186"/>
      <c r="F64" s="170"/>
      <c r="G64" s="213"/>
      <c r="H64" s="170"/>
      <c r="I64" s="190">
        <f>AF$7</f>
        <v>2025</v>
      </c>
      <c r="J64" s="191"/>
      <c r="K64" s="191"/>
      <c r="L64" s="211" t="s">
        <v>1065</v>
      </c>
      <c r="M64" s="186" t="s">
        <v>748</v>
      </c>
      <c r="N64" s="687">
        <f t="shared" ref="N64:AB64" si="36">N$61*LOOKUP($AD$55,$AG$4:$AP$4,$AG7:$AP7)</f>
        <v>0</v>
      </c>
      <c r="O64" s="687">
        <f t="shared" si="36"/>
        <v>0</v>
      </c>
      <c r="P64" s="687">
        <f t="shared" si="36"/>
        <v>0</v>
      </c>
      <c r="Q64" s="687">
        <f t="shared" si="36"/>
        <v>0</v>
      </c>
      <c r="R64" s="687">
        <f t="shared" si="36"/>
        <v>0</v>
      </c>
      <c r="S64" s="687">
        <f t="shared" si="36"/>
        <v>0</v>
      </c>
      <c r="T64" s="687">
        <f t="shared" si="36"/>
        <v>0</v>
      </c>
      <c r="U64" s="687">
        <f t="shared" si="36"/>
        <v>0</v>
      </c>
      <c r="V64" s="687">
        <f t="shared" si="36"/>
        <v>0</v>
      </c>
      <c r="W64" s="687">
        <f t="shared" si="36"/>
        <v>0</v>
      </c>
      <c r="X64" s="687">
        <f t="shared" si="36"/>
        <v>0</v>
      </c>
      <c r="Y64" s="687">
        <f t="shared" si="36"/>
        <v>0</v>
      </c>
      <c r="Z64" s="687">
        <f t="shared" si="36"/>
        <v>0</v>
      </c>
      <c r="AA64" s="687">
        <f t="shared" si="36"/>
        <v>0</v>
      </c>
      <c r="AB64" s="687">
        <f t="shared" si="36"/>
        <v>0</v>
      </c>
    </row>
    <row r="65" spans="1:48" s="35" customFormat="1" x14ac:dyDescent="0.25">
      <c r="A65" s="22"/>
      <c r="B65" s="186" t="str">
        <f t="shared" si="31"/>
        <v>TCARETH100P</v>
      </c>
      <c r="C65" s="186"/>
      <c r="D65" s="187"/>
      <c r="E65" s="186"/>
      <c r="F65" s="170"/>
      <c r="G65" s="213"/>
      <c r="H65" s="170"/>
      <c r="I65" s="190">
        <f>AF$8</f>
        <v>2030</v>
      </c>
      <c r="J65" s="191"/>
      <c r="K65" s="191"/>
      <c r="L65" s="211" t="s">
        <v>1065</v>
      </c>
      <c r="M65" s="186" t="s">
        <v>748</v>
      </c>
      <c r="N65" s="687">
        <f t="shared" ref="N65:AB65" si="37">N$61*LOOKUP($AD$55,$AG$4:$AP$4,$AG8:$AP8)</f>
        <v>0</v>
      </c>
      <c r="O65" s="687">
        <f t="shared" si="37"/>
        <v>0</v>
      </c>
      <c r="P65" s="687">
        <f t="shared" si="37"/>
        <v>0</v>
      </c>
      <c r="Q65" s="687">
        <f t="shared" si="37"/>
        <v>0</v>
      </c>
      <c r="R65" s="687">
        <f t="shared" si="37"/>
        <v>0</v>
      </c>
      <c r="S65" s="687">
        <f t="shared" si="37"/>
        <v>0</v>
      </c>
      <c r="T65" s="687">
        <f t="shared" si="37"/>
        <v>0</v>
      </c>
      <c r="U65" s="687">
        <f t="shared" si="37"/>
        <v>0</v>
      </c>
      <c r="V65" s="687">
        <f t="shared" si="37"/>
        <v>0</v>
      </c>
      <c r="W65" s="687">
        <f t="shared" si="37"/>
        <v>0</v>
      </c>
      <c r="X65" s="687">
        <f t="shared" si="37"/>
        <v>0</v>
      </c>
      <c r="Y65" s="687">
        <f t="shared" si="37"/>
        <v>0</v>
      </c>
      <c r="Z65" s="687">
        <f t="shared" si="37"/>
        <v>0</v>
      </c>
      <c r="AA65" s="687">
        <f t="shared" si="37"/>
        <v>0</v>
      </c>
      <c r="AB65" s="687">
        <f t="shared" si="37"/>
        <v>0</v>
      </c>
    </row>
    <row r="66" spans="1:48" s="35" customFormat="1" x14ac:dyDescent="0.25">
      <c r="A66" s="22"/>
      <c r="B66" s="186" t="str">
        <f t="shared" si="31"/>
        <v>TCARETH100P</v>
      </c>
      <c r="C66" s="186"/>
      <c r="D66" s="187"/>
      <c r="E66" s="186"/>
      <c r="F66" s="170"/>
      <c r="G66" s="213"/>
      <c r="H66" s="170"/>
      <c r="I66" s="190">
        <f>AF$9</f>
        <v>2040</v>
      </c>
      <c r="J66" s="191"/>
      <c r="K66" s="191"/>
      <c r="L66" s="211" t="s">
        <v>1065</v>
      </c>
      <c r="M66" s="186" t="s">
        <v>748</v>
      </c>
      <c r="N66" s="687">
        <f t="shared" ref="N66:AB66" si="38">N$61*LOOKUP($AD$55,$AG$4:$AP$4,$AG9:$AP9)</f>
        <v>0</v>
      </c>
      <c r="O66" s="687">
        <f t="shared" si="38"/>
        <v>0</v>
      </c>
      <c r="P66" s="687">
        <f t="shared" si="38"/>
        <v>0</v>
      </c>
      <c r="Q66" s="687">
        <f t="shared" si="38"/>
        <v>0</v>
      </c>
      <c r="R66" s="687">
        <f t="shared" si="38"/>
        <v>0</v>
      </c>
      <c r="S66" s="687">
        <f t="shared" si="38"/>
        <v>0</v>
      </c>
      <c r="T66" s="687">
        <f t="shared" si="38"/>
        <v>0</v>
      </c>
      <c r="U66" s="687">
        <f t="shared" si="38"/>
        <v>0</v>
      </c>
      <c r="V66" s="687">
        <f t="shared" si="38"/>
        <v>0</v>
      </c>
      <c r="W66" s="687">
        <f t="shared" si="38"/>
        <v>0</v>
      </c>
      <c r="X66" s="687">
        <f t="shared" si="38"/>
        <v>0</v>
      </c>
      <c r="Y66" s="687">
        <f t="shared" si="38"/>
        <v>0</v>
      </c>
      <c r="Z66" s="687">
        <f t="shared" si="38"/>
        <v>0</v>
      </c>
      <c r="AA66" s="687">
        <f t="shared" si="38"/>
        <v>0</v>
      </c>
      <c r="AB66" s="687">
        <f t="shared" si="38"/>
        <v>0</v>
      </c>
    </row>
    <row r="67" spans="1:48" s="35" customFormat="1" x14ac:dyDescent="0.25">
      <c r="A67" s="22"/>
      <c r="B67" s="193" t="str">
        <f t="shared" si="31"/>
        <v>TCARETH100P</v>
      </c>
      <c r="C67" s="193"/>
      <c r="D67" s="194"/>
      <c r="E67" s="193"/>
      <c r="F67" s="196"/>
      <c r="G67" s="215"/>
      <c r="H67" s="196"/>
      <c r="I67" s="197">
        <f>AF$10</f>
        <v>2050</v>
      </c>
      <c r="J67" s="198"/>
      <c r="K67" s="198"/>
      <c r="L67" s="212" t="s">
        <v>1065</v>
      </c>
      <c r="M67" s="193" t="s">
        <v>748</v>
      </c>
      <c r="N67" s="688">
        <f t="shared" ref="N67:AB67" si="39">N$61*LOOKUP($AD$55,$AG$4:$AP$4,$AG10:$AP10)</f>
        <v>0</v>
      </c>
      <c r="O67" s="688">
        <f t="shared" si="39"/>
        <v>0</v>
      </c>
      <c r="P67" s="688">
        <f t="shared" si="39"/>
        <v>0</v>
      </c>
      <c r="Q67" s="688">
        <f t="shared" si="39"/>
        <v>0</v>
      </c>
      <c r="R67" s="688">
        <f t="shared" si="39"/>
        <v>0</v>
      </c>
      <c r="S67" s="688">
        <f t="shared" si="39"/>
        <v>0</v>
      </c>
      <c r="T67" s="688">
        <f t="shared" si="39"/>
        <v>0</v>
      </c>
      <c r="U67" s="688">
        <f t="shared" si="39"/>
        <v>0</v>
      </c>
      <c r="V67" s="688">
        <f t="shared" si="39"/>
        <v>0</v>
      </c>
      <c r="W67" s="688">
        <f t="shared" si="39"/>
        <v>0</v>
      </c>
      <c r="X67" s="688">
        <f t="shared" si="39"/>
        <v>0</v>
      </c>
      <c r="Y67" s="688">
        <f t="shared" si="39"/>
        <v>0</v>
      </c>
      <c r="Z67" s="688">
        <f t="shared" si="39"/>
        <v>0</v>
      </c>
      <c r="AA67" s="688">
        <f t="shared" si="39"/>
        <v>0</v>
      </c>
      <c r="AB67" s="688">
        <f t="shared" si="39"/>
        <v>0</v>
      </c>
    </row>
    <row r="68" spans="1:48" s="35" customFormat="1" x14ac:dyDescent="0.25">
      <c r="A68" s="22"/>
      <c r="B68" s="186" t="str">
        <f>C68</f>
        <v>TCARGAS100P</v>
      </c>
      <c r="C68" s="186" t="s">
        <v>316</v>
      </c>
      <c r="D68" s="187" t="s">
        <v>784</v>
      </c>
      <c r="E68" s="258" t="s">
        <v>994</v>
      </c>
      <c r="F68" s="170"/>
      <c r="G68" s="213"/>
      <c r="H68" s="170"/>
      <c r="I68" s="190"/>
      <c r="J68" s="191"/>
      <c r="K68" s="191"/>
      <c r="L68" s="211" t="s">
        <v>1107</v>
      </c>
      <c r="M68" s="191" t="s">
        <v>1156</v>
      </c>
      <c r="N68" s="366">
        <f>N$30</f>
        <v>1E-3</v>
      </c>
      <c r="O68" s="366">
        <f t="shared" ref="O68:AB68" si="40">$N68</f>
        <v>1E-3</v>
      </c>
      <c r="P68" s="366">
        <f t="shared" si="40"/>
        <v>1E-3</v>
      </c>
      <c r="Q68" s="366">
        <f t="shared" si="40"/>
        <v>1E-3</v>
      </c>
      <c r="R68" s="366">
        <f t="shared" si="40"/>
        <v>1E-3</v>
      </c>
      <c r="S68" s="366">
        <f t="shared" si="40"/>
        <v>1E-3</v>
      </c>
      <c r="T68" s="366">
        <f t="shared" si="40"/>
        <v>1E-3</v>
      </c>
      <c r="U68" s="366">
        <f t="shared" si="40"/>
        <v>1E-3</v>
      </c>
      <c r="V68" s="366">
        <f t="shared" si="40"/>
        <v>1E-3</v>
      </c>
      <c r="W68" s="366">
        <f t="shared" si="40"/>
        <v>1E-3</v>
      </c>
      <c r="X68" s="366">
        <f t="shared" si="40"/>
        <v>1E-3</v>
      </c>
      <c r="Y68" s="366">
        <f t="shared" si="40"/>
        <v>1E-3</v>
      </c>
      <c r="Z68" s="366">
        <f t="shared" si="40"/>
        <v>1E-3</v>
      </c>
      <c r="AA68" s="366">
        <f t="shared" si="40"/>
        <v>1E-3</v>
      </c>
      <c r="AB68" s="366">
        <f t="shared" si="40"/>
        <v>1E-3</v>
      </c>
      <c r="AD68" s="402" t="str">
        <f>MID(D68,5,3)</f>
        <v>GAS</v>
      </c>
    </row>
    <row r="69" spans="1:48" s="35" customFormat="1" x14ac:dyDescent="0.25">
      <c r="A69" s="22"/>
      <c r="B69" s="186" t="str">
        <f>B68</f>
        <v>TCARGAS100P</v>
      </c>
      <c r="C69" s="186"/>
      <c r="D69" s="187"/>
      <c r="E69" s="214" t="s">
        <v>1039</v>
      </c>
      <c r="F69" s="170"/>
      <c r="G69" s="213"/>
      <c r="H69" s="170"/>
      <c r="I69" s="190"/>
      <c r="J69" s="191" t="s">
        <v>1157</v>
      </c>
      <c r="K69" s="191"/>
      <c r="L69" s="211" t="s">
        <v>101</v>
      </c>
      <c r="M69" s="186"/>
      <c r="N69" s="377">
        <f>N20*0.25</f>
        <v>0.2</v>
      </c>
      <c r="O69" s="377">
        <f t="shared" ref="O69:AB69" si="41">O20*0.25</f>
        <v>0.2</v>
      </c>
      <c r="P69" s="377">
        <f t="shared" si="41"/>
        <v>0.2</v>
      </c>
      <c r="Q69" s="377">
        <f t="shared" si="41"/>
        <v>0.2</v>
      </c>
      <c r="R69" s="377">
        <f t="shared" si="41"/>
        <v>0.2</v>
      </c>
      <c r="S69" s="377">
        <f t="shared" si="41"/>
        <v>0.2</v>
      </c>
      <c r="T69" s="377">
        <f t="shared" si="41"/>
        <v>0.2</v>
      </c>
      <c r="U69" s="377">
        <f t="shared" si="41"/>
        <v>0.2</v>
      </c>
      <c r="V69" s="377">
        <f t="shared" si="41"/>
        <v>0.2</v>
      </c>
      <c r="W69" s="377">
        <f t="shared" si="41"/>
        <v>0.2</v>
      </c>
      <c r="X69" s="377">
        <f t="shared" si="41"/>
        <v>0.2</v>
      </c>
      <c r="Y69" s="377">
        <f t="shared" si="41"/>
        <v>0.2</v>
      </c>
      <c r="Z69" s="377">
        <f t="shared" si="41"/>
        <v>0.2</v>
      </c>
      <c r="AA69" s="377">
        <f t="shared" si="41"/>
        <v>0.2</v>
      </c>
      <c r="AB69" s="377">
        <f t="shared" si="41"/>
        <v>0.2</v>
      </c>
      <c r="AD69" s="66" t="str">
        <f>IF(COUNTIF($AG$4:$AP$4,AD68)=1,"ok","MISSING")</f>
        <v>ok</v>
      </c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V69" s="69"/>
    </row>
    <row r="70" spans="1:48" s="35" customFormat="1" x14ac:dyDescent="0.25">
      <c r="A70" s="22"/>
      <c r="B70" s="186" t="str">
        <f>B69</f>
        <v>TCARGAS100P</v>
      </c>
      <c r="C70" s="186"/>
      <c r="D70" s="187"/>
      <c r="E70" s="188" t="s">
        <v>1014</v>
      </c>
      <c r="F70" s="170"/>
      <c r="G70" s="213"/>
      <c r="H70" s="170"/>
      <c r="I70" s="190"/>
      <c r="J70" s="191" t="s">
        <v>1157</v>
      </c>
      <c r="K70" s="191"/>
      <c r="L70" s="211" t="s">
        <v>101</v>
      </c>
      <c r="M70" s="186"/>
      <c r="N70" s="377">
        <f>1-N20</f>
        <v>0.19999999999999996</v>
      </c>
      <c r="O70" s="377">
        <f t="shared" ref="O70:AB70" si="42">1-O20</f>
        <v>0.19999999999999996</v>
      </c>
      <c r="P70" s="377">
        <f t="shared" si="42"/>
        <v>0.19999999999999996</v>
      </c>
      <c r="Q70" s="377">
        <f t="shared" si="42"/>
        <v>0.19999999999999996</v>
      </c>
      <c r="R70" s="377">
        <f t="shared" si="42"/>
        <v>0.19999999999999996</v>
      </c>
      <c r="S70" s="377">
        <f t="shared" si="42"/>
        <v>0.19999999999999996</v>
      </c>
      <c r="T70" s="377">
        <f t="shared" si="42"/>
        <v>0.19999999999999996</v>
      </c>
      <c r="U70" s="377">
        <f t="shared" si="42"/>
        <v>0.19999999999999996</v>
      </c>
      <c r="V70" s="377">
        <f t="shared" si="42"/>
        <v>0.19999999999999996</v>
      </c>
      <c r="W70" s="377">
        <f t="shared" si="42"/>
        <v>0.19999999999999996</v>
      </c>
      <c r="X70" s="377">
        <f t="shared" si="42"/>
        <v>0.19999999999999996</v>
      </c>
      <c r="Y70" s="377">
        <f t="shared" si="42"/>
        <v>0.19999999999999996</v>
      </c>
      <c r="Z70" s="377">
        <f t="shared" si="42"/>
        <v>0.19999999999999996</v>
      </c>
      <c r="AA70" s="377">
        <f t="shared" si="42"/>
        <v>0.19999999999999996</v>
      </c>
      <c r="AB70" s="377">
        <f t="shared" si="42"/>
        <v>0.19999999999999996</v>
      </c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</row>
    <row r="71" spans="1:48" s="35" customFormat="1" x14ac:dyDescent="0.25">
      <c r="A71" s="22"/>
      <c r="B71" s="186" t="str">
        <f t="shared" ref="B71:B81" si="43">B70</f>
        <v>TCARGAS100P</v>
      </c>
      <c r="C71" s="186"/>
      <c r="D71" s="187"/>
      <c r="E71" s="186"/>
      <c r="F71" s="170"/>
      <c r="G71" s="214" t="s">
        <v>410</v>
      </c>
      <c r="H71" s="170"/>
      <c r="I71" s="190"/>
      <c r="J71" s="191"/>
      <c r="K71" s="191"/>
      <c r="L71" s="191" t="s">
        <v>1126</v>
      </c>
      <c r="M71" s="186" t="s">
        <v>678</v>
      </c>
      <c r="N71" s="377">
        <f>T_CEFF!H80</f>
        <v>0.38646999999999998</v>
      </c>
      <c r="O71" s="377">
        <f>T_CEFF!I80</f>
        <v>0.38646999999999998</v>
      </c>
      <c r="P71" s="377">
        <f>T_CEFF!J80</f>
        <v>0.38646999999999998</v>
      </c>
      <c r="Q71" s="377">
        <f>T_CEFF!K80</f>
        <v>0.38646999999999998</v>
      </c>
      <c r="R71" s="377">
        <f>T_CEFF!L80</f>
        <v>0.38646999999999998</v>
      </c>
      <c r="S71" s="377">
        <f>T_CEFF!M80</f>
        <v>0.38646999999999998</v>
      </c>
      <c r="T71" s="377">
        <f>T_CEFF!N80</f>
        <v>0.38646999999999998</v>
      </c>
      <c r="U71" s="377">
        <f>T_CEFF!O80</f>
        <v>0.38646999999999998</v>
      </c>
      <c r="V71" s="377">
        <f>T_CEFF!P80</f>
        <v>0.38646999999999998</v>
      </c>
      <c r="W71" s="377">
        <f>T_CEFF!Q80</f>
        <v>0.38646999999999998</v>
      </c>
      <c r="X71" s="377">
        <f>T_CEFF!R80</f>
        <v>0.38646999999999998</v>
      </c>
      <c r="Y71" s="377">
        <f>T_CEFF!S80</f>
        <v>0.38646999999999998</v>
      </c>
      <c r="Z71" s="377">
        <f>T_CEFF!T80</f>
        <v>0.38646999999999998</v>
      </c>
      <c r="AA71" s="377">
        <f>T_CEFF!U80</f>
        <v>0.38646999999999998</v>
      </c>
      <c r="AB71" s="377">
        <f>T_CEFF!V80</f>
        <v>0.38646999999999998</v>
      </c>
    </row>
    <row r="72" spans="1:48" s="35" customFormat="1" x14ac:dyDescent="0.25">
      <c r="A72" s="22"/>
      <c r="B72" s="186" t="str">
        <f t="shared" si="43"/>
        <v>TCARGAS100P</v>
      </c>
      <c r="C72" s="186"/>
      <c r="D72" s="187"/>
      <c r="E72" s="186"/>
      <c r="F72" s="170"/>
      <c r="G72" s="214" t="s">
        <v>412</v>
      </c>
      <c r="H72" s="170"/>
      <c r="I72" s="190"/>
      <c r="J72" s="191"/>
      <c r="K72" s="191"/>
      <c r="L72" s="191" t="s">
        <v>1126</v>
      </c>
      <c r="M72" s="186" t="s">
        <v>678</v>
      </c>
      <c r="N72" s="377">
        <f>T_CEFF!H81</f>
        <v>0.31873000000000001</v>
      </c>
      <c r="O72" s="377">
        <f>T_CEFF!I81</f>
        <v>0.31873000000000001</v>
      </c>
      <c r="P72" s="377">
        <f>T_CEFF!J81</f>
        <v>0.31873000000000001</v>
      </c>
      <c r="Q72" s="377">
        <f>T_CEFF!K81</f>
        <v>0.31873000000000001</v>
      </c>
      <c r="R72" s="377">
        <f>T_CEFF!L81</f>
        <v>0.31873000000000001</v>
      </c>
      <c r="S72" s="377">
        <f>T_CEFF!M81</f>
        <v>0.31873000000000001</v>
      </c>
      <c r="T72" s="377">
        <f>T_CEFF!N81</f>
        <v>0.31873000000000001</v>
      </c>
      <c r="U72" s="377">
        <f>T_CEFF!O81</f>
        <v>0.31873000000000001</v>
      </c>
      <c r="V72" s="377">
        <f>T_CEFF!P81</f>
        <v>0.31873000000000001</v>
      </c>
      <c r="W72" s="377">
        <f>T_CEFF!Q81</f>
        <v>0.31873000000000001</v>
      </c>
      <c r="X72" s="377">
        <f>T_CEFF!R81</f>
        <v>0.31873000000000001</v>
      </c>
      <c r="Y72" s="377">
        <f>T_CEFF!S81</f>
        <v>0.31873000000000001</v>
      </c>
      <c r="Z72" s="377">
        <f>T_CEFF!T81</f>
        <v>0.31873000000000001</v>
      </c>
      <c r="AA72" s="377">
        <f>T_CEFF!U81</f>
        <v>0.31873000000000001</v>
      </c>
      <c r="AB72" s="377">
        <f>T_CEFF!V81</f>
        <v>0.31873000000000001</v>
      </c>
    </row>
    <row r="73" spans="1:48" s="35" customFormat="1" x14ac:dyDescent="0.25">
      <c r="A73" s="22"/>
      <c r="B73" s="186" t="str">
        <f t="shared" si="43"/>
        <v>TCARGAS100P</v>
      </c>
      <c r="C73" s="186"/>
      <c r="D73" s="187"/>
      <c r="E73" s="186"/>
      <c r="F73" s="170"/>
      <c r="G73" s="213"/>
      <c r="H73" s="170"/>
      <c r="I73" s="190"/>
      <c r="J73" s="191"/>
      <c r="K73" s="191" t="s">
        <v>749</v>
      </c>
      <c r="L73" s="191" t="s">
        <v>1128</v>
      </c>
      <c r="M73" s="186" t="s">
        <v>1159</v>
      </c>
      <c r="N73" s="368">
        <f>N$14</f>
        <v>0</v>
      </c>
      <c r="O73" s="368">
        <f t="shared" ref="O73:AB73" si="44">O$14</f>
        <v>0</v>
      </c>
      <c r="P73" s="368">
        <f t="shared" si="44"/>
        <v>0</v>
      </c>
      <c r="Q73" s="368">
        <f t="shared" si="44"/>
        <v>0</v>
      </c>
      <c r="R73" s="368">
        <f t="shared" si="44"/>
        <v>0</v>
      </c>
      <c r="S73" s="368">
        <f t="shared" si="44"/>
        <v>0</v>
      </c>
      <c r="T73" s="368">
        <f t="shared" si="44"/>
        <v>0</v>
      </c>
      <c r="U73" s="368">
        <f t="shared" si="44"/>
        <v>0</v>
      </c>
      <c r="V73" s="368">
        <f t="shared" si="44"/>
        <v>0</v>
      </c>
      <c r="W73" s="368">
        <f t="shared" si="44"/>
        <v>0</v>
      </c>
      <c r="X73" s="368">
        <f t="shared" si="44"/>
        <v>0</v>
      </c>
      <c r="Y73" s="368">
        <f t="shared" si="44"/>
        <v>0</v>
      </c>
      <c r="Z73" s="368">
        <f t="shared" si="44"/>
        <v>0</v>
      </c>
      <c r="AA73" s="368">
        <f t="shared" si="44"/>
        <v>0</v>
      </c>
      <c r="AB73" s="368">
        <f t="shared" si="44"/>
        <v>0</v>
      </c>
    </row>
    <row r="74" spans="1:48" s="35" customFormat="1" x14ac:dyDescent="0.25">
      <c r="A74" s="22"/>
      <c r="B74" s="186" t="str">
        <f t="shared" si="43"/>
        <v>TCARGAS100P</v>
      </c>
      <c r="C74" s="186"/>
      <c r="D74" s="187"/>
      <c r="E74" s="186"/>
      <c r="F74" s="170"/>
      <c r="G74" s="213"/>
      <c r="H74" s="170"/>
      <c r="I74" s="190"/>
      <c r="J74" s="191"/>
      <c r="K74" s="191"/>
      <c r="L74" s="211" t="s">
        <v>1130</v>
      </c>
      <c r="M74" s="186" t="s">
        <v>1131</v>
      </c>
      <c r="N74" s="376">
        <f>LOOKUP($C$68, T_NCAP_AF!$C$35:$C$45, T_NCAP_AF!D$35:D$45)*(1+N$24)</f>
        <v>0</v>
      </c>
      <c r="O74" s="376">
        <f>LOOKUP($C$68, T_NCAP_AF!$C$35:$C$45, T_NCAP_AF!E$35:E$45)*(1+O$24)</f>
        <v>0</v>
      </c>
      <c r="P74" s="376">
        <f>LOOKUP($C$68, T_NCAP_AF!$C$35:$C$45, T_NCAP_AF!F$35:F$45)*(1+P$24)</f>
        <v>0</v>
      </c>
      <c r="Q74" s="376">
        <f>LOOKUP($C$68, T_NCAP_AF!$C$35:$C$45, T_NCAP_AF!G$35:G$45)*(1+Q$24)</f>
        <v>0</v>
      </c>
      <c r="R74" s="376">
        <f>LOOKUP($C$68, T_NCAP_AF!$C$35:$C$45, T_NCAP_AF!H$35:H$45)*(1+R$24)</f>
        <v>0</v>
      </c>
      <c r="S74" s="376">
        <f>LOOKUP($C$68, T_NCAP_AF!$C$35:$C$45, T_NCAP_AF!I$35:I$45)*(1+S$24)</f>
        <v>0</v>
      </c>
      <c r="T74" s="376">
        <f>LOOKUP($C$68, T_NCAP_AF!$C$35:$C$45, T_NCAP_AF!J$35:J$45)*(1+T$24)</f>
        <v>0</v>
      </c>
      <c r="U74" s="376">
        <f>LOOKUP($C$68, T_NCAP_AF!$C$35:$C$45, T_NCAP_AF!K$35:K$45)*(1+U$24)</f>
        <v>0</v>
      </c>
      <c r="V74" s="376">
        <f>LOOKUP($C$68, T_NCAP_AF!$C$35:$C$45, T_NCAP_AF!L$35:L$45)*(1+V$24)</f>
        <v>0</v>
      </c>
      <c r="W74" s="376">
        <f>LOOKUP($C$68, T_NCAP_AF!$C$35:$C$45, T_NCAP_AF!M$35:M$45)*(1+W$24)</f>
        <v>0</v>
      </c>
      <c r="X74" s="376">
        <f>LOOKUP($C$68, T_NCAP_AF!$C$35:$C$45, T_NCAP_AF!N$35:N$45)*(1+X$24)</f>
        <v>0</v>
      </c>
      <c r="Y74" s="376">
        <f>LOOKUP($C$68, T_NCAP_AF!$C$35:$C$45, T_NCAP_AF!O$35:O$45)*(1+Y$24)</f>
        <v>0</v>
      </c>
      <c r="Z74" s="376">
        <f>LOOKUP($C$68, T_NCAP_AF!$C$35:$C$45, T_NCAP_AF!P$35:P$45)*(1+Z$24)</f>
        <v>0</v>
      </c>
      <c r="AA74" s="376">
        <f>LOOKUP($C$68, T_NCAP_AF!$C$35:$C$45, T_NCAP_AF!Q$35:Q$45)*(1+AA$24)</f>
        <v>0</v>
      </c>
      <c r="AB74" s="376">
        <f>LOOKUP($C$68, T_NCAP_AF!$C$35:$C$45, T_NCAP_AF!R$35:R$45)*(1+AB$24)</f>
        <v>0</v>
      </c>
    </row>
    <row r="75" spans="1:48" s="35" customFormat="1" x14ac:dyDescent="0.25">
      <c r="A75" s="22"/>
      <c r="B75" s="186" t="str">
        <f t="shared" si="43"/>
        <v>TCARGAS100P</v>
      </c>
      <c r="C75" s="186"/>
      <c r="D75" s="187"/>
      <c r="E75" s="186"/>
      <c r="F75" s="170"/>
      <c r="G75" s="213"/>
      <c r="H75" s="170"/>
      <c r="I75" s="190">
        <f>$M$3</f>
        <v>2019</v>
      </c>
      <c r="J75" s="191"/>
      <c r="K75" s="191"/>
      <c r="L75" s="211" t="s">
        <v>1065</v>
      </c>
      <c r="M75" s="186" t="s">
        <v>748</v>
      </c>
      <c r="N75" s="687">
        <f>LOOKUP($C$68, T_Stock_Private!$C$26:$C$36, T_Stock_Private!D$26:D$36)*(1+N$25)</f>
        <v>0</v>
      </c>
      <c r="O75" s="687">
        <f>LOOKUP($C$68, T_Stock_Private!$C$26:$C$36, T_Stock_Private!E$26:E$36)*(1+O$25)</f>
        <v>0</v>
      </c>
      <c r="P75" s="687">
        <f>LOOKUP($C$68, T_Stock_Private!$C$26:$C$36, T_Stock_Private!F$26:F$36)*(1+P$25)</f>
        <v>0</v>
      </c>
      <c r="Q75" s="687">
        <f>LOOKUP($C$68, T_Stock_Private!$C$26:$C$36, T_Stock_Private!G$26:G$36)*(1+Q$25)</f>
        <v>0</v>
      </c>
      <c r="R75" s="687">
        <f>LOOKUP($C$68, T_Stock_Private!$C$26:$C$36, T_Stock_Private!H$26:H$36)*(1+R$25)</f>
        <v>0</v>
      </c>
      <c r="S75" s="687">
        <f>LOOKUP($C$68, T_Stock_Private!$C$26:$C$36, T_Stock_Private!I$26:I$36)*(1+S$25)</f>
        <v>0</v>
      </c>
      <c r="T75" s="687">
        <f>LOOKUP($C$68, T_Stock_Private!$C$26:$C$36, T_Stock_Private!J$26:J$36)*(1+T$25)</f>
        <v>0</v>
      </c>
      <c r="U75" s="687">
        <f>LOOKUP($C$68, T_Stock_Private!$C$26:$C$36, T_Stock_Private!K$26:K$36)*(1+U$25)</f>
        <v>0</v>
      </c>
      <c r="V75" s="687">
        <f>LOOKUP($C$68, T_Stock_Private!$C$26:$C$36, T_Stock_Private!L$26:L$36)*(1+V$25)</f>
        <v>0</v>
      </c>
      <c r="W75" s="687">
        <f>LOOKUP($C$68, T_Stock_Private!$C$26:$C$36, T_Stock_Private!M$26:M$36)*(1+W$25)</f>
        <v>0</v>
      </c>
      <c r="X75" s="687">
        <f>LOOKUP($C$68, T_Stock_Private!$C$26:$C$36, T_Stock_Private!N$26:N$36)*(1+X$25)</f>
        <v>0</v>
      </c>
      <c r="Y75" s="687">
        <f>LOOKUP($C$68, T_Stock_Private!$C$26:$C$36, T_Stock_Private!O$26:O$36)*(1+Y$25)</f>
        <v>0</v>
      </c>
      <c r="Z75" s="687">
        <f>LOOKUP($C$68, T_Stock_Private!$C$26:$C$36, T_Stock_Private!P$26:P$36)*(1+Z$25)</f>
        <v>0</v>
      </c>
      <c r="AA75" s="687">
        <f>LOOKUP($C$68, T_Stock_Private!$C$26:$C$36, T_Stock_Private!Q$26:Q$36)*(1+AA$25)</f>
        <v>0</v>
      </c>
      <c r="AB75" s="687">
        <f>LOOKUP($C$68, T_Stock_Private!$C$26:$C$36, T_Stock_Private!R$26:R$36)*(1+AB$25)</f>
        <v>0</v>
      </c>
    </row>
    <row r="76" spans="1:48" s="35" customFormat="1" x14ac:dyDescent="0.25">
      <c r="A76" s="22"/>
      <c r="B76" s="186" t="str">
        <f t="shared" si="43"/>
        <v>TCARGAS100P</v>
      </c>
      <c r="C76" s="186"/>
      <c r="D76" s="187"/>
      <c r="E76" s="186"/>
      <c r="F76" s="170"/>
      <c r="G76" s="213"/>
      <c r="H76" s="170"/>
      <c r="I76" s="190">
        <f>AF$5</f>
        <v>2016</v>
      </c>
      <c r="J76" s="191"/>
      <c r="K76" s="191"/>
      <c r="L76" s="211" t="s">
        <v>1065</v>
      </c>
      <c r="M76" s="186" t="s">
        <v>748</v>
      </c>
      <c r="N76" s="687">
        <f t="shared" ref="N76:AB76" si="45">N$75*LOOKUP($AD$68,$AG$4:$AP$4,$AG5:$AP5)</f>
        <v>0</v>
      </c>
      <c r="O76" s="687">
        <f t="shared" si="45"/>
        <v>0</v>
      </c>
      <c r="P76" s="687">
        <f t="shared" si="45"/>
        <v>0</v>
      </c>
      <c r="Q76" s="687">
        <f t="shared" si="45"/>
        <v>0</v>
      </c>
      <c r="R76" s="687">
        <f t="shared" si="45"/>
        <v>0</v>
      </c>
      <c r="S76" s="687">
        <f t="shared" si="45"/>
        <v>0</v>
      </c>
      <c r="T76" s="687">
        <f t="shared" si="45"/>
        <v>0</v>
      </c>
      <c r="U76" s="687">
        <f t="shared" si="45"/>
        <v>0</v>
      </c>
      <c r="V76" s="687">
        <f t="shared" si="45"/>
        <v>0</v>
      </c>
      <c r="W76" s="687">
        <f t="shared" si="45"/>
        <v>0</v>
      </c>
      <c r="X76" s="687">
        <f t="shared" si="45"/>
        <v>0</v>
      </c>
      <c r="Y76" s="687">
        <f t="shared" si="45"/>
        <v>0</v>
      </c>
      <c r="Z76" s="687">
        <f t="shared" si="45"/>
        <v>0</v>
      </c>
      <c r="AA76" s="687">
        <f t="shared" si="45"/>
        <v>0</v>
      </c>
      <c r="AB76" s="687">
        <f t="shared" si="45"/>
        <v>0</v>
      </c>
      <c r="AE76" s="569">
        <f>SUM(AF76:AT76)</f>
        <v>0</v>
      </c>
      <c r="AF76" s="568">
        <f>N73*N74*N75/1000</f>
        <v>0</v>
      </c>
      <c r="AG76" s="568">
        <f t="shared" ref="AG76:AT76" si="46">O73*O74*O75</f>
        <v>0</v>
      </c>
      <c r="AH76" s="568">
        <f t="shared" si="46"/>
        <v>0</v>
      </c>
      <c r="AI76" s="568">
        <f t="shared" si="46"/>
        <v>0</v>
      </c>
      <c r="AJ76" s="568">
        <f t="shared" si="46"/>
        <v>0</v>
      </c>
      <c r="AK76" s="568">
        <f t="shared" si="46"/>
        <v>0</v>
      </c>
      <c r="AL76" s="568">
        <f t="shared" si="46"/>
        <v>0</v>
      </c>
      <c r="AM76" s="568">
        <f t="shared" si="46"/>
        <v>0</v>
      </c>
      <c r="AN76" s="568">
        <f t="shared" si="46"/>
        <v>0</v>
      </c>
      <c r="AO76" s="568">
        <f t="shared" si="46"/>
        <v>0</v>
      </c>
      <c r="AP76" s="568">
        <f t="shared" si="46"/>
        <v>0</v>
      </c>
      <c r="AQ76" s="568">
        <f t="shared" si="46"/>
        <v>0</v>
      </c>
      <c r="AR76" s="568">
        <f t="shared" si="46"/>
        <v>0</v>
      </c>
      <c r="AS76" s="568">
        <f t="shared" si="46"/>
        <v>0</v>
      </c>
      <c r="AT76" s="568">
        <f t="shared" si="46"/>
        <v>0</v>
      </c>
    </row>
    <row r="77" spans="1:48" s="35" customFormat="1" x14ac:dyDescent="0.25">
      <c r="A77" s="22"/>
      <c r="B77" s="186" t="str">
        <f t="shared" si="43"/>
        <v>TCARGAS100P</v>
      </c>
      <c r="C77" s="186"/>
      <c r="D77" s="187"/>
      <c r="E77" s="186"/>
      <c r="F77" s="170"/>
      <c r="G77" s="213"/>
      <c r="H77" s="170"/>
      <c r="I77" s="190">
        <f>AF$6</f>
        <v>2020</v>
      </c>
      <c r="J77" s="191"/>
      <c r="K77" s="191"/>
      <c r="L77" s="211" t="s">
        <v>1065</v>
      </c>
      <c r="M77" s="186" t="s">
        <v>748</v>
      </c>
      <c r="N77" s="687">
        <f t="shared" ref="N77:AB77" si="47">N$75*LOOKUP($AD$68,$AG$4:$AP$4,$AG6:$AP6)</f>
        <v>0</v>
      </c>
      <c r="O77" s="687">
        <f t="shared" si="47"/>
        <v>0</v>
      </c>
      <c r="P77" s="687">
        <f t="shared" si="47"/>
        <v>0</v>
      </c>
      <c r="Q77" s="687">
        <f t="shared" si="47"/>
        <v>0</v>
      </c>
      <c r="R77" s="687">
        <f t="shared" si="47"/>
        <v>0</v>
      </c>
      <c r="S77" s="687">
        <f t="shared" si="47"/>
        <v>0</v>
      </c>
      <c r="T77" s="687">
        <f t="shared" si="47"/>
        <v>0</v>
      </c>
      <c r="U77" s="687">
        <f t="shared" si="47"/>
        <v>0</v>
      </c>
      <c r="V77" s="687">
        <f t="shared" si="47"/>
        <v>0</v>
      </c>
      <c r="W77" s="687">
        <f t="shared" si="47"/>
        <v>0</v>
      </c>
      <c r="X77" s="687">
        <f t="shared" si="47"/>
        <v>0</v>
      </c>
      <c r="Y77" s="687">
        <f t="shared" si="47"/>
        <v>0</v>
      </c>
      <c r="Z77" s="687">
        <f t="shared" si="47"/>
        <v>0</v>
      </c>
      <c r="AA77" s="687">
        <f t="shared" si="47"/>
        <v>0</v>
      </c>
      <c r="AB77" s="687">
        <f t="shared" si="47"/>
        <v>0</v>
      </c>
    </row>
    <row r="78" spans="1:48" s="35" customFormat="1" x14ac:dyDescent="0.25">
      <c r="A78" s="22"/>
      <c r="B78" s="186" t="str">
        <f t="shared" si="43"/>
        <v>TCARGAS100P</v>
      </c>
      <c r="C78" s="186"/>
      <c r="D78" s="187"/>
      <c r="E78" s="186"/>
      <c r="F78" s="170"/>
      <c r="G78" s="213"/>
      <c r="H78" s="170"/>
      <c r="I78" s="190">
        <f>AF$7</f>
        <v>2025</v>
      </c>
      <c r="J78" s="191"/>
      <c r="K78" s="191"/>
      <c r="L78" s="211" t="s">
        <v>1065</v>
      </c>
      <c r="M78" s="186" t="s">
        <v>748</v>
      </c>
      <c r="N78" s="687">
        <f t="shared" ref="N78:AB78" si="48">N$75*LOOKUP($AD$68,$AG$4:$AP$4,$AG7:$AP7)</f>
        <v>0</v>
      </c>
      <c r="O78" s="687">
        <f t="shared" si="48"/>
        <v>0</v>
      </c>
      <c r="P78" s="687">
        <f t="shared" si="48"/>
        <v>0</v>
      </c>
      <c r="Q78" s="687">
        <f t="shared" si="48"/>
        <v>0</v>
      </c>
      <c r="R78" s="687">
        <f t="shared" si="48"/>
        <v>0</v>
      </c>
      <c r="S78" s="687">
        <f t="shared" si="48"/>
        <v>0</v>
      </c>
      <c r="T78" s="687">
        <f t="shared" si="48"/>
        <v>0</v>
      </c>
      <c r="U78" s="687">
        <f t="shared" si="48"/>
        <v>0</v>
      </c>
      <c r="V78" s="687">
        <f t="shared" si="48"/>
        <v>0</v>
      </c>
      <c r="W78" s="687">
        <f t="shared" si="48"/>
        <v>0</v>
      </c>
      <c r="X78" s="687">
        <f t="shared" si="48"/>
        <v>0</v>
      </c>
      <c r="Y78" s="687">
        <f t="shared" si="48"/>
        <v>0</v>
      </c>
      <c r="Z78" s="687">
        <f t="shared" si="48"/>
        <v>0</v>
      </c>
      <c r="AA78" s="687">
        <f t="shared" si="48"/>
        <v>0</v>
      </c>
      <c r="AB78" s="687">
        <f t="shared" si="48"/>
        <v>0</v>
      </c>
    </row>
    <row r="79" spans="1:48" s="35" customFormat="1" x14ac:dyDescent="0.25">
      <c r="A79" s="22"/>
      <c r="B79" s="186" t="str">
        <f t="shared" si="43"/>
        <v>TCARGAS100P</v>
      </c>
      <c r="C79" s="186"/>
      <c r="D79" s="187"/>
      <c r="E79" s="186"/>
      <c r="F79" s="170"/>
      <c r="G79" s="213"/>
      <c r="H79" s="170"/>
      <c r="I79" s="190">
        <f>AF$8</f>
        <v>2030</v>
      </c>
      <c r="J79" s="191"/>
      <c r="K79" s="191"/>
      <c r="L79" s="211" t="s">
        <v>1065</v>
      </c>
      <c r="M79" s="186" t="s">
        <v>748</v>
      </c>
      <c r="N79" s="687">
        <f t="shared" ref="N79:AB79" si="49">N$75*LOOKUP($AD$68,$AG$4:$AP$4,$AG8:$AP8)</f>
        <v>0</v>
      </c>
      <c r="O79" s="687">
        <f t="shared" si="49"/>
        <v>0</v>
      </c>
      <c r="P79" s="687">
        <f t="shared" si="49"/>
        <v>0</v>
      </c>
      <c r="Q79" s="687">
        <f t="shared" si="49"/>
        <v>0</v>
      </c>
      <c r="R79" s="687">
        <f t="shared" si="49"/>
        <v>0</v>
      </c>
      <c r="S79" s="687">
        <f t="shared" si="49"/>
        <v>0</v>
      </c>
      <c r="T79" s="687">
        <f t="shared" si="49"/>
        <v>0</v>
      </c>
      <c r="U79" s="687">
        <f t="shared" si="49"/>
        <v>0</v>
      </c>
      <c r="V79" s="687">
        <f t="shared" si="49"/>
        <v>0</v>
      </c>
      <c r="W79" s="687">
        <f t="shared" si="49"/>
        <v>0</v>
      </c>
      <c r="X79" s="687">
        <f t="shared" si="49"/>
        <v>0</v>
      </c>
      <c r="Y79" s="687">
        <f t="shared" si="49"/>
        <v>0</v>
      </c>
      <c r="Z79" s="687">
        <f t="shared" si="49"/>
        <v>0</v>
      </c>
      <c r="AA79" s="687">
        <f t="shared" si="49"/>
        <v>0</v>
      </c>
      <c r="AB79" s="687">
        <f t="shared" si="49"/>
        <v>0</v>
      </c>
    </row>
    <row r="80" spans="1:48" s="35" customFormat="1" x14ac:dyDescent="0.25">
      <c r="A80" s="22"/>
      <c r="B80" s="186" t="str">
        <f t="shared" si="43"/>
        <v>TCARGAS100P</v>
      </c>
      <c r="C80" s="186"/>
      <c r="D80" s="187"/>
      <c r="E80" s="186"/>
      <c r="F80" s="170"/>
      <c r="G80" s="213"/>
      <c r="H80" s="170"/>
      <c r="I80" s="190">
        <f>AF$9</f>
        <v>2040</v>
      </c>
      <c r="J80" s="191"/>
      <c r="K80" s="191"/>
      <c r="L80" s="211" t="s">
        <v>1065</v>
      </c>
      <c r="M80" s="186" t="s">
        <v>748</v>
      </c>
      <c r="N80" s="687">
        <f t="shared" ref="N80:AB80" si="50">N$75*LOOKUP($AD$68,$AG$4:$AP$4,$AG9:$AP9)</f>
        <v>0</v>
      </c>
      <c r="O80" s="687">
        <f t="shared" si="50"/>
        <v>0</v>
      </c>
      <c r="P80" s="687">
        <f t="shared" si="50"/>
        <v>0</v>
      </c>
      <c r="Q80" s="687">
        <f t="shared" si="50"/>
        <v>0</v>
      </c>
      <c r="R80" s="687">
        <f t="shared" si="50"/>
        <v>0</v>
      </c>
      <c r="S80" s="687">
        <f t="shared" si="50"/>
        <v>0</v>
      </c>
      <c r="T80" s="687">
        <f t="shared" si="50"/>
        <v>0</v>
      </c>
      <c r="U80" s="687">
        <f t="shared" si="50"/>
        <v>0</v>
      </c>
      <c r="V80" s="687">
        <f t="shared" si="50"/>
        <v>0</v>
      </c>
      <c r="W80" s="687">
        <f t="shared" si="50"/>
        <v>0</v>
      </c>
      <c r="X80" s="687">
        <f t="shared" si="50"/>
        <v>0</v>
      </c>
      <c r="Y80" s="687">
        <f t="shared" si="50"/>
        <v>0</v>
      </c>
      <c r="Z80" s="687">
        <f t="shared" si="50"/>
        <v>0</v>
      </c>
      <c r="AA80" s="687">
        <f t="shared" si="50"/>
        <v>0</v>
      </c>
      <c r="AB80" s="687">
        <f t="shared" si="50"/>
        <v>0</v>
      </c>
    </row>
    <row r="81" spans="1:46" s="35" customFormat="1" x14ac:dyDescent="0.25">
      <c r="A81" s="22"/>
      <c r="B81" s="193" t="str">
        <f t="shared" si="43"/>
        <v>TCARGAS100P</v>
      </c>
      <c r="C81" s="193"/>
      <c r="D81" s="194"/>
      <c r="E81" s="193"/>
      <c r="F81" s="196"/>
      <c r="G81" s="215"/>
      <c r="H81" s="196"/>
      <c r="I81" s="197">
        <f>AF$10</f>
        <v>2050</v>
      </c>
      <c r="J81" s="198"/>
      <c r="K81" s="198"/>
      <c r="L81" s="212" t="s">
        <v>1065</v>
      </c>
      <c r="M81" s="193" t="s">
        <v>748</v>
      </c>
      <c r="N81" s="688">
        <f t="shared" ref="N81:AB81" si="51">N$75*LOOKUP($AD$68,$AG$4:$AP$4,$AG10:$AP10)</f>
        <v>0</v>
      </c>
      <c r="O81" s="688">
        <f t="shared" si="51"/>
        <v>0</v>
      </c>
      <c r="P81" s="688">
        <f t="shared" si="51"/>
        <v>0</v>
      </c>
      <c r="Q81" s="688">
        <f t="shared" si="51"/>
        <v>0</v>
      </c>
      <c r="R81" s="688">
        <f t="shared" si="51"/>
        <v>0</v>
      </c>
      <c r="S81" s="688">
        <f t="shared" si="51"/>
        <v>0</v>
      </c>
      <c r="T81" s="688">
        <f t="shared" si="51"/>
        <v>0</v>
      </c>
      <c r="U81" s="688">
        <f t="shared" si="51"/>
        <v>0</v>
      </c>
      <c r="V81" s="688">
        <f t="shared" si="51"/>
        <v>0</v>
      </c>
      <c r="W81" s="688">
        <f t="shared" si="51"/>
        <v>0</v>
      </c>
      <c r="X81" s="688">
        <f t="shared" si="51"/>
        <v>0</v>
      </c>
      <c r="Y81" s="688">
        <f t="shared" si="51"/>
        <v>0</v>
      </c>
      <c r="Z81" s="688">
        <f t="shared" si="51"/>
        <v>0</v>
      </c>
      <c r="AA81" s="688">
        <f t="shared" si="51"/>
        <v>0</v>
      </c>
      <c r="AB81" s="688">
        <f t="shared" si="51"/>
        <v>0</v>
      </c>
    </row>
    <row r="82" spans="1:46" s="35" customFormat="1" x14ac:dyDescent="0.25">
      <c r="A82" s="22"/>
      <c r="B82" s="186" t="str">
        <f>C82</f>
        <v>TCARGSL100P</v>
      </c>
      <c r="C82" s="186" t="s">
        <v>317</v>
      </c>
      <c r="D82" s="187" t="s">
        <v>787</v>
      </c>
      <c r="E82" s="258" t="s">
        <v>1014</v>
      </c>
      <c r="F82" s="170"/>
      <c r="G82" s="213"/>
      <c r="H82" s="170"/>
      <c r="I82" s="190"/>
      <c r="J82" s="191"/>
      <c r="K82" s="191"/>
      <c r="L82" s="211" t="s">
        <v>1107</v>
      </c>
      <c r="M82" s="191" t="s">
        <v>1156</v>
      </c>
      <c r="N82" s="366">
        <f>N$30</f>
        <v>1E-3</v>
      </c>
      <c r="O82" s="366">
        <f t="shared" ref="O82:AB82" si="52">$N82</f>
        <v>1E-3</v>
      </c>
      <c r="P82" s="366">
        <f t="shared" si="52"/>
        <v>1E-3</v>
      </c>
      <c r="Q82" s="366">
        <f t="shared" si="52"/>
        <v>1E-3</v>
      </c>
      <c r="R82" s="366">
        <f t="shared" si="52"/>
        <v>1E-3</v>
      </c>
      <c r="S82" s="366">
        <f t="shared" si="52"/>
        <v>1E-3</v>
      </c>
      <c r="T82" s="366">
        <f t="shared" si="52"/>
        <v>1E-3</v>
      </c>
      <c r="U82" s="366">
        <f t="shared" si="52"/>
        <v>1E-3</v>
      </c>
      <c r="V82" s="366">
        <f t="shared" si="52"/>
        <v>1E-3</v>
      </c>
      <c r="W82" s="366">
        <f t="shared" si="52"/>
        <v>1E-3</v>
      </c>
      <c r="X82" s="366">
        <f t="shared" si="52"/>
        <v>1E-3</v>
      </c>
      <c r="Y82" s="366">
        <f t="shared" si="52"/>
        <v>1E-3</v>
      </c>
      <c r="Z82" s="366">
        <f t="shared" si="52"/>
        <v>1E-3</v>
      </c>
      <c r="AA82" s="366">
        <f t="shared" si="52"/>
        <v>1E-3</v>
      </c>
      <c r="AB82" s="366">
        <f t="shared" si="52"/>
        <v>1E-3</v>
      </c>
      <c r="AD82" s="402" t="str">
        <f>MID(D82,5,3)</f>
        <v>GSL</v>
      </c>
    </row>
    <row r="83" spans="1:46" s="35" customFormat="1" x14ac:dyDescent="0.25">
      <c r="A83" s="22"/>
      <c r="B83" s="186" t="str">
        <f>B82</f>
        <v>TCARGSL100P</v>
      </c>
      <c r="C83" s="186"/>
      <c r="D83" s="187"/>
      <c r="E83" s="258" t="s">
        <v>1012</v>
      </c>
      <c r="F83" s="170"/>
      <c r="G83" s="213"/>
      <c r="H83" s="170"/>
      <c r="I83" s="190"/>
      <c r="J83" s="191" t="s">
        <v>1157</v>
      </c>
      <c r="K83" s="191"/>
      <c r="L83" s="211" t="s">
        <v>101</v>
      </c>
      <c r="M83" s="186"/>
      <c r="N83" s="377">
        <f>N$18</f>
        <v>0.03</v>
      </c>
      <c r="O83" s="377">
        <f t="shared" ref="O83:AB83" si="53">O$18</f>
        <v>0.03</v>
      </c>
      <c r="P83" s="377">
        <f t="shared" si="53"/>
        <v>0.03</v>
      </c>
      <c r="Q83" s="377">
        <f t="shared" si="53"/>
        <v>0.03</v>
      </c>
      <c r="R83" s="377">
        <f t="shared" si="53"/>
        <v>0.03</v>
      </c>
      <c r="S83" s="377">
        <f t="shared" si="53"/>
        <v>0.03</v>
      </c>
      <c r="T83" s="377">
        <f t="shared" si="53"/>
        <v>0.03</v>
      </c>
      <c r="U83" s="377">
        <f t="shared" si="53"/>
        <v>0.03</v>
      </c>
      <c r="V83" s="377">
        <f t="shared" si="53"/>
        <v>0.03</v>
      </c>
      <c r="W83" s="377">
        <f t="shared" si="53"/>
        <v>0.03</v>
      </c>
      <c r="X83" s="377">
        <f t="shared" si="53"/>
        <v>0.03</v>
      </c>
      <c r="Y83" s="377">
        <f t="shared" si="53"/>
        <v>0.03</v>
      </c>
      <c r="Z83" s="377">
        <f t="shared" si="53"/>
        <v>0.03</v>
      </c>
      <c r="AA83" s="377">
        <f t="shared" si="53"/>
        <v>0.03</v>
      </c>
      <c r="AB83" s="377">
        <f t="shared" si="53"/>
        <v>0.03</v>
      </c>
      <c r="AD83" s="66" t="str">
        <f>IF(COUNTIF($AG$4:$AP$4,AD82)=1,"ok","MISSING")</f>
        <v>ok</v>
      </c>
    </row>
    <row r="84" spans="1:46" s="35" customFormat="1" x14ac:dyDescent="0.25">
      <c r="A84" s="22"/>
      <c r="B84" s="186" t="str">
        <f>B83</f>
        <v>TCARGSL100P</v>
      </c>
      <c r="C84" s="186"/>
      <c r="D84" s="187"/>
      <c r="E84" s="186"/>
      <c r="F84" s="170"/>
      <c r="G84" s="214" t="s">
        <v>410</v>
      </c>
      <c r="H84" s="170"/>
      <c r="I84" s="190"/>
      <c r="J84" s="191"/>
      <c r="K84" s="191"/>
      <c r="L84" s="191" t="s">
        <v>1126</v>
      </c>
      <c r="M84" s="186" t="s">
        <v>678</v>
      </c>
      <c r="N84" s="377">
        <f>T_CEFF!H82</f>
        <v>0.38646999999999998</v>
      </c>
      <c r="O84" s="377">
        <f>T_CEFF!I82</f>
        <v>0.38646999999999998</v>
      </c>
      <c r="P84" s="377">
        <f>T_CEFF!J82</f>
        <v>0.38646999999999998</v>
      </c>
      <c r="Q84" s="377">
        <f>T_CEFF!K82</f>
        <v>0.38646999999999998</v>
      </c>
      <c r="R84" s="377">
        <f>T_CEFF!L82</f>
        <v>0.38646999999999998</v>
      </c>
      <c r="S84" s="377">
        <f>T_CEFF!M82</f>
        <v>0.38646999999999998</v>
      </c>
      <c r="T84" s="377">
        <f>T_CEFF!N82</f>
        <v>0.38646999999999998</v>
      </c>
      <c r="U84" s="377">
        <f>T_CEFF!O82</f>
        <v>0.38646999999999998</v>
      </c>
      <c r="V84" s="377">
        <f>T_CEFF!P82</f>
        <v>0.38646999999999998</v>
      </c>
      <c r="W84" s="377">
        <f>T_CEFF!Q82</f>
        <v>0.38646999999999998</v>
      </c>
      <c r="X84" s="377">
        <f>T_CEFF!R82</f>
        <v>0.38646999999999998</v>
      </c>
      <c r="Y84" s="377">
        <f>T_CEFF!S82</f>
        <v>0.38646999999999998</v>
      </c>
      <c r="Z84" s="377">
        <f>T_CEFF!T82</f>
        <v>0.38646999999999998</v>
      </c>
      <c r="AA84" s="377">
        <f>T_CEFF!U82</f>
        <v>0.38646999999999998</v>
      </c>
      <c r="AB84" s="377">
        <f>T_CEFF!V82</f>
        <v>0.38646999999999998</v>
      </c>
    </row>
    <row r="85" spans="1:46" s="35" customFormat="1" x14ac:dyDescent="0.25">
      <c r="A85" s="22"/>
      <c r="B85" s="186" t="str">
        <f>B84</f>
        <v>TCARGSL100P</v>
      </c>
      <c r="C85" s="186"/>
      <c r="D85" s="187"/>
      <c r="E85" s="186"/>
      <c r="F85" s="170"/>
      <c r="G85" s="214" t="s">
        <v>412</v>
      </c>
      <c r="H85" s="170"/>
      <c r="I85" s="190"/>
      <c r="J85" s="191"/>
      <c r="K85" s="191"/>
      <c r="L85" s="191" t="s">
        <v>1126</v>
      </c>
      <c r="M85" s="186" t="s">
        <v>678</v>
      </c>
      <c r="N85" s="377">
        <f>T_CEFF!H83</f>
        <v>0.31873000000000001</v>
      </c>
      <c r="O85" s="377">
        <f>T_CEFF!I83</f>
        <v>0.31873000000000001</v>
      </c>
      <c r="P85" s="377">
        <f>T_CEFF!J83</f>
        <v>0.31873000000000001</v>
      </c>
      <c r="Q85" s="377">
        <f>T_CEFF!K83</f>
        <v>0.31873000000000001</v>
      </c>
      <c r="R85" s="377">
        <f>T_CEFF!L83</f>
        <v>0.31873000000000001</v>
      </c>
      <c r="S85" s="377">
        <f>T_CEFF!M83</f>
        <v>0.31873000000000001</v>
      </c>
      <c r="T85" s="377">
        <f>T_CEFF!N83</f>
        <v>0.31873000000000001</v>
      </c>
      <c r="U85" s="377">
        <f>T_CEFF!O83</f>
        <v>0.31873000000000001</v>
      </c>
      <c r="V85" s="377">
        <f>T_CEFF!P83</f>
        <v>0.31873000000000001</v>
      </c>
      <c r="W85" s="377">
        <f>T_CEFF!Q83</f>
        <v>0.31873000000000001</v>
      </c>
      <c r="X85" s="377">
        <f>T_CEFF!R83</f>
        <v>0.31873000000000001</v>
      </c>
      <c r="Y85" s="377">
        <f>T_CEFF!S83</f>
        <v>0.31873000000000001</v>
      </c>
      <c r="Z85" s="377">
        <f>T_CEFF!T83</f>
        <v>0.31873000000000001</v>
      </c>
      <c r="AA85" s="377">
        <f>T_CEFF!U83</f>
        <v>0.31873000000000001</v>
      </c>
      <c r="AB85" s="377">
        <f>T_CEFF!V83</f>
        <v>0.31873000000000001</v>
      </c>
    </row>
    <row r="86" spans="1:46" s="35" customFormat="1" x14ac:dyDescent="0.25">
      <c r="A86" s="22"/>
      <c r="B86" s="186" t="str">
        <f t="shared" ref="B86:B94" si="54">B85</f>
        <v>TCARGSL100P</v>
      </c>
      <c r="C86" s="186"/>
      <c r="D86" s="187"/>
      <c r="E86" s="186"/>
      <c r="F86" s="170"/>
      <c r="G86" s="213"/>
      <c r="H86" s="170"/>
      <c r="I86" s="190"/>
      <c r="J86" s="191"/>
      <c r="K86" s="191" t="s">
        <v>749</v>
      </c>
      <c r="L86" s="191" t="s">
        <v>1128</v>
      </c>
      <c r="M86" s="186" t="s">
        <v>1159</v>
      </c>
      <c r="N86" s="368">
        <f>N$14</f>
        <v>0</v>
      </c>
      <c r="O86" s="368">
        <f t="shared" ref="O86:AB86" si="55">O$14</f>
        <v>0</v>
      </c>
      <c r="P86" s="368">
        <f t="shared" si="55"/>
        <v>0</v>
      </c>
      <c r="Q86" s="368">
        <f t="shared" si="55"/>
        <v>0</v>
      </c>
      <c r="R86" s="368">
        <f t="shared" si="55"/>
        <v>0</v>
      </c>
      <c r="S86" s="368">
        <f t="shared" si="55"/>
        <v>0</v>
      </c>
      <c r="T86" s="368">
        <f t="shared" si="55"/>
        <v>0</v>
      </c>
      <c r="U86" s="368">
        <f t="shared" si="55"/>
        <v>0</v>
      </c>
      <c r="V86" s="368">
        <f t="shared" si="55"/>
        <v>0</v>
      </c>
      <c r="W86" s="368">
        <f t="shared" si="55"/>
        <v>0</v>
      </c>
      <c r="X86" s="368">
        <f t="shared" si="55"/>
        <v>0</v>
      </c>
      <c r="Y86" s="368">
        <f t="shared" si="55"/>
        <v>0</v>
      </c>
      <c r="Z86" s="368">
        <f t="shared" si="55"/>
        <v>0</v>
      </c>
      <c r="AA86" s="368">
        <f t="shared" si="55"/>
        <v>0</v>
      </c>
      <c r="AB86" s="368">
        <f t="shared" si="55"/>
        <v>0</v>
      </c>
    </row>
    <row r="87" spans="1:46" s="35" customFormat="1" x14ac:dyDescent="0.25">
      <c r="A87" s="22"/>
      <c r="B87" s="186" t="str">
        <f t="shared" si="54"/>
        <v>TCARGSL100P</v>
      </c>
      <c r="C87" s="186"/>
      <c r="D87" s="187"/>
      <c r="E87" s="186"/>
      <c r="F87" s="170"/>
      <c r="G87" s="213"/>
      <c r="H87" s="170"/>
      <c r="I87" s="190"/>
      <c r="J87" s="191"/>
      <c r="K87" s="191"/>
      <c r="L87" s="211" t="s">
        <v>1130</v>
      </c>
      <c r="M87" s="186" t="s">
        <v>1131</v>
      </c>
      <c r="N87" s="376">
        <f>LOOKUP($C$82, T_NCAP_AF!$C$35:$C$45, T_NCAP_AF!D$35:D$45)*(1+N$24)</f>
        <v>0</v>
      </c>
      <c r="O87" s="376">
        <f>LOOKUP($C$82, T_NCAP_AF!$C$35:$C$45, T_NCAP_AF!E$35:E$45)*(1+O$24)</f>
        <v>0</v>
      </c>
      <c r="P87" s="376">
        <f>LOOKUP($C$82, T_NCAP_AF!$C$35:$C$45, T_NCAP_AF!F$35:F$45)*(1+P$24)</f>
        <v>0</v>
      </c>
      <c r="Q87" s="376">
        <f>LOOKUP($C$82, T_NCAP_AF!$C$35:$C$45, T_NCAP_AF!G$35:G$45)*(1+Q$24)</f>
        <v>0</v>
      </c>
      <c r="R87" s="376">
        <f>LOOKUP($C$82, T_NCAP_AF!$C$35:$C$45, T_NCAP_AF!H$35:H$45)*(1+R$24)</f>
        <v>0</v>
      </c>
      <c r="S87" s="376">
        <f>LOOKUP($C$82, T_NCAP_AF!$C$35:$C$45, T_NCAP_AF!I$35:I$45)*(1+S$24)</f>
        <v>0</v>
      </c>
      <c r="T87" s="376">
        <f>LOOKUP($C$82, T_NCAP_AF!$C$35:$C$45, T_NCAP_AF!J$35:J$45)*(1+T$24)</f>
        <v>0</v>
      </c>
      <c r="U87" s="376">
        <f>LOOKUP($C$82, T_NCAP_AF!$C$35:$C$45, T_NCAP_AF!K$35:K$45)*(1+U$24)</f>
        <v>0</v>
      </c>
      <c r="V87" s="376">
        <f>LOOKUP($C$82, T_NCAP_AF!$C$35:$C$45, T_NCAP_AF!L$35:L$45)*(1+V$24)</f>
        <v>0</v>
      </c>
      <c r="W87" s="376">
        <f>LOOKUP($C$82, T_NCAP_AF!$C$35:$C$45, T_NCAP_AF!M$35:M$45)*(1+W$24)</f>
        <v>0</v>
      </c>
      <c r="X87" s="376">
        <f>LOOKUP($C$82, T_NCAP_AF!$C$35:$C$45, T_NCAP_AF!N$35:N$45)*(1+X$24)</f>
        <v>0</v>
      </c>
      <c r="Y87" s="376">
        <f>LOOKUP($C$82, T_NCAP_AF!$C$35:$C$45, T_NCAP_AF!O$35:O$45)*(1+Y$24)</f>
        <v>0</v>
      </c>
      <c r="Z87" s="376">
        <f>LOOKUP($C$82, T_NCAP_AF!$C$35:$C$45, T_NCAP_AF!P$35:P$45)*(1+Z$24)</f>
        <v>0</v>
      </c>
      <c r="AA87" s="376">
        <f>LOOKUP($C$82, T_NCAP_AF!$C$35:$C$45, T_NCAP_AF!Q$35:Q$45)*(1+AA$24)</f>
        <v>0</v>
      </c>
      <c r="AB87" s="376">
        <f>LOOKUP($C$82, T_NCAP_AF!$C$35:$C$45, T_NCAP_AF!R$35:R$45)*(1+AB$24)</f>
        <v>0</v>
      </c>
    </row>
    <row r="88" spans="1:46" s="35" customFormat="1" x14ac:dyDescent="0.25">
      <c r="A88" s="22"/>
      <c r="B88" s="186" t="str">
        <f t="shared" si="54"/>
        <v>TCARGSL100P</v>
      </c>
      <c r="C88" s="186"/>
      <c r="D88" s="187"/>
      <c r="E88" s="186"/>
      <c r="F88" s="170"/>
      <c r="G88" s="213"/>
      <c r="H88" s="170"/>
      <c r="I88" s="190">
        <f>$M$3</f>
        <v>2019</v>
      </c>
      <c r="J88" s="191"/>
      <c r="K88" s="191"/>
      <c r="L88" s="211" t="s">
        <v>1065</v>
      </c>
      <c r="M88" s="186" t="s">
        <v>748</v>
      </c>
      <c r="N88" s="687">
        <f>LOOKUP($C$82, T_Stock_Private!$C$26:$C$36, T_Stock_Private!D$26:D$36)*(1+N$25)</f>
        <v>0</v>
      </c>
      <c r="O88" s="687">
        <f>LOOKUP($C$82, T_Stock_Private!$C$26:$C$36, T_Stock_Private!E$26:E$36)*(1+O$25)</f>
        <v>0</v>
      </c>
      <c r="P88" s="687">
        <f>LOOKUP($C$82, T_Stock_Private!$C$26:$C$36, T_Stock_Private!F$26:F$36)*(1+P$25)</f>
        <v>0</v>
      </c>
      <c r="Q88" s="687">
        <f>LOOKUP($C$82, T_Stock_Private!$C$26:$C$36, T_Stock_Private!G$26:G$36)*(1+Q$25)</f>
        <v>0</v>
      </c>
      <c r="R88" s="687">
        <f>LOOKUP($C$82, T_Stock_Private!$C$26:$C$36, T_Stock_Private!H$26:H$36)*(1+R$25)</f>
        <v>0</v>
      </c>
      <c r="S88" s="687">
        <f>LOOKUP($C$82, T_Stock_Private!$C$26:$C$36, T_Stock_Private!I$26:I$36)*(1+S$25)</f>
        <v>0</v>
      </c>
      <c r="T88" s="687">
        <f>LOOKUP($C$82, T_Stock_Private!$C$26:$C$36, T_Stock_Private!J$26:J$36)*(1+T$25)</f>
        <v>0</v>
      </c>
      <c r="U88" s="687">
        <f>LOOKUP($C$82, T_Stock_Private!$C$26:$C$36, T_Stock_Private!K$26:K$36)*(1+U$25)</f>
        <v>0</v>
      </c>
      <c r="V88" s="687">
        <f>LOOKUP($C$82, T_Stock_Private!$C$26:$C$36, T_Stock_Private!L$26:L$36)*(1+V$25)</f>
        <v>0</v>
      </c>
      <c r="W88" s="687">
        <f>LOOKUP($C$82, T_Stock_Private!$C$26:$C$36, T_Stock_Private!M$26:M$36)*(1+W$25)</f>
        <v>0</v>
      </c>
      <c r="X88" s="687">
        <f>LOOKUP($C$82, T_Stock_Private!$C$26:$C$36, T_Stock_Private!N$26:N$36)*(1+X$25)</f>
        <v>0</v>
      </c>
      <c r="Y88" s="687">
        <f>LOOKUP($C$82, T_Stock_Private!$C$26:$C$36, T_Stock_Private!O$26:O$36)*(1+Y$25)</f>
        <v>0</v>
      </c>
      <c r="Z88" s="687">
        <f>LOOKUP($C$82, T_Stock_Private!$C$26:$C$36, T_Stock_Private!P$26:P$36)*(1+Z$25)</f>
        <v>0</v>
      </c>
      <c r="AA88" s="687">
        <f>LOOKUP($C$82, T_Stock_Private!$C$26:$C$36, T_Stock_Private!Q$26:Q$36)*(1+AA$25)</f>
        <v>0</v>
      </c>
      <c r="AB88" s="687">
        <f>LOOKUP($C$82, T_Stock_Private!$C$26:$C$36, T_Stock_Private!R$26:R$36)*(1+AB$25)</f>
        <v>0</v>
      </c>
    </row>
    <row r="89" spans="1:46" s="35" customFormat="1" x14ac:dyDescent="0.25">
      <c r="A89" s="22"/>
      <c r="B89" s="186" t="str">
        <f t="shared" si="54"/>
        <v>TCARGSL100P</v>
      </c>
      <c r="C89" s="186"/>
      <c r="D89" s="187"/>
      <c r="E89" s="186"/>
      <c r="F89" s="170"/>
      <c r="G89" s="213"/>
      <c r="H89" s="170"/>
      <c r="I89" s="190">
        <f>AF$5</f>
        <v>2016</v>
      </c>
      <c r="J89" s="191"/>
      <c r="K89" s="191"/>
      <c r="L89" s="211" t="s">
        <v>1065</v>
      </c>
      <c r="M89" s="186" t="s">
        <v>748</v>
      </c>
      <c r="N89" s="687">
        <f t="shared" ref="N89:AB89" si="56">N$88*LOOKUP($AD$82,$AG$4:$AP$4,$AG5:$AP5)</f>
        <v>0</v>
      </c>
      <c r="O89" s="687">
        <f t="shared" si="56"/>
        <v>0</v>
      </c>
      <c r="P89" s="687">
        <f t="shared" si="56"/>
        <v>0</v>
      </c>
      <c r="Q89" s="687">
        <f t="shared" si="56"/>
        <v>0</v>
      </c>
      <c r="R89" s="687">
        <f t="shared" si="56"/>
        <v>0</v>
      </c>
      <c r="S89" s="687">
        <f t="shared" si="56"/>
        <v>0</v>
      </c>
      <c r="T89" s="687">
        <f t="shared" si="56"/>
        <v>0</v>
      </c>
      <c r="U89" s="687">
        <f t="shared" si="56"/>
        <v>0</v>
      </c>
      <c r="V89" s="687">
        <f t="shared" si="56"/>
        <v>0</v>
      </c>
      <c r="W89" s="687">
        <f t="shared" si="56"/>
        <v>0</v>
      </c>
      <c r="X89" s="687">
        <f t="shared" si="56"/>
        <v>0</v>
      </c>
      <c r="Y89" s="687">
        <f t="shared" si="56"/>
        <v>0</v>
      </c>
      <c r="Z89" s="687">
        <f t="shared" si="56"/>
        <v>0</v>
      </c>
      <c r="AA89" s="687">
        <f t="shared" si="56"/>
        <v>0</v>
      </c>
      <c r="AB89" s="687">
        <f t="shared" si="56"/>
        <v>0</v>
      </c>
      <c r="AE89" s="569">
        <f>SUM(AF89:AT89)</f>
        <v>0</v>
      </c>
      <c r="AF89" s="568">
        <f>N86*N87*N88/1000</f>
        <v>0</v>
      </c>
      <c r="AG89" s="568">
        <f t="shared" ref="AG89:AT89" si="57">O86*O87*O88</f>
        <v>0</v>
      </c>
      <c r="AH89" s="568">
        <f t="shared" si="57"/>
        <v>0</v>
      </c>
      <c r="AI89" s="568">
        <f t="shared" si="57"/>
        <v>0</v>
      </c>
      <c r="AJ89" s="568">
        <f t="shared" si="57"/>
        <v>0</v>
      </c>
      <c r="AK89" s="568">
        <f t="shared" si="57"/>
        <v>0</v>
      </c>
      <c r="AL89" s="568">
        <f t="shared" si="57"/>
        <v>0</v>
      </c>
      <c r="AM89" s="568">
        <f t="shared" si="57"/>
        <v>0</v>
      </c>
      <c r="AN89" s="568">
        <f t="shared" si="57"/>
        <v>0</v>
      </c>
      <c r="AO89" s="568">
        <f t="shared" si="57"/>
        <v>0</v>
      </c>
      <c r="AP89" s="568">
        <f t="shared" si="57"/>
        <v>0</v>
      </c>
      <c r="AQ89" s="568">
        <f t="shared" si="57"/>
        <v>0</v>
      </c>
      <c r="AR89" s="568">
        <f t="shared" si="57"/>
        <v>0</v>
      </c>
      <c r="AS89" s="568">
        <f t="shared" si="57"/>
        <v>0</v>
      </c>
      <c r="AT89" s="568">
        <f t="shared" si="57"/>
        <v>0</v>
      </c>
    </row>
    <row r="90" spans="1:46" s="35" customFormat="1" x14ac:dyDescent="0.25">
      <c r="A90" s="22"/>
      <c r="B90" s="186" t="str">
        <f t="shared" si="54"/>
        <v>TCARGSL100P</v>
      </c>
      <c r="C90" s="186"/>
      <c r="D90" s="187"/>
      <c r="E90" s="186"/>
      <c r="F90" s="170"/>
      <c r="G90" s="213"/>
      <c r="H90" s="170"/>
      <c r="I90" s="190">
        <f>AF$6</f>
        <v>2020</v>
      </c>
      <c r="J90" s="191"/>
      <c r="K90" s="191"/>
      <c r="L90" s="211" t="s">
        <v>1065</v>
      </c>
      <c r="M90" s="186" t="s">
        <v>748</v>
      </c>
      <c r="N90" s="687">
        <f t="shared" ref="N90:AB90" si="58">N$88*LOOKUP($AD$82,$AG$4:$AP$4,$AG6:$AP6)</f>
        <v>0</v>
      </c>
      <c r="O90" s="687">
        <f t="shared" si="58"/>
        <v>0</v>
      </c>
      <c r="P90" s="687">
        <f t="shared" si="58"/>
        <v>0</v>
      </c>
      <c r="Q90" s="687">
        <f t="shared" si="58"/>
        <v>0</v>
      </c>
      <c r="R90" s="687">
        <f t="shared" si="58"/>
        <v>0</v>
      </c>
      <c r="S90" s="687">
        <f t="shared" si="58"/>
        <v>0</v>
      </c>
      <c r="T90" s="687">
        <f t="shared" si="58"/>
        <v>0</v>
      </c>
      <c r="U90" s="687">
        <f t="shared" si="58"/>
        <v>0</v>
      </c>
      <c r="V90" s="687">
        <f t="shared" si="58"/>
        <v>0</v>
      </c>
      <c r="W90" s="687">
        <f t="shared" si="58"/>
        <v>0</v>
      </c>
      <c r="X90" s="687">
        <f t="shared" si="58"/>
        <v>0</v>
      </c>
      <c r="Y90" s="687">
        <f t="shared" si="58"/>
        <v>0</v>
      </c>
      <c r="Z90" s="687">
        <f t="shared" si="58"/>
        <v>0</v>
      </c>
      <c r="AA90" s="687">
        <f t="shared" si="58"/>
        <v>0</v>
      </c>
      <c r="AB90" s="687">
        <f t="shared" si="58"/>
        <v>0</v>
      </c>
    </row>
    <row r="91" spans="1:46" s="35" customFormat="1" x14ac:dyDescent="0.25">
      <c r="A91" s="22"/>
      <c r="B91" s="186" t="str">
        <f t="shared" si="54"/>
        <v>TCARGSL100P</v>
      </c>
      <c r="C91" s="186"/>
      <c r="D91" s="187"/>
      <c r="E91" s="186"/>
      <c r="F91" s="170"/>
      <c r="G91" s="213"/>
      <c r="H91" s="170"/>
      <c r="I91" s="190">
        <f>AF$7</f>
        <v>2025</v>
      </c>
      <c r="J91" s="191"/>
      <c r="K91" s="191"/>
      <c r="L91" s="211" t="s">
        <v>1065</v>
      </c>
      <c r="M91" s="186" t="s">
        <v>748</v>
      </c>
      <c r="N91" s="687">
        <f t="shared" ref="N91:AB91" si="59">N$88*LOOKUP($AD$82,$AG$4:$AP$4,$AG7:$AP7)</f>
        <v>0</v>
      </c>
      <c r="O91" s="687">
        <f t="shared" si="59"/>
        <v>0</v>
      </c>
      <c r="P91" s="687">
        <f t="shared" si="59"/>
        <v>0</v>
      </c>
      <c r="Q91" s="687">
        <f t="shared" si="59"/>
        <v>0</v>
      </c>
      <c r="R91" s="687">
        <f t="shared" si="59"/>
        <v>0</v>
      </c>
      <c r="S91" s="687">
        <f t="shared" si="59"/>
        <v>0</v>
      </c>
      <c r="T91" s="687">
        <f t="shared" si="59"/>
        <v>0</v>
      </c>
      <c r="U91" s="687">
        <f t="shared" si="59"/>
        <v>0</v>
      </c>
      <c r="V91" s="687">
        <f t="shared" si="59"/>
        <v>0</v>
      </c>
      <c r="W91" s="687">
        <f t="shared" si="59"/>
        <v>0</v>
      </c>
      <c r="X91" s="687">
        <f t="shared" si="59"/>
        <v>0</v>
      </c>
      <c r="Y91" s="687">
        <f t="shared" si="59"/>
        <v>0</v>
      </c>
      <c r="Z91" s="687">
        <f t="shared" si="59"/>
        <v>0</v>
      </c>
      <c r="AA91" s="687">
        <f t="shared" si="59"/>
        <v>0</v>
      </c>
      <c r="AB91" s="687">
        <f t="shared" si="59"/>
        <v>0</v>
      </c>
    </row>
    <row r="92" spans="1:46" s="35" customFormat="1" x14ac:dyDescent="0.25">
      <c r="A92" s="22"/>
      <c r="B92" s="186" t="str">
        <f t="shared" si="54"/>
        <v>TCARGSL100P</v>
      </c>
      <c r="C92" s="186"/>
      <c r="D92" s="187"/>
      <c r="E92" s="186"/>
      <c r="F92" s="170"/>
      <c r="G92" s="213"/>
      <c r="H92" s="170"/>
      <c r="I92" s="190">
        <f>AF$8</f>
        <v>2030</v>
      </c>
      <c r="J92" s="191"/>
      <c r="K92" s="191"/>
      <c r="L92" s="211" t="s">
        <v>1065</v>
      </c>
      <c r="M92" s="186" t="s">
        <v>748</v>
      </c>
      <c r="N92" s="687">
        <f t="shared" ref="N92:AB92" si="60">N$88*LOOKUP($AD$82,$AG$4:$AP$4,$AG8:$AP8)</f>
        <v>0</v>
      </c>
      <c r="O92" s="687">
        <f t="shared" si="60"/>
        <v>0</v>
      </c>
      <c r="P92" s="687">
        <f t="shared" si="60"/>
        <v>0</v>
      </c>
      <c r="Q92" s="687">
        <f t="shared" si="60"/>
        <v>0</v>
      </c>
      <c r="R92" s="687">
        <f t="shared" si="60"/>
        <v>0</v>
      </c>
      <c r="S92" s="687">
        <f t="shared" si="60"/>
        <v>0</v>
      </c>
      <c r="T92" s="687">
        <f t="shared" si="60"/>
        <v>0</v>
      </c>
      <c r="U92" s="687">
        <f t="shared" si="60"/>
        <v>0</v>
      </c>
      <c r="V92" s="687">
        <f t="shared" si="60"/>
        <v>0</v>
      </c>
      <c r="W92" s="687">
        <f t="shared" si="60"/>
        <v>0</v>
      </c>
      <c r="X92" s="687">
        <f t="shared" si="60"/>
        <v>0</v>
      </c>
      <c r="Y92" s="687">
        <f t="shared" si="60"/>
        <v>0</v>
      </c>
      <c r="Z92" s="687">
        <f t="shared" si="60"/>
        <v>0</v>
      </c>
      <c r="AA92" s="687">
        <f t="shared" si="60"/>
        <v>0</v>
      </c>
      <c r="AB92" s="687">
        <f t="shared" si="60"/>
        <v>0</v>
      </c>
    </row>
    <row r="93" spans="1:46" s="35" customFormat="1" x14ac:dyDescent="0.25">
      <c r="A93" s="22"/>
      <c r="B93" s="186" t="str">
        <f t="shared" si="54"/>
        <v>TCARGSL100P</v>
      </c>
      <c r="C93" s="186"/>
      <c r="D93" s="187"/>
      <c r="E93" s="186"/>
      <c r="F93" s="170"/>
      <c r="G93" s="213"/>
      <c r="H93" s="170"/>
      <c r="I93" s="190">
        <f>AF$9</f>
        <v>2040</v>
      </c>
      <c r="J93" s="191"/>
      <c r="K93" s="191"/>
      <c r="L93" s="211" t="s">
        <v>1065</v>
      </c>
      <c r="M93" s="186" t="s">
        <v>748</v>
      </c>
      <c r="N93" s="687">
        <f t="shared" ref="N93:AB93" si="61">N$88*LOOKUP($AD$82,$AG$4:$AP$4,$AG9:$AP9)</f>
        <v>0</v>
      </c>
      <c r="O93" s="687">
        <f t="shared" si="61"/>
        <v>0</v>
      </c>
      <c r="P93" s="687">
        <f t="shared" si="61"/>
        <v>0</v>
      </c>
      <c r="Q93" s="687">
        <f t="shared" si="61"/>
        <v>0</v>
      </c>
      <c r="R93" s="687">
        <f t="shared" si="61"/>
        <v>0</v>
      </c>
      <c r="S93" s="687">
        <f t="shared" si="61"/>
        <v>0</v>
      </c>
      <c r="T93" s="687">
        <f t="shared" si="61"/>
        <v>0</v>
      </c>
      <c r="U93" s="687">
        <f t="shared" si="61"/>
        <v>0</v>
      </c>
      <c r="V93" s="687">
        <f t="shared" si="61"/>
        <v>0</v>
      </c>
      <c r="W93" s="687">
        <f t="shared" si="61"/>
        <v>0</v>
      </c>
      <c r="X93" s="687">
        <f t="shared" si="61"/>
        <v>0</v>
      </c>
      <c r="Y93" s="687">
        <f t="shared" si="61"/>
        <v>0</v>
      </c>
      <c r="Z93" s="687">
        <f t="shared" si="61"/>
        <v>0</v>
      </c>
      <c r="AA93" s="687">
        <f t="shared" si="61"/>
        <v>0</v>
      </c>
      <c r="AB93" s="687">
        <f t="shared" si="61"/>
        <v>0</v>
      </c>
    </row>
    <row r="94" spans="1:46" s="35" customFormat="1" x14ac:dyDescent="0.25">
      <c r="A94" s="22"/>
      <c r="B94" s="193" t="str">
        <f t="shared" si="54"/>
        <v>TCARGSL100P</v>
      </c>
      <c r="C94" s="193"/>
      <c r="D94" s="194"/>
      <c r="E94" s="193"/>
      <c r="F94" s="196"/>
      <c r="G94" s="215"/>
      <c r="H94" s="196"/>
      <c r="I94" s="197">
        <f>AF$10</f>
        <v>2050</v>
      </c>
      <c r="J94" s="198"/>
      <c r="K94" s="198"/>
      <c r="L94" s="212" t="s">
        <v>1065</v>
      </c>
      <c r="M94" s="193" t="s">
        <v>748</v>
      </c>
      <c r="N94" s="688">
        <f t="shared" ref="N94:AB94" si="62">N$88*LOOKUP($AD$82,$AG$4:$AP$4,$AG10:$AP10)</f>
        <v>0</v>
      </c>
      <c r="O94" s="688">
        <f t="shared" si="62"/>
        <v>0</v>
      </c>
      <c r="P94" s="688">
        <f t="shared" si="62"/>
        <v>0</v>
      </c>
      <c r="Q94" s="688">
        <f t="shared" si="62"/>
        <v>0</v>
      </c>
      <c r="R94" s="688">
        <f t="shared" si="62"/>
        <v>0</v>
      </c>
      <c r="S94" s="688">
        <f t="shared" si="62"/>
        <v>0</v>
      </c>
      <c r="T94" s="688">
        <f t="shared" si="62"/>
        <v>0</v>
      </c>
      <c r="U94" s="688">
        <f t="shared" si="62"/>
        <v>0</v>
      </c>
      <c r="V94" s="688">
        <f t="shared" si="62"/>
        <v>0</v>
      </c>
      <c r="W94" s="688">
        <f t="shared" si="62"/>
        <v>0</v>
      </c>
      <c r="X94" s="688">
        <f t="shared" si="62"/>
        <v>0</v>
      </c>
      <c r="Y94" s="688">
        <f t="shared" si="62"/>
        <v>0</v>
      </c>
      <c r="Z94" s="688">
        <f t="shared" si="62"/>
        <v>0</v>
      </c>
      <c r="AA94" s="688">
        <f t="shared" si="62"/>
        <v>0</v>
      </c>
      <c r="AB94" s="688">
        <f t="shared" si="62"/>
        <v>0</v>
      </c>
    </row>
    <row r="95" spans="1:46" s="83" customFormat="1" x14ac:dyDescent="0.25">
      <c r="A95" s="82"/>
      <c r="B95" s="178" t="str">
        <f>C95</f>
        <v>TCARHYD100P</v>
      </c>
      <c r="C95" s="178" t="s">
        <v>318</v>
      </c>
      <c r="D95" s="179" t="s">
        <v>790</v>
      </c>
      <c r="E95" s="407" t="s">
        <v>988</v>
      </c>
      <c r="F95" s="182"/>
      <c r="G95" s="326"/>
      <c r="H95" s="182"/>
      <c r="I95" s="183"/>
      <c r="J95" s="184"/>
      <c r="K95" s="184"/>
      <c r="L95" s="203" t="s">
        <v>1107</v>
      </c>
      <c r="M95" s="191" t="s">
        <v>1156</v>
      </c>
      <c r="N95" s="366">
        <f>N$30</f>
        <v>1E-3</v>
      </c>
      <c r="O95" s="378">
        <f t="shared" ref="O95:AB95" si="63">$N95</f>
        <v>1E-3</v>
      </c>
      <c r="P95" s="378">
        <f t="shared" si="63"/>
        <v>1E-3</v>
      </c>
      <c r="Q95" s="378">
        <f t="shared" si="63"/>
        <v>1E-3</v>
      </c>
      <c r="R95" s="378">
        <f t="shared" si="63"/>
        <v>1E-3</v>
      </c>
      <c r="S95" s="378">
        <f t="shared" si="63"/>
        <v>1E-3</v>
      </c>
      <c r="T95" s="378">
        <f t="shared" si="63"/>
        <v>1E-3</v>
      </c>
      <c r="U95" s="378">
        <f t="shared" si="63"/>
        <v>1E-3</v>
      </c>
      <c r="V95" s="378">
        <f t="shared" si="63"/>
        <v>1E-3</v>
      </c>
      <c r="W95" s="378">
        <f t="shared" si="63"/>
        <v>1E-3</v>
      </c>
      <c r="X95" s="378">
        <f t="shared" si="63"/>
        <v>1E-3</v>
      </c>
      <c r="Y95" s="378">
        <f t="shared" si="63"/>
        <v>1E-3</v>
      </c>
      <c r="Z95" s="378">
        <f t="shared" si="63"/>
        <v>1E-3</v>
      </c>
      <c r="AA95" s="378">
        <f t="shared" si="63"/>
        <v>1E-3</v>
      </c>
      <c r="AB95" s="378">
        <f t="shared" si="63"/>
        <v>1E-3</v>
      </c>
      <c r="AD95" s="402" t="str">
        <f>MID(C95,5,3)</f>
        <v>HYD</v>
      </c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</row>
    <row r="96" spans="1:46" s="35" customFormat="1" x14ac:dyDescent="0.25">
      <c r="A96" s="22"/>
      <c r="B96" s="186" t="str">
        <f>B95</f>
        <v>TCARHYD100P</v>
      </c>
      <c r="C96" s="186"/>
      <c r="D96" s="187"/>
      <c r="E96" s="188" t="s">
        <v>185</v>
      </c>
      <c r="F96" s="170"/>
      <c r="G96" s="213"/>
      <c r="H96" s="170"/>
      <c r="I96" s="190"/>
      <c r="J96" s="191" t="s">
        <v>1157</v>
      </c>
      <c r="K96" s="191"/>
      <c r="L96" s="211" t="s">
        <v>101</v>
      </c>
      <c r="M96" s="186"/>
      <c r="N96" s="377">
        <f>1-N$17</f>
        <v>0.85</v>
      </c>
      <c r="O96" s="377">
        <f t="shared" ref="O96:AB96" si="64">1-O$17</f>
        <v>0.85</v>
      </c>
      <c r="P96" s="377">
        <f t="shared" si="64"/>
        <v>0.85</v>
      </c>
      <c r="Q96" s="377">
        <f t="shared" si="64"/>
        <v>0.85</v>
      </c>
      <c r="R96" s="377">
        <f t="shared" si="64"/>
        <v>0.85</v>
      </c>
      <c r="S96" s="377">
        <f t="shared" si="64"/>
        <v>0.85</v>
      </c>
      <c r="T96" s="377">
        <f t="shared" si="64"/>
        <v>0.85</v>
      </c>
      <c r="U96" s="377">
        <f t="shared" si="64"/>
        <v>0.85</v>
      </c>
      <c r="V96" s="377">
        <f t="shared" si="64"/>
        <v>0.85</v>
      </c>
      <c r="W96" s="377">
        <f t="shared" si="64"/>
        <v>0.85</v>
      </c>
      <c r="X96" s="377">
        <f t="shared" si="64"/>
        <v>0.85</v>
      </c>
      <c r="Y96" s="377">
        <f t="shared" si="64"/>
        <v>0.85</v>
      </c>
      <c r="Z96" s="377">
        <f t="shared" si="64"/>
        <v>0.85</v>
      </c>
      <c r="AA96" s="377">
        <f t="shared" si="64"/>
        <v>0.85</v>
      </c>
      <c r="AB96" s="377">
        <f t="shared" si="64"/>
        <v>0.85</v>
      </c>
      <c r="AD96" s="66" t="str">
        <f>IF(COUNTIF($AG$4:$AP$4,AD95)=1,"ok","MISSING")</f>
        <v>ok</v>
      </c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</row>
    <row r="97" spans="1:46" s="35" customFormat="1" x14ac:dyDescent="0.25">
      <c r="A97" s="22"/>
      <c r="B97" s="186" t="str">
        <f>B96</f>
        <v>TCARHYD100P</v>
      </c>
      <c r="C97" s="186"/>
      <c r="D97" s="187"/>
      <c r="E97" s="186"/>
      <c r="F97" s="170"/>
      <c r="G97" s="214" t="s">
        <v>410</v>
      </c>
      <c r="H97" s="170"/>
      <c r="I97" s="190"/>
      <c r="J97" s="191"/>
      <c r="K97" s="191"/>
      <c r="L97" s="191" t="s">
        <v>1126</v>
      </c>
      <c r="M97" s="186" t="s">
        <v>678</v>
      </c>
      <c r="N97" s="377">
        <f>T_CEFF!H84</f>
        <v>0.53332999999999997</v>
      </c>
      <c r="O97" s="377">
        <f>T_CEFF!I84</f>
        <v>0.53332999999999997</v>
      </c>
      <c r="P97" s="377">
        <f>T_CEFF!J84</f>
        <v>0.53332999999999997</v>
      </c>
      <c r="Q97" s="377">
        <f>T_CEFF!K84</f>
        <v>0.53332999999999997</v>
      </c>
      <c r="R97" s="377">
        <f>T_CEFF!L84</f>
        <v>0.53332999999999997</v>
      </c>
      <c r="S97" s="377">
        <f>T_CEFF!M84</f>
        <v>0.53332999999999997</v>
      </c>
      <c r="T97" s="377">
        <f>T_CEFF!N84</f>
        <v>0.53332999999999997</v>
      </c>
      <c r="U97" s="377">
        <f>T_CEFF!O84</f>
        <v>0.53332999999999997</v>
      </c>
      <c r="V97" s="377">
        <f>T_CEFF!P84</f>
        <v>0.53332999999999997</v>
      </c>
      <c r="W97" s="377">
        <f>T_CEFF!Q84</f>
        <v>0.53332999999999997</v>
      </c>
      <c r="X97" s="377">
        <f>T_CEFF!R84</f>
        <v>0.53332999999999997</v>
      </c>
      <c r="Y97" s="377">
        <f>T_CEFF!S84</f>
        <v>0.53332999999999997</v>
      </c>
      <c r="Z97" s="377">
        <f>T_CEFF!T84</f>
        <v>0.53332999999999997</v>
      </c>
      <c r="AA97" s="377">
        <f>T_CEFF!U84</f>
        <v>0.53332999999999997</v>
      </c>
      <c r="AB97" s="377">
        <f>T_CEFF!V84</f>
        <v>0.53332999999999997</v>
      </c>
    </row>
    <row r="98" spans="1:46" s="35" customFormat="1" x14ac:dyDescent="0.25">
      <c r="A98" s="22"/>
      <c r="B98" s="186" t="str">
        <f>B97</f>
        <v>TCARHYD100P</v>
      </c>
      <c r="C98" s="186"/>
      <c r="D98" s="187"/>
      <c r="E98" s="186"/>
      <c r="F98" s="170"/>
      <c r="G98" s="214" t="s">
        <v>412</v>
      </c>
      <c r="H98" s="170"/>
      <c r="I98" s="190"/>
      <c r="J98" s="191"/>
      <c r="K98" s="191"/>
      <c r="L98" s="191" t="s">
        <v>1126</v>
      </c>
      <c r="M98" s="186" t="s">
        <v>678</v>
      </c>
      <c r="N98" s="377">
        <f>T_CEFF!H85</f>
        <v>0.47059000000000001</v>
      </c>
      <c r="O98" s="377">
        <f>T_CEFF!I85</f>
        <v>0.47059000000000001</v>
      </c>
      <c r="P98" s="377">
        <f>T_CEFF!J85</f>
        <v>0.47059000000000001</v>
      </c>
      <c r="Q98" s="377">
        <f>T_CEFF!K85</f>
        <v>0.47059000000000001</v>
      </c>
      <c r="R98" s="377">
        <f>T_CEFF!L85</f>
        <v>0.47059000000000001</v>
      </c>
      <c r="S98" s="377">
        <f>T_CEFF!M85</f>
        <v>0.47059000000000001</v>
      </c>
      <c r="T98" s="377">
        <f>T_CEFF!N85</f>
        <v>0.47059000000000001</v>
      </c>
      <c r="U98" s="377">
        <f>T_CEFF!O85</f>
        <v>0.47059000000000001</v>
      </c>
      <c r="V98" s="377">
        <f>T_CEFF!P85</f>
        <v>0.47059000000000001</v>
      </c>
      <c r="W98" s="377">
        <f>T_CEFF!Q85</f>
        <v>0.47059000000000001</v>
      </c>
      <c r="X98" s="377">
        <f>T_CEFF!R85</f>
        <v>0.47059000000000001</v>
      </c>
      <c r="Y98" s="377">
        <f>T_CEFF!S85</f>
        <v>0.47059000000000001</v>
      </c>
      <c r="Z98" s="377">
        <f>T_CEFF!T85</f>
        <v>0.47059000000000001</v>
      </c>
      <c r="AA98" s="377">
        <f>T_CEFF!U85</f>
        <v>0.47059000000000001</v>
      </c>
      <c r="AB98" s="377">
        <f>T_CEFF!V85</f>
        <v>0.47059000000000001</v>
      </c>
    </row>
    <row r="99" spans="1:46" s="35" customFormat="1" x14ac:dyDescent="0.25">
      <c r="A99" s="22"/>
      <c r="B99" s="186" t="str">
        <f t="shared" ref="B99:B107" si="65">B98</f>
        <v>TCARHYD100P</v>
      </c>
      <c r="C99" s="186"/>
      <c r="D99" s="187"/>
      <c r="E99" s="186"/>
      <c r="F99" s="170"/>
      <c r="G99" s="213"/>
      <c r="H99" s="170"/>
      <c r="I99" s="190"/>
      <c r="J99" s="191"/>
      <c r="K99" s="191" t="s">
        <v>749</v>
      </c>
      <c r="L99" s="191" t="s">
        <v>1128</v>
      </c>
      <c r="M99" s="186" t="s">
        <v>1159</v>
      </c>
      <c r="N99" s="368">
        <f>N$14</f>
        <v>0</v>
      </c>
      <c r="O99" s="368">
        <f t="shared" ref="O99:AB99" si="66">O$14</f>
        <v>0</v>
      </c>
      <c r="P99" s="368">
        <f t="shared" si="66"/>
        <v>0</v>
      </c>
      <c r="Q99" s="368">
        <f t="shared" si="66"/>
        <v>0</v>
      </c>
      <c r="R99" s="368">
        <f t="shared" si="66"/>
        <v>0</v>
      </c>
      <c r="S99" s="368">
        <f t="shared" si="66"/>
        <v>0</v>
      </c>
      <c r="T99" s="368">
        <f t="shared" si="66"/>
        <v>0</v>
      </c>
      <c r="U99" s="368">
        <f t="shared" si="66"/>
        <v>0</v>
      </c>
      <c r="V99" s="368">
        <f t="shared" si="66"/>
        <v>0</v>
      </c>
      <c r="W99" s="368">
        <f t="shared" si="66"/>
        <v>0</v>
      </c>
      <c r="X99" s="368">
        <f t="shared" si="66"/>
        <v>0</v>
      </c>
      <c r="Y99" s="368">
        <f t="shared" si="66"/>
        <v>0</v>
      </c>
      <c r="Z99" s="368">
        <f t="shared" si="66"/>
        <v>0</v>
      </c>
      <c r="AA99" s="368">
        <f t="shared" si="66"/>
        <v>0</v>
      </c>
      <c r="AB99" s="368">
        <f t="shared" si="66"/>
        <v>0</v>
      </c>
    </row>
    <row r="100" spans="1:46" s="35" customFormat="1" x14ac:dyDescent="0.25">
      <c r="A100" s="22"/>
      <c r="B100" s="186" t="str">
        <f t="shared" si="65"/>
        <v>TCARHYD100P</v>
      </c>
      <c r="C100" s="186"/>
      <c r="D100" s="187"/>
      <c r="E100" s="186"/>
      <c r="F100" s="170"/>
      <c r="G100" s="213"/>
      <c r="H100" s="170"/>
      <c r="I100" s="190"/>
      <c r="J100" s="191"/>
      <c r="K100" s="191"/>
      <c r="L100" s="211" t="s">
        <v>1130</v>
      </c>
      <c r="M100" s="186" t="s">
        <v>1131</v>
      </c>
      <c r="N100" s="376">
        <f>LOOKUP($C$95, T_NCAP_AF!$C$35:$C$45, T_NCAP_AF!D$35:D$45)*(1+N$24)</f>
        <v>0</v>
      </c>
      <c r="O100" s="376">
        <f>LOOKUP($C$95, T_NCAP_AF!$C$35:$C$45, T_NCAP_AF!E$35:E$45)*(1+O$24)</f>
        <v>0</v>
      </c>
      <c r="P100" s="376">
        <f>LOOKUP($C$95, T_NCAP_AF!$C$35:$C$45, T_NCAP_AF!F$35:F$45)*(1+P$24)</f>
        <v>0</v>
      </c>
      <c r="Q100" s="376">
        <f>LOOKUP($C$95, T_NCAP_AF!$C$35:$C$45, T_NCAP_AF!G$35:G$45)*(1+Q$24)</f>
        <v>0</v>
      </c>
      <c r="R100" s="376">
        <f>LOOKUP($C$95, T_NCAP_AF!$C$35:$C$45, T_NCAP_AF!H$35:H$45)*(1+R$24)</f>
        <v>0</v>
      </c>
      <c r="S100" s="376">
        <f>LOOKUP($C$95, T_NCAP_AF!$C$35:$C$45, T_NCAP_AF!I$35:I$45)*(1+S$24)</f>
        <v>0</v>
      </c>
      <c r="T100" s="376">
        <f>LOOKUP($C$95, T_NCAP_AF!$C$35:$C$45, T_NCAP_AF!J$35:J$45)*(1+T$24)</f>
        <v>0</v>
      </c>
      <c r="U100" s="376">
        <f>LOOKUP($C$95, T_NCAP_AF!$C$35:$C$45, T_NCAP_AF!K$35:K$45)*(1+U$24)</f>
        <v>0</v>
      </c>
      <c r="V100" s="376">
        <f>LOOKUP($C$95, T_NCAP_AF!$C$35:$C$45, T_NCAP_AF!L$35:L$45)*(1+V$24)</f>
        <v>0</v>
      </c>
      <c r="W100" s="376">
        <f>LOOKUP($C$95, T_NCAP_AF!$C$35:$C$45, T_NCAP_AF!M$35:M$45)*(1+W$24)</f>
        <v>0</v>
      </c>
      <c r="X100" s="376">
        <f>LOOKUP($C$95, T_NCAP_AF!$C$35:$C$45, T_NCAP_AF!N$35:N$45)*(1+X$24)</f>
        <v>0</v>
      </c>
      <c r="Y100" s="376">
        <f>LOOKUP($C$95, T_NCAP_AF!$C$35:$C$45, T_NCAP_AF!O$35:O$45)*(1+Y$24)</f>
        <v>0</v>
      </c>
      <c r="Z100" s="376">
        <f>LOOKUP($C$95, T_NCAP_AF!$C$35:$C$45, T_NCAP_AF!P$35:P$45)*(1+Z$24)</f>
        <v>0</v>
      </c>
      <c r="AA100" s="376">
        <f>LOOKUP($C$95, T_NCAP_AF!$C$35:$C$45, T_NCAP_AF!Q$35:Q$45)*(1+AA$24)</f>
        <v>0</v>
      </c>
      <c r="AB100" s="376">
        <f>LOOKUP($C$95, T_NCAP_AF!$C$35:$C$45, T_NCAP_AF!R$35:R$45)*(1+AB$24)</f>
        <v>0</v>
      </c>
    </row>
    <row r="101" spans="1:46" s="35" customFormat="1" x14ac:dyDescent="0.25">
      <c r="A101" s="22"/>
      <c r="B101" s="186" t="str">
        <f t="shared" si="65"/>
        <v>TCARHYD100P</v>
      </c>
      <c r="C101" s="186"/>
      <c r="D101" s="187"/>
      <c r="E101" s="186"/>
      <c r="F101" s="170"/>
      <c r="G101" s="213"/>
      <c r="H101" s="170"/>
      <c r="I101" s="190">
        <f>$M$3</f>
        <v>2019</v>
      </c>
      <c r="J101" s="191"/>
      <c r="K101" s="191"/>
      <c r="L101" s="211" t="s">
        <v>1065</v>
      </c>
      <c r="M101" s="186" t="s">
        <v>748</v>
      </c>
      <c r="N101" s="687">
        <f>LOOKUP($C$95, T_Stock_Private!$C$26:$C$36, T_Stock_Private!D$26:D$36)*(1+N$25)</f>
        <v>0</v>
      </c>
      <c r="O101" s="687">
        <f>LOOKUP($C$95, T_Stock_Private!$C$26:$C$36, T_Stock_Private!E$26:E$36)*(1+O$25)</f>
        <v>0</v>
      </c>
      <c r="P101" s="687">
        <f>LOOKUP($C$95, T_Stock_Private!$C$26:$C$36, T_Stock_Private!F$26:F$36)*(1+P$25)</f>
        <v>0</v>
      </c>
      <c r="Q101" s="687">
        <f>LOOKUP($C$95, T_Stock_Private!$C$26:$C$36, T_Stock_Private!G$26:G$36)*(1+Q$25)</f>
        <v>0</v>
      </c>
      <c r="R101" s="687">
        <f>LOOKUP($C$95, T_Stock_Private!$C$26:$C$36, T_Stock_Private!H$26:H$36)*(1+R$25)</f>
        <v>0</v>
      </c>
      <c r="S101" s="687">
        <f>LOOKUP($C$95, T_Stock_Private!$C$26:$C$36, T_Stock_Private!I$26:I$36)*(1+S$25)</f>
        <v>0</v>
      </c>
      <c r="T101" s="687">
        <f>LOOKUP($C$95, T_Stock_Private!$C$26:$C$36, T_Stock_Private!J$26:J$36)*(1+T$25)</f>
        <v>0</v>
      </c>
      <c r="U101" s="687">
        <f>LOOKUP($C$95, T_Stock_Private!$C$26:$C$36, T_Stock_Private!K$26:K$36)*(1+U$25)</f>
        <v>0</v>
      </c>
      <c r="V101" s="687">
        <f>LOOKUP($C$95, T_Stock_Private!$C$26:$C$36, T_Stock_Private!L$26:L$36)*(1+V$25)</f>
        <v>0</v>
      </c>
      <c r="W101" s="687">
        <f>LOOKUP($C$95, T_Stock_Private!$C$26:$C$36, T_Stock_Private!M$26:M$36)*(1+W$25)</f>
        <v>0</v>
      </c>
      <c r="X101" s="687">
        <f>LOOKUP($C$95, T_Stock_Private!$C$26:$C$36, T_Stock_Private!N$26:N$36)*(1+X$25)</f>
        <v>0</v>
      </c>
      <c r="Y101" s="687">
        <f>LOOKUP($C$95, T_Stock_Private!$C$26:$C$36, T_Stock_Private!O$26:O$36)*(1+Y$25)</f>
        <v>0</v>
      </c>
      <c r="Z101" s="687">
        <f>LOOKUP($C$95, T_Stock_Private!$C$26:$C$36, T_Stock_Private!P$26:P$36)*(1+Z$25)</f>
        <v>0</v>
      </c>
      <c r="AA101" s="687">
        <f>LOOKUP($C$95, T_Stock_Private!$C$26:$C$36, T_Stock_Private!Q$26:Q$36)*(1+AA$25)</f>
        <v>0</v>
      </c>
      <c r="AB101" s="687">
        <f>LOOKUP($C$95, T_Stock_Private!$C$26:$C$36, T_Stock_Private!R$26:R$36)*(1+AB$25)</f>
        <v>0</v>
      </c>
    </row>
    <row r="102" spans="1:46" s="35" customFormat="1" x14ac:dyDescent="0.25">
      <c r="A102" s="22"/>
      <c r="B102" s="186" t="str">
        <f t="shared" si="65"/>
        <v>TCARHYD100P</v>
      </c>
      <c r="C102" s="186"/>
      <c r="D102" s="187"/>
      <c r="E102" s="186"/>
      <c r="F102" s="170"/>
      <c r="G102" s="213"/>
      <c r="H102" s="170"/>
      <c r="I102" s="190">
        <f>AF$5</f>
        <v>2016</v>
      </c>
      <c r="J102" s="191"/>
      <c r="K102" s="191"/>
      <c r="L102" s="211" t="s">
        <v>1065</v>
      </c>
      <c r="M102" s="186" t="s">
        <v>748</v>
      </c>
      <c r="N102" s="687">
        <f t="shared" ref="N102:AB102" si="67">N$101*LOOKUP($AD$95,$AG$4:$AP$4,$AG5:$AP5)</f>
        <v>0</v>
      </c>
      <c r="O102" s="687">
        <f t="shared" si="67"/>
        <v>0</v>
      </c>
      <c r="P102" s="687">
        <f t="shared" si="67"/>
        <v>0</v>
      </c>
      <c r="Q102" s="687">
        <f t="shared" si="67"/>
        <v>0</v>
      </c>
      <c r="R102" s="687">
        <f t="shared" si="67"/>
        <v>0</v>
      </c>
      <c r="S102" s="687">
        <f t="shared" si="67"/>
        <v>0</v>
      </c>
      <c r="T102" s="687">
        <f t="shared" si="67"/>
        <v>0</v>
      </c>
      <c r="U102" s="687">
        <f t="shared" si="67"/>
        <v>0</v>
      </c>
      <c r="V102" s="687">
        <f t="shared" si="67"/>
        <v>0</v>
      </c>
      <c r="W102" s="687">
        <f t="shared" si="67"/>
        <v>0</v>
      </c>
      <c r="X102" s="687">
        <f t="shared" si="67"/>
        <v>0</v>
      </c>
      <c r="Y102" s="687">
        <f t="shared" si="67"/>
        <v>0</v>
      </c>
      <c r="Z102" s="687">
        <f t="shared" si="67"/>
        <v>0</v>
      </c>
      <c r="AA102" s="687">
        <f t="shared" si="67"/>
        <v>0</v>
      </c>
      <c r="AB102" s="687">
        <f t="shared" si="67"/>
        <v>0</v>
      </c>
      <c r="AE102" s="569">
        <f>SUM(AF102:AT102)</f>
        <v>0</v>
      </c>
      <c r="AF102" s="568">
        <f>N99*N100*N101/1000</f>
        <v>0</v>
      </c>
      <c r="AG102" s="568">
        <f t="shared" ref="AG102:AT102" si="68">O99*O100*O101</f>
        <v>0</v>
      </c>
      <c r="AH102" s="568">
        <f t="shared" si="68"/>
        <v>0</v>
      </c>
      <c r="AI102" s="568">
        <f t="shared" si="68"/>
        <v>0</v>
      </c>
      <c r="AJ102" s="568">
        <f t="shared" si="68"/>
        <v>0</v>
      </c>
      <c r="AK102" s="568">
        <f t="shared" si="68"/>
        <v>0</v>
      </c>
      <c r="AL102" s="568">
        <f t="shared" si="68"/>
        <v>0</v>
      </c>
      <c r="AM102" s="568">
        <f t="shared" si="68"/>
        <v>0</v>
      </c>
      <c r="AN102" s="568">
        <f t="shared" si="68"/>
        <v>0</v>
      </c>
      <c r="AO102" s="568">
        <f t="shared" si="68"/>
        <v>0</v>
      </c>
      <c r="AP102" s="568">
        <f t="shared" si="68"/>
        <v>0</v>
      </c>
      <c r="AQ102" s="568">
        <f t="shared" si="68"/>
        <v>0</v>
      </c>
      <c r="AR102" s="568">
        <f t="shared" si="68"/>
        <v>0</v>
      </c>
      <c r="AS102" s="568">
        <f t="shared" si="68"/>
        <v>0</v>
      </c>
      <c r="AT102" s="568">
        <f t="shared" si="68"/>
        <v>0</v>
      </c>
    </row>
    <row r="103" spans="1:46" s="35" customFormat="1" x14ac:dyDescent="0.25">
      <c r="A103" s="22"/>
      <c r="B103" s="186" t="str">
        <f t="shared" si="65"/>
        <v>TCARHYD100P</v>
      </c>
      <c r="C103" s="186"/>
      <c r="D103" s="187"/>
      <c r="E103" s="186"/>
      <c r="F103" s="170"/>
      <c r="G103" s="213"/>
      <c r="H103" s="170"/>
      <c r="I103" s="190">
        <f>AF$6</f>
        <v>2020</v>
      </c>
      <c r="J103" s="191"/>
      <c r="K103" s="191"/>
      <c r="L103" s="211" t="s">
        <v>1065</v>
      </c>
      <c r="M103" s="186" t="s">
        <v>748</v>
      </c>
      <c r="N103" s="687">
        <f t="shared" ref="N103:AB103" si="69">N$101*LOOKUP($AD$95,$AG$4:$AP$4,$AG6:$AP6)</f>
        <v>0</v>
      </c>
      <c r="O103" s="687">
        <f t="shared" si="69"/>
        <v>0</v>
      </c>
      <c r="P103" s="687">
        <f t="shared" si="69"/>
        <v>0</v>
      </c>
      <c r="Q103" s="687">
        <f t="shared" si="69"/>
        <v>0</v>
      </c>
      <c r="R103" s="687">
        <f t="shared" si="69"/>
        <v>0</v>
      </c>
      <c r="S103" s="687">
        <f t="shared" si="69"/>
        <v>0</v>
      </c>
      <c r="T103" s="687">
        <f t="shared" si="69"/>
        <v>0</v>
      </c>
      <c r="U103" s="687">
        <f t="shared" si="69"/>
        <v>0</v>
      </c>
      <c r="V103" s="687">
        <f t="shared" si="69"/>
        <v>0</v>
      </c>
      <c r="W103" s="687">
        <f t="shared" si="69"/>
        <v>0</v>
      </c>
      <c r="X103" s="687">
        <f t="shared" si="69"/>
        <v>0</v>
      </c>
      <c r="Y103" s="687">
        <f t="shared" si="69"/>
        <v>0</v>
      </c>
      <c r="Z103" s="687">
        <f t="shared" si="69"/>
        <v>0</v>
      </c>
      <c r="AA103" s="687">
        <f t="shared" si="69"/>
        <v>0</v>
      </c>
      <c r="AB103" s="687">
        <f t="shared" si="69"/>
        <v>0</v>
      </c>
    </row>
    <row r="104" spans="1:46" s="35" customFormat="1" x14ac:dyDescent="0.25">
      <c r="A104" s="22"/>
      <c r="B104" s="186" t="str">
        <f t="shared" si="65"/>
        <v>TCARHYD100P</v>
      </c>
      <c r="C104" s="186"/>
      <c r="D104" s="187"/>
      <c r="E104" s="186"/>
      <c r="F104" s="170"/>
      <c r="G104" s="213"/>
      <c r="H104" s="170"/>
      <c r="I104" s="190">
        <f>AF$7</f>
        <v>2025</v>
      </c>
      <c r="J104" s="191"/>
      <c r="K104" s="191"/>
      <c r="L104" s="211" t="s">
        <v>1065</v>
      </c>
      <c r="M104" s="186" t="s">
        <v>748</v>
      </c>
      <c r="N104" s="687">
        <f t="shared" ref="N104:AB104" si="70">N$101*LOOKUP($AD$95,$AG$4:$AP$4,$AG7:$AP7)</f>
        <v>0</v>
      </c>
      <c r="O104" s="687">
        <f t="shared" si="70"/>
        <v>0</v>
      </c>
      <c r="P104" s="687">
        <f t="shared" si="70"/>
        <v>0</v>
      </c>
      <c r="Q104" s="687">
        <f t="shared" si="70"/>
        <v>0</v>
      </c>
      <c r="R104" s="687">
        <f t="shared" si="70"/>
        <v>0</v>
      </c>
      <c r="S104" s="687">
        <f t="shared" si="70"/>
        <v>0</v>
      </c>
      <c r="T104" s="687">
        <f t="shared" si="70"/>
        <v>0</v>
      </c>
      <c r="U104" s="687">
        <f t="shared" si="70"/>
        <v>0</v>
      </c>
      <c r="V104" s="687">
        <f t="shared" si="70"/>
        <v>0</v>
      </c>
      <c r="W104" s="687">
        <f t="shared" si="70"/>
        <v>0</v>
      </c>
      <c r="X104" s="687">
        <f t="shared" si="70"/>
        <v>0</v>
      </c>
      <c r="Y104" s="687">
        <f t="shared" si="70"/>
        <v>0</v>
      </c>
      <c r="Z104" s="687">
        <f t="shared" si="70"/>
        <v>0</v>
      </c>
      <c r="AA104" s="687">
        <f t="shared" si="70"/>
        <v>0</v>
      </c>
      <c r="AB104" s="687">
        <f t="shared" si="70"/>
        <v>0</v>
      </c>
    </row>
    <row r="105" spans="1:46" s="35" customFormat="1" x14ac:dyDescent="0.25">
      <c r="A105" s="22"/>
      <c r="B105" s="186" t="str">
        <f t="shared" si="65"/>
        <v>TCARHYD100P</v>
      </c>
      <c r="C105" s="186"/>
      <c r="D105" s="187"/>
      <c r="E105" s="186"/>
      <c r="F105" s="170"/>
      <c r="G105" s="213"/>
      <c r="H105" s="170"/>
      <c r="I105" s="190">
        <f>AF$8</f>
        <v>2030</v>
      </c>
      <c r="J105" s="191"/>
      <c r="K105" s="191"/>
      <c r="L105" s="211" t="s">
        <v>1065</v>
      </c>
      <c r="M105" s="186" t="s">
        <v>748</v>
      </c>
      <c r="N105" s="687">
        <f t="shared" ref="N105:AB105" si="71">N$101*LOOKUP($AD$95,$AG$4:$AP$4,$AG8:$AP8)</f>
        <v>0</v>
      </c>
      <c r="O105" s="687">
        <f t="shared" si="71"/>
        <v>0</v>
      </c>
      <c r="P105" s="687">
        <f t="shared" si="71"/>
        <v>0</v>
      </c>
      <c r="Q105" s="687">
        <f t="shared" si="71"/>
        <v>0</v>
      </c>
      <c r="R105" s="687">
        <f t="shared" si="71"/>
        <v>0</v>
      </c>
      <c r="S105" s="687">
        <f t="shared" si="71"/>
        <v>0</v>
      </c>
      <c r="T105" s="687">
        <f t="shared" si="71"/>
        <v>0</v>
      </c>
      <c r="U105" s="687">
        <f t="shared" si="71"/>
        <v>0</v>
      </c>
      <c r="V105" s="687">
        <f t="shared" si="71"/>
        <v>0</v>
      </c>
      <c r="W105" s="687">
        <f t="shared" si="71"/>
        <v>0</v>
      </c>
      <c r="X105" s="687">
        <f t="shared" si="71"/>
        <v>0</v>
      </c>
      <c r="Y105" s="687">
        <f t="shared" si="71"/>
        <v>0</v>
      </c>
      <c r="Z105" s="687">
        <f t="shared" si="71"/>
        <v>0</v>
      </c>
      <c r="AA105" s="687">
        <f t="shared" si="71"/>
        <v>0</v>
      </c>
      <c r="AB105" s="687">
        <f t="shared" si="71"/>
        <v>0</v>
      </c>
    </row>
    <row r="106" spans="1:46" s="35" customFormat="1" x14ac:dyDescent="0.25">
      <c r="A106" s="22"/>
      <c r="B106" s="186" t="str">
        <f t="shared" si="65"/>
        <v>TCARHYD100P</v>
      </c>
      <c r="C106" s="186"/>
      <c r="D106" s="187"/>
      <c r="E106" s="186"/>
      <c r="F106" s="170"/>
      <c r="G106" s="213"/>
      <c r="H106" s="170"/>
      <c r="I106" s="190">
        <f>AF$9</f>
        <v>2040</v>
      </c>
      <c r="J106" s="191"/>
      <c r="K106" s="191"/>
      <c r="L106" s="211" t="s">
        <v>1065</v>
      </c>
      <c r="M106" s="186" t="s">
        <v>748</v>
      </c>
      <c r="N106" s="687">
        <f t="shared" ref="N106:AB106" si="72">N$101*LOOKUP($AD$95,$AG$4:$AP$4,$AG9:$AP9)</f>
        <v>0</v>
      </c>
      <c r="O106" s="687">
        <f t="shared" si="72"/>
        <v>0</v>
      </c>
      <c r="P106" s="687">
        <f t="shared" si="72"/>
        <v>0</v>
      </c>
      <c r="Q106" s="687">
        <f t="shared" si="72"/>
        <v>0</v>
      </c>
      <c r="R106" s="687">
        <f t="shared" si="72"/>
        <v>0</v>
      </c>
      <c r="S106" s="687">
        <f t="shared" si="72"/>
        <v>0</v>
      </c>
      <c r="T106" s="687">
        <f t="shared" si="72"/>
        <v>0</v>
      </c>
      <c r="U106" s="687">
        <f t="shared" si="72"/>
        <v>0</v>
      </c>
      <c r="V106" s="687">
        <f t="shared" si="72"/>
        <v>0</v>
      </c>
      <c r="W106" s="687">
        <f t="shared" si="72"/>
        <v>0</v>
      </c>
      <c r="X106" s="687">
        <f t="shared" si="72"/>
        <v>0</v>
      </c>
      <c r="Y106" s="687">
        <f t="shared" si="72"/>
        <v>0</v>
      </c>
      <c r="Z106" s="687">
        <f t="shared" si="72"/>
        <v>0</v>
      </c>
      <c r="AA106" s="687">
        <f t="shared" si="72"/>
        <v>0</v>
      </c>
      <c r="AB106" s="687">
        <f t="shared" si="72"/>
        <v>0</v>
      </c>
    </row>
    <row r="107" spans="1:46" s="35" customFormat="1" x14ac:dyDescent="0.25">
      <c r="A107" s="22"/>
      <c r="B107" s="193" t="str">
        <f t="shared" si="65"/>
        <v>TCARHYD100P</v>
      </c>
      <c r="C107" s="193"/>
      <c r="D107" s="194"/>
      <c r="E107" s="193"/>
      <c r="F107" s="196"/>
      <c r="G107" s="215"/>
      <c r="H107" s="196"/>
      <c r="I107" s="197">
        <f>AF$10</f>
        <v>2050</v>
      </c>
      <c r="J107" s="198"/>
      <c r="K107" s="198"/>
      <c r="L107" s="212" t="s">
        <v>1065</v>
      </c>
      <c r="M107" s="193" t="s">
        <v>748</v>
      </c>
      <c r="N107" s="688">
        <f t="shared" ref="N107:AB107" si="73">N$101*LOOKUP($AD$95,$AG$4:$AP$4,$AG10:$AP10)</f>
        <v>0</v>
      </c>
      <c r="O107" s="688">
        <f t="shared" si="73"/>
        <v>0</v>
      </c>
      <c r="P107" s="688">
        <f t="shared" si="73"/>
        <v>0</v>
      </c>
      <c r="Q107" s="688">
        <f t="shared" si="73"/>
        <v>0</v>
      </c>
      <c r="R107" s="688">
        <f t="shared" si="73"/>
        <v>0</v>
      </c>
      <c r="S107" s="688">
        <f t="shared" si="73"/>
        <v>0</v>
      </c>
      <c r="T107" s="688">
        <f t="shared" si="73"/>
        <v>0</v>
      </c>
      <c r="U107" s="688">
        <f t="shared" si="73"/>
        <v>0</v>
      </c>
      <c r="V107" s="688">
        <f t="shared" si="73"/>
        <v>0</v>
      </c>
      <c r="W107" s="688">
        <f t="shared" si="73"/>
        <v>0</v>
      </c>
      <c r="X107" s="688">
        <f t="shared" si="73"/>
        <v>0</v>
      </c>
      <c r="Y107" s="688">
        <f t="shared" si="73"/>
        <v>0</v>
      </c>
      <c r="Z107" s="688">
        <f t="shared" si="73"/>
        <v>0</v>
      </c>
      <c r="AA107" s="688">
        <f t="shared" si="73"/>
        <v>0</v>
      </c>
      <c r="AB107" s="688">
        <f t="shared" si="73"/>
        <v>0</v>
      </c>
    </row>
    <row r="108" spans="1:46" s="35" customFormat="1" x14ac:dyDescent="0.25">
      <c r="A108" s="22"/>
      <c r="B108" s="186" t="str">
        <f>C108</f>
        <v>TCARHYG100P</v>
      </c>
      <c r="C108" s="186" t="s">
        <v>319</v>
      </c>
      <c r="D108" s="187" t="s">
        <v>793</v>
      </c>
      <c r="E108" s="258" t="s">
        <v>1014</v>
      </c>
      <c r="F108" s="170"/>
      <c r="G108" s="213"/>
      <c r="H108" s="170"/>
      <c r="I108" s="190"/>
      <c r="J108" s="191"/>
      <c r="K108" s="191"/>
      <c r="L108" s="211" t="s">
        <v>1107</v>
      </c>
      <c r="M108" s="191" t="s">
        <v>1156</v>
      </c>
      <c r="N108" s="366">
        <f>N$30</f>
        <v>1E-3</v>
      </c>
      <c r="O108" s="366">
        <f t="shared" ref="O108:AB108" si="74">$N108</f>
        <v>1E-3</v>
      </c>
      <c r="P108" s="366">
        <f t="shared" si="74"/>
        <v>1E-3</v>
      </c>
      <c r="Q108" s="366">
        <f t="shared" si="74"/>
        <v>1E-3</v>
      </c>
      <c r="R108" s="366">
        <f t="shared" si="74"/>
        <v>1E-3</v>
      </c>
      <c r="S108" s="366">
        <f t="shared" si="74"/>
        <v>1E-3</v>
      </c>
      <c r="T108" s="366">
        <f t="shared" si="74"/>
        <v>1E-3</v>
      </c>
      <c r="U108" s="366">
        <f t="shared" si="74"/>
        <v>1E-3</v>
      </c>
      <c r="V108" s="366">
        <f t="shared" si="74"/>
        <v>1E-3</v>
      </c>
      <c r="W108" s="366">
        <f t="shared" si="74"/>
        <v>1E-3</v>
      </c>
      <c r="X108" s="366">
        <f t="shared" si="74"/>
        <v>1E-3</v>
      </c>
      <c r="Y108" s="366">
        <f t="shared" si="74"/>
        <v>1E-3</v>
      </c>
      <c r="Z108" s="366">
        <f t="shared" si="74"/>
        <v>1E-3</v>
      </c>
      <c r="AA108" s="366">
        <f t="shared" si="74"/>
        <v>1E-3</v>
      </c>
      <c r="AB108" s="366">
        <f t="shared" si="74"/>
        <v>1E-3</v>
      </c>
      <c r="AD108" s="402" t="str">
        <f>MID(C108,5,3)</f>
        <v>HYG</v>
      </c>
    </row>
    <row r="109" spans="1:46" s="35" customFormat="1" x14ac:dyDescent="0.25">
      <c r="A109" s="22"/>
      <c r="B109" s="186" t="str">
        <f t="shared" ref="B109:B120" si="75">B108</f>
        <v>TCARHYG100P</v>
      </c>
      <c r="C109" s="186"/>
      <c r="D109" s="187"/>
      <c r="E109" s="258" t="s">
        <v>1012</v>
      </c>
      <c r="F109" s="170"/>
      <c r="G109" s="213"/>
      <c r="H109" s="170"/>
      <c r="I109" s="190"/>
      <c r="J109" s="191" t="s">
        <v>1157</v>
      </c>
      <c r="K109" s="191"/>
      <c r="L109" s="211" t="s">
        <v>101</v>
      </c>
      <c r="M109" s="186"/>
      <c r="N109" s="377">
        <f>N$18</f>
        <v>0.03</v>
      </c>
      <c r="O109" s="377">
        <f t="shared" ref="O109:AB109" si="76">O$18</f>
        <v>0.03</v>
      </c>
      <c r="P109" s="377">
        <f t="shared" si="76"/>
        <v>0.03</v>
      </c>
      <c r="Q109" s="377">
        <f t="shared" si="76"/>
        <v>0.03</v>
      </c>
      <c r="R109" s="377">
        <f t="shared" si="76"/>
        <v>0.03</v>
      </c>
      <c r="S109" s="377">
        <f t="shared" si="76"/>
        <v>0.03</v>
      </c>
      <c r="T109" s="377">
        <f t="shared" si="76"/>
        <v>0.03</v>
      </c>
      <c r="U109" s="377">
        <f t="shared" si="76"/>
        <v>0.03</v>
      </c>
      <c r="V109" s="377">
        <f t="shared" si="76"/>
        <v>0.03</v>
      </c>
      <c r="W109" s="377">
        <f t="shared" si="76"/>
        <v>0.03</v>
      </c>
      <c r="X109" s="377">
        <f t="shared" si="76"/>
        <v>0.03</v>
      </c>
      <c r="Y109" s="377">
        <f t="shared" si="76"/>
        <v>0.03</v>
      </c>
      <c r="Z109" s="377">
        <f t="shared" si="76"/>
        <v>0.03</v>
      </c>
      <c r="AA109" s="377">
        <f t="shared" si="76"/>
        <v>0.03</v>
      </c>
      <c r="AB109" s="377">
        <f t="shared" si="76"/>
        <v>0.03</v>
      </c>
      <c r="AD109" s="66" t="str">
        <f>IF(COUNTIF($AG$4:$AP$4,AD108)=1,"ok","MISSING")</f>
        <v>ok</v>
      </c>
    </row>
    <row r="110" spans="1:46" s="35" customFormat="1" x14ac:dyDescent="0.25">
      <c r="A110" s="22"/>
      <c r="B110" s="186" t="str">
        <f t="shared" si="75"/>
        <v>TCARHYG100P</v>
      </c>
      <c r="C110" s="186"/>
      <c r="D110" s="187"/>
      <c r="E110" s="186"/>
      <c r="F110" s="170"/>
      <c r="G110" s="214" t="s">
        <v>410</v>
      </c>
      <c r="H110" s="170"/>
      <c r="I110" s="190"/>
      <c r="J110" s="191"/>
      <c r="K110" s="191"/>
      <c r="L110" s="191" t="s">
        <v>1126</v>
      </c>
      <c r="M110" s="186" t="s">
        <v>678</v>
      </c>
      <c r="N110" s="377">
        <f>T_CEFF!H86</f>
        <v>0.47904000000000002</v>
      </c>
      <c r="O110" s="377">
        <f>T_CEFF!I86</f>
        <v>0.47904000000000002</v>
      </c>
      <c r="P110" s="377">
        <f>T_CEFF!J86</f>
        <v>0.47904000000000002</v>
      </c>
      <c r="Q110" s="377">
        <f>T_CEFF!K86</f>
        <v>0.47904000000000002</v>
      </c>
      <c r="R110" s="377">
        <f>T_CEFF!L86</f>
        <v>0.47904000000000002</v>
      </c>
      <c r="S110" s="377">
        <f>T_CEFF!M86</f>
        <v>0.47904000000000002</v>
      </c>
      <c r="T110" s="377">
        <f>T_CEFF!N86</f>
        <v>0.47904000000000002</v>
      </c>
      <c r="U110" s="377">
        <f>T_CEFF!O86</f>
        <v>0.47904000000000002</v>
      </c>
      <c r="V110" s="377">
        <f>T_CEFF!P86</f>
        <v>0.47904000000000002</v>
      </c>
      <c r="W110" s="377">
        <f>T_CEFF!Q86</f>
        <v>0.47904000000000002</v>
      </c>
      <c r="X110" s="377">
        <f>T_CEFF!R86</f>
        <v>0.47904000000000002</v>
      </c>
      <c r="Y110" s="377">
        <f>T_CEFF!S86</f>
        <v>0.47904000000000002</v>
      </c>
      <c r="Z110" s="377">
        <f>T_CEFF!T86</f>
        <v>0.47904000000000002</v>
      </c>
      <c r="AA110" s="377">
        <f>T_CEFF!U86</f>
        <v>0.47904000000000002</v>
      </c>
      <c r="AB110" s="377">
        <f>T_CEFF!V86</f>
        <v>0.47904000000000002</v>
      </c>
    </row>
    <row r="111" spans="1:46" s="35" customFormat="1" x14ac:dyDescent="0.25">
      <c r="A111" s="22"/>
      <c r="B111" s="186" t="str">
        <f t="shared" si="75"/>
        <v>TCARHYG100P</v>
      </c>
      <c r="C111" s="186"/>
      <c r="D111" s="187"/>
      <c r="E111" s="186"/>
      <c r="F111" s="170"/>
      <c r="G111" s="214" t="s">
        <v>412</v>
      </c>
      <c r="H111" s="170"/>
      <c r="I111" s="190"/>
      <c r="J111" s="191"/>
      <c r="K111" s="191"/>
      <c r="L111" s="191" t="s">
        <v>1126</v>
      </c>
      <c r="M111" s="186" t="s">
        <v>678</v>
      </c>
      <c r="N111" s="377">
        <f>T_CEFF!H87</f>
        <v>0.39604</v>
      </c>
      <c r="O111" s="377">
        <f>T_CEFF!I87</f>
        <v>0.39604</v>
      </c>
      <c r="P111" s="377">
        <f>T_CEFF!J87</f>
        <v>0.39604</v>
      </c>
      <c r="Q111" s="377">
        <f>T_CEFF!K87</f>
        <v>0.39604</v>
      </c>
      <c r="R111" s="377">
        <f>T_CEFF!L87</f>
        <v>0.39604</v>
      </c>
      <c r="S111" s="377">
        <f>T_CEFF!M87</f>
        <v>0.39604</v>
      </c>
      <c r="T111" s="377">
        <f>T_CEFF!N87</f>
        <v>0.39604</v>
      </c>
      <c r="U111" s="377">
        <f>T_CEFF!O87</f>
        <v>0.39604</v>
      </c>
      <c r="V111" s="377">
        <f>T_CEFF!P87</f>
        <v>0.39604</v>
      </c>
      <c r="W111" s="377">
        <f>T_CEFF!Q87</f>
        <v>0.39604</v>
      </c>
      <c r="X111" s="377">
        <f>T_CEFF!R87</f>
        <v>0.39604</v>
      </c>
      <c r="Y111" s="377">
        <f>T_CEFF!S87</f>
        <v>0.39604</v>
      </c>
      <c r="Z111" s="377">
        <f>T_CEFF!T87</f>
        <v>0.39604</v>
      </c>
      <c r="AA111" s="377">
        <f>T_CEFF!U87</f>
        <v>0.39604</v>
      </c>
      <c r="AB111" s="377">
        <f>T_CEFF!V87</f>
        <v>0.39604</v>
      </c>
    </row>
    <row r="112" spans="1:46" s="35" customFormat="1" x14ac:dyDescent="0.25">
      <c r="A112" s="22"/>
      <c r="B112" s="186" t="str">
        <f t="shared" si="75"/>
        <v>TCARHYG100P</v>
      </c>
      <c r="C112" s="186"/>
      <c r="D112" s="187"/>
      <c r="E112" s="186"/>
      <c r="F112" s="170"/>
      <c r="G112" s="213"/>
      <c r="H112" s="170"/>
      <c r="I112" s="190"/>
      <c r="J112" s="191"/>
      <c r="K112" s="191" t="s">
        <v>749</v>
      </c>
      <c r="L112" s="191" t="s">
        <v>1128</v>
      </c>
      <c r="M112" s="186" t="s">
        <v>1159</v>
      </c>
      <c r="N112" s="368">
        <f>N$14</f>
        <v>0</v>
      </c>
      <c r="O112" s="368">
        <f t="shared" ref="O112:AB112" si="77">O$14</f>
        <v>0</v>
      </c>
      <c r="P112" s="368">
        <f t="shared" si="77"/>
        <v>0</v>
      </c>
      <c r="Q112" s="368">
        <f t="shared" si="77"/>
        <v>0</v>
      </c>
      <c r="R112" s="368">
        <f t="shared" si="77"/>
        <v>0</v>
      </c>
      <c r="S112" s="368">
        <f t="shared" si="77"/>
        <v>0</v>
      </c>
      <c r="T112" s="368">
        <f t="shared" si="77"/>
        <v>0</v>
      </c>
      <c r="U112" s="368">
        <f t="shared" si="77"/>
        <v>0</v>
      </c>
      <c r="V112" s="368">
        <f t="shared" si="77"/>
        <v>0</v>
      </c>
      <c r="W112" s="368">
        <f t="shared" si="77"/>
        <v>0</v>
      </c>
      <c r="X112" s="368">
        <f t="shared" si="77"/>
        <v>0</v>
      </c>
      <c r="Y112" s="368">
        <f t="shared" si="77"/>
        <v>0</v>
      </c>
      <c r="Z112" s="368">
        <f t="shared" si="77"/>
        <v>0</v>
      </c>
      <c r="AA112" s="368">
        <f t="shared" si="77"/>
        <v>0</v>
      </c>
      <c r="AB112" s="368">
        <f t="shared" si="77"/>
        <v>0</v>
      </c>
    </row>
    <row r="113" spans="1:46" s="35" customFormat="1" x14ac:dyDescent="0.25">
      <c r="A113" s="22"/>
      <c r="B113" s="186" t="str">
        <f t="shared" si="75"/>
        <v>TCARHYG100P</v>
      </c>
      <c r="C113" s="186"/>
      <c r="D113" s="187"/>
      <c r="E113" s="186"/>
      <c r="F113" s="170"/>
      <c r="G113" s="213"/>
      <c r="H113" s="170"/>
      <c r="I113" s="190"/>
      <c r="J113" s="191"/>
      <c r="K113" s="191"/>
      <c r="L113" s="211" t="s">
        <v>1130</v>
      </c>
      <c r="M113" s="186" t="s">
        <v>1131</v>
      </c>
      <c r="N113" s="376">
        <f>LOOKUP($C$108, T_NCAP_AF!$C$35:$C$45, T_NCAP_AF!D$35:D$45)*(1+N$24)</f>
        <v>0</v>
      </c>
      <c r="O113" s="376">
        <f>LOOKUP($C$108, T_NCAP_AF!$C$35:$C$45, T_NCAP_AF!E$35:E$45)*(1+O$24)</f>
        <v>0</v>
      </c>
      <c r="P113" s="376">
        <f>LOOKUP($C$108, T_NCAP_AF!$C$35:$C$45, T_NCAP_AF!F$35:F$45)*(1+P$24)</f>
        <v>0</v>
      </c>
      <c r="Q113" s="376">
        <f>LOOKUP($C$108, T_NCAP_AF!$C$35:$C$45, T_NCAP_AF!G$35:G$45)*(1+Q$24)</f>
        <v>0</v>
      </c>
      <c r="R113" s="376">
        <f>LOOKUP($C$108, T_NCAP_AF!$C$35:$C$45, T_NCAP_AF!H$35:H$45)*(1+R$24)</f>
        <v>0</v>
      </c>
      <c r="S113" s="376">
        <f>LOOKUP($C$108, T_NCAP_AF!$C$35:$C$45, T_NCAP_AF!I$35:I$45)*(1+S$24)</f>
        <v>0</v>
      </c>
      <c r="T113" s="376">
        <f>LOOKUP($C$108, T_NCAP_AF!$C$35:$C$45, T_NCAP_AF!J$35:J$45)*(1+T$24)</f>
        <v>0</v>
      </c>
      <c r="U113" s="376">
        <f>LOOKUP($C$108, T_NCAP_AF!$C$35:$C$45, T_NCAP_AF!K$35:K$45)*(1+U$24)</f>
        <v>0</v>
      </c>
      <c r="V113" s="376">
        <f>LOOKUP($C$108, T_NCAP_AF!$C$35:$C$45, T_NCAP_AF!L$35:L$45)*(1+V$24)</f>
        <v>0</v>
      </c>
      <c r="W113" s="376">
        <f>LOOKUP($C$108, T_NCAP_AF!$C$35:$C$45, T_NCAP_AF!M$35:M$45)*(1+W$24)</f>
        <v>0</v>
      </c>
      <c r="X113" s="376">
        <f>LOOKUP($C$108, T_NCAP_AF!$C$35:$C$45, T_NCAP_AF!N$35:N$45)*(1+X$24)</f>
        <v>0</v>
      </c>
      <c r="Y113" s="376">
        <f>LOOKUP($C$108, T_NCAP_AF!$C$35:$C$45, T_NCAP_AF!O$35:O$45)*(1+Y$24)</f>
        <v>0</v>
      </c>
      <c r="Z113" s="376">
        <f>LOOKUP($C$108, T_NCAP_AF!$C$35:$C$45, T_NCAP_AF!P$35:P$45)*(1+Z$24)</f>
        <v>0</v>
      </c>
      <c r="AA113" s="376">
        <f>LOOKUP($C$108, T_NCAP_AF!$C$35:$C$45, T_NCAP_AF!Q$35:Q$45)*(1+AA$24)</f>
        <v>0</v>
      </c>
      <c r="AB113" s="376">
        <f>LOOKUP($C$108, T_NCAP_AF!$C$35:$C$45, T_NCAP_AF!R$35:R$45)*(1+AB$24)</f>
        <v>0</v>
      </c>
    </row>
    <row r="114" spans="1:46" s="35" customFormat="1" x14ac:dyDescent="0.25">
      <c r="A114" s="22"/>
      <c r="B114" s="186" t="str">
        <f t="shared" si="75"/>
        <v>TCARHYG100P</v>
      </c>
      <c r="C114" s="186"/>
      <c r="D114" s="187"/>
      <c r="E114" s="186"/>
      <c r="F114" s="170"/>
      <c r="G114" s="213"/>
      <c r="H114" s="170"/>
      <c r="I114" s="190">
        <f>$M$3</f>
        <v>2019</v>
      </c>
      <c r="J114" s="191"/>
      <c r="K114" s="191"/>
      <c r="L114" s="211" t="s">
        <v>1065</v>
      </c>
      <c r="M114" s="186" t="s">
        <v>748</v>
      </c>
      <c r="N114" s="687">
        <f>LOOKUP($C$108, T_Stock_Private!$C$26:$C$36, T_Stock_Private!D$26:D$36)*(1+N$25)</f>
        <v>0</v>
      </c>
      <c r="O114" s="687">
        <f>LOOKUP($C$108, T_Stock_Private!$C$26:$C$36, T_Stock_Private!E$26:E$36)*(1+O$25)</f>
        <v>0</v>
      </c>
      <c r="P114" s="687">
        <f>LOOKUP($C$108, T_Stock_Private!$C$26:$C$36, T_Stock_Private!F$26:F$36)*(1+P$25)</f>
        <v>0</v>
      </c>
      <c r="Q114" s="687">
        <f>LOOKUP($C$108, T_Stock_Private!$C$26:$C$36, T_Stock_Private!G$26:G$36)*(1+Q$25)</f>
        <v>0</v>
      </c>
      <c r="R114" s="687">
        <f>LOOKUP($C$108, T_Stock_Private!$C$26:$C$36, T_Stock_Private!H$26:H$36)*(1+R$25)</f>
        <v>0</v>
      </c>
      <c r="S114" s="687">
        <f>LOOKUP($C$108, T_Stock_Private!$C$26:$C$36, T_Stock_Private!I$26:I$36)*(1+S$25)</f>
        <v>0</v>
      </c>
      <c r="T114" s="687">
        <f>LOOKUP($C$108, T_Stock_Private!$C$26:$C$36, T_Stock_Private!J$26:J$36)*(1+T$25)</f>
        <v>0</v>
      </c>
      <c r="U114" s="687">
        <f>LOOKUP($C$108, T_Stock_Private!$C$26:$C$36, T_Stock_Private!K$26:K$36)*(1+U$25)</f>
        <v>0</v>
      </c>
      <c r="V114" s="687">
        <f>LOOKUP($C$108, T_Stock_Private!$C$26:$C$36, T_Stock_Private!L$26:L$36)*(1+V$25)</f>
        <v>0</v>
      </c>
      <c r="W114" s="687">
        <f>LOOKUP($C$108, T_Stock_Private!$C$26:$C$36, T_Stock_Private!M$26:M$36)*(1+W$25)</f>
        <v>0</v>
      </c>
      <c r="X114" s="687">
        <f>LOOKUP($C$108, T_Stock_Private!$C$26:$C$36, T_Stock_Private!N$26:N$36)*(1+X$25)</f>
        <v>0</v>
      </c>
      <c r="Y114" s="687">
        <f>LOOKUP($C$108, T_Stock_Private!$C$26:$C$36, T_Stock_Private!O$26:O$36)*(1+Y$25)</f>
        <v>0</v>
      </c>
      <c r="Z114" s="687">
        <f>LOOKUP($C$108, T_Stock_Private!$C$26:$C$36, T_Stock_Private!P$26:P$36)*(1+Z$25)</f>
        <v>0</v>
      </c>
      <c r="AA114" s="687">
        <f>LOOKUP($C$108, T_Stock_Private!$C$26:$C$36, T_Stock_Private!Q$26:Q$36)*(1+AA$25)</f>
        <v>0</v>
      </c>
      <c r="AB114" s="687">
        <f>LOOKUP($C$108, T_Stock_Private!$C$26:$C$36, T_Stock_Private!R$26:R$36)*(1+AB$25)</f>
        <v>0</v>
      </c>
    </row>
    <row r="115" spans="1:46" s="35" customFormat="1" x14ac:dyDescent="0.25">
      <c r="A115" s="22"/>
      <c r="B115" s="186" t="str">
        <f t="shared" si="75"/>
        <v>TCARHYG100P</v>
      </c>
      <c r="C115" s="186"/>
      <c r="D115" s="187"/>
      <c r="E115" s="186"/>
      <c r="F115" s="170"/>
      <c r="G115" s="213"/>
      <c r="H115" s="170"/>
      <c r="I115" s="190">
        <f>AF$5</f>
        <v>2016</v>
      </c>
      <c r="J115" s="191"/>
      <c r="K115" s="191"/>
      <c r="L115" s="211" t="s">
        <v>1065</v>
      </c>
      <c r="M115" s="186" t="s">
        <v>748</v>
      </c>
      <c r="N115" s="687">
        <f t="shared" ref="N115:AB115" si="78">N$114*LOOKUP($AD$108,$AG$4:$AP$4,$AG5:$AP5)</f>
        <v>0</v>
      </c>
      <c r="O115" s="687">
        <f t="shared" si="78"/>
        <v>0</v>
      </c>
      <c r="P115" s="687">
        <f t="shared" si="78"/>
        <v>0</v>
      </c>
      <c r="Q115" s="687">
        <f t="shared" si="78"/>
        <v>0</v>
      </c>
      <c r="R115" s="687">
        <f t="shared" si="78"/>
        <v>0</v>
      </c>
      <c r="S115" s="687">
        <f t="shared" si="78"/>
        <v>0</v>
      </c>
      <c r="T115" s="687">
        <f t="shared" si="78"/>
        <v>0</v>
      </c>
      <c r="U115" s="687">
        <f t="shared" si="78"/>
        <v>0</v>
      </c>
      <c r="V115" s="687">
        <f t="shared" si="78"/>
        <v>0</v>
      </c>
      <c r="W115" s="687">
        <f t="shared" si="78"/>
        <v>0</v>
      </c>
      <c r="X115" s="687">
        <f t="shared" si="78"/>
        <v>0</v>
      </c>
      <c r="Y115" s="687">
        <f t="shared" si="78"/>
        <v>0</v>
      </c>
      <c r="Z115" s="687">
        <f t="shared" si="78"/>
        <v>0</v>
      </c>
      <c r="AA115" s="687">
        <f t="shared" si="78"/>
        <v>0</v>
      </c>
      <c r="AB115" s="687">
        <f t="shared" si="78"/>
        <v>0</v>
      </c>
      <c r="AE115" s="569">
        <f>SUM(AF115:AT115)</f>
        <v>0</v>
      </c>
      <c r="AF115" s="568">
        <f>N112*N113*N114/1000</f>
        <v>0</v>
      </c>
      <c r="AG115" s="568">
        <f t="shared" ref="AG115:AT115" si="79">O112*O113*O114</f>
        <v>0</v>
      </c>
      <c r="AH115" s="568">
        <f t="shared" si="79"/>
        <v>0</v>
      </c>
      <c r="AI115" s="568">
        <f t="shared" si="79"/>
        <v>0</v>
      </c>
      <c r="AJ115" s="568">
        <f t="shared" si="79"/>
        <v>0</v>
      </c>
      <c r="AK115" s="568">
        <f t="shared" si="79"/>
        <v>0</v>
      </c>
      <c r="AL115" s="568">
        <f t="shared" si="79"/>
        <v>0</v>
      </c>
      <c r="AM115" s="568">
        <f t="shared" si="79"/>
        <v>0</v>
      </c>
      <c r="AN115" s="568">
        <f t="shared" si="79"/>
        <v>0</v>
      </c>
      <c r="AO115" s="568">
        <f t="shared" si="79"/>
        <v>0</v>
      </c>
      <c r="AP115" s="568">
        <f t="shared" si="79"/>
        <v>0</v>
      </c>
      <c r="AQ115" s="568">
        <f t="shared" si="79"/>
        <v>0</v>
      </c>
      <c r="AR115" s="568">
        <f t="shared" si="79"/>
        <v>0</v>
      </c>
      <c r="AS115" s="568">
        <f t="shared" si="79"/>
        <v>0</v>
      </c>
      <c r="AT115" s="568">
        <f t="shared" si="79"/>
        <v>0</v>
      </c>
    </row>
    <row r="116" spans="1:46" s="35" customFormat="1" x14ac:dyDescent="0.25">
      <c r="A116" s="22"/>
      <c r="B116" s="186" t="str">
        <f t="shared" si="75"/>
        <v>TCARHYG100P</v>
      </c>
      <c r="C116" s="186"/>
      <c r="D116" s="187"/>
      <c r="E116" s="186"/>
      <c r="F116" s="170"/>
      <c r="G116" s="213"/>
      <c r="H116" s="170"/>
      <c r="I116" s="190">
        <f>AF$6</f>
        <v>2020</v>
      </c>
      <c r="J116" s="191"/>
      <c r="K116" s="191"/>
      <c r="L116" s="211" t="s">
        <v>1065</v>
      </c>
      <c r="M116" s="186" t="s">
        <v>748</v>
      </c>
      <c r="N116" s="687">
        <f t="shared" ref="N116:AB116" si="80">N$114*LOOKUP($AD$108,$AG$4:$AP$4,$AG6:$AP6)</f>
        <v>0</v>
      </c>
      <c r="O116" s="687">
        <f t="shared" si="80"/>
        <v>0</v>
      </c>
      <c r="P116" s="687">
        <f t="shared" si="80"/>
        <v>0</v>
      </c>
      <c r="Q116" s="687">
        <f t="shared" si="80"/>
        <v>0</v>
      </c>
      <c r="R116" s="687">
        <f t="shared" si="80"/>
        <v>0</v>
      </c>
      <c r="S116" s="687">
        <f t="shared" si="80"/>
        <v>0</v>
      </c>
      <c r="T116" s="687">
        <f t="shared" si="80"/>
        <v>0</v>
      </c>
      <c r="U116" s="687">
        <f t="shared" si="80"/>
        <v>0</v>
      </c>
      <c r="V116" s="687">
        <f t="shared" si="80"/>
        <v>0</v>
      </c>
      <c r="W116" s="687">
        <f t="shared" si="80"/>
        <v>0</v>
      </c>
      <c r="X116" s="687">
        <f t="shared" si="80"/>
        <v>0</v>
      </c>
      <c r="Y116" s="687">
        <f t="shared" si="80"/>
        <v>0</v>
      </c>
      <c r="Z116" s="687">
        <f t="shared" si="80"/>
        <v>0</v>
      </c>
      <c r="AA116" s="687">
        <f t="shared" si="80"/>
        <v>0</v>
      </c>
      <c r="AB116" s="687">
        <f t="shared" si="80"/>
        <v>0</v>
      </c>
    </row>
    <row r="117" spans="1:46" s="35" customFormat="1" x14ac:dyDescent="0.25">
      <c r="A117" s="22"/>
      <c r="B117" s="186" t="str">
        <f t="shared" si="75"/>
        <v>TCARHYG100P</v>
      </c>
      <c r="C117" s="186"/>
      <c r="D117" s="187"/>
      <c r="E117" s="186"/>
      <c r="F117" s="170"/>
      <c r="G117" s="213"/>
      <c r="H117" s="170"/>
      <c r="I117" s="190">
        <v>2025</v>
      </c>
      <c r="J117" s="191"/>
      <c r="K117" s="191"/>
      <c r="L117" s="211" t="s">
        <v>1065</v>
      </c>
      <c r="M117" s="186" t="s">
        <v>748</v>
      </c>
      <c r="N117" s="687">
        <f t="shared" ref="N117:AB117" si="81">N$114*LOOKUP($AD$108,$AG$4:$AP$4,$AG7:$AP7)</f>
        <v>0</v>
      </c>
      <c r="O117" s="687">
        <f t="shared" si="81"/>
        <v>0</v>
      </c>
      <c r="P117" s="687">
        <f t="shared" si="81"/>
        <v>0</v>
      </c>
      <c r="Q117" s="687">
        <f t="shared" si="81"/>
        <v>0</v>
      </c>
      <c r="R117" s="687">
        <f t="shared" si="81"/>
        <v>0</v>
      </c>
      <c r="S117" s="687">
        <f t="shared" si="81"/>
        <v>0</v>
      </c>
      <c r="T117" s="687">
        <f t="shared" si="81"/>
        <v>0</v>
      </c>
      <c r="U117" s="687">
        <f t="shared" si="81"/>
        <v>0</v>
      </c>
      <c r="V117" s="687">
        <f t="shared" si="81"/>
        <v>0</v>
      </c>
      <c r="W117" s="687">
        <f t="shared" si="81"/>
        <v>0</v>
      </c>
      <c r="X117" s="687">
        <f t="shared" si="81"/>
        <v>0</v>
      </c>
      <c r="Y117" s="687">
        <f t="shared" si="81"/>
        <v>0</v>
      </c>
      <c r="Z117" s="687">
        <f t="shared" si="81"/>
        <v>0</v>
      </c>
      <c r="AA117" s="687">
        <f t="shared" si="81"/>
        <v>0</v>
      </c>
      <c r="AB117" s="687">
        <f t="shared" si="81"/>
        <v>0</v>
      </c>
    </row>
    <row r="118" spans="1:46" s="35" customFormat="1" x14ac:dyDescent="0.25">
      <c r="A118" s="22"/>
      <c r="B118" s="186" t="str">
        <f t="shared" si="75"/>
        <v>TCARHYG100P</v>
      </c>
      <c r="C118" s="186"/>
      <c r="D118" s="187"/>
      <c r="E118" s="186"/>
      <c r="F118" s="170"/>
      <c r="G118" s="213"/>
      <c r="H118" s="170"/>
      <c r="I118" s="190">
        <f>AF$8</f>
        <v>2030</v>
      </c>
      <c r="J118" s="191"/>
      <c r="K118" s="191"/>
      <c r="L118" s="211" t="s">
        <v>1065</v>
      </c>
      <c r="M118" s="186" t="s">
        <v>748</v>
      </c>
      <c r="N118" s="687">
        <f t="shared" ref="N118:AB118" si="82">N$114*LOOKUP($AD$108,$AG$4:$AP$4,$AG8:$AP8)</f>
        <v>0</v>
      </c>
      <c r="O118" s="687">
        <f t="shared" si="82"/>
        <v>0</v>
      </c>
      <c r="P118" s="687">
        <f t="shared" si="82"/>
        <v>0</v>
      </c>
      <c r="Q118" s="687">
        <f t="shared" si="82"/>
        <v>0</v>
      </c>
      <c r="R118" s="687">
        <f t="shared" si="82"/>
        <v>0</v>
      </c>
      <c r="S118" s="687">
        <f t="shared" si="82"/>
        <v>0</v>
      </c>
      <c r="T118" s="687">
        <f t="shared" si="82"/>
        <v>0</v>
      </c>
      <c r="U118" s="687">
        <f t="shared" si="82"/>
        <v>0</v>
      </c>
      <c r="V118" s="687">
        <f t="shared" si="82"/>
        <v>0</v>
      </c>
      <c r="W118" s="687">
        <f t="shared" si="82"/>
        <v>0</v>
      </c>
      <c r="X118" s="687">
        <f t="shared" si="82"/>
        <v>0</v>
      </c>
      <c r="Y118" s="687">
        <f t="shared" si="82"/>
        <v>0</v>
      </c>
      <c r="Z118" s="687">
        <f t="shared" si="82"/>
        <v>0</v>
      </c>
      <c r="AA118" s="687">
        <f t="shared" si="82"/>
        <v>0</v>
      </c>
      <c r="AB118" s="687">
        <f t="shared" si="82"/>
        <v>0</v>
      </c>
    </row>
    <row r="119" spans="1:46" s="35" customFormat="1" x14ac:dyDescent="0.25">
      <c r="A119" s="22"/>
      <c r="B119" s="186" t="str">
        <f t="shared" si="75"/>
        <v>TCARHYG100P</v>
      </c>
      <c r="C119" s="186"/>
      <c r="D119" s="187"/>
      <c r="E119" s="186"/>
      <c r="F119" s="170"/>
      <c r="G119" s="213"/>
      <c r="H119" s="170"/>
      <c r="I119" s="190">
        <f>AF$9</f>
        <v>2040</v>
      </c>
      <c r="J119" s="191"/>
      <c r="K119" s="191"/>
      <c r="L119" s="211" t="s">
        <v>1065</v>
      </c>
      <c r="M119" s="186" t="s">
        <v>748</v>
      </c>
      <c r="N119" s="687">
        <f t="shared" ref="N119:AB119" si="83">N$114*LOOKUP($AD$108,$AG$4:$AP$4,$AG9:$AP9)</f>
        <v>0</v>
      </c>
      <c r="O119" s="687">
        <f t="shared" si="83"/>
        <v>0</v>
      </c>
      <c r="P119" s="687">
        <f t="shared" si="83"/>
        <v>0</v>
      </c>
      <c r="Q119" s="687">
        <f t="shared" si="83"/>
        <v>0</v>
      </c>
      <c r="R119" s="687">
        <f t="shared" si="83"/>
        <v>0</v>
      </c>
      <c r="S119" s="687">
        <f t="shared" si="83"/>
        <v>0</v>
      </c>
      <c r="T119" s="687">
        <f t="shared" si="83"/>
        <v>0</v>
      </c>
      <c r="U119" s="687">
        <f t="shared" si="83"/>
        <v>0</v>
      </c>
      <c r="V119" s="687">
        <f t="shared" si="83"/>
        <v>0</v>
      </c>
      <c r="W119" s="687">
        <f t="shared" si="83"/>
        <v>0</v>
      </c>
      <c r="X119" s="687">
        <f t="shared" si="83"/>
        <v>0</v>
      </c>
      <c r="Y119" s="687">
        <f t="shared" si="83"/>
        <v>0</v>
      </c>
      <c r="Z119" s="687">
        <f t="shared" si="83"/>
        <v>0</v>
      </c>
      <c r="AA119" s="687">
        <f t="shared" si="83"/>
        <v>0</v>
      </c>
      <c r="AB119" s="687">
        <f t="shared" si="83"/>
        <v>0</v>
      </c>
    </row>
    <row r="120" spans="1:46" s="35" customFormat="1" x14ac:dyDescent="0.25">
      <c r="A120" s="22"/>
      <c r="B120" s="193" t="str">
        <f t="shared" si="75"/>
        <v>TCARHYG100P</v>
      </c>
      <c r="C120" s="193"/>
      <c r="D120" s="194"/>
      <c r="E120" s="193"/>
      <c r="F120" s="196"/>
      <c r="G120" s="215"/>
      <c r="H120" s="196"/>
      <c r="I120" s="197">
        <f>AF$10</f>
        <v>2050</v>
      </c>
      <c r="J120" s="198"/>
      <c r="K120" s="198"/>
      <c r="L120" s="212" t="s">
        <v>1065</v>
      </c>
      <c r="M120" s="193" t="s">
        <v>748</v>
      </c>
      <c r="N120" s="688">
        <f t="shared" ref="N120:AB120" si="84">N$114*LOOKUP($AD$108,$AG$4:$AP$4,$AG10:$AP10)</f>
        <v>0</v>
      </c>
      <c r="O120" s="688">
        <f t="shared" si="84"/>
        <v>0</v>
      </c>
      <c r="P120" s="688">
        <f t="shared" si="84"/>
        <v>0</v>
      </c>
      <c r="Q120" s="688">
        <f t="shared" si="84"/>
        <v>0</v>
      </c>
      <c r="R120" s="688">
        <f t="shared" si="84"/>
        <v>0</v>
      </c>
      <c r="S120" s="688">
        <f t="shared" si="84"/>
        <v>0</v>
      </c>
      <c r="T120" s="688">
        <f t="shared" si="84"/>
        <v>0</v>
      </c>
      <c r="U120" s="688">
        <f t="shared" si="84"/>
        <v>0</v>
      </c>
      <c r="V120" s="688">
        <f t="shared" si="84"/>
        <v>0</v>
      </c>
      <c r="W120" s="688">
        <f t="shared" si="84"/>
        <v>0</v>
      </c>
      <c r="X120" s="688">
        <f t="shared" si="84"/>
        <v>0</v>
      </c>
      <c r="Y120" s="688">
        <f t="shared" si="84"/>
        <v>0</v>
      </c>
      <c r="Z120" s="688">
        <f t="shared" si="84"/>
        <v>0</v>
      </c>
      <c r="AA120" s="688">
        <f t="shared" si="84"/>
        <v>0</v>
      </c>
      <c r="AB120" s="688">
        <f t="shared" si="84"/>
        <v>0</v>
      </c>
    </row>
    <row r="121" spans="1:46" s="35" customFormat="1" x14ac:dyDescent="0.25">
      <c r="A121" s="22"/>
      <c r="B121" s="186" t="str">
        <f>C121</f>
        <v>TCARLPG100P</v>
      </c>
      <c r="C121" s="186" t="s">
        <v>320</v>
      </c>
      <c r="D121" s="187" t="s">
        <v>796</v>
      </c>
      <c r="E121" s="188" t="s">
        <v>1033</v>
      </c>
      <c r="F121" s="170"/>
      <c r="G121" s="213"/>
      <c r="H121" s="170"/>
      <c r="I121" s="190"/>
      <c r="J121" s="191"/>
      <c r="K121" s="191"/>
      <c r="L121" s="211" t="s">
        <v>1107</v>
      </c>
      <c r="M121" s="191" t="s">
        <v>1156</v>
      </c>
      <c r="N121" s="366">
        <f>N$30</f>
        <v>1E-3</v>
      </c>
      <c r="O121" s="366">
        <f t="shared" ref="O121:AB121" si="85">$N121</f>
        <v>1E-3</v>
      </c>
      <c r="P121" s="366">
        <f t="shared" si="85"/>
        <v>1E-3</v>
      </c>
      <c r="Q121" s="366">
        <f t="shared" si="85"/>
        <v>1E-3</v>
      </c>
      <c r="R121" s="366">
        <f t="shared" si="85"/>
        <v>1E-3</v>
      </c>
      <c r="S121" s="366">
        <f t="shared" si="85"/>
        <v>1E-3</v>
      </c>
      <c r="T121" s="366">
        <f t="shared" si="85"/>
        <v>1E-3</v>
      </c>
      <c r="U121" s="366">
        <f t="shared" si="85"/>
        <v>1E-3</v>
      </c>
      <c r="V121" s="366">
        <f t="shared" si="85"/>
        <v>1E-3</v>
      </c>
      <c r="W121" s="366">
        <f t="shared" si="85"/>
        <v>1E-3</v>
      </c>
      <c r="X121" s="366">
        <f t="shared" si="85"/>
        <v>1E-3</v>
      </c>
      <c r="Y121" s="366">
        <f t="shared" si="85"/>
        <v>1E-3</v>
      </c>
      <c r="Z121" s="366">
        <f t="shared" si="85"/>
        <v>1E-3</v>
      </c>
      <c r="AA121" s="366">
        <f t="shared" si="85"/>
        <v>1E-3</v>
      </c>
      <c r="AB121" s="366">
        <f t="shared" si="85"/>
        <v>1E-3</v>
      </c>
      <c r="AD121" s="402" t="str">
        <f>MID(D121,5,3)</f>
        <v>LPG</v>
      </c>
    </row>
    <row r="122" spans="1:46" s="35" customFormat="1" x14ac:dyDescent="0.25">
      <c r="A122" s="22"/>
      <c r="B122" s="186" t="str">
        <f>B121</f>
        <v>TCARLPG100P</v>
      </c>
      <c r="C122" s="186"/>
      <c r="D122" s="187"/>
      <c r="E122" s="186"/>
      <c r="F122" s="170"/>
      <c r="G122" s="214" t="s">
        <v>410</v>
      </c>
      <c r="H122" s="170"/>
      <c r="I122" s="190"/>
      <c r="J122" s="191"/>
      <c r="K122" s="191"/>
      <c r="L122" s="191" t="s">
        <v>1126</v>
      </c>
      <c r="M122" s="186" t="s">
        <v>678</v>
      </c>
      <c r="N122" s="377">
        <f>T_CEFF!H88</f>
        <v>0.38646999999999998</v>
      </c>
      <c r="O122" s="377">
        <f>T_CEFF!I88</f>
        <v>0.38646999999999998</v>
      </c>
      <c r="P122" s="377">
        <f>T_CEFF!J88</f>
        <v>0.38646999999999998</v>
      </c>
      <c r="Q122" s="377">
        <f>T_CEFF!K88</f>
        <v>0.38646999999999998</v>
      </c>
      <c r="R122" s="377">
        <f>T_CEFF!L88</f>
        <v>0.38646999999999998</v>
      </c>
      <c r="S122" s="377">
        <f>T_CEFF!M88</f>
        <v>0.38646999999999998</v>
      </c>
      <c r="T122" s="377">
        <f>T_CEFF!N88</f>
        <v>0.38646999999999998</v>
      </c>
      <c r="U122" s="377">
        <f>T_CEFF!O88</f>
        <v>0.38646999999999998</v>
      </c>
      <c r="V122" s="377">
        <f>T_CEFF!P88</f>
        <v>0.38646999999999998</v>
      </c>
      <c r="W122" s="377">
        <f>T_CEFF!Q88</f>
        <v>0.38646999999999998</v>
      </c>
      <c r="X122" s="377">
        <f>T_CEFF!R88</f>
        <v>0.38646999999999998</v>
      </c>
      <c r="Y122" s="377">
        <f>T_CEFF!S88</f>
        <v>0.38646999999999998</v>
      </c>
      <c r="Z122" s="377">
        <f>T_CEFF!T88</f>
        <v>0.38646999999999998</v>
      </c>
      <c r="AA122" s="377">
        <f>T_CEFF!U88</f>
        <v>0.38646999999999998</v>
      </c>
      <c r="AB122" s="377">
        <f>T_CEFF!V88</f>
        <v>0.38646999999999998</v>
      </c>
      <c r="AD122" s="66" t="str">
        <f>IF(COUNTIF($AG$4:$AP$4,AD121)=1,"ok","MISSING")</f>
        <v>ok</v>
      </c>
    </row>
    <row r="123" spans="1:46" s="35" customFormat="1" x14ac:dyDescent="0.25">
      <c r="A123" s="22"/>
      <c r="B123" s="186" t="str">
        <f t="shared" ref="B123:B132" si="86">B122</f>
        <v>TCARLPG100P</v>
      </c>
      <c r="C123" s="186"/>
      <c r="D123" s="187"/>
      <c r="E123" s="186"/>
      <c r="F123" s="170"/>
      <c r="G123" s="214" t="s">
        <v>412</v>
      </c>
      <c r="H123" s="170"/>
      <c r="I123" s="190"/>
      <c r="J123" s="191"/>
      <c r="K123" s="191"/>
      <c r="L123" s="191" t="s">
        <v>1126</v>
      </c>
      <c r="M123" s="186" t="s">
        <v>678</v>
      </c>
      <c r="N123" s="377">
        <f>T_CEFF!H89</f>
        <v>0.31873000000000001</v>
      </c>
      <c r="O123" s="377">
        <f>T_CEFF!I89</f>
        <v>0.31873000000000001</v>
      </c>
      <c r="P123" s="377">
        <f>T_CEFF!J89</f>
        <v>0.31873000000000001</v>
      </c>
      <c r="Q123" s="377">
        <f>T_CEFF!K89</f>
        <v>0.31873000000000001</v>
      </c>
      <c r="R123" s="377">
        <f>T_CEFF!L89</f>
        <v>0.31873000000000001</v>
      </c>
      <c r="S123" s="377">
        <f>T_CEFF!M89</f>
        <v>0.31873000000000001</v>
      </c>
      <c r="T123" s="377">
        <f>T_CEFF!N89</f>
        <v>0.31873000000000001</v>
      </c>
      <c r="U123" s="377">
        <f>T_CEFF!O89</f>
        <v>0.31873000000000001</v>
      </c>
      <c r="V123" s="377">
        <f>T_CEFF!P89</f>
        <v>0.31873000000000001</v>
      </c>
      <c r="W123" s="377">
        <f>T_CEFF!Q89</f>
        <v>0.31873000000000001</v>
      </c>
      <c r="X123" s="377">
        <f>T_CEFF!R89</f>
        <v>0.31873000000000001</v>
      </c>
      <c r="Y123" s="377">
        <f>T_CEFF!S89</f>
        <v>0.31873000000000001</v>
      </c>
      <c r="Z123" s="377">
        <f>T_CEFF!T89</f>
        <v>0.31873000000000001</v>
      </c>
      <c r="AA123" s="377">
        <f>T_CEFF!U89</f>
        <v>0.31873000000000001</v>
      </c>
      <c r="AB123" s="377">
        <f>T_CEFF!V89</f>
        <v>0.31873000000000001</v>
      </c>
    </row>
    <row r="124" spans="1:46" s="35" customFormat="1" x14ac:dyDescent="0.25">
      <c r="A124" s="22"/>
      <c r="B124" s="186" t="str">
        <f t="shared" si="86"/>
        <v>TCARLPG100P</v>
      </c>
      <c r="C124" s="186"/>
      <c r="D124" s="187"/>
      <c r="E124" s="186"/>
      <c r="F124" s="170"/>
      <c r="G124" s="189"/>
      <c r="H124" s="170"/>
      <c r="I124" s="190"/>
      <c r="J124" s="191"/>
      <c r="K124" s="191" t="s">
        <v>749</v>
      </c>
      <c r="L124" s="191" t="s">
        <v>1128</v>
      </c>
      <c r="M124" s="186" t="s">
        <v>1159</v>
      </c>
      <c r="N124" s="368">
        <f>N$14</f>
        <v>0</v>
      </c>
      <c r="O124" s="368">
        <f t="shared" ref="O124:AB124" si="87">O$14</f>
        <v>0</v>
      </c>
      <c r="P124" s="368">
        <f t="shared" si="87"/>
        <v>0</v>
      </c>
      <c r="Q124" s="368">
        <f t="shared" si="87"/>
        <v>0</v>
      </c>
      <c r="R124" s="368">
        <f t="shared" si="87"/>
        <v>0</v>
      </c>
      <c r="S124" s="368">
        <f t="shared" si="87"/>
        <v>0</v>
      </c>
      <c r="T124" s="368">
        <f t="shared" si="87"/>
        <v>0</v>
      </c>
      <c r="U124" s="368">
        <f t="shared" si="87"/>
        <v>0</v>
      </c>
      <c r="V124" s="368">
        <f t="shared" si="87"/>
        <v>0</v>
      </c>
      <c r="W124" s="368">
        <f t="shared" si="87"/>
        <v>0</v>
      </c>
      <c r="X124" s="368">
        <f t="shared" si="87"/>
        <v>0</v>
      </c>
      <c r="Y124" s="368">
        <f t="shared" si="87"/>
        <v>0</v>
      </c>
      <c r="Z124" s="368">
        <f t="shared" si="87"/>
        <v>0</v>
      </c>
      <c r="AA124" s="368">
        <f t="shared" si="87"/>
        <v>0</v>
      </c>
      <c r="AB124" s="368">
        <f t="shared" si="87"/>
        <v>0</v>
      </c>
    </row>
    <row r="125" spans="1:46" s="35" customFormat="1" x14ac:dyDescent="0.25">
      <c r="A125" s="22"/>
      <c r="B125" s="186" t="str">
        <f t="shared" si="86"/>
        <v>TCARLPG100P</v>
      </c>
      <c r="C125" s="186"/>
      <c r="D125" s="187"/>
      <c r="E125" s="186"/>
      <c r="F125" s="170"/>
      <c r="G125" s="189"/>
      <c r="H125" s="170"/>
      <c r="I125" s="190"/>
      <c r="J125" s="191"/>
      <c r="K125" s="191"/>
      <c r="L125" s="211" t="s">
        <v>1130</v>
      </c>
      <c r="M125" s="186" t="s">
        <v>1131</v>
      </c>
      <c r="N125" s="376">
        <f>LOOKUP($C$121, T_NCAP_AF!$C$35:$C$45, T_NCAP_AF!D$35:D$45)*(1+N$24)</f>
        <v>0</v>
      </c>
      <c r="O125" s="376">
        <f>LOOKUP($C$121, T_NCAP_AF!$C$35:$C$45, T_NCAP_AF!E$35:E$45)*(1+O$24)</f>
        <v>0</v>
      </c>
      <c r="P125" s="376">
        <f>LOOKUP($C$121, T_NCAP_AF!$C$35:$C$45, T_NCAP_AF!F$35:F$45)*(1+P$24)</f>
        <v>0</v>
      </c>
      <c r="Q125" s="376">
        <f>LOOKUP($C$121, T_NCAP_AF!$C$35:$C$45, T_NCAP_AF!G$35:G$45)*(1+Q$24)</f>
        <v>0</v>
      </c>
      <c r="R125" s="376">
        <f>LOOKUP($C$121, T_NCAP_AF!$C$35:$C$45, T_NCAP_AF!H$35:H$45)*(1+R$24)</f>
        <v>0</v>
      </c>
      <c r="S125" s="376">
        <f>LOOKUP($C$121, T_NCAP_AF!$C$35:$C$45, T_NCAP_AF!I$35:I$45)*(1+S$24)</f>
        <v>0</v>
      </c>
      <c r="T125" s="376">
        <f>LOOKUP($C$121, T_NCAP_AF!$C$35:$C$45, T_NCAP_AF!J$35:J$45)*(1+T$24)</f>
        <v>0</v>
      </c>
      <c r="U125" s="376">
        <f>LOOKUP($C$121, T_NCAP_AF!$C$35:$C$45, T_NCAP_AF!K$35:K$45)*(1+U$24)</f>
        <v>0</v>
      </c>
      <c r="V125" s="376">
        <f>LOOKUP($C$121, T_NCAP_AF!$C$35:$C$45, T_NCAP_AF!L$35:L$45)*(1+V$24)</f>
        <v>0</v>
      </c>
      <c r="W125" s="376">
        <f>LOOKUP($C$121, T_NCAP_AF!$C$35:$C$45, T_NCAP_AF!M$35:M$45)*(1+W$24)</f>
        <v>0</v>
      </c>
      <c r="X125" s="376">
        <f>LOOKUP($C$121, T_NCAP_AF!$C$35:$C$45, T_NCAP_AF!N$35:N$45)*(1+X$24)</f>
        <v>0</v>
      </c>
      <c r="Y125" s="376">
        <f>LOOKUP($C$121, T_NCAP_AF!$C$35:$C$45, T_NCAP_AF!O$35:O$45)*(1+Y$24)</f>
        <v>0</v>
      </c>
      <c r="Z125" s="376">
        <f>LOOKUP($C$121, T_NCAP_AF!$C$35:$C$45, T_NCAP_AF!P$35:P$45)*(1+Z$24)</f>
        <v>0</v>
      </c>
      <c r="AA125" s="376">
        <f>LOOKUP($C$121, T_NCAP_AF!$C$35:$C$45, T_NCAP_AF!Q$35:Q$45)*(1+AA$24)</f>
        <v>0</v>
      </c>
      <c r="AB125" s="376">
        <f>LOOKUP($C$121, T_NCAP_AF!$C$35:$C$45, T_NCAP_AF!R$35:R$45)*(1+AB$24)</f>
        <v>0</v>
      </c>
    </row>
    <row r="126" spans="1:46" s="35" customFormat="1" x14ac:dyDescent="0.25">
      <c r="A126" s="22"/>
      <c r="B126" s="186" t="str">
        <f t="shared" si="86"/>
        <v>TCARLPG100P</v>
      </c>
      <c r="C126" s="186"/>
      <c r="D126" s="187"/>
      <c r="E126" s="186"/>
      <c r="F126" s="170"/>
      <c r="G126" s="189"/>
      <c r="H126" s="170"/>
      <c r="I126" s="190">
        <f>$M$3</f>
        <v>2019</v>
      </c>
      <c r="J126" s="191"/>
      <c r="K126" s="191"/>
      <c r="L126" s="211" t="s">
        <v>1065</v>
      </c>
      <c r="M126" s="186" t="s">
        <v>748</v>
      </c>
      <c r="N126" s="687">
        <f>LOOKUP($C$121, T_Stock_Private!$C$26:$C$36, T_Stock_Private!D$26:D$36)*(1+N$25)</f>
        <v>0</v>
      </c>
      <c r="O126" s="687">
        <f>LOOKUP($C$121, T_Stock_Private!$C$26:$C$36, T_Stock_Private!E$26:E$36)*(1+O$25)</f>
        <v>0</v>
      </c>
      <c r="P126" s="687">
        <f>LOOKUP($C$121, T_Stock_Private!$C$26:$C$36, T_Stock_Private!F$26:F$36)*(1+P$25)</f>
        <v>0</v>
      </c>
      <c r="Q126" s="687">
        <f>LOOKUP($C$121, T_Stock_Private!$C$26:$C$36, T_Stock_Private!G$26:G$36)*(1+Q$25)</f>
        <v>0</v>
      </c>
      <c r="R126" s="687">
        <f>LOOKUP($C$121, T_Stock_Private!$C$26:$C$36, T_Stock_Private!H$26:H$36)*(1+R$25)</f>
        <v>0</v>
      </c>
      <c r="S126" s="687">
        <f>LOOKUP($C$121, T_Stock_Private!$C$26:$C$36, T_Stock_Private!I$26:I$36)*(1+S$25)</f>
        <v>0</v>
      </c>
      <c r="T126" s="687">
        <f>LOOKUP($C$121, T_Stock_Private!$C$26:$C$36, T_Stock_Private!J$26:J$36)*(1+T$25)</f>
        <v>0</v>
      </c>
      <c r="U126" s="687">
        <f>LOOKUP($C$121, T_Stock_Private!$C$26:$C$36, T_Stock_Private!K$26:K$36)*(1+U$25)</f>
        <v>0</v>
      </c>
      <c r="V126" s="687">
        <f>LOOKUP($C$121, T_Stock_Private!$C$26:$C$36, T_Stock_Private!L$26:L$36)*(1+V$25)</f>
        <v>0</v>
      </c>
      <c r="W126" s="687">
        <f>LOOKUP($C$121, T_Stock_Private!$C$26:$C$36, T_Stock_Private!M$26:M$36)*(1+W$25)</f>
        <v>0</v>
      </c>
      <c r="X126" s="687">
        <f>LOOKUP($C$121, T_Stock_Private!$C$26:$C$36, T_Stock_Private!N$26:N$36)*(1+X$25)</f>
        <v>0</v>
      </c>
      <c r="Y126" s="687">
        <f>LOOKUP($C$121, T_Stock_Private!$C$26:$C$36, T_Stock_Private!O$26:O$36)*(1+Y$25)</f>
        <v>0</v>
      </c>
      <c r="Z126" s="687">
        <f>LOOKUP($C$121, T_Stock_Private!$C$26:$C$36, T_Stock_Private!P$26:P$36)*(1+Z$25)</f>
        <v>0</v>
      </c>
      <c r="AA126" s="687">
        <f>LOOKUP($C$121, T_Stock_Private!$C$26:$C$36, T_Stock_Private!Q$26:Q$36)*(1+AA$25)</f>
        <v>0</v>
      </c>
      <c r="AB126" s="687">
        <f>LOOKUP($C$121, T_Stock_Private!$C$26:$C$36, T_Stock_Private!R$26:R$36)*(1+AB$25)</f>
        <v>0</v>
      </c>
    </row>
    <row r="127" spans="1:46" s="35" customFormat="1" x14ac:dyDescent="0.25">
      <c r="A127" s="22"/>
      <c r="B127" s="186" t="str">
        <f t="shared" si="86"/>
        <v>TCARLPG100P</v>
      </c>
      <c r="C127" s="186"/>
      <c r="D127" s="187"/>
      <c r="E127" s="186"/>
      <c r="F127" s="170"/>
      <c r="G127" s="189"/>
      <c r="H127" s="170"/>
      <c r="I127" s="190">
        <f>AF$5</f>
        <v>2016</v>
      </c>
      <c r="J127" s="191"/>
      <c r="K127" s="191"/>
      <c r="L127" s="211" t="s">
        <v>1065</v>
      </c>
      <c r="M127" s="186" t="s">
        <v>748</v>
      </c>
      <c r="N127" s="687">
        <f t="shared" ref="N127:AB127" si="88">N$126*LOOKUP($AD$121,$AG$4:$AP$4,$AG5:$AP5)</f>
        <v>0</v>
      </c>
      <c r="O127" s="687">
        <f t="shared" si="88"/>
        <v>0</v>
      </c>
      <c r="P127" s="687">
        <f t="shared" si="88"/>
        <v>0</v>
      </c>
      <c r="Q127" s="687">
        <f t="shared" si="88"/>
        <v>0</v>
      </c>
      <c r="R127" s="687">
        <f t="shared" si="88"/>
        <v>0</v>
      </c>
      <c r="S127" s="687">
        <f t="shared" si="88"/>
        <v>0</v>
      </c>
      <c r="T127" s="687">
        <f t="shared" si="88"/>
        <v>0</v>
      </c>
      <c r="U127" s="687">
        <f t="shared" si="88"/>
        <v>0</v>
      </c>
      <c r="V127" s="687">
        <f t="shared" si="88"/>
        <v>0</v>
      </c>
      <c r="W127" s="687">
        <f t="shared" si="88"/>
        <v>0</v>
      </c>
      <c r="X127" s="687">
        <f t="shared" si="88"/>
        <v>0</v>
      </c>
      <c r="Y127" s="687">
        <f t="shared" si="88"/>
        <v>0</v>
      </c>
      <c r="Z127" s="687">
        <f t="shared" si="88"/>
        <v>0</v>
      </c>
      <c r="AA127" s="687">
        <f t="shared" si="88"/>
        <v>0</v>
      </c>
      <c r="AB127" s="687">
        <f t="shared" si="88"/>
        <v>0</v>
      </c>
      <c r="AE127" s="569">
        <f>SUM(AF127:AT127)</f>
        <v>0</v>
      </c>
      <c r="AF127" s="568">
        <f>N124*N125*N126/1000</f>
        <v>0</v>
      </c>
      <c r="AG127" s="568">
        <f t="shared" ref="AG127:AT127" si="89">O124*O125*O126</f>
        <v>0</v>
      </c>
      <c r="AH127" s="568">
        <f t="shared" si="89"/>
        <v>0</v>
      </c>
      <c r="AI127" s="568">
        <f t="shared" si="89"/>
        <v>0</v>
      </c>
      <c r="AJ127" s="568">
        <f t="shared" si="89"/>
        <v>0</v>
      </c>
      <c r="AK127" s="568">
        <f t="shared" si="89"/>
        <v>0</v>
      </c>
      <c r="AL127" s="568">
        <f t="shared" si="89"/>
        <v>0</v>
      </c>
      <c r="AM127" s="568">
        <f t="shared" si="89"/>
        <v>0</v>
      </c>
      <c r="AN127" s="568">
        <f t="shared" si="89"/>
        <v>0</v>
      </c>
      <c r="AO127" s="568">
        <f t="shared" si="89"/>
        <v>0</v>
      </c>
      <c r="AP127" s="568">
        <f t="shared" si="89"/>
        <v>0</v>
      </c>
      <c r="AQ127" s="568">
        <f t="shared" si="89"/>
        <v>0</v>
      </c>
      <c r="AR127" s="568">
        <f t="shared" si="89"/>
        <v>0</v>
      </c>
      <c r="AS127" s="568">
        <f t="shared" si="89"/>
        <v>0</v>
      </c>
      <c r="AT127" s="568">
        <f t="shared" si="89"/>
        <v>0</v>
      </c>
    </row>
    <row r="128" spans="1:46" s="35" customFormat="1" x14ac:dyDescent="0.25">
      <c r="A128" s="22"/>
      <c r="B128" s="186" t="str">
        <f t="shared" si="86"/>
        <v>TCARLPG100P</v>
      </c>
      <c r="C128" s="186"/>
      <c r="D128" s="187"/>
      <c r="E128" s="186"/>
      <c r="F128" s="170"/>
      <c r="G128" s="189"/>
      <c r="H128" s="170"/>
      <c r="I128" s="190">
        <f>AF$6</f>
        <v>2020</v>
      </c>
      <c r="J128" s="191"/>
      <c r="K128" s="191"/>
      <c r="L128" s="211" t="s">
        <v>1065</v>
      </c>
      <c r="M128" s="186" t="s">
        <v>748</v>
      </c>
      <c r="N128" s="687">
        <f t="shared" ref="N128:AB128" si="90">N$126*LOOKUP($AD$121,$AG$4:$AP$4,$AG6:$AP6)</f>
        <v>0</v>
      </c>
      <c r="O128" s="687">
        <f t="shared" si="90"/>
        <v>0</v>
      </c>
      <c r="P128" s="687">
        <f t="shared" si="90"/>
        <v>0</v>
      </c>
      <c r="Q128" s="687">
        <f t="shared" si="90"/>
        <v>0</v>
      </c>
      <c r="R128" s="687">
        <f t="shared" si="90"/>
        <v>0</v>
      </c>
      <c r="S128" s="687">
        <f t="shared" si="90"/>
        <v>0</v>
      </c>
      <c r="T128" s="687">
        <f t="shared" si="90"/>
        <v>0</v>
      </c>
      <c r="U128" s="687">
        <f t="shared" si="90"/>
        <v>0</v>
      </c>
      <c r="V128" s="687">
        <f t="shared" si="90"/>
        <v>0</v>
      </c>
      <c r="W128" s="687">
        <f t="shared" si="90"/>
        <v>0</v>
      </c>
      <c r="X128" s="687">
        <f t="shared" si="90"/>
        <v>0</v>
      </c>
      <c r="Y128" s="687">
        <f t="shared" si="90"/>
        <v>0</v>
      </c>
      <c r="Z128" s="687">
        <f t="shared" si="90"/>
        <v>0</v>
      </c>
      <c r="AA128" s="687">
        <f t="shared" si="90"/>
        <v>0</v>
      </c>
      <c r="AB128" s="687">
        <f t="shared" si="90"/>
        <v>0</v>
      </c>
    </row>
    <row r="129" spans="1:46" s="35" customFormat="1" x14ac:dyDescent="0.25">
      <c r="A129" s="22"/>
      <c r="B129" s="186" t="str">
        <f t="shared" si="86"/>
        <v>TCARLPG100P</v>
      </c>
      <c r="C129" s="186"/>
      <c r="D129" s="187"/>
      <c r="E129" s="186"/>
      <c r="F129" s="170"/>
      <c r="G129" s="189"/>
      <c r="H129" s="170"/>
      <c r="I129" s="190">
        <f>AF$7</f>
        <v>2025</v>
      </c>
      <c r="J129" s="191"/>
      <c r="K129" s="191"/>
      <c r="L129" s="211" t="s">
        <v>1065</v>
      </c>
      <c r="M129" s="186" t="s">
        <v>748</v>
      </c>
      <c r="N129" s="687">
        <f t="shared" ref="N129:AB129" si="91">N$126*LOOKUP($AD$121,$AG$4:$AP$4,$AG7:$AP7)</f>
        <v>0</v>
      </c>
      <c r="O129" s="687">
        <f t="shared" si="91"/>
        <v>0</v>
      </c>
      <c r="P129" s="687">
        <f t="shared" si="91"/>
        <v>0</v>
      </c>
      <c r="Q129" s="687">
        <f t="shared" si="91"/>
        <v>0</v>
      </c>
      <c r="R129" s="687">
        <f t="shared" si="91"/>
        <v>0</v>
      </c>
      <c r="S129" s="687">
        <f t="shared" si="91"/>
        <v>0</v>
      </c>
      <c r="T129" s="687">
        <f t="shared" si="91"/>
        <v>0</v>
      </c>
      <c r="U129" s="687">
        <f t="shared" si="91"/>
        <v>0</v>
      </c>
      <c r="V129" s="687">
        <f t="shared" si="91"/>
        <v>0</v>
      </c>
      <c r="W129" s="687">
        <f t="shared" si="91"/>
        <v>0</v>
      </c>
      <c r="X129" s="687">
        <f t="shared" si="91"/>
        <v>0</v>
      </c>
      <c r="Y129" s="687">
        <f t="shared" si="91"/>
        <v>0</v>
      </c>
      <c r="Z129" s="687">
        <f t="shared" si="91"/>
        <v>0</v>
      </c>
      <c r="AA129" s="687">
        <f t="shared" si="91"/>
        <v>0</v>
      </c>
      <c r="AB129" s="687">
        <f t="shared" si="91"/>
        <v>0</v>
      </c>
    </row>
    <row r="130" spans="1:46" s="35" customFormat="1" x14ac:dyDescent="0.25">
      <c r="A130" s="22"/>
      <c r="B130" s="186" t="str">
        <f t="shared" si="86"/>
        <v>TCARLPG100P</v>
      </c>
      <c r="C130" s="186"/>
      <c r="D130" s="187"/>
      <c r="E130" s="186"/>
      <c r="F130" s="170"/>
      <c r="G130" s="189"/>
      <c r="H130" s="170"/>
      <c r="I130" s="190">
        <f>AF$8</f>
        <v>2030</v>
      </c>
      <c r="J130" s="191"/>
      <c r="K130" s="191"/>
      <c r="L130" s="211" t="s">
        <v>1065</v>
      </c>
      <c r="M130" s="186" t="s">
        <v>748</v>
      </c>
      <c r="N130" s="687">
        <f t="shared" ref="N130:AB130" si="92">N$126*LOOKUP($AD$121,$AG$4:$AP$4,$AG8:$AP8)</f>
        <v>0</v>
      </c>
      <c r="O130" s="687">
        <f t="shared" si="92"/>
        <v>0</v>
      </c>
      <c r="P130" s="687">
        <f t="shared" si="92"/>
        <v>0</v>
      </c>
      <c r="Q130" s="687">
        <f t="shared" si="92"/>
        <v>0</v>
      </c>
      <c r="R130" s="687">
        <f t="shared" si="92"/>
        <v>0</v>
      </c>
      <c r="S130" s="687">
        <f t="shared" si="92"/>
        <v>0</v>
      </c>
      <c r="T130" s="687">
        <f t="shared" si="92"/>
        <v>0</v>
      </c>
      <c r="U130" s="687">
        <f t="shared" si="92"/>
        <v>0</v>
      </c>
      <c r="V130" s="687">
        <f t="shared" si="92"/>
        <v>0</v>
      </c>
      <c r="W130" s="687">
        <f t="shared" si="92"/>
        <v>0</v>
      </c>
      <c r="X130" s="687">
        <f t="shared" si="92"/>
        <v>0</v>
      </c>
      <c r="Y130" s="687">
        <f t="shared" si="92"/>
        <v>0</v>
      </c>
      <c r="Z130" s="687">
        <f t="shared" si="92"/>
        <v>0</v>
      </c>
      <c r="AA130" s="687">
        <f t="shared" si="92"/>
        <v>0</v>
      </c>
      <c r="AB130" s="687">
        <f t="shared" si="92"/>
        <v>0</v>
      </c>
    </row>
    <row r="131" spans="1:46" s="35" customFormat="1" x14ac:dyDescent="0.25">
      <c r="A131" s="22"/>
      <c r="B131" s="186" t="str">
        <f t="shared" si="86"/>
        <v>TCARLPG100P</v>
      </c>
      <c r="C131" s="186"/>
      <c r="D131" s="187"/>
      <c r="E131" s="186"/>
      <c r="F131" s="170"/>
      <c r="G131" s="189"/>
      <c r="H131" s="170"/>
      <c r="I131" s="190">
        <f>AF$9</f>
        <v>2040</v>
      </c>
      <c r="J131" s="191"/>
      <c r="K131" s="191"/>
      <c r="L131" s="211" t="s">
        <v>1065</v>
      </c>
      <c r="M131" s="186" t="s">
        <v>748</v>
      </c>
      <c r="N131" s="687">
        <f t="shared" ref="N131:AB131" si="93">N$126*LOOKUP($AD$121,$AG$4:$AP$4,$AG9:$AP9)</f>
        <v>0</v>
      </c>
      <c r="O131" s="687">
        <f t="shared" si="93"/>
        <v>0</v>
      </c>
      <c r="P131" s="687">
        <f t="shared" si="93"/>
        <v>0</v>
      </c>
      <c r="Q131" s="687">
        <f t="shared" si="93"/>
        <v>0</v>
      </c>
      <c r="R131" s="687">
        <f t="shared" si="93"/>
        <v>0</v>
      </c>
      <c r="S131" s="687">
        <f t="shared" si="93"/>
        <v>0</v>
      </c>
      <c r="T131" s="687">
        <f t="shared" si="93"/>
        <v>0</v>
      </c>
      <c r="U131" s="687">
        <f t="shared" si="93"/>
        <v>0</v>
      </c>
      <c r="V131" s="687">
        <f t="shared" si="93"/>
        <v>0</v>
      </c>
      <c r="W131" s="687">
        <f t="shared" si="93"/>
        <v>0</v>
      </c>
      <c r="X131" s="687">
        <f t="shared" si="93"/>
        <v>0</v>
      </c>
      <c r="Y131" s="687">
        <f t="shared" si="93"/>
        <v>0</v>
      </c>
      <c r="Z131" s="687">
        <f t="shared" si="93"/>
        <v>0</v>
      </c>
      <c r="AA131" s="687">
        <f t="shared" si="93"/>
        <v>0</v>
      </c>
      <c r="AB131" s="687">
        <f t="shared" si="93"/>
        <v>0</v>
      </c>
    </row>
    <row r="132" spans="1:46" s="35" customFormat="1" x14ac:dyDescent="0.25">
      <c r="A132" s="22"/>
      <c r="B132" s="193" t="str">
        <f t="shared" si="86"/>
        <v>TCARLPG100P</v>
      </c>
      <c r="C132" s="193"/>
      <c r="D132" s="194"/>
      <c r="E132" s="193"/>
      <c r="F132" s="196"/>
      <c r="G132" s="195"/>
      <c r="H132" s="196"/>
      <c r="I132" s="197">
        <f>AF$10</f>
        <v>2050</v>
      </c>
      <c r="J132" s="198"/>
      <c r="K132" s="198"/>
      <c r="L132" s="212" t="s">
        <v>1065</v>
      </c>
      <c r="M132" s="193" t="s">
        <v>748</v>
      </c>
      <c r="N132" s="688">
        <f t="shared" ref="N132:AB132" si="94">N$126*LOOKUP($AD$121,$AG$4:$AP$4,$AG10:$AP10)</f>
        <v>0</v>
      </c>
      <c r="O132" s="688">
        <f t="shared" si="94"/>
        <v>0</v>
      </c>
      <c r="P132" s="688">
        <f t="shared" si="94"/>
        <v>0</v>
      </c>
      <c r="Q132" s="688">
        <f t="shared" si="94"/>
        <v>0</v>
      </c>
      <c r="R132" s="688">
        <f t="shared" si="94"/>
        <v>0</v>
      </c>
      <c r="S132" s="688">
        <f t="shared" si="94"/>
        <v>0</v>
      </c>
      <c r="T132" s="688">
        <f t="shared" si="94"/>
        <v>0</v>
      </c>
      <c r="U132" s="688">
        <f t="shared" si="94"/>
        <v>0</v>
      </c>
      <c r="V132" s="688">
        <f t="shared" si="94"/>
        <v>0</v>
      </c>
      <c r="W132" s="688">
        <f t="shared" si="94"/>
        <v>0</v>
      </c>
      <c r="X132" s="688">
        <f t="shared" si="94"/>
        <v>0</v>
      </c>
      <c r="Y132" s="688">
        <f t="shared" si="94"/>
        <v>0</v>
      </c>
      <c r="Z132" s="688">
        <f t="shared" si="94"/>
        <v>0</v>
      </c>
      <c r="AA132" s="688">
        <f t="shared" si="94"/>
        <v>0</v>
      </c>
      <c r="AB132" s="688">
        <f t="shared" si="94"/>
        <v>0</v>
      </c>
    </row>
    <row r="133" spans="1:46" s="83" customFormat="1" x14ac:dyDescent="0.25">
      <c r="A133" s="82"/>
      <c r="B133" s="178" t="str">
        <f>C133</f>
        <v>TCARPYD100P</v>
      </c>
      <c r="C133" s="178" t="s">
        <v>321</v>
      </c>
      <c r="D133" s="179" t="s">
        <v>799</v>
      </c>
      <c r="E133" s="407" t="s">
        <v>988</v>
      </c>
      <c r="F133" s="182"/>
      <c r="G133" s="326"/>
      <c r="H133" s="182"/>
      <c r="I133" s="183"/>
      <c r="J133" s="184"/>
      <c r="K133" s="184"/>
      <c r="L133" s="203" t="s">
        <v>1107</v>
      </c>
      <c r="M133" s="184" t="s">
        <v>1156</v>
      </c>
      <c r="N133" s="366">
        <f>N$30</f>
        <v>1E-3</v>
      </c>
      <c r="O133" s="378">
        <f t="shared" ref="O133:AB133" si="95">$N133</f>
        <v>1E-3</v>
      </c>
      <c r="P133" s="378">
        <f t="shared" si="95"/>
        <v>1E-3</v>
      </c>
      <c r="Q133" s="378">
        <f t="shared" si="95"/>
        <v>1E-3</v>
      </c>
      <c r="R133" s="378">
        <f t="shared" si="95"/>
        <v>1E-3</v>
      </c>
      <c r="S133" s="378">
        <f t="shared" si="95"/>
        <v>1E-3</v>
      </c>
      <c r="T133" s="378">
        <f t="shared" si="95"/>
        <v>1E-3</v>
      </c>
      <c r="U133" s="378">
        <f t="shared" si="95"/>
        <v>1E-3</v>
      </c>
      <c r="V133" s="378">
        <f t="shared" si="95"/>
        <v>1E-3</v>
      </c>
      <c r="W133" s="378">
        <f t="shared" si="95"/>
        <v>1E-3</v>
      </c>
      <c r="X133" s="378">
        <f t="shared" si="95"/>
        <v>1E-3</v>
      </c>
      <c r="Y133" s="378">
        <f t="shared" si="95"/>
        <v>1E-3</v>
      </c>
      <c r="Z133" s="378">
        <f t="shared" si="95"/>
        <v>1E-3</v>
      </c>
      <c r="AA133" s="378">
        <f t="shared" si="95"/>
        <v>1E-3</v>
      </c>
      <c r="AB133" s="378">
        <f t="shared" si="95"/>
        <v>1E-3</v>
      </c>
      <c r="AD133" s="402" t="str">
        <f>MID(C133,5,3)</f>
        <v>PYD</v>
      </c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</row>
    <row r="134" spans="1:46" s="35" customFormat="1" x14ac:dyDescent="0.25">
      <c r="A134" s="22"/>
      <c r="B134" s="186" t="str">
        <f>B133</f>
        <v>TCARPYD100P</v>
      </c>
      <c r="C134" s="186"/>
      <c r="D134" s="187"/>
      <c r="E134" s="188" t="s">
        <v>185</v>
      </c>
      <c r="F134" s="170"/>
      <c r="G134" s="213"/>
      <c r="H134" s="170"/>
      <c r="I134" s="190"/>
      <c r="J134" s="191" t="s">
        <v>1157</v>
      </c>
      <c r="K134" s="191"/>
      <c r="L134" s="211" t="s">
        <v>101</v>
      </c>
      <c r="M134" s="186"/>
      <c r="N134" s="377">
        <f>1-N$17</f>
        <v>0.85</v>
      </c>
      <c r="O134" s="377">
        <f t="shared" ref="O134:AB134" si="96">1-O$17</f>
        <v>0.85</v>
      </c>
      <c r="P134" s="377">
        <f t="shared" si="96"/>
        <v>0.85</v>
      </c>
      <c r="Q134" s="377">
        <f t="shared" si="96"/>
        <v>0.85</v>
      </c>
      <c r="R134" s="377">
        <f t="shared" si="96"/>
        <v>0.85</v>
      </c>
      <c r="S134" s="377">
        <f t="shared" si="96"/>
        <v>0.85</v>
      </c>
      <c r="T134" s="377">
        <f t="shared" si="96"/>
        <v>0.85</v>
      </c>
      <c r="U134" s="377">
        <f t="shared" si="96"/>
        <v>0.85</v>
      </c>
      <c r="V134" s="377">
        <f t="shared" si="96"/>
        <v>0.85</v>
      </c>
      <c r="W134" s="377">
        <f t="shared" si="96"/>
        <v>0.85</v>
      </c>
      <c r="X134" s="377">
        <f t="shared" si="96"/>
        <v>0.85</v>
      </c>
      <c r="Y134" s="377">
        <f t="shared" si="96"/>
        <v>0.85</v>
      </c>
      <c r="Z134" s="377">
        <f t="shared" si="96"/>
        <v>0.85</v>
      </c>
      <c r="AA134" s="377">
        <f t="shared" si="96"/>
        <v>0.85</v>
      </c>
      <c r="AB134" s="377">
        <f t="shared" si="96"/>
        <v>0.85</v>
      </c>
      <c r="AD134" s="66" t="str">
        <f>IF(COUNTIF($AG$4:$AP$4,AD133)=1,"ok","MISSING")</f>
        <v>ok</v>
      </c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</row>
    <row r="135" spans="1:46" s="35" customFormat="1" x14ac:dyDescent="0.25">
      <c r="A135" s="22"/>
      <c r="B135" s="186" t="str">
        <f>B134</f>
        <v>TCARPYD100P</v>
      </c>
      <c r="C135" s="186"/>
      <c r="D135" s="187"/>
      <c r="E135" s="186"/>
      <c r="F135" s="170"/>
      <c r="G135" s="214" t="s">
        <v>410</v>
      </c>
      <c r="H135" s="170"/>
      <c r="I135" s="190"/>
      <c r="J135" s="191"/>
      <c r="K135" s="191"/>
      <c r="L135" s="191" t="s">
        <v>1126</v>
      </c>
      <c r="M135" s="186" t="s">
        <v>678</v>
      </c>
      <c r="N135" s="377">
        <f>T_CEFF!H90</f>
        <v>0.68376000000000003</v>
      </c>
      <c r="O135" s="377">
        <f>T_CEFF!I90</f>
        <v>0.68376000000000003</v>
      </c>
      <c r="P135" s="377">
        <f>T_CEFF!J90</f>
        <v>0.68376000000000003</v>
      </c>
      <c r="Q135" s="377">
        <f>T_CEFF!K90</f>
        <v>0.68376000000000003</v>
      </c>
      <c r="R135" s="377">
        <f>T_CEFF!L90</f>
        <v>0.68376000000000003</v>
      </c>
      <c r="S135" s="377">
        <f>T_CEFF!M90</f>
        <v>0.68376000000000003</v>
      </c>
      <c r="T135" s="377">
        <f>T_CEFF!N90</f>
        <v>0.68376000000000003</v>
      </c>
      <c r="U135" s="377">
        <f>T_CEFF!O90</f>
        <v>0.68376000000000003</v>
      </c>
      <c r="V135" s="377">
        <f>T_CEFF!P90</f>
        <v>0.68376000000000003</v>
      </c>
      <c r="W135" s="377">
        <f>T_CEFF!Q90</f>
        <v>0.68376000000000003</v>
      </c>
      <c r="X135" s="377">
        <f>T_CEFF!R90</f>
        <v>0.68376000000000003</v>
      </c>
      <c r="Y135" s="377">
        <f>T_CEFF!S90</f>
        <v>0.68376000000000003</v>
      </c>
      <c r="Z135" s="377">
        <f>T_CEFF!T90</f>
        <v>0.68376000000000003</v>
      </c>
      <c r="AA135" s="377">
        <f>T_CEFF!U90</f>
        <v>0.68376000000000003</v>
      </c>
      <c r="AB135" s="377">
        <f>T_CEFF!V90</f>
        <v>0.68376000000000003</v>
      </c>
    </row>
    <row r="136" spans="1:46" s="35" customFormat="1" x14ac:dyDescent="0.25">
      <c r="A136" s="22"/>
      <c r="B136" s="186" t="str">
        <f>B135</f>
        <v>TCARPYD100P</v>
      </c>
      <c r="C136" s="186"/>
      <c r="D136" s="187"/>
      <c r="E136" s="186"/>
      <c r="F136" s="170"/>
      <c r="G136" s="214" t="s">
        <v>412</v>
      </c>
      <c r="H136" s="170"/>
      <c r="I136" s="190"/>
      <c r="J136" s="191"/>
      <c r="K136" s="191"/>
      <c r="L136" s="191" t="s">
        <v>1126</v>
      </c>
      <c r="M136" s="186" t="s">
        <v>678</v>
      </c>
      <c r="N136" s="377">
        <f>T_CEFF!H91</f>
        <v>0.87912000000000001</v>
      </c>
      <c r="O136" s="377">
        <f>T_CEFF!I91</f>
        <v>0.87912000000000001</v>
      </c>
      <c r="P136" s="377">
        <f>T_CEFF!J91</f>
        <v>0.87912000000000001</v>
      </c>
      <c r="Q136" s="377">
        <f>T_CEFF!K91</f>
        <v>0.87912000000000001</v>
      </c>
      <c r="R136" s="377">
        <f>T_CEFF!L91</f>
        <v>0.87912000000000001</v>
      </c>
      <c r="S136" s="377">
        <f>T_CEFF!M91</f>
        <v>0.87912000000000001</v>
      </c>
      <c r="T136" s="377">
        <f>T_CEFF!N91</f>
        <v>0.87912000000000001</v>
      </c>
      <c r="U136" s="377">
        <f>T_CEFF!O91</f>
        <v>0.87912000000000001</v>
      </c>
      <c r="V136" s="377">
        <f>T_CEFF!P91</f>
        <v>0.87912000000000001</v>
      </c>
      <c r="W136" s="377">
        <f>T_CEFF!Q91</f>
        <v>0.87912000000000001</v>
      </c>
      <c r="X136" s="377">
        <f>T_CEFF!R91</f>
        <v>0.87912000000000001</v>
      </c>
      <c r="Y136" s="377">
        <f>T_CEFF!S91</f>
        <v>0.87912000000000001</v>
      </c>
      <c r="Z136" s="377">
        <f>T_CEFF!T91</f>
        <v>0.87912000000000001</v>
      </c>
      <c r="AA136" s="377">
        <f>T_CEFF!U91</f>
        <v>0.87912000000000001</v>
      </c>
      <c r="AB136" s="377">
        <f>T_CEFF!V91</f>
        <v>0.87912000000000001</v>
      </c>
    </row>
    <row r="137" spans="1:46" s="35" customFormat="1" x14ac:dyDescent="0.25">
      <c r="A137" s="22"/>
      <c r="B137" s="186" t="str">
        <f t="shared" ref="B137:B145" si="97">B136</f>
        <v>TCARPYD100P</v>
      </c>
      <c r="C137" s="186"/>
      <c r="D137" s="187"/>
      <c r="E137" s="186"/>
      <c r="F137" s="170"/>
      <c r="G137" s="213"/>
      <c r="H137" s="170"/>
      <c r="I137" s="190"/>
      <c r="J137" s="191"/>
      <c r="K137" s="191" t="s">
        <v>749</v>
      </c>
      <c r="L137" s="191" t="s">
        <v>1128</v>
      </c>
      <c r="M137" s="186" t="s">
        <v>1159</v>
      </c>
      <c r="N137" s="368">
        <f>N$14</f>
        <v>0</v>
      </c>
      <c r="O137" s="368">
        <f t="shared" ref="O137:AB137" si="98">O$14</f>
        <v>0</v>
      </c>
      <c r="P137" s="368">
        <f t="shared" si="98"/>
        <v>0</v>
      </c>
      <c r="Q137" s="368">
        <f t="shared" si="98"/>
        <v>0</v>
      </c>
      <c r="R137" s="368">
        <f t="shared" si="98"/>
        <v>0</v>
      </c>
      <c r="S137" s="368">
        <f t="shared" si="98"/>
        <v>0</v>
      </c>
      <c r="T137" s="368">
        <f t="shared" si="98"/>
        <v>0</v>
      </c>
      <c r="U137" s="368">
        <f t="shared" si="98"/>
        <v>0</v>
      </c>
      <c r="V137" s="368">
        <f t="shared" si="98"/>
        <v>0</v>
      </c>
      <c r="W137" s="368">
        <f t="shared" si="98"/>
        <v>0</v>
      </c>
      <c r="X137" s="368">
        <f t="shared" si="98"/>
        <v>0</v>
      </c>
      <c r="Y137" s="368">
        <f t="shared" si="98"/>
        <v>0</v>
      </c>
      <c r="Z137" s="368">
        <f t="shared" si="98"/>
        <v>0</v>
      </c>
      <c r="AA137" s="368">
        <f t="shared" si="98"/>
        <v>0</v>
      </c>
      <c r="AB137" s="368">
        <f t="shared" si="98"/>
        <v>0</v>
      </c>
    </row>
    <row r="138" spans="1:46" s="35" customFormat="1" x14ac:dyDescent="0.25">
      <c r="A138" s="22"/>
      <c r="B138" s="186" t="str">
        <f t="shared" si="97"/>
        <v>TCARPYD100P</v>
      </c>
      <c r="C138" s="186"/>
      <c r="D138" s="187"/>
      <c r="E138" s="186"/>
      <c r="F138" s="170"/>
      <c r="G138" s="213"/>
      <c r="H138" s="170"/>
      <c r="I138" s="190"/>
      <c r="J138" s="191"/>
      <c r="K138" s="191"/>
      <c r="L138" s="211" t="s">
        <v>1130</v>
      </c>
      <c r="M138" s="186" t="s">
        <v>1131</v>
      </c>
      <c r="N138" s="376">
        <f>LOOKUP($C$133, T_NCAP_AF!$C$35:$C$45, T_NCAP_AF!D$35:D$45)*(1+N$24)</f>
        <v>0</v>
      </c>
      <c r="O138" s="376">
        <f>LOOKUP($C$133, T_NCAP_AF!$C$35:$C$45, T_NCAP_AF!E$35:E$45)*(1+O$24)</f>
        <v>0</v>
      </c>
      <c r="P138" s="376">
        <f>LOOKUP($C$133, T_NCAP_AF!$C$35:$C$45, T_NCAP_AF!F$35:F$45)*(1+P$24)</f>
        <v>0</v>
      </c>
      <c r="Q138" s="376">
        <f>LOOKUP($C$133, T_NCAP_AF!$C$35:$C$45, T_NCAP_AF!G$35:G$45)*(1+Q$24)</f>
        <v>0</v>
      </c>
      <c r="R138" s="376">
        <f>LOOKUP($C$133, T_NCAP_AF!$C$35:$C$45, T_NCAP_AF!H$35:H$45)*(1+R$24)</f>
        <v>0</v>
      </c>
      <c r="S138" s="376">
        <f>LOOKUP($C$133, T_NCAP_AF!$C$35:$C$45, T_NCAP_AF!I$35:I$45)*(1+S$24)</f>
        <v>0</v>
      </c>
      <c r="T138" s="376">
        <f>LOOKUP($C$133, T_NCAP_AF!$C$35:$C$45, T_NCAP_AF!J$35:J$45)*(1+T$24)</f>
        <v>0</v>
      </c>
      <c r="U138" s="376">
        <f>LOOKUP($C$133, T_NCAP_AF!$C$35:$C$45, T_NCAP_AF!K$35:K$45)*(1+U$24)</f>
        <v>0</v>
      </c>
      <c r="V138" s="376">
        <f>LOOKUP($C$133, T_NCAP_AF!$C$35:$C$45, T_NCAP_AF!L$35:L$45)*(1+V$24)</f>
        <v>0</v>
      </c>
      <c r="W138" s="376">
        <f>LOOKUP($C$133, T_NCAP_AF!$C$35:$C$45, T_NCAP_AF!M$35:M$45)*(1+W$24)</f>
        <v>0</v>
      </c>
      <c r="X138" s="376">
        <f>LOOKUP($C$133, T_NCAP_AF!$C$35:$C$45, T_NCAP_AF!N$35:N$45)*(1+X$24)</f>
        <v>0</v>
      </c>
      <c r="Y138" s="376">
        <f>LOOKUP($C$133, T_NCAP_AF!$C$35:$C$45, T_NCAP_AF!O$35:O$45)*(1+Y$24)</f>
        <v>0</v>
      </c>
      <c r="Z138" s="376">
        <f>LOOKUP($C$133, T_NCAP_AF!$C$35:$C$45, T_NCAP_AF!P$35:P$45)*(1+Z$24)</f>
        <v>0</v>
      </c>
      <c r="AA138" s="376">
        <f>LOOKUP($C$133, T_NCAP_AF!$C$35:$C$45, T_NCAP_AF!Q$35:Q$45)*(1+AA$24)</f>
        <v>0</v>
      </c>
      <c r="AB138" s="376">
        <f>LOOKUP($C$133, T_NCAP_AF!$C$35:$C$45, T_NCAP_AF!R$35:R$45)*(1+AB$24)</f>
        <v>0</v>
      </c>
    </row>
    <row r="139" spans="1:46" s="35" customFormat="1" x14ac:dyDescent="0.25">
      <c r="A139" s="22"/>
      <c r="B139" s="186" t="str">
        <f t="shared" si="97"/>
        <v>TCARPYD100P</v>
      </c>
      <c r="C139" s="186"/>
      <c r="D139" s="187"/>
      <c r="E139" s="186"/>
      <c r="F139" s="170"/>
      <c r="G139" s="213"/>
      <c r="H139" s="170"/>
      <c r="I139" s="190">
        <f>$M$3</f>
        <v>2019</v>
      </c>
      <c r="J139" s="191"/>
      <c r="K139" s="191"/>
      <c r="L139" s="211" t="s">
        <v>1065</v>
      </c>
      <c r="M139" s="186" t="s">
        <v>748</v>
      </c>
      <c r="N139" s="687">
        <f>LOOKUP($C$133, T_Stock_Private!$C$26:$C$36, T_Stock_Private!D$26:D$36)*(1+N$25)</f>
        <v>0</v>
      </c>
      <c r="O139" s="687">
        <f>LOOKUP($C$133, T_Stock_Private!$C$26:$C$36, T_Stock_Private!E$26:E$36)*(1+O$25)</f>
        <v>0</v>
      </c>
      <c r="P139" s="687">
        <f>LOOKUP($C$133, T_Stock_Private!$C$26:$C$36, T_Stock_Private!F$26:F$36)*(1+P$25)</f>
        <v>0</v>
      </c>
      <c r="Q139" s="687">
        <f>LOOKUP($C$133, T_Stock_Private!$C$26:$C$36, T_Stock_Private!G$26:G$36)*(1+Q$25)</f>
        <v>0</v>
      </c>
      <c r="R139" s="687">
        <f>LOOKUP($C$133, T_Stock_Private!$C$26:$C$36, T_Stock_Private!H$26:H$36)*(1+R$25)</f>
        <v>0</v>
      </c>
      <c r="S139" s="687">
        <f>LOOKUP($C$133, T_Stock_Private!$C$26:$C$36, T_Stock_Private!I$26:I$36)*(1+S$25)</f>
        <v>0</v>
      </c>
      <c r="T139" s="687">
        <f>LOOKUP($C$133, T_Stock_Private!$C$26:$C$36, T_Stock_Private!J$26:J$36)*(1+T$25)</f>
        <v>0</v>
      </c>
      <c r="U139" s="687">
        <f>LOOKUP($C$133, T_Stock_Private!$C$26:$C$36, T_Stock_Private!K$26:K$36)*(1+U$25)</f>
        <v>0</v>
      </c>
      <c r="V139" s="687">
        <f>LOOKUP($C$133, T_Stock_Private!$C$26:$C$36, T_Stock_Private!L$26:L$36)*(1+V$25)</f>
        <v>0</v>
      </c>
      <c r="W139" s="687">
        <f>LOOKUP($C$133, T_Stock_Private!$C$26:$C$36, T_Stock_Private!M$26:M$36)*(1+W$25)</f>
        <v>0</v>
      </c>
      <c r="X139" s="687">
        <f>LOOKUP($C$133, T_Stock_Private!$C$26:$C$36, T_Stock_Private!N$26:N$36)*(1+X$25)</f>
        <v>0</v>
      </c>
      <c r="Y139" s="687">
        <f>LOOKUP($C$133, T_Stock_Private!$C$26:$C$36, T_Stock_Private!O$26:O$36)*(1+Y$25)</f>
        <v>0</v>
      </c>
      <c r="Z139" s="687">
        <f>LOOKUP($C$133, T_Stock_Private!$C$26:$C$36, T_Stock_Private!P$26:P$36)*(1+Z$25)</f>
        <v>0</v>
      </c>
      <c r="AA139" s="687">
        <f>LOOKUP($C$133, T_Stock_Private!$C$26:$C$36, T_Stock_Private!Q$26:Q$36)*(1+AA$25)</f>
        <v>0</v>
      </c>
      <c r="AB139" s="687">
        <f>LOOKUP($C$133, T_Stock_Private!$C$26:$C$36, T_Stock_Private!R$26:R$36)*(1+AB$25)</f>
        <v>0</v>
      </c>
    </row>
    <row r="140" spans="1:46" s="35" customFormat="1" x14ac:dyDescent="0.25">
      <c r="A140" s="22"/>
      <c r="B140" s="186" t="str">
        <f t="shared" si="97"/>
        <v>TCARPYD100P</v>
      </c>
      <c r="C140" s="186"/>
      <c r="D140" s="187"/>
      <c r="E140" s="186"/>
      <c r="F140" s="170"/>
      <c r="G140" s="213"/>
      <c r="H140" s="170"/>
      <c r="I140" s="190">
        <f>AF$5</f>
        <v>2016</v>
      </c>
      <c r="J140" s="191"/>
      <c r="K140" s="191"/>
      <c r="L140" s="211" t="s">
        <v>1065</v>
      </c>
      <c r="M140" s="186" t="s">
        <v>748</v>
      </c>
      <c r="N140" s="687">
        <f t="shared" ref="N140:AB140" si="99">N$139*LOOKUP($AD$133,$AG$4:$AP$4,$AG5:$AP5)</f>
        <v>0</v>
      </c>
      <c r="O140" s="687">
        <f t="shared" si="99"/>
        <v>0</v>
      </c>
      <c r="P140" s="687">
        <f t="shared" si="99"/>
        <v>0</v>
      </c>
      <c r="Q140" s="687">
        <f t="shared" si="99"/>
        <v>0</v>
      </c>
      <c r="R140" s="687">
        <f t="shared" si="99"/>
        <v>0</v>
      </c>
      <c r="S140" s="687">
        <f t="shared" si="99"/>
        <v>0</v>
      </c>
      <c r="T140" s="687">
        <f t="shared" si="99"/>
        <v>0</v>
      </c>
      <c r="U140" s="687">
        <f t="shared" si="99"/>
        <v>0</v>
      </c>
      <c r="V140" s="687">
        <f t="shared" si="99"/>
        <v>0</v>
      </c>
      <c r="W140" s="687">
        <f t="shared" si="99"/>
        <v>0</v>
      </c>
      <c r="X140" s="687">
        <f t="shared" si="99"/>
        <v>0</v>
      </c>
      <c r="Y140" s="687">
        <f t="shared" si="99"/>
        <v>0</v>
      </c>
      <c r="Z140" s="687">
        <f t="shared" si="99"/>
        <v>0</v>
      </c>
      <c r="AA140" s="687">
        <f t="shared" si="99"/>
        <v>0</v>
      </c>
      <c r="AB140" s="687">
        <f t="shared" si="99"/>
        <v>0</v>
      </c>
      <c r="AE140" s="569">
        <f>SUM(AF140:AT140)</f>
        <v>0</v>
      </c>
      <c r="AF140" s="568">
        <f>N137*N138*N139/1000</f>
        <v>0</v>
      </c>
      <c r="AG140" s="568">
        <f t="shared" ref="AG140:AT140" si="100">O137*O138*O139</f>
        <v>0</v>
      </c>
      <c r="AH140" s="568">
        <f t="shared" si="100"/>
        <v>0</v>
      </c>
      <c r="AI140" s="568">
        <f t="shared" si="100"/>
        <v>0</v>
      </c>
      <c r="AJ140" s="568">
        <f t="shared" si="100"/>
        <v>0</v>
      </c>
      <c r="AK140" s="568">
        <f t="shared" si="100"/>
        <v>0</v>
      </c>
      <c r="AL140" s="568">
        <f t="shared" si="100"/>
        <v>0</v>
      </c>
      <c r="AM140" s="568">
        <f t="shared" si="100"/>
        <v>0</v>
      </c>
      <c r="AN140" s="568">
        <f t="shared" si="100"/>
        <v>0</v>
      </c>
      <c r="AO140" s="568">
        <f t="shared" si="100"/>
        <v>0</v>
      </c>
      <c r="AP140" s="568">
        <f t="shared" si="100"/>
        <v>0</v>
      </c>
      <c r="AQ140" s="568">
        <f t="shared" si="100"/>
        <v>0</v>
      </c>
      <c r="AR140" s="568">
        <f t="shared" si="100"/>
        <v>0</v>
      </c>
      <c r="AS140" s="568">
        <f t="shared" si="100"/>
        <v>0</v>
      </c>
      <c r="AT140" s="568">
        <f t="shared" si="100"/>
        <v>0</v>
      </c>
    </row>
    <row r="141" spans="1:46" s="35" customFormat="1" x14ac:dyDescent="0.25">
      <c r="A141" s="22"/>
      <c r="B141" s="186" t="str">
        <f t="shared" si="97"/>
        <v>TCARPYD100P</v>
      </c>
      <c r="C141" s="186"/>
      <c r="D141" s="187"/>
      <c r="E141" s="186"/>
      <c r="F141" s="170"/>
      <c r="G141" s="213"/>
      <c r="H141" s="170"/>
      <c r="I141" s="190">
        <f>AF$6</f>
        <v>2020</v>
      </c>
      <c r="J141" s="191"/>
      <c r="K141" s="191"/>
      <c r="L141" s="211" t="s">
        <v>1065</v>
      </c>
      <c r="M141" s="186" t="s">
        <v>748</v>
      </c>
      <c r="N141" s="687">
        <f t="shared" ref="N141:AB141" si="101">N$139*LOOKUP($AD$133,$AG$4:$AP$4,$AG6:$AP6)</f>
        <v>0</v>
      </c>
      <c r="O141" s="687">
        <f t="shared" si="101"/>
        <v>0</v>
      </c>
      <c r="P141" s="687">
        <f t="shared" si="101"/>
        <v>0</v>
      </c>
      <c r="Q141" s="687">
        <f t="shared" si="101"/>
        <v>0</v>
      </c>
      <c r="R141" s="687">
        <f t="shared" si="101"/>
        <v>0</v>
      </c>
      <c r="S141" s="687">
        <f t="shared" si="101"/>
        <v>0</v>
      </c>
      <c r="T141" s="687">
        <f t="shared" si="101"/>
        <v>0</v>
      </c>
      <c r="U141" s="687">
        <f t="shared" si="101"/>
        <v>0</v>
      </c>
      <c r="V141" s="687">
        <f t="shared" si="101"/>
        <v>0</v>
      </c>
      <c r="W141" s="687">
        <f t="shared" si="101"/>
        <v>0</v>
      </c>
      <c r="X141" s="687">
        <f t="shared" si="101"/>
        <v>0</v>
      </c>
      <c r="Y141" s="687">
        <f t="shared" si="101"/>
        <v>0</v>
      </c>
      <c r="Z141" s="687">
        <f t="shared" si="101"/>
        <v>0</v>
      </c>
      <c r="AA141" s="687">
        <f t="shared" si="101"/>
        <v>0</v>
      </c>
      <c r="AB141" s="687">
        <f t="shared" si="101"/>
        <v>0</v>
      </c>
    </row>
    <row r="142" spans="1:46" s="35" customFormat="1" x14ac:dyDescent="0.25">
      <c r="A142" s="22"/>
      <c r="B142" s="186" t="str">
        <f t="shared" si="97"/>
        <v>TCARPYD100P</v>
      </c>
      <c r="C142" s="186"/>
      <c r="D142" s="187"/>
      <c r="E142" s="186"/>
      <c r="F142" s="170"/>
      <c r="G142" s="213"/>
      <c r="H142" s="170"/>
      <c r="I142" s="190">
        <f>AF$7</f>
        <v>2025</v>
      </c>
      <c r="J142" s="191"/>
      <c r="K142" s="191"/>
      <c r="L142" s="211" t="s">
        <v>1065</v>
      </c>
      <c r="M142" s="186" t="s">
        <v>748</v>
      </c>
      <c r="N142" s="687">
        <f t="shared" ref="N142:AB142" si="102">N$139*LOOKUP($AD$133,$AG$4:$AP$4,$AG7:$AP7)</f>
        <v>0</v>
      </c>
      <c r="O142" s="687">
        <f t="shared" si="102"/>
        <v>0</v>
      </c>
      <c r="P142" s="687">
        <f t="shared" si="102"/>
        <v>0</v>
      </c>
      <c r="Q142" s="687">
        <f t="shared" si="102"/>
        <v>0</v>
      </c>
      <c r="R142" s="687">
        <f t="shared" si="102"/>
        <v>0</v>
      </c>
      <c r="S142" s="687">
        <f t="shared" si="102"/>
        <v>0</v>
      </c>
      <c r="T142" s="687">
        <f t="shared" si="102"/>
        <v>0</v>
      </c>
      <c r="U142" s="687">
        <f t="shared" si="102"/>
        <v>0</v>
      </c>
      <c r="V142" s="687">
        <f t="shared" si="102"/>
        <v>0</v>
      </c>
      <c r="W142" s="687">
        <f t="shared" si="102"/>
        <v>0</v>
      </c>
      <c r="X142" s="687">
        <f t="shared" si="102"/>
        <v>0</v>
      </c>
      <c r="Y142" s="687">
        <f t="shared" si="102"/>
        <v>0</v>
      </c>
      <c r="Z142" s="687">
        <f t="shared" si="102"/>
        <v>0</v>
      </c>
      <c r="AA142" s="687">
        <f t="shared" si="102"/>
        <v>0</v>
      </c>
      <c r="AB142" s="687">
        <f t="shared" si="102"/>
        <v>0</v>
      </c>
    </row>
    <row r="143" spans="1:46" s="35" customFormat="1" x14ac:dyDescent="0.25">
      <c r="A143" s="22"/>
      <c r="B143" s="186" t="str">
        <f t="shared" si="97"/>
        <v>TCARPYD100P</v>
      </c>
      <c r="C143" s="186"/>
      <c r="D143" s="187"/>
      <c r="E143" s="186"/>
      <c r="F143" s="170"/>
      <c r="G143" s="213"/>
      <c r="H143" s="170"/>
      <c r="I143" s="190">
        <f>AF$8</f>
        <v>2030</v>
      </c>
      <c r="J143" s="191"/>
      <c r="K143" s="191"/>
      <c r="L143" s="211" t="s">
        <v>1065</v>
      </c>
      <c r="M143" s="186" t="s">
        <v>748</v>
      </c>
      <c r="N143" s="687">
        <f t="shared" ref="N143:AB143" si="103">N$139*LOOKUP($AD$133,$AG$4:$AP$4,$AG8:$AP8)</f>
        <v>0</v>
      </c>
      <c r="O143" s="687">
        <f t="shared" si="103"/>
        <v>0</v>
      </c>
      <c r="P143" s="687">
        <f t="shared" si="103"/>
        <v>0</v>
      </c>
      <c r="Q143" s="687">
        <f t="shared" si="103"/>
        <v>0</v>
      </c>
      <c r="R143" s="687">
        <f t="shared" si="103"/>
        <v>0</v>
      </c>
      <c r="S143" s="687">
        <f t="shared" si="103"/>
        <v>0</v>
      </c>
      <c r="T143" s="687">
        <f t="shared" si="103"/>
        <v>0</v>
      </c>
      <c r="U143" s="687">
        <f t="shared" si="103"/>
        <v>0</v>
      </c>
      <c r="V143" s="687">
        <f t="shared" si="103"/>
        <v>0</v>
      </c>
      <c r="W143" s="687">
        <f t="shared" si="103"/>
        <v>0</v>
      </c>
      <c r="X143" s="687">
        <f t="shared" si="103"/>
        <v>0</v>
      </c>
      <c r="Y143" s="687">
        <f t="shared" si="103"/>
        <v>0</v>
      </c>
      <c r="Z143" s="687">
        <f t="shared" si="103"/>
        <v>0</v>
      </c>
      <c r="AA143" s="687">
        <f t="shared" si="103"/>
        <v>0</v>
      </c>
      <c r="AB143" s="687">
        <f t="shared" si="103"/>
        <v>0</v>
      </c>
    </row>
    <row r="144" spans="1:46" s="35" customFormat="1" x14ac:dyDescent="0.25">
      <c r="A144" s="22"/>
      <c r="B144" s="186" t="str">
        <f t="shared" si="97"/>
        <v>TCARPYD100P</v>
      </c>
      <c r="C144" s="186"/>
      <c r="D144" s="187"/>
      <c r="E144" s="186"/>
      <c r="F144" s="170"/>
      <c r="G144" s="213"/>
      <c r="H144" s="170"/>
      <c r="I144" s="190">
        <f>AF$9</f>
        <v>2040</v>
      </c>
      <c r="J144" s="191"/>
      <c r="K144" s="191"/>
      <c r="L144" s="211" t="s">
        <v>1065</v>
      </c>
      <c r="M144" s="186" t="s">
        <v>748</v>
      </c>
      <c r="N144" s="687">
        <f t="shared" ref="N144:AB144" si="104">N$139*LOOKUP($AD$133,$AG$4:$AP$4,$AG9:$AP9)</f>
        <v>0</v>
      </c>
      <c r="O144" s="687">
        <f t="shared" si="104"/>
        <v>0</v>
      </c>
      <c r="P144" s="687">
        <f t="shared" si="104"/>
        <v>0</v>
      </c>
      <c r="Q144" s="687">
        <f t="shared" si="104"/>
        <v>0</v>
      </c>
      <c r="R144" s="687">
        <f t="shared" si="104"/>
        <v>0</v>
      </c>
      <c r="S144" s="687">
        <f t="shared" si="104"/>
        <v>0</v>
      </c>
      <c r="T144" s="687">
        <f t="shared" si="104"/>
        <v>0</v>
      </c>
      <c r="U144" s="687">
        <f t="shared" si="104"/>
        <v>0</v>
      </c>
      <c r="V144" s="687">
        <f t="shared" si="104"/>
        <v>0</v>
      </c>
      <c r="W144" s="687">
        <f t="shared" si="104"/>
        <v>0</v>
      </c>
      <c r="X144" s="687">
        <f t="shared" si="104"/>
        <v>0</v>
      </c>
      <c r="Y144" s="687">
        <f t="shared" si="104"/>
        <v>0</v>
      </c>
      <c r="Z144" s="687">
        <f t="shared" si="104"/>
        <v>0</v>
      </c>
      <c r="AA144" s="687">
        <f t="shared" si="104"/>
        <v>0</v>
      </c>
      <c r="AB144" s="687">
        <f t="shared" si="104"/>
        <v>0</v>
      </c>
    </row>
    <row r="145" spans="1:46" s="35" customFormat="1" x14ac:dyDescent="0.25">
      <c r="A145" s="22"/>
      <c r="B145" s="193" t="str">
        <f t="shared" si="97"/>
        <v>TCARPYD100P</v>
      </c>
      <c r="C145" s="193"/>
      <c r="D145" s="194"/>
      <c r="E145" s="193"/>
      <c r="F145" s="196"/>
      <c r="G145" s="215"/>
      <c r="H145" s="196"/>
      <c r="I145" s="197">
        <f>AF$10</f>
        <v>2050</v>
      </c>
      <c r="J145" s="198"/>
      <c r="K145" s="198"/>
      <c r="L145" s="212" t="s">
        <v>1065</v>
      </c>
      <c r="M145" s="193" t="s">
        <v>748</v>
      </c>
      <c r="N145" s="688">
        <f t="shared" ref="N145:AB145" si="105">N$139*LOOKUP($AD$133,$AG$4:$AP$4,$AG10:$AP10)</f>
        <v>0</v>
      </c>
      <c r="O145" s="688">
        <f t="shared" si="105"/>
        <v>0</v>
      </c>
      <c r="P145" s="688">
        <f t="shared" si="105"/>
        <v>0</v>
      </c>
      <c r="Q145" s="688">
        <f t="shared" si="105"/>
        <v>0</v>
      </c>
      <c r="R145" s="688">
        <f t="shared" si="105"/>
        <v>0</v>
      </c>
      <c r="S145" s="688">
        <f t="shared" si="105"/>
        <v>0</v>
      </c>
      <c r="T145" s="688">
        <f t="shared" si="105"/>
        <v>0</v>
      </c>
      <c r="U145" s="688">
        <f t="shared" si="105"/>
        <v>0</v>
      </c>
      <c r="V145" s="688">
        <f t="shared" si="105"/>
        <v>0</v>
      </c>
      <c r="W145" s="688">
        <f t="shared" si="105"/>
        <v>0</v>
      </c>
      <c r="X145" s="688">
        <f t="shared" si="105"/>
        <v>0</v>
      </c>
      <c r="Y145" s="688">
        <f t="shared" si="105"/>
        <v>0</v>
      </c>
      <c r="Z145" s="688">
        <f t="shared" si="105"/>
        <v>0</v>
      </c>
      <c r="AA145" s="688">
        <f t="shared" si="105"/>
        <v>0</v>
      </c>
      <c r="AB145" s="688">
        <f t="shared" si="105"/>
        <v>0</v>
      </c>
    </row>
    <row r="146" spans="1:46" s="83" customFormat="1" x14ac:dyDescent="0.25">
      <c r="A146" s="82"/>
      <c r="B146" s="178" t="str">
        <f>C146</f>
        <v>TCARPYG100P</v>
      </c>
      <c r="C146" s="178" t="s">
        <v>322</v>
      </c>
      <c r="D146" s="179" t="s">
        <v>802</v>
      </c>
      <c r="E146" s="258" t="s">
        <v>1014</v>
      </c>
      <c r="F146" s="182"/>
      <c r="G146" s="326"/>
      <c r="H146" s="182"/>
      <c r="I146" s="183"/>
      <c r="J146" s="184"/>
      <c r="K146" s="184"/>
      <c r="L146" s="203" t="s">
        <v>1107</v>
      </c>
      <c r="M146" s="191" t="s">
        <v>1156</v>
      </c>
      <c r="N146" s="378">
        <f>N$30</f>
        <v>1E-3</v>
      </c>
      <c r="O146" s="378">
        <f t="shared" ref="O146:AB146" si="106">$N146</f>
        <v>1E-3</v>
      </c>
      <c r="P146" s="378">
        <f t="shared" si="106"/>
        <v>1E-3</v>
      </c>
      <c r="Q146" s="378">
        <f t="shared" si="106"/>
        <v>1E-3</v>
      </c>
      <c r="R146" s="378">
        <f t="shared" si="106"/>
        <v>1E-3</v>
      </c>
      <c r="S146" s="378">
        <f t="shared" si="106"/>
        <v>1E-3</v>
      </c>
      <c r="T146" s="378">
        <f t="shared" si="106"/>
        <v>1E-3</v>
      </c>
      <c r="U146" s="378">
        <f t="shared" si="106"/>
        <v>1E-3</v>
      </c>
      <c r="V146" s="378">
        <f t="shared" si="106"/>
        <v>1E-3</v>
      </c>
      <c r="W146" s="378">
        <f t="shared" si="106"/>
        <v>1E-3</v>
      </c>
      <c r="X146" s="378">
        <f t="shared" si="106"/>
        <v>1E-3</v>
      </c>
      <c r="Y146" s="378">
        <f t="shared" si="106"/>
        <v>1E-3</v>
      </c>
      <c r="Z146" s="378">
        <f t="shared" si="106"/>
        <v>1E-3</v>
      </c>
      <c r="AA146" s="378">
        <f t="shared" si="106"/>
        <v>1E-3</v>
      </c>
      <c r="AB146" s="378">
        <f t="shared" si="106"/>
        <v>1E-3</v>
      </c>
      <c r="AD146" s="402" t="str">
        <f>MID(C146,5,3)</f>
        <v>PYG</v>
      </c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</row>
    <row r="147" spans="1:46" s="35" customFormat="1" x14ac:dyDescent="0.25">
      <c r="A147" s="22"/>
      <c r="B147" s="186" t="str">
        <f>B146</f>
        <v>TCARPYG100P</v>
      </c>
      <c r="C147" s="186"/>
      <c r="D147" s="187"/>
      <c r="E147" s="258" t="s">
        <v>1012</v>
      </c>
      <c r="F147" s="170"/>
      <c r="G147" s="213"/>
      <c r="H147" s="170"/>
      <c r="I147" s="190"/>
      <c r="J147" s="191" t="s">
        <v>1157</v>
      </c>
      <c r="K147" s="191"/>
      <c r="L147" s="211" t="s">
        <v>101</v>
      </c>
      <c r="M147" s="186"/>
      <c r="N147" s="377">
        <f>N$18</f>
        <v>0.03</v>
      </c>
      <c r="O147" s="377">
        <f t="shared" ref="O147:AB147" si="107">O$18</f>
        <v>0.03</v>
      </c>
      <c r="P147" s="377">
        <f t="shared" si="107"/>
        <v>0.03</v>
      </c>
      <c r="Q147" s="377">
        <f t="shared" si="107"/>
        <v>0.03</v>
      </c>
      <c r="R147" s="377">
        <f t="shared" si="107"/>
        <v>0.03</v>
      </c>
      <c r="S147" s="377">
        <f t="shared" si="107"/>
        <v>0.03</v>
      </c>
      <c r="T147" s="377">
        <f t="shared" si="107"/>
        <v>0.03</v>
      </c>
      <c r="U147" s="377">
        <f t="shared" si="107"/>
        <v>0.03</v>
      </c>
      <c r="V147" s="377">
        <f t="shared" si="107"/>
        <v>0.03</v>
      </c>
      <c r="W147" s="377">
        <f t="shared" si="107"/>
        <v>0.03</v>
      </c>
      <c r="X147" s="377">
        <f t="shared" si="107"/>
        <v>0.03</v>
      </c>
      <c r="Y147" s="377">
        <f t="shared" si="107"/>
        <v>0.03</v>
      </c>
      <c r="Z147" s="377">
        <f t="shared" si="107"/>
        <v>0.03</v>
      </c>
      <c r="AA147" s="377">
        <f t="shared" si="107"/>
        <v>0.03</v>
      </c>
      <c r="AB147" s="377">
        <f t="shared" si="107"/>
        <v>0.03</v>
      </c>
      <c r="AD147" s="66" t="str">
        <f>IF(COUNTIF($AG$4:$AP$4,AD146)=1,"ok","MISSING")</f>
        <v>ok</v>
      </c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</row>
    <row r="148" spans="1:46" s="35" customFormat="1" x14ac:dyDescent="0.25">
      <c r="A148" s="22"/>
      <c r="B148" s="186" t="str">
        <f>B147</f>
        <v>TCARPYG100P</v>
      </c>
      <c r="C148" s="186"/>
      <c r="D148" s="187"/>
      <c r="E148" s="186"/>
      <c r="F148" s="170"/>
      <c r="G148" s="214" t="s">
        <v>410</v>
      </c>
      <c r="H148" s="170"/>
      <c r="I148" s="190"/>
      <c r="J148" s="191"/>
      <c r="K148" s="191"/>
      <c r="L148" s="191" t="s">
        <v>1126</v>
      </c>
      <c r="M148" s="186" t="s">
        <v>678</v>
      </c>
      <c r="N148" s="377">
        <f>T_CEFF!H92</f>
        <v>0.72726999999999997</v>
      </c>
      <c r="O148" s="377">
        <f>T_CEFF!I92</f>
        <v>0.72726999999999997</v>
      </c>
      <c r="P148" s="377">
        <f>T_CEFF!J92</f>
        <v>0.72726999999999997</v>
      </c>
      <c r="Q148" s="377">
        <f>T_CEFF!K92</f>
        <v>0.72726999999999997</v>
      </c>
      <c r="R148" s="377">
        <f>T_CEFF!L92</f>
        <v>0.72726999999999997</v>
      </c>
      <c r="S148" s="377">
        <f>T_CEFF!M92</f>
        <v>0.72726999999999997</v>
      </c>
      <c r="T148" s="377">
        <f>T_CEFF!N92</f>
        <v>0.72726999999999997</v>
      </c>
      <c r="U148" s="377">
        <f>T_CEFF!O92</f>
        <v>0.72726999999999997</v>
      </c>
      <c r="V148" s="377">
        <f>T_CEFF!P92</f>
        <v>0.72726999999999997</v>
      </c>
      <c r="W148" s="377">
        <f>T_CEFF!Q92</f>
        <v>0.72726999999999997</v>
      </c>
      <c r="X148" s="377">
        <f>T_CEFF!R92</f>
        <v>0.72726999999999997</v>
      </c>
      <c r="Y148" s="377">
        <f>T_CEFF!S92</f>
        <v>0.72726999999999997</v>
      </c>
      <c r="Z148" s="377">
        <f>T_CEFF!T92</f>
        <v>0.72726999999999997</v>
      </c>
      <c r="AA148" s="377">
        <f>T_CEFF!U92</f>
        <v>0.72726999999999997</v>
      </c>
      <c r="AB148" s="377">
        <f>T_CEFF!V92</f>
        <v>0.72726999999999997</v>
      </c>
    </row>
    <row r="149" spans="1:46" s="35" customFormat="1" x14ac:dyDescent="0.25">
      <c r="A149" s="22"/>
      <c r="B149" s="186" t="str">
        <f>B148</f>
        <v>TCARPYG100P</v>
      </c>
      <c r="C149" s="186"/>
      <c r="D149" s="187"/>
      <c r="E149" s="186"/>
      <c r="F149" s="170"/>
      <c r="G149" s="214" t="s">
        <v>412</v>
      </c>
      <c r="H149" s="170"/>
      <c r="I149" s="190"/>
      <c r="J149" s="191"/>
      <c r="K149" s="191"/>
      <c r="L149" s="191" t="s">
        <v>1126</v>
      </c>
      <c r="M149" s="186" t="s">
        <v>678</v>
      </c>
      <c r="N149" s="377">
        <f>T_CEFF!H93</f>
        <v>0.82474000000000003</v>
      </c>
      <c r="O149" s="377">
        <f>T_CEFF!I93</f>
        <v>0.82474000000000003</v>
      </c>
      <c r="P149" s="377">
        <f>T_CEFF!J93</f>
        <v>0.82474000000000003</v>
      </c>
      <c r="Q149" s="377">
        <f>T_CEFF!K93</f>
        <v>0.82474000000000003</v>
      </c>
      <c r="R149" s="377">
        <f>T_CEFF!L93</f>
        <v>0.82474000000000003</v>
      </c>
      <c r="S149" s="377">
        <f>T_CEFF!M93</f>
        <v>0.82474000000000003</v>
      </c>
      <c r="T149" s="377">
        <f>T_CEFF!N93</f>
        <v>0.82474000000000003</v>
      </c>
      <c r="U149" s="377">
        <f>T_CEFF!O93</f>
        <v>0.82474000000000003</v>
      </c>
      <c r="V149" s="377">
        <f>T_CEFF!P93</f>
        <v>0.82474000000000003</v>
      </c>
      <c r="W149" s="377">
        <f>T_CEFF!Q93</f>
        <v>0.82474000000000003</v>
      </c>
      <c r="X149" s="377">
        <f>T_CEFF!R93</f>
        <v>0.82474000000000003</v>
      </c>
      <c r="Y149" s="377">
        <f>T_CEFF!S93</f>
        <v>0.82474000000000003</v>
      </c>
      <c r="Z149" s="377">
        <f>T_CEFF!T93</f>
        <v>0.82474000000000003</v>
      </c>
      <c r="AA149" s="377">
        <f>T_CEFF!U93</f>
        <v>0.82474000000000003</v>
      </c>
      <c r="AB149" s="377">
        <f>T_CEFF!V93</f>
        <v>0.82474000000000003</v>
      </c>
    </row>
    <row r="150" spans="1:46" s="35" customFormat="1" x14ac:dyDescent="0.25">
      <c r="A150" s="22"/>
      <c r="B150" s="186" t="str">
        <f t="shared" ref="B150:B158" si="108">B149</f>
        <v>TCARPYG100P</v>
      </c>
      <c r="C150" s="186"/>
      <c r="D150" s="187"/>
      <c r="E150" s="186"/>
      <c r="F150" s="170"/>
      <c r="G150" s="213"/>
      <c r="H150" s="170"/>
      <c r="I150" s="190"/>
      <c r="J150" s="191"/>
      <c r="K150" s="191" t="s">
        <v>749</v>
      </c>
      <c r="L150" s="191" t="s">
        <v>1128</v>
      </c>
      <c r="M150" s="186" t="s">
        <v>1159</v>
      </c>
      <c r="N150" s="368">
        <f>N$14</f>
        <v>0</v>
      </c>
      <c r="O150" s="368">
        <f t="shared" ref="O150:AB150" si="109">O$14</f>
        <v>0</v>
      </c>
      <c r="P150" s="368">
        <f t="shared" si="109"/>
        <v>0</v>
      </c>
      <c r="Q150" s="368">
        <f t="shared" si="109"/>
        <v>0</v>
      </c>
      <c r="R150" s="368">
        <f t="shared" si="109"/>
        <v>0</v>
      </c>
      <c r="S150" s="368">
        <f t="shared" si="109"/>
        <v>0</v>
      </c>
      <c r="T150" s="368">
        <f t="shared" si="109"/>
        <v>0</v>
      </c>
      <c r="U150" s="368">
        <f t="shared" si="109"/>
        <v>0</v>
      </c>
      <c r="V150" s="368">
        <f t="shared" si="109"/>
        <v>0</v>
      </c>
      <c r="W150" s="368">
        <f t="shared" si="109"/>
        <v>0</v>
      </c>
      <c r="X150" s="368">
        <f t="shared" si="109"/>
        <v>0</v>
      </c>
      <c r="Y150" s="368">
        <f t="shared" si="109"/>
        <v>0</v>
      </c>
      <c r="Z150" s="368">
        <f t="shared" si="109"/>
        <v>0</v>
      </c>
      <c r="AA150" s="368">
        <f t="shared" si="109"/>
        <v>0</v>
      </c>
      <c r="AB150" s="368">
        <f t="shared" si="109"/>
        <v>0</v>
      </c>
    </row>
    <row r="151" spans="1:46" s="35" customFormat="1" x14ac:dyDescent="0.25">
      <c r="A151" s="22"/>
      <c r="B151" s="186" t="str">
        <f t="shared" si="108"/>
        <v>TCARPYG100P</v>
      </c>
      <c r="C151" s="186"/>
      <c r="D151" s="187"/>
      <c r="E151" s="186"/>
      <c r="F151" s="170"/>
      <c r="G151" s="213"/>
      <c r="H151" s="170"/>
      <c r="I151" s="190"/>
      <c r="J151" s="191"/>
      <c r="K151" s="191"/>
      <c r="L151" s="211" t="s">
        <v>1130</v>
      </c>
      <c r="M151" s="186" t="s">
        <v>1131</v>
      </c>
      <c r="N151" s="376">
        <f>LOOKUP($C$146, T_NCAP_AF!$C$35:$C$45, T_NCAP_AF!D$35:D$45)*(1+N$24)</f>
        <v>0</v>
      </c>
      <c r="O151" s="376">
        <f>LOOKUP($C$146, T_NCAP_AF!$C$35:$C$45, T_NCAP_AF!E$35:E$45)*(1+O$24)</f>
        <v>0</v>
      </c>
      <c r="P151" s="376">
        <f>LOOKUP($C$146, T_NCAP_AF!$C$35:$C$45, T_NCAP_AF!F$35:F$45)*(1+P$24)</f>
        <v>0</v>
      </c>
      <c r="Q151" s="376">
        <f>LOOKUP($C$146, T_NCAP_AF!$C$35:$C$45, T_NCAP_AF!G$35:G$45)*(1+Q$24)</f>
        <v>0</v>
      </c>
      <c r="R151" s="376">
        <f>LOOKUP($C$146, T_NCAP_AF!$C$35:$C$45, T_NCAP_AF!H$35:H$45)*(1+R$24)</f>
        <v>0</v>
      </c>
      <c r="S151" s="376">
        <f>LOOKUP($C$146, T_NCAP_AF!$C$35:$C$45, T_NCAP_AF!I$35:I$45)*(1+S$24)</f>
        <v>0</v>
      </c>
      <c r="T151" s="376">
        <f>LOOKUP($C$146, T_NCAP_AF!$C$35:$C$45, T_NCAP_AF!J$35:J$45)*(1+T$24)</f>
        <v>0</v>
      </c>
      <c r="U151" s="376">
        <f>LOOKUP($C$146, T_NCAP_AF!$C$35:$C$45, T_NCAP_AF!K$35:K$45)*(1+U$24)</f>
        <v>0</v>
      </c>
      <c r="V151" s="376">
        <f>LOOKUP($C$146, T_NCAP_AF!$C$35:$C$45, T_NCAP_AF!L$35:L$45)*(1+V$24)</f>
        <v>0</v>
      </c>
      <c r="W151" s="376">
        <f>LOOKUP($C$146, T_NCAP_AF!$C$35:$C$45, T_NCAP_AF!M$35:M$45)*(1+W$24)</f>
        <v>0</v>
      </c>
      <c r="X151" s="376">
        <f>LOOKUP($C$146, T_NCAP_AF!$C$35:$C$45, T_NCAP_AF!N$35:N$45)*(1+X$24)</f>
        <v>0</v>
      </c>
      <c r="Y151" s="376">
        <f>LOOKUP($C$146, T_NCAP_AF!$C$35:$C$45, T_NCAP_AF!O$35:O$45)*(1+Y$24)</f>
        <v>0</v>
      </c>
      <c r="Z151" s="376">
        <f>LOOKUP($C$146, T_NCAP_AF!$C$35:$C$45, T_NCAP_AF!P$35:P$45)*(1+Z$24)</f>
        <v>0</v>
      </c>
      <c r="AA151" s="376">
        <f>LOOKUP($C$146, T_NCAP_AF!$C$35:$C$45, T_NCAP_AF!Q$35:Q$45)*(1+AA$24)</f>
        <v>0</v>
      </c>
      <c r="AB151" s="376">
        <f>LOOKUP($C$146, T_NCAP_AF!$C$35:$C$45, T_NCAP_AF!R$35:R$45)*(1+AB$24)</f>
        <v>0</v>
      </c>
    </row>
    <row r="152" spans="1:46" s="35" customFormat="1" x14ac:dyDescent="0.25">
      <c r="A152" s="22"/>
      <c r="B152" s="186" t="str">
        <f t="shared" si="108"/>
        <v>TCARPYG100P</v>
      </c>
      <c r="C152" s="186"/>
      <c r="D152" s="187"/>
      <c r="E152" s="186"/>
      <c r="F152" s="170"/>
      <c r="G152" s="213"/>
      <c r="H152" s="170"/>
      <c r="I152" s="190">
        <f>$M$3</f>
        <v>2019</v>
      </c>
      <c r="J152" s="191"/>
      <c r="K152" s="191"/>
      <c r="L152" s="211" t="s">
        <v>1065</v>
      </c>
      <c r="M152" s="186" t="s">
        <v>748</v>
      </c>
      <c r="N152" s="687">
        <f>LOOKUP($C$146, T_Stock_Private!$C$26:$C$36, T_Stock_Private!D$26:D$36)*(1+N$25)</f>
        <v>0</v>
      </c>
      <c r="O152" s="687">
        <f>LOOKUP($C$146, T_Stock_Private!$C$26:$C$36, T_Stock_Private!E$26:E$36)*(1+O$25)</f>
        <v>0</v>
      </c>
      <c r="P152" s="687">
        <f>LOOKUP($C$146, T_Stock_Private!$C$26:$C$36, T_Stock_Private!F$26:F$36)*(1+P$25)</f>
        <v>0</v>
      </c>
      <c r="Q152" s="687">
        <f>LOOKUP($C$146, T_Stock_Private!$C$26:$C$36, T_Stock_Private!G$26:G$36)*(1+Q$25)</f>
        <v>0</v>
      </c>
      <c r="R152" s="687">
        <f>LOOKUP($C$146, T_Stock_Private!$C$26:$C$36, T_Stock_Private!H$26:H$36)*(1+R$25)</f>
        <v>0</v>
      </c>
      <c r="S152" s="687">
        <f>LOOKUP($C$146, T_Stock_Private!$C$26:$C$36, T_Stock_Private!I$26:I$36)*(1+S$25)</f>
        <v>0</v>
      </c>
      <c r="T152" s="687">
        <f>LOOKUP($C$146, T_Stock_Private!$C$26:$C$36, T_Stock_Private!J$26:J$36)*(1+T$25)</f>
        <v>0</v>
      </c>
      <c r="U152" s="687">
        <f>LOOKUP($C$146, T_Stock_Private!$C$26:$C$36, T_Stock_Private!K$26:K$36)*(1+U$25)</f>
        <v>0</v>
      </c>
      <c r="V152" s="687">
        <f>LOOKUP($C$146, T_Stock_Private!$C$26:$C$36, T_Stock_Private!L$26:L$36)*(1+V$25)</f>
        <v>0</v>
      </c>
      <c r="W152" s="687">
        <f>LOOKUP($C$146, T_Stock_Private!$C$26:$C$36, T_Stock_Private!M$26:M$36)*(1+W$25)</f>
        <v>0</v>
      </c>
      <c r="X152" s="687">
        <f>LOOKUP($C$146, T_Stock_Private!$C$26:$C$36, T_Stock_Private!N$26:N$36)*(1+X$25)</f>
        <v>0</v>
      </c>
      <c r="Y152" s="687">
        <f>LOOKUP($C$146, T_Stock_Private!$C$26:$C$36, T_Stock_Private!O$26:O$36)*(1+Y$25)</f>
        <v>0</v>
      </c>
      <c r="Z152" s="687">
        <f>LOOKUP($C$146, T_Stock_Private!$C$26:$C$36, T_Stock_Private!P$26:P$36)*(1+Z$25)</f>
        <v>0</v>
      </c>
      <c r="AA152" s="687">
        <f>LOOKUP($C$146, T_Stock_Private!$C$26:$C$36, T_Stock_Private!Q$26:Q$36)*(1+AA$25)</f>
        <v>0</v>
      </c>
      <c r="AB152" s="687">
        <f>LOOKUP($C$146, T_Stock_Private!$C$26:$C$36, T_Stock_Private!R$26:R$36)*(1+AB$25)</f>
        <v>0</v>
      </c>
    </row>
    <row r="153" spans="1:46" s="35" customFormat="1" x14ac:dyDescent="0.25">
      <c r="A153" s="22"/>
      <c r="B153" s="186" t="str">
        <f t="shared" si="108"/>
        <v>TCARPYG100P</v>
      </c>
      <c r="C153" s="186"/>
      <c r="D153" s="187"/>
      <c r="E153" s="186"/>
      <c r="F153" s="170"/>
      <c r="G153" s="213"/>
      <c r="H153" s="170"/>
      <c r="I153" s="190">
        <f>AF$5</f>
        <v>2016</v>
      </c>
      <c r="J153" s="191"/>
      <c r="K153" s="191"/>
      <c r="L153" s="211" t="s">
        <v>1065</v>
      </c>
      <c r="M153" s="186" t="s">
        <v>748</v>
      </c>
      <c r="N153" s="687">
        <f t="shared" ref="N153:AB153" si="110">N$152*LOOKUP($AD$146,$AG$4:$AP$4,$AG5:$AP5)</f>
        <v>0</v>
      </c>
      <c r="O153" s="687">
        <f t="shared" si="110"/>
        <v>0</v>
      </c>
      <c r="P153" s="687">
        <f t="shared" si="110"/>
        <v>0</v>
      </c>
      <c r="Q153" s="687">
        <f t="shared" si="110"/>
        <v>0</v>
      </c>
      <c r="R153" s="687">
        <f t="shared" si="110"/>
        <v>0</v>
      </c>
      <c r="S153" s="687">
        <f t="shared" si="110"/>
        <v>0</v>
      </c>
      <c r="T153" s="687">
        <f t="shared" si="110"/>
        <v>0</v>
      </c>
      <c r="U153" s="687">
        <f t="shared" si="110"/>
        <v>0</v>
      </c>
      <c r="V153" s="687">
        <f t="shared" si="110"/>
        <v>0</v>
      </c>
      <c r="W153" s="687">
        <f t="shared" si="110"/>
        <v>0</v>
      </c>
      <c r="X153" s="687">
        <f t="shared" si="110"/>
        <v>0</v>
      </c>
      <c r="Y153" s="687">
        <f t="shared" si="110"/>
        <v>0</v>
      </c>
      <c r="Z153" s="687">
        <f t="shared" si="110"/>
        <v>0</v>
      </c>
      <c r="AA153" s="687">
        <f t="shared" si="110"/>
        <v>0</v>
      </c>
      <c r="AB153" s="687">
        <f t="shared" si="110"/>
        <v>0</v>
      </c>
      <c r="AE153" s="569">
        <f>SUM(AF153:AT153)</f>
        <v>0</v>
      </c>
      <c r="AF153" s="568">
        <f>N150*N151*N152/1000</f>
        <v>0</v>
      </c>
      <c r="AG153" s="568">
        <f t="shared" ref="AG153:AT153" si="111">O150*O151*O152</f>
        <v>0</v>
      </c>
      <c r="AH153" s="568">
        <f t="shared" si="111"/>
        <v>0</v>
      </c>
      <c r="AI153" s="568">
        <f t="shared" si="111"/>
        <v>0</v>
      </c>
      <c r="AJ153" s="568">
        <f t="shared" si="111"/>
        <v>0</v>
      </c>
      <c r="AK153" s="568">
        <f t="shared" si="111"/>
        <v>0</v>
      </c>
      <c r="AL153" s="568">
        <f t="shared" si="111"/>
        <v>0</v>
      </c>
      <c r="AM153" s="568">
        <f t="shared" si="111"/>
        <v>0</v>
      </c>
      <c r="AN153" s="568">
        <f t="shared" si="111"/>
        <v>0</v>
      </c>
      <c r="AO153" s="568">
        <f t="shared" si="111"/>
        <v>0</v>
      </c>
      <c r="AP153" s="568">
        <f t="shared" si="111"/>
        <v>0</v>
      </c>
      <c r="AQ153" s="568">
        <f t="shared" si="111"/>
        <v>0</v>
      </c>
      <c r="AR153" s="568">
        <f t="shared" si="111"/>
        <v>0</v>
      </c>
      <c r="AS153" s="568">
        <f t="shared" si="111"/>
        <v>0</v>
      </c>
      <c r="AT153" s="568">
        <f t="shared" si="111"/>
        <v>0</v>
      </c>
    </row>
    <row r="154" spans="1:46" s="35" customFormat="1" x14ac:dyDescent="0.25">
      <c r="A154" s="22"/>
      <c r="B154" s="186" t="str">
        <f t="shared" si="108"/>
        <v>TCARPYG100P</v>
      </c>
      <c r="C154" s="186"/>
      <c r="D154" s="187"/>
      <c r="E154" s="186"/>
      <c r="F154" s="170"/>
      <c r="G154" s="213"/>
      <c r="H154" s="170"/>
      <c r="I154" s="190">
        <f>AF$6</f>
        <v>2020</v>
      </c>
      <c r="J154" s="191"/>
      <c r="K154" s="191"/>
      <c r="L154" s="211" t="s">
        <v>1065</v>
      </c>
      <c r="M154" s="186" t="s">
        <v>748</v>
      </c>
      <c r="N154" s="687">
        <f t="shared" ref="N154:AB154" si="112">N$152*LOOKUP($AD$146,$AG$4:$AP$4,$AG6:$AP6)</f>
        <v>0</v>
      </c>
      <c r="O154" s="687">
        <f t="shared" si="112"/>
        <v>0</v>
      </c>
      <c r="P154" s="687">
        <f t="shared" si="112"/>
        <v>0</v>
      </c>
      <c r="Q154" s="687">
        <f t="shared" si="112"/>
        <v>0</v>
      </c>
      <c r="R154" s="687">
        <f t="shared" si="112"/>
        <v>0</v>
      </c>
      <c r="S154" s="687">
        <f t="shared" si="112"/>
        <v>0</v>
      </c>
      <c r="T154" s="687">
        <f t="shared" si="112"/>
        <v>0</v>
      </c>
      <c r="U154" s="687">
        <f t="shared" si="112"/>
        <v>0</v>
      </c>
      <c r="V154" s="687">
        <f t="shared" si="112"/>
        <v>0</v>
      </c>
      <c r="W154" s="687">
        <f t="shared" si="112"/>
        <v>0</v>
      </c>
      <c r="X154" s="687">
        <f t="shared" si="112"/>
        <v>0</v>
      </c>
      <c r="Y154" s="687">
        <f t="shared" si="112"/>
        <v>0</v>
      </c>
      <c r="Z154" s="687">
        <f t="shared" si="112"/>
        <v>0</v>
      </c>
      <c r="AA154" s="687">
        <f t="shared" si="112"/>
        <v>0</v>
      </c>
      <c r="AB154" s="687">
        <f t="shared" si="112"/>
        <v>0</v>
      </c>
    </row>
    <row r="155" spans="1:46" s="35" customFormat="1" x14ac:dyDescent="0.25">
      <c r="A155" s="22"/>
      <c r="B155" s="186" t="str">
        <f t="shared" si="108"/>
        <v>TCARPYG100P</v>
      </c>
      <c r="C155" s="186"/>
      <c r="D155" s="187"/>
      <c r="E155" s="186"/>
      <c r="F155" s="170"/>
      <c r="G155" s="213"/>
      <c r="H155" s="170"/>
      <c r="I155" s="190">
        <f>AF$7</f>
        <v>2025</v>
      </c>
      <c r="J155" s="191"/>
      <c r="K155" s="191"/>
      <c r="L155" s="211" t="s">
        <v>1065</v>
      </c>
      <c r="M155" s="186" t="s">
        <v>748</v>
      </c>
      <c r="N155" s="687">
        <f t="shared" ref="N155:AB155" si="113">N$152*LOOKUP($AD$146,$AG$4:$AP$4,$AG7:$AP7)</f>
        <v>0</v>
      </c>
      <c r="O155" s="687">
        <f t="shared" si="113"/>
        <v>0</v>
      </c>
      <c r="P155" s="687">
        <f t="shared" si="113"/>
        <v>0</v>
      </c>
      <c r="Q155" s="687">
        <f t="shared" si="113"/>
        <v>0</v>
      </c>
      <c r="R155" s="687">
        <f t="shared" si="113"/>
        <v>0</v>
      </c>
      <c r="S155" s="687">
        <f t="shared" si="113"/>
        <v>0</v>
      </c>
      <c r="T155" s="687">
        <f t="shared" si="113"/>
        <v>0</v>
      </c>
      <c r="U155" s="687">
        <f t="shared" si="113"/>
        <v>0</v>
      </c>
      <c r="V155" s="687">
        <f t="shared" si="113"/>
        <v>0</v>
      </c>
      <c r="W155" s="687">
        <f t="shared" si="113"/>
        <v>0</v>
      </c>
      <c r="X155" s="687">
        <f t="shared" si="113"/>
        <v>0</v>
      </c>
      <c r="Y155" s="687">
        <f t="shared" si="113"/>
        <v>0</v>
      </c>
      <c r="Z155" s="687">
        <f t="shared" si="113"/>
        <v>0</v>
      </c>
      <c r="AA155" s="687">
        <f t="shared" si="113"/>
        <v>0</v>
      </c>
      <c r="AB155" s="687">
        <f t="shared" si="113"/>
        <v>0</v>
      </c>
    </row>
    <row r="156" spans="1:46" s="35" customFormat="1" x14ac:dyDescent="0.25">
      <c r="A156" s="22"/>
      <c r="B156" s="186" t="str">
        <f t="shared" si="108"/>
        <v>TCARPYG100P</v>
      </c>
      <c r="C156" s="186"/>
      <c r="D156" s="187"/>
      <c r="E156" s="186"/>
      <c r="F156" s="170"/>
      <c r="G156" s="213"/>
      <c r="H156" s="170"/>
      <c r="I156" s="190">
        <f>AF$8</f>
        <v>2030</v>
      </c>
      <c r="J156" s="191"/>
      <c r="K156" s="191"/>
      <c r="L156" s="211" t="s">
        <v>1065</v>
      </c>
      <c r="M156" s="186" t="s">
        <v>748</v>
      </c>
      <c r="N156" s="687">
        <f t="shared" ref="N156:AB156" si="114">N$152*LOOKUP($AD$146,$AG$4:$AP$4,$AG8:$AP8)</f>
        <v>0</v>
      </c>
      <c r="O156" s="687">
        <f t="shared" si="114"/>
        <v>0</v>
      </c>
      <c r="P156" s="687">
        <f t="shared" si="114"/>
        <v>0</v>
      </c>
      <c r="Q156" s="687">
        <f t="shared" si="114"/>
        <v>0</v>
      </c>
      <c r="R156" s="687">
        <f t="shared" si="114"/>
        <v>0</v>
      </c>
      <c r="S156" s="687">
        <f t="shared" si="114"/>
        <v>0</v>
      </c>
      <c r="T156" s="687">
        <f t="shared" si="114"/>
        <v>0</v>
      </c>
      <c r="U156" s="687">
        <f t="shared" si="114"/>
        <v>0</v>
      </c>
      <c r="V156" s="687">
        <f t="shared" si="114"/>
        <v>0</v>
      </c>
      <c r="W156" s="687">
        <f t="shared" si="114"/>
        <v>0</v>
      </c>
      <c r="X156" s="687">
        <f t="shared" si="114"/>
        <v>0</v>
      </c>
      <c r="Y156" s="687">
        <f t="shared" si="114"/>
        <v>0</v>
      </c>
      <c r="Z156" s="687">
        <f t="shared" si="114"/>
        <v>0</v>
      </c>
      <c r="AA156" s="687">
        <f t="shared" si="114"/>
        <v>0</v>
      </c>
      <c r="AB156" s="687">
        <f t="shared" si="114"/>
        <v>0</v>
      </c>
    </row>
    <row r="157" spans="1:46" s="35" customFormat="1" x14ac:dyDescent="0.25">
      <c r="A157" s="22"/>
      <c r="B157" s="186" t="str">
        <f t="shared" si="108"/>
        <v>TCARPYG100P</v>
      </c>
      <c r="C157" s="186"/>
      <c r="D157" s="187"/>
      <c r="E157" s="186"/>
      <c r="F157" s="170"/>
      <c r="G157" s="213"/>
      <c r="H157" s="170"/>
      <c r="I157" s="190">
        <f>AF$9</f>
        <v>2040</v>
      </c>
      <c r="J157" s="191"/>
      <c r="K157" s="191"/>
      <c r="L157" s="211" t="s">
        <v>1065</v>
      </c>
      <c r="M157" s="186" t="s">
        <v>748</v>
      </c>
      <c r="N157" s="687">
        <f t="shared" ref="N157:AB157" si="115">N$152*LOOKUP($AD$146,$AG$4:$AP$4,$AG9:$AP9)</f>
        <v>0</v>
      </c>
      <c r="O157" s="687">
        <f t="shared" si="115"/>
        <v>0</v>
      </c>
      <c r="P157" s="687">
        <f t="shared" si="115"/>
        <v>0</v>
      </c>
      <c r="Q157" s="687">
        <f t="shared" si="115"/>
        <v>0</v>
      </c>
      <c r="R157" s="687">
        <f t="shared" si="115"/>
        <v>0</v>
      </c>
      <c r="S157" s="687">
        <f t="shared" si="115"/>
        <v>0</v>
      </c>
      <c r="T157" s="687">
        <f t="shared" si="115"/>
        <v>0</v>
      </c>
      <c r="U157" s="687">
        <f t="shared" si="115"/>
        <v>0</v>
      </c>
      <c r="V157" s="687">
        <f t="shared" si="115"/>
        <v>0</v>
      </c>
      <c r="W157" s="687">
        <f t="shared" si="115"/>
        <v>0</v>
      </c>
      <c r="X157" s="687">
        <f t="shared" si="115"/>
        <v>0</v>
      </c>
      <c r="Y157" s="687">
        <f t="shared" si="115"/>
        <v>0</v>
      </c>
      <c r="Z157" s="687">
        <f t="shared" si="115"/>
        <v>0</v>
      </c>
      <c r="AA157" s="687">
        <f t="shared" si="115"/>
        <v>0</v>
      </c>
      <c r="AB157" s="687">
        <f t="shared" si="115"/>
        <v>0</v>
      </c>
    </row>
    <row r="158" spans="1:46" s="35" customFormat="1" x14ac:dyDescent="0.25">
      <c r="A158" s="22"/>
      <c r="B158" s="193" t="str">
        <f t="shared" si="108"/>
        <v>TCARPYG100P</v>
      </c>
      <c r="C158" s="193"/>
      <c r="D158" s="194"/>
      <c r="E158" s="193"/>
      <c r="F158" s="196"/>
      <c r="G158" s="215"/>
      <c r="H158" s="196"/>
      <c r="I158" s="197">
        <f>AF$10</f>
        <v>2050</v>
      </c>
      <c r="J158" s="198"/>
      <c r="K158" s="198"/>
      <c r="L158" s="212" t="s">
        <v>1065</v>
      </c>
      <c r="M158" s="193" t="s">
        <v>748</v>
      </c>
      <c r="N158" s="688">
        <f t="shared" ref="N158:AB158" si="116">N$152*LOOKUP($AD$146,$AG$4:$AP$4,$AG10:$AP10)</f>
        <v>0</v>
      </c>
      <c r="O158" s="688">
        <f t="shared" si="116"/>
        <v>0</v>
      </c>
      <c r="P158" s="688">
        <f t="shared" si="116"/>
        <v>0</v>
      </c>
      <c r="Q158" s="688">
        <f t="shared" si="116"/>
        <v>0</v>
      </c>
      <c r="R158" s="688">
        <f t="shared" si="116"/>
        <v>0</v>
      </c>
      <c r="S158" s="688">
        <f t="shared" si="116"/>
        <v>0</v>
      </c>
      <c r="T158" s="688">
        <f t="shared" si="116"/>
        <v>0</v>
      </c>
      <c r="U158" s="688">
        <f t="shared" si="116"/>
        <v>0</v>
      </c>
      <c r="V158" s="688">
        <f t="shared" si="116"/>
        <v>0</v>
      </c>
      <c r="W158" s="688">
        <f t="shared" si="116"/>
        <v>0</v>
      </c>
      <c r="X158" s="688">
        <f t="shared" si="116"/>
        <v>0</v>
      </c>
      <c r="Y158" s="688">
        <f t="shared" si="116"/>
        <v>0</v>
      </c>
      <c r="Z158" s="688">
        <f t="shared" si="116"/>
        <v>0</v>
      </c>
      <c r="AA158" s="688">
        <f t="shared" si="116"/>
        <v>0</v>
      </c>
      <c r="AB158" s="688">
        <f t="shared" si="116"/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9">
    <tabColor theme="5" tint="0.59999389629810485"/>
  </sheetPr>
  <dimension ref="A1:AT84"/>
  <sheetViews>
    <sheetView zoomScale="75" zoomScaleNormal="75" workbookViewId="0">
      <selection activeCell="N26" sqref="N26"/>
    </sheetView>
  </sheetViews>
  <sheetFormatPr defaultColWidth="9.28515625" defaultRowHeight="15" x14ac:dyDescent="0.25"/>
  <cols>
    <col min="1" max="1" width="2.7109375" style="33" customWidth="1"/>
    <col min="2" max="2" width="25.28515625" style="33" customWidth="1"/>
    <col min="3" max="3" width="14.42578125" style="33" bestFit="1" customWidth="1"/>
    <col min="4" max="4" width="26.7109375" style="33" customWidth="1"/>
    <col min="5" max="5" width="13.28515625" style="33" bestFit="1" customWidth="1"/>
    <col min="6" max="7" width="12.42578125" style="33" customWidth="1"/>
    <col min="8" max="8" width="15.7109375" style="33" bestFit="1" customWidth="1"/>
    <col min="9" max="9" width="11.7109375" style="33" bestFit="1" customWidth="1"/>
    <col min="10" max="11" width="17.28515625" style="33" bestFit="1" customWidth="1"/>
    <col min="12" max="12" width="17.5703125" style="33" customWidth="1"/>
    <col min="13" max="13" width="27.42578125" style="33" customWidth="1"/>
    <col min="14" max="28" width="8.5703125" style="33" customWidth="1"/>
    <col min="29" max="29" width="12.5703125" style="33" bestFit="1" customWidth="1"/>
    <col min="30" max="30" width="15.28515625" style="33" customWidth="1"/>
    <col min="31" max="31" width="9.28515625" style="33"/>
    <col min="32" max="32" width="12" style="33" bestFit="1" customWidth="1"/>
    <col min="33" max="47" width="11.5703125" style="33" bestFit="1" customWidth="1"/>
    <col min="48" max="16384" width="9.28515625" style="33"/>
  </cols>
  <sheetData>
    <row r="1" spans="1:46" x14ac:dyDescent="0.25">
      <c r="M1" s="120" t="s">
        <v>1111</v>
      </c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 spans="1:46" s="35" customFormat="1" ht="19.5" customHeight="1" x14ac:dyDescent="0.25">
      <c r="A2" s="22"/>
      <c r="B2" s="148" t="s">
        <v>1187</v>
      </c>
      <c r="C2" s="22"/>
      <c r="D2" s="22"/>
      <c r="I2" s="36"/>
      <c r="M2" s="259" t="str">
        <f>INFO!B10</f>
        <v>Zones</v>
      </c>
      <c r="N2" s="259" t="str">
        <f>INFO!C10</f>
        <v>Z01</v>
      </c>
      <c r="O2" s="259" t="str">
        <f>INFO!D10</f>
        <v>Z02</v>
      </c>
      <c r="P2" s="259" t="str">
        <f>INFO!E10</f>
        <v>Z03</v>
      </c>
      <c r="Q2" s="259" t="str">
        <f>INFO!F10</f>
        <v>Z04</v>
      </c>
      <c r="R2" s="259" t="str">
        <f>INFO!G10</f>
        <v>Z05</v>
      </c>
      <c r="S2" s="259" t="str">
        <f>INFO!H10</f>
        <v>Z06</v>
      </c>
      <c r="T2" s="259" t="str">
        <f>INFO!I10</f>
        <v>Z07</v>
      </c>
      <c r="U2" s="259" t="str">
        <f>INFO!J10</f>
        <v>Z08</v>
      </c>
      <c r="V2" s="259" t="str">
        <f>INFO!K10</f>
        <v>Z09</v>
      </c>
      <c r="W2" s="259" t="str">
        <f>INFO!L10</f>
        <v>Z10</v>
      </c>
      <c r="X2" s="259" t="str">
        <f>INFO!M10</f>
        <v>Z11</v>
      </c>
      <c r="Y2" s="259" t="str">
        <f>INFO!N10</f>
        <v>Z12</v>
      </c>
      <c r="Z2" s="259" t="str">
        <f>INFO!O10</f>
        <v>Z13</v>
      </c>
      <c r="AA2" s="259" t="str">
        <f>INFO!P10</f>
        <v>Z14</v>
      </c>
      <c r="AB2" s="259" t="str">
        <f>INFO!Q10</f>
        <v>Z15</v>
      </c>
    </row>
    <row r="3" spans="1:46" s="35" customFormat="1" x14ac:dyDescent="0.25">
      <c r="A3" s="22"/>
      <c r="B3" s="34"/>
      <c r="C3" s="22"/>
      <c r="D3" s="22"/>
      <c r="I3" s="36"/>
      <c r="M3" s="318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 t="s">
        <v>1188</v>
      </c>
    </row>
    <row r="4" spans="1:46" s="35" customFormat="1" x14ac:dyDescent="0.25">
      <c r="I4" s="36"/>
      <c r="M4" s="318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1161</v>
      </c>
      <c r="AH4" s="38" t="s">
        <v>1181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38" t="s">
        <v>1189</v>
      </c>
      <c r="AO4" s="38" t="s">
        <v>115</v>
      </c>
      <c r="AP4" s="38" t="s">
        <v>1190</v>
      </c>
    </row>
    <row r="5" spans="1:46" s="35" customFormat="1" x14ac:dyDescent="0.25">
      <c r="I5" s="36"/>
      <c r="M5" s="318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v>2016</v>
      </c>
      <c r="AG5" s="39">
        <v>0.95</v>
      </c>
      <c r="AH5" s="39">
        <v>0.95</v>
      </c>
      <c r="AI5" s="39">
        <v>0.95</v>
      </c>
      <c r="AJ5" s="39">
        <v>0.95</v>
      </c>
      <c r="AK5" s="39">
        <v>0.95</v>
      </c>
      <c r="AL5" s="39">
        <v>0.95</v>
      </c>
      <c r="AM5" s="39">
        <v>0.95</v>
      </c>
      <c r="AN5" s="39">
        <v>0.95</v>
      </c>
      <c r="AO5" s="39">
        <v>0.95</v>
      </c>
      <c r="AP5" s="39">
        <v>0.95</v>
      </c>
    </row>
    <row r="6" spans="1:46" s="35" customFormat="1" x14ac:dyDescent="0.25">
      <c r="I6" s="36"/>
      <c r="AF6" s="38">
        <v>2020</v>
      </c>
      <c r="AG6" s="39">
        <v>0.95</v>
      </c>
      <c r="AH6" s="39">
        <v>0.95</v>
      </c>
      <c r="AI6" s="67">
        <v>0.95</v>
      </c>
      <c r="AJ6" s="67">
        <v>0.95</v>
      </c>
      <c r="AK6" s="67">
        <v>0.95</v>
      </c>
      <c r="AL6" s="67">
        <v>1</v>
      </c>
      <c r="AM6" s="74">
        <v>0.95</v>
      </c>
      <c r="AN6" s="67">
        <v>0.95</v>
      </c>
      <c r="AO6" s="67">
        <v>0.95</v>
      </c>
      <c r="AP6" s="67">
        <v>0.95</v>
      </c>
    </row>
    <row r="7" spans="1:46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2025</v>
      </c>
      <c r="AG7" s="67">
        <v>0.6</v>
      </c>
      <c r="AH7" s="67">
        <v>0.6</v>
      </c>
      <c r="AI7" s="67">
        <v>0.6</v>
      </c>
      <c r="AJ7" s="67">
        <v>0.6</v>
      </c>
      <c r="AK7" s="67">
        <v>0.6</v>
      </c>
      <c r="AL7" s="67">
        <v>0.6</v>
      </c>
      <c r="AM7" s="74">
        <v>0.5</v>
      </c>
      <c r="AN7" s="67">
        <v>0.6</v>
      </c>
      <c r="AO7" s="67">
        <v>0.6</v>
      </c>
      <c r="AP7" s="67">
        <v>0.6</v>
      </c>
      <c r="AQ7" s="35"/>
      <c r="AR7" s="35"/>
      <c r="AS7" s="35"/>
      <c r="AT7" s="35"/>
    </row>
    <row r="8" spans="1:46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382" t="s">
        <v>421</v>
      </c>
      <c r="AF8" s="38">
        <f>AF7+5</f>
        <v>2030</v>
      </c>
      <c r="AG8" s="67">
        <v>0.01</v>
      </c>
      <c r="AH8" s="67">
        <v>0.01</v>
      </c>
      <c r="AI8" s="67">
        <v>0.01</v>
      </c>
      <c r="AJ8" s="67">
        <v>0.01</v>
      </c>
      <c r="AK8" s="67">
        <v>0.01</v>
      </c>
      <c r="AL8" s="67">
        <v>0.01</v>
      </c>
      <c r="AM8" s="74">
        <v>0</v>
      </c>
      <c r="AN8" s="67">
        <v>0.01</v>
      </c>
      <c r="AO8" s="67">
        <v>0.01</v>
      </c>
      <c r="AP8" s="67">
        <v>0.01</v>
      </c>
      <c r="AQ8" s="35"/>
      <c r="AR8" s="35"/>
      <c r="AS8" s="35"/>
      <c r="AT8" s="35"/>
    </row>
    <row r="9" spans="1:46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AF8+10</f>
        <v>2040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35"/>
      <c r="AR9" s="35"/>
      <c r="AS9" s="35"/>
      <c r="AT9" s="35"/>
    </row>
    <row r="10" spans="1:46" x14ac:dyDescent="0.25">
      <c r="A10" s="44"/>
      <c r="B10" s="44"/>
      <c r="C10" s="44"/>
      <c r="D10" s="35"/>
      <c r="E10" s="35"/>
      <c r="F10" s="44"/>
      <c r="H10" s="35"/>
      <c r="I10" s="224" t="s">
        <v>76</v>
      </c>
      <c r="J10" s="173" t="str">
        <f ca="1">LOOKUP(I10,TRA_Comm!$C$29:$C$90,TRA_Comm!$D$29:$D$78)</f>
        <v>Road.Moto.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4">
        <f>SUM(N10:AB10)</f>
        <v>0</v>
      </c>
      <c r="AF10" s="38">
        <f>AF9+10</f>
        <v>2050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35"/>
      <c r="AR10" s="35"/>
      <c r="AS10" s="35"/>
      <c r="AT10" s="35"/>
    </row>
    <row r="11" spans="1:46" x14ac:dyDescent="0.25">
      <c r="A11" s="44"/>
      <c r="B11" s="44"/>
      <c r="C11" s="44"/>
      <c r="D11" s="35"/>
      <c r="E11" s="35"/>
      <c r="F11" s="44"/>
      <c r="H11" s="35"/>
      <c r="I11" s="224" t="s">
        <v>494</v>
      </c>
      <c r="J11" s="173" t="str">
        <f ca="1">LOOKUP(I11,TRA_Comm!$C$29:$C$90,TRA_Comm!$D$29:$D$78)</f>
        <v>Road.Moto.City.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4">
        <f>SUM(N11:AB11)</f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</row>
    <row r="12" spans="1:46" x14ac:dyDescent="0.25">
      <c r="A12" s="44"/>
      <c r="B12" s="35"/>
      <c r="C12" s="44"/>
      <c r="D12" s="35"/>
      <c r="E12" s="35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F12" s="35"/>
      <c r="AG12" s="35"/>
      <c r="AH12" s="35"/>
      <c r="AI12" s="35"/>
      <c r="AJ12" s="35"/>
      <c r="AK12" s="35"/>
      <c r="AL12" s="35"/>
      <c r="AQ12" s="35"/>
      <c r="AR12" s="35"/>
      <c r="AS12" s="35"/>
      <c r="AT12" s="35"/>
    </row>
    <row r="13" spans="1:46" x14ac:dyDescent="0.25">
      <c r="A13" s="44"/>
      <c r="B13" s="44"/>
      <c r="C13" s="44"/>
      <c r="D13" s="35"/>
      <c r="E13" s="35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E13" s="35"/>
      <c r="AF13" s="35"/>
      <c r="AG13" s="35"/>
      <c r="AH13" s="35"/>
      <c r="AI13" s="35"/>
      <c r="AJ13" s="35"/>
      <c r="AK13" s="35"/>
      <c r="AP13" s="35"/>
      <c r="AQ13" s="35"/>
      <c r="AR13" s="35"/>
      <c r="AS13" s="35"/>
    </row>
    <row r="14" spans="1:46" ht="15.75" thickBot="1" x14ac:dyDescent="0.3">
      <c r="A14" s="44"/>
      <c r="B14" s="78" t="s">
        <v>1059</v>
      </c>
      <c r="C14" s="44"/>
      <c r="D14" s="35"/>
      <c r="E14" s="35"/>
      <c r="F14" s="44"/>
      <c r="G14" s="44"/>
      <c r="H14" s="35"/>
      <c r="I14" s="35"/>
      <c r="J14" s="35"/>
      <c r="K14" s="35"/>
      <c r="L14" s="43" t="s">
        <v>461</v>
      </c>
      <c r="M14" s="43" t="s">
        <v>1119</v>
      </c>
      <c r="N14" s="43" t="str">
        <f t="shared" ref="N14:AB14" si="3">N$2</f>
        <v>Z01</v>
      </c>
      <c r="O14" s="43" t="str">
        <f t="shared" si="3"/>
        <v>Z02</v>
      </c>
      <c r="P14" s="43" t="str">
        <f t="shared" si="3"/>
        <v>Z03</v>
      </c>
      <c r="Q14" s="43" t="str">
        <f t="shared" si="3"/>
        <v>Z04</v>
      </c>
      <c r="R14" s="43" t="str">
        <f t="shared" si="3"/>
        <v>Z05</v>
      </c>
      <c r="S14" s="43" t="str">
        <f t="shared" si="3"/>
        <v>Z06</v>
      </c>
      <c r="T14" s="43" t="str">
        <f t="shared" si="3"/>
        <v>Z07</v>
      </c>
      <c r="U14" s="43" t="str">
        <f t="shared" si="3"/>
        <v>Z08</v>
      </c>
      <c r="V14" s="43" t="str">
        <f t="shared" si="3"/>
        <v>Z09</v>
      </c>
      <c r="W14" s="43" t="str">
        <f t="shared" si="3"/>
        <v>Z10</v>
      </c>
      <c r="X14" s="43" t="str">
        <f t="shared" si="3"/>
        <v>Z11</v>
      </c>
      <c r="Y14" s="43" t="str">
        <f t="shared" si="3"/>
        <v>Z12</v>
      </c>
      <c r="Z14" s="43" t="str">
        <f t="shared" si="3"/>
        <v>Z13</v>
      </c>
      <c r="AA14" s="43" t="str">
        <f t="shared" si="3"/>
        <v>Z14</v>
      </c>
      <c r="AB14" s="43" t="str">
        <f t="shared" si="3"/>
        <v>Z15</v>
      </c>
      <c r="AE14" s="35"/>
      <c r="AF14" s="35"/>
      <c r="AG14" s="35"/>
      <c r="AH14" s="35"/>
      <c r="AI14" s="35"/>
      <c r="AJ14" s="35"/>
      <c r="AK14" s="35"/>
      <c r="AP14" s="35"/>
      <c r="AQ14" s="35"/>
      <c r="AR14" s="35"/>
      <c r="AS14" s="35"/>
    </row>
    <row r="15" spans="1:46" ht="15.75" thickBot="1" x14ac:dyDescent="0.3">
      <c r="A15" s="44"/>
      <c r="B15" s="79" t="str">
        <f>IF((COUNTIF(AE30:AL30,"ok"))=(COUNTIF(AE30:AL30,"ok")),"ok","FALSE")</f>
        <v>ok</v>
      </c>
      <c r="C15" s="44"/>
      <c r="D15" s="35"/>
      <c r="E15" s="35"/>
      <c r="F15" s="44"/>
      <c r="G15" s="44"/>
      <c r="H15" s="35"/>
      <c r="I15" s="35"/>
      <c r="J15" s="35"/>
      <c r="K15" s="35"/>
      <c r="L15" s="170"/>
      <c r="M15" s="186" t="s">
        <v>76</v>
      </c>
      <c r="N15" s="365">
        <f>T_ACTFLO!E21</f>
        <v>0</v>
      </c>
      <c r="O15" s="365">
        <f>T_ACTFLO!F21</f>
        <v>0</v>
      </c>
      <c r="P15" s="365">
        <f>T_ACTFLO!G21</f>
        <v>0</v>
      </c>
      <c r="Q15" s="365">
        <f>T_ACTFLO!H21</f>
        <v>0</v>
      </c>
      <c r="R15" s="365">
        <f>T_ACTFLO!I21</f>
        <v>0</v>
      </c>
      <c r="S15" s="365">
        <f>T_ACTFLO!J21</f>
        <v>0</v>
      </c>
      <c r="T15" s="365">
        <f>T_ACTFLO!K21</f>
        <v>0</v>
      </c>
      <c r="U15" s="365">
        <f>T_ACTFLO!L21</f>
        <v>0</v>
      </c>
      <c r="V15" s="365">
        <f>T_ACTFLO!M21</f>
        <v>0</v>
      </c>
      <c r="W15" s="365">
        <f>T_ACTFLO!N21</f>
        <v>0</v>
      </c>
      <c r="X15" s="365">
        <f>T_ACTFLO!O21</f>
        <v>0</v>
      </c>
      <c r="Y15" s="365">
        <f>T_ACTFLO!P21</f>
        <v>0</v>
      </c>
      <c r="Z15" s="365">
        <f>T_ACTFLO!Q21</f>
        <v>0</v>
      </c>
      <c r="AA15" s="365">
        <f>T_ACTFLO!R21</f>
        <v>0</v>
      </c>
      <c r="AB15" s="365">
        <f>T_ACTFLO!S21</f>
        <v>0</v>
      </c>
      <c r="AE15" s="35"/>
      <c r="AF15" s="35"/>
      <c r="AG15" s="35"/>
      <c r="AH15" s="35"/>
      <c r="AI15" s="35"/>
      <c r="AJ15" s="35"/>
      <c r="AK15" s="35"/>
      <c r="AP15" s="35"/>
      <c r="AQ15" s="35"/>
      <c r="AR15" s="35"/>
      <c r="AS15" s="35"/>
    </row>
    <row r="16" spans="1:46" x14ac:dyDescent="0.25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D16" s="48"/>
      <c r="AE16" s="35"/>
      <c r="AF16" s="35"/>
      <c r="AG16" s="35"/>
      <c r="AH16" s="35"/>
      <c r="AI16" s="35"/>
      <c r="AJ16" s="35"/>
      <c r="AK16" s="35"/>
    </row>
    <row r="17" spans="1:46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STAT_TRA_Shares!B7</f>
        <v>% of biogas in CNG</v>
      </c>
      <c r="N17" s="515">
        <f>STAT_TRA_Shares!C7</f>
        <v>0.9</v>
      </c>
      <c r="O17" s="514">
        <f t="shared" ref="O17:AB23" si="4">$N17</f>
        <v>0.9</v>
      </c>
      <c r="P17" s="514">
        <f t="shared" si="4"/>
        <v>0.9</v>
      </c>
      <c r="Q17" s="514">
        <f t="shared" si="4"/>
        <v>0.9</v>
      </c>
      <c r="R17" s="514">
        <f t="shared" si="4"/>
        <v>0.9</v>
      </c>
      <c r="S17" s="514">
        <f t="shared" si="4"/>
        <v>0.9</v>
      </c>
      <c r="T17" s="514">
        <f t="shared" si="4"/>
        <v>0.9</v>
      </c>
      <c r="U17" s="514">
        <f t="shared" si="4"/>
        <v>0.9</v>
      </c>
      <c r="V17" s="514">
        <f t="shared" si="4"/>
        <v>0.9</v>
      </c>
      <c r="W17" s="514">
        <f t="shared" si="4"/>
        <v>0.9</v>
      </c>
      <c r="X17" s="514">
        <f t="shared" si="4"/>
        <v>0.9</v>
      </c>
      <c r="Y17" s="514">
        <f t="shared" si="4"/>
        <v>0.9</v>
      </c>
      <c r="Z17" s="514">
        <f t="shared" si="4"/>
        <v>0.9</v>
      </c>
      <c r="AA17" s="514">
        <f t="shared" si="4"/>
        <v>0.9</v>
      </c>
      <c r="AB17" s="514">
        <f t="shared" si="4"/>
        <v>0.9</v>
      </c>
      <c r="AC17" s="44"/>
    </row>
    <row r="18" spans="1:46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4"/>
        <v>0.15</v>
      </c>
      <c r="P18" s="514">
        <f t="shared" si="4"/>
        <v>0.15</v>
      </c>
      <c r="Q18" s="514">
        <f t="shared" si="4"/>
        <v>0.15</v>
      </c>
      <c r="R18" s="514">
        <f t="shared" si="4"/>
        <v>0.15</v>
      </c>
      <c r="S18" s="514">
        <f t="shared" si="4"/>
        <v>0.15</v>
      </c>
      <c r="T18" s="514">
        <f t="shared" si="4"/>
        <v>0.15</v>
      </c>
      <c r="U18" s="514">
        <f t="shared" si="4"/>
        <v>0.15</v>
      </c>
      <c r="V18" s="514">
        <f t="shared" si="4"/>
        <v>0.15</v>
      </c>
      <c r="W18" s="514">
        <f t="shared" si="4"/>
        <v>0.15</v>
      </c>
      <c r="X18" s="514">
        <f t="shared" si="4"/>
        <v>0.15</v>
      </c>
      <c r="Y18" s="514">
        <f t="shared" si="4"/>
        <v>0.15</v>
      </c>
      <c r="Z18" s="514">
        <f t="shared" si="4"/>
        <v>0.15</v>
      </c>
      <c r="AA18" s="514">
        <f t="shared" si="4"/>
        <v>0.15</v>
      </c>
      <c r="AB18" s="514">
        <f t="shared" si="4"/>
        <v>0.15</v>
      </c>
      <c r="AC18" s="373"/>
    </row>
    <row r="19" spans="1:46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4"/>
        <v>0.03</v>
      </c>
      <c r="P19" s="514">
        <f t="shared" si="4"/>
        <v>0.03</v>
      </c>
      <c r="Q19" s="514">
        <f t="shared" si="4"/>
        <v>0.03</v>
      </c>
      <c r="R19" s="514">
        <f t="shared" si="4"/>
        <v>0.03</v>
      </c>
      <c r="S19" s="514">
        <f t="shared" si="4"/>
        <v>0.03</v>
      </c>
      <c r="T19" s="514">
        <f t="shared" si="4"/>
        <v>0.03</v>
      </c>
      <c r="U19" s="514">
        <f t="shared" si="4"/>
        <v>0.03</v>
      </c>
      <c r="V19" s="514">
        <f t="shared" si="4"/>
        <v>0.03</v>
      </c>
      <c r="W19" s="514">
        <f t="shared" si="4"/>
        <v>0.03</v>
      </c>
      <c r="X19" s="514">
        <f t="shared" si="4"/>
        <v>0.03</v>
      </c>
      <c r="Y19" s="514">
        <f t="shared" si="4"/>
        <v>0.03</v>
      </c>
      <c r="Z19" s="514">
        <f t="shared" si="4"/>
        <v>0.03</v>
      </c>
      <c r="AA19" s="514">
        <f t="shared" si="4"/>
        <v>0.03</v>
      </c>
      <c r="AB19" s="514">
        <f t="shared" si="4"/>
        <v>0.03</v>
      </c>
      <c r="AC19" s="374"/>
    </row>
    <row r="20" spans="1:46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STAT_TRA_Shares!B12</f>
        <v>% of bioethanol in E85 (TRAETH)</v>
      </c>
      <c r="N20" s="515">
        <f>STAT_TRA_Shares!C12</f>
        <v>0.85</v>
      </c>
      <c r="O20" s="514">
        <f t="shared" si="4"/>
        <v>0.85</v>
      </c>
      <c r="P20" s="514">
        <f t="shared" si="4"/>
        <v>0.85</v>
      </c>
      <c r="Q20" s="514">
        <f t="shared" si="4"/>
        <v>0.85</v>
      </c>
      <c r="R20" s="514">
        <f t="shared" si="4"/>
        <v>0.85</v>
      </c>
      <c r="S20" s="514">
        <f t="shared" si="4"/>
        <v>0.85</v>
      </c>
      <c r="T20" s="514">
        <f t="shared" si="4"/>
        <v>0.85</v>
      </c>
      <c r="U20" s="514">
        <f t="shared" si="4"/>
        <v>0.85</v>
      </c>
      <c r="V20" s="514">
        <f t="shared" si="4"/>
        <v>0.85</v>
      </c>
      <c r="W20" s="514">
        <f t="shared" si="4"/>
        <v>0.85</v>
      </c>
      <c r="X20" s="514">
        <f t="shared" si="4"/>
        <v>0.85</v>
      </c>
      <c r="Y20" s="514">
        <f t="shared" si="4"/>
        <v>0.85</v>
      </c>
      <c r="Z20" s="514">
        <f t="shared" si="4"/>
        <v>0.85</v>
      </c>
      <c r="AA20" s="514">
        <f t="shared" si="4"/>
        <v>0.85</v>
      </c>
      <c r="AB20" s="514">
        <f t="shared" si="4"/>
        <v>0.85</v>
      </c>
      <c r="AC20" s="374"/>
    </row>
    <row r="21" spans="1:46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STAT_TRA_Shares!B18</f>
        <v>% of CNG fuelled in flexfuel GAS vehicles (rest is GSL)</v>
      </c>
      <c r="N21" s="515">
        <f>STAT_TRA_Shares!C18</f>
        <v>0.8</v>
      </c>
      <c r="O21" s="514">
        <f t="shared" si="4"/>
        <v>0.8</v>
      </c>
      <c r="P21" s="514">
        <f t="shared" si="4"/>
        <v>0.8</v>
      </c>
      <c r="Q21" s="514">
        <f t="shared" si="4"/>
        <v>0.8</v>
      </c>
      <c r="R21" s="514">
        <f t="shared" si="4"/>
        <v>0.8</v>
      </c>
      <c r="S21" s="514">
        <f t="shared" si="4"/>
        <v>0.8</v>
      </c>
      <c r="T21" s="514">
        <f t="shared" si="4"/>
        <v>0.8</v>
      </c>
      <c r="U21" s="514">
        <f t="shared" si="4"/>
        <v>0.8</v>
      </c>
      <c r="V21" s="514">
        <f t="shared" si="4"/>
        <v>0.8</v>
      </c>
      <c r="W21" s="514">
        <f t="shared" si="4"/>
        <v>0.8</v>
      </c>
      <c r="X21" s="514">
        <f t="shared" si="4"/>
        <v>0.8</v>
      </c>
      <c r="Y21" s="514">
        <f t="shared" si="4"/>
        <v>0.8</v>
      </c>
      <c r="Z21" s="514">
        <f t="shared" si="4"/>
        <v>0.8</v>
      </c>
      <c r="AA21" s="514">
        <f t="shared" si="4"/>
        <v>0.8</v>
      </c>
      <c r="AB21" s="514">
        <f t="shared" si="4"/>
        <v>0.8</v>
      </c>
      <c r="AC21" s="44"/>
    </row>
    <row r="22" spans="1:46" x14ac:dyDescent="0.25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STAT_TRA_Shares!B19</f>
        <v>% of ethanol fuelled in E85 flexfuel vehicles (rest is GSL)</v>
      </c>
      <c r="N22" s="515">
        <f>STAT_TRA_Shares!C19</f>
        <v>0.75</v>
      </c>
      <c r="O22" s="514">
        <f t="shared" si="4"/>
        <v>0.75</v>
      </c>
      <c r="P22" s="514">
        <f t="shared" si="4"/>
        <v>0.75</v>
      </c>
      <c r="Q22" s="514">
        <f t="shared" si="4"/>
        <v>0.75</v>
      </c>
      <c r="R22" s="514">
        <f t="shared" si="4"/>
        <v>0.75</v>
      </c>
      <c r="S22" s="514">
        <f t="shared" si="4"/>
        <v>0.75</v>
      </c>
      <c r="T22" s="514">
        <f t="shared" si="4"/>
        <v>0.75</v>
      </c>
      <c r="U22" s="514">
        <f t="shared" si="4"/>
        <v>0.75</v>
      </c>
      <c r="V22" s="514">
        <f t="shared" si="4"/>
        <v>0.75</v>
      </c>
      <c r="W22" s="514">
        <f t="shared" si="4"/>
        <v>0.75</v>
      </c>
      <c r="X22" s="514">
        <f t="shared" si="4"/>
        <v>0.75</v>
      </c>
      <c r="Y22" s="514">
        <f t="shared" si="4"/>
        <v>0.75</v>
      </c>
      <c r="Z22" s="514">
        <f t="shared" si="4"/>
        <v>0.75</v>
      </c>
      <c r="AA22" s="514">
        <f t="shared" si="4"/>
        <v>0.75</v>
      </c>
      <c r="AB22" s="514">
        <f t="shared" si="4"/>
        <v>0.75</v>
      </c>
      <c r="AC22" s="373"/>
    </row>
    <row r="23" spans="1:46" x14ac:dyDescent="0.25">
      <c r="A23" s="44"/>
      <c r="B23" s="44"/>
      <c r="C23" s="44"/>
      <c r="D23" s="44"/>
      <c r="E23" s="44"/>
      <c r="F23" s="44"/>
      <c r="G23" s="44"/>
      <c r="K23" s="172"/>
      <c r="L23" s="172"/>
      <c r="M23" s="174" t="str">
        <f>STAT_TRA_Shares!B20</f>
        <v>% of LPG fuelled in flexfuel LPG vehicles (rest is GSL)</v>
      </c>
      <c r="N23" s="515">
        <f>STAT_TRA_Shares!C20</f>
        <v>0.8</v>
      </c>
      <c r="O23" s="514">
        <f t="shared" si="4"/>
        <v>0.8</v>
      </c>
      <c r="P23" s="514">
        <f t="shared" si="4"/>
        <v>0.8</v>
      </c>
      <c r="Q23" s="514">
        <f t="shared" si="4"/>
        <v>0.8</v>
      </c>
      <c r="R23" s="514">
        <f t="shared" si="4"/>
        <v>0.8</v>
      </c>
      <c r="S23" s="514">
        <f t="shared" si="4"/>
        <v>0.8</v>
      </c>
      <c r="T23" s="514">
        <f t="shared" si="4"/>
        <v>0.8</v>
      </c>
      <c r="U23" s="514">
        <f t="shared" si="4"/>
        <v>0.8</v>
      </c>
      <c r="V23" s="514">
        <f t="shared" si="4"/>
        <v>0.8</v>
      </c>
      <c r="W23" s="514">
        <f t="shared" si="4"/>
        <v>0.8</v>
      </c>
      <c r="X23" s="514">
        <f t="shared" si="4"/>
        <v>0.8</v>
      </c>
      <c r="Y23" s="514">
        <f t="shared" si="4"/>
        <v>0.8</v>
      </c>
      <c r="Z23" s="514">
        <f t="shared" si="4"/>
        <v>0.8</v>
      </c>
      <c r="AA23" s="514">
        <f t="shared" si="4"/>
        <v>0.8</v>
      </c>
      <c r="AB23" s="514">
        <f t="shared" si="4"/>
        <v>0.8</v>
      </c>
      <c r="AC23" s="373"/>
    </row>
    <row r="24" spans="1:46" x14ac:dyDescent="0.25">
      <c r="A24" s="44"/>
      <c r="B24" s="556" t="s">
        <v>1186</v>
      </c>
      <c r="C24" s="44"/>
      <c r="D24" s="44"/>
      <c r="E24" s="44"/>
      <c r="F24" s="44"/>
      <c r="G24" s="44"/>
      <c r="M24" s="475"/>
      <c r="N24" s="373"/>
      <c r="O24" s="373"/>
      <c r="P24" s="373"/>
      <c r="Q24" s="373"/>
      <c r="R24" s="373"/>
      <c r="S24" s="373"/>
      <c r="T24" s="373"/>
      <c r="U24" s="373"/>
      <c r="V24" s="373"/>
      <c r="W24" s="373"/>
      <c r="X24" s="373"/>
      <c r="Y24" s="373"/>
      <c r="Z24" s="373"/>
      <c r="AA24" s="373"/>
      <c r="AB24" s="373"/>
      <c r="AF24" s="77"/>
      <c r="AG24" s="77"/>
      <c r="AH24" s="77"/>
      <c r="AI24" s="77"/>
      <c r="AJ24" s="77"/>
      <c r="AK24" s="77"/>
      <c r="AL24" s="77"/>
    </row>
    <row r="25" spans="1:46" x14ac:dyDescent="0.25">
      <c r="A25" s="44"/>
      <c r="B25" s="44"/>
      <c r="C25" s="44"/>
      <c r="D25" s="44"/>
      <c r="E25" s="44"/>
      <c r="F25" s="44"/>
      <c r="G25" s="44"/>
      <c r="M25" s="473" t="s">
        <v>1152</v>
      </c>
      <c r="N25" s="482">
        <v>0</v>
      </c>
      <c r="O25" s="482">
        <v>0</v>
      </c>
      <c r="P25" s="482">
        <v>0</v>
      </c>
      <c r="Q25" s="482">
        <v>0</v>
      </c>
      <c r="R25" s="482">
        <v>0</v>
      </c>
      <c r="S25" s="482">
        <v>0</v>
      </c>
      <c r="T25" s="482">
        <v>0</v>
      </c>
      <c r="U25" s="482">
        <v>0</v>
      </c>
      <c r="V25" s="482">
        <v>0</v>
      </c>
      <c r="W25" s="482">
        <v>0</v>
      </c>
      <c r="X25" s="482">
        <v>0</v>
      </c>
      <c r="Y25" s="482">
        <v>0</v>
      </c>
      <c r="Z25" s="482">
        <v>0</v>
      </c>
      <c r="AA25" s="482">
        <v>0</v>
      </c>
      <c r="AB25" s="482">
        <v>0</v>
      </c>
      <c r="AF25" s="77"/>
      <c r="AG25" s="77"/>
      <c r="AH25" s="77"/>
      <c r="AI25" s="77"/>
      <c r="AJ25" s="77"/>
      <c r="AK25" s="77"/>
      <c r="AL25" s="77"/>
    </row>
    <row r="26" spans="1:46" s="35" customFormat="1" x14ac:dyDescent="0.25">
      <c r="B26" s="26" t="s">
        <v>1191</v>
      </c>
      <c r="C26" s="26"/>
      <c r="I26" s="36"/>
      <c r="M26" s="473" t="s">
        <v>1154</v>
      </c>
      <c r="N26" s="482">
        <v>0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</row>
    <row r="27" spans="1:46" s="35" customFormat="1" x14ac:dyDescent="0.25"/>
    <row r="28" spans="1:46" s="22" customFormat="1" x14ac:dyDescent="0.25">
      <c r="A28" s="35"/>
      <c r="B28" s="35"/>
      <c r="C28" s="50"/>
      <c r="D28" s="50"/>
      <c r="E28" s="35"/>
      <c r="F28" s="35"/>
      <c r="G28" s="35"/>
      <c r="H28" s="41"/>
      <c r="I28" s="51"/>
      <c r="J28" s="41"/>
      <c r="K28" s="41"/>
      <c r="L28" s="40" t="str">
        <f>IF(SUM(N10:AB10)&gt;0,"~FI_T","Not in use")</f>
        <v>Not in use</v>
      </c>
      <c r="M28" s="40"/>
      <c r="N28" s="35"/>
      <c r="O28" s="35"/>
      <c r="P28" s="35"/>
      <c r="Q28" s="35"/>
      <c r="R28" s="41"/>
      <c r="S28" s="35"/>
      <c r="T28" s="35"/>
      <c r="U28" s="35"/>
      <c r="V28" s="41"/>
      <c r="W28" s="35"/>
      <c r="X28" s="35"/>
      <c r="Y28" s="35"/>
      <c r="Z28" s="35"/>
      <c r="AA28" s="35"/>
      <c r="AB28" s="35"/>
      <c r="AC28" s="41"/>
      <c r="AD28" s="49" t="str">
        <f>CONCATENATE("TEST: ",B26)</f>
        <v>TEST: Base-year: Moto - Private</v>
      </c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</row>
    <row r="29" spans="1:46" s="22" customFormat="1" x14ac:dyDescent="0.25">
      <c r="A29" s="35"/>
      <c r="B29" s="52" t="s">
        <v>1053</v>
      </c>
      <c r="C29" s="26" t="s">
        <v>104</v>
      </c>
      <c r="D29" s="26" t="s">
        <v>1054</v>
      </c>
      <c r="E29" s="26" t="s">
        <v>673</v>
      </c>
      <c r="F29" s="26" t="s">
        <v>1155</v>
      </c>
      <c r="G29" s="26" t="s">
        <v>674</v>
      </c>
      <c r="H29" s="26" t="s">
        <v>1055</v>
      </c>
      <c r="I29" s="53" t="s">
        <v>1056</v>
      </c>
      <c r="J29" s="26" t="s">
        <v>982</v>
      </c>
      <c r="K29" s="42" t="s">
        <v>1123</v>
      </c>
      <c r="L29" s="26" t="s">
        <v>1057</v>
      </c>
      <c r="M29" s="73" t="s">
        <v>1058</v>
      </c>
      <c r="N29" s="26" t="str">
        <f t="shared" ref="N29:AB29" si="5">N$2</f>
        <v>Z01</v>
      </c>
      <c r="O29" s="26" t="str">
        <f t="shared" si="5"/>
        <v>Z02</v>
      </c>
      <c r="P29" s="26" t="str">
        <f t="shared" si="5"/>
        <v>Z03</v>
      </c>
      <c r="Q29" s="26" t="str">
        <f t="shared" si="5"/>
        <v>Z04</v>
      </c>
      <c r="R29" s="26" t="str">
        <f t="shared" si="5"/>
        <v>Z05</v>
      </c>
      <c r="S29" s="26" t="str">
        <f t="shared" si="5"/>
        <v>Z06</v>
      </c>
      <c r="T29" s="26" t="str">
        <f t="shared" si="5"/>
        <v>Z07</v>
      </c>
      <c r="U29" s="26" t="str">
        <f t="shared" si="5"/>
        <v>Z08</v>
      </c>
      <c r="V29" s="26" t="str">
        <f t="shared" si="5"/>
        <v>Z09</v>
      </c>
      <c r="W29" s="26" t="str">
        <f t="shared" si="5"/>
        <v>Z10</v>
      </c>
      <c r="X29" s="26" t="str">
        <f t="shared" si="5"/>
        <v>Z11</v>
      </c>
      <c r="Y29" s="26" t="str">
        <f t="shared" si="5"/>
        <v>Z12</v>
      </c>
      <c r="Z29" s="26" t="str">
        <f t="shared" si="5"/>
        <v>Z13</v>
      </c>
      <c r="AA29" s="26" t="str">
        <f t="shared" si="5"/>
        <v>Z14</v>
      </c>
      <c r="AB29" s="26" t="str">
        <f t="shared" si="5"/>
        <v>Z15</v>
      </c>
      <c r="AC29" s="48"/>
      <c r="AD29" s="382"/>
      <c r="AE29" s="382" t="s">
        <v>421</v>
      </c>
      <c r="AF29" s="382" t="str">
        <f t="shared" ref="AF29:AT29" si="6">N2</f>
        <v>Z01</v>
      </c>
      <c r="AG29" s="382" t="str">
        <f t="shared" si="6"/>
        <v>Z02</v>
      </c>
      <c r="AH29" s="382" t="str">
        <f t="shared" si="6"/>
        <v>Z03</v>
      </c>
      <c r="AI29" s="382" t="str">
        <f t="shared" si="6"/>
        <v>Z04</v>
      </c>
      <c r="AJ29" s="382" t="str">
        <f t="shared" si="6"/>
        <v>Z05</v>
      </c>
      <c r="AK29" s="382" t="str">
        <f t="shared" si="6"/>
        <v>Z06</v>
      </c>
      <c r="AL29" s="382" t="str">
        <f t="shared" si="6"/>
        <v>Z07</v>
      </c>
      <c r="AM29" s="382" t="str">
        <f t="shared" si="6"/>
        <v>Z08</v>
      </c>
      <c r="AN29" s="382" t="str">
        <f t="shared" si="6"/>
        <v>Z09</v>
      </c>
      <c r="AO29" s="382" t="str">
        <f t="shared" si="6"/>
        <v>Z10</v>
      </c>
      <c r="AP29" s="382" t="str">
        <f t="shared" si="6"/>
        <v>Z11</v>
      </c>
      <c r="AQ29" s="382" t="str">
        <f t="shared" si="6"/>
        <v>Z12</v>
      </c>
      <c r="AR29" s="382" t="str">
        <f t="shared" si="6"/>
        <v>Z13</v>
      </c>
      <c r="AS29" s="382" t="str">
        <f t="shared" si="6"/>
        <v>Z14</v>
      </c>
      <c r="AT29" s="382" t="str">
        <f t="shared" si="6"/>
        <v>Z15</v>
      </c>
    </row>
    <row r="30" spans="1:46" s="22" customFormat="1" x14ac:dyDescent="0.25">
      <c r="A30" s="35"/>
      <c r="B30" s="176"/>
      <c r="C30" s="176"/>
      <c r="D30" s="176" t="s">
        <v>1062</v>
      </c>
      <c r="E30" s="176"/>
      <c r="F30" s="176"/>
      <c r="G30" s="176"/>
      <c r="H30" s="176"/>
      <c r="I30" s="177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35"/>
      <c r="AD30" s="398" t="s">
        <v>1124</v>
      </c>
      <c r="AE30" s="625" t="str">
        <f>IF(AE31-SUM(N10:AB10)&lt;0,"too small",IF(AE31-SUM(N10:AB10)&gt;0.001,"Too big","ok"))</f>
        <v>ok</v>
      </c>
      <c r="AF30" s="619" t="str">
        <f t="shared" ref="AF30:AT30" si="7">IF(AF31-N10&lt;0,"too small",IF(AF31-N10&gt;0.001,"Too big","ok"))</f>
        <v>ok</v>
      </c>
      <c r="AG30" s="619" t="str">
        <f t="shared" si="7"/>
        <v>ok</v>
      </c>
      <c r="AH30" s="619" t="str">
        <f t="shared" si="7"/>
        <v>ok</v>
      </c>
      <c r="AI30" s="619" t="str">
        <f t="shared" si="7"/>
        <v>ok</v>
      </c>
      <c r="AJ30" s="619" t="str">
        <f t="shared" si="7"/>
        <v>ok</v>
      </c>
      <c r="AK30" s="619" t="str">
        <f t="shared" si="7"/>
        <v>ok</v>
      </c>
      <c r="AL30" s="619" t="str">
        <f t="shared" si="7"/>
        <v>ok</v>
      </c>
      <c r="AM30" s="619" t="str">
        <f t="shared" si="7"/>
        <v>ok</v>
      </c>
      <c r="AN30" s="619" t="str">
        <f t="shared" si="7"/>
        <v>ok</v>
      </c>
      <c r="AO30" s="619" t="str">
        <f t="shared" si="7"/>
        <v>ok</v>
      </c>
      <c r="AP30" s="619" t="str">
        <f t="shared" si="7"/>
        <v>ok</v>
      </c>
      <c r="AQ30" s="619" t="str">
        <f t="shared" si="7"/>
        <v>ok</v>
      </c>
      <c r="AR30" s="619" t="str">
        <f t="shared" si="7"/>
        <v>ok</v>
      </c>
      <c r="AS30" s="619" t="str">
        <f t="shared" si="7"/>
        <v>ok</v>
      </c>
      <c r="AT30" s="619" t="str">
        <f t="shared" si="7"/>
        <v>ok</v>
      </c>
    </row>
    <row r="31" spans="1:46" s="82" customFormat="1" x14ac:dyDescent="0.25">
      <c r="B31" s="178" t="str">
        <f>C31</f>
        <v>TMOTELC100</v>
      </c>
      <c r="C31" s="178" t="s">
        <v>323</v>
      </c>
      <c r="D31" s="599" t="s">
        <v>874</v>
      </c>
      <c r="E31" s="600" t="s">
        <v>683</v>
      </c>
      <c r="F31" s="326"/>
      <c r="G31" s="178"/>
      <c r="H31" s="178"/>
      <c r="I31" s="183"/>
      <c r="J31" s="184"/>
      <c r="K31" s="184"/>
      <c r="L31" s="185" t="s">
        <v>1107</v>
      </c>
      <c r="M31" s="178" t="s">
        <v>1156</v>
      </c>
      <c r="N31" s="601">
        <f>10^-3</f>
        <v>1E-3</v>
      </c>
      <c r="O31" s="601">
        <f t="shared" ref="O31:AB31" si="8">$N31</f>
        <v>1E-3</v>
      </c>
      <c r="P31" s="601">
        <f t="shared" si="8"/>
        <v>1E-3</v>
      </c>
      <c r="Q31" s="601">
        <f t="shared" si="8"/>
        <v>1E-3</v>
      </c>
      <c r="R31" s="601">
        <f t="shared" si="8"/>
        <v>1E-3</v>
      </c>
      <c r="S31" s="601">
        <f t="shared" si="8"/>
        <v>1E-3</v>
      </c>
      <c r="T31" s="601">
        <f t="shared" si="8"/>
        <v>1E-3</v>
      </c>
      <c r="U31" s="601">
        <f t="shared" si="8"/>
        <v>1E-3</v>
      </c>
      <c r="V31" s="601">
        <f t="shared" si="8"/>
        <v>1E-3</v>
      </c>
      <c r="W31" s="601">
        <f t="shared" si="8"/>
        <v>1E-3</v>
      </c>
      <c r="X31" s="601">
        <f t="shared" si="8"/>
        <v>1E-3</v>
      </c>
      <c r="Y31" s="601">
        <f t="shared" si="8"/>
        <v>1E-3</v>
      </c>
      <c r="Z31" s="601">
        <f t="shared" si="8"/>
        <v>1E-3</v>
      </c>
      <c r="AA31" s="601">
        <f t="shared" si="8"/>
        <v>1E-3</v>
      </c>
      <c r="AB31" s="601">
        <f t="shared" si="8"/>
        <v>1E-3</v>
      </c>
      <c r="AD31" s="56" t="str">
        <f>MID(D31,6,3)</f>
        <v>ELC</v>
      </c>
      <c r="AE31" s="80">
        <f>SUM(AF31:AT31)</f>
        <v>0</v>
      </c>
      <c r="AF31" s="586">
        <f>SUM(AF34:AF46)</f>
        <v>0</v>
      </c>
      <c r="AG31" s="586">
        <f t="shared" ref="AG31:AT31" si="9">SUM(AG34:AG46)</f>
        <v>0</v>
      </c>
      <c r="AH31" s="586">
        <f t="shared" si="9"/>
        <v>0</v>
      </c>
      <c r="AI31" s="586">
        <f t="shared" si="9"/>
        <v>0</v>
      </c>
      <c r="AJ31" s="586">
        <f t="shared" si="9"/>
        <v>0</v>
      </c>
      <c r="AK31" s="586">
        <f t="shared" si="9"/>
        <v>0</v>
      </c>
      <c r="AL31" s="586">
        <f t="shared" si="9"/>
        <v>0</v>
      </c>
      <c r="AM31" s="586">
        <f t="shared" si="9"/>
        <v>0</v>
      </c>
      <c r="AN31" s="586">
        <f t="shared" si="9"/>
        <v>0</v>
      </c>
      <c r="AO31" s="586">
        <f t="shared" si="9"/>
        <v>0</v>
      </c>
      <c r="AP31" s="586">
        <f t="shared" si="9"/>
        <v>0</v>
      </c>
      <c r="AQ31" s="586">
        <f t="shared" si="9"/>
        <v>0</v>
      </c>
      <c r="AR31" s="586">
        <f t="shared" si="9"/>
        <v>0</v>
      </c>
      <c r="AS31" s="586">
        <f t="shared" si="9"/>
        <v>0</v>
      </c>
      <c r="AT31" s="586">
        <f t="shared" si="9"/>
        <v>0</v>
      </c>
    </row>
    <row r="32" spans="1:46" s="22" customFormat="1" x14ac:dyDescent="0.25">
      <c r="B32" s="186" t="str">
        <f>B31</f>
        <v>TMOTELC100</v>
      </c>
      <c r="C32" s="186"/>
      <c r="D32" s="602"/>
      <c r="E32" s="602"/>
      <c r="F32" s="186"/>
      <c r="G32" s="214" t="s">
        <v>76</v>
      </c>
      <c r="H32" s="186"/>
      <c r="I32" s="190"/>
      <c r="J32" s="191"/>
      <c r="K32" s="191"/>
      <c r="L32" s="191" t="s">
        <v>1126</v>
      </c>
      <c r="M32" s="186" t="s">
        <v>678</v>
      </c>
      <c r="N32" s="675">
        <f>T_CEFF!H99</f>
        <v>1.8799399999999999</v>
      </c>
      <c r="O32" s="675">
        <f>T_CEFF!I99</f>
        <v>1.8799399999999999</v>
      </c>
      <c r="P32" s="675">
        <f>T_CEFF!J99</f>
        <v>1.8799399999999999</v>
      </c>
      <c r="Q32" s="675">
        <f>T_CEFF!K99</f>
        <v>1.8799399999999999</v>
      </c>
      <c r="R32" s="675">
        <f>T_CEFF!L99</f>
        <v>1.8799399999999999</v>
      </c>
      <c r="S32" s="675">
        <f>T_CEFF!M99</f>
        <v>1.8799399999999999</v>
      </c>
      <c r="T32" s="675">
        <f>T_CEFF!N99</f>
        <v>1.8799399999999999</v>
      </c>
      <c r="U32" s="675">
        <f>T_CEFF!O99</f>
        <v>1.8799399999999999</v>
      </c>
      <c r="V32" s="675">
        <f>T_CEFF!P99</f>
        <v>1.8799399999999999</v>
      </c>
      <c r="W32" s="675">
        <f>T_CEFF!Q99</f>
        <v>1.8799399999999999</v>
      </c>
      <c r="X32" s="675">
        <f>T_CEFF!R99</f>
        <v>1.8799399999999999</v>
      </c>
      <c r="Y32" s="675">
        <f>T_CEFF!S99</f>
        <v>1.8799399999999999</v>
      </c>
      <c r="Z32" s="675">
        <f>T_CEFF!T99</f>
        <v>1.8799399999999999</v>
      </c>
      <c r="AA32" s="675">
        <f>T_CEFF!U99</f>
        <v>1.8799399999999999</v>
      </c>
      <c r="AB32" s="675">
        <f>T_CEFF!V99</f>
        <v>1.8799399999999999</v>
      </c>
      <c r="AD32" s="66" t="str">
        <f>IF(COUNTIF($AG$4:$AP$4,AD31)=1,"ok","MISSING")</f>
        <v>ok</v>
      </c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</row>
    <row r="33" spans="1:46" s="22" customFormat="1" x14ac:dyDescent="0.25">
      <c r="B33" s="186" t="str">
        <f t="shared" ref="B33:B41" si="10">B32</f>
        <v>TMOTELC100</v>
      </c>
      <c r="C33" s="186"/>
      <c r="D33" s="602"/>
      <c r="E33" s="186"/>
      <c r="F33" s="213"/>
      <c r="G33" s="186"/>
      <c r="H33" s="186"/>
      <c r="I33" s="190"/>
      <c r="J33" s="191"/>
      <c r="K33" s="191" t="s">
        <v>749</v>
      </c>
      <c r="L33" s="186" t="s">
        <v>1128</v>
      </c>
      <c r="M33" s="186" t="s">
        <v>1159</v>
      </c>
      <c r="N33" s="603">
        <f>N$15</f>
        <v>0</v>
      </c>
      <c r="O33" s="603">
        <f t="shared" ref="O33:AB33" si="11">O$15</f>
        <v>0</v>
      </c>
      <c r="P33" s="603">
        <f t="shared" si="11"/>
        <v>0</v>
      </c>
      <c r="Q33" s="603">
        <f t="shared" si="11"/>
        <v>0</v>
      </c>
      <c r="R33" s="603">
        <f t="shared" si="11"/>
        <v>0</v>
      </c>
      <c r="S33" s="603">
        <f t="shared" si="11"/>
        <v>0</v>
      </c>
      <c r="T33" s="603">
        <f t="shared" si="11"/>
        <v>0</v>
      </c>
      <c r="U33" s="603">
        <f t="shared" si="11"/>
        <v>0</v>
      </c>
      <c r="V33" s="603">
        <f t="shared" si="11"/>
        <v>0</v>
      </c>
      <c r="W33" s="603">
        <f t="shared" si="11"/>
        <v>0</v>
      </c>
      <c r="X33" s="603">
        <f t="shared" si="11"/>
        <v>0</v>
      </c>
      <c r="Y33" s="603">
        <f t="shared" si="11"/>
        <v>0</v>
      </c>
      <c r="Z33" s="603">
        <f t="shared" si="11"/>
        <v>0</v>
      </c>
      <c r="AA33" s="603">
        <f t="shared" si="11"/>
        <v>0</v>
      </c>
      <c r="AB33" s="603">
        <f t="shared" si="11"/>
        <v>0</v>
      </c>
    </row>
    <row r="34" spans="1:46" s="22" customFormat="1" x14ac:dyDescent="0.25">
      <c r="B34" s="186" t="str">
        <f t="shared" si="10"/>
        <v>TMOTELC100</v>
      </c>
      <c r="C34" s="186"/>
      <c r="D34" s="602"/>
      <c r="E34" s="186"/>
      <c r="F34" s="213"/>
      <c r="G34" s="186"/>
      <c r="H34" s="186"/>
      <c r="I34" s="190"/>
      <c r="J34" s="191"/>
      <c r="K34" s="191"/>
      <c r="L34" s="192" t="s">
        <v>1130</v>
      </c>
      <c r="M34" s="186" t="s">
        <v>1131</v>
      </c>
      <c r="N34" s="376">
        <f>T_NCAP_AF!D67*(1+TMO!N25)</f>
        <v>0</v>
      </c>
      <c r="O34" s="376">
        <f>T_NCAP_AF!E67*(1+TMO!O25)</f>
        <v>0</v>
      </c>
      <c r="P34" s="376">
        <f>T_NCAP_AF!F67*(1+TMO!P25)</f>
        <v>0</v>
      </c>
      <c r="Q34" s="376">
        <f>T_NCAP_AF!G67*(1+TMO!Q25)</f>
        <v>0</v>
      </c>
      <c r="R34" s="376">
        <f>T_NCAP_AF!H67*(1+TMO!R25)</f>
        <v>0</v>
      </c>
      <c r="S34" s="376">
        <f>T_NCAP_AF!I67*(1+TMO!S25)</f>
        <v>0</v>
      </c>
      <c r="T34" s="376">
        <f>T_NCAP_AF!J67*(1+TMO!T25)</f>
        <v>0</v>
      </c>
      <c r="U34" s="376">
        <f>T_NCAP_AF!K67*(1+TMO!U25)</f>
        <v>0</v>
      </c>
      <c r="V34" s="376">
        <f>T_NCAP_AF!L67*(1+TMO!V25)</f>
        <v>0</v>
      </c>
      <c r="W34" s="376">
        <f>T_NCAP_AF!M67*(1+TMO!W25)</f>
        <v>0</v>
      </c>
      <c r="X34" s="376">
        <f>T_NCAP_AF!N67*(1+TMO!X25)</f>
        <v>0</v>
      </c>
      <c r="Y34" s="376">
        <f>T_NCAP_AF!O67*(1+TMO!Y25)</f>
        <v>0</v>
      </c>
      <c r="Z34" s="376">
        <f>T_NCAP_AF!P67*(1+TMO!Z25)</f>
        <v>0</v>
      </c>
      <c r="AA34" s="376">
        <f>T_NCAP_AF!Q67*(1+TMO!AA25)</f>
        <v>0</v>
      </c>
      <c r="AB34" s="376">
        <f>T_NCAP_AF!R67*(1+TMO!AB25)</f>
        <v>0</v>
      </c>
      <c r="AE34" s="80">
        <f>SUM(AF34:AT34)</f>
        <v>0</v>
      </c>
      <c r="AF34" s="81">
        <f t="shared" ref="AF34:AT34" si="12">N33*N34*N35/1000</f>
        <v>0</v>
      </c>
      <c r="AG34" s="81">
        <f t="shared" si="12"/>
        <v>0</v>
      </c>
      <c r="AH34" s="81">
        <f t="shared" si="12"/>
        <v>0</v>
      </c>
      <c r="AI34" s="81">
        <f t="shared" si="12"/>
        <v>0</v>
      </c>
      <c r="AJ34" s="81">
        <f t="shared" si="12"/>
        <v>0</v>
      </c>
      <c r="AK34" s="81">
        <f t="shared" si="12"/>
        <v>0</v>
      </c>
      <c r="AL34" s="81">
        <f t="shared" si="12"/>
        <v>0</v>
      </c>
      <c r="AM34" s="81">
        <f t="shared" si="12"/>
        <v>0</v>
      </c>
      <c r="AN34" s="81">
        <f t="shared" si="12"/>
        <v>0</v>
      </c>
      <c r="AO34" s="81">
        <f t="shared" si="12"/>
        <v>0</v>
      </c>
      <c r="AP34" s="81">
        <f t="shared" si="12"/>
        <v>0</v>
      </c>
      <c r="AQ34" s="81">
        <f t="shared" si="12"/>
        <v>0</v>
      </c>
      <c r="AR34" s="81">
        <f t="shared" si="12"/>
        <v>0</v>
      </c>
      <c r="AS34" s="81">
        <f t="shared" si="12"/>
        <v>0</v>
      </c>
      <c r="AT34" s="81">
        <f t="shared" si="12"/>
        <v>0</v>
      </c>
    </row>
    <row r="35" spans="1:46" s="22" customFormat="1" x14ac:dyDescent="0.25">
      <c r="B35" s="186" t="str">
        <f t="shared" si="10"/>
        <v>TMOTELC100</v>
      </c>
      <c r="C35" s="186"/>
      <c r="D35" s="602"/>
      <c r="E35" s="186"/>
      <c r="F35" s="213"/>
      <c r="G35" s="186"/>
      <c r="H35" s="186"/>
      <c r="I35" s="190">
        <f>$M$3</f>
        <v>2019</v>
      </c>
      <c r="J35" s="191"/>
      <c r="K35" s="191"/>
      <c r="L35" s="192" t="s">
        <v>1065</v>
      </c>
      <c r="M35" s="186" t="s">
        <v>748</v>
      </c>
      <c r="N35" s="687">
        <f>T_Stock_Private!D44*(1+N26)</f>
        <v>0</v>
      </c>
      <c r="O35" s="687">
        <f>T_Stock_Private!E44*(1+O26)</f>
        <v>0</v>
      </c>
      <c r="P35" s="687">
        <f>T_Stock_Private!F44*(1+P26)</f>
        <v>0</v>
      </c>
      <c r="Q35" s="687">
        <f>T_Stock_Private!G44*(1+Q26)</f>
        <v>0</v>
      </c>
      <c r="R35" s="687">
        <f>T_Stock_Private!H44*(1+R26)</f>
        <v>0</v>
      </c>
      <c r="S35" s="687">
        <f>T_Stock_Private!I44*(1+S26)</f>
        <v>0</v>
      </c>
      <c r="T35" s="687">
        <f>T_Stock_Private!J44*(1+T26)</f>
        <v>0</v>
      </c>
      <c r="U35" s="687">
        <f>T_Stock_Private!K44*(1+U26)</f>
        <v>0</v>
      </c>
      <c r="V35" s="687">
        <f>T_Stock_Private!L44*(1+V26)</f>
        <v>0</v>
      </c>
      <c r="W35" s="687">
        <f>T_Stock_Private!M44*(1+W26)</f>
        <v>0</v>
      </c>
      <c r="X35" s="687">
        <f>T_Stock_Private!N44*(1+X26)</f>
        <v>0</v>
      </c>
      <c r="Y35" s="687">
        <f>T_Stock_Private!O44*(1+Y26)</f>
        <v>0</v>
      </c>
      <c r="Z35" s="687">
        <f>T_Stock_Private!P44*(1+Z26)</f>
        <v>0</v>
      </c>
      <c r="AA35" s="687">
        <f>T_Stock_Private!Q44*(1+AA26)</f>
        <v>0</v>
      </c>
      <c r="AB35" s="687">
        <f>T_Stock_Private!R44*(1+AB26)</f>
        <v>0</v>
      </c>
    </row>
    <row r="36" spans="1:46" s="22" customFormat="1" x14ac:dyDescent="0.25">
      <c r="B36" s="186" t="str">
        <f t="shared" si="10"/>
        <v>TMOTELC100</v>
      </c>
      <c r="C36" s="186"/>
      <c r="D36" s="602"/>
      <c r="E36" s="186"/>
      <c r="F36" s="213"/>
      <c r="G36" s="186"/>
      <c r="H36" s="186"/>
      <c r="I36" s="190">
        <f>AF$5</f>
        <v>2016</v>
      </c>
      <c r="J36" s="191"/>
      <c r="K36" s="191"/>
      <c r="L36" s="192" t="s">
        <v>1065</v>
      </c>
      <c r="M36" s="186" t="s">
        <v>748</v>
      </c>
      <c r="N36" s="687">
        <f t="shared" ref="N36:AB36" si="13">N35*LOOKUP($AD31,$AG$4:$AP$4,$AG$5:$AP$5)</f>
        <v>0</v>
      </c>
      <c r="O36" s="687">
        <f t="shared" si="13"/>
        <v>0</v>
      </c>
      <c r="P36" s="687">
        <f t="shared" si="13"/>
        <v>0</v>
      </c>
      <c r="Q36" s="687">
        <f t="shared" si="13"/>
        <v>0</v>
      </c>
      <c r="R36" s="687">
        <f t="shared" si="13"/>
        <v>0</v>
      </c>
      <c r="S36" s="687">
        <f t="shared" si="13"/>
        <v>0</v>
      </c>
      <c r="T36" s="687">
        <f t="shared" si="13"/>
        <v>0</v>
      </c>
      <c r="U36" s="687">
        <f t="shared" si="13"/>
        <v>0</v>
      </c>
      <c r="V36" s="687">
        <f t="shared" si="13"/>
        <v>0</v>
      </c>
      <c r="W36" s="687">
        <f t="shared" si="13"/>
        <v>0</v>
      </c>
      <c r="X36" s="687">
        <f t="shared" si="13"/>
        <v>0</v>
      </c>
      <c r="Y36" s="687">
        <f t="shared" si="13"/>
        <v>0</v>
      </c>
      <c r="Z36" s="687">
        <f t="shared" si="13"/>
        <v>0</v>
      </c>
      <c r="AA36" s="687">
        <f t="shared" si="13"/>
        <v>0</v>
      </c>
      <c r="AB36" s="687">
        <f t="shared" si="13"/>
        <v>0</v>
      </c>
    </row>
    <row r="37" spans="1:46" s="22" customFormat="1" x14ac:dyDescent="0.25">
      <c r="B37" s="186" t="str">
        <f t="shared" si="10"/>
        <v>TMOTELC100</v>
      </c>
      <c r="C37" s="186"/>
      <c r="D37" s="602"/>
      <c r="E37" s="186"/>
      <c r="F37" s="213"/>
      <c r="G37" s="186"/>
      <c r="H37" s="186"/>
      <c r="I37" s="190">
        <f>AF$6</f>
        <v>2020</v>
      </c>
      <c r="J37" s="191"/>
      <c r="K37" s="191"/>
      <c r="L37" s="192" t="s">
        <v>1065</v>
      </c>
      <c r="M37" s="186" t="s">
        <v>748</v>
      </c>
      <c r="N37" s="687">
        <f t="shared" ref="N37:AB37" si="14">N35*LOOKUP($AD31,$AG$4:$AP$4,$AG$6:$AP$6)</f>
        <v>0</v>
      </c>
      <c r="O37" s="687">
        <f t="shared" si="14"/>
        <v>0</v>
      </c>
      <c r="P37" s="687">
        <f t="shared" si="14"/>
        <v>0</v>
      </c>
      <c r="Q37" s="687">
        <f t="shared" si="14"/>
        <v>0</v>
      </c>
      <c r="R37" s="687">
        <f t="shared" si="14"/>
        <v>0</v>
      </c>
      <c r="S37" s="687">
        <f t="shared" si="14"/>
        <v>0</v>
      </c>
      <c r="T37" s="687">
        <f t="shared" si="14"/>
        <v>0</v>
      </c>
      <c r="U37" s="687">
        <f t="shared" si="14"/>
        <v>0</v>
      </c>
      <c r="V37" s="687">
        <f t="shared" si="14"/>
        <v>0</v>
      </c>
      <c r="W37" s="687">
        <f t="shared" si="14"/>
        <v>0</v>
      </c>
      <c r="X37" s="687">
        <f t="shared" si="14"/>
        <v>0</v>
      </c>
      <c r="Y37" s="687">
        <f t="shared" si="14"/>
        <v>0</v>
      </c>
      <c r="Z37" s="687">
        <f t="shared" si="14"/>
        <v>0</v>
      </c>
      <c r="AA37" s="687">
        <f t="shared" si="14"/>
        <v>0</v>
      </c>
      <c r="AB37" s="687">
        <f t="shared" si="14"/>
        <v>0</v>
      </c>
    </row>
    <row r="38" spans="1:46" s="22" customFormat="1" x14ac:dyDescent="0.25">
      <c r="B38" s="186" t="str">
        <f t="shared" si="10"/>
        <v>TMOTELC100</v>
      </c>
      <c r="C38" s="186"/>
      <c r="D38" s="602"/>
      <c r="E38" s="186"/>
      <c r="F38" s="213"/>
      <c r="G38" s="186"/>
      <c r="H38" s="186"/>
      <c r="I38" s="190">
        <f>AF$7</f>
        <v>2025</v>
      </c>
      <c r="J38" s="191"/>
      <c r="K38" s="191"/>
      <c r="L38" s="192" t="s">
        <v>1065</v>
      </c>
      <c r="M38" s="186" t="s">
        <v>748</v>
      </c>
      <c r="N38" s="687">
        <f t="shared" ref="N38:AB38" si="15">N35*LOOKUP($AD31,$AG$4:$AP$4,$AG$7:$AP$7)</f>
        <v>0</v>
      </c>
      <c r="O38" s="687">
        <f t="shared" si="15"/>
        <v>0</v>
      </c>
      <c r="P38" s="687">
        <f t="shared" si="15"/>
        <v>0</v>
      </c>
      <c r="Q38" s="687">
        <f t="shared" si="15"/>
        <v>0</v>
      </c>
      <c r="R38" s="687">
        <f t="shared" si="15"/>
        <v>0</v>
      </c>
      <c r="S38" s="687">
        <f t="shared" si="15"/>
        <v>0</v>
      </c>
      <c r="T38" s="687">
        <f t="shared" si="15"/>
        <v>0</v>
      </c>
      <c r="U38" s="687">
        <f t="shared" si="15"/>
        <v>0</v>
      </c>
      <c r="V38" s="687">
        <f t="shared" si="15"/>
        <v>0</v>
      </c>
      <c r="W38" s="687">
        <f t="shared" si="15"/>
        <v>0</v>
      </c>
      <c r="X38" s="687">
        <f t="shared" si="15"/>
        <v>0</v>
      </c>
      <c r="Y38" s="687">
        <f t="shared" si="15"/>
        <v>0</v>
      </c>
      <c r="Z38" s="687">
        <f t="shared" si="15"/>
        <v>0</v>
      </c>
      <c r="AA38" s="687">
        <f t="shared" si="15"/>
        <v>0</v>
      </c>
      <c r="AB38" s="687">
        <f t="shared" si="15"/>
        <v>0</v>
      </c>
    </row>
    <row r="39" spans="1:46" s="22" customFormat="1" x14ac:dyDescent="0.25">
      <c r="B39" s="186" t="str">
        <f t="shared" si="10"/>
        <v>TMOTELC100</v>
      </c>
      <c r="C39" s="186"/>
      <c r="D39" s="602"/>
      <c r="E39" s="186"/>
      <c r="F39" s="213"/>
      <c r="G39" s="186"/>
      <c r="H39" s="186"/>
      <c r="I39" s="190">
        <f>AF$8</f>
        <v>2030</v>
      </c>
      <c r="J39" s="191"/>
      <c r="K39" s="191"/>
      <c r="L39" s="192" t="s">
        <v>1065</v>
      </c>
      <c r="M39" s="186" t="s">
        <v>748</v>
      </c>
      <c r="N39" s="687">
        <f t="shared" ref="N39:AB39" si="16">N35*LOOKUP($AD31,$AG$4:$AP$4,$AG$8:$AP$8)</f>
        <v>0</v>
      </c>
      <c r="O39" s="687">
        <f t="shared" si="16"/>
        <v>0</v>
      </c>
      <c r="P39" s="687">
        <f t="shared" si="16"/>
        <v>0</v>
      </c>
      <c r="Q39" s="687">
        <f t="shared" si="16"/>
        <v>0</v>
      </c>
      <c r="R39" s="687">
        <f t="shared" si="16"/>
        <v>0</v>
      </c>
      <c r="S39" s="687">
        <f t="shared" si="16"/>
        <v>0</v>
      </c>
      <c r="T39" s="687">
        <f t="shared" si="16"/>
        <v>0</v>
      </c>
      <c r="U39" s="687">
        <f t="shared" si="16"/>
        <v>0</v>
      </c>
      <c r="V39" s="687">
        <f t="shared" si="16"/>
        <v>0</v>
      </c>
      <c r="W39" s="687">
        <f t="shared" si="16"/>
        <v>0</v>
      </c>
      <c r="X39" s="687">
        <f t="shared" si="16"/>
        <v>0</v>
      </c>
      <c r="Y39" s="687">
        <f t="shared" si="16"/>
        <v>0</v>
      </c>
      <c r="Z39" s="687">
        <f t="shared" si="16"/>
        <v>0</v>
      </c>
      <c r="AA39" s="687">
        <f t="shared" si="16"/>
        <v>0</v>
      </c>
      <c r="AB39" s="687">
        <f t="shared" si="16"/>
        <v>0</v>
      </c>
    </row>
    <row r="40" spans="1:46" s="22" customFormat="1" x14ac:dyDescent="0.25">
      <c r="B40" s="186" t="str">
        <f t="shared" si="10"/>
        <v>TMOTELC100</v>
      </c>
      <c r="C40" s="186"/>
      <c r="D40" s="602"/>
      <c r="E40" s="186"/>
      <c r="F40" s="213"/>
      <c r="G40" s="186"/>
      <c r="H40" s="186"/>
      <c r="I40" s="190">
        <f>AF$9</f>
        <v>2040</v>
      </c>
      <c r="J40" s="191"/>
      <c r="K40" s="191"/>
      <c r="L40" s="192" t="s">
        <v>1065</v>
      </c>
      <c r="M40" s="186" t="s">
        <v>748</v>
      </c>
      <c r="N40" s="687">
        <f t="shared" ref="N40:AB40" si="17">N35*LOOKUP($AD31,$AG$4:$AP$4,$AG$9:$AP$9)</f>
        <v>0</v>
      </c>
      <c r="O40" s="687">
        <f t="shared" si="17"/>
        <v>0</v>
      </c>
      <c r="P40" s="687">
        <f t="shared" si="17"/>
        <v>0</v>
      </c>
      <c r="Q40" s="687">
        <f t="shared" si="17"/>
        <v>0</v>
      </c>
      <c r="R40" s="687">
        <f t="shared" si="17"/>
        <v>0</v>
      </c>
      <c r="S40" s="687">
        <f t="shared" si="17"/>
        <v>0</v>
      </c>
      <c r="T40" s="687">
        <f t="shared" si="17"/>
        <v>0</v>
      </c>
      <c r="U40" s="687">
        <f t="shared" si="17"/>
        <v>0</v>
      </c>
      <c r="V40" s="687">
        <f t="shared" si="17"/>
        <v>0</v>
      </c>
      <c r="W40" s="687">
        <f t="shared" si="17"/>
        <v>0</v>
      </c>
      <c r="X40" s="687">
        <f t="shared" si="17"/>
        <v>0</v>
      </c>
      <c r="Y40" s="687">
        <f t="shared" si="17"/>
        <v>0</v>
      </c>
      <c r="Z40" s="687">
        <f t="shared" si="17"/>
        <v>0</v>
      </c>
      <c r="AA40" s="687">
        <f t="shared" si="17"/>
        <v>0</v>
      </c>
      <c r="AB40" s="687">
        <f t="shared" si="17"/>
        <v>0</v>
      </c>
    </row>
    <row r="41" spans="1:46" s="22" customFormat="1" x14ac:dyDescent="0.25">
      <c r="B41" s="193" t="str">
        <f t="shared" si="10"/>
        <v>TMOTELC100</v>
      </c>
      <c r="C41" s="193"/>
      <c r="D41" s="604"/>
      <c r="E41" s="193"/>
      <c r="F41" s="215"/>
      <c r="G41" s="193"/>
      <c r="H41" s="193"/>
      <c r="I41" s="197">
        <f>AF$10</f>
        <v>2050</v>
      </c>
      <c r="J41" s="198"/>
      <c r="K41" s="198"/>
      <c r="L41" s="199" t="s">
        <v>1065</v>
      </c>
      <c r="M41" s="193" t="s">
        <v>748</v>
      </c>
      <c r="N41" s="688">
        <f t="shared" ref="N41:AB41" si="18">N35*LOOKUP($AD31,$AG$4:$AP$4,$AG$10:$AP$10)</f>
        <v>0</v>
      </c>
      <c r="O41" s="688">
        <f t="shared" si="18"/>
        <v>0</v>
      </c>
      <c r="P41" s="688">
        <f t="shared" si="18"/>
        <v>0</v>
      </c>
      <c r="Q41" s="688">
        <f t="shared" si="18"/>
        <v>0</v>
      </c>
      <c r="R41" s="688">
        <f t="shared" si="18"/>
        <v>0</v>
      </c>
      <c r="S41" s="688">
        <f t="shared" si="18"/>
        <v>0</v>
      </c>
      <c r="T41" s="688">
        <f t="shared" si="18"/>
        <v>0</v>
      </c>
      <c r="U41" s="688">
        <f t="shared" si="18"/>
        <v>0</v>
      </c>
      <c r="V41" s="688">
        <f t="shared" si="18"/>
        <v>0</v>
      </c>
      <c r="W41" s="688">
        <f t="shared" si="18"/>
        <v>0</v>
      </c>
      <c r="X41" s="688">
        <f t="shared" si="18"/>
        <v>0</v>
      </c>
      <c r="Y41" s="688">
        <f t="shared" si="18"/>
        <v>0</v>
      </c>
      <c r="Z41" s="688">
        <f t="shared" si="18"/>
        <v>0</v>
      </c>
      <c r="AA41" s="688">
        <f t="shared" si="18"/>
        <v>0</v>
      </c>
      <c r="AB41" s="688">
        <f t="shared" si="18"/>
        <v>0</v>
      </c>
      <c r="AD41" s="605"/>
    </row>
    <row r="42" spans="1:46" s="83" customFormat="1" x14ac:dyDescent="0.25">
      <c r="A42" s="82"/>
      <c r="B42" s="178" t="str">
        <f>C42</f>
        <v>TMOTGSL100</v>
      </c>
      <c r="C42" s="178" t="s">
        <v>324</v>
      </c>
      <c r="D42" s="179" t="s">
        <v>876</v>
      </c>
      <c r="E42" s="407" t="s">
        <v>1014</v>
      </c>
      <c r="F42" s="181"/>
      <c r="G42" s="182"/>
      <c r="H42" s="182"/>
      <c r="I42" s="183"/>
      <c r="J42" s="184"/>
      <c r="K42" s="184"/>
      <c r="L42" s="185" t="s">
        <v>1107</v>
      </c>
      <c r="M42" s="178" t="s">
        <v>1156</v>
      </c>
      <c r="N42" s="567">
        <f>10^-3</f>
        <v>1E-3</v>
      </c>
      <c r="O42" s="366">
        <f t="shared" ref="O42:AB42" si="19">$N42</f>
        <v>1E-3</v>
      </c>
      <c r="P42" s="366">
        <f t="shared" si="19"/>
        <v>1E-3</v>
      </c>
      <c r="Q42" s="366">
        <f t="shared" si="19"/>
        <v>1E-3</v>
      </c>
      <c r="R42" s="366">
        <f t="shared" si="19"/>
        <v>1E-3</v>
      </c>
      <c r="S42" s="366">
        <f t="shared" si="19"/>
        <v>1E-3</v>
      </c>
      <c r="T42" s="366">
        <f t="shared" si="19"/>
        <v>1E-3</v>
      </c>
      <c r="U42" s="366">
        <f t="shared" si="19"/>
        <v>1E-3</v>
      </c>
      <c r="V42" s="366">
        <f t="shared" si="19"/>
        <v>1E-3</v>
      </c>
      <c r="W42" s="366">
        <f t="shared" si="19"/>
        <v>1E-3</v>
      </c>
      <c r="X42" s="366">
        <f t="shared" si="19"/>
        <v>1E-3</v>
      </c>
      <c r="Y42" s="366">
        <f t="shared" si="19"/>
        <v>1E-3</v>
      </c>
      <c r="Z42" s="366">
        <f t="shared" si="19"/>
        <v>1E-3</v>
      </c>
      <c r="AA42" s="366">
        <f t="shared" si="19"/>
        <v>1E-3</v>
      </c>
      <c r="AB42" s="366">
        <f t="shared" si="19"/>
        <v>1E-3</v>
      </c>
      <c r="AD42" s="56" t="str">
        <f>MID(D42,6,3)</f>
        <v>GSL</v>
      </c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</row>
    <row r="43" spans="1:46" s="35" customFormat="1" x14ac:dyDescent="0.25">
      <c r="A43" s="22"/>
      <c r="B43" s="186" t="str">
        <f>B42</f>
        <v>TMOTGSL100</v>
      </c>
      <c r="C43" s="186"/>
      <c r="D43" s="187"/>
      <c r="E43" s="258" t="s">
        <v>1012</v>
      </c>
      <c r="F43" s="189"/>
      <c r="G43" s="170"/>
      <c r="H43" s="170"/>
      <c r="I43" s="190"/>
      <c r="J43" s="191" t="s">
        <v>1157</v>
      </c>
      <c r="K43" s="191"/>
      <c r="L43" s="192" t="s">
        <v>101</v>
      </c>
      <c r="M43" s="186"/>
      <c r="N43" s="377">
        <f>N$19</f>
        <v>0.03</v>
      </c>
      <c r="O43" s="377">
        <f t="shared" ref="O43:AB43" si="20">O$19</f>
        <v>0.03</v>
      </c>
      <c r="P43" s="377">
        <f t="shared" si="20"/>
        <v>0.03</v>
      </c>
      <c r="Q43" s="377">
        <f t="shared" si="20"/>
        <v>0.03</v>
      </c>
      <c r="R43" s="377">
        <f t="shared" si="20"/>
        <v>0.03</v>
      </c>
      <c r="S43" s="377">
        <f t="shared" si="20"/>
        <v>0.03</v>
      </c>
      <c r="T43" s="377">
        <f t="shared" si="20"/>
        <v>0.03</v>
      </c>
      <c r="U43" s="377">
        <f t="shared" si="20"/>
        <v>0.03</v>
      </c>
      <c r="V43" s="377">
        <f t="shared" si="20"/>
        <v>0.03</v>
      </c>
      <c r="W43" s="377">
        <f t="shared" si="20"/>
        <v>0.03</v>
      </c>
      <c r="X43" s="377">
        <f t="shared" si="20"/>
        <v>0.03</v>
      </c>
      <c r="Y43" s="377">
        <f t="shared" si="20"/>
        <v>0.03</v>
      </c>
      <c r="Z43" s="377">
        <f t="shared" si="20"/>
        <v>0.03</v>
      </c>
      <c r="AA43" s="377">
        <f t="shared" si="20"/>
        <v>0.03</v>
      </c>
      <c r="AB43" s="377">
        <f t="shared" si="20"/>
        <v>0.03</v>
      </c>
      <c r="AD43" s="66" t="str">
        <f>IF(COUNTIF($AG$4:$AP$4,AD42)=1,"ok","MISSING")</f>
        <v>ok</v>
      </c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</row>
    <row r="44" spans="1:46" s="35" customFormat="1" x14ac:dyDescent="0.25">
      <c r="A44" s="22"/>
      <c r="B44" s="186" t="str">
        <f t="shared" ref="B44:B53" si="21">B43</f>
        <v>TMOTGSL100</v>
      </c>
      <c r="C44" s="186"/>
      <c r="D44" s="187"/>
      <c r="E44" s="187"/>
      <c r="F44" s="186"/>
      <c r="G44" s="258" t="s">
        <v>76</v>
      </c>
      <c r="H44" s="170"/>
      <c r="I44" s="190"/>
      <c r="J44" s="191"/>
      <c r="K44" s="191"/>
      <c r="L44" s="191" t="s">
        <v>1126</v>
      </c>
      <c r="M44" s="186" t="s">
        <v>678</v>
      </c>
      <c r="N44" s="377">
        <f>T_CEFF!H100</f>
        <v>0.69930000000000003</v>
      </c>
      <c r="O44" s="377">
        <f>T_CEFF!I100</f>
        <v>0.69930000000000003</v>
      </c>
      <c r="P44" s="377">
        <f>T_CEFF!J100</f>
        <v>0.69930000000000003</v>
      </c>
      <c r="Q44" s="377">
        <f>T_CEFF!K100</f>
        <v>0.69930000000000003</v>
      </c>
      <c r="R44" s="377">
        <f>T_CEFF!L100</f>
        <v>0.69930000000000003</v>
      </c>
      <c r="S44" s="377">
        <f>T_CEFF!M100</f>
        <v>0.69930000000000003</v>
      </c>
      <c r="T44" s="377">
        <f>T_CEFF!N100</f>
        <v>0.69930000000000003</v>
      </c>
      <c r="U44" s="377">
        <f>T_CEFF!O100</f>
        <v>0.69930000000000003</v>
      </c>
      <c r="V44" s="377">
        <f>T_CEFF!P100</f>
        <v>0.69930000000000003</v>
      </c>
      <c r="W44" s="377">
        <f>T_CEFF!Q100</f>
        <v>0.69930000000000003</v>
      </c>
      <c r="X44" s="377">
        <f>T_CEFF!R100</f>
        <v>0.69930000000000003</v>
      </c>
      <c r="Y44" s="377">
        <f>T_CEFF!S100</f>
        <v>0.69930000000000003</v>
      </c>
      <c r="Z44" s="377">
        <f>T_CEFF!T100</f>
        <v>0.69930000000000003</v>
      </c>
      <c r="AA44" s="377">
        <f>T_CEFF!U100</f>
        <v>0.69930000000000003</v>
      </c>
      <c r="AB44" s="377">
        <f>T_CEFF!V100</f>
        <v>0.69930000000000003</v>
      </c>
    </row>
    <row r="45" spans="1:46" s="35" customFormat="1" x14ac:dyDescent="0.25">
      <c r="A45" s="22"/>
      <c r="B45" s="186" t="str">
        <f t="shared" si="21"/>
        <v>TMOTGSL100</v>
      </c>
      <c r="C45" s="186"/>
      <c r="D45" s="187"/>
      <c r="E45" s="186"/>
      <c r="F45" s="189"/>
      <c r="G45" s="170"/>
      <c r="H45" s="170"/>
      <c r="I45" s="190"/>
      <c r="J45" s="191"/>
      <c r="K45" s="191" t="s">
        <v>749</v>
      </c>
      <c r="L45" s="186" t="s">
        <v>1128</v>
      </c>
      <c r="M45" s="186" t="s">
        <v>1159</v>
      </c>
      <c r="N45" s="368">
        <f>N$15</f>
        <v>0</v>
      </c>
      <c r="O45" s="368">
        <f t="shared" ref="O45:AB45" si="22">O$15</f>
        <v>0</v>
      </c>
      <c r="P45" s="368">
        <f t="shared" si="22"/>
        <v>0</v>
      </c>
      <c r="Q45" s="368">
        <f t="shared" si="22"/>
        <v>0</v>
      </c>
      <c r="R45" s="368">
        <f t="shared" si="22"/>
        <v>0</v>
      </c>
      <c r="S45" s="368">
        <f t="shared" si="22"/>
        <v>0</v>
      </c>
      <c r="T45" s="368">
        <f t="shared" si="22"/>
        <v>0</v>
      </c>
      <c r="U45" s="368">
        <f t="shared" si="22"/>
        <v>0</v>
      </c>
      <c r="V45" s="368">
        <f t="shared" si="22"/>
        <v>0</v>
      </c>
      <c r="W45" s="368">
        <f t="shared" si="22"/>
        <v>0</v>
      </c>
      <c r="X45" s="368">
        <f t="shared" si="22"/>
        <v>0</v>
      </c>
      <c r="Y45" s="368">
        <f t="shared" si="22"/>
        <v>0</v>
      </c>
      <c r="Z45" s="368">
        <f t="shared" si="22"/>
        <v>0</v>
      </c>
      <c r="AA45" s="368">
        <f t="shared" si="22"/>
        <v>0</v>
      </c>
      <c r="AB45" s="368">
        <f t="shared" si="22"/>
        <v>0</v>
      </c>
    </row>
    <row r="46" spans="1:46" s="35" customFormat="1" x14ac:dyDescent="0.25">
      <c r="A46" s="22"/>
      <c r="B46" s="186" t="str">
        <f t="shared" si="21"/>
        <v>TMOTGSL100</v>
      </c>
      <c r="C46" s="186"/>
      <c r="D46" s="187"/>
      <c r="E46" s="186"/>
      <c r="F46" s="189"/>
      <c r="G46" s="170"/>
      <c r="H46" s="170"/>
      <c r="I46" s="190"/>
      <c r="J46" s="191"/>
      <c r="K46" s="191"/>
      <c r="L46" s="192" t="s">
        <v>1130</v>
      </c>
      <c r="M46" s="186" t="s">
        <v>1131</v>
      </c>
      <c r="N46" s="376">
        <f>T_NCAP_AF!D67*(1+N25)</f>
        <v>0</v>
      </c>
      <c r="O46" s="376">
        <f>T_NCAP_AF!E67*(1+O25)</f>
        <v>0</v>
      </c>
      <c r="P46" s="376">
        <f>T_NCAP_AF!F67*(1+P25)</f>
        <v>0</v>
      </c>
      <c r="Q46" s="376">
        <f>T_NCAP_AF!G67*(1+Q25)</f>
        <v>0</v>
      </c>
      <c r="R46" s="376">
        <f>T_NCAP_AF!H67*(1+R25)</f>
        <v>0</v>
      </c>
      <c r="S46" s="376">
        <f>T_NCAP_AF!I67*(1+S25)</f>
        <v>0</v>
      </c>
      <c r="T46" s="376">
        <f>T_NCAP_AF!J67*(1+T25)</f>
        <v>0</v>
      </c>
      <c r="U46" s="376">
        <f>T_NCAP_AF!K67*(1+U25)</f>
        <v>0</v>
      </c>
      <c r="V46" s="376">
        <f>T_NCAP_AF!L67*(1+V25)</f>
        <v>0</v>
      </c>
      <c r="W46" s="376">
        <f>T_NCAP_AF!M67*(1+W25)</f>
        <v>0</v>
      </c>
      <c r="X46" s="376">
        <f>T_NCAP_AF!N67*(1+X25)</f>
        <v>0</v>
      </c>
      <c r="Y46" s="376">
        <f>T_NCAP_AF!O67*(1+Y25)</f>
        <v>0</v>
      </c>
      <c r="Z46" s="376">
        <f>T_NCAP_AF!P67*(1+Z25)</f>
        <v>0</v>
      </c>
      <c r="AA46" s="376">
        <f>T_NCAP_AF!Q67*(1+AA25)</f>
        <v>0</v>
      </c>
      <c r="AB46" s="376">
        <f>T_NCAP_AF!R67*(1+AB25)</f>
        <v>0</v>
      </c>
      <c r="AE46" s="80">
        <f>SUM(AF46:AT46)</f>
        <v>0</v>
      </c>
      <c r="AF46" s="81">
        <f t="shared" ref="AF46:AT46" si="23">N45*N46*N47/1000</f>
        <v>0</v>
      </c>
      <c r="AG46" s="81">
        <f t="shared" si="23"/>
        <v>0</v>
      </c>
      <c r="AH46" s="81">
        <f t="shared" si="23"/>
        <v>0</v>
      </c>
      <c r="AI46" s="81">
        <f t="shared" si="23"/>
        <v>0</v>
      </c>
      <c r="AJ46" s="81">
        <f t="shared" si="23"/>
        <v>0</v>
      </c>
      <c r="AK46" s="81">
        <f t="shared" si="23"/>
        <v>0</v>
      </c>
      <c r="AL46" s="81">
        <f t="shared" si="23"/>
        <v>0</v>
      </c>
      <c r="AM46" s="81">
        <f t="shared" si="23"/>
        <v>0</v>
      </c>
      <c r="AN46" s="81">
        <f t="shared" si="23"/>
        <v>0</v>
      </c>
      <c r="AO46" s="81">
        <f t="shared" si="23"/>
        <v>0</v>
      </c>
      <c r="AP46" s="81">
        <f t="shared" si="23"/>
        <v>0</v>
      </c>
      <c r="AQ46" s="81">
        <f t="shared" si="23"/>
        <v>0</v>
      </c>
      <c r="AR46" s="81">
        <f t="shared" si="23"/>
        <v>0</v>
      </c>
      <c r="AS46" s="81">
        <f t="shared" si="23"/>
        <v>0</v>
      </c>
      <c r="AT46" s="81">
        <f t="shared" si="23"/>
        <v>0</v>
      </c>
    </row>
    <row r="47" spans="1:46" s="35" customFormat="1" x14ac:dyDescent="0.25">
      <c r="A47" s="22"/>
      <c r="B47" s="186" t="str">
        <f t="shared" si="21"/>
        <v>TMOTGSL100</v>
      </c>
      <c r="C47" s="186"/>
      <c r="D47" s="187"/>
      <c r="E47" s="186"/>
      <c r="F47" s="189"/>
      <c r="G47" s="170"/>
      <c r="H47" s="170"/>
      <c r="I47" s="190">
        <f>$M$3</f>
        <v>2019</v>
      </c>
      <c r="J47" s="191"/>
      <c r="K47" s="191"/>
      <c r="L47" s="192" t="s">
        <v>1065</v>
      </c>
      <c r="M47" s="186" t="s">
        <v>748</v>
      </c>
      <c r="N47" s="687">
        <f>T_Stock_Private!D47*(1+N26)</f>
        <v>0</v>
      </c>
      <c r="O47" s="687">
        <f>T_Stock_Private!E47*(1+O26)</f>
        <v>0</v>
      </c>
      <c r="P47" s="687">
        <f>T_Stock_Private!F47*(1+P26)</f>
        <v>0</v>
      </c>
      <c r="Q47" s="687">
        <f>T_Stock_Private!G47*(1+Q26)</f>
        <v>0</v>
      </c>
      <c r="R47" s="687">
        <f>T_Stock_Private!H47*(1+R26)</f>
        <v>0</v>
      </c>
      <c r="S47" s="687">
        <f>T_Stock_Private!I47*(1+S26)</f>
        <v>0</v>
      </c>
      <c r="T47" s="687">
        <f>T_Stock_Private!J47*(1+T26)</f>
        <v>0</v>
      </c>
      <c r="U47" s="687">
        <f>T_Stock_Private!K47*(1+U26)</f>
        <v>0</v>
      </c>
      <c r="V47" s="687">
        <f>T_Stock_Private!L47*(1+V26)</f>
        <v>0</v>
      </c>
      <c r="W47" s="687">
        <f>T_Stock_Private!M47*(1+W26)</f>
        <v>0</v>
      </c>
      <c r="X47" s="687">
        <f>T_Stock_Private!N47*(1+X26)</f>
        <v>0</v>
      </c>
      <c r="Y47" s="687">
        <f>T_Stock_Private!O47*(1+Y26)</f>
        <v>0</v>
      </c>
      <c r="Z47" s="687">
        <f>T_Stock_Private!P47*(1+Z26)</f>
        <v>0</v>
      </c>
      <c r="AA47" s="687">
        <f>T_Stock_Private!Q47*(1+AA26)</f>
        <v>0</v>
      </c>
      <c r="AB47" s="687">
        <f>T_Stock_Private!R47*(1+AB26)</f>
        <v>0</v>
      </c>
    </row>
    <row r="48" spans="1:46" s="35" customFormat="1" x14ac:dyDescent="0.25">
      <c r="A48" s="22"/>
      <c r="B48" s="186" t="str">
        <f t="shared" si="21"/>
        <v>TMOTGSL100</v>
      </c>
      <c r="C48" s="186"/>
      <c r="D48" s="187"/>
      <c r="E48" s="186"/>
      <c r="F48" s="189"/>
      <c r="G48" s="170"/>
      <c r="H48" s="170"/>
      <c r="I48" s="190">
        <f>AF$5</f>
        <v>2016</v>
      </c>
      <c r="J48" s="191"/>
      <c r="K48" s="191"/>
      <c r="L48" s="192" t="s">
        <v>1065</v>
      </c>
      <c r="M48" s="186" t="s">
        <v>748</v>
      </c>
      <c r="N48" s="687">
        <f t="shared" ref="N48:AB48" si="24">N47*LOOKUP($AD42,$AG$4:$AP$4,$AG$5:$AP$5)</f>
        <v>0</v>
      </c>
      <c r="O48" s="687">
        <f t="shared" si="24"/>
        <v>0</v>
      </c>
      <c r="P48" s="687">
        <f t="shared" si="24"/>
        <v>0</v>
      </c>
      <c r="Q48" s="687">
        <f t="shared" si="24"/>
        <v>0</v>
      </c>
      <c r="R48" s="687">
        <f t="shared" si="24"/>
        <v>0</v>
      </c>
      <c r="S48" s="687">
        <f t="shared" si="24"/>
        <v>0</v>
      </c>
      <c r="T48" s="687">
        <f t="shared" si="24"/>
        <v>0</v>
      </c>
      <c r="U48" s="687">
        <f t="shared" si="24"/>
        <v>0</v>
      </c>
      <c r="V48" s="687">
        <f t="shared" si="24"/>
        <v>0</v>
      </c>
      <c r="W48" s="687">
        <f t="shared" si="24"/>
        <v>0</v>
      </c>
      <c r="X48" s="687">
        <f t="shared" si="24"/>
        <v>0</v>
      </c>
      <c r="Y48" s="687">
        <f t="shared" si="24"/>
        <v>0</v>
      </c>
      <c r="Z48" s="687">
        <f t="shared" si="24"/>
        <v>0</v>
      </c>
      <c r="AA48" s="687">
        <f t="shared" si="24"/>
        <v>0</v>
      </c>
      <c r="AB48" s="687">
        <f t="shared" si="24"/>
        <v>0</v>
      </c>
    </row>
    <row r="49" spans="1:46" s="35" customFormat="1" x14ac:dyDescent="0.25">
      <c r="A49" s="22"/>
      <c r="B49" s="186" t="str">
        <f t="shared" si="21"/>
        <v>TMOTGSL100</v>
      </c>
      <c r="C49" s="186"/>
      <c r="D49" s="187"/>
      <c r="E49" s="186"/>
      <c r="F49" s="189"/>
      <c r="G49" s="170"/>
      <c r="H49" s="170"/>
      <c r="I49" s="190">
        <f>AF$6</f>
        <v>2020</v>
      </c>
      <c r="J49" s="191"/>
      <c r="K49" s="191"/>
      <c r="L49" s="192" t="s">
        <v>1065</v>
      </c>
      <c r="M49" s="186" t="s">
        <v>748</v>
      </c>
      <c r="N49" s="687">
        <f t="shared" ref="N49:AB49" si="25">N47*LOOKUP($AD42,$AG$4:$AP$4,$AG$6:$AP$6)</f>
        <v>0</v>
      </c>
      <c r="O4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 t="shared" si="25"/>
        <v>0</v>
      </c>
      <c r="S49" s="687">
        <f t="shared" si="25"/>
        <v>0</v>
      </c>
      <c r="T49" s="687">
        <f t="shared" si="25"/>
        <v>0</v>
      </c>
      <c r="U49" s="687">
        <f t="shared" si="25"/>
        <v>0</v>
      </c>
      <c r="V49" s="687">
        <f t="shared" si="25"/>
        <v>0</v>
      </c>
      <c r="W49" s="687">
        <f t="shared" si="25"/>
        <v>0</v>
      </c>
      <c r="X49" s="687">
        <f t="shared" si="25"/>
        <v>0</v>
      </c>
      <c r="Y49" s="687">
        <f t="shared" si="25"/>
        <v>0</v>
      </c>
      <c r="Z49" s="687">
        <f t="shared" si="25"/>
        <v>0</v>
      </c>
      <c r="AA49" s="687">
        <f t="shared" si="25"/>
        <v>0</v>
      </c>
      <c r="AB49" s="687">
        <f t="shared" si="25"/>
        <v>0</v>
      </c>
    </row>
    <row r="50" spans="1:46" s="35" customFormat="1" x14ac:dyDescent="0.25">
      <c r="A50" s="22"/>
      <c r="B50" s="186" t="str">
        <f t="shared" si="21"/>
        <v>TMOTGSL100</v>
      </c>
      <c r="C50" s="186"/>
      <c r="D50" s="187"/>
      <c r="E50" s="186"/>
      <c r="F50" s="189"/>
      <c r="G50" s="170"/>
      <c r="H50" s="170"/>
      <c r="I50" s="190">
        <f>AF$7</f>
        <v>2025</v>
      </c>
      <c r="J50" s="191"/>
      <c r="K50" s="191"/>
      <c r="L50" s="192" t="s">
        <v>1065</v>
      </c>
      <c r="M50" s="186" t="s">
        <v>748</v>
      </c>
      <c r="N50" s="687">
        <f t="shared" ref="N50:AB50" si="26">N47*LOOKUP($AD42,$AG$4:$AP$4,$AG$7:$AP$7)</f>
        <v>0</v>
      </c>
      <c r="O50" s="687">
        <f t="shared" si="26"/>
        <v>0</v>
      </c>
      <c r="P50" s="687">
        <f t="shared" si="26"/>
        <v>0</v>
      </c>
      <c r="Q50" s="687">
        <f t="shared" si="26"/>
        <v>0</v>
      </c>
      <c r="R50" s="687">
        <f t="shared" si="26"/>
        <v>0</v>
      </c>
      <c r="S50" s="687">
        <f t="shared" si="26"/>
        <v>0</v>
      </c>
      <c r="T50" s="687">
        <f t="shared" si="26"/>
        <v>0</v>
      </c>
      <c r="U50" s="687">
        <f t="shared" si="26"/>
        <v>0</v>
      </c>
      <c r="V50" s="687">
        <f t="shared" si="26"/>
        <v>0</v>
      </c>
      <c r="W50" s="687">
        <f t="shared" si="26"/>
        <v>0</v>
      </c>
      <c r="X50" s="687">
        <f t="shared" si="26"/>
        <v>0</v>
      </c>
      <c r="Y50" s="687">
        <f t="shared" si="26"/>
        <v>0</v>
      </c>
      <c r="Z50" s="687">
        <f t="shared" si="26"/>
        <v>0</v>
      </c>
      <c r="AA50" s="687">
        <f t="shared" si="26"/>
        <v>0</v>
      </c>
      <c r="AB50" s="687">
        <f t="shared" si="26"/>
        <v>0</v>
      </c>
    </row>
    <row r="51" spans="1:46" s="35" customFormat="1" x14ac:dyDescent="0.25">
      <c r="A51" s="22"/>
      <c r="B51" s="186" t="str">
        <f t="shared" si="21"/>
        <v>TMOTGSL100</v>
      </c>
      <c r="C51" s="186"/>
      <c r="D51" s="187"/>
      <c r="E51" s="186"/>
      <c r="F51" s="189"/>
      <c r="G51" s="170"/>
      <c r="H51" s="170"/>
      <c r="I51" s="190">
        <f>AF$8</f>
        <v>2030</v>
      </c>
      <c r="J51" s="191"/>
      <c r="K51" s="191"/>
      <c r="L51" s="192" t="s">
        <v>1065</v>
      </c>
      <c r="M51" s="186" t="s">
        <v>748</v>
      </c>
      <c r="N51" s="687">
        <f t="shared" ref="N51:AB51" si="27">N47*LOOKUP($AD42,$AG$4:$AP$4,$AG$8:$AP$8)</f>
        <v>0</v>
      </c>
      <c r="O51" s="687">
        <f t="shared" si="27"/>
        <v>0</v>
      </c>
      <c r="P51" s="687">
        <f t="shared" si="27"/>
        <v>0</v>
      </c>
      <c r="Q51" s="687">
        <f t="shared" si="27"/>
        <v>0</v>
      </c>
      <c r="R51" s="687">
        <f t="shared" si="27"/>
        <v>0</v>
      </c>
      <c r="S51" s="687">
        <f t="shared" si="27"/>
        <v>0</v>
      </c>
      <c r="T51" s="687">
        <f t="shared" si="27"/>
        <v>0</v>
      </c>
      <c r="U51" s="687">
        <f t="shared" si="27"/>
        <v>0</v>
      </c>
      <c r="V51" s="687">
        <f t="shared" si="27"/>
        <v>0</v>
      </c>
      <c r="W51" s="687">
        <f t="shared" si="27"/>
        <v>0</v>
      </c>
      <c r="X51" s="687">
        <f t="shared" si="27"/>
        <v>0</v>
      </c>
      <c r="Y51" s="687">
        <f t="shared" si="27"/>
        <v>0</v>
      </c>
      <c r="Z51" s="687">
        <f t="shared" si="27"/>
        <v>0</v>
      </c>
      <c r="AA51" s="687">
        <f t="shared" si="27"/>
        <v>0</v>
      </c>
      <c r="AB51" s="687">
        <f t="shared" si="27"/>
        <v>0</v>
      </c>
    </row>
    <row r="52" spans="1:46" s="35" customFormat="1" x14ac:dyDescent="0.25">
      <c r="A52" s="22"/>
      <c r="B52" s="186" t="str">
        <f t="shared" si="21"/>
        <v>TMOTGSL100</v>
      </c>
      <c r="C52" s="186"/>
      <c r="D52" s="187"/>
      <c r="E52" s="186"/>
      <c r="F52" s="189"/>
      <c r="G52" s="170"/>
      <c r="H52" s="170"/>
      <c r="I52" s="190">
        <f>AF$9</f>
        <v>2040</v>
      </c>
      <c r="J52" s="191"/>
      <c r="K52" s="191"/>
      <c r="L52" s="192" t="s">
        <v>1065</v>
      </c>
      <c r="M52" s="186" t="s">
        <v>748</v>
      </c>
      <c r="N52" s="687">
        <f t="shared" ref="N52:AB52" si="28">N47*LOOKUP($AD42,$AG$4:$AP$4,$AG$9:$AP$9)</f>
        <v>0</v>
      </c>
      <c r="O52" s="687">
        <f t="shared" si="28"/>
        <v>0</v>
      </c>
      <c r="P52" s="687">
        <f t="shared" si="28"/>
        <v>0</v>
      </c>
      <c r="Q52" s="687">
        <f t="shared" si="28"/>
        <v>0</v>
      </c>
      <c r="R52" s="687">
        <f t="shared" si="28"/>
        <v>0</v>
      </c>
      <c r="S52" s="687">
        <f t="shared" si="28"/>
        <v>0</v>
      </c>
      <c r="T52" s="687">
        <f t="shared" si="28"/>
        <v>0</v>
      </c>
      <c r="U52" s="687">
        <f t="shared" si="28"/>
        <v>0</v>
      </c>
      <c r="V52" s="687">
        <f t="shared" si="28"/>
        <v>0</v>
      </c>
      <c r="W52" s="687">
        <f t="shared" si="28"/>
        <v>0</v>
      </c>
      <c r="X52" s="687">
        <f t="shared" si="28"/>
        <v>0</v>
      </c>
      <c r="Y52" s="687">
        <f t="shared" si="28"/>
        <v>0</v>
      </c>
      <c r="Z52" s="687">
        <f t="shared" si="28"/>
        <v>0</v>
      </c>
      <c r="AA52" s="687">
        <f t="shared" si="28"/>
        <v>0</v>
      </c>
      <c r="AB52" s="687">
        <f t="shared" si="28"/>
        <v>0</v>
      </c>
    </row>
    <row r="53" spans="1:46" s="35" customFormat="1" x14ac:dyDescent="0.25">
      <c r="A53" s="22"/>
      <c r="B53" s="193" t="str">
        <f t="shared" si="21"/>
        <v>TMOTGSL100</v>
      </c>
      <c r="C53" s="193"/>
      <c r="D53" s="194"/>
      <c r="E53" s="193"/>
      <c r="F53" s="195"/>
      <c r="G53" s="196"/>
      <c r="H53" s="196"/>
      <c r="I53" s="197">
        <f>AF$10</f>
        <v>2050</v>
      </c>
      <c r="J53" s="198"/>
      <c r="K53" s="198"/>
      <c r="L53" s="199" t="s">
        <v>1065</v>
      </c>
      <c r="M53" s="193" t="s">
        <v>748</v>
      </c>
      <c r="N53" s="688">
        <f t="shared" ref="N53:AB53" si="29">N47*LOOKUP($AD42,$AG$4:$AP$4,$AG$10:$AP$10)</f>
        <v>0</v>
      </c>
      <c r="O53" s="688">
        <f t="shared" si="29"/>
        <v>0</v>
      </c>
      <c r="P53" s="688">
        <f t="shared" si="29"/>
        <v>0</v>
      </c>
      <c r="Q53" s="688">
        <f t="shared" si="29"/>
        <v>0</v>
      </c>
      <c r="R53" s="688">
        <f t="shared" si="29"/>
        <v>0</v>
      </c>
      <c r="S53" s="688">
        <f t="shared" si="29"/>
        <v>0</v>
      </c>
      <c r="T53" s="688">
        <f t="shared" si="29"/>
        <v>0</v>
      </c>
      <c r="U53" s="688">
        <f t="shared" si="29"/>
        <v>0</v>
      </c>
      <c r="V53" s="688">
        <f t="shared" si="29"/>
        <v>0</v>
      </c>
      <c r="W53" s="688">
        <f t="shared" si="29"/>
        <v>0</v>
      </c>
      <c r="X53" s="688">
        <f t="shared" si="29"/>
        <v>0</v>
      </c>
      <c r="Y53" s="688">
        <f t="shared" si="29"/>
        <v>0</v>
      </c>
      <c r="Z53" s="688">
        <f t="shared" si="29"/>
        <v>0</v>
      </c>
      <c r="AA53" s="688">
        <f t="shared" si="29"/>
        <v>0</v>
      </c>
      <c r="AB53" s="688">
        <f t="shared" si="29"/>
        <v>0</v>
      </c>
    </row>
    <row r="55" spans="1:46" x14ac:dyDescent="0.25">
      <c r="A55" s="44"/>
      <c r="B55" s="44"/>
      <c r="C55" s="44"/>
      <c r="D55" s="44"/>
      <c r="E55" s="44"/>
      <c r="F55" s="44"/>
      <c r="G55" s="44"/>
      <c r="AF55" s="77"/>
      <c r="AG55" s="77"/>
      <c r="AH55" s="77"/>
      <c r="AI55" s="77"/>
      <c r="AJ55" s="77"/>
      <c r="AK55" s="77"/>
      <c r="AL55" s="77"/>
    </row>
    <row r="56" spans="1:46" s="35" customFormat="1" x14ac:dyDescent="0.25">
      <c r="B56" s="590"/>
      <c r="C56" s="590"/>
      <c r="I56" s="36"/>
      <c r="M56" s="473" t="s">
        <v>1152</v>
      </c>
      <c r="N56" s="482">
        <v>0</v>
      </c>
      <c r="O56" s="482">
        <v>0</v>
      </c>
      <c r="P56" s="482">
        <v>0</v>
      </c>
      <c r="Q56" s="482">
        <v>0</v>
      </c>
      <c r="R56" s="482">
        <v>0</v>
      </c>
      <c r="S56" s="482">
        <v>0</v>
      </c>
      <c r="T56" s="482">
        <v>0</v>
      </c>
      <c r="U56" s="482">
        <v>0</v>
      </c>
      <c r="V56" s="482">
        <v>0</v>
      </c>
      <c r="W56" s="482">
        <v>0</v>
      </c>
      <c r="X56" s="482">
        <v>0</v>
      </c>
      <c r="Y56" s="482">
        <v>0</v>
      </c>
      <c r="Z56" s="482">
        <v>0</v>
      </c>
      <c r="AA56" s="482">
        <v>0</v>
      </c>
      <c r="AB56" s="482">
        <v>0</v>
      </c>
      <c r="AF56" s="49"/>
    </row>
    <row r="57" spans="1:46" s="35" customFormat="1" x14ac:dyDescent="0.25">
      <c r="B57" s="26" t="s">
        <v>1192</v>
      </c>
      <c r="C57" s="26"/>
      <c r="I57" s="36"/>
      <c r="M57" s="473" t="s">
        <v>1154</v>
      </c>
      <c r="N57" s="482">
        <v>0</v>
      </c>
      <c r="O57" s="482">
        <v>0</v>
      </c>
      <c r="P57" s="482">
        <v>0</v>
      </c>
      <c r="Q57" s="482">
        <v>0</v>
      </c>
      <c r="R57" s="482">
        <v>0</v>
      </c>
      <c r="S57" s="482">
        <v>0</v>
      </c>
      <c r="T57" s="482">
        <v>0</v>
      </c>
      <c r="U57" s="482">
        <v>0</v>
      </c>
      <c r="V57" s="482">
        <v>0</v>
      </c>
      <c r="W57" s="482">
        <v>0</v>
      </c>
      <c r="X57" s="482">
        <v>0</v>
      </c>
      <c r="Y57" s="482">
        <v>0</v>
      </c>
      <c r="Z57" s="482">
        <v>0</v>
      </c>
      <c r="AA57" s="482">
        <v>0</v>
      </c>
      <c r="AB57" s="482">
        <v>0</v>
      </c>
    </row>
    <row r="58" spans="1:46" s="35" customFormat="1" x14ac:dyDescent="0.25">
      <c r="I58" s="36"/>
      <c r="M58" s="473"/>
      <c r="N58" s="473"/>
      <c r="O58" s="473"/>
      <c r="P58" s="473"/>
      <c r="Q58" s="473"/>
      <c r="R58" s="473"/>
      <c r="S58" s="473"/>
      <c r="T58" s="473"/>
      <c r="U58" s="473"/>
      <c r="V58" s="473"/>
      <c r="W58" s="473"/>
      <c r="X58" s="473"/>
      <c r="Y58" s="473"/>
      <c r="Z58" s="473"/>
      <c r="AA58" s="473"/>
      <c r="AB58" s="473"/>
    </row>
    <row r="59" spans="1:46" s="22" customFormat="1" x14ac:dyDescent="0.25">
      <c r="A59" s="35"/>
      <c r="B59" s="35"/>
      <c r="C59" s="50"/>
      <c r="D59" s="50"/>
      <c r="E59" s="35"/>
      <c r="F59" s="35"/>
      <c r="G59" s="35"/>
      <c r="H59" s="41"/>
      <c r="I59" s="51"/>
      <c r="J59" s="41"/>
      <c r="K59" s="41"/>
      <c r="L59" s="40" t="str">
        <f>IF(SUM(N11:AB11)&gt;0,"~FI_T","Not in use")</f>
        <v>Not in use</v>
      </c>
      <c r="M59" s="40"/>
      <c r="N59" s="35"/>
      <c r="O59" s="35"/>
      <c r="P59" s="35"/>
      <c r="Q59" s="35"/>
      <c r="R59" s="41"/>
      <c r="S59" s="35"/>
      <c r="T59" s="35"/>
      <c r="U59" s="35"/>
      <c r="V59" s="41"/>
      <c r="W59" s="35"/>
      <c r="X59" s="35"/>
      <c r="Y59" s="35"/>
      <c r="Z59" s="35"/>
      <c r="AA59" s="35"/>
      <c r="AB59" s="35"/>
      <c r="AC59" s="41"/>
      <c r="AD59" s="49" t="str">
        <f>CONCATENATE("TEST: ",B57)</f>
        <v>TEST: Base-year: Moto - City organisation</v>
      </c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</row>
    <row r="60" spans="1:46" s="22" customFormat="1" x14ac:dyDescent="0.25">
      <c r="A60" s="35"/>
      <c r="B60" s="52" t="s">
        <v>1053</v>
      </c>
      <c r="C60" s="26" t="s">
        <v>104</v>
      </c>
      <c r="D60" s="26" t="s">
        <v>1054</v>
      </c>
      <c r="E60" s="26" t="s">
        <v>673</v>
      </c>
      <c r="F60" s="26" t="s">
        <v>1155</v>
      </c>
      <c r="G60" s="26" t="s">
        <v>674</v>
      </c>
      <c r="H60" s="26" t="s">
        <v>1055</v>
      </c>
      <c r="I60" s="53" t="s">
        <v>1056</v>
      </c>
      <c r="J60" s="26" t="s">
        <v>982</v>
      </c>
      <c r="K60" s="42" t="s">
        <v>1123</v>
      </c>
      <c r="L60" s="26" t="s">
        <v>1057</v>
      </c>
      <c r="M60" s="73" t="s">
        <v>1058</v>
      </c>
      <c r="N60" s="26" t="str">
        <f t="shared" ref="N60:AB60" si="30">N$2</f>
        <v>Z01</v>
      </c>
      <c r="O60" s="26" t="str">
        <f t="shared" si="30"/>
        <v>Z02</v>
      </c>
      <c r="P60" s="26" t="str">
        <f t="shared" si="30"/>
        <v>Z03</v>
      </c>
      <c r="Q60" s="26" t="str">
        <f t="shared" si="30"/>
        <v>Z04</v>
      </c>
      <c r="R60" s="26" t="str">
        <f t="shared" si="30"/>
        <v>Z05</v>
      </c>
      <c r="S60" s="26" t="str">
        <f t="shared" si="30"/>
        <v>Z06</v>
      </c>
      <c r="T60" s="26" t="str">
        <f t="shared" si="30"/>
        <v>Z07</v>
      </c>
      <c r="U60" s="26" t="str">
        <f t="shared" si="30"/>
        <v>Z08</v>
      </c>
      <c r="V60" s="26" t="str">
        <f t="shared" si="30"/>
        <v>Z09</v>
      </c>
      <c r="W60" s="26" t="str">
        <f t="shared" si="30"/>
        <v>Z10</v>
      </c>
      <c r="X60" s="26" t="str">
        <f t="shared" si="30"/>
        <v>Z11</v>
      </c>
      <c r="Y60" s="26" t="str">
        <f t="shared" si="30"/>
        <v>Z12</v>
      </c>
      <c r="Z60" s="26" t="str">
        <f t="shared" si="30"/>
        <v>Z13</v>
      </c>
      <c r="AA60" s="26" t="str">
        <f t="shared" si="30"/>
        <v>Z14</v>
      </c>
      <c r="AB60" s="26" t="str">
        <f t="shared" si="30"/>
        <v>Z15</v>
      </c>
      <c r="AC60" s="48"/>
      <c r="AD60" s="382"/>
      <c r="AE60" s="382" t="s">
        <v>421</v>
      </c>
      <c r="AF60" s="382" t="str">
        <f t="shared" ref="AF60:AT60" si="31">AF29</f>
        <v>Z01</v>
      </c>
      <c r="AG60" s="382" t="str">
        <f t="shared" si="31"/>
        <v>Z02</v>
      </c>
      <c r="AH60" s="382" t="str">
        <f t="shared" si="31"/>
        <v>Z03</v>
      </c>
      <c r="AI60" s="382" t="str">
        <f t="shared" si="31"/>
        <v>Z04</v>
      </c>
      <c r="AJ60" s="382" t="str">
        <f t="shared" si="31"/>
        <v>Z05</v>
      </c>
      <c r="AK60" s="382" t="str">
        <f t="shared" si="31"/>
        <v>Z06</v>
      </c>
      <c r="AL60" s="382" t="str">
        <f t="shared" si="31"/>
        <v>Z07</v>
      </c>
      <c r="AM60" s="382" t="str">
        <f t="shared" si="31"/>
        <v>Z08</v>
      </c>
      <c r="AN60" s="382" t="str">
        <f t="shared" si="31"/>
        <v>Z09</v>
      </c>
      <c r="AO60" s="382" t="str">
        <f t="shared" si="31"/>
        <v>Z10</v>
      </c>
      <c r="AP60" s="382" t="str">
        <f t="shared" si="31"/>
        <v>Z11</v>
      </c>
      <c r="AQ60" s="382" t="str">
        <f t="shared" si="31"/>
        <v>Z12</v>
      </c>
      <c r="AR60" s="382" t="str">
        <f t="shared" si="31"/>
        <v>Z13</v>
      </c>
      <c r="AS60" s="382" t="str">
        <f t="shared" si="31"/>
        <v>Z14</v>
      </c>
      <c r="AT60" s="382" t="str">
        <f t="shared" si="31"/>
        <v>Z15</v>
      </c>
    </row>
    <row r="61" spans="1:46" s="22" customFormat="1" x14ac:dyDescent="0.25">
      <c r="A61" s="35"/>
      <c r="B61" s="176"/>
      <c r="C61" s="176"/>
      <c r="D61" s="176" t="s">
        <v>1062</v>
      </c>
      <c r="E61" s="176"/>
      <c r="F61" s="176"/>
      <c r="G61" s="176"/>
      <c r="H61" s="176"/>
      <c r="I61" s="177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35"/>
      <c r="AD61" s="398" t="s">
        <v>1124</v>
      </c>
      <c r="AE61" s="625" t="str">
        <f>IF(AE62-SUM(N11:AB11)&lt;0,"too small",IF(AE62-SUM(N11:AB11)&gt;0.001,"Too big","ok"))</f>
        <v>ok</v>
      </c>
      <c r="AF61" s="619" t="str">
        <f t="shared" ref="AF61:AT61" si="32">IF(AF62-N11&lt;0,"too small",IF(AF62-N11&gt;0.001,"Too big","ok"))</f>
        <v>ok</v>
      </c>
      <c r="AG61" s="619" t="str">
        <f t="shared" si="32"/>
        <v>ok</v>
      </c>
      <c r="AH61" s="619" t="str">
        <f t="shared" si="32"/>
        <v>ok</v>
      </c>
      <c r="AI61" s="619" t="str">
        <f t="shared" si="32"/>
        <v>ok</v>
      </c>
      <c r="AJ61" s="619" t="str">
        <f t="shared" si="32"/>
        <v>ok</v>
      </c>
      <c r="AK61" s="619" t="str">
        <f t="shared" si="32"/>
        <v>ok</v>
      </c>
      <c r="AL61" s="619" t="str">
        <f t="shared" si="32"/>
        <v>ok</v>
      </c>
      <c r="AM61" s="619" t="str">
        <f t="shared" si="32"/>
        <v>ok</v>
      </c>
      <c r="AN61" s="619" t="str">
        <f t="shared" si="32"/>
        <v>ok</v>
      </c>
      <c r="AO61" s="619" t="str">
        <f t="shared" si="32"/>
        <v>ok</v>
      </c>
      <c r="AP61" s="619" t="str">
        <f t="shared" si="32"/>
        <v>ok</v>
      </c>
      <c r="AQ61" s="619" t="str">
        <f t="shared" si="32"/>
        <v>ok</v>
      </c>
      <c r="AR61" s="619" t="str">
        <f t="shared" si="32"/>
        <v>ok</v>
      </c>
      <c r="AS61" s="619" t="str">
        <f t="shared" si="32"/>
        <v>ok</v>
      </c>
      <c r="AT61" s="619" t="str">
        <f t="shared" si="32"/>
        <v>ok</v>
      </c>
    </row>
    <row r="62" spans="1:46" s="82" customFormat="1" x14ac:dyDescent="0.25">
      <c r="B62" s="178" t="str">
        <f>C62</f>
        <v>TMOTELC900</v>
      </c>
      <c r="C62" s="178" t="s">
        <v>542</v>
      </c>
      <c r="D62" s="599" t="s">
        <v>875</v>
      </c>
      <c r="E62" s="600" t="s">
        <v>683</v>
      </c>
      <c r="F62" s="326"/>
      <c r="G62" s="178"/>
      <c r="H62" s="178"/>
      <c r="I62" s="183"/>
      <c r="J62" s="184"/>
      <c r="K62" s="184"/>
      <c r="L62" s="185" t="s">
        <v>1107</v>
      </c>
      <c r="M62" s="178" t="s">
        <v>1156</v>
      </c>
      <c r="N62" s="601">
        <f>10^-3</f>
        <v>1E-3</v>
      </c>
      <c r="O62" s="601">
        <f t="shared" ref="O62:AB62" si="33">$N62</f>
        <v>1E-3</v>
      </c>
      <c r="P62" s="601">
        <f t="shared" si="33"/>
        <v>1E-3</v>
      </c>
      <c r="Q62" s="601">
        <f t="shared" si="33"/>
        <v>1E-3</v>
      </c>
      <c r="R62" s="601">
        <f t="shared" si="33"/>
        <v>1E-3</v>
      </c>
      <c r="S62" s="601">
        <f t="shared" si="33"/>
        <v>1E-3</v>
      </c>
      <c r="T62" s="601">
        <f t="shared" si="33"/>
        <v>1E-3</v>
      </c>
      <c r="U62" s="601">
        <f t="shared" si="33"/>
        <v>1E-3</v>
      </c>
      <c r="V62" s="601">
        <f t="shared" si="33"/>
        <v>1E-3</v>
      </c>
      <c r="W62" s="601">
        <f t="shared" si="33"/>
        <v>1E-3</v>
      </c>
      <c r="X62" s="601">
        <f t="shared" si="33"/>
        <v>1E-3</v>
      </c>
      <c r="Y62" s="601">
        <f t="shared" si="33"/>
        <v>1E-3</v>
      </c>
      <c r="Z62" s="601">
        <f t="shared" si="33"/>
        <v>1E-3</v>
      </c>
      <c r="AA62" s="601">
        <f t="shared" si="33"/>
        <v>1E-3</v>
      </c>
      <c r="AB62" s="601">
        <f t="shared" si="33"/>
        <v>1E-3</v>
      </c>
      <c r="AD62" s="56" t="str">
        <f>MID(D62,6,3)</f>
        <v>ELC</v>
      </c>
      <c r="AE62" s="612">
        <f>SUM(AF62:AT62)</f>
        <v>1.0000000000000001E-9</v>
      </c>
      <c r="AF62" s="586">
        <f>SUM(AF64:AF77)</f>
        <v>1.0000000000000001E-9</v>
      </c>
      <c r="AG62" s="586">
        <f t="shared" ref="AG62:AT62" si="34">SUM(AG64:AG77)</f>
        <v>0</v>
      </c>
      <c r="AH62" s="586">
        <f t="shared" si="34"/>
        <v>0</v>
      </c>
      <c r="AI62" s="586">
        <f t="shared" si="34"/>
        <v>0</v>
      </c>
      <c r="AJ62" s="586">
        <f t="shared" si="34"/>
        <v>0</v>
      </c>
      <c r="AK62" s="586">
        <f t="shared" si="34"/>
        <v>0</v>
      </c>
      <c r="AL62" s="586">
        <f t="shared" si="34"/>
        <v>0</v>
      </c>
      <c r="AM62" s="586">
        <f t="shared" si="34"/>
        <v>0</v>
      </c>
      <c r="AN62" s="586">
        <f t="shared" si="34"/>
        <v>0</v>
      </c>
      <c r="AO62" s="586">
        <f t="shared" si="34"/>
        <v>0</v>
      </c>
      <c r="AP62" s="586">
        <f t="shared" si="34"/>
        <v>0</v>
      </c>
      <c r="AQ62" s="586">
        <f t="shared" si="34"/>
        <v>0</v>
      </c>
      <c r="AR62" s="586">
        <f t="shared" si="34"/>
        <v>0</v>
      </c>
      <c r="AS62" s="586">
        <f t="shared" si="34"/>
        <v>0</v>
      </c>
      <c r="AT62" s="586">
        <f t="shared" si="34"/>
        <v>0</v>
      </c>
    </row>
    <row r="63" spans="1:46" s="22" customFormat="1" x14ac:dyDescent="0.25">
      <c r="B63" s="186" t="str">
        <f>B62</f>
        <v>TMOTELC900</v>
      </c>
      <c r="C63" s="186"/>
      <c r="D63" s="602"/>
      <c r="E63" s="602"/>
      <c r="F63" s="186"/>
      <c r="G63" s="214" t="s">
        <v>76</v>
      </c>
      <c r="H63" s="186"/>
      <c r="I63" s="190"/>
      <c r="J63" s="191"/>
      <c r="K63" s="191"/>
      <c r="L63" s="191" t="s">
        <v>1126</v>
      </c>
      <c r="M63" s="186" t="s">
        <v>678</v>
      </c>
      <c r="N63" s="675">
        <f>T_CEFF!H101</f>
        <v>1.8799399999999999</v>
      </c>
      <c r="O63" s="675">
        <f>T_CEFF!I101</f>
        <v>1.8799399999999999</v>
      </c>
      <c r="P63" s="675">
        <f>T_CEFF!J101</f>
        <v>1.8799399999999999</v>
      </c>
      <c r="Q63" s="675">
        <f>T_CEFF!K101</f>
        <v>1.8799399999999999</v>
      </c>
      <c r="R63" s="675">
        <f>T_CEFF!L101</f>
        <v>1.8799399999999999</v>
      </c>
      <c r="S63" s="675">
        <f>T_CEFF!M101</f>
        <v>1.8799399999999999</v>
      </c>
      <c r="T63" s="675">
        <f>T_CEFF!N101</f>
        <v>1.8799399999999999</v>
      </c>
      <c r="U63" s="675">
        <f>T_CEFF!O101</f>
        <v>1.8799399999999999</v>
      </c>
      <c r="V63" s="675">
        <f>T_CEFF!P101</f>
        <v>1.8799399999999999</v>
      </c>
      <c r="W63" s="675">
        <f>T_CEFF!Q101</f>
        <v>1.8799399999999999</v>
      </c>
      <c r="X63" s="675">
        <f>T_CEFF!R101</f>
        <v>1.8799399999999999</v>
      </c>
      <c r="Y63" s="675">
        <f>T_CEFF!S101</f>
        <v>1.8799399999999999</v>
      </c>
      <c r="Z63" s="675">
        <f>T_CEFF!T101</f>
        <v>1.8799399999999999</v>
      </c>
      <c r="AA63" s="675">
        <f>T_CEFF!U101</f>
        <v>1.8799399999999999</v>
      </c>
      <c r="AB63" s="675">
        <f>T_CEFF!V101</f>
        <v>1.8799399999999999</v>
      </c>
      <c r="AD63" s="66" t="str">
        <f>IF(COUNTIF($AG$4:$AP$4,AD62)=1,"ok","MISSING")</f>
        <v>ok</v>
      </c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</row>
    <row r="64" spans="1:46" s="22" customFormat="1" x14ac:dyDescent="0.25">
      <c r="B64" s="186" t="str">
        <f t="shared" ref="B64:B72" si="35">B63</f>
        <v>TMOTELC900</v>
      </c>
      <c r="C64" s="186"/>
      <c r="D64" s="602"/>
      <c r="E64" s="186"/>
      <c r="F64" s="213"/>
      <c r="G64" s="186"/>
      <c r="H64" s="186"/>
      <c r="I64" s="190"/>
      <c r="J64" s="191"/>
      <c r="K64" s="191" t="s">
        <v>749</v>
      </c>
      <c r="L64" s="186" t="s">
        <v>1128</v>
      </c>
      <c r="M64" s="186" t="s">
        <v>1159</v>
      </c>
      <c r="N64" s="603">
        <f>N$15</f>
        <v>0</v>
      </c>
      <c r="O64" s="603">
        <f t="shared" ref="O64:AB64" si="36">O$15</f>
        <v>0</v>
      </c>
      <c r="P64" s="603">
        <f t="shared" si="36"/>
        <v>0</v>
      </c>
      <c r="Q64" s="603">
        <f t="shared" si="36"/>
        <v>0</v>
      </c>
      <c r="R64" s="603">
        <f t="shared" si="36"/>
        <v>0</v>
      </c>
      <c r="S64" s="603">
        <f t="shared" si="36"/>
        <v>0</v>
      </c>
      <c r="T64" s="603">
        <f t="shared" si="36"/>
        <v>0</v>
      </c>
      <c r="U64" s="603">
        <f t="shared" si="36"/>
        <v>0</v>
      </c>
      <c r="V64" s="603">
        <f t="shared" si="36"/>
        <v>0</v>
      </c>
      <c r="W64" s="603">
        <f t="shared" si="36"/>
        <v>0</v>
      </c>
      <c r="X64" s="603">
        <f t="shared" si="36"/>
        <v>0</v>
      </c>
      <c r="Y64" s="603">
        <f t="shared" si="36"/>
        <v>0</v>
      </c>
      <c r="Z64" s="603">
        <f t="shared" si="36"/>
        <v>0</v>
      </c>
      <c r="AA64" s="603">
        <f t="shared" si="36"/>
        <v>0</v>
      </c>
      <c r="AB64" s="603">
        <f t="shared" si="36"/>
        <v>0</v>
      </c>
    </row>
    <row r="65" spans="1:46" s="22" customFormat="1" x14ac:dyDescent="0.25">
      <c r="B65" s="186" t="str">
        <f t="shared" si="35"/>
        <v>TMOTELC900</v>
      </c>
      <c r="C65" s="186"/>
      <c r="D65" s="602"/>
      <c r="E65" s="186"/>
      <c r="F65" s="213"/>
      <c r="G65" s="186"/>
      <c r="H65" s="186"/>
      <c r="I65" s="190"/>
      <c r="J65" s="191"/>
      <c r="K65" s="191"/>
      <c r="L65" s="192" t="s">
        <v>1130</v>
      </c>
      <c r="M65" s="186" t="s">
        <v>1131</v>
      </c>
      <c r="N65" s="376">
        <f>T_NCAP_AF!D82*(1+N56)</f>
        <v>0</v>
      </c>
      <c r="O65" s="376">
        <f>T_NCAP_AF!E82*(1+O56)</f>
        <v>0</v>
      </c>
      <c r="P65" s="376">
        <f>T_NCAP_AF!F82*(1+P56)</f>
        <v>0</v>
      </c>
      <c r="Q65" s="376">
        <f>T_NCAP_AF!G82*(1+Q56)</f>
        <v>0</v>
      </c>
      <c r="R65" s="376">
        <f>T_NCAP_AF!H82*(1+R56)</f>
        <v>0</v>
      </c>
      <c r="S65" s="376">
        <f>T_NCAP_AF!I82*(1+S56)</f>
        <v>0</v>
      </c>
      <c r="T65" s="376">
        <f>T_NCAP_AF!J82*(1+T56)</f>
        <v>0</v>
      </c>
      <c r="U65" s="376">
        <f>T_NCAP_AF!K82*(1+U56)</f>
        <v>0</v>
      </c>
      <c r="V65" s="376">
        <f>T_NCAP_AF!L82*(1+V56)</f>
        <v>0</v>
      </c>
      <c r="W65" s="376">
        <f>T_NCAP_AF!M82*(1+W56)</f>
        <v>0</v>
      </c>
      <c r="X65" s="376">
        <f>T_NCAP_AF!N82*(1+X56)</f>
        <v>0</v>
      </c>
      <c r="Y65" s="376">
        <f>T_NCAP_AF!O82*(1+Y56)</f>
        <v>0</v>
      </c>
      <c r="Z65" s="376">
        <f>T_NCAP_AF!P82*(1+Z56)</f>
        <v>0</v>
      </c>
      <c r="AA65" s="376">
        <f>T_NCAP_AF!Q82*(1+AA56)</f>
        <v>0</v>
      </c>
      <c r="AB65" s="376">
        <f>T_NCAP_AF!R82*(1+AB56)</f>
        <v>0</v>
      </c>
      <c r="AE65" s="80">
        <f>SUM(AF65:AT65)</f>
        <v>1.0000000000000001E-9</v>
      </c>
      <c r="AF65" s="81">
        <f>N64*N65*N66/1000+10^-9</f>
        <v>1.0000000000000001E-9</v>
      </c>
      <c r="AG65" s="81">
        <f t="shared" ref="AG65:AT65" si="37">O64*O65*O66/1000</f>
        <v>0</v>
      </c>
      <c r="AH65" s="81">
        <f t="shared" si="37"/>
        <v>0</v>
      </c>
      <c r="AI65" s="81">
        <f t="shared" si="37"/>
        <v>0</v>
      </c>
      <c r="AJ65" s="81">
        <f t="shared" si="37"/>
        <v>0</v>
      </c>
      <c r="AK65" s="81">
        <f t="shared" si="37"/>
        <v>0</v>
      </c>
      <c r="AL65" s="81">
        <f t="shared" si="37"/>
        <v>0</v>
      </c>
      <c r="AM65" s="81">
        <f t="shared" si="37"/>
        <v>0</v>
      </c>
      <c r="AN65" s="81">
        <f t="shared" si="37"/>
        <v>0</v>
      </c>
      <c r="AO65" s="81">
        <f t="shared" si="37"/>
        <v>0</v>
      </c>
      <c r="AP65" s="81">
        <f t="shared" si="37"/>
        <v>0</v>
      </c>
      <c r="AQ65" s="81">
        <f t="shared" si="37"/>
        <v>0</v>
      </c>
      <c r="AR65" s="81">
        <f t="shared" si="37"/>
        <v>0</v>
      </c>
      <c r="AS65" s="81">
        <f t="shared" si="37"/>
        <v>0</v>
      </c>
      <c r="AT65" s="81">
        <f t="shared" si="37"/>
        <v>0</v>
      </c>
    </row>
    <row r="66" spans="1:46" s="22" customFormat="1" x14ac:dyDescent="0.25">
      <c r="B66" s="186" t="str">
        <f t="shared" si="35"/>
        <v>TMOTELC900</v>
      </c>
      <c r="C66" s="186"/>
      <c r="D66" s="602"/>
      <c r="E66" s="186"/>
      <c r="F66" s="213"/>
      <c r="G66" s="186"/>
      <c r="H66" s="186"/>
      <c r="I66" s="190">
        <f>$M$3</f>
        <v>2019</v>
      </c>
      <c r="J66" s="191"/>
      <c r="K66" s="191"/>
      <c r="L66" s="192" t="s">
        <v>1065</v>
      </c>
      <c r="M66" s="186" t="s">
        <v>748</v>
      </c>
      <c r="N66" s="687">
        <f>'T_Stock_TOTAL_&amp;_City'!D44*(1+TMO!N57)</f>
        <v>0</v>
      </c>
      <c r="O66" s="687">
        <f>'T_Stock_TOTAL_&amp;_City'!E44*(1+TMO!O57)</f>
        <v>0</v>
      </c>
      <c r="P66" s="687">
        <f>'T_Stock_TOTAL_&amp;_City'!F44*(1+TMO!P57)</f>
        <v>0</v>
      </c>
      <c r="Q66" s="687">
        <f>'T_Stock_TOTAL_&amp;_City'!G44*(1+TMO!Q57)</f>
        <v>0</v>
      </c>
      <c r="R66" s="687">
        <f>'T_Stock_TOTAL_&amp;_City'!H44*(1+TMO!R57)</f>
        <v>0</v>
      </c>
      <c r="S66" s="687">
        <f>'T_Stock_TOTAL_&amp;_City'!I44*(1+TMO!S57)</f>
        <v>0</v>
      </c>
      <c r="T66" s="687">
        <f>'T_Stock_TOTAL_&amp;_City'!J44*(1+TMO!T57)</f>
        <v>0</v>
      </c>
      <c r="U66" s="687">
        <f>'T_Stock_TOTAL_&amp;_City'!K44*(1+TMO!U57)</f>
        <v>0</v>
      </c>
      <c r="V66" s="687">
        <f>'T_Stock_TOTAL_&amp;_City'!L44*(1+TMO!V57)</f>
        <v>0</v>
      </c>
      <c r="W66" s="687">
        <f>'T_Stock_TOTAL_&amp;_City'!M44*(1+TMO!W57)</f>
        <v>0</v>
      </c>
      <c r="X66" s="687">
        <f>'T_Stock_TOTAL_&amp;_City'!N44*(1+TMO!X57)</f>
        <v>0</v>
      </c>
      <c r="Y66" s="687">
        <f>'T_Stock_TOTAL_&amp;_City'!O44*(1+TMO!Y57)</f>
        <v>0</v>
      </c>
      <c r="Z66" s="687">
        <f>'T_Stock_TOTAL_&amp;_City'!P44*(1+TMO!Z57)</f>
        <v>0</v>
      </c>
      <c r="AA66" s="687">
        <f>'T_Stock_TOTAL_&amp;_City'!Q44*(1+TMO!AA57)</f>
        <v>0</v>
      </c>
      <c r="AB66" s="687">
        <f>'T_Stock_TOTAL_&amp;_City'!R44*(1+TMO!AB57)</f>
        <v>0</v>
      </c>
    </row>
    <row r="67" spans="1:46" s="22" customFormat="1" x14ac:dyDescent="0.25">
      <c r="B67" s="186" t="str">
        <f t="shared" si="35"/>
        <v>TMOTELC900</v>
      </c>
      <c r="C67" s="186"/>
      <c r="D67" s="602"/>
      <c r="E67" s="186"/>
      <c r="F67" s="213"/>
      <c r="G67" s="186"/>
      <c r="H67" s="186"/>
      <c r="I67" s="190">
        <f>AF$5</f>
        <v>2016</v>
      </c>
      <c r="J67" s="191"/>
      <c r="K67" s="191"/>
      <c r="L67" s="192" t="s">
        <v>1065</v>
      </c>
      <c r="M67" s="186" t="s">
        <v>748</v>
      </c>
      <c r="N67" s="687">
        <f t="shared" ref="N67:AB67" si="38">N66*LOOKUP($AD62,$AG$4:$AP$4,$AG$5:$AP$5)</f>
        <v>0</v>
      </c>
      <c r="O67" s="687">
        <f t="shared" si="38"/>
        <v>0</v>
      </c>
      <c r="P67" s="687">
        <f t="shared" si="38"/>
        <v>0</v>
      </c>
      <c r="Q67" s="687">
        <f t="shared" si="38"/>
        <v>0</v>
      </c>
      <c r="R67" s="687">
        <f t="shared" si="38"/>
        <v>0</v>
      </c>
      <c r="S67" s="687">
        <f t="shared" si="38"/>
        <v>0</v>
      </c>
      <c r="T67" s="687">
        <f t="shared" si="38"/>
        <v>0</v>
      </c>
      <c r="U67" s="687">
        <f t="shared" si="38"/>
        <v>0</v>
      </c>
      <c r="V67" s="687">
        <f t="shared" si="38"/>
        <v>0</v>
      </c>
      <c r="W67" s="687">
        <f t="shared" si="38"/>
        <v>0</v>
      </c>
      <c r="X67" s="687">
        <f t="shared" si="38"/>
        <v>0</v>
      </c>
      <c r="Y67" s="687">
        <f t="shared" si="38"/>
        <v>0</v>
      </c>
      <c r="Z67" s="687">
        <f t="shared" si="38"/>
        <v>0</v>
      </c>
      <c r="AA67" s="687">
        <f t="shared" si="38"/>
        <v>0</v>
      </c>
      <c r="AB67" s="687">
        <f t="shared" si="38"/>
        <v>0</v>
      </c>
    </row>
    <row r="68" spans="1:46" s="22" customFormat="1" x14ac:dyDescent="0.25">
      <c r="B68" s="186" t="str">
        <f t="shared" si="35"/>
        <v>TMOTELC900</v>
      </c>
      <c r="C68" s="186"/>
      <c r="D68" s="602"/>
      <c r="E68" s="186"/>
      <c r="F68" s="213"/>
      <c r="G68" s="186"/>
      <c r="H68" s="186"/>
      <c r="I68" s="190">
        <f>AF$6</f>
        <v>2020</v>
      </c>
      <c r="J68" s="191"/>
      <c r="K68" s="191"/>
      <c r="L68" s="192" t="s">
        <v>1065</v>
      </c>
      <c r="M68" s="186" t="s">
        <v>748</v>
      </c>
      <c r="N68" s="687">
        <f t="shared" ref="N68:AB68" si="39">N66*LOOKUP($AD62,$AG$4:$AP$4,$AG$6:$AP$6)</f>
        <v>0</v>
      </c>
      <c r="O68" s="687">
        <f t="shared" si="39"/>
        <v>0</v>
      </c>
      <c r="P68" s="687">
        <f t="shared" si="39"/>
        <v>0</v>
      </c>
      <c r="Q68" s="687">
        <f t="shared" si="39"/>
        <v>0</v>
      </c>
      <c r="R68" s="687">
        <f t="shared" si="39"/>
        <v>0</v>
      </c>
      <c r="S68" s="687">
        <f t="shared" si="39"/>
        <v>0</v>
      </c>
      <c r="T68" s="687">
        <f t="shared" si="39"/>
        <v>0</v>
      </c>
      <c r="U68" s="687">
        <f t="shared" si="39"/>
        <v>0</v>
      </c>
      <c r="V68" s="687">
        <f t="shared" si="39"/>
        <v>0</v>
      </c>
      <c r="W68" s="687">
        <f t="shared" si="39"/>
        <v>0</v>
      </c>
      <c r="X68" s="687">
        <f t="shared" si="39"/>
        <v>0</v>
      </c>
      <c r="Y68" s="687">
        <f t="shared" si="39"/>
        <v>0</v>
      </c>
      <c r="Z68" s="687">
        <f t="shared" si="39"/>
        <v>0</v>
      </c>
      <c r="AA68" s="687">
        <f t="shared" si="39"/>
        <v>0</v>
      </c>
      <c r="AB68" s="687">
        <f t="shared" si="39"/>
        <v>0</v>
      </c>
    </row>
    <row r="69" spans="1:46" s="22" customFormat="1" x14ac:dyDescent="0.25">
      <c r="B69" s="186" t="str">
        <f t="shared" si="35"/>
        <v>TMOTELC900</v>
      </c>
      <c r="C69" s="186"/>
      <c r="D69" s="602"/>
      <c r="E69" s="186"/>
      <c r="F69" s="213"/>
      <c r="G69" s="186"/>
      <c r="H69" s="186"/>
      <c r="I69" s="190">
        <f>AF$7</f>
        <v>2025</v>
      </c>
      <c r="J69" s="191"/>
      <c r="K69" s="191"/>
      <c r="L69" s="192" t="s">
        <v>1065</v>
      </c>
      <c r="M69" s="186" t="s">
        <v>748</v>
      </c>
      <c r="N69" s="687">
        <f t="shared" ref="N69:AB69" si="40">N66*LOOKUP($AD62,$AG$4:$AP$4,$AG$7:$AP$7)</f>
        <v>0</v>
      </c>
      <c r="O69" s="687">
        <f t="shared" si="40"/>
        <v>0</v>
      </c>
      <c r="P69" s="687">
        <f t="shared" si="40"/>
        <v>0</v>
      </c>
      <c r="Q69" s="687">
        <f t="shared" si="40"/>
        <v>0</v>
      </c>
      <c r="R69" s="687">
        <f t="shared" si="40"/>
        <v>0</v>
      </c>
      <c r="S69" s="687">
        <f t="shared" si="40"/>
        <v>0</v>
      </c>
      <c r="T69" s="687">
        <f t="shared" si="40"/>
        <v>0</v>
      </c>
      <c r="U69" s="687">
        <f t="shared" si="40"/>
        <v>0</v>
      </c>
      <c r="V69" s="687">
        <f t="shared" si="40"/>
        <v>0</v>
      </c>
      <c r="W69" s="687">
        <f t="shared" si="40"/>
        <v>0</v>
      </c>
      <c r="X69" s="687">
        <f t="shared" si="40"/>
        <v>0</v>
      </c>
      <c r="Y69" s="687">
        <f t="shared" si="40"/>
        <v>0</v>
      </c>
      <c r="Z69" s="687">
        <f t="shared" si="40"/>
        <v>0</v>
      </c>
      <c r="AA69" s="687">
        <f t="shared" si="40"/>
        <v>0</v>
      </c>
      <c r="AB69" s="687">
        <f t="shared" si="40"/>
        <v>0</v>
      </c>
    </row>
    <row r="70" spans="1:46" s="22" customFormat="1" x14ac:dyDescent="0.25">
      <c r="B70" s="186" t="str">
        <f t="shared" si="35"/>
        <v>TMOTELC900</v>
      </c>
      <c r="C70" s="186"/>
      <c r="D70" s="602"/>
      <c r="E70" s="186"/>
      <c r="F70" s="213"/>
      <c r="G70" s="186"/>
      <c r="H70" s="186"/>
      <c r="I70" s="190">
        <f>AF$8</f>
        <v>2030</v>
      </c>
      <c r="J70" s="191"/>
      <c r="K70" s="191"/>
      <c r="L70" s="192" t="s">
        <v>1065</v>
      </c>
      <c r="M70" s="186" t="s">
        <v>748</v>
      </c>
      <c r="N70" s="687">
        <f t="shared" ref="N70:AB70" si="41">N66*LOOKUP($AD62,$AG$4:$AP$4,$AG$8:$AP$8)</f>
        <v>0</v>
      </c>
      <c r="O70" s="687">
        <f t="shared" si="41"/>
        <v>0</v>
      </c>
      <c r="P70" s="687">
        <f t="shared" si="41"/>
        <v>0</v>
      </c>
      <c r="Q70" s="687">
        <f t="shared" si="41"/>
        <v>0</v>
      </c>
      <c r="R70" s="687">
        <f t="shared" si="41"/>
        <v>0</v>
      </c>
      <c r="S70" s="687">
        <f t="shared" si="41"/>
        <v>0</v>
      </c>
      <c r="T70" s="687">
        <f t="shared" si="41"/>
        <v>0</v>
      </c>
      <c r="U70" s="687">
        <f t="shared" si="41"/>
        <v>0</v>
      </c>
      <c r="V70" s="687">
        <f t="shared" si="41"/>
        <v>0</v>
      </c>
      <c r="W70" s="687">
        <f t="shared" si="41"/>
        <v>0</v>
      </c>
      <c r="X70" s="687">
        <f t="shared" si="41"/>
        <v>0</v>
      </c>
      <c r="Y70" s="687">
        <f t="shared" si="41"/>
        <v>0</v>
      </c>
      <c r="Z70" s="687">
        <f t="shared" si="41"/>
        <v>0</v>
      </c>
      <c r="AA70" s="687">
        <f t="shared" si="41"/>
        <v>0</v>
      </c>
      <c r="AB70" s="687">
        <f t="shared" si="41"/>
        <v>0</v>
      </c>
    </row>
    <row r="71" spans="1:46" s="22" customFormat="1" x14ac:dyDescent="0.25">
      <c r="B71" s="186" t="str">
        <f t="shared" si="35"/>
        <v>TMOTELC900</v>
      </c>
      <c r="C71" s="186"/>
      <c r="D71" s="602"/>
      <c r="E71" s="186"/>
      <c r="F71" s="213"/>
      <c r="G71" s="186"/>
      <c r="H71" s="186"/>
      <c r="I71" s="190">
        <f>AF$9</f>
        <v>2040</v>
      </c>
      <c r="J71" s="191"/>
      <c r="K71" s="191"/>
      <c r="L71" s="192" t="s">
        <v>1065</v>
      </c>
      <c r="M71" s="186" t="s">
        <v>748</v>
      </c>
      <c r="N71" s="687">
        <f t="shared" ref="N71:AB71" si="42">N66*LOOKUP($AD62,$AG$4:$AP$4,$AG$9:$AP$9)</f>
        <v>0</v>
      </c>
      <c r="O71" s="687">
        <f t="shared" si="42"/>
        <v>0</v>
      </c>
      <c r="P71" s="687">
        <f t="shared" si="42"/>
        <v>0</v>
      </c>
      <c r="Q71" s="687">
        <f t="shared" si="42"/>
        <v>0</v>
      </c>
      <c r="R71" s="687">
        <f t="shared" si="42"/>
        <v>0</v>
      </c>
      <c r="S71" s="687">
        <f t="shared" si="42"/>
        <v>0</v>
      </c>
      <c r="T71" s="687">
        <f t="shared" si="42"/>
        <v>0</v>
      </c>
      <c r="U71" s="687">
        <f t="shared" si="42"/>
        <v>0</v>
      </c>
      <c r="V71" s="687">
        <f t="shared" si="42"/>
        <v>0</v>
      </c>
      <c r="W71" s="687">
        <f t="shared" si="42"/>
        <v>0</v>
      </c>
      <c r="X71" s="687">
        <f t="shared" si="42"/>
        <v>0</v>
      </c>
      <c r="Y71" s="687">
        <f t="shared" si="42"/>
        <v>0</v>
      </c>
      <c r="Z71" s="687">
        <f t="shared" si="42"/>
        <v>0</v>
      </c>
      <c r="AA71" s="687">
        <f t="shared" si="42"/>
        <v>0</v>
      </c>
      <c r="AB71" s="687">
        <f t="shared" si="42"/>
        <v>0</v>
      </c>
    </row>
    <row r="72" spans="1:46" s="22" customFormat="1" x14ac:dyDescent="0.25">
      <c r="B72" s="193" t="str">
        <f t="shared" si="35"/>
        <v>TMOTELC900</v>
      </c>
      <c r="C72" s="193"/>
      <c r="D72" s="604"/>
      <c r="E72" s="193"/>
      <c r="F72" s="215"/>
      <c r="G72" s="193"/>
      <c r="H72" s="193"/>
      <c r="I72" s="197">
        <f>AF$10</f>
        <v>2050</v>
      </c>
      <c r="J72" s="198"/>
      <c r="K72" s="198"/>
      <c r="L72" s="199" t="s">
        <v>1065</v>
      </c>
      <c r="M72" s="193" t="s">
        <v>748</v>
      </c>
      <c r="N72" s="688">
        <f t="shared" ref="N72:AB72" si="43">N66*LOOKUP($AD62,$AG$4:$AP$4,$AG$10:$AP$10)</f>
        <v>0</v>
      </c>
      <c r="O72" s="688">
        <f t="shared" si="43"/>
        <v>0</v>
      </c>
      <c r="P72" s="688">
        <f t="shared" si="43"/>
        <v>0</v>
      </c>
      <c r="Q72" s="688">
        <f t="shared" si="43"/>
        <v>0</v>
      </c>
      <c r="R72" s="688">
        <f t="shared" si="43"/>
        <v>0</v>
      </c>
      <c r="S72" s="688">
        <f t="shared" si="43"/>
        <v>0</v>
      </c>
      <c r="T72" s="688">
        <f t="shared" si="43"/>
        <v>0</v>
      </c>
      <c r="U72" s="688">
        <f t="shared" si="43"/>
        <v>0</v>
      </c>
      <c r="V72" s="688">
        <f t="shared" si="43"/>
        <v>0</v>
      </c>
      <c r="W72" s="688">
        <f t="shared" si="43"/>
        <v>0</v>
      </c>
      <c r="X72" s="688">
        <f t="shared" si="43"/>
        <v>0</v>
      </c>
      <c r="Y72" s="688">
        <f t="shared" si="43"/>
        <v>0</v>
      </c>
      <c r="Z72" s="688">
        <f t="shared" si="43"/>
        <v>0</v>
      </c>
      <c r="AA72" s="688">
        <f t="shared" si="43"/>
        <v>0</v>
      </c>
      <c r="AB72" s="688">
        <f t="shared" si="43"/>
        <v>0</v>
      </c>
      <c r="AD72" s="605"/>
    </row>
    <row r="73" spans="1:46" s="83" customFormat="1" x14ac:dyDescent="0.25">
      <c r="A73" s="82"/>
      <c r="B73" s="178" t="str">
        <f>C73</f>
        <v>TMOTGSL900</v>
      </c>
      <c r="C73" s="178" t="s">
        <v>543</v>
      </c>
      <c r="D73" s="179" t="s">
        <v>877</v>
      </c>
      <c r="E73" s="407" t="s">
        <v>1014</v>
      </c>
      <c r="F73" s="181"/>
      <c r="G73" s="182"/>
      <c r="H73" s="182"/>
      <c r="I73" s="183"/>
      <c r="J73" s="184"/>
      <c r="K73" s="184"/>
      <c r="L73" s="185" t="s">
        <v>1107</v>
      </c>
      <c r="M73" s="178" t="s">
        <v>1156</v>
      </c>
      <c r="N73" s="567">
        <f>10^-3</f>
        <v>1E-3</v>
      </c>
      <c r="O73" s="366">
        <f t="shared" ref="O73:AB73" si="44">$N73</f>
        <v>1E-3</v>
      </c>
      <c r="P73" s="366">
        <f t="shared" si="44"/>
        <v>1E-3</v>
      </c>
      <c r="Q73" s="366">
        <f t="shared" si="44"/>
        <v>1E-3</v>
      </c>
      <c r="R73" s="366">
        <f t="shared" si="44"/>
        <v>1E-3</v>
      </c>
      <c r="S73" s="366">
        <f t="shared" si="44"/>
        <v>1E-3</v>
      </c>
      <c r="T73" s="366">
        <f t="shared" si="44"/>
        <v>1E-3</v>
      </c>
      <c r="U73" s="366">
        <f t="shared" si="44"/>
        <v>1E-3</v>
      </c>
      <c r="V73" s="366">
        <f t="shared" si="44"/>
        <v>1E-3</v>
      </c>
      <c r="W73" s="366">
        <f t="shared" si="44"/>
        <v>1E-3</v>
      </c>
      <c r="X73" s="366">
        <f t="shared" si="44"/>
        <v>1E-3</v>
      </c>
      <c r="Y73" s="366">
        <f t="shared" si="44"/>
        <v>1E-3</v>
      </c>
      <c r="Z73" s="366">
        <f t="shared" si="44"/>
        <v>1E-3</v>
      </c>
      <c r="AA73" s="366">
        <f t="shared" si="44"/>
        <v>1E-3</v>
      </c>
      <c r="AB73" s="366">
        <f t="shared" si="44"/>
        <v>1E-3</v>
      </c>
      <c r="AD73" s="56" t="str">
        <f>MID(D73,6,3)</f>
        <v>GSL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</row>
    <row r="74" spans="1:46" s="35" customFormat="1" x14ac:dyDescent="0.25">
      <c r="A74" s="22"/>
      <c r="B74" s="186" t="str">
        <f>B73</f>
        <v>TMOTGSL900</v>
      </c>
      <c r="C74" s="186"/>
      <c r="D74" s="187"/>
      <c r="E74" s="258" t="s">
        <v>1012</v>
      </c>
      <c r="F74" s="189"/>
      <c r="G74" s="170"/>
      <c r="H74" s="170"/>
      <c r="I74" s="190"/>
      <c r="J74" s="191" t="s">
        <v>1157</v>
      </c>
      <c r="K74" s="191"/>
      <c r="L74" s="192" t="s">
        <v>101</v>
      </c>
      <c r="M74" s="186"/>
      <c r="N74" s="377">
        <f>N$19</f>
        <v>0.03</v>
      </c>
      <c r="O74" s="377">
        <f t="shared" ref="O74:AB74" si="45">O$19</f>
        <v>0.03</v>
      </c>
      <c r="P74" s="377">
        <f t="shared" si="45"/>
        <v>0.03</v>
      </c>
      <c r="Q74" s="377">
        <f t="shared" si="45"/>
        <v>0.03</v>
      </c>
      <c r="R74" s="377">
        <f t="shared" si="45"/>
        <v>0.03</v>
      </c>
      <c r="S74" s="377">
        <f t="shared" si="45"/>
        <v>0.03</v>
      </c>
      <c r="T74" s="377">
        <f t="shared" si="45"/>
        <v>0.03</v>
      </c>
      <c r="U74" s="377">
        <f t="shared" si="45"/>
        <v>0.03</v>
      </c>
      <c r="V74" s="377">
        <f t="shared" si="45"/>
        <v>0.03</v>
      </c>
      <c r="W74" s="377">
        <f t="shared" si="45"/>
        <v>0.03</v>
      </c>
      <c r="X74" s="377">
        <f t="shared" si="45"/>
        <v>0.03</v>
      </c>
      <c r="Y74" s="377">
        <f t="shared" si="45"/>
        <v>0.03</v>
      </c>
      <c r="Z74" s="377">
        <f t="shared" si="45"/>
        <v>0.03</v>
      </c>
      <c r="AA74" s="377">
        <f t="shared" si="45"/>
        <v>0.03</v>
      </c>
      <c r="AB74" s="377">
        <f t="shared" si="45"/>
        <v>0.03</v>
      </c>
      <c r="AD74" s="66" t="str">
        <f>IF(COUNTIF($AG$4:$AP$4,AD73)=1,"ok","MISSING")</f>
        <v>ok</v>
      </c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</row>
    <row r="75" spans="1:46" s="35" customFormat="1" x14ac:dyDescent="0.25">
      <c r="A75" s="22"/>
      <c r="B75" s="186" t="str">
        <f t="shared" ref="B75:B84" si="46">B74</f>
        <v>TMOTGSL900</v>
      </c>
      <c r="C75" s="186"/>
      <c r="D75" s="187"/>
      <c r="E75" s="187"/>
      <c r="F75" s="186"/>
      <c r="G75" s="258" t="s">
        <v>494</v>
      </c>
      <c r="H75" s="170"/>
      <c r="I75" s="190"/>
      <c r="J75" s="191"/>
      <c r="K75" s="191"/>
      <c r="L75" s="191" t="s">
        <v>1126</v>
      </c>
      <c r="M75" s="186" t="s">
        <v>678</v>
      </c>
      <c r="N75" s="377">
        <f>T_CEFF!H102</f>
        <v>0.69930000000000003</v>
      </c>
      <c r="O75" s="377">
        <f>T_CEFF!I102</f>
        <v>0.69930000000000003</v>
      </c>
      <c r="P75" s="377">
        <f>T_CEFF!J102</f>
        <v>0.69930000000000003</v>
      </c>
      <c r="Q75" s="377">
        <f>T_CEFF!K102</f>
        <v>0.69930000000000003</v>
      </c>
      <c r="R75" s="377">
        <f>T_CEFF!L102</f>
        <v>0.69930000000000003</v>
      </c>
      <c r="S75" s="377">
        <f>T_CEFF!M102</f>
        <v>0.69930000000000003</v>
      </c>
      <c r="T75" s="377">
        <f>T_CEFF!N102</f>
        <v>0.69930000000000003</v>
      </c>
      <c r="U75" s="377">
        <f>T_CEFF!O102</f>
        <v>0.69930000000000003</v>
      </c>
      <c r="V75" s="377">
        <f>T_CEFF!P102</f>
        <v>0.69930000000000003</v>
      </c>
      <c r="W75" s="377">
        <f>T_CEFF!Q102</f>
        <v>0.69930000000000003</v>
      </c>
      <c r="X75" s="377">
        <f>T_CEFF!R102</f>
        <v>0.69930000000000003</v>
      </c>
      <c r="Y75" s="377">
        <f>T_CEFF!S102</f>
        <v>0.69930000000000003</v>
      </c>
      <c r="Z75" s="377">
        <f>T_CEFF!T102</f>
        <v>0.69930000000000003</v>
      </c>
      <c r="AA75" s="377">
        <f>T_CEFF!U102</f>
        <v>0.69930000000000003</v>
      </c>
      <c r="AB75" s="377">
        <f>T_CEFF!V102</f>
        <v>0.69930000000000003</v>
      </c>
    </row>
    <row r="76" spans="1:46" s="35" customFormat="1" x14ac:dyDescent="0.25">
      <c r="A76" s="22"/>
      <c r="B76" s="186" t="str">
        <f t="shared" si="46"/>
        <v>TMOTGSL900</v>
      </c>
      <c r="C76" s="186"/>
      <c r="D76" s="187"/>
      <c r="E76" s="186"/>
      <c r="F76" s="189"/>
      <c r="G76" s="170"/>
      <c r="H76" s="170"/>
      <c r="I76" s="190"/>
      <c r="J76" s="191"/>
      <c r="K76" s="191" t="s">
        <v>749</v>
      </c>
      <c r="L76" s="186" t="s">
        <v>1128</v>
      </c>
      <c r="M76" s="186" t="s">
        <v>1159</v>
      </c>
      <c r="N76" s="368">
        <f>N$15</f>
        <v>0</v>
      </c>
      <c r="O76" s="368">
        <f t="shared" ref="O76:AB76" si="47">O$15</f>
        <v>0</v>
      </c>
      <c r="P76" s="368">
        <f t="shared" si="47"/>
        <v>0</v>
      </c>
      <c r="Q76" s="368">
        <f t="shared" si="47"/>
        <v>0</v>
      </c>
      <c r="R76" s="368">
        <f t="shared" si="47"/>
        <v>0</v>
      </c>
      <c r="S76" s="368">
        <f t="shared" si="47"/>
        <v>0</v>
      </c>
      <c r="T76" s="368">
        <f t="shared" si="47"/>
        <v>0</v>
      </c>
      <c r="U76" s="368">
        <f t="shared" si="47"/>
        <v>0</v>
      </c>
      <c r="V76" s="368">
        <f t="shared" si="47"/>
        <v>0</v>
      </c>
      <c r="W76" s="368">
        <f t="shared" si="47"/>
        <v>0</v>
      </c>
      <c r="X76" s="368">
        <f t="shared" si="47"/>
        <v>0</v>
      </c>
      <c r="Y76" s="368">
        <f t="shared" si="47"/>
        <v>0</v>
      </c>
      <c r="Z76" s="368">
        <f t="shared" si="47"/>
        <v>0</v>
      </c>
      <c r="AA76" s="368">
        <f t="shared" si="47"/>
        <v>0</v>
      </c>
      <c r="AB76" s="368">
        <f t="shared" si="47"/>
        <v>0</v>
      </c>
    </row>
    <row r="77" spans="1:46" s="35" customFormat="1" x14ac:dyDescent="0.25">
      <c r="A77" s="22"/>
      <c r="B77" s="186" t="str">
        <f t="shared" si="46"/>
        <v>TMOTGSL900</v>
      </c>
      <c r="C77" s="186"/>
      <c r="D77" s="187"/>
      <c r="E77" s="186"/>
      <c r="F77" s="189"/>
      <c r="G77" s="170"/>
      <c r="H77" s="170"/>
      <c r="I77" s="190"/>
      <c r="J77" s="191"/>
      <c r="K77" s="191"/>
      <c r="L77" s="192" t="s">
        <v>1130</v>
      </c>
      <c r="M77" s="186" t="s">
        <v>1131</v>
      </c>
      <c r="N77" s="376">
        <f>T_NCAP_AF!D85</f>
        <v>0</v>
      </c>
      <c r="O77" s="376">
        <f>T_NCAP_AF!E85</f>
        <v>0</v>
      </c>
      <c r="P77" s="376">
        <f>T_NCAP_AF!F85</f>
        <v>0</v>
      </c>
      <c r="Q77" s="376">
        <f>T_NCAP_AF!G85</f>
        <v>0</v>
      </c>
      <c r="R77" s="376">
        <f>T_NCAP_AF!H85</f>
        <v>0</v>
      </c>
      <c r="S77" s="376">
        <f>T_NCAP_AF!I85</f>
        <v>0</v>
      </c>
      <c r="T77" s="376">
        <f>T_NCAP_AF!J85</f>
        <v>0</v>
      </c>
      <c r="U77" s="376">
        <f>T_NCAP_AF!K85</f>
        <v>0</v>
      </c>
      <c r="V77" s="376">
        <f>T_NCAP_AF!L85</f>
        <v>0</v>
      </c>
      <c r="W77" s="376">
        <f>T_NCAP_AF!M85</f>
        <v>0</v>
      </c>
      <c r="X77" s="376">
        <f>T_NCAP_AF!N85</f>
        <v>0</v>
      </c>
      <c r="Y77" s="376">
        <f>T_NCAP_AF!O85</f>
        <v>0</v>
      </c>
      <c r="Z77" s="376">
        <f>T_NCAP_AF!P85</f>
        <v>0</v>
      </c>
      <c r="AA77" s="376">
        <f>T_NCAP_AF!Q85</f>
        <v>0</v>
      </c>
      <c r="AB77" s="376">
        <f>T_NCAP_AF!R85</f>
        <v>0</v>
      </c>
      <c r="AE77" s="80">
        <f>SUM(AF77:AT77)</f>
        <v>0</v>
      </c>
      <c r="AF77" s="81">
        <f t="shared" ref="AF77:AT77" si="48">N76*N77*N78/1000</f>
        <v>0</v>
      </c>
      <c r="AG77" s="81">
        <f t="shared" si="48"/>
        <v>0</v>
      </c>
      <c r="AH77" s="81">
        <f t="shared" si="48"/>
        <v>0</v>
      </c>
      <c r="AI77" s="81">
        <f t="shared" si="48"/>
        <v>0</v>
      </c>
      <c r="AJ77" s="81">
        <f t="shared" si="48"/>
        <v>0</v>
      </c>
      <c r="AK77" s="81">
        <f t="shared" si="48"/>
        <v>0</v>
      </c>
      <c r="AL77" s="81">
        <f t="shared" si="48"/>
        <v>0</v>
      </c>
      <c r="AM77" s="81">
        <f t="shared" si="48"/>
        <v>0</v>
      </c>
      <c r="AN77" s="81">
        <f t="shared" si="48"/>
        <v>0</v>
      </c>
      <c r="AO77" s="81">
        <f t="shared" si="48"/>
        <v>0</v>
      </c>
      <c r="AP77" s="81">
        <f t="shared" si="48"/>
        <v>0</v>
      </c>
      <c r="AQ77" s="81">
        <f t="shared" si="48"/>
        <v>0</v>
      </c>
      <c r="AR77" s="81">
        <f t="shared" si="48"/>
        <v>0</v>
      </c>
      <c r="AS77" s="81">
        <f t="shared" si="48"/>
        <v>0</v>
      </c>
      <c r="AT77" s="81">
        <f t="shared" si="48"/>
        <v>0</v>
      </c>
    </row>
    <row r="78" spans="1:46" s="35" customFormat="1" x14ac:dyDescent="0.25">
      <c r="A78" s="22"/>
      <c r="B78" s="186" t="str">
        <f t="shared" si="46"/>
        <v>TMOTGSL900</v>
      </c>
      <c r="C78" s="186"/>
      <c r="D78" s="187"/>
      <c r="E78" s="186"/>
      <c r="F78" s="189"/>
      <c r="G78" s="170"/>
      <c r="H78" s="170"/>
      <c r="I78" s="190">
        <f>$M$3</f>
        <v>2019</v>
      </c>
      <c r="J78" s="191"/>
      <c r="K78" s="191"/>
      <c r="L78" s="192" t="s">
        <v>1065</v>
      </c>
      <c r="M78" s="186" t="s">
        <v>748</v>
      </c>
      <c r="N78" s="687">
        <f>'T_Stock_TOTAL_&amp;_City'!D47*(1+TMO!N57)</f>
        <v>0</v>
      </c>
      <c r="O78" s="687">
        <f>'T_Stock_TOTAL_&amp;_City'!E47*(1+TMO!O57)</f>
        <v>0</v>
      </c>
      <c r="P78" s="687">
        <f>'T_Stock_TOTAL_&amp;_City'!F47*(1+TMO!P57)</f>
        <v>0</v>
      </c>
      <c r="Q78" s="687">
        <f>'T_Stock_TOTAL_&amp;_City'!G47*(1+TMO!Q57)</f>
        <v>0</v>
      </c>
      <c r="R78" s="687">
        <f>'T_Stock_TOTAL_&amp;_City'!H47*(1+TMO!R57)</f>
        <v>0</v>
      </c>
      <c r="S78" s="687">
        <f>'T_Stock_TOTAL_&amp;_City'!I47*(1+TMO!S57)</f>
        <v>0</v>
      </c>
      <c r="T78" s="687">
        <f>'T_Stock_TOTAL_&amp;_City'!J47*(1+TMO!T57)</f>
        <v>0</v>
      </c>
      <c r="U78" s="687">
        <f>'T_Stock_TOTAL_&amp;_City'!K47*(1+TMO!U57)</f>
        <v>0</v>
      </c>
      <c r="V78" s="687">
        <f>'T_Stock_TOTAL_&amp;_City'!L47*(1+TMO!V57)</f>
        <v>0</v>
      </c>
      <c r="W78" s="687">
        <f>'T_Stock_TOTAL_&amp;_City'!M47*(1+TMO!W57)</f>
        <v>0</v>
      </c>
      <c r="X78" s="687">
        <f>'T_Stock_TOTAL_&amp;_City'!N47*(1+TMO!X57)</f>
        <v>0</v>
      </c>
      <c r="Y78" s="687">
        <f>'T_Stock_TOTAL_&amp;_City'!O47*(1+TMO!Y57)</f>
        <v>0</v>
      </c>
      <c r="Z78" s="687">
        <f>'T_Stock_TOTAL_&amp;_City'!P47*(1+TMO!Z57)</f>
        <v>0</v>
      </c>
      <c r="AA78" s="687">
        <f>'T_Stock_TOTAL_&amp;_City'!Q47*(1+TMO!AA57)</f>
        <v>0</v>
      </c>
      <c r="AB78" s="687">
        <f>'T_Stock_TOTAL_&amp;_City'!R47*(1+TMO!AB57)</f>
        <v>0</v>
      </c>
    </row>
    <row r="79" spans="1:46" s="35" customFormat="1" x14ac:dyDescent="0.25">
      <c r="A79" s="22"/>
      <c r="B79" s="186" t="str">
        <f t="shared" si="46"/>
        <v>TMOTGSL900</v>
      </c>
      <c r="C79" s="186"/>
      <c r="D79" s="187"/>
      <c r="E79" s="186"/>
      <c r="F79" s="189"/>
      <c r="G79" s="170"/>
      <c r="H79" s="170"/>
      <c r="I79" s="190">
        <f>AF$5</f>
        <v>2016</v>
      </c>
      <c r="J79" s="191"/>
      <c r="K79" s="191"/>
      <c r="L79" s="192" t="s">
        <v>1065</v>
      </c>
      <c r="M79" s="186" t="s">
        <v>748</v>
      </c>
      <c r="N79" s="687">
        <f t="shared" ref="N79:AB79" si="49">N78*LOOKUP($AD73,$AG$4:$AP$4,$AG$5:$AP$5)</f>
        <v>0</v>
      </c>
      <c r="O79" s="687">
        <f t="shared" si="49"/>
        <v>0</v>
      </c>
      <c r="P79" s="687">
        <f t="shared" si="49"/>
        <v>0</v>
      </c>
      <c r="Q79" s="687">
        <f t="shared" si="49"/>
        <v>0</v>
      </c>
      <c r="R79" s="687">
        <f t="shared" si="49"/>
        <v>0</v>
      </c>
      <c r="S79" s="687">
        <f t="shared" si="49"/>
        <v>0</v>
      </c>
      <c r="T79" s="687">
        <f t="shared" si="49"/>
        <v>0</v>
      </c>
      <c r="U79" s="687">
        <f t="shared" si="49"/>
        <v>0</v>
      </c>
      <c r="V79" s="687">
        <f t="shared" si="49"/>
        <v>0</v>
      </c>
      <c r="W79" s="687">
        <f t="shared" si="49"/>
        <v>0</v>
      </c>
      <c r="X79" s="687">
        <f t="shared" si="49"/>
        <v>0</v>
      </c>
      <c r="Y79" s="687">
        <f t="shared" si="49"/>
        <v>0</v>
      </c>
      <c r="Z79" s="687">
        <f t="shared" si="49"/>
        <v>0</v>
      </c>
      <c r="AA79" s="687">
        <f t="shared" si="49"/>
        <v>0</v>
      </c>
      <c r="AB79" s="687">
        <f t="shared" si="49"/>
        <v>0</v>
      </c>
    </row>
    <row r="80" spans="1:46" s="35" customFormat="1" x14ac:dyDescent="0.25">
      <c r="A80" s="22"/>
      <c r="B80" s="186" t="str">
        <f t="shared" si="46"/>
        <v>TMOTGSL900</v>
      </c>
      <c r="C80" s="186"/>
      <c r="D80" s="187"/>
      <c r="E80" s="186"/>
      <c r="F80" s="189"/>
      <c r="G80" s="170"/>
      <c r="H80" s="170"/>
      <c r="I80" s="190">
        <f>AF$6</f>
        <v>2020</v>
      </c>
      <c r="J80" s="191"/>
      <c r="K80" s="191"/>
      <c r="L80" s="192" t="s">
        <v>1065</v>
      </c>
      <c r="M80" s="186" t="s">
        <v>748</v>
      </c>
      <c r="N80" s="687">
        <f t="shared" ref="N80:AB80" si="50">N78*LOOKUP($AD73,$AG$4:$AP$4,$AG$6:$AP$6)</f>
        <v>0</v>
      </c>
      <c r="O80" s="687">
        <f t="shared" si="50"/>
        <v>0</v>
      </c>
      <c r="P80" s="687">
        <f t="shared" si="50"/>
        <v>0</v>
      </c>
      <c r="Q80" s="687">
        <f t="shared" si="50"/>
        <v>0</v>
      </c>
      <c r="R80" s="687">
        <f t="shared" si="50"/>
        <v>0</v>
      </c>
      <c r="S80" s="687">
        <f t="shared" si="50"/>
        <v>0</v>
      </c>
      <c r="T80" s="687">
        <f t="shared" si="50"/>
        <v>0</v>
      </c>
      <c r="U80" s="687">
        <f t="shared" si="50"/>
        <v>0</v>
      </c>
      <c r="V80" s="687">
        <f t="shared" si="50"/>
        <v>0</v>
      </c>
      <c r="W80" s="687">
        <f t="shared" si="50"/>
        <v>0</v>
      </c>
      <c r="X80" s="687">
        <f t="shared" si="50"/>
        <v>0</v>
      </c>
      <c r="Y80" s="687">
        <f t="shared" si="50"/>
        <v>0</v>
      </c>
      <c r="Z80" s="687">
        <f t="shared" si="50"/>
        <v>0</v>
      </c>
      <c r="AA80" s="687">
        <f t="shared" si="50"/>
        <v>0</v>
      </c>
      <c r="AB80" s="687">
        <f t="shared" si="50"/>
        <v>0</v>
      </c>
    </row>
    <row r="81" spans="1:28" s="35" customFormat="1" x14ac:dyDescent="0.25">
      <c r="A81" s="22"/>
      <c r="B81" s="186" t="str">
        <f t="shared" si="46"/>
        <v>TMOTGSL900</v>
      </c>
      <c r="C81" s="186"/>
      <c r="D81" s="187"/>
      <c r="E81" s="186"/>
      <c r="F81" s="189"/>
      <c r="G81" s="170"/>
      <c r="H81" s="170"/>
      <c r="I81" s="190">
        <f>AF$7</f>
        <v>2025</v>
      </c>
      <c r="J81" s="191"/>
      <c r="K81" s="191"/>
      <c r="L81" s="192" t="s">
        <v>1065</v>
      </c>
      <c r="M81" s="186" t="s">
        <v>748</v>
      </c>
      <c r="N81" s="687">
        <f t="shared" ref="N81:AB81" si="51">N78*LOOKUP($AD73,$AG$4:$AP$4,$AG$7:$AP$7)</f>
        <v>0</v>
      </c>
      <c r="O81" s="687">
        <f t="shared" si="51"/>
        <v>0</v>
      </c>
      <c r="P81" s="687">
        <f t="shared" si="51"/>
        <v>0</v>
      </c>
      <c r="Q81" s="687">
        <f t="shared" si="51"/>
        <v>0</v>
      </c>
      <c r="R81" s="687">
        <f t="shared" si="51"/>
        <v>0</v>
      </c>
      <c r="S81" s="687">
        <f t="shared" si="51"/>
        <v>0</v>
      </c>
      <c r="T81" s="687">
        <f t="shared" si="51"/>
        <v>0</v>
      </c>
      <c r="U81" s="687">
        <f t="shared" si="51"/>
        <v>0</v>
      </c>
      <c r="V81" s="687">
        <f t="shared" si="51"/>
        <v>0</v>
      </c>
      <c r="W81" s="687">
        <f t="shared" si="51"/>
        <v>0</v>
      </c>
      <c r="X81" s="687">
        <f t="shared" si="51"/>
        <v>0</v>
      </c>
      <c r="Y81" s="687">
        <f t="shared" si="51"/>
        <v>0</v>
      </c>
      <c r="Z81" s="687">
        <f t="shared" si="51"/>
        <v>0</v>
      </c>
      <c r="AA81" s="687">
        <f t="shared" si="51"/>
        <v>0</v>
      </c>
      <c r="AB81" s="687">
        <f t="shared" si="51"/>
        <v>0</v>
      </c>
    </row>
    <row r="82" spans="1:28" s="35" customFormat="1" x14ac:dyDescent="0.25">
      <c r="A82" s="22"/>
      <c r="B82" s="186" t="str">
        <f t="shared" si="46"/>
        <v>TMOTGSL900</v>
      </c>
      <c r="C82" s="186"/>
      <c r="D82" s="187"/>
      <c r="E82" s="186"/>
      <c r="F82" s="189"/>
      <c r="G82" s="170"/>
      <c r="H82" s="170"/>
      <c r="I82" s="190">
        <f>AF$8</f>
        <v>2030</v>
      </c>
      <c r="J82" s="191"/>
      <c r="K82" s="191"/>
      <c r="L82" s="192" t="s">
        <v>1065</v>
      </c>
      <c r="M82" s="186" t="s">
        <v>748</v>
      </c>
      <c r="N82" s="687">
        <f t="shared" ref="N82:AB82" si="52">N78*LOOKUP($AD73,$AG$4:$AP$4,$AG$8:$AP$8)</f>
        <v>0</v>
      </c>
      <c r="O82" s="687">
        <f t="shared" si="52"/>
        <v>0</v>
      </c>
      <c r="P82" s="687">
        <f t="shared" si="52"/>
        <v>0</v>
      </c>
      <c r="Q82" s="687">
        <f t="shared" si="52"/>
        <v>0</v>
      </c>
      <c r="R82" s="687">
        <f t="shared" si="52"/>
        <v>0</v>
      </c>
      <c r="S82" s="687">
        <f t="shared" si="52"/>
        <v>0</v>
      </c>
      <c r="T82" s="687">
        <f t="shared" si="52"/>
        <v>0</v>
      </c>
      <c r="U82" s="687">
        <f t="shared" si="52"/>
        <v>0</v>
      </c>
      <c r="V82" s="687">
        <f t="shared" si="52"/>
        <v>0</v>
      </c>
      <c r="W82" s="687">
        <f t="shared" si="52"/>
        <v>0</v>
      </c>
      <c r="X82" s="687">
        <f t="shared" si="52"/>
        <v>0</v>
      </c>
      <c r="Y82" s="687">
        <f t="shared" si="52"/>
        <v>0</v>
      </c>
      <c r="Z82" s="687">
        <f t="shared" si="52"/>
        <v>0</v>
      </c>
      <c r="AA82" s="687">
        <f t="shared" si="52"/>
        <v>0</v>
      </c>
      <c r="AB82" s="687">
        <f t="shared" si="52"/>
        <v>0</v>
      </c>
    </row>
    <row r="83" spans="1:28" s="35" customFormat="1" x14ac:dyDescent="0.25">
      <c r="A83" s="22"/>
      <c r="B83" s="186" t="str">
        <f t="shared" si="46"/>
        <v>TMOTGSL900</v>
      </c>
      <c r="C83" s="186"/>
      <c r="D83" s="187"/>
      <c r="E83" s="186"/>
      <c r="F83" s="189"/>
      <c r="G83" s="170"/>
      <c r="H83" s="170"/>
      <c r="I83" s="190">
        <f>AF$9</f>
        <v>2040</v>
      </c>
      <c r="J83" s="191"/>
      <c r="K83" s="191"/>
      <c r="L83" s="192" t="s">
        <v>1065</v>
      </c>
      <c r="M83" s="186" t="s">
        <v>748</v>
      </c>
      <c r="N83" s="687">
        <f t="shared" ref="N83:AB83" si="53">N78*LOOKUP($AD73,$AG$4:$AP$4,$AG$9:$AP$9)</f>
        <v>0</v>
      </c>
      <c r="O83" s="687">
        <f t="shared" si="53"/>
        <v>0</v>
      </c>
      <c r="P83" s="687">
        <f t="shared" si="53"/>
        <v>0</v>
      </c>
      <c r="Q83" s="687">
        <f t="shared" si="53"/>
        <v>0</v>
      </c>
      <c r="R83" s="687">
        <f t="shared" si="53"/>
        <v>0</v>
      </c>
      <c r="S83" s="687">
        <f t="shared" si="53"/>
        <v>0</v>
      </c>
      <c r="T83" s="687">
        <f t="shared" si="53"/>
        <v>0</v>
      </c>
      <c r="U83" s="687">
        <f t="shared" si="53"/>
        <v>0</v>
      </c>
      <c r="V83" s="687">
        <f t="shared" si="53"/>
        <v>0</v>
      </c>
      <c r="W83" s="687">
        <f t="shared" si="53"/>
        <v>0</v>
      </c>
      <c r="X83" s="687">
        <f t="shared" si="53"/>
        <v>0</v>
      </c>
      <c r="Y83" s="687">
        <f t="shared" si="53"/>
        <v>0</v>
      </c>
      <c r="Z83" s="687">
        <f t="shared" si="53"/>
        <v>0</v>
      </c>
      <c r="AA83" s="687">
        <f t="shared" si="53"/>
        <v>0</v>
      </c>
      <c r="AB83" s="687">
        <f t="shared" si="53"/>
        <v>0</v>
      </c>
    </row>
    <row r="84" spans="1:28" s="35" customFormat="1" x14ac:dyDescent="0.25">
      <c r="A84" s="22"/>
      <c r="B84" s="193" t="str">
        <f t="shared" si="46"/>
        <v>TMOTGSL900</v>
      </c>
      <c r="C84" s="193"/>
      <c r="D84" s="194"/>
      <c r="E84" s="193"/>
      <c r="F84" s="195"/>
      <c r="G84" s="196"/>
      <c r="H84" s="196"/>
      <c r="I84" s="197">
        <f>AF$10</f>
        <v>2050</v>
      </c>
      <c r="J84" s="198"/>
      <c r="K84" s="198"/>
      <c r="L84" s="199" t="s">
        <v>1065</v>
      </c>
      <c r="M84" s="193" t="s">
        <v>748</v>
      </c>
      <c r="N84" s="688">
        <f t="shared" ref="N84:AB84" si="54">N78*LOOKUP($AD73,$AG$4:$AP$4,$AG$10:$AP$10)</f>
        <v>0</v>
      </c>
      <c r="O84" s="688">
        <f t="shared" si="54"/>
        <v>0</v>
      </c>
      <c r="P84" s="688">
        <f t="shared" si="54"/>
        <v>0</v>
      </c>
      <c r="Q84" s="688">
        <f t="shared" si="54"/>
        <v>0</v>
      </c>
      <c r="R84" s="688">
        <f t="shared" si="54"/>
        <v>0</v>
      </c>
      <c r="S84" s="688">
        <f t="shared" si="54"/>
        <v>0</v>
      </c>
      <c r="T84" s="688">
        <f t="shared" si="54"/>
        <v>0</v>
      </c>
      <c r="U84" s="688">
        <f t="shared" si="54"/>
        <v>0</v>
      </c>
      <c r="V84" s="688">
        <f t="shared" si="54"/>
        <v>0</v>
      </c>
      <c r="W84" s="688">
        <f t="shared" si="54"/>
        <v>0</v>
      </c>
      <c r="X84" s="688">
        <f t="shared" si="54"/>
        <v>0</v>
      </c>
      <c r="Y84" s="688">
        <f t="shared" si="54"/>
        <v>0</v>
      </c>
      <c r="Z84" s="688">
        <f t="shared" si="54"/>
        <v>0</v>
      </c>
      <c r="AA84" s="688">
        <f t="shared" si="54"/>
        <v>0</v>
      </c>
      <c r="AB84" s="688">
        <f t="shared" si="54"/>
        <v>0</v>
      </c>
    </row>
  </sheetData>
  <sortState xmlns:xlrd2="http://schemas.microsoft.com/office/spreadsheetml/2017/richdata2" ref="M25:AB26">
    <sortCondition ref="M25:M26"/>
  </sortState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theme="5" tint="0.59999389629810485"/>
  </sheetPr>
  <dimension ref="A1:BL140"/>
  <sheetViews>
    <sheetView topLeftCell="E1" zoomScale="75" zoomScaleNormal="75" workbookViewId="0">
      <selection activeCell="T45" sqref="T45"/>
    </sheetView>
  </sheetViews>
  <sheetFormatPr defaultColWidth="9.28515625" defaultRowHeight="15" x14ac:dyDescent="0.25"/>
  <cols>
    <col min="1" max="1" width="3.28515625" style="33" customWidth="1"/>
    <col min="2" max="2" width="23.7109375" style="33" customWidth="1"/>
    <col min="3" max="3" width="13.28515625" style="33" bestFit="1" customWidth="1"/>
    <col min="4" max="4" width="40" style="33" customWidth="1"/>
    <col min="5" max="6" width="13.28515625" style="33" customWidth="1"/>
    <col min="7" max="7" width="11.7109375" style="33" customWidth="1"/>
    <col min="8" max="8" width="13.7109375" style="33" customWidth="1"/>
    <col min="9" max="9" width="23.42578125" style="33" customWidth="1"/>
    <col min="10" max="10" width="20.28515625" style="33" customWidth="1"/>
    <col min="11" max="11" width="19.7109375" style="33" customWidth="1"/>
    <col min="12" max="12" width="23.42578125" style="33" customWidth="1"/>
    <col min="13" max="13" width="11.42578125" style="33" customWidth="1"/>
    <col min="14" max="15" width="13.5703125" style="33" customWidth="1"/>
    <col min="16" max="16" width="12.7109375" style="33" customWidth="1"/>
    <col min="17" max="19" width="13.5703125" style="33" customWidth="1"/>
    <col min="20" max="27" width="12.7109375" style="33" bestFit="1" customWidth="1"/>
    <col min="28" max="28" width="10.7109375" style="33" customWidth="1"/>
    <col min="29" max="29" width="13.7109375" style="33" customWidth="1"/>
    <col min="30" max="30" width="8.42578125" style="33" bestFit="1" customWidth="1"/>
    <col min="31" max="31" width="9.28515625" style="33" customWidth="1"/>
    <col min="32" max="45" width="8.42578125" style="33" bestFit="1" customWidth="1"/>
    <col min="46" max="46" width="9.28515625" style="33"/>
    <col min="47" max="47" width="10.7109375" style="33" customWidth="1"/>
    <col min="48" max="16384" width="9.28515625" style="33"/>
  </cols>
  <sheetData>
    <row r="1" spans="1:64" x14ac:dyDescent="0.25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25">
      <c r="A2" s="22"/>
      <c r="B2" s="148" t="s">
        <v>1193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E2" s="37" t="s">
        <v>1142</v>
      </c>
      <c r="AF2" s="38"/>
      <c r="AG2" s="38"/>
      <c r="AH2" s="33"/>
      <c r="AI2" s="33"/>
      <c r="AJ2" s="33"/>
      <c r="AK2" s="33"/>
      <c r="AL2" s="33"/>
      <c r="AM2" s="33"/>
      <c r="AN2" s="33"/>
    </row>
    <row r="3" spans="1:64" s="35" customFormat="1" x14ac:dyDescent="0.25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C3" s="375"/>
      <c r="AE3" s="38"/>
      <c r="AF3" s="38" t="s">
        <v>1194</v>
      </c>
      <c r="AG3" s="38" t="s">
        <v>1195</v>
      </c>
      <c r="AH3" s="33"/>
      <c r="AI3" s="33"/>
      <c r="AJ3" s="33"/>
      <c r="AK3" s="33"/>
      <c r="AL3" s="33"/>
      <c r="AM3" s="33"/>
      <c r="AN3" s="33"/>
    </row>
    <row r="4" spans="1:64" s="35" customFormat="1" x14ac:dyDescent="0.25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E4" s="38">
        <v>2016</v>
      </c>
      <c r="AF4" s="67">
        <v>0.99</v>
      </c>
      <c r="AG4" s="67">
        <v>0.99</v>
      </c>
      <c r="AH4" s="90"/>
      <c r="AI4" s="90"/>
      <c r="AJ4" s="90"/>
      <c r="AK4" s="90"/>
      <c r="AL4" s="90"/>
      <c r="AM4" s="90"/>
      <c r="AN4" s="90"/>
    </row>
    <row r="5" spans="1:64" s="35" customFormat="1" x14ac:dyDescent="0.25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E5" s="38">
        <v>2020</v>
      </c>
      <c r="AF5" s="67">
        <v>0.95</v>
      </c>
      <c r="AG5" s="67">
        <v>0.95</v>
      </c>
      <c r="AH5" s="90"/>
      <c r="AI5" s="90"/>
      <c r="AJ5" s="90"/>
      <c r="AK5" s="90"/>
      <c r="AL5" s="90"/>
      <c r="AM5" s="90"/>
      <c r="AN5" s="90"/>
      <c r="AV5" s="471" t="s">
        <v>1052</v>
      </c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</row>
    <row r="6" spans="1:64" s="35" customFormat="1" x14ac:dyDescent="0.25">
      <c r="H6" s="36"/>
      <c r="AE6" s="38">
        <f>AE5+5</f>
        <v>2025</v>
      </c>
      <c r="AF6" s="67">
        <v>0.9</v>
      </c>
      <c r="AG6" s="67">
        <v>0.9</v>
      </c>
      <c r="AH6" s="90"/>
      <c r="AI6" s="90"/>
      <c r="AJ6" s="90"/>
      <c r="AK6" s="90"/>
      <c r="AL6" s="90"/>
      <c r="AM6" s="90"/>
      <c r="AN6" s="90"/>
      <c r="AV6" s="701" t="s">
        <v>85</v>
      </c>
      <c r="AW6" s="701" t="s">
        <v>421</v>
      </c>
      <c r="AX6" s="701" t="str">
        <f t="shared" ref="AX6:BL6" si="2">M$2</f>
        <v>Z01</v>
      </c>
      <c r="AY6" s="701" t="str">
        <f t="shared" si="2"/>
        <v>Z02</v>
      </c>
      <c r="AZ6" s="701" t="str">
        <f t="shared" si="2"/>
        <v>Z03</v>
      </c>
      <c r="BA6" s="701" t="str">
        <f t="shared" si="2"/>
        <v>Z04</v>
      </c>
      <c r="BB6" s="701" t="str">
        <f t="shared" si="2"/>
        <v>Z05</v>
      </c>
      <c r="BC6" s="701" t="str">
        <f t="shared" si="2"/>
        <v>Z06</v>
      </c>
      <c r="BD6" s="701" t="str">
        <f t="shared" si="2"/>
        <v>Z07</v>
      </c>
      <c r="BE6" s="701" t="str">
        <f t="shared" si="2"/>
        <v>Z08</v>
      </c>
      <c r="BF6" s="701" t="str">
        <f t="shared" si="2"/>
        <v>Z09</v>
      </c>
      <c r="BG6" s="701" t="str">
        <f t="shared" si="2"/>
        <v>Z10</v>
      </c>
      <c r="BH6" s="701" t="str">
        <f t="shared" si="2"/>
        <v>Z11</v>
      </c>
      <c r="BI6" s="701" t="str">
        <f t="shared" si="2"/>
        <v>Z12</v>
      </c>
      <c r="BJ6" s="701" t="str">
        <f t="shared" si="2"/>
        <v>Z13</v>
      </c>
      <c r="BK6" s="701" t="str">
        <f t="shared" si="2"/>
        <v>Z14</v>
      </c>
      <c r="BL6" s="701" t="str">
        <f t="shared" si="2"/>
        <v>Z15</v>
      </c>
    </row>
    <row r="7" spans="1:64" x14ac:dyDescent="0.25">
      <c r="B7" s="34"/>
      <c r="G7" s="19"/>
      <c r="H7" s="19"/>
      <c r="K7" s="40" t="s">
        <v>1051</v>
      </c>
      <c r="L7" s="40"/>
      <c r="Q7" s="41"/>
      <c r="AE7" s="38">
        <f>AE6+5</f>
        <v>2030</v>
      </c>
      <c r="AF7" s="67">
        <v>0.8</v>
      </c>
      <c r="AG7" s="67">
        <v>0.8</v>
      </c>
      <c r="AH7" s="90"/>
      <c r="AI7" s="90"/>
      <c r="AJ7" s="90"/>
      <c r="AK7" s="90"/>
      <c r="AL7" s="90"/>
      <c r="AM7" s="90"/>
      <c r="AN7" s="90"/>
      <c r="AO7" s="35"/>
      <c r="AP7" s="35"/>
      <c r="AQ7" s="35"/>
      <c r="AR7" s="35"/>
      <c r="AS7" s="35"/>
      <c r="AT7" s="77">
        <f>AU7-7852</f>
        <v>-7852</v>
      </c>
      <c r="AU7" s="863">
        <f>AW7/3.6*1000</f>
        <v>0</v>
      </c>
      <c r="AV7" s="398" t="s">
        <v>103</v>
      </c>
      <c r="AW7" s="710">
        <f>SUM(AX7:BL7)</f>
        <v>0</v>
      </c>
      <c r="AX7" s="709">
        <f t="shared" ref="AX7:BL7" si="3">SUM(AX8:AX26)</f>
        <v>0</v>
      </c>
      <c r="AY7" s="709">
        <f t="shared" si="3"/>
        <v>0</v>
      </c>
      <c r="AZ7" s="709">
        <f t="shared" si="3"/>
        <v>0</v>
      </c>
      <c r="BA7" s="709">
        <f t="shared" si="3"/>
        <v>0</v>
      </c>
      <c r="BB7" s="709">
        <f t="shared" si="3"/>
        <v>0</v>
      </c>
      <c r="BC7" s="709">
        <f t="shared" si="3"/>
        <v>0</v>
      </c>
      <c r="BD7" s="709">
        <f t="shared" si="3"/>
        <v>0</v>
      </c>
      <c r="BE7" s="709">
        <f t="shared" si="3"/>
        <v>0</v>
      </c>
      <c r="BF7" s="709">
        <f t="shared" si="3"/>
        <v>0</v>
      </c>
      <c r="BG7" s="709">
        <f t="shared" si="3"/>
        <v>0</v>
      </c>
      <c r="BH7" s="709">
        <f t="shared" si="3"/>
        <v>0</v>
      </c>
      <c r="BI7" s="709">
        <f t="shared" si="3"/>
        <v>0</v>
      </c>
      <c r="BJ7" s="709">
        <f t="shared" si="3"/>
        <v>0</v>
      </c>
      <c r="BK7" s="709">
        <f t="shared" si="3"/>
        <v>0</v>
      </c>
      <c r="BL7" s="709">
        <f t="shared" si="3"/>
        <v>0</v>
      </c>
    </row>
    <row r="8" spans="1:64" x14ac:dyDescent="0.25">
      <c r="G8" s="512" t="s">
        <v>1196</v>
      </c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4">M$2</f>
        <v>Z01</v>
      </c>
      <c r="N8" s="43" t="str">
        <f t="shared" si="4"/>
        <v>Z02</v>
      </c>
      <c r="O8" s="43" t="str">
        <f t="shared" si="4"/>
        <v>Z03</v>
      </c>
      <c r="P8" s="43" t="str">
        <f t="shared" si="4"/>
        <v>Z04</v>
      </c>
      <c r="Q8" s="43" t="str">
        <f t="shared" si="4"/>
        <v>Z05</v>
      </c>
      <c r="R8" s="43" t="str">
        <f t="shared" si="4"/>
        <v>Z06</v>
      </c>
      <c r="S8" s="43" t="str">
        <f t="shared" si="4"/>
        <v>Z07</v>
      </c>
      <c r="T8" s="43" t="str">
        <f t="shared" si="4"/>
        <v>Z08</v>
      </c>
      <c r="U8" s="43" t="str">
        <f t="shared" si="4"/>
        <v>Z09</v>
      </c>
      <c r="V8" s="43" t="str">
        <f t="shared" si="4"/>
        <v>Z10</v>
      </c>
      <c r="W8" s="43" t="str">
        <f t="shared" si="4"/>
        <v>Z11</v>
      </c>
      <c r="X8" s="43" t="str">
        <f t="shared" si="4"/>
        <v>Z12</v>
      </c>
      <c r="Y8" s="43" t="str">
        <f t="shared" si="4"/>
        <v>Z13</v>
      </c>
      <c r="Z8" s="43" t="str">
        <f t="shared" si="4"/>
        <v>Z14</v>
      </c>
      <c r="AA8" s="43" t="str">
        <f t="shared" si="4"/>
        <v>Z15</v>
      </c>
      <c r="AC8" s="163" t="s">
        <v>421</v>
      </c>
      <c r="AE8" s="38">
        <f>AE7+10</f>
        <v>2040</v>
      </c>
      <c r="AF8" s="67">
        <v>0.7</v>
      </c>
      <c r="AG8" s="67">
        <v>0.7</v>
      </c>
      <c r="AH8" s="90"/>
      <c r="AI8" s="90"/>
      <c r="AJ8" s="90"/>
      <c r="AK8" s="90"/>
      <c r="AL8" s="90"/>
      <c r="AM8" s="90"/>
      <c r="AN8" s="90"/>
      <c r="AO8" s="35"/>
      <c r="AP8" s="35"/>
      <c r="AQ8" s="35"/>
      <c r="AR8" s="35"/>
      <c r="AS8" s="35"/>
      <c r="AV8" s="725" t="s">
        <v>988</v>
      </c>
      <c r="AW8" s="730">
        <f>SUM(AX8:BL8)</f>
        <v>0</v>
      </c>
      <c r="AX8" s="723"/>
      <c r="AY8" s="723"/>
      <c r="AZ8" s="723"/>
      <c r="BA8" s="723"/>
      <c r="BB8" s="723"/>
      <c r="BC8" s="723"/>
      <c r="BD8" s="723"/>
      <c r="BE8" s="723"/>
      <c r="BF8" s="723"/>
      <c r="BG8" s="723"/>
      <c r="BH8" s="723"/>
      <c r="BI8" s="723"/>
      <c r="BJ8" s="723"/>
      <c r="BK8" s="723"/>
      <c r="BL8" s="723"/>
    </row>
    <row r="9" spans="1:64" x14ac:dyDescent="0.25">
      <c r="G9" s="512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0.6</v>
      </c>
      <c r="AG9" s="67">
        <v>0.6</v>
      </c>
      <c r="AH9" s="90"/>
      <c r="AI9" s="90"/>
      <c r="AJ9" s="90"/>
      <c r="AK9" s="90"/>
      <c r="AL9" s="90"/>
      <c r="AM9" s="90"/>
      <c r="AN9" s="90"/>
      <c r="AO9" s="35"/>
      <c r="AP9" s="35"/>
      <c r="AQ9" s="35"/>
      <c r="AR9" s="35"/>
      <c r="AS9" s="35"/>
      <c r="AV9" s="725" t="s">
        <v>994</v>
      </c>
      <c r="AW9" s="730">
        <f t="shared" ref="AW9:AW12" si="5">SUM(AX9:BL9)</f>
        <v>0</v>
      </c>
      <c r="AX9" s="723"/>
      <c r="AY9" s="723"/>
      <c r="AZ9" s="723"/>
      <c r="BA9" s="723"/>
      <c r="BB9" s="723"/>
      <c r="BC9" s="723"/>
      <c r="BD9" s="723"/>
      <c r="BE9" s="723"/>
      <c r="BF9" s="723"/>
      <c r="BG9" s="723"/>
      <c r="BH9" s="723"/>
      <c r="BI9" s="723"/>
      <c r="BJ9" s="723"/>
      <c r="BK9" s="723"/>
      <c r="BL9" s="723"/>
    </row>
    <row r="10" spans="1:64" x14ac:dyDescent="0.25">
      <c r="A10" s="44"/>
      <c r="B10" s="44"/>
      <c r="C10" s="44"/>
      <c r="D10" s="35"/>
      <c r="E10" s="35"/>
      <c r="F10" s="44"/>
      <c r="G10" s="512" t="s">
        <v>518</v>
      </c>
      <c r="H10" s="172" t="s">
        <v>441</v>
      </c>
      <c r="I10" s="173" t="str">
        <f>LOOKUP(H10,TRA_Comm!$C$29:$C$90,TRA_Comm!$D$29:$D$90)</f>
        <v>Rail.Freight.</v>
      </c>
      <c r="J10" s="173"/>
      <c r="K10" s="173" t="s">
        <v>1118</v>
      </c>
      <c r="L10" s="173" t="s">
        <v>633</v>
      </c>
      <c r="M10" s="165">
        <f>SUMIF(DEMAND_Pkm_Tkm!$C$48:$C$71, $H10, DEMAND_Pkm_Tkm!G$48:G$71)</f>
        <v>0</v>
      </c>
      <c r="N10" s="165">
        <f>SUMIF(DEMAND_Pkm_Tkm!$C$48:$C$71, $H10, DEMAND_Pkm_Tkm!H$48:H$71)</f>
        <v>0</v>
      </c>
      <c r="O10" s="165">
        <f>SUMIF(DEMAND_Pkm_Tkm!$C$48:$C$71, $H10, DEMAND_Pkm_Tkm!I$48:I$71)</f>
        <v>0</v>
      </c>
      <c r="P10" s="165">
        <f>SUMIF(DEMAND_Pkm_Tkm!$C$48:$C$71, $H10, DEMAND_Pkm_Tkm!J$48:J$71)</f>
        <v>0</v>
      </c>
      <c r="Q10" s="165">
        <f>SUMIF(DEMAND_Pkm_Tkm!$C$48:$C$71, $H10, DEMAND_Pkm_Tkm!K$48:K$71)</f>
        <v>0</v>
      </c>
      <c r="R10" s="165">
        <f>SUMIF(DEMAND_Pkm_Tkm!$C$48:$C$71, $H10, DEMAND_Pkm_Tkm!L$48:L$71)</f>
        <v>0</v>
      </c>
      <c r="S10" s="165">
        <f>SUMIF(DEMAND_Pkm_Tkm!$C$48:$C$71, $H10, DEMAND_Pkm_Tkm!M$48:M$71)</f>
        <v>0</v>
      </c>
      <c r="T10" s="165">
        <f>SUMIF(DEMAND_Pkm_Tkm!$C$48:$C$71, $H10, DEMAND_Pkm_Tkm!N$48:N$71)</f>
        <v>0</v>
      </c>
      <c r="U10" s="165">
        <f>SUMIF(DEMAND_Pkm_Tkm!$C$48:$C$71, $H10, DEMAND_Pkm_Tkm!O$48:O$71)</f>
        <v>0</v>
      </c>
      <c r="V10" s="165">
        <f>SUMIF(DEMAND_Pkm_Tkm!$C$48:$C$71, $H10, DEMAND_Pkm_Tkm!P$48:P$71)</f>
        <v>0</v>
      </c>
      <c r="W10" s="165">
        <f>SUMIF(DEMAND_Pkm_Tkm!$C$48:$C$71, $H10, DEMAND_Pkm_Tkm!Q$48:Q$71)</f>
        <v>0</v>
      </c>
      <c r="X10" s="165">
        <f>SUMIF(DEMAND_Pkm_Tkm!$C$48:$C$71, $H10, DEMAND_Pkm_Tkm!R$48:R$71)</f>
        <v>0</v>
      </c>
      <c r="Y10" s="165">
        <f>SUMIF(DEMAND_Pkm_Tkm!$C$48:$C$71, $H10, DEMAND_Pkm_Tkm!S$48:S$71)</f>
        <v>0</v>
      </c>
      <c r="Z10" s="165">
        <f>SUMIF(DEMAND_Pkm_Tkm!$C$48:$C$71, $H10, DEMAND_Pkm_Tkm!T$48:T$71)</f>
        <v>0</v>
      </c>
      <c r="AA10" s="165">
        <f>SUMIF(DEMAND_Pkm_Tkm!$C$48:$C$71, $H10, DEMAND_Pkm_Tkm!U$48:U$71)</f>
        <v>0</v>
      </c>
      <c r="AC10" s="592">
        <f t="shared" ref="AC10:AC19" si="6">SUM(M10:AA10)</f>
        <v>0</v>
      </c>
      <c r="AN10" s="35"/>
      <c r="AO10" s="35"/>
      <c r="AP10" s="35"/>
      <c r="AQ10" s="35"/>
      <c r="AR10" s="35"/>
      <c r="AV10" s="725" t="s">
        <v>998</v>
      </c>
      <c r="AW10" s="730">
        <f t="shared" si="5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x14ac:dyDescent="0.25">
      <c r="A11" s="44"/>
      <c r="B11" s="44"/>
      <c r="C11" s="44"/>
      <c r="D11" s="35"/>
      <c r="E11" s="35"/>
      <c r="F11" s="44"/>
      <c r="G11" s="512" t="s">
        <v>518</v>
      </c>
      <c r="H11" s="541" t="s">
        <v>662</v>
      </c>
      <c r="I11" s="541" t="str">
        <f>LOOKUP(H11,TRA_Comm!$C$29:$C$90,TRA_Comm!$D$29:$D$90)</f>
        <v>Rail.Freight.City.</v>
      </c>
      <c r="J11" s="542"/>
      <c r="K11" s="542" t="s">
        <v>1118</v>
      </c>
      <c r="L11" s="542" t="s">
        <v>633</v>
      </c>
      <c r="M11" s="543">
        <f>SUMIF(DEMAND_Pkm_Tkm!$C$48:$C$71, $H11, DEMAND_Pkm_Tkm!G$48:G$71)</f>
        <v>0</v>
      </c>
      <c r="N11" s="543">
        <f>SUMIF(DEMAND_Pkm_Tkm!$C$48:$C$71, $H11, DEMAND_Pkm_Tkm!H$48:H$71)</f>
        <v>0</v>
      </c>
      <c r="O11" s="543">
        <f>SUMIF(DEMAND_Pkm_Tkm!$C$48:$C$71, $H11, DEMAND_Pkm_Tkm!I$48:I$71)</f>
        <v>0</v>
      </c>
      <c r="P11" s="543">
        <f>SUMIF(DEMAND_Pkm_Tkm!$C$48:$C$71, $H11, DEMAND_Pkm_Tkm!J$48:J$71)</f>
        <v>0</v>
      </c>
      <c r="Q11" s="543">
        <f>SUMIF(DEMAND_Pkm_Tkm!$C$48:$C$71, $H11, DEMAND_Pkm_Tkm!K$48:K$71)</f>
        <v>0</v>
      </c>
      <c r="R11" s="543">
        <f>SUMIF(DEMAND_Pkm_Tkm!$C$48:$C$71, $H11, DEMAND_Pkm_Tkm!L$48:L$71)</f>
        <v>0</v>
      </c>
      <c r="S11" s="543">
        <f>SUMIF(DEMAND_Pkm_Tkm!$C$48:$C$71, $H11, DEMAND_Pkm_Tkm!M$48:M$71)</f>
        <v>0</v>
      </c>
      <c r="T11" s="543">
        <f>SUMIF(DEMAND_Pkm_Tkm!$C$48:$C$71, $H11, DEMAND_Pkm_Tkm!N$48:N$71)</f>
        <v>0</v>
      </c>
      <c r="U11" s="543">
        <f>SUMIF(DEMAND_Pkm_Tkm!$C$48:$C$71, $H11, DEMAND_Pkm_Tkm!O$48:O$71)</f>
        <v>0</v>
      </c>
      <c r="V11" s="543">
        <f>SUMIF(DEMAND_Pkm_Tkm!$C$48:$C$71, $H11, DEMAND_Pkm_Tkm!P$48:P$71)</f>
        <v>0</v>
      </c>
      <c r="W11" s="543">
        <f>SUMIF(DEMAND_Pkm_Tkm!$C$48:$C$71, $H11, DEMAND_Pkm_Tkm!Q$48:Q$71)</f>
        <v>0</v>
      </c>
      <c r="X11" s="543">
        <f>SUMIF(DEMAND_Pkm_Tkm!$C$48:$C$71, $H11, DEMAND_Pkm_Tkm!R$48:R$71)</f>
        <v>0</v>
      </c>
      <c r="Y11" s="543">
        <f>SUMIF(DEMAND_Pkm_Tkm!$C$48:$C$71, $H11, DEMAND_Pkm_Tkm!S$48:S$71)</f>
        <v>0</v>
      </c>
      <c r="Z11" s="543">
        <f>SUMIF(DEMAND_Pkm_Tkm!$C$48:$C$71, $H11, DEMAND_Pkm_Tkm!T$48:T$71)</f>
        <v>0</v>
      </c>
      <c r="AA11" s="543">
        <f>SUMIF(DEMAND_Pkm_Tkm!$C$48:$C$71, $H11, DEMAND_Pkm_Tkm!U$48:U$71)</f>
        <v>0</v>
      </c>
      <c r="AC11" s="593">
        <f t="shared" si="6"/>
        <v>0</v>
      </c>
      <c r="AO11" s="35"/>
      <c r="AP11" s="35"/>
      <c r="AQ11" s="35"/>
      <c r="AR11" s="35"/>
      <c r="AV11" s="727" t="s">
        <v>1000</v>
      </c>
      <c r="AW11" s="730">
        <f t="shared" si="5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x14ac:dyDescent="0.25">
      <c r="A12" s="44"/>
      <c r="B12" s="44"/>
      <c r="C12" s="44"/>
      <c r="D12" s="35"/>
      <c r="E12" s="35"/>
      <c r="F12" s="44"/>
      <c r="G12" s="512" t="s">
        <v>1197</v>
      </c>
      <c r="H12" s="224" t="s">
        <v>419</v>
      </c>
      <c r="I12" s="173" t="str">
        <f>LOOKUP(H12,TRA_Comm!$C$29:$C$90,TRA_Comm!$D$29:$D$90)</f>
        <v>Rail.Passenger.HighSpeed.</v>
      </c>
      <c r="J12" s="173"/>
      <c r="K12" s="173" t="s">
        <v>1118</v>
      </c>
      <c r="L12" s="173" t="s">
        <v>583</v>
      </c>
      <c r="M12" s="165">
        <f>SUMIF(DEMAND_Pkm_Tkm!$C$6:$C$43, $H12, DEMAND_Pkm_Tkm!G$6:G$43)</f>
        <v>0</v>
      </c>
      <c r="N12" s="165">
        <f>SUMIF(DEMAND_Pkm_Tkm!$C$6:$C$43, $H12, DEMAND_Pkm_Tkm!H$6:H$43)</f>
        <v>0</v>
      </c>
      <c r="O12" s="165">
        <f>SUMIF(DEMAND_Pkm_Tkm!$C$6:$C$43, $H12, DEMAND_Pkm_Tkm!I$6:I$43)</f>
        <v>0</v>
      </c>
      <c r="P12" s="165">
        <f>SUMIF(DEMAND_Pkm_Tkm!$C$6:$C$43, $H12, DEMAND_Pkm_Tkm!J$6:J$43)</f>
        <v>0</v>
      </c>
      <c r="Q12" s="165">
        <f>SUMIF(DEMAND_Pkm_Tkm!$C$6:$C$43, $H12, DEMAND_Pkm_Tkm!K$6:K$43)</f>
        <v>0</v>
      </c>
      <c r="R12" s="165">
        <f>SUMIF(DEMAND_Pkm_Tkm!$C$6:$C$43, $H12, DEMAND_Pkm_Tkm!L$6:L$43)</f>
        <v>0</v>
      </c>
      <c r="S12" s="165">
        <f>SUMIF(DEMAND_Pkm_Tkm!$C$6:$C$43, $H12, DEMAND_Pkm_Tkm!M$6:M$43)</f>
        <v>0</v>
      </c>
      <c r="T12" s="165">
        <f>SUMIF(DEMAND_Pkm_Tkm!$C$6:$C$43, $H12, DEMAND_Pkm_Tkm!N$6:N$43)</f>
        <v>0</v>
      </c>
      <c r="U12" s="165">
        <f>SUMIF(DEMAND_Pkm_Tkm!$C$6:$C$43, $H12, DEMAND_Pkm_Tkm!O$6:O$43)</f>
        <v>0</v>
      </c>
      <c r="V12" s="165">
        <f>SUMIF(DEMAND_Pkm_Tkm!$C$6:$C$43, $H12, DEMAND_Pkm_Tkm!P$6:P$43)</f>
        <v>0</v>
      </c>
      <c r="W12" s="165">
        <f>SUMIF(DEMAND_Pkm_Tkm!$C$6:$C$43, $H12, DEMAND_Pkm_Tkm!Q$6:Q$43)</f>
        <v>0</v>
      </c>
      <c r="X12" s="165">
        <f>SUMIF(DEMAND_Pkm_Tkm!$C$6:$C$43, $H12, DEMAND_Pkm_Tkm!R$6:R$43)</f>
        <v>0</v>
      </c>
      <c r="Y12" s="165">
        <f>SUMIF(DEMAND_Pkm_Tkm!$C$6:$C$43, $H12, DEMAND_Pkm_Tkm!S$6:S$43)</f>
        <v>0</v>
      </c>
      <c r="Z12" s="165">
        <f>SUMIF(DEMAND_Pkm_Tkm!$C$6:$C$43, $H12, DEMAND_Pkm_Tkm!T$6:T$43)</f>
        <v>0</v>
      </c>
      <c r="AA12" s="165">
        <f>SUMIF(DEMAND_Pkm_Tkm!$C$6:$C$43, $H12, DEMAND_Pkm_Tkm!U$6:U$43)</f>
        <v>0</v>
      </c>
      <c r="AC12" s="592">
        <f t="shared" si="6"/>
        <v>0</v>
      </c>
      <c r="AO12" s="35"/>
      <c r="AP12" s="35"/>
      <c r="AQ12" s="35"/>
      <c r="AR12" s="35"/>
      <c r="AT12" s="77">
        <f>AU12-2480</f>
        <v>-2480</v>
      </c>
      <c r="AU12" s="863">
        <f>AW12/3.6*1000</f>
        <v>0</v>
      </c>
      <c r="AV12" s="727" t="s">
        <v>1002</v>
      </c>
      <c r="AW12" s="730">
        <f t="shared" si="5"/>
        <v>0</v>
      </c>
      <c r="AX12" s="723">
        <f>AX51+AX83</f>
        <v>0</v>
      </c>
      <c r="AY12" s="723">
        <f t="shared" ref="AY12:BL12" si="7">AY51+AY83</f>
        <v>0</v>
      </c>
      <c r="AZ12" s="723">
        <f t="shared" si="7"/>
        <v>0</v>
      </c>
      <c r="BA12" s="723">
        <f t="shared" si="7"/>
        <v>0</v>
      </c>
      <c r="BB12" s="723">
        <f t="shared" si="7"/>
        <v>0</v>
      </c>
      <c r="BC12" s="723">
        <f t="shared" si="7"/>
        <v>0</v>
      </c>
      <c r="BD12" s="723">
        <f t="shared" si="7"/>
        <v>0</v>
      </c>
      <c r="BE12" s="723">
        <f t="shared" si="7"/>
        <v>0</v>
      </c>
      <c r="BF12" s="723">
        <f t="shared" si="7"/>
        <v>0</v>
      </c>
      <c r="BG12" s="723">
        <f t="shared" si="7"/>
        <v>0</v>
      </c>
      <c r="BH12" s="723">
        <f t="shared" si="7"/>
        <v>0</v>
      </c>
      <c r="BI12" s="723">
        <f t="shared" si="7"/>
        <v>0</v>
      </c>
      <c r="BJ12" s="723">
        <f t="shared" si="7"/>
        <v>0</v>
      </c>
      <c r="BK12" s="723">
        <f t="shared" si="7"/>
        <v>0</v>
      </c>
      <c r="BL12" s="723">
        <f t="shared" si="7"/>
        <v>0</v>
      </c>
    </row>
    <row r="13" spans="1:64" x14ac:dyDescent="0.25">
      <c r="A13" s="44"/>
      <c r="B13" s="44"/>
      <c r="C13" s="44"/>
      <c r="D13" s="35"/>
      <c r="E13" s="35"/>
      <c r="F13" s="44"/>
      <c r="G13" s="512" t="s">
        <v>1197</v>
      </c>
      <c r="H13" s="224" t="s">
        <v>614</v>
      </c>
      <c r="I13" s="173" t="str">
        <f>LOOKUP(H13,TRA_Comm!$C$29:$C$90,TRA_Comm!$D$29:$D$90)</f>
        <v>Rail.Passenger.HighSpeed.City.</v>
      </c>
      <c r="J13" s="173"/>
      <c r="K13" s="173" t="s">
        <v>1118</v>
      </c>
      <c r="L13" s="173" t="s">
        <v>583</v>
      </c>
      <c r="M13" s="165">
        <f>SUMIF(DEMAND_Pkm_Tkm!$C$6:$C$43, $H13, DEMAND_Pkm_Tkm!G$6:G$43)</f>
        <v>0</v>
      </c>
      <c r="N13" s="165">
        <f>SUMIF(DEMAND_Pkm_Tkm!$C$6:$C$43, $H13, DEMAND_Pkm_Tkm!H$6:H$43)</f>
        <v>0</v>
      </c>
      <c r="O13" s="165">
        <f>SUMIF(DEMAND_Pkm_Tkm!$C$6:$C$43, $H13, DEMAND_Pkm_Tkm!I$6:I$43)</f>
        <v>0</v>
      </c>
      <c r="P13" s="165">
        <f>SUMIF(DEMAND_Pkm_Tkm!$C$6:$C$43, $H13, DEMAND_Pkm_Tkm!J$6:J$43)</f>
        <v>0</v>
      </c>
      <c r="Q13" s="165">
        <f>SUMIF(DEMAND_Pkm_Tkm!$C$6:$C$43, $H13, DEMAND_Pkm_Tkm!K$6:K$43)</f>
        <v>0</v>
      </c>
      <c r="R13" s="165">
        <f>SUMIF(DEMAND_Pkm_Tkm!$C$6:$C$43, $H13, DEMAND_Pkm_Tkm!L$6:L$43)</f>
        <v>0</v>
      </c>
      <c r="S13" s="165">
        <f>SUMIF(DEMAND_Pkm_Tkm!$C$6:$C$43, $H13, DEMAND_Pkm_Tkm!M$6:M$43)</f>
        <v>0</v>
      </c>
      <c r="T13" s="165">
        <f>SUMIF(DEMAND_Pkm_Tkm!$C$6:$C$43, $H13, DEMAND_Pkm_Tkm!N$6:N$43)</f>
        <v>0</v>
      </c>
      <c r="U13" s="165">
        <f>SUMIF(DEMAND_Pkm_Tkm!$C$6:$C$43, $H13, DEMAND_Pkm_Tkm!O$6:O$43)</f>
        <v>0</v>
      </c>
      <c r="V13" s="165">
        <f>SUMIF(DEMAND_Pkm_Tkm!$C$6:$C$43, $H13, DEMAND_Pkm_Tkm!P$6:P$43)</f>
        <v>0</v>
      </c>
      <c r="W13" s="165">
        <f>SUMIF(DEMAND_Pkm_Tkm!$C$6:$C$43, $H13, DEMAND_Pkm_Tkm!Q$6:Q$43)</f>
        <v>0</v>
      </c>
      <c r="X13" s="165">
        <f>SUMIF(DEMAND_Pkm_Tkm!$C$6:$C$43, $H13, DEMAND_Pkm_Tkm!R$6:R$43)</f>
        <v>0</v>
      </c>
      <c r="Y13" s="165">
        <f>SUMIF(DEMAND_Pkm_Tkm!$C$6:$C$43, $H13, DEMAND_Pkm_Tkm!S$6:S$43)</f>
        <v>0</v>
      </c>
      <c r="Z13" s="165">
        <f>SUMIF(DEMAND_Pkm_Tkm!$C$6:$C$43, $H13, DEMAND_Pkm_Tkm!T$6:T$43)</f>
        <v>0</v>
      </c>
      <c r="AA13" s="165">
        <f>SUMIF(DEMAND_Pkm_Tkm!$C$6:$C$43, $H13, DEMAND_Pkm_Tkm!U$6:U$43)</f>
        <v>0</v>
      </c>
      <c r="AC13" s="592">
        <f t="shared" si="6"/>
        <v>0</v>
      </c>
      <c r="AO13" s="35"/>
      <c r="AP13" s="35"/>
      <c r="AQ13" s="35"/>
      <c r="AR13" s="35"/>
      <c r="AU13" s="77"/>
      <c r="AV13" s="728" t="s">
        <v>185</v>
      </c>
      <c r="AW13" s="730">
        <f t="shared" ref="AW13:AW24" si="8">SUM(AX13:BL13)</f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x14ac:dyDescent="0.25">
      <c r="A14" s="44"/>
      <c r="B14" s="34"/>
      <c r="C14" s="44"/>
      <c r="D14" s="35"/>
      <c r="E14" s="35"/>
      <c r="F14" s="44"/>
      <c r="G14" s="512" t="s">
        <v>1198</v>
      </c>
      <c r="H14" s="172" t="s">
        <v>511</v>
      </c>
      <c r="I14" s="173" t="str">
        <f>LOOKUP(H14,TRA_Comm!$C$29:$C$90,TRA_Comm!$D$29:$D$90)</f>
        <v>Rail.Passenger.LightRail.</v>
      </c>
      <c r="J14" s="173"/>
      <c r="K14" s="173" t="s">
        <v>1118</v>
      </c>
      <c r="L14" s="173" t="s">
        <v>583</v>
      </c>
      <c r="M14" s="165">
        <f>SUMIF(DEMAND_Pkm_Tkm!$C$6:$C$43, $H14, DEMAND_Pkm_Tkm!G$6:G$43)</f>
        <v>0</v>
      </c>
      <c r="N14" s="165">
        <f>SUMIF(DEMAND_Pkm_Tkm!$C$6:$C$43, $H14, DEMAND_Pkm_Tkm!H$6:H$43)</f>
        <v>0</v>
      </c>
      <c r="O14" s="165">
        <f>SUMIF(DEMAND_Pkm_Tkm!$C$6:$C$43, $H14, DEMAND_Pkm_Tkm!I$6:I$43)</f>
        <v>0</v>
      </c>
      <c r="P14" s="165">
        <f>SUMIF(DEMAND_Pkm_Tkm!$C$6:$C$43, $H14, DEMAND_Pkm_Tkm!J$6:J$43)</f>
        <v>0</v>
      </c>
      <c r="Q14" s="165">
        <f>SUMIF(DEMAND_Pkm_Tkm!$C$6:$C$43, $H14, DEMAND_Pkm_Tkm!K$6:K$43)</f>
        <v>0</v>
      </c>
      <c r="R14" s="165">
        <f>SUMIF(DEMAND_Pkm_Tkm!$C$6:$C$43, $H14, DEMAND_Pkm_Tkm!L$6:L$43)</f>
        <v>0</v>
      </c>
      <c r="S14" s="165">
        <f>SUMIF(DEMAND_Pkm_Tkm!$C$6:$C$43, $H14, DEMAND_Pkm_Tkm!M$6:M$43)</f>
        <v>0</v>
      </c>
      <c r="T14" s="165">
        <f>SUMIF(DEMAND_Pkm_Tkm!$C$6:$C$43, $H14, DEMAND_Pkm_Tkm!N$6:N$43)</f>
        <v>0</v>
      </c>
      <c r="U14" s="165">
        <f>SUMIF(DEMAND_Pkm_Tkm!$C$6:$C$43, $H14, DEMAND_Pkm_Tkm!O$6:O$43)</f>
        <v>0</v>
      </c>
      <c r="V14" s="165">
        <f>SUMIF(DEMAND_Pkm_Tkm!$C$6:$C$43, $H14, DEMAND_Pkm_Tkm!P$6:P$43)</f>
        <v>0</v>
      </c>
      <c r="W14" s="165">
        <f>SUMIF(DEMAND_Pkm_Tkm!$C$6:$C$43, $H14, DEMAND_Pkm_Tkm!Q$6:Q$43)</f>
        <v>0</v>
      </c>
      <c r="X14" s="165">
        <f>SUMIF(DEMAND_Pkm_Tkm!$C$6:$C$43, $H14, DEMAND_Pkm_Tkm!R$6:R$43)</f>
        <v>0</v>
      </c>
      <c r="Y14" s="165">
        <f>SUMIF(DEMAND_Pkm_Tkm!$C$6:$C$43, $H14, DEMAND_Pkm_Tkm!S$6:S$43)</f>
        <v>0</v>
      </c>
      <c r="Z14" s="165">
        <f>SUMIF(DEMAND_Pkm_Tkm!$C$6:$C$43, $H14, DEMAND_Pkm_Tkm!T$6:T$43)</f>
        <v>0</v>
      </c>
      <c r="AA14" s="165">
        <f>SUMIF(DEMAND_Pkm_Tkm!$C$6:$C$43, $H14, DEMAND_Pkm_Tkm!U$6:U$43)</f>
        <v>0</v>
      </c>
      <c r="AC14" s="592">
        <f t="shared" si="6"/>
        <v>0</v>
      </c>
      <c r="AO14" s="35"/>
      <c r="AP14" s="35"/>
      <c r="AQ14" s="35"/>
      <c r="AR14" s="35"/>
      <c r="AU14" s="77"/>
      <c r="AV14" s="728" t="s">
        <v>683</v>
      </c>
      <c r="AW14" s="730">
        <f t="shared" si="8"/>
        <v>0</v>
      </c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</row>
    <row r="15" spans="1:64" x14ac:dyDescent="0.25">
      <c r="A15" s="44"/>
      <c r="B15" s="91"/>
      <c r="C15" s="44"/>
      <c r="D15" s="35"/>
      <c r="E15" s="35"/>
      <c r="F15" s="44"/>
      <c r="G15" s="512" t="s">
        <v>1198</v>
      </c>
      <c r="H15" s="172" t="s">
        <v>617</v>
      </c>
      <c r="I15" s="173" t="str">
        <f>LOOKUP(H15,TRA_Comm!$C$29:$C$90,TRA_Comm!$D$29:$D$90)</f>
        <v>Rail.Passenger.LightRail.City.</v>
      </c>
      <c r="J15" s="173"/>
      <c r="K15" s="173" t="s">
        <v>1118</v>
      </c>
      <c r="L15" s="173" t="s">
        <v>583</v>
      </c>
      <c r="M15" s="165">
        <f>SUMIF(DEMAND_Pkm_Tkm!$C$6:$C$43, $H15, DEMAND_Pkm_Tkm!G$6:G$43)</f>
        <v>0</v>
      </c>
      <c r="N15" s="165">
        <f>SUMIF(DEMAND_Pkm_Tkm!$C$6:$C$43, $H15, DEMAND_Pkm_Tkm!H$6:H$43)</f>
        <v>0</v>
      </c>
      <c r="O15" s="165">
        <f>SUMIF(DEMAND_Pkm_Tkm!$C$6:$C$43, $H15, DEMAND_Pkm_Tkm!I$6:I$43)</f>
        <v>0</v>
      </c>
      <c r="P15" s="165">
        <f>SUMIF(DEMAND_Pkm_Tkm!$C$6:$C$43, $H15, DEMAND_Pkm_Tkm!J$6:J$43)</f>
        <v>0</v>
      </c>
      <c r="Q15" s="165">
        <f>SUMIF(DEMAND_Pkm_Tkm!$C$6:$C$43, $H15, DEMAND_Pkm_Tkm!K$6:K$43)</f>
        <v>0</v>
      </c>
      <c r="R15" s="165">
        <f>SUMIF(DEMAND_Pkm_Tkm!$C$6:$C$43, $H15, DEMAND_Pkm_Tkm!L$6:L$43)</f>
        <v>0</v>
      </c>
      <c r="S15" s="165">
        <f>SUMIF(DEMAND_Pkm_Tkm!$C$6:$C$43, $H15, DEMAND_Pkm_Tkm!M$6:M$43)</f>
        <v>0</v>
      </c>
      <c r="T15" s="165">
        <f>SUMIF(DEMAND_Pkm_Tkm!$C$6:$C$43, $H15, DEMAND_Pkm_Tkm!N$6:N$43)</f>
        <v>0</v>
      </c>
      <c r="U15" s="165">
        <f>SUMIF(DEMAND_Pkm_Tkm!$C$6:$C$43, $H15, DEMAND_Pkm_Tkm!O$6:O$43)</f>
        <v>0</v>
      </c>
      <c r="V15" s="165">
        <f>SUMIF(DEMAND_Pkm_Tkm!$C$6:$C$43, $H15, DEMAND_Pkm_Tkm!P$6:P$43)</f>
        <v>0</v>
      </c>
      <c r="W15" s="165">
        <f>SUMIF(DEMAND_Pkm_Tkm!$C$6:$C$43, $H15, DEMAND_Pkm_Tkm!Q$6:Q$43)</f>
        <v>0</v>
      </c>
      <c r="X15" s="165">
        <f>SUMIF(DEMAND_Pkm_Tkm!$C$6:$C$43, $H15, DEMAND_Pkm_Tkm!R$6:R$43)</f>
        <v>0</v>
      </c>
      <c r="Y15" s="165">
        <f>SUMIF(DEMAND_Pkm_Tkm!$C$6:$C$43, $H15, DEMAND_Pkm_Tkm!S$6:S$43)</f>
        <v>0</v>
      </c>
      <c r="Z15" s="165">
        <f>SUMIF(DEMAND_Pkm_Tkm!$C$6:$C$43, $H15, DEMAND_Pkm_Tkm!T$6:T$43)</f>
        <v>0</v>
      </c>
      <c r="AA15" s="165">
        <f>SUMIF(DEMAND_Pkm_Tkm!$C$6:$C$43, $H15, DEMAND_Pkm_Tkm!U$6:U$43)</f>
        <v>0</v>
      </c>
      <c r="AC15" s="592">
        <f t="shared" si="6"/>
        <v>0</v>
      </c>
      <c r="AO15" s="35"/>
      <c r="AP15" s="35"/>
      <c r="AQ15" s="35"/>
      <c r="AR15" s="35"/>
      <c r="AT15" s="77">
        <f>AU15-5372</f>
        <v>-5372</v>
      </c>
      <c r="AU15" s="863">
        <f>AW15/3.6*1000</f>
        <v>0</v>
      </c>
      <c r="AV15" s="727" t="s">
        <v>1008</v>
      </c>
      <c r="AW15" s="730">
        <f t="shared" si="8"/>
        <v>0</v>
      </c>
      <c r="AX15" s="723">
        <f>AX39+AX64+AX96+AX115+AX127</f>
        <v>0</v>
      </c>
      <c r="AY15" s="723">
        <f t="shared" ref="AY15:BL15" si="9">AY39+AY64+AY96+AY115+AY127</f>
        <v>0</v>
      </c>
      <c r="AZ15" s="723">
        <f t="shared" si="9"/>
        <v>0</v>
      </c>
      <c r="BA15" s="723">
        <f t="shared" si="9"/>
        <v>0</v>
      </c>
      <c r="BB15" s="723">
        <f t="shared" si="9"/>
        <v>0</v>
      </c>
      <c r="BC15" s="723">
        <f t="shared" si="9"/>
        <v>0</v>
      </c>
      <c r="BD15" s="723">
        <f t="shared" si="9"/>
        <v>0</v>
      </c>
      <c r="BE15" s="723">
        <f t="shared" si="9"/>
        <v>0</v>
      </c>
      <c r="BF15" s="723">
        <f t="shared" si="9"/>
        <v>0</v>
      </c>
      <c r="BG15" s="723">
        <f t="shared" si="9"/>
        <v>0</v>
      </c>
      <c r="BH15" s="723">
        <f t="shared" si="9"/>
        <v>0</v>
      </c>
      <c r="BI15" s="723">
        <f t="shared" si="9"/>
        <v>0</v>
      </c>
      <c r="BJ15" s="723">
        <f t="shared" si="9"/>
        <v>0</v>
      </c>
      <c r="BK15" s="723">
        <f t="shared" si="9"/>
        <v>0</v>
      </c>
      <c r="BL15" s="723">
        <f t="shared" si="9"/>
        <v>0</v>
      </c>
    </row>
    <row r="16" spans="1:64" x14ac:dyDescent="0.25">
      <c r="A16" s="44"/>
      <c r="B16" s="91"/>
      <c r="C16" s="44"/>
      <c r="D16" s="35"/>
      <c r="E16" s="35"/>
      <c r="F16" s="44"/>
      <c r="G16" s="512" t="s">
        <v>1198</v>
      </c>
      <c r="H16" s="172" t="s">
        <v>513</v>
      </c>
      <c r="I16" s="173" t="str">
        <f>LOOKUP(H16,TRA_Comm!$C$29:$C$90,TRA_Comm!$D$29:$D$90)</f>
        <v>Rail.Passenger.Metro.</v>
      </c>
      <c r="J16" s="173"/>
      <c r="K16" s="173" t="s">
        <v>1118</v>
      </c>
      <c r="L16" s="173" t="s">
        <v>583</v>
      </c>
      <c r="M16" s="165">
        <f>SUMIF(DEMAND_Pkm_Tkm!$C$6:$C$43, $H16, DEMAND_Pkm_Tkm!G$6:G$43)</f>
        <v>0</v>
      </c>
      <c r="N16" s="165">
        <f>SUMIF(DEMAND_Pkm_Tkm!$C$6:$C$43, $H16, DEMAND_Pkm_Tkm!H$6:H$43)</f>
        <v>0</v>
      </c>
      <c r="O16" s="165">
        <f>SUMIF(DEMAND_Pkm_Tkm!$C$6:$C$43, $H16, DEMAND_Pkm_Tkm!I$6:I$43)</f>
        <v>0</v>
      </c>
      <c r="P16" s="165">
        <f>SUMIF(DEMAND_Pkm_Tkm!$C$6:$C$43, $H16, DEMAND_Pkm_Tkm!J$6:J$43)</f>
        <v>0</v>
      </c>
      <c r="Q16" s="165">
        <f>SUMIF(DEMAND_Pkm_Tkm!$C$6:$C$43, $H16, DEMAND_Pkm_Tkm!K$6:K$43)</f>
        <v>0</v>
      </c>
      <c r="R16" s="165">
        <f>SUMIF(DEMAND_Pkm_Tkm!$C$6:$C$43, $H16, DEMAND_Pkm_Tkm!L$6:L$43)</f>
        <v>0</v>
      </c>
      <c r="S16" s="165">
        <f>SUMIF(DEMAND_Pkm_Tkm!$C$6:$C$43, $H16, DEMAND_Pkm_Tkm!M$6:M$43)</f>
        <v>0</v>
      </c>
      <c r="T16" s="165">
        <f>SUMIF(DEMAND_Pkm_Tkm!$C$6:$C$43, $H16, DEMAND_Pkm_Tkm!N$6:N$43)</f>
        <v>0</v>
      </c>
      <c r="U16" s="165">
        <f>SUMIF(DEMAND_Pkm_Tkm!$C$6:$C$43, $H16, DEMAND_Pkm_Tkm!O$6:O$43)</f>
        <v>0</v>
      </c>
      <c r="V16" s="165">
        <f>SUMIF(DEMAND_Pkm_Tkm!$C$6:$C$43, $H16, DEMAND_Pkm_Tkm!P$6:P$43)</f>
        <v>0</v>
      </c>
      <c r="W16" s="165">
        <f>SUMIF(DEMAND_Pkm_Tkm!$C$6:$C$43, $H16, DEMAND_Pkm_Tkm!Q$6:Q$43)</f>
        <v>0</v>
      </c>
      <c r="X16" s="165">
        <f>SUMIF(DEMAND_Pkm_Tkm!$C$6:$C$43, $H16, DEMAND_Pkm_Tkm!R$6:R$43)</f>
        <v>0</v>
      </c>
      <c r="Y16" s="165">
        <f>SUMIF(DEMAND_Pkm_Tkm!$C$6:$C$43, $H16, DEMAND_Pkm_Tkm!S$6:S$43)</f>
        <v>0</v>
      </c>
      <c r="Z16" s="165">
        <f>SUMIF(DEMAND_Pkm_Tkm!$C$6:$C$43, $H16, DEMAND_Pkm_Tkm!T$6:T$43)</f>
        <v>0</v>
      </c>
      <c r="AA16" s="165">
        <f>SUMIF(DEMAND_Pkm_Tkm!$C$6:$C$43, $H16, DEMAND_Pkm_Tkm!U$6:U$43)</f>
        <v>0</v>
      </c>
      <c r="AC16" s="592">
        <f t="shared" si="6"/>
        <v>0</v>
      </c>
      <c r="AO16" s="35"/>
      <c r="AP16" s="35"/>
      <c r="AQ16" s="35"/>
      <c r="AR16" s="35"/>
      <c r="AU16" s="77"/>
      <c r="AV16" s="728" t="s">
        <v>1010</v>
      </c>
      <c r="AW16" s="730">
        <f t="shared" si="8"/>
        <v>0</v>
      </c>
      <c r="AX16" s="723"/>
      <c r="AY16" s="723"/>
      <c r="AZ16" s="723"/>
      <c r="BA16" s="723"/>
      <c r="BB16" s="723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</row>
    <row r="17" spans="1:64" x14ac:dyDescent="0.25">
      <c r="A17" s="44"/>
      <c r="B17" s="44"/>
      <c r="C17" s="44"/>
      <c r="D17" s="35"/>
      <c r="E17" s="35"/>
      <c r="F17" s="44"/>
      <c r="G17" s="512" t="s">
        <v>1198</v>
      </c>
      <c r="H17" s="172" t="s">
        <v>620</v>
      </c>
      <c r="I17" s="173" t="str">
        <f>LOOKUP(H17,TRA_Comm!$C$29:$C$90,TRA_Comm!$D$29:$D$90)</f>
        <v>Rail.Passenger.Metro.City.</v>
      </c>
      <c r="J17" s="173"/>
      <c r="K17" s="173" t="s">
        <v>1118</v>
      </c>
      <c r="L17" s="173" t="s">
        <v>583</v>
      </c>
      <c r="M17" s="165">
        <f>SUMIF(DEMAND_Pkm_Tkm!$C$6:$C$43, $H17, DEMAND_Pkm_Tkm!G$6:G$43)</f>
        <v>0</v>
      </c>
      <c r="N17" s="165">
        <f>SUMIF(DEMAND_Pkm_Tkm!$C$6:$C$43, $H17, DEMAND_Pkm_Tkm!H$6:H$43)</f>
        <v>0</v>
      </c>
      <c r="O17" s="165">
        <f>SUMIF(DEMAND_Pkm_Tkm!$C$6:$C$43, $H17, DEMAND_Pkm_Tkm!I$6:I$43)</f>
        <v>0</v>
      </c>
      <c r="P17" s="165">
        <f>SUMIF(DEMAND_Pkm_Tkm!$C$6:$C$43, $H17, DEMAND_Pkm_Tkm!J$6:J$43)</f>
        <v>0</v>
      </c>
      <c r="Q17" s="165">
        <f>SUMIF(DEMAND_Pkm_Tkm!$C$6:$C$43, $H17, DEMAND_Pkm_Tkm!K$6:K$43)</f>
        <v>0</v>
      </c>
      <c r="R17" s="165">
        <f>SUMIF(DEMAND_Pkm_Tkm!$C$6:$C$43, $H17, DEMAND_Pkm_Tkm!L$6:L$43)</f>
        <v>0</v>
      </c>
      <c r="S17" s="165">
        <f>SUMIF(DEMAND_Pkm_Tkm!$C$6:$C$43, $H17, DEMAND_Pkm_Tkm!M$6:M$43)</f>
        <v>0</v>
      </c>
      <c r="T17" s="165">
        <f>SUMIF(DEMAND_Pkm_Tkm!$C$6:$C$43, $H17, DEMAND_Pkm_Tkm!N$6:N$43)</f>
        <v>0</v>
      </c>
      <c r="U17" s="165">
        <f>SUMIF(DEMAND_Pkm_Tkm!$C$6:$C$43, $H17, DEMAND_Pkm_Tkm!O$6:O$43)</f>
        <v>0</v>
      </c>
      <c r="V17" s="165">
        <f>SUMIF(DEMAND_Pkm_Tkm!$C$6:$C$43, $H17, DEMAND_Pkm_Tkm!P$6:P$43)</f>
        <v>0</v>
      </c>
      <c r="W17" s="165">
        <f>SUMIF(DEMAND_Pkm_Tkm!$C$6:$C$43, $H17, DEMAND_Pkm_Tkm!Q$6:Q$43)</f>
        <v>0</v>
      </c>
      <c r="X17" s="165">
        <f>SUMIF(DEMAND_Pkm_Tkm!$C$6:$C$43, $H17, DEMAND_Pkm_Tkm!R$6:R$43)</f>
        <v>0</v>
      </c>
      <c r="Y17" s="165">
        <f>SUMIF(DEMAND_Pkm_Tkm!$C$6:$C$43, $H17, DEMAND_Pkm_Tkm!S$6:S$43)</f>
        <v>0</v>
      </c>
      <c r="Z17" s="165">
        <f>SUMIF(DEMAND_Pkm_Tkm!$C$6:$C$43, $H17, DEMAND_Pkm_Tkm!T$6:T$43)</f>
        <v>0</v>
      </c>
      <c r="AA17" s="165">
        <f>SUMIF(DEMAND_Pkm_Tkm!$C$6:$C$43, $H17, DEMAND_Pkm_Tkm!U$6:U$43)</f>
        <v>0</v>
      </c>
      <c r="AC17" s="592">
        <f t="shared" si="6"/>
        <v>0</v>
      </c>
      <c r="AO17" s="35"/>
      <c r="AP17" s="35"/>
      <c r="AQ17" s="35"/>
      <c r="AR17" s="35"/>
      <c r="AV17" s="728" t="s">
        <v>1012</v>
      </c>
      <c r="AW17" s="730">
        <f t="shared" si="8"/>
        <v>0</v>
      </c>
      <c r="AX17" s="723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25">
      <c r="A18" s="44"/>
      <c r="C18" s="44"/>
      <c r="D18" s="35"/>
      <c r="E18" s="35"/>
      <c r="F18" s="44"/>
      <c r="G18" s="512" t="s">
        <v>1197</v>
      </c>
      <c r="H18" s="172" t="s">
        <v>417</v>
      </c>
      <c r="I18" s="173" t="str">
        <f>LOOKUP(H18,TRA_Comm!$C$29:$C$90,TRA_Comm!$D$29:$D$90)</f>
        <v>Rail.Passenger.</v>
      </c>
      <c r="J18" s="173"/>
      <c r="K18" s="173" t="s">
        <v>1118</v>
      </c>
      <c r="L18" s="173" t="s">
        <v>583</v>
      </c>
      <c r="M18" s="825">
        <f>SUMIF(DEMAND_Pkm_Tkm!$C$6:$C$43, $H18, DEMAND_Pkm_Tkm!G$6:G$43)</f>
        <v>0</v>
      </c>
      <c r="N18" s="825">
        <f>SUMIF(DEMAND_Pkm_Tkm!$C$6:$C$43, $H18, DEMAND_Pkm_Tkm!H$6:H$43)</f>
        <v>0</v>
      </c>
      <c r="O18" s="825">
        <f>SUMIF(DEMAND_Pkm_Tkm!$C$6:$C$43, $H18, DEMAND_Pkm_Tkm!I$6:I$43)</f>
        <v>0</v>
      </c>
      <c r="P18" s="825">
        <f>SUMIF(DEMAND_Pkm_Tkm!$C$6:$C$43, $H18, DEMAND_Pkm_Tkm!J$6:J$43)</f>
        <v>0</v>
      </c>
      <c r="Q18" s="825">
        <f>SUMIF(DEMAND_Pkm_Tkm!$C$6:$C$43, $H18, DEMAND_Pkm_Tkm!K$6:K$43)</f>
        <v>0</v>
      </c>
      <c r="R18" s="825">
        <f>SUMIF(DEMAND_Pkm_Tkm!$C$6:$C$43, $H18, DEMAND_Pkm_Tkm!L$6:L$43)</f>
        <v>0</v>
      </c>
      <c r="S18" s="825">
        <f>SUMIF(DEMAND_Pkm_Tkm!$C$6:$C$43, $H18, DEMAND_Pkm_Tkm!M$6:M$43)</f>
        <v>0</v>
      </c>
      <c r="T18" s="825">
        <f>SUMIF(DEMAND_Pkm_Tkm!$C$6:$C$43, $H18, DEMAND_Pkm_Tkm!N$6:N$43)</f>
        <v>0</v>
      </c>
      <c r="U18" s="825">
        <f>SUMIF(DEMAND_Pkm_Tkm!$C$6:$C$43, $H18, DEMAND_Pkm_Tkm!O$6:O$43)</f>
        <v>0</v>
      </c>
      <c r="V18" s="825">
        <f>SUMIF(DEMAND_Pkm_Tkm!$C$6:$C$43, $H18, DEMAND_Pkm_Tkm!P$6:P$43)</f>
        <v>0</v>
      </c>
      <c r="W18" s="825">
        <f>SUMIF(DEMAND_Pkm_Tkm!$C$6:$C$43, $H18, DEMAND_Pkm_Tkm!Q$6:Q$43)</f>
        <v>0</v>
      </c>
      <c r="X18" s="825">
        <f>SUMIF(DEMAND_Pkm_Tkm!$C$6:$C$43, $H18, DEMAND_Pkm_Tkm!R$6:R$43)</f>
        <v>0</v>
      </c>
      <c r="Y18" s="825">
        <f>SUMIF(DEMAND_Pkm_Tkm!$C$6:$C$43, $H18, DEMAND_Pkm_Tkm!S$6:S$43)</f>
        <v>0</v>
      </c>
      <c r="Z18" s="825">
        <f>SUMIF(DEMAND_Pkm_Tkm!$C$6:$C$43, $H18, DEMAND_Pkm_Tkm!T$6:T$43)</f>
        <v>0</v>
      </c>
      <c r="AA18" s="825">
        <f>SUMIF(DEMAND_Pkm_Tkm!$C$6:$C$43, $H18, DEMAND_Pkm_Tkm!U$6:U$43)</f>
        <v>0</v>
      </c>
      <c r="AC18" s="592">
        <f t="shared" si="6"/>
        <v>0</v>
      </c>
      <c r="AE18" s="512"/>
      <c r="AF18" s="35"/>
      <c r="AG18" s="35"/>
      <c r="AH18" s="35"/>
      <c r="AI18" s="35"/>
      <c r="AJ18" s="35"/>
      <c r="AK18" s="35"/>
      <c r="AL18" s="35"/>
      <c r="AM18" s="35"/>
      <c r="AO18" s="35"/>
      <c r="AP18" s="35"/>
      <c r="AQ18" s="35"/>
      <c r="AR18" s="35"/>
      <c r="AV18" s="728" t="s">
        <v>1014</v>
      </c>
      <c r="AW18" s="730">
        <f t="shared" si="8"/>
        <v>0</v>
      </c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</row>
    <row r="19" spans="1:64" x14ac:dyDescent="0.25">
      <c r="A19" s="44"/>
      <c r="C19" s="44"/>
      <c r="D19" s="35"/>
      <c r="E19" s="35"/>
      <c r="F19" s="44"/>
      <c r="G19" s="512" t="s">
        <v>1197</v>
      </c>
      <c r="H19" s="172" t="s">
        <v>623</v>
      </c>
      <c r="I19" s="173" t="str">
        <f>LOOKUP(H19,TRA_Comm!$C$29:$C$90,TRA_Comm!$D$29:$D$90)</f>
        <v>Rail.Passenger.City.</v>
      </c>
      <c r="J19" s="173"/>
      <c r="K19" s="173" t="s">
        <v>1118</v>
      </c>
      <c r="L19" s="173" t="s">
        <v>583</v>
      </c>
      <c r="M19" s="165">
        <f>SUMIF(DEMAND_Pkm_Tkm!$C$6:$C$43, $H19, DEMAND_Pkm_Tkm!G$6:G$43)</f>
        <v>0</v>
      </c>
      <c r="N19" s="165">
        <f>SUMIF(DEMAND_Pkm_Tkm!$C$6:$C$43, $H19, DEMAND_Pkm_Tkm!H$6:H$43)</f>
        <v>0</v>
      </c>
      <c r="O19" s="165">
        <f>SUMIF(DEMAND_Pkm_Tkm!$C$6:$C$43, $H19, DEMAND_Pkm_Tkm!I$6:I$43)</f>
        <v>0</v>
      </c>
      <c r="P19" s="165">
        <f>SUMIF(DEMAND_Pkm_Tkm!$C$6:$C$43, $H19, DEMAND_Pkm_Tkm!J$6:J$43)</f>
        <v>0</v>
      </c>
      <c r="Q19" s="165">
        <f>SUMIF(DEMAND_Pkm_Tkm!$C$6:$C$43, $H19, DEMAND_Pkm_Tkm!K$6:K$43)</f>
        <v>0</v>
      </c>
      <c r="R19" s="165">
        <f>SUMIF(DEMAND_Pkm_Tkm!$C$6:$C$43, $H19, DEMAND_Pkm_Tkm!L$6:L$43)</f>
        <v>0</v>
      </c>
      <c r="S19" s="165">
        <f>SUMIF(DEMAND_Pkm_Tkm!$C$6:$C$43, $H19, DEMAND_Pkm_Tkm!M$6:M$43)</f>
        <v>0</v>
      </c>
      <c r="T19" s="165">
        <f>SUMIF(DEMAND_Pkm_Tkm!$C$6:$C$43, $H19, DEMAND_Pkm_Tkm!N$6:N$43)</f>
        <v>0</v>
      </c>
      <c r="U19" s="165">
        <f>SUMIF(DEMAND_Pkm_Tkm!$C$6:$C$43, $H19, DEMAND_Pkm_Tkm!O$6:O$43)</f>
        <v>0</v>
      </c>
      <c r="V19" s="165">
        <f>SUMIF(DEMAND_Pkm_Tkm!$C$6:$C$43, $H19, DEMAND_Pkm_Tkm!P$6:P$43)</f>
        <v>0</v>
      </c>
      <c r="W19" s="165">
        <f>SUMIF(DEMAND_Pkm_Tkm!$C$6:$C$43, $H19, DEMAND_Pkm_Tkm!Q$6:Q$43)</f>
        <v>0</v>
      </c>
      <c r="X19" s="165">
        <f>SUMIF(DEMAND_Pkm_Tkm!$C$6:$C$43, $H19, DEMAND_Pkm_Tkm!R$6:R$43)</f>
        <v>0</v>
      </c>
      <c r="Y19" s="165">
        <f>SUMIF(DEMAND_Pkm_Tkm!$C$6:$C$43, $H19, DEMAND_Pkm_Tkm!S$6:S$43)</f>
        <v>0</v>
      </c>
      <c r="Z19" s="165">
        <f>SUMIF(DEMAND_Pkm_Tkm!$C$6:$C$43, $H19, DEMAND_Pkm_Tkm!T$6:T$43)</f>
        <v>0</v>
      </c>
      <c r="AA19" s="165">
        <f>SUMIF(DEMAND_Pkm_Tkm!$C$6:$C$43, $H19, DEMAND_Pkm_Tkm!U$6:U$43)</f>
        <v>0</v>
      </c>
      <c r="AC19" s="592">
        <f t="shared" si="6"/>
        <v>0</v>
      </c>
      <c r="AE19" s="35"/>
      <c r="AF19" s="35"/>
      <c r="AG19" s="35"/>
      <c r="AH19" s="35"/>
      <c r="AI19" s="35"/>
      <c r="AJ19" s="35"/>
      <c r="AK19" s="35"/>
      <c r="AL19" s="35"/>
      <c r="AO19" s="35"/>
      <c r="AP19" s="35"/>
      <c r="AQ19" s="35"/>
      <c r="AR19" s="35"/>
      <c r="AV19" s="728" t="s">
        <v>1016</v>
      </c>
      <c r="AW19" s="730">
        <f t="shared" si="8"/>
        <v>0</v>
      </c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</row>
    <row r="20" spans="1:64" x14ac:dyDescent="0.25">
      <c r="A20" s="44"/>
      <c r="C20" s="44"/>
      <c r="D20" s="35"/>
      <c r="E20" s="35"/>
      <c r="F20" s="44"/>
      <c r="G20" s="35"/>
      <c r="I20" s="46"/>
      <c r="J20" s="46"/>
      <c r="K20" s="46"/>
      <c r="L20" s="46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D20" s="35"/>
      <c r="AE20" s="35"/>
      <c r="AF20" s="35"/>
      <c r="AG20" s="35"/>
      <c r="AH20" s="35"/>
      <c r="AI20" s="35"/>
      <c r="AJ20" s="35"/>
      <c r="AK20" s="35"/>
      <c r="AL20" s="35"/>
      <c r="AO20" s="35"/>
      <c r="AP20" s="35"/>
      <c r="AQ20" s="35"/>
      <c r="AR20" s="35"/>
      <c r="AV20" s="728" t="s">
        <v>1023</v>
      </c>
      <c r="AW20" s="730">
        <f t="shared" si="8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x14ac:dyDescent="0.25">
      <c r="A21" s="44"/>
      <c r="B21" s="35"/>
      <c r="C21" s="44"/>
      <c r="D21" s="35"/>
      <c r="E21" s="35"/>
      <c r="F21" s="44"/>
      <c r="G21" s="44"/>
      <c r="H21" s="44"/>
      <c r="I21" s="44"/>
      <c r="J21" s="44"/>
      <c r="K21" s="43" t="s">
        <v>461</v>
      </c>
      <c r="L21" s="43" t="s">
        <v>1199</v>
      </c>
      <c r="M21" s="43" t="str">
        <f t="shared" ref="M21:AA21" si="10">M$2</f>
        <v>Z01</v>
      </c>
      <c r="N21" s="43" t="str">
        <f t="shared" si="10"/>
        <v>Z02</v>
      </c>
      <c r="O21" s="43" t="str">
        <f t="shared" si="10"/>
        <v>Z03</v>
      </c>
      <c r="P21" s="43" t="str">
        <f t="shared" si="10"/>
        <v>Z04</v>
      </c>
      <c r="Q21" s="43" t="str">
        <f t="shared" si="10"/>
        <v>Z05</v>
      </c>
      <c r="R21" s="43" t="str">
        <f t="shared" si="10"/>
        <v>Z06</v>
      </c>
      <c r="S21" s="43" t="str">
        <f t="shared" si="10"/>
        <v>Z07</v>
      </c>
      <c r="T21" s="43" t="str">
        <f t="shared" si="10"/>
        <v>Z08</v>
      </c>
      <c r="U21" s="43" t="str">
        <f t="shared" si="10"/>
        <v>Z09</v>
      </c>
      <c r="V21" s="43" t="str">
        <f t="shared" si="10"/>
        <v>Z10</v>
      </c>
      <c r="W21" s="43" t="str">
        <f t="shared" si="10"/>
        <v>Z11</v>
      </c>
      <c r="X21" s="43" t="str">
        <f t="shared" si="10"/>
        <v>Z12</v>
      </c>
      <c r="Y21" s="43" t="str">
        <f t="shared" si="10"/>
        <v>Z13</v>
      </c>
      <c r="Z21" s="43" t="str">
        <f t="shared" si="10"/>
        <v>Z14</v>
      </c>
      <c r="AA21" s="43" t="str">
        <f t="shared" si="10"/>
        <v>Z15</v>
      </c>
      <c r="AB21" s="44"/>
      <c r="AD21" s="35"/>
      <c r="AE21" s="35"/>
      <c r="AF21" s="35"/>
      <c r="AG21" s="35"/>
      <c r="AH21" s="35"/>
      <c r="AI21" s="35"/>
      <c r="AJ21" s="35"/>
      <c r="AO21" s="35"/>
      <c r="AP21" s="35"/>
      <c r="AQ21" s="35"/>
      <c r="AR21" s="35"/>
      <c r="AV21" s="725" t="s">
        <v>681</v>
      </c>
      <c r="AW21" s="730">
        <f t="shared" si="8"/>
        <v>0</v>
      </c>
      <c r="AX21" s="723"/>
      <c r="AY21" s="723"/>
      <c r="AZ21" s="723"/>
      <c r="BA21" s="723"/>
      <c r="BB21" s="723"/>
      <c r="BC21" s="723"/>
      <c r="BD21" s="723"/>
      <c r="BE21" s="723"/>
      <c r="BF21" s="723"/>
      <c r="BG21" s="723"/>
      <c r="BH21" s="723"/>
      <c r="BI21" s="723"/>
      <c r="BJ21" s="723"/>
      <c r="BK21" s="723"/>
      <c r="BL21" s="723"/>
    </row>
    <row r="22" spans="1:64" x14ac:dyDescent="0.25">
      <c r="A22" s="44"/>
      <c r="B22" s="44"/>
      <c r="C22" s="44"/>
      <c r="D22" s="35"/>
      <c r="E22" s="35"/>
      <c r="F22" s="44"/>
      <c r="G22" s="44"/>
      <c r="H22" s="44"/>
      <c r="I22" s="44"/>
      <c r="J22" s="44"/>
      <c r="L22" s="186" t="s">
        <v>1200</v>
      </c>
      <c r="M22" s="165">
        <f>T_ACTFLO!E37</f>
        <v>0</v>
      </c>
      <c r="N22" s="165">
        <f>T_ACTFLO!F37</f>
        <v>0</v>
      </c>
      <c r="O22" s="165">
        <f>T_ACTFLO!G37</f>
        <v>0</v>
      </c>
      <c r="P22" s="165">
        <f>T_ACTFLO!H37</f>
        <v>0</v>
      </c>
      <c r="Q22" s="165">
        <f>T_ACTFLO!I37</f>
        <v>0</v>
      </c>
      <c r="R22" s="165">
        <f>T_ACTFLO!J37</f>
        <v>0</v>
      </c>
      <c r="S22" s="165">
        <f>T_ACTFLO!K37</f>
        <v>0</v>
      </c>
      <c r="T22" s="165">
        <f>T_ACTFLO!L37</f>
        <v>0</v>
      </c>
      <c r="U22" s="165">
        <f>T_ACTFLO!M37</f>
        <v>0</v>
      </c>
      <c r="V22" s="165">
        <f>T_ACTFLO!N37</f>
        <v>0</v>
      </c>
      <c r="W22" s="165">
        <f>T_ACTFLO!O37</f>
        <v>0</v>
      </c>
      <c r="X22" s="165">
        <f>T_ACTFLO!P37</f>
        <v>0</v>
      </c>
      <c r="Y22" s="165">
        <f>T_ACTFLO!Q37</f>
        <v>0</v>
      </c>
      <c r="Z22" s="165">
        <f>T_ACTFLO!R37</f>
        <v>0</v>
      </c>
      <c r="AA22" s="165">
        <f>T_ACTFLO!S37</f>
        <v>0</v>
      </c>
      <c r="AB22" s="44"/>
      <c r="AD22" s="35"/>
      <c r="AE22" s="35"/>
      <c r="AF22" s="35"/>
      <c r="AG22" s="35"/>
      <c r="AH22" s="35"/>
      <c r="AI22" s="35"/>
      <c r="AJ22" s="35"/>
      <c r="AO22" s="35"/>
      <c r="AP22" s="35"/>
      <c r="AQ22" s="35"/>
      <c r="AR22" s="35"/>
      <c r="AV22" s="725" t="s">
        <v>1029</v>
      </c>
      <c r="AW22" s="730">
        <f t="shared" si="8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25">
      <c r="A23" s="44"/>
      <c r="B23" s="44"/>
      <c r="C23" s="44"/>
      <c r="D23" s="35"/>
      <c r="E23" s="35"/>
      <c r="F23" s="44"/>
      <c r="G23" s="35"/>
      <c r="H23" s="35"/>
      <c r="I23" s="35"/>
      <c r="J23" s="35"/>
      <c r="K23" s="330"/>
      <c r="L23" s="186" t="s">
        <v>1201</v>
      </c>
      <c r="M23" s="165">
        <f>T_ACTFLO!E38</f>
        <v>0</v>
      </c>
      <c r="N23" s="165">
        <f>T_ACTFLO!F38</f>
        <v>0</v>
      </c>
      <c r="O23" s="165">
        <f>T_ACTFLO!G38</f>
        <v>0</v>
      </c>
      <c r="P23" s="165">
        <f>T_ACTFLO!H38</f>
        <v>0</v>
      </c>
      <c r="Q23" s="165">
        <f>T_ACTFLO!I38</f>
        <v>0</v>
      </c>
      <c r="R23" s="165">
        <f>T_ACTFLO!J38</f>
        <v>0</v>
      </c>
      <c r="S23" s="165">
        <f>T_ACTFLO!K38</f>
        <v>0</v>
      </c>
      <c r="T23" s="165">
        <f>T_ACTFLO!L38</f>
        <v>0</v>
      </c>
      <c r="U23" s="165">
        <f>T_ACTFLO!M38</f>
        <v>0</v>
      </c>
      <c r="V23" s="165">
        <f>T_ACTFLO!N38</f>
        <v>0</v>
      </c>
      <c r="W23" s="165">
        <f>T_ACTFLO!O38</f>
        <v>0</v>
      </c>
      <c r="X23" s="165">
        <f>T_ACTFLO!P38</f>
        <v>0</v>
      </c>
      <c r="Y23" s="165">
        <f>T_ACTFLO!Q38</f>
        <v>0</v>
      </c>
      <c r="Z23" s="165">
        <f>T_ACTFLO!R38</f>
        <v>0</v>
      </c>
      <c r="AA23" s="165">
        <f>T_ACTFLO!S38</f>
        <v>0</v>
      </c>
      <c r="AD23" s="35"/>
      <c r="AE23" s="35"/>
      <c r="AF23" s="35"/>
      <c r="AG23" s="35"/>
      <c r="AH23" s="35"/>
      <c r="AI23" s="35"/>
      <c r="AJ23" s="35"/>
      <c r="AO23" s="35"/>
      <c r="AP23" s="35"/>
      <c r="AQ23" s="35"/>
      <c r="AR23" s="35"/>
      <c r="AV23" s="725" t="s">
        <v>1031</v>
      </c>
      <c r="AW23" s="730">
        <f t="shared" si="8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x14ac:dyDescent="0.25">
      <c r="A24" s="44"/>
      <c r="B24" s="44"/>
      <c r="C24" s="44"/>
      <c r="D24" s="35"/>
      <c r="E24" s="35"/>
      <c r="F24" s="44"/>
      <c r="G24" s="35"/>
      <c r="H24" s="35"/>
      <c r="I24" s="35"/>
      <c r="J24" s="35"/>
      <c r="K24" s="330"/>
      <c r="L24" s="186" t="s">
        <v>1202</v>
      </c>
      <c r="M24" s="165">
        <f>T_ACTFLO!E39</f>
        <v>0</v>
      </c>
      <c r="N24" s="165">
        <f>T_ACTFLO!F39</f>
        <v>0</v>
      </c>
      <c r="O24" s="165">
        <f>T_ACTFLO!G39</f>
        <v>0</v>
      </c>
      <c r="P24" s="165">
        <f>T_ACTFLO!H39</f>
        <v>0</v>
      </c>
      <c r="Q24" s="165">
        <f>T_ACTFLO!I39</f>
        <v>0</v>
      </c>
      <c r="R24" s="165">
        <f>T_ACTFLO!J39</f>
        <v>0</v>
      </c>
      <c r="S24" s="165">
        <f>T_ACTFLO!K39</f>
        <v>0</v>
      </c>
      <c r="T24" s="165">
        <f>T_ACTFLO!L39</f>
        <v>0</v>
      </c>
      <c r="U24" s="165">
        <f>T_ACTFLO!M39</f>
        <v>0</v>
      </c>
      <c r="V24" s="165">
        <f>T_ACTFLO!N39</f>
        <v>0</v>
      </c>
      <c r="W24" s="165">
        <f>T_ACTFLO!O39</f>
        <v>0</v>
      </c>
      <c r="X24" s="165">
        <f>T_ACTFLO!P39</f>
        <v>0</v>
      </c>
      <c r="Y24" s="165">
        <f>T_ACTFLO!Q39</f>
        <v>0</v>
      </c>
      <c r="Z24" s="165">
        <f>T_ACTFLO!R39</f>
        <v>0</v>
      </c>
      <c r="AA24" s="165">
        <f>T_ACTFLO!S39</f>
        <v>0</v>
      </c>
      <c r="AD24" s="35"/>
      <c r="AE24" s="35"/>
      <c r="AF24" s="35"/>
      <c r="AG24" s="35"/>
      <c r="AH24" s="35"/>
      <c r="AI24" s="35"/>
      <c r="AJ24" s="35"/>
      <c r="AO24" s="35"/>
      <c r="AP24" s="35"/>
      <c r="AQ24" s="35"/>
      <c r="AR24" s="35"/>
      <c r="AV24" s="725" t="s">
        <v>1033</v>
      </c>
      <c r="AW24" s="730">
        <f t="shared" si="8"/>
        <v>0</v>
      </c>
      <c r="AX24" s="723"/>
      <c r="AY24" s="723"/>
      <c r="AZ24" s="723"/>
      <c r="BA24" s="723"/>
      <c r="BB24" s="723"/>
      <c r="BC24" s="723"/>
      <c r="BD24" s="723"/>
      <c r="BE24" s="723"/>
      <c r="BF24" s="723"/>
      <c r="BG24" s="723"/>
      <c r="BH24" s="723"/>
      <c r="BI24" s="723"/>
      <c r="BJ24" s="723"/>
      <c r="BK24" s="723"/>
      <c r="BL24" s="723"/>
    </row>
    <row r="25" spans="1:64" x14ac:dyDescent="0.25">
      <c r="A25" s="44"/>
      <c r="B25" s="44"/>
      <c r="C25" s="44"/>
      <c r="D25" s="35"/>
      <c r="E25" s="35"/>
      <c r="F25" s="44"/>
      <c r="G25" s="35"/>
      <c r="H25" s="35"/>
      <c r="I25" s="35"/>
      <c r="J25" s="35"/>
      <c r="K25" s="330"/>
      <c r="L25" s="186" t="s">
        <v>1203</v>
      </c>
      <c r="M25" s="165">
        <f>T_ACTFLO!E40</f>
        <v>0</v>
      </c>
      <c r="N25" s="165">
        <f>T_ACTFLO!F40</f>
        <v>0</v>
      </c>
      <c r="O25" s="165">
        <f>T_ACTFLO!G40</f>
        <v>0</v>
      </c>
      <c r="P25" s="165">
        <f>T_ACTFLO!H40</f>
        <v>0</v>
      </c>
      <c r="Q25" s="165">
        <f>T_ACTFLO!I40</f>
        <v>0</v>
      </c>
      <c r="R25" s="165">
        <f>T_ACTFLO!J40</f>
        <v>0</v>
      </c>
      <c r="S25" s="165">
        <f>T_ACTFLO!K40</f>
        <v>0</v>
      </c>
      <c r="T25" s="165">
        <f>T_ACTFLO!L40</f>
        <v>0</v>
      </c>
      <c r="U25" s="165">
        <f>T_ACTFLO!M40</f>
        <v>0</v>
      </c>
      <c r="V25" s="165">
        <f>T_ACTFLO!N40</f>
        <v>0</v>
      </c>
      <c r="W25" s="165">
        <f>T_ACTFLO!O40</f>
        <v>0</v>
      </c>
      <c r="X25" s="165">
        <f>T_ACTFLO!P40</f>
        <v>0</v>
      </c>
      <c r="Y25" s="165">
        <f>T_ACTFLO!Q40</f>
        <v>0</v>
      </c>
      <c r="Z25" s="165">
        <f>T_ACTFLO!R40</f>
        <v>0</v>
      </c>
      <c r="AA25" s="165">
        <f>T_ACTFLO!S40</f>
        <v>0</v>
      </c>
      <c r="AD25" s="35"/>
      <c r="AE25" s="35"/>
      <c r="AF25" s="35"/>
      <c r="AG25" s="35"/>
      <c r="AH25" s="35"/>
      <c r="AI25" s="35"/>
      <c r="AJ25" s="35"/>
      <c r="AO25" s="35"/>
      <c r="AP25" s="35"/>
      <c r="AQ25" s="35"/>
      <c r="AR25" s="35"/>
      <c r="AV25" s="725" t="s">
        <v>1035</v>
      </c>
      <c r="AW25" s="730">
        <f>SUM(AX25:BL25)</f>
        <v>0</v>
      </c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</row>
    <row r="26" spans="1:64" x14ac:dyDescent="0.25">
      <c r="A26" s="44"/>
      <c r="B26" s="44"/>
      <c r="C26" s="44"/>
      <c r="D26" s="35"/>
      <c r="E26" s="35"/>
      <c r="F26" s="44"/>
      <c r="G26" s="35"/>
      <c r="H26" s="35"/>
      <c r="I26" s="35"/>
      <c r="J26" s="35"/>
      <c r="K26" s="330"/>
      <c r="L26" s="186" t="s">
        <v>1204</v>
      </c>
      <c r="M26" s="165">
        <f>T_ACTFLO!E41</f>
        <v>0</v>
      </c>
      <c r="N26" s="165">
        <f>T_ACTFLO!F41</f>
        <v>0</v>
      </c>
      <c r="O26" s="165">
        <f>T_ACTFLO!G41</f>
        <v>0</v>
      </c>
      <c r="P26" s="165">
        <f>T_ACTFLO!H41</f>
        <v>0</v>
      </c>
      <c r="Q26" s="165">
        <f>T_ACTFLO!I41</f>
        <v>0</v>
      </c>
      <c r="R26" s="165">
        <f>T_ACTFLO!J41</f>
        <v>0</v>
      </c>
      <c r="S26" s="165">
        <f>T_ACTFLO!K41</f>
        <v>0</v>
      </c>
      <c r="T26" s="165">
        <f>T_ACTFLO!L41</f>
        <v>0</v>
      </c>
      <c r="U26" s="165">
        <f>T_ACTFLO!M41</f>
        <v>0</v>
      </c>
      <c r="V26" s="165">
        <f>T_ACTFLO!N41</f>
        <v>0</v>
      </c>
      <c r="W26" s="165">
        <f>T_ACTFLO!O41</f>
        <v>0</v>
      </c>
      <c r="X26" s="165">
        <f>T_ACTFLO!P41</f>
        <v>0</v>
      </c>
      <c r="Y26" s="165">
        <f>T_ACTFLO!Q41</f>
        <v>0</v>
      </c>
      <c r="Z26" s="165">
        <f>T_ACTFLO!R41</f>
        <v>0</v>
      </c>
      <c r="AA26" s="165">
        <f>T_ACTFLO!S41</f>
        <v>0</v>
      </c>
      <c r="AD26" s="35"/>
      <c r="AE26" s="35"/>
      <c r="AF26" s="35"/>
      <c r="AG26" s="35"/>
      <c r="AH26" s="35"/>
      <c r="AI26" s="35"/>
      <c r="AJ26" s="35"/>
      <c r="AO26" s="35"/>
      <c r="AP26" s="35"/>
      <c r="AQ26" s="35"/>
      <c r="AR26" s="35"/>
      <c r="AV26" s="725" t="s">
        <v>1039</v>
      </c>
      <c r="AW26" s="730">
        <f>SUM(AX26:BL26)</f>
        <v>0</v>
      </c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</row>
    <row r="27" spans="1:6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330"/>
      <c r="L27" s="186" t="s">
        <v>1205</v>
      </c>
      <c r="M27" s="165">
        <f>T_ACTFLO!E42</f>
        <v>0</v>
      </c>
      <c r="N27" s="165">
        <f>T_ACTFLO!F42</f>
        <v>0</v>
      </c>
      <c r="O27" s="165">
        <f>T_ACTFLO!G42</f>
        <v>0</v>
      </c>
      <c r="P27" s="165">
        <f>T_ACTFLO!H42</f>
        <v>0</v>
      </c>
      <c r="Q27" s="165">
        <f>T_ACTFLO!I42</f>
        <v>0</v>
      </c>
      <c r="R27" s="165">
        <f>T_ACTFLO!J42</f>
        <v>0</v>
      </c>
      <c r="S27" s="165">
        <f>T_ACTFLO!K42</f>
        <v>0</v>
      </c>
      <c r="T27" s="165">
        <f>T_ACTFLO!L42</f>
        <v>0</v>
      </c>
      <c r="U27" s="165">
        <f>T_ACTFLO!M42</f>
        <v>0</v>
      </c>
      <c r="V27" s="165">
        <f>T_ACTFLO!N42</f>
        <v>0</v>
      </c>
      <c r="W27" s="165">
        <f>T_ACTFLO!O42</f>
        <v>0</v>
      </c>
      <c r="X27" s="165">
        <f>T_ACTFLO!P42</f>
        <v>0</v>
      </c>
      <c r="Y27" s="165">
        <f>T_ACTFLO!Q42</f>
        <v>0</v>
      </c>
      <c r="Z27" s="165">
        <f>T_ACTFLO!R42</f>
        <v>0</v>
      </c>
      <c r="AA27" s="165">
        <f>T_ACTFLO!S42</f>
        <v>0</v>
      </c>
      <c r="AC27" s="48"/>
      <c r="AD27" s="35"/>
      <c r="AE27" s="35"/>
      <c r="AF27" s="35"/>
      <c r="AG27" s="35"/>
      <c r="AH27" s="35"/>
      <c r="AI27" s="35"/>
      <c r="AJ27" s="35"/>
    </row>
    <row r="28" spans="1:64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330"/>
      <c r="L28" s="22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C28" s="48"/>
      <c r="AD28" s="35"/>
      <c r="AE28" s="35"/>
      <c r="AF28" s="35"/>
      <c r="AG28" s="35"/>
      <c r="AH28" s="35"/>
      <c r="AI28" s="35"/>
      <c r="AJ28" s="35"/>
    </row>
    <row r="29" spans="1:64" x14ac:dyDescent="0.25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186" t="s">
        <v>1206</v>
      </c>
      <c r="L29" s="186" t="s">
        <v>1207</v>
      </c>
      <c r="M29" s="823">
        <v>0</v>
      </c>
      <c r="N29" s="823">
        <v>0</v>
      </c>
      <c r="O29" s="823">
        <v>1</v>
      </c>
      <c r="P29" s="823">
        <v>0</v>
      </c>
      <c r="Q29" s="823">
        <v>0</v>
      </c>
      <c r="R29" s="823">
        <v>0</v>
      </c>
      <c r="S29" s="823">
        <v>0</v>
      </c>
      <c r="T29" s="823">
        <v>0</v>
      </c>
      <c r="U29" s="823">
        <v>0</v>
      </c>
      <c r="V29" s="823">
        <v>1</v>
      </c>
      <c r="W29" s="823">
        <v>0</v>
      </c>
      <c r="X29" s="823">
        <v>0</v>
      </c>
      <c r="Y29" s="823">
        <v>0.05</v>
      </c>
      <c r="Z29" s="823">
        <v>1</v>
      </c>
      <c r="AA29" s="823">
        <v>0</v>
      </c>
      <c r="AC29" s="48"/>
      <c r="AD29" s="35"/>
      <c r="AE29" s="35"/>
      <c r="AF29" s="35"/>
      <c r="AG29" s="35"/>
      <c r="AH29" s="35"/>
      <c r="AI29" s="35"/>
      <c r="AJ29" s="35"/>
    </row>
    <row r="30" spans="1:64" x14ac:dyDescent="0.25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186" t="s">
        <v>1206</v>
      </c>
      <c r="L30" s="186" t="s">
        <v>1208</v>
      </c>
      <c r="M30" s="823">
        <f>1-M29</f>
        <v>1</v>
      </c>
      <c r="N30" s="823">
        <f t="shared" ref="N30:AA30" si="11">1-N29</f>
        <v>1</v>
      </c>
      <c r="O30" s="823">
        <f t="shared" si="11"/>
        <v>0</v>
      </c>
      <c r="P30" s="823">
        <f t="shared" si="11"/>
        <v>1</v>
      </c>
      <c r="Q30" s="823">
        <f t="shared" si="11"/>
        <v>1</v>
      </c>
      <c r="R30" s="823">
        <f t="shared" si="11"/>
        <v>1</v>
      </c>
      <c r="S30" s="823">
        <f t="shared" si="11"/>
        <v>1</v>
      </c>
      <c r="T30" s="823">
        <f t="shared" si="11"/>
        <v>1</v>
      </c>
      <c r="U30" s="823">
        <f t="shared" si="11"/>
        <v>1</v>
      </c>
      <c r="V30" s="823">
        <f t="shared" si="11"/>
        <v>0</v>
      </c>
      <c r="W30" s="823">
        <f t="shared" si="11"/>
        <v>1</v>
      </c>
      <c r="X30" s="823">
        <f t="shared" si="11"/>
        <v>1</v>
      </c>
      <c r="Y30" s="823">
        <f t="shared" si="11"/>
        <v>0.95</v>
      </c>
      <c r="Z30" s="823">
        <f t="shared" si="11"/>
        <v>0</v>
      </c>
      <c r="AA30" s="823">
        <f t="shared" si="11"/>
        <v>1</v>
      </c>
      <c r="AC30" s="48"/>
      <c r="AD30" s="35"/>
      <c r="AE30" s="35"/>
      <c r="AF30" s="35"/>
      <c r="AG30" s="35"/>
      <c r="AH30" s="35"/>
      <c r="AI30" s="35"/>
      <c r="AJ30" s="35"/>
    </row>
    <row r="31" spans="1:64" x14ac:dyDescent="0.25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186" t="s">
        <v>1209</v>
      </c>
      <c r="L31" s="186" t="s">
        <v>1207</v>
      </c>
      <c r="M31" s="823">
        <v>0.05</v>
      </c>
      <c r="N31" s="823">
        <v>0.05</v>
      </c>
      <c r="O31" s="823">
        <v>0.05</v>
      </c>
      <c r="P31" s="823">
        <v>0.05</v>
      </c>
      <c r="Q31" s="823">
        <v>0.05</v>
      </c>
      <c r="R31" s="823">
        <v>0.05</v>
      </c>
      <c r="S31" s="823">
        <v>0.05</v>
      </c>
      <c r="T31" s="823">
        <v>0.05</v>
      </c>
      <c r="U31" s="823">
        <v>0.05</v>
      </c>
      <c r="V31" s="823">
        <v>0.05</v>
      </c>
      <c r="W31" s="823">
        <v>0.05</v>
      </c>
      <c r="X31" s="823">
        <v>0.05</v>
      </c>
      <c r="Y31" s="823">
        <v>0.05</v>
      </c>
      <c r="Z31" s="823">
        <v>0.05</v>
      </c>
      <c r="AA31" s="823">
        <v>0.05</v>
      </c>
      <c r="AC31" s="48"/>
      <c r="AD31" s="35"/>
      <c r="AE31" s="35"/>
      <c r="AF31" s="35"/>
      <c r="AG31" s="35"/>
      <c r="AH31" s="35"/>
      <c r="AI31" s="35"/>
      <c r="AJ31" s="35"/>
    </row>
    <row r="32" spans="1:64" x14ac:dyDescent="0.25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186" t="s">
        <v>1209</v>
      </c>
      <c r="L32" s="186" t="s">
        <v>1208</v>
      </c>
      <c r="M32" s="823">
        <f>1-M31</f>
        <v>0.95</v>
      </c>
      <c r="N32" s="823">
        <f t="shared" ref="N32" si="12">1-N31</f>
        <v>0.95</v>
      </c>
      <c r="O32" s="823">
        <f t="shared" ref="O32" si="13">1-O31</f>
        <v>0.95</v>
      </c>
      <c r="P32" s="823">
        <f t="shared" ref="P32" si="14">1-P31</f>
        <v>0.95</v>
      </c>
      <c r="Q32" s="823">
        <f t="shared" ref="Q32" si="15">1-Q31</f>
        <v>0.95</v>
      </c>
      <c r="R32" s="823">
        <f t="shared" ref="R32" si="16">1-R31</f>
        <v>0.95</v>
      </c>
      <c r="S32" s="823">
        <f t="shared" ref="S32" si="17">1-S31</f>
        <v>0.95</v>
      </c>
      <c r="T32" s="823">
        <f t="shared" ref="T32" si="18">1-T31</f>
        <v>0.95</v>
      </c>
      <c r="U32" s="823">
        <f t="shared" ref="U32" si="19">1-U31</f>
        <v>0.95</v>
      </c>
      <c r="V32" s="823">
        <f t="shared" ref="V32" si="20">1-V31</f>
        <v>0.95</v>
      </c>
      <c r="W32" s="823">
        <f t="shared" ref="W32" si="21">1-W31</f>
        <v>0.95</v>
      </c>
      <c r="X32" s="823">
        <f t="shared" ref="X32" si="22">1-X31</f>
        <v>0.95</v>
      </c>
      <c r="Y32" s="823">
        <f t="shared" ref="Y32" si="23">1-Y31</f>
        <v>0.95</v>
      </c>
      <c r="Z32" s="823">
        <f t="shared" ref="Z32" si="24">1-Z31</f>
        <v>0.95</v>
      </c>
      <c r="AA32" s="823">
        <f t="shared" ref="AA32" si="25">1-AA31</f>
        <v>0.95</v>
      </c>
      <c r="AC32" s="48"/>
      <c r="AD32" s="35"/>
      <c r="AE32" s="35"/>
      <c r="AF32" s="35"/>
      <c r="AG32" s="35"/>
      <c r="AH32" s="35"/>
      <c r="AI32" s="35"/>
      <c r="AJ32" s="35"/>
    </row>
    <row r="33" spans="1:64" s="22" customFormat="1" x14ac:dyDescent="0.25">
      <c r="A33" s="35"/>
      <c r="B33" s="35"/>
      <c r="C33" s="50"/>
      <c r="D33" s="50"/>
      <c r="E33" s="35"/>
      <c r="F33" s="35"/>
      <c r="G33" s="41"/>
      <c r="H33" s="51"/>
      <c r="I33" s="41"/>
      <c r="J33" s="41"/>
      <c r="K33" s="40"/>
      <c r="L33" s="40"/>
      <c r="M33" s="35"/>
      <c r="N33" s="35"/>
      <c r="O33" s="35"/>
      <c r="P33" s="35"/>
      <c r="Q33" s="41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41"/>
      <c r="AC33" s="49"/>
      <c r="AV33" s="471"/>
    </row>
    <row r="34" spans="1:64" s="559" customFormat="1" ht="16.5" customHeight="1" x14ac:dyDescent="0.25">
      <c r="B34" s="17" t="s">
        <v>1210</v>
      </c>
      <c r="C34" s="560"/>
      <c r="H34" s="370"/>
    </row>
    <row r="35" spans="1:64" s="559" customFormat="1" ht="16.5" customHeight="1" x14ac:dyDescent="0.25">
      <c r="H35" s="370"/>
    </row>
    <row r="36" spans="1:64" s="22" customFormat="1" x14ac:dyDescent="0.25">
      <c r="A36" s="35"/>
      <c r="B36" s="35"/>
      <c r="C36" s="50"/>
      <c r="D36" s="50"/>
      <c r="E36" s="35"/>
      <c r="F36" s="35"/>
      <c r="G36" s="41"/>
      <c r="H36" s="51"/>
      <c r="I36" s="41"/>
      <c r="J36" s="41"/>
      <c r="K36" s="40" t="str">
        <f>IF(SUM(M12:AA13,M18:AA19)&gt;0,"~FI_T","not in use")</f>
        <v>not in use</v>
      </c>
      <c r="L36" s="40"/>
      <c r="M36" s="35"/>
      <c r="N36" s="35"/>
      <c r="O36" s="35"/>
      <c r="P36" s="35"/>
      <c r="Q36" s="41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41"/>
      <c r="AC36" s="49" t="str">
        <f>CONCATENATE("TEST: ",B34)</f>
        <v>TEST: Base-year: Train Regional (passenger)</v>
      </c>
      <c r="AV36" s="471" t="s">
        <v>1052</v>
      </c>
    </row>
    <row r="37" spans="1:64" s="82" customFormat="1" x14ac:dyDescent="0.25">
      <c r="A37" s="83"/>
      <c r="B37" s="351" t="s">
        <v>1053</v>
      </c>
      <c r="C37" s="352" t="s">
        <v>104</v>
      </c>
      <c r="D37" s="352" t="s">
        <v>1054</v>
      </c>
      <c r="E37" s="352" t="s">
        <v>673</v>
      </c>
      <c r="F37" s="352" t="s">
        <v>674</v>
      </c>
      <c r="G37" s="352" t="s">
        <v>1055</v>
      </c>
      <c r="H37" s="353" t="s">
        <v>1056</v>
      </c>
      <c r="I37" s="352" t="s">
        <v>982</v>
      </c>
      <c r="J37" s="354" t="s">
        <v>1123</v>
      </c>
      <c r="K37" s="352" t="s">
        <v>1057</v>
      </c>
      <c r="L37" s="352" t="s">
        <v>1058</v>
      </c>
      <c r="M37" s="352" t="str">
        <f t="shared" ref="M37:AA37" si="26">M$2</f>
        <v>Z01</v>
      </c>
      <c r="N37" s="352" t="str">
        <f t="shared" si="26"/>
        <v>Z02</v>
      </c>
      <c r="O37" s="352" t="str">
        <f t="shared" si="26"/>
        <v>Z03</v>
      </c>
      <c r="P37" s="352" t="str">
        <f t="shared" si="26"/>
        <v>Z04</v>
      </c>
      <c r="Q37" s="352" t="str">
        <f t="shared" si="26"/>
        <v>Z05</v>
      </c>
      <c r="R37" s="352" t="str">
        <f t="shared" si="26"/>
        <v>Z06</v>
      </c>
      <c r="S37" s="352" t="str">
        <f t="shared" si="26"/>
        <v>Z07</v>
      </c>
      <c r="T37" s="352" t="str">
        <f t="shared" si="26"/>
        <v>Z08</v>
      </c>
      <c r="U37" s="352" t="str">
        <f t="shared" si="26"/>
        <v>Z09</v>
      </c>
      <c r="V37" s="352" t="str">
        <f t="shared" si="26"/>
        <v>Z10</v>
      </c>
      <c r="W37" s="352" t="str">
        <f t="shared" si="26"/>
        <v>Z11</v>
      </c>
      <c r="X37" s="352" t="str">
        <f t="shared" si="26"/>
        <v>Z12</v>
      </c>
      <c r="Y37" s="352" t="str">
        <f t="shared" si="26"/>
        <v>Z13</v>
      </c>
      <c r="Z37" s="352" t="str">
        <f t="shared" si="26"/>
        <v>Z14</v>
      </c>
      <c r="AA37" s="352" t="str">
        <f t="shared" si="26"/>
        <v>Z15</v>
      </c>
      <c r="AB37" s="355"/>
      <c r="AC37" s="552"/>
      <c r="AD37" s="354" t="s">
        <v>421</v>
      </c>
      <c r="AE37" s="354" t="str">
        <f>M37</f>
        <v>Z01</v>
      </c>
      <c r="AF37" s="354" t="str">
        <f t="shared" ref="AF37:AS37" si="27">N37</f>
        <v>Z02</v>
      </c>
      <c r="AG37" s="354" t="str">
        <f t="shared" si="27"/>
        <v>Z03</v>
      </c>
      <c r="AH37" s="354" t="str">
        <f t="shared" si="27"/>
        <v>Z04</v>
      </c>
      <c r="AI37" s="354" t="str">
        <f t="shared" si="27"/>
        <v>Z05</v>
      </c>
      <c r="AJ37" s="354" t="str">
        <f t="shared" si="27"/>
        <v>Z06</v>
      </c>
      <c r="AK37" s="354" t="str">
        <f t="shared" si="27"/>
        <v>Z07</v>
      </c>
      <c r="AL37" s="354" t="str">
        <f t="shared" si="27"/>
        <v>Z08</v>
      </c>
      <c r="AM37" s="354" t="str">
        <f t="shared" si="27"/>
        <v>Z09</v>
      </c>
      <c r="AN37" s="354" t="str">
        <f t="shared" si="27"/>
        <v>Z10</v>
      </c>
      <c r="AO37" s="354" t="str">
        <f t="shared" si="27"/>
        <v>Z11</v>
      </c>
      <c r="AP37" s="354" t="str">
        <f t="shared" si="27"/>
        <v>Z12</v>
      </c>
      <c r="AQ37" s="354" t="str">
        <f t="shared" si="27"/>
        <v>Z13</v>
      </c>
      <c r="AR37" s="354" t="str">
        <f t="shared" si="27"/>
        <v>Z14</v>
      </c>
      <c r="AS37" s="354" t="str">
        <f t="shared" si="27"/>
        <v>Z15</v>
      </c>
      <c r="AV37" s="701" t="s">
        <v>85</v>
      </c>
      <c r="AW37" s="701" t="s">
        <v>421</v>
      </c>
      <c r="AX37" s="701" t="str">
        <f t="shared" ref="AX37:BL37" si="28">M$2</f>
        <v>Z01</v>
      </c>
      <c r="AY37" s="701" t="str">
        <f t="shared" si="28"/>
        <v>Z02</v>
      </c>
      <c r="AZ37" s="701" t="str">
        <f t="shared" si="28"/>
        <v>Z03</v>
      </c>
      <c r="BA37" s="701" t="str">
        <f t="shared" si="28"/>
        <v>Z04</v>
      </c>
      <c r="BB37" s="701" t="str">
        <f t="shared" si="28"/>
        <v>Z05</v>
      </c>
      <c r="BC37" s="701" t="str">
        <f t="shared" si="28"/>
        <v>Z06</v>
      </c>
      <c r="BD37" s="701" t="str">
        <f t="shared" si="28"/>
        <v>Z07</v>
      </c>
      <c r="BE37" s="701" t="str">
        <f t="shared" si="28"/>
        <v>Z08</v>
      </c>
      <c r="BF37" s="701" t="str">
        <f t="shared" si="28"/>
        <v>Z09</v>
      </c>
      <c r="BG37" s="701" t="str">
        <f t="shared" si="28"/>
        <v>Z10</v>
      </c>
      <c r="BH37" s="701" t="str">
        <f t="shared" si="28"/>
        <v>Z11</v>
      </c>
      <c r="BI37" s="701" t="str">
        <f t="shared" si="28"/>
        <v>Z12</v>
      </c>
      <c r="BJ37" s="701" t="str">
        <f t="shared" si="28"/>
        <v>Z13</v>
      </c>
      <c r="BK37" s="701" t="str">
        <f t="shared" si="28"/>
        <v>Z14</v>
      </c>
      <c r="BL37" s="701" t="str">
        <f t="shared" si="28"/>
        <v>Z15</v>
      </c>
    </row>
    <row r="38" spans="1:64" s="22" customFormat="1" x14ac:dyDescent="0.25">
      <c r="A38" s="35"/>
      <c r="B38" s="176"/>
      <c r="C38" s="176"/>
      <c r="D38" s="176" t="s">
        <v>1062</v>
      </c>
      <c r="E38" s="176"/>
      <c r="F38" s="176"/>
      <c r="G38" s="176"/>
      <c r="H38" s="177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35"/>
      <c r="AC38" s="176" t="s">
        <v>1124</v>
      </c>
      <c r="AD38" s="625" t="str">
        <f>IF(SUM(AD42:AD55)-SUM(AC18:AC19)&lt;0,"too small",IF(SUM(AD42:AD55)-SUM(AC18:AC19)&gt;0.0001,"Too big","ok"))</f>
        <v>ok</v>
      </c>
      <c r="AE38" s="619" t="str">
        <f t="shared" ref="AE38:AS38" si="29">IF(SUM(AE42:AE55)-SUM(M18:M19)&lt;0,"too small",IF(SUM(AE42:AE55)-SUM(M18:M19)&gt;0.001,"Too big","ok"))</f>
        <v>ok</v>
      </c>
      <c r="AF38" s="619" t="str">
        <f t="shared" si="29"/>
        <v>ok</v>
      </c>
      <c r="AG38" s="619" t="str">
        <f t="shared" si="29"/>
        <v>ok</v>
      </c>
      <c r="AH38" s="619" t="str">
        <f t="shared" si="29"/>
        <v>ok</v>
      </c>
      <c r="AI38" s="619" t="str">
        <f t="shared" si="29"/>
        <v>ok</v>
      </c>
      <c r="AJ38" s="619" t="str">
        <f t="shared" si="29"/>
        <v>ok</v>
      </c>
      <c r="AK38" s="619" t="str">
        <f t="shared" si="29"/>
        <v>ok</v>
      </c>
      <c r="AL38" s="619" t="str">
        <f t="shared" si="29"/>
        <v>ok</v>
      </c>
      <c r="AM38" s="619" t="str">
        <f t="shared" si="29"/>
        <v>ok</v>
      </c>
      <c r="AN38" s="619" t="str">
        <f t="shared" si="29"/>
        <v>ok</v>
      </c>
      <c r="AO38" s="619" t="str">
        <f t="shared" si="29"/>
        <v>ok</v>
      </c>
      <c r="AP38" s="619" t="str">
        <f t="shared" si="29"/>
        <v>ok</v>
      </c>
      <c r="AQ38" s="619" t="str">
        <f t="shared" si="29"/>
        <v>ok</v>
      </c>
      <c r="AR38" s="619" t="str">
        <f t="shared" si="29"/>
        <v>ok</v>
      </c>
      <c r="AS38" s="619" t="str">
        <f t="shared" si="29"/>
        <v>ok</v>
      </c>
      <c r="AV38" s="398" t="s">
        <v>103</v>
      </c>
      <c r="AW38" s="717">
        <f>SUM(AX38:BL38)</f>
        <v>0</v>
      </c>
      <c r="AX38" s="718">
        <f t="shared" ref="AX38:BL38" si="30">SUM(AX39:AX204)</f>
        <v>0</v>
      </c>
      <c r="AY38" s="718">
        <f t="shared" si="30"/>
        <v>0</v>
      </c>
      <c r="AZ38" s="718">
        <f t="shared" si="30"/>
        <v>0</v>
      </c>
      <c r="BA38" s="718">
        <f t="shared" si="30"/>
        <v>0</v>
      </c>
      <c r="BB38" s="718">
        <f t="shared" si="30"/>
        <v>0</v>
      </c>
      <c r="BC38" s="718">
        <f t="shared" si="30"/>
        <v>0</v>
      </c>
      <c r="BD38" s="718">
        <f t="shared" si="30"/>
        <v>0</v>
      </c>
      <c r="BE38" s="718">
        <f t="shared" si="30"/>
        <v>0</v>
      </c>
      <c r="BF38" s="718">
        <f t="shared" si="30"/>
        <v>0</v>
      </c>
      <c r="BG38" s="718">
        <f t="shared" si="30"/>
        <v>0</v>
      </c>
      <c r="BH38" s="718">
        <f t="shared" si="30"/>
        <v>0</v>
      </c>
      <c r="BI38" s="718">
        <f t="shared" si="30"/>
        <v>0</v>
      </c>
      <c r="BJ38" s="718">
        <f t="shared" si="30"/>
        <v>0</v>
      </c>
      <c r="BK38" s="718">
        <f t="shared" si="30"/>
        <v>0</v>
      </c>
      <c r="BL38" s="718">
        <f t="shared" si="30"/>
        <v>0</v>
      </c>
    </row>
    <row r="39" spans="1:64" s="35" customFormat="1" x14ac:dyDescent="0.25">
      <c r="A39" s="22"/>
      <c r="B39" s="186" t="str">
        <f>C39</f>
        <v>TTPELC100</v>
      </c>
      <c r="C39" s="178" t="s">
        <v>223</v>
      </c>
      <c r="D39" s="179" t="s">
        <v>892</v>
      </c>
      <c r="E39" s="188" t="s">
        <v>1008</v>
      </c>
      <c r="F39" s="189"/>
      <c r="G39" s="170"/>
      <c r="H39" s="190"/>
      <c r="I39" s="191"/>
      <c r="J39" s="191"/>
      <c r="K39" s="192" t="s">
        <v>1107</v>
      </c>
      <c r="L39" s="191" t="s">
        <v>1125</v>
      </c>
      <c r="M39" s="366">
        <f>M$115</f>
        <v>1E-3</v>
      </c>
      <c r="N39" s="366">
        <f t="shared" ref="N39:AA39" si="31">$M39</f>
        <v>1E-3</v>
      </c>
      <c r="O39" s="366">
        <f t="shared" si="31"/>
        <v>1E-3</v>
      </c>
      <c r="P39" s="366">
        <f t="shared" si="31"/>
        <v>1E-3</v>
      </c>
      <c r="Q39" s="366">
        <f t="shared" si="31"/>
        <v>1E-3</v>
      </c>
      <c r="R39" s="366">
        <f t="shared" si="31"/>
        <v>1E-3</v>
      </c>
      <c r="S39" s="366">
        <f t="shared" si="31"/>
        <v>1E-3</v>
      </c>
      <c r="T39" s="366">
        <f t="shared" si="31"/>
        <v>1E-3</v>
      </c>
      <c r="U39" s="366">
        <f t="shared" si="31"/>
        <v>1E-3</v>
      </c>
      <c r="V39" s="366">
        <f t="shared" si="31"/>
        <v>1E-3</v>
      </c>
      <c r="W39" s="366">
        <f t="shared" si="31"/>
        <v>1E-3</v>
      </c>
      <c r="X39" s="366">
        <f t="shared" si="31"/>
        <v>1E-3</v>
      </c>
      <c r="Y39" s="366">
        <f t="shared" si="31"/>
        <v>1E-3</v>
      </c>
      <c r="Z39" s="366">
        <f t="shared" si="31"/>
        <v>1E-3</v>
      </c>
      <c r="AA39" s="366">
        <f t="shared" si="31"/>
        <v>1E-3</v>
      </c>
      <c r="AC39" s="402" t="str">
        <f>RIGHT(E39,3)</f>
        <v>ELR</v>
      </c>
      <c r="AV39" s="700" t="str">
        <f t="shared" ref="AV39:AV43" si="32">MID(E39,1,7)</f>
        <v>TRAELR</v>
      </c>
      <c r="AW39" s="568">
        <f>SUM(AX39:BL39)</f>
        <v>0</v>
      </c>
      <c r="AX39" s="568">
        <f>M43*M44/M40/1000</f>
        <v>0</v>
      </c>
      <c r="AY39" s="568">
        <f t="shared" ref="AY39" si="33">N43*N44/N40/1000</f>
        <v>0</v>
      </c>
      <c r="AZ39" s="568">
        <f t="shared" ref="AZ39" si="34">O43*O44/O40/1000</f>
        <v>0</v>
      </c>
      <c r="BA39" s="568">
        <f t="shared" ref="BA39" si="35">P43*P44/P40/1000</f>
        <v>0</v>
      </c>
      <c r="BB39" s="568">
        <f t="shared" ref="BB39" si="36">Q43*Q44/Q40/1000</f>
        <v>0</v>
      </c>
      <c r="BC39" s="568">
        <f t="shared" ref="BC39" si="37">R43*R44/R40/1000</f>
        <v>0</v>
      </c>
      <c r="BD39" s="568">
        <f t="shared" ref="BD39" si="38">S43*S44/S40/1000</f>
        <v>0</v>
      </c>
      <c r="BE39" s="568">
        <f t="shared" ref="BE39" si="39">T43*T44/T40/1000</f>
        <v>0</v>
      </c>
      <c r="BF39" s="568">
        <f t="shared" ref="BF39" si="40">U43*U44/U40/1000</f>
        <v>0</v>
      </c>
      <c r="BG39" s="568">
        <f t="shared" ref="BG39" si="41">V43*V44/V40/1000</f>
        <v>0</v>
      </c>
      <c r="BH39" s="568">
        <f t="shared" ref="BH39" si="42">W43*W44/W40/1000</f>
        <v>0</v>
      </c>
      <c r="BI39" s="568">
        <f t="shared" ref="BI39" si="43">X43*X44/X40/1000</f>
        <v>0</v>
      </c>
      <c r="BJ39" s="568">
        <f t="shared" ref="BJ39" si="44">Y43*Y44/Y40/1000</f>
        <v>0</v>
      </c>
      <c r="BK39" s="568">
        <f t="shared" ref="BK39" si="45">Z43*Z44/Z40/1000</f>
        <v>0</v>
      </c>
      <c r="BL39" s="568">
        <f t="shared" ref="BL39" si="46">AA43*AA44/AA40/1000</f>
        <v>0</v>
      </c>
    </row>
    <row r="40" spans="1:64" s="35" customFormat="1" x14ac:dyDescent="0.25">
      <c r="A40" s="22"/>
      <c r="B40" s="186" t="str">
        <f>B39</f>
        <v>TTPELC100</v>
      </c>
      <c r="C40" s="186"/>
      <c r="D40" s="187"/>
      <c r="E40" s="188"/>
      <c r="F40" s="189" t="s">
        <v>417</v>
      </c>
      <c r="G40" s="170"/>
      <c r="H40" s="190"/>
      <c r="I40" s="191"/>
      <c r="J40" s="191"/>
      <c r="K40" s="186" t="s">
        <v>1126</v>
      </c>
      <c r="L40" s="191" t="s">
        <v>678</v>
      </c>
      <c r="M40" s="377">
        <f>LOOKUP($C$39, T_CEFF!$C$300:$C$306, T_CEFF!H$300:H$306)</f>
        <v>0.2</v>
      </c>
      <c r="N40" s="377">
        <f>LOOKUP($C$39, T_CEFF!$C$300:$C$306, T_CEFF!I$300:I$306)</f>
        <v>0.2</v>
      </c>
      <c r="O40" s="377">
        <f>LOOKUP($C$39, T_CEFF!$C$300:$C$306, T_CEFF!J$300:J$306)</f>
        <v>0.2</v>
      </c>
      <c r="P40" s="377">
        <f>LOOKUP($C$39, T_CEFF!$C$300:$C$306, T_CEFF!K$300:K$306)</f>
        <v>0.2</v>
      </c>
      <c r="Q40" s="377">
        <f>LOOKUP($C$39, T_CEFF!$C$300:$C$306, T_CEFF!L$300:L$306)</f>
        <v>0.2</v>
      </c>
      <c r="R40" s="377">
        <f>LOOKUP($C$39, T_CEFF!$C$300:$C$306, T_CEFF!M$300:M$306)</f>
        <v>0.2</v>
      </c>
      <c r="S40" s="377">
        <f>LOOKUP($C$39, T_CEFF!$C$300:$C$306, T_CEFF!N$300:N$306)</f>
        <v>0.2</v>
      </c>
      <c r="T40" s="377">
        <f>LOOKUP($C$39, T_CEFF!$C$300:$C$306, T_CEFF!O$300:O$306)</f>
        <v>0.2</v>
      </c>
      <c r="U40" s="377">
        <f>LOOKUP($C$39, T_CEFF!$C$300:$C$306, T_CEFF!P$300:P$306)</f>
        <v>0.2</v>
      </c>
      <c r="V40" s="377">
        <f>LOOKUP($C$39, T_CEFF!$C$300:$C$306, T_CEFF!Q$300:Q$306)</f>
        <v>0.2</v>
      </c>
      <c r="W40" s="377">
        <f>LOOKUP($C$39, T_CEFF!$C$300:$C$306, T_CEFF!R$300:R$306)</f>
        <v>0.2</v>
      </c>
      <c r="X40" s="377">
        <f>LOOKUP($C$39, T_CEFF!$C$300:$C$306, T_CEFF!S$300:S$306)</f>
        <v>0.2</v>
      </c>
      <c r="Y40" s="377">
        <f>LOOKUP($C$39, T_CEFF!$C$300:$C$306, T_CEFF!T$300:T$306)</f>
        <v>0.2</v>
      </c>
      <c r="Z40" s="377">
        <f>LOOKUP($C$39, T_CEFF!$C$300:$C$306, T_CEFF!U$300:U$306)</f>
        <v>0.2</v>
      </c>
      <c r="AA40" s="377">
        <f>LOOKUP($C$39, T_CEFF!$C$300:$C$306, T_CEFF!V$300:V$306)</f>
        <v>0.2</v>
      </c>
      <c r="AC40" s="66" t="str">
        <f>IF(COUNTIF($AF$3:$AN$3,AC39)=1,"ok","MISSING")</f>
        <v>ok</v>
      </c>
      <c r="AD40" s="633"/>
      <c r="AE40" s="824"/>
      <c r="AF40" s="824"/>
      <c r="AG40" s="824"/>
      <c r="AH40" s="824"/>
      <c r="AI40" s="824"/>
      <c r="AJ40" s="824"/>
      <c r="AK40" s="824"/>
      <c r="AL40" s="824"/>
      <c r="AM40" s="824"/>
      <c r="AN40" s="824"/>
      <c r="AO40" s="824"/>
      <c r="AP40" s="824"/>
      <c r="AQ40" s="824"/>
      <c r="AR40" s="824"/>
      <c r="AS40" s="824"/>
      <c r="AV40" s="700" t="str">
        <f t="shared" si="32"/>
        <v/>
      </c>
      <c r="AW40" s="568"/>
      <c r="AX40" s="568"/>
      <c r="AY40" s="568"/>
      <c r="AZ40" s="568"/>
      <c r="BA40" s="568"/>
      <c r="BB40" s="568"/>
      <c r="BC40" s="568"/>
      <c r="BD40" s="568"/>
      <c r="BE40" s="568"/>
      <c r="BF40" s="568"/>
      <c r="BG40" s="568"/>
      <c r="BH40" s="568"/>
      <c r="BI40" s="568"/>
      <c r="BJ40" s="568"/>
      <c r="BK40" s="568"/>
      <c r="BL40" s="568"/>
    </row>
    <row r="41" spans="1:64" s="35" customFormat="1" x14ac:dyDescent="0.25">
      <c r="B41" s="186" t="str">
        <f t="shared" ref="B41:B50" si="47">B40</f>
        <v>TTPELC100</v>
      </c>
      <c r="C41" s="186"/>
      <c r="D41" s="186"/>
      <c r="E41" s="188"/>
      <c r="F41" s="189" t="s">
        <v>623</v>
      </c>
      <c r="G41" s="170"/>
      <c r="H41" s="190"/>
      <c r="I41" s="191"/>
      <c r="J41" s="191"/>
      <c r="K41" s="186" t="s">
        <v>1126</v>
      </c>
      <c r="L41" s="191" t="s">
        <v>678</v>
      </c>
      <c r="M41" s="377">
        <f>LOOKUP($C$39, T_CEFF!$C$300:$C$306, T_CEFF!H$300:H$306)</f>
        <v>0.2</v>
      </c>
      <c r="N41" s="377">
        <f>LOOKUP($C$39, T_CEFF!$C$300:$C$306, T_CEFF!I$300:I$306)</f>
        <v>0.2</v>
      </c>
      <c r="O41" s="377">
        <f>LOOKUP($C$39, T_CEFF!$C$300:$C$306, T_CEFF!J$300:J$306)</f>
        <v>0.2</v>
      </c>
      <c r="P41" s="377">
        <f>LOOKUP($C$39, T_CEFF!$C$300:$C$306, T_CEFF!K$300:K$306)</f>
        <v>0.2</v>
      </c>
      <c r="Q41" s="377">
        <f>LOOKUP($C$39, T_CEFF!$C$300:$C$306, T_CEFF!L$300:L$306)</f>
        <v>0.2</v>
      </c>
      <c r="R41" s="377">
        <f>LOOKUP($C$39, T_CEFF!$C$300:$C$306, T_CEFF!M$300:M$306)</f>
        <v>0.2</v>
      </c>
      <c r="S41" s="377">
        <f>LOOKUP($C$39, T_CEFF!$C$300:$C$306, T_CEFF!N$300:N$306)</f>
        <v>0.2</v>
      </c>
      <c r="T41" s="377">
        <f>LOOKUP($C$39, T_CEFF!$C$300:$C$306, T_CEFF!O$300:O$306)</f>
        <v>0.2</v>
      </c>
      <c r="U41" s="377">
        <f>LOOKUP($C$39, T_CEFF!$C$300:$C$306, T_CEFF!P$300:P$306)</f>
        <v>0.2</v>
      </c>
      <c r="V41" s="377">
        <f>LOOKUP($C$39, T_CEFF!$C$300:$C$306, T_CEFF!Q$300:Q$306)</f>
        <v>0.2</v>
      </c>
      <c r="W41" s="377">
        <f>LOOKUP($C$39, T_CEFF!$C$300:$C$306, T_CEFF!R$300:R$306)</f>
        <v>0.2</v>
      </c>
      <c r="X41" s="377">
        <f>LOOKUP($C$39, T_CEFF!$C$300:$C$306, T_CEFF!S$300:S$306)</f>
        <v>0.2</v>
      </c>
      <c r="Y41" s="377">
        <f>LOOKUP($C$39, T_CEFF!$C$300:$C$306, T_CEFF!T$300:T$306)</f>
        <v>0.2</v>
      </c>
      <c r="Z41" s="377">
        <f>LOOKUP($C$39, T_CEFF!$C$300:$C$306, T_CEFF!U$300:U$306)</f>
        <v>0.2</v>
      </c>
      <c r="AA41" s="377">
        <f>LOOKUP($C$39, T_CEFF!$C$300:$C$306, T_CEFF!V$300:V$306)</f>
        <v>0.2</v>
      </c>
      <c r="AV41" s="700" t="str">
        <f t="shared" si="32"/>
        <v/>
      </c>
      <c r="AW41" s="568"/>
      <c r="AX41" s="568"/>
      <c r="AY41" s="568"/>
      <c r="AZ41" s="568"/>
      <c r="BA41" s="568"/>
      <c r="BB41" s="568"/>
      <c r="BC41" s="568"/>
      <c r="BD41" s="568"/>
      <c r="BE41" s="568"/>
      <c r="BF41" s="568"/>
      <c r="BG41" s="568"/>
      <c r="BH41" s="568"/>
      <c r="BI41" s="568"/>
      <c r="BJ41" s="568"/>
      <c r="BK41" s="568"/>
      <c r="BL41" s="568"/>
    </row>
    <row r="42" spans="1:64" s="35" customFormat="1" x14ac:dyDescent="0.25">
      <c r="B42" s="186" t="str">
        <f t="shared" si="47"/>
        <v>TTPELC100</v>
      </c>
      <c r="C42" s="186"/>
      <c r="D42" s="187"/>
      <c r="E42" s="186"/>
      <c r="F42" s="189"/>
      <c r="G42" s="170"/>
      <c r="H42" s="190"/>
      <c r="I42" s="191"/>
      <c r="J42" s="191" t="s">
        <v>749</v>
      </c>
      <c r="K42" s="186" t="s">
        <v>1128</v>
      </c>
      <c r="L42" s="191" t="s">
        <v>1211</v>
      </c>
      <c r="M42" s="369">
        <f>M$24</f>
        <v>0</v>
      </c>
      <c r="N42" s="369">
        <f t="shared" ref="N42:AA42" si="48">N$24</f>
        <v>0</v>
      </c>
      <c r="O42" s="369">
        <f t="shared" si="48"/>
        <v>0</v>
      </c>
      <c r="P42" s="369">
        <f t="shared" si="48"/>
        <v>0</v>
      </c>
      <c r="Q42" s="369">
        <f t="shared" si="48"/>
        <v>0</v>
      </c>
      <c r="R42" s="369">
        <f t="shared" si="48"/>
        <v>0</v>
      </c>
      <c r="S42" s="369">
        <f t="shared" si="48"/>
        <v>0</v>
      </c>
      <c r="T42" s="369">
        <f t="shared" si="48"/>
        <v>0</v>
      </c>
      <c r="U42" s="369">
        <f t="shared" si="48"/>
        <v>0</v>
      </c>
      <c r="V42" s="369">
        <f t="shared" si="48"/>
        <v>0</v>
      </c>
      <c r="W42" s="369">
        <f t="shared" si="48"/>
        <v>0</v>
      </c>
      <c r="X42" s="369">
        <f t="shared" si="48"/>
        <v>0</v>
      </c>
      <c r="Y42" s="369">
        <f t="shared" si="48"/>
        <v>0</v>
      </c>
      <c r="Z42" s="369">
        <f t="shared" si="48"/>
        <v>0</v>
      </c>
      <c r="AA42" s="369">
        <f t="shared" si="48"/>
        <v>0</v>
      </c>
      <c r="AC42" s="35" t="s">
        <v>1132</v>
      </c>
      <c r="AD42" s="622">
        <f>SUM(AE42:AS42)</f>
        <v>0</v>
      </c>
      <c r="AE42" s="81">
        <f t="shared" ref="AE42:AS42" si="49">M42*M43*M44/1000</f>
        <v>0</v>
      </c>
      <c r="AF42" s="81">
        <f t="shared" si="49"/>
        <v>0</v>
      </c>
      <c r="AG42" s="81">
        <f t="shared" si="49"/>
        <v>0</v>
      </c>
      <c r="AH42" s="81">
        <f t="shared" si="49"/>
        <v>0</v>
      </c>
      <c r="AI42" s="81">
        <f t="shared" si="49"/>
        <v>0</v>
      </c>
      <c r="AJ42" s="81">
        <f t="shared" si="49"/>
        <v>0</v>
      </c>
      <c r="AK42" s="81">
        <f t="shared" si="49"/>
        <v>0</v>
      </c>
      <c r="AL42" s="81">
        <f t="shared" si="49"/>
        <v>0</v>
      </c>
      <c r="AM42" s="81">
        <f t="shared" si="49"/>
        <v>0</v>
      </c>
      <c r="AN42" s="81">
        <f t="shared" si="49"/>
        <v>0</v>
      </c>
      <c r="AO42" s="81">
        <f t="shared" si="49"/>
        <v>0</v>
      </c>
      <c r="AP42" s="81">
        <f t="shared" si="49"/>
        <v>0</v>
      </c>
      <c r="AQ42" s="81">
        <f t="shared" si="49"/>
        <v>0</v>
      </c>
      <c r="AR42" s="81">
        <f t="shared" si="49"/>
        <v>0</v>
      </c>
      <c r="AS42" s="81">
        <f t="shared" si="49"/>
        <v>0</v>
      </c>
      <c r="AV42" s="700" t="str">
        <f t="shared" si="32"/>
        <v/>
      </c>
    </row>
    <row r="43" spans="1:64" s="35" customFormat="1" x14ac:dyDescent="0.25">
      <c r="B43" s="186" t="str">
        <f t="shared" si="47"/>
        <v>TTPELC100</v>
      </c>
      <c r="C43" s="186"/>
      <c r="D43" s="187"/>
      <c r="E43" s="186"/>
      <c r="F43" s="189"/>
      <c r="G43" s="170"/>
      <c r="H43" s="190"/>
      <c r="I43" s="191"/>
      <c r="J43" s="191"/>
      <c r="K43" s="192" t="s">
        <v>1130</v>
      </c>
      <c r="L43" s="191" t="s">
        <v>1131</v>
      </c>
      <c r="M43" s="369">
        <f>LOOKUP($C$39, T_NCAP_AF!$C$349:$C$355,T_NCAP_AF!D$349:D$355)</f>
        <v>0</v>
      </c>
      <c r="N43" s="369">
        <f>LOOKUP($C$39, T_NCAP_AF!$C$349:$C$355,T_NCAP_AF!E$349:E$355)</f>
        <v>0</v>
      </c>
      <c r="O43" s="369">
        <f>LOOKUP($C$39, T_NCAP_AF!$C$349:$C$355,T_NCAP_AF!F$349:F$355)</f>
        <v>0</v>
      </c>
      <c r="P43" s="369">
        <f>LOOKUP($C$39, T_NCAP_AF!$C$349:$C$355,T_NCAP_AF!G$349:G$355)</f>
        <v>0</v>
      </c>
      <c r="Q43" s="369">
        <f>LOOKUP($C$39, T_NCAP_AF!$C$349:$C$355,T_NCAP_AF!H$349:H$355)</f>
        <v>0</v>
      </c>
      <c r="R43" s="369">
        <f>LOOKUP($C$39, T_NCAP_AF!$C$349:$C$355,T_NCAP_AF!I$349:I$355)</f>
        <v>0</v>
      </c>
      <c r="S43" s="369">
        <f>LOOKUP($C$39, T_NCAP_AF!$C$349:$C$355,T_NCAP_AF!J$349:J$355)</f>
        <v>0</v>
      </c>
      <c r="T43" s="369">
        <f>LOOKUP($C$39, T_NCAP_AF!$C$349:$C$355,T_NCAP_AF!K$349:K$355)</f>
        <v>0</v>
      </c>
      <c r="U43" s="369">
        <f>LOOKUP($C$39, T_NCAP_AF!$C$349:$C$355,T_NCAP_AF!L$349:L$355)</f>
        <v>0</v>
      </c>
      <c r="V43" s="369">
        <f>LOOKUP($C$39, T_NCAP_AF!$C$349:$C$355,T_NCAP_AF!M$349:M$355)</f>
        <v>0</v>
      </c>
      <c r="W43" s="369">
        <f>LOOKUP($C$39, T_NCAP_AF!$C$349:$C$355,T_NCAP_AF!N$349:N$355)</f>
        <v>0</v>
      </c>
      <c r="X43" s="369">
        <f>LOOKUP($C$39, T_NCAP_AF!$C$349:$C$355,T_NCAP_AF!O$349:O$355)</f>
        <v>0</v>
      </c>
      <c r="Y43" s="369">
        <f>LOOKUP($C$39, T_NCAP_AF!$C$349:$C$355,T_NCAP_AF!P$349:P$355)</f>
        <v>0</v>
      </c>
      <c r="Z43" s="369">
        <f>LOOKUP($C$39, T_NCAP_AF!$C$349:$C$355,T_NCAP_AF!Q$349:Q$355)</f>
        <v>0</v>
      </c>
      <c r="AA43" s="369">
        <f>LOOKUP($C$39, T_NCAP_AF!$C$349:$C$355,T_NCAP_AF!R$349:R$355)</f>
        <v>0</v>
      </c>
      <c r="AV43" s="700" t="str">
        <f t="shared" si="32"/>
        <v/>
      </c>
    </row>
    <row r="44" spans="1:64" s="35" customFormat="1" x14ac:dyDescent="0.25">
      <c r="B44" s="186" t="str">
        <f t="shared" si="47"/>
        <v>TTPELC100</v>
      </c>
      <c r="C44" s="186"/>
      <c r="D44" s="187"/>
      <c r="E44" s="186"/>
      <c r="F44" s="189"/>
      <c r="G44" s="170"/>
      <c r="H44" s="190">
        <f>$L$3</f>
        <v>2019</v>
      </c>
      <c r="I44" s="191"/>
      <c r="J44" s="191"/>
      <c r="K44" s="192" t="s">
        <v>1065</v>
      </c>
      <c r="L44" s="191" t="s">
        <v>748</v>
      </c>
      <c r="M44" s="689">
        <f>IF(M43=0, 0, ROUNDUP((M$18+M$19)/M42/M43*1000*M$30, 8))</f>
        <v>0</v>
      </c>
      <c r="N44" s="689">
        <f t="shared" ref="N44:AA44" si="50">IF(N43=0, 0, ROUNDUP((N$18+N$19)/N42/N43*1000*N$30, 8))</f>
        <v>0</v>
      </c>
      <c r="O44" s="689">
        <f t="shared" si="50"/>
        <v>0</v>
      </c>
      <c r="P44" s="689">
        <f t="shared" si="50"/>
        <v>0</v>
      </c>
      <c r="Q44" s="689">
        <f t="shared" si="50"/>
        <v>0</v>
      </c>
      <c r="R44" s="689">
        <f t="shared" si="50"/>
        <v>0</v>
      </c>
      <c r="S44" s="689">
        <f t="shared" si="50"/>
        <v>0</v>
      </c>
      <c r="T44" s="689">
        <f t="shared" si="50"/>
        <v>0</v>
      </c>
      <c r="U44" s="689">
        <f t="shared" si="50"/>
        <v>0</v>
      </c>
      <c r="V44" s="689">
        <f t="shared" si="50"/>
        <v>0</v>
      </c>
      <c r="W44" s="689">
        <f t="shared" si="50"/>
        <v>0</v>
      </c>
      <c r="X44" s="689">
        <f t="shared" si="50"/>
        <v>0</v>
      </c>
      <c r="Y44" s="689">
        <f>IF(Y43=0, 0, ROUNDUP((Y$18+Y$19)/Y42/Y43*1000*Y$30, 8))</f>
        <v>0</v>
      </c>
      <c r="Z44" s="689">
        <f t="shared" si="50"/>
        <v>0</v>
      </c>
      <c r="AA44" s="689">
        <f t="shared" si="50"/>
        <v>0</v>
      </c>
    </row>
    <row r="45" spans="1:64" s="35" customFormat="1" x14ac:dyDescent="0.25">
      <c r="B45" s="186" t="str">
        <f t="shared" si="47"/>
        <v>TTPELC100</v>
      </c>
      <c r="C45" s="186"/>
      <c r="D45" s="187"/>
      <c r="E45" s="186"/>
      <c r="F45" s="189"/>
      <c r="G45" s="170"/>
      <c r="H45" s="190">
        <f>AE$4</f>
        <v>2016</v>
      </c>
      <c r="I45" s="191"/>
      <c r="J45" s="191"/>
      <c r="K45" s="192" t="s">
        <v>1065</v>
      </c>
      <c r="L45" s="191" t="s">
        <v>748</v>
      </c>
      <c r="M45" s="687">
        <f t="shared" ref="M45:AA50" si="51">M44*LOOKUP($AC$39,$AF$3:$AN$3,$AF4:$AN4)</f>
        <v>0</v>
      </c>
      <c r="N45" s="687">
        <f t="shared" si="51"/>
        <v>0</v>
      </c>
      <c r="O45" s="687">
        <f t="shared" si="51"/>
        <v>0</v>
      </c>
      <c r="P45" s="687">
        <f t="shared" si="51"/>
        <v>0</v>
      </c>
      <c r="Q45" s="687">
        <f t="shared" si="51"/>
        <v>0</v>
      </c>
      <c r="R45" s="687">
        <f t="shared" si="51"/>
        <v>0</v>
      </c>
      <c r="S45" s="687">
        <f t="shared" si="51"/>
        <v>0</v>
      </c>
      <c r="T45" s="687">
        <f t="shared" si="51"/>
        <v>0</v>
      </c>
      <c r="U45" s="687">
        <f t="shared" si="51"/>
        <v>0</v>
      </c>
      <c r="V45" s="687">
        <f t="shared" si="51"/>
        <v>0</v>
      </c>
      <c r="W45" s="687">
        <f t="shared" si="51"/>
        <v>0</v>
      </c>
      <c r="X45" s="687">
        <f t="shared" si="51"/>
        <v>0</v>
      </c>
      <c r="Y45" s="687">
        <f t="shared" si="51"/>
        <v>0</v>
      </c>
      <c r="Z45" s="687">
        <f t="shared" si="51"/>
        <v>0</v>
      </c>
      <c r="AA45" s="687">
        <f t="shared" si="51"/>
        <v>0</v>
      </c>
    </row>
    <row r="46" spans="1:64" s="35" customFormat="1" x14ac:dyDescent="0.25">
      <c r="B46" s="186" t="str">
        <f t="shared" si="47"/>
        <v>TTPELC100</v>
      </c>
      <c r="C46" s="186"/>
      <c r="D46" s="187"/>
      <c r="E46" s="186"/>
      <c r="F46" s="189"/>
      <c r="G46" s="170"/>
      <c r="H46" s="190">
        <f>AE$5</f>
        <v>2020</v>
      </c>
      <c r="I46" s="191"/>
      <c r="J46" s="191"/>
      <c r="K46" s="192" t="s">
        <v>1065</v>
      </c>
      <c r="L46" s="191" t="s">
        <v>748</v>
      </c>
      <c r="M46" s="687">
        <f t="shared" si="51"/>
        <v>0</v>
      </c>
      <c r="N46" s="687">
        <f t="shared" si="51"/>
        <v>0</v>
      </c>
      <c r="O46" s="687">
        <f t="shared" si="51"/>
        <v>0</v>
      </c>
      <c r="P46" s="687">
        <f t="shared" si="51"/>
        <v>0</v>
      </c>
      <c r="Q46" s="687">
        <f t="shared" si="51"/>
        <v>0</v>
      </c>
      <c r="R46" s="687">
        <f t="shared" si="51"/>
        <v>0</v>
      </c>
      <c r="S46" s="687">
        <f t="shared" si="51"/>
        <v>0</v>
      </c>
      <c r="T46" s="687">
        <f t="shared" si="51"/>
        <v>0</v>
      </c>
      <c r="U46" s="687">
        <f t="shared" si="51"/>
        <v>0</v>
      </c>
      <c r="V46" s="687">
        <f t="shared" si="51"/>
        <v>0</v>
      </c>
      <c r="W46" s="687">
        <f t="shared" si="51"/>
        <v>0</v>
      </c>
      <c r="X46" s="687">
        <f t="shared" si="51"/>
        <v>0</v>
      </c>
      <c r="Y46" s="687">
        <f t="shared" si="51"/>
        <v>0</v>
      </c>
      <c r="Z46" s="687">
        <f t="shared" si="51"/>
        <v>0</v>
      </c>
      <c r="AA46" s="687">
        <f t="shared" si="51"/>
        <v>0</v>
      </c>
    </row>
    <row r="47" spans="1:64" s="35" customFormat="1" x14ac:dyDescent="0.25">
      <c r="B47" s="186" t="str">
        <f t="shared" si="47"/>
        <v>TTPELC100</v>
      </c>
      <c r="C47" s="186"/>
      <c r="D47" s="187"/>
      <c r="E47" s="186"/>
      <c r="F47" s="189"/>
      <c r="G47" s="170"/>
      <c r="H47" s="190">
        <f>AE$6</f>
        <v>2025</v>
      </c>
      <c r="I47" s="191"/>
      <c r="J47" s="191"/>
      <c r="K47" s="192" t="s">
        <v>1065</v>
      </c>
      <c r="L47" s="191" t="s">
        <v>748</v>
      </c>
      <c r="M47" s="687">
        <f t="shared" si="51"/>
        <v>0</v>
      </c>
      <c r="N47" s="687">
        <f t="shared" si="51"/>
        <v>0</v>
      </c>
      <c r="O47" s="687">
        <f t="shared" si="51"/>
        <v>0</v>
      </c>
      <c r="P47" s="687">
        <f t="shared" si="51"/>
        <v>0</v>
      </c>
      <c r="Q47" s="687">
        <f t="shared" si="51"/>
        <v>0</v>
      </c>
      <c r="R47" s="687">
        <f t="shared" si="51"/>
        <v>0</v>
      </c>
      <c r="S47" s="687">
        <f t="shared" si="51"/>
        <v>0</v>
      </c>
      <c r="T47" s="687">
        <f t="shared" si="51"/>
        <v>0</v>
      </c>
      <c r="U47" s="687">
        <f t="shared" si="51"/>
        <v>0</v>
      </c>
      <c r="V47" s="687">
        <f t="shared" si="51"/>
        <v>0</v>
      </c>
      <c r="W47" s="687">
        <f t="shared" si="51"/>
        <v>0</v>
      </c>
      <c r="X47" s="687">
        <f t="shared" si="51"/>
        <v>0</v>
      </c>
      <c r="Y47" s="687">
        <f t="shared" si="51"/>
        <v>0</v>
      </c>
      <c r="Z47" s="687">
        <f t="shared" si="51"/>
        <v>0</v>
      </c>
      <c r="AA47" s="687">
        <f t="shared" si="51"/>
        <v>0</v>
      </c>
    </row>
    <row r="48" spans="1:64" s="35" customFormat="1" x14ac:dyDescent="0.25">
      <c r="B48" s="186" t="str">
        <f t="shared" si="47"/>
        <v>TTPELC100</v>
      </c>
      <c r="C48" s="186"/>
      <c r="D48" s="187"/>
      <c r="E48" s="186"/>
      <c r="F48" s="189"/>
      <c r="G48" s="170"/>
      <c r="H48" s="190">
        <f>AE$7</f>
        <v>2030</v>
      </c>
      <c r="I48" s="191"/>
      <c r="J48" s="191"/>
      <c r="K48" s="192" t="s">
        <v>1065</v>
      </c>
      <c r="L48" s="191" t="s">
        <v>748</v>
      </c>
      <c r="M48" s="687">
        <f t="shared" si="51"/>
        <v>0</v>
      </c>
      <c r="N48" s="687">
        <f t="shared" si="51"/>
        <v>0</v>
      </c>
      <c r="O48" s="687">
        <f t="shared" si="51"/>
        <v>0</v>
      </c>
      <c r="P48" s="687">
        <f t="shared" si="51"/>
        <v>0</v>
      </c>
      <c r="Q48" s="687">
        <f t="shared" si="51"/>
        <v>0</v>
      </c>
      <c r="R48" s="687">
        <f t="shared" si="51"/>
        <v>0</v>
      </c>
      <c r="S48" s="687">
        <f t="shared" si="51"/>
        <v>0</v>
      </c>
      <c r="T48" s="687">
        <f t="shared" si="51"/>
        <v>0</v>
      </c>
      <c r="U48" s="687">
        <f t="shared" si="51"/>
        <v>0</v>
      </c>
      <c r="V48" s="687">
        <f t="shared" si="51"/>
        <v>0</v>
      </c>
      <c r="W48" s="687">
        <f t="shared" si="51"/>
        <v>0</v>
      </c>
      <c r="X48" s="687">
        <f t="shared" si="51"/>
        <v>0</v>
      </c>
      <c r="Y48" s="687">
        <f t="shared" si="51"/>
        <v>0</v>
      </c>
      <c r="Z48" s="687">
        <f t="shared" si="51"/>
        <v>0</v>
      </c>
      <c r="AA48" s="687">
        <f t="shared" si="51"/>
        <v>0</v>
      </c>
    </row>
    <row r="49" spans="1:64" s="35" customFormat="1" x14ac:dyDescent="0.25">
      <c r="B49" s="186" t="str">
        <f t="shared" si="47"/>
        <v>TTPELC100</v>
      </c>
      <c r="C49" s="186"/>
      <c r="D49" s="187"/>
      <c r="E49" s="186"/>
      <c r="F49" s="189"/>
      <c r="G49" s="170"/>
      <c r="H49" s="190">
        <f>AE$8</f>
        <v>2040</v>
      </c>
      <c r="I49" s="191"/>
      <c r="J49" s="191"/>
      <c r="K49" s="192" t="s">
        <v>1065</v>
      </c>
      <c r="L49" s="191" t="s">
        <v>748</v>
      </c>
      <c r="M49" s="687">
        <f t="shared" si="51"/>
        <v>0</v>
      </c>
      <c r="N49" s="687">
        <f t="shared" si="51"/>
        <v>0</v>
      </c>
      <c r="O49" s="687">
        <f t="shared" si="51"/>
        <v>0</v>
      </c>
      <c r="P49" s="687">
        <f t="shared" si="51"/>
        <v>0</v>
      </c>
      <c r="Q49" s="687">
        <f t="shared" si="51"/>
        <v>0</v>
      </c>
      <c r="R49" s="687">
        <f t="shared" si="51"/>
        <v>0</v>
      </c>
      <c r="S49" s="687">
        <f t="shared" si="51"/>
        <v>0</v>
      </c>
      <c r="T49" s="687">
        <f t="shared" si="51"/>
        <v>0</v>
      </c>
      <c r="U49" s="687">
        <f t="shared" si="51"/>
        <v>0</v>
      </c>
      <c r="V49" s="687">
        <f t="shared" si="51"/>
        <v>0</v>
      </c>
      <c r="W49" s="687">
        <f t="shared" si="51"/>
        <v>0</v>
      </c>
      <c r="X49" s="687">
        <f t="shared" si="51"/>
        <v>0</v>
      </c>
      <c r="Y49" s="687">
        <f t="shared" si="51"/>
        <v>0</v>
      </c>
      <c r="Z49" s="687">
        <f t="shared" si="51"/>
        <v>0</v>
      </c>
      <c r="AA49" s="687">
        <f t="shared" si="51"/>
        <v>0</v>
      </c>
    </row>
    <row r="50" spans="1:64" s="35" customFormat="1" x14ac:dyDescent="0.25">
      <c r="B50" s="193" t="str">
        <f t="shared" si="47"/>
        <v>TTPELC100</v>
      </c>
      <c r="C50" s="193"/>
      <c r="D50" s="194"/>
      <c r="E50" s="193"/>
      <c r="F50" s="195"/>
      <c r="G50" s="196"/>
      <c r="H50" s="197">
        <f>AE$9</f>
        <v>2050</v>
      </c>
      <c r="I50" s="198"/>
      <c r="J50" s="198"/>
      <c r="K50" s="199" t="s">
        <v>1065</v>
      </c>
      <c r="L50" s="198" t="s">
        <v>748</v>
      </c>
      <c r="M50" s="688">
        <f t="shared" si="51"/>
        <v>0</v>
      </c>
      <c r="N50" s="688">
        <f t="shared" si="51"/>
        <v>0</v>
      </c>
      <c r="O50" s="688">
        <f t="shared" si="51"/>
        <v>0</v>
      </c>
      <c r="P50" s="688">
        <f t="shared" si="51"/>
        <v>0</v>
      </c>
      <c r="Q50" s="688">
        <f t="shared" si="51"/>
        <v>0</v>
      </c>
      <c r="R50" s="688">
        <f t="shared" si="51"/>
        <v>0</v>
      </c>
      <c r="S50" s="688">
        <f t="shared" si="51"/>
        <v>0</v>
      </c>
      <c r="T50" s="688">
        <f t="shared" si="51"/>
        <v>0</v>
      </c>
      <c r="U50" s="688">
        <f t="shared" si="51"/>
        <v>0</v>
      </c>
      <c r="V50" s="688">
        <f t="shared" si="51"/>
        <v>0</v>
      </c>
      <c r="W50" s="688">
        <f t="shared" si="51"/>
        <v>0</v>
      </c>
      <c r="X50" s="688">
        <f t="shared" si="51"/>
        <v>0</v>
      </c>
      <c r="Y50" s="688">
        <f t="shared" si="51"/>
        <v>0</v>
      </c>
      <c r="Z50" s="688">
        <f t="shared" si="51"/>
        <v>0</v>
      </c>
      <c r="AA50" s="688">
        <f t="shared" si="51"/>
        <v>0</v>
      </c>
    </row>
    <row r="51" spans="1:64" s="35" customFormat="1" x14ac:dyDescent="0.25">
      <c r="A51" s="22"/>
      <c r="B51" s="186" t="str">
        <f>C51</f>
        <v>TTPDST100</v>
      </c>
      <c r="C51" s="178" t="s">
        <v>221</v>
      </c>
      <c r="D51" s="179" t="s">
        <v>891</v>
      </c>
      <c r="E51" s="188" t="s">
        <v>1002</v>
      </c>
      <c r="F51" s="189"/>
      <c r="G51" s="170"/>
      <c r="H51" s="190"/>
      <c r="I51" s="191"/>
      <c r="J51" s="191"/>
      <c r="K51" s="192" t="s">
        <v>1107</v>
      </c>
      <c r="L51" s="191" t="s">
        <v>1125</v>
      </c>
      <c r="M51" s="366">
        <f>M$115</f>
        <v>1E-3</v>
      </c>
      <c r="N51" s="366">
        <f t="shared" ref="N51:AA51" si="52">$M51</f>
        <v>1E-3</v>
      </c>
      <c r="O51" s="366">
        <f t="shared" si="52"/>
        <v>1E-3</v>
      </c>
      <c r="P51" s="366">
        <f t="shared" si="52"/>
        <v>1E-3</v>
      </c>
      <c r="Q51" s="366">
        <f t="shared" si="52"/>
        <v>1E-3</v>
      </c>
      <c r="R51" s="366">
        <f t="shared" si="52"/>
        <v>1E-3</v>
      </c>
      <c r="S51" s="366">
        <f t="shared" si="52"/>
        <v>1E-3</v>
      </c>
      <c r="T51" s="366">
        <f t="shared" si="52"/>
        <v>1E-3</v>
      </c>
      <c r="U51" s="366">
        <f t="shared" si="52"/>
        <v>1E-3</v>
      </c>
      <c r="V51" s="366">
        <f t="shared" si="52"/>
        <v>1E-3</v>
      </c>
      <c r="W51" s="366">
        <f t="shared" si="52"/>
        <v>1E-3</v>
      </c>
      <c r="X51" s="366">
        <f t="shared" si="52"/>
        <v>1E-3</v>
      </c>
      <c r="Y51" s="366">
        <f t="shared" si="52"/>
        <v>1E-3</v>
      </c>
      <c r="Z51" s="366">
        <f t="shared" si="52"/>
        <v>1E-3</v>
      </c>
      <c r="AA51" s="366">
        <f t="shared" si="52"/>
        <v>1E-3</v>
      </c>
      <c r="AC51" s="402" t="str">
        <f>RIGHT(E51,3)</f>
        <v>DSR</v>
      </c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V51" s="700" t="str">
        <f t="shared" ref="AV51" si="53">MID(E51,1,7)</f>
        <v>TRADSR</v>
      </c>
      <c r="AW51" s="568">
        <f>SUM(AX51:BL51)</f>
        <v>0</v>
      </c>
      <c r="AX51" s="568">
        <f>M56*M57/M53/1000</f>
        <v>0</v>
      </c>
      <c r="AY51" s="568">
        <f t="shared" ref="AY51" si="54">N56*N57/N53/1000</f>
        <v>0</v>
      </c>
      <c r="AZ51" s="568">
        <f t="shared" ref="AZ51" si="55">O56*O57/O53/1000</f>
        <v>0</v>
      </c>
      <c r="BA51" s="568">
        <f t="shared" ref="BA51" si="56">P56*P57/P53/1000</f>
        <v>0</v>
      </c>
      <c r="BB51" s="568">
        <f t="shared" ref="BB51" si="57">Q56*Q57/Q53/1000</f>
        <v>0</v>
      </c>
      <c r="BC51" s="568">
        <f t="shared" ref="BC51" si="58">R56*R57/R53/1000</f>
        <v>0</v>
      </c>
      <c r="BD51" s="568">
        <f t="shared" ref="BD51" si="59">S56*S57/S53/1000</f>
        <v>0</v>
      </c>
      <c r="BE51" s="568">
        <f t="shared" ref="BE51" si="60">T56*T57/T53/1000</f>
        <v>0</v>
      </c>
      <c r="BF51" s="568">
        <f t="shared" ref="BF51" si="61">U56*U57/U53/1000</f>
        <v>0</v>
      </c>
      <c r="BG51" s="568">
        <f t="shared" ref="BG51" si="62">V56*V57/V53/1000</f>
        <v>0</v>
      </c>
      <c r="BH51" s="568">
        <f t="shared" ref="BH51" si="63">W56*W57/W53/1000</f>
        <v>0</v>
      </c>
      <c r="BI51" s="568">
        <f t="shared" ref="BI51" si="64">X56*X57/X53/1000</f>
        <v>0</v>
      </c>
      <c r="BJ51" s="568">
        <f t="shared" ref="BJ51" si="65">Y56*Y57/Y53/1000</f>
        <v>0</v>
      </c>
      <c r="BK51" s="568">
        <f t="shared" ref="BK51" si="66">Z56*Z57/Z53/1000</f>
        <v>0</v>
      </c>
      <c r="BL51" s="568">
        <f t="shared" ref="BL51" si="67">AA56*AA57/AA53/1000</f>
        <v>0</v>
      </c>
    </row>
    <row r="52" spans="1:64" s="35" customFormat="1" x14ac:dyDescent="0.25">
      <c r="A52" s="22"/>
      <c r="B52" s="186" t="str">
        <f>B51</f>
        <v>TTPDST100</v>
      </c>
      <c r="C52" s="178"/>
      <c r="D52" s="179"/>
      <c r="E52" s="188" t="s">
        <v>992</v>
      </c>
      <c r="F52" s="189"/>
      <c r="G52" s="170"/>
      <c r="H52" s="190"/>
      <c r="I52" s="191" t="s">
        <v>1157</v>
      </c>
      <c r="J52" s="191"/>
      <c r="K52" s="192" t="s">
        <v>101</v>
      </c>
      <c r="L52" s="191"/>
      <c r="M52" s="377">
        <v>0.05</v>
      </c>
      <c r="N52" s="377">
        <v>0.05</v>
      </c>
      <c r="O52" s="377">
        <v>0.05</v>
      </c>
      <c r="P52" s="377">
        <v>0.05</v>
      </c>
      <c r="Q52" s="377">
        <v>0.05</v>
      </c>
      <c r="R52" s="377">
        <v>0.05</v>
      </c>
      <c r="S52" s="377">
        <v>0.05</v>
      </c>
      <c r="T52" s="377">
        <v>0.05</v>
      </c>
      <c r="U52" s="377">
        <v>0.05</v>
      </c>
      <c r="V52" s="377">
        <v>0.05</v>
      </c>
      <c r="W52" s="377">
        <v>0.05</v>
      </c>
      <c r="X52" s="377">
        <v>0.05</v>
      </c>
      <c r="Y52" s="377">
        <v>0.05</v>
      </c>
      <c r="Z52" s="377">
        <v>0.05</v>
      </c>
      <c r="AA52" s="377">
        <v>0.05</v>
      </c>
      <c r="AC52" s="56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V52" s="700"/>
      <c r="AW52" s="568"/>
      <c r="AX52" s="568"/>
      <c r="AY52" s="568"/>
      <c r="AZ52" s="568"/>
      <c r="BA52" s="568"/>
      <c r="BB52" s="568"/>
      <c r="BC52" s="568"/>
      <c r="BD52" s="568"/>
      <c r="BE52" s="568"/>
      <c r="BF52" s="568"/>
      <c r="BG52" s="568"/>
      <c r="BH52" s="568"/>
      <c r="BI52" s="568"/>
      <c r="BJ52" s="568"/>
      <c r="BK52" s="568"/>
      <c r="BL52" s="568"/>
    </row>
    <row r="53" spans="1:64" s="35" customFormat="1" x14ac:dyDescent="0.25">
      <c r="A53" s="22"/>
      <c r="B53" s="186" t="str">
        <f t="shared" ref="B53:B63" si="68">B52</f>
        <v>TTPDST100</v>
      </c>
      <c r="C53" s="186"/>
      <c r="D53" s="187"/>
      <c r="E53" s="188"/>
      <c r="F53" s="189" t="s">
        <v>417</v>
      </c>
      <c r="G53" s="170"/>
      <c r="H53" s="190"/>
      <c r="I53" s="191"/>
      <c r="J53" s="191"/>
      <c r="K53" s="186" t="s">
        <v>1126</v>
      </c>
      <c r="L53" s="191" t="s">
        <v>678</v>
      </c>
      <c r="M53" s="377">
        <f>LOOKUP($C$51, T_CEFF!$C$300:$C$306, T_CEFF!H$300:H$306)</f>
        <v>0.1</v>
      </c>
      <c r="N53" s="377">
        <f>LOOKUP($C$51, T_CEFF!$C$300:$C$306, T_CEFF!I$300:I$306)</f>
        <v>0.1</v>
      </c>
      <c r="O53" s="377">
        <f>LOOKUP($C$51, T_CEFF!$C$300:$C$306, T_CEFF!J$300:J$306)</f>
        <v>0.1</v>
      </c>
      <c r="P53" s="377">
        <f>LOOKUP($C$51, T_CEFF!$C$300:$C$306, T_CEFF!K$300:K$306)</f>
        <v>0.1</v>
      </c>
      <c r="Q53" s="377">
        <f>LOOKUP($C$51, T_CEFF!$C$300:$C$306, T_CEFF!L$300:L$306)</f>
        <v>0.1</v>
      </c>
      <c r="R53" s="377">
        <f>LOOKUP($C$51, T_CEFF!$C$300:$C$306, T_CEFF!M$300:M$306)</f>
        <v>0.1</v>
      </c>
      <c r="S53" s="377">
        <f>LOOKUP($C$51, T_CEFF!$C$300:$C$306, T_CEFF!N$300:N$306)</f>
        <v>0.1</v>
      </c>
      <c r="T53" s="377">
        <f>LOOKUP($C$51, T_CEFF!$C$300:$C$306, T_CEFF!O$300:O$306)</f>
        <v>0.1</v>
      </c>
      <c r="U53" s="377">
        <f>LOOKUP($C$51, T_CEFF!$C$300:$C$306, T_CEFF!P$300:P$306)</f>
        <v>0.1</v>
      </c>
      <c r="V53" s="377">
        <f>LOOKUP($C$51, T_CEFF!$C$300:$C$306, T_CEFF!Q$300:Q$306)</f>
        <v>0.1</v>
      </c>
      <c r="W53" s="377">
        <f>LOOKUP($C$51, T_CEFF!$C$300:$C$306, T_CEFF!R$300:R$306)</f>
        <v>0.1</v>
      </c>
      <c r="X53" s="377">
        <f>LOOKUP($C$51, T_CEFF!$C$300:$C$306, T_CEFF!S$300:S$306)</f>
        <v>0.1</v>
      </c>
      <c r="Y53" s="377">
        <f>LOOKUP($C$51, T_CEFF!$C$300:$C$306, T_CEFF!T$300:T$306)</f>
        <v>0.1</v>
      </c>
      <c r="Z53" s="377">
        <f>LOOKUP($C$51, T_CEFF!$C$300:$C$306, T_CEFF!U$300:U$306)</f>
        <v>0.1</v>
      </c>
      <c r="AA53" s="377">
        <f>LOOKUP($C$51, T_CEFF!$C$300:$C$306, T_CEFF!V$300:V$306)</f>
        <v>0.1</v>
      </c>
      <c r="AC53" s="66" t="str">
        <f>IF(COUNTIF($AF$3:$AN$3,AC51)=1,"ok","MISSING")</f>
        <v>ok</v>
      </c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</row>
    <row r="54" spans="1:64" s="35" customFormat="1" x14ac:dyDescent="0.25">
      <c r="B54" s="186" t="str">
        <f t="shared" si="68"/>
        <v>TTPDST100</v>
      </c>
      <c r="C54" s="186"/>
      <c r="D54" s="186"/>
      <c r="E54" s="188"/>
      <c r="F54" s="189" t="s">
        <v>623</v>
      </c>
      <c r="G54" s="170"/>
      <c r="H54" s="190"/>
      <c r="I54" s="191"/>
      <c r="J54" s="191"/>
      <c r="K54" s="186" t="s">
        <v>1126</v>
      </c>
      <c r="L54" s="191" t="s">
        <v>678</v>
      </c>
      <c r="M54" s="377">
        <f>LOOKUP($C$51, T_CEFF!$C$300:$C$306, T_CEFF!H$300:H$306)</f>
        <v>0.1</v>
      </c>
      <c r="N54" s="377">
        <f>LOOKUP($C$51, T_CEFF!$C$300:$C$306, T_CEFF!I$300:I$306)</f>
        <v>0.1</v>
      </c>
      <c r="O54" s="377">
        <f>LOOKUP($C$51, T_CEFF!$C$300:$C$306, T_CEFF!J$300:J$306)</f>
        <v>0.1</v>
      </c>
      <c r="P54" s="377">
        <f>LOOKUP($C$51, T_CEFF!$C$300:$C$306, T_CEFF!K$300:K$306)</f>
        <v>0.1</v>
      </c>
      <c r="Q54" s="377">
        <f>LOOKUP($C$51, T_CEFF!$C$300:$C$306, T_CEFF!L$300:L$306)</f>
        <v>0.1</v>
      </c>
      <c r="R54" s="377">
        <f>LOOKUP($C$51, T_CEFF!$C$300:$C$306, T_CEFF!M$300:M$306)</f>
        <v>0.1</v>
      </c>
      <c r="S54" s="377">
        <f>LOOKUP($C$51, T_CEFF!$C$300:$C$306, T_CEFF!N$300:N$306)</f>
        <v>0.1</v>
      </c>
      <c r="T54" s="377">
        <f>LOOKUP($C$51, T_CEFF!$C$300:$C$306, T_CEFF!O$300:O$306)</f>
        <v>0.1</v>
      </c>
      <c r="U54" s="377">
        <f>LOOKUP($C$51, T_CEFF!$C$300:$C$306, T_CEFF!P$300:P$306)</f>
        <v>0.1</v>
      </c>
      <c r="V54" s="377">
        <f>LOOKUP($C$51, T_CEFF!$C$300:$C$306, T_CEFF!Q$300:Q$306)</f>
        <v>0.1</v>
      </c>
      <c r="W54" s="377">
        <f>LOOKUP($C$51, T_CEFF!$C$300:$C$306, T_CEFF!R$300:R$306)</f>
        <v>0.1</v>
      </c>
      <c r="X54" s="377">
        <f>LOOKUP($C$51, T_CEFF!$C$300:$C$306, T_CEFF!S$300:S$306)</f>
        <v>0.1</v>
      </c>
      <c r="Y54" s="377">
        <f>LOOKUP($C$51, T_CEFF!$C$300:$C$306, T_CEFF!T$300:T$306)</f>
        <v>0.1</v>
      </c>
      <c r="Z54" s="377">
        <f>LOOKUP($C$51, T_CEFF!$C$300:$C$306, T_CEFF!U$300:U$306)</f>
        <v>0.1</v>
      </c>
      <c r="AA54" s="377">
        <f>LOOKUP($C$51, T_CEFF!$C$300:$C$306, T_CEFF!V$300:V$306)</f>
        <v>0.1</v>
      </c>
    </row>
    <row r="55" spans="1:64" s="35" customFormat="1" x14ac:dyDescent="0.25">
      <c r="B55" s="186" t="str">
        <f t="shared" si="68"/>
        <v>TTPDST100</v>
      </c>
      <c r="C55" s="186"/>
      <c r="D55" s="187"/>
      <c r="E55" s="186"/>
      <c r="F55" s="189"/>
      <c r="G55" s="170"/>
      <c r="H55" s="190"/>
      <c r="I55" s="191"/>
      <c r="J55" s="191" t="s">
        <v>749</v>
      </c>
      <c r="K55" s="186" t="s">
        <v>1128</v>
      </c>
      <c r="L55" s="191" t="s">
        <v>1211</v>
      </c>
      <c r="M55" s="369">
        <f>M$25</f>
        <v>0</v>
      </c>
      <c r="N55" s="369">
        <f t="shared" ref="N55:AA55" si="69">N$25</f>
        <v>0</v>
      </c>
      <c r="O55" s="369">
        <f t="shared" si="69"/>
        <v>0</v>
      </c>
      <c r="P55" s="369">
        <f t="shared" si="69"/>
        <v>0</v>
      </c>
      <c r="Q55" s="369">
        <f t="shared" si="69"/>
        <v>0</v>
      </c>
      <c r="R55" s="369">
        <f t="shared" si="69"/>
        <v>0</v>
      </c>
      <c r="S55" s="369">
        <f t="shared" si="69"/>
        <v>0</v>
      </c>
      <c r="T55" s="369">
        <f t="shared" si="69"/>
        <v>0</v>
      </c>
      <c r="U55" s="369">
        <f t="shared" si="69"/>
        <v>0</v>
      </c>
      <c r="V55" s="369">
        <f t="shared" si="69"/>
        <v>0</v>
      </c>
      <c r="W55" s="369">
        <f t="shared" si="69"/>
        <v>0</v>
      </c>
      <c r="X55" s="369">
        <f t="shared" si="69"/>
        <v>0</v>
      </c>
      <c r="Y55" s="369">
        <f t="shared" si="69"/>
        <v>0</v>
      </c>
      <c r="Z55" s="369">
        <f t="shared" si="69"/>
        <v>0</v>
      </c>
      <c r="AA55" s="369">
        <f t="shared" si="69"/>
        <v>0</v>
      </c>
      <c r="AC55" s="35" t="s">
        <v>1132</v>
      </c>
      <c r="AD55" s="622">
        <f>SUM(AE55:AS55)</f>
        <v>0</v>
      </c>
      <c r="AE55" s="81">
        <f t="shared" ref="AE55:AS55" si="70">M55*M56*M57/1000</f>
        <v>0</v>
      </c>
      <c r="AF55" s="81">
        <f t="shared" si="70"/>
        <v>0</v>
      </c>
      <c r="AG55" s="81">
        <f t="shared" si="70"/>
        <v>0</v>
      </c>
      <c r="AH55" s="81">
        <f t="shared" si="70"/>
        <v>0</v>
      </c>
      <c r="AI55" s="81">
        <f t="shared" si="70"/>
        <v>0</v>
      </c>
      <c r="AJ55" s="81">
        <f t="shared" si="70"/>
        <v>0</v>
      </c>
      <c r="AK55" s="81">
        <f t="shared" si="70"/>
        <v>0</v>
      </c>
      <c r="AL55" s="81">
        <f t="shared" si="70"/>
        <v>0</v>
      </c>
      <c r="AM55" s="81">
        <f t="shared" si="70"/>
        <v>0</v>
      </c>
      <c r="AN55" s="81">
        <f t="shared" si="70"/>
        <v>0</v>
      </c>
      <c r="AO55" s="81">
        <f t="shared" si="70"/>
        <v>0</v>
      </c>
      <c r="AP55" s="81">
        <f t="shared" si="70"/>
        <v>0</v>
      </c>
      <c r="AQ55" s="81">
        <f t="shared" si="70"/>
        <v>0</v>
      </c>
      <c r="AR55" s="81">
        <f t="shared" si="70"/>
        <v>0</v>
      </c>
      <c r="AS55" s="81">
        <f t="shared" si="70"/>
        <v>0</v>
      </c>
    </row>
    <row r="56" spans="1:64" s="35" customFormat="1" x14ac:dyDescent="0.25">
      <c r="B56" s="186" t="str">
        <f t="shared" si="68"/>
        <v>TTPDST100</v>
      </c>
      <c r="C56" s="186"/>
      <c r="D56" s="187"/>
      <c r="E56" s="186"/>
      <c r="F56" s="189"/>
      <c r="G56" s="170"/>
      <c r="H56" s="190"/>
      <c r="I56" s="191"/>
      <c r="J56" s="191"/>
      <c r="K56" s="192" t="s">
        <v>1130</v>
      </c>
      <c r="L56" s="191" t="s">
        <v>1131</v>
      </c>
      <c r="M56" s="369">
        <f>LOOKUP($C$51, T_NCAP_AF!$C$349:$C$355,T_NCAP_AF!D$349:D$355)</f>
        <v>0</v>
      </c>
      <c r="N56" s="369">
        <f>LOOKUP($C$51, T_NCAP_AF!$C$349:$C$355,T_NCAP_AF!E$349:E$355)</f>
        <v>0</v>
      </c>
      <c r="O56" s="369">
        <f>LOOKUP($C$51, T_NCAP_AF!$C$349:$C$355,T_NCAP_AF!F$349:F$355)</f>
        <v>0</v>
      </c>
      <c r="P56" s="369">
        <f>LOOKUP($C$51, T_NCAP_AF!$C$349:$C$355,T_NCAP_AF!G$349:G$355)</f>
        <v>0</v>
      </c>
      <c r="Q56" s="369">
        <f>LOOKUP($C$51, T_NCAP_AF!$C$349:$C$355,T_NCAP_AF!H$349:H$355)</f>
        <v>0</v>
      </c>
      <c r="R56" s="369">
        <f>LOOKUP($C$51, T_NCAP_AF!$C$349:$C$355,T_NCAP_AF!I$349:I$355)</f>
        <v>0</v>
      </c>
      <c r="S56" s="369">
        <f>LOOKUP($C$51, T_NCAP_AF!$C$349:$C$355,T_NCAP_AF!J$349:J$355)</f>
        <v>0</v>
      </c>
      <c r="T56" s="369">
        <f>LOOKUP($C$51, T_NCAP_AF!$C$349:$C$355,T_NCAP_AF!K$349:K$355)</f>
        <v>0</v>
      </c>
      <c r="U56" s="369">
        <f>LOOKUP($C$51, T_NCAP_AF!$C$349:$C$355,T_NCAP_AF!L$349:L$355)</f>
        <v>0</v>
      </c>
      <c r="V56" s="369">
        <f>LOOKUP($C$51, T_NCAP_AF!$C$349:$C$355,T_NCAP_AF!M$349:M$355)</f>
        <v>0</v>
      </c>
      <c r="W56" s="369">
        <f>LOOKUP($C$51, T_NCAP_AF!$C$349:$C$355,T_NCAP_AF!N$349:N$355)</f>
        <v>0</v>
      </c>
      <c r="X56" s="369">
        <f>LOOKUP($C$51, T_NCAP_AF!$C$349:$C$355,T_NCAP_AF!O$349:O$355)</f>
        <v>0</v>
      </c>
      <c r="Y56" s="369">
        <f>LOOKUP($C$51, T_NCAP_AF!$C$349:$C$355,T_NCAP_AF!P$349:P$355)</f>
        <v>0</v>
      </c>
      <c r="Z56" s="369">
        <f>LOOKUP($C$51, T_NCAP_AF!$C$349:$C$355,T_NCAP_AF!Q$349:Q$355)</f>
        <v>0</v>
      </c>
      <c r="AA56" s="369">
        <f>LOOKUP($C$51, T_NCAP_AF!$C$349:$C$355,T_NCAP_AF!R$349:R$355)</f>
        <v>0</v>
      </c>
    </row>
    <row r="57" spans="1:64" s="35" customFormat="1" x14ac:dyDescent="0.25">
      <c r="B57" s="186" t="str">
        <f t="shared" si="68"/>
        <v>TTPDST100</v>
      </c>
      <c r="C57" s="186"/>
      <c r="D57" s="187"/>
      <c r="E57" s="186"/>
      <c r="F57" s="189"/>
      <c r="G57" s="170"/>
      <c r="H57" s="190">
        <f>$L$3</f>
        <v>2019</v>
      </c>
      <c r="I57" s="191"/>
      <c r="J57" s="191"/>
      <c r="K57" s="192" t="s">
        <v>1065</v>
      </c>
      <c r="L57" s="191" t="s">
        <v>748</v>
      </c>
      <c r="M57" s="689">
        <f>IF(M56=0, 0, ROUNDUP((M$18+M$19)/M55/M56*1000*M$29, 8))</f>
        <v>0</v>
      </c>
      <c r="N57" s="689">
        <f t="shared" ref="N57:AA57" si="71">IF(N56=0, 0, ROUNDUP((N$18+N$19)/N55/N56*1000*N$29, 8))</f>
        <v>0</v>
      </c>
      <c r="O57" s="689">
        <f t="shared" si="71"/>
        <v>0</v>
      </c>
      <c r="P57" s="689">
        <f t="shared" si="71"/>
        <v>0</v>
      </c>
      <c r="Q57" s="689">
        <f t="shared" si="71"/>
        <v>0</v>
      </c>
      <c r="R57" s="689">
        <f t="shared" si="71"/>
        <v>0</v>
      </c>
      <c r="S57" s="689">
        <f t="shared" si="71"/>
        <v>0</v>
      </c>
      <c r="T57" s="689">
        <f t="shared" si="71"/>
        <v>0</v>
      </c>
      <c r="U57" s="689">
        <f t="shared" si="71"/>
        <v>0</v>
      </c>
      <c r="V57" s="689">
        <f t="shared" si="71"/>
        <v>0</v>
      </c>
      <c r="W57" s="689">
        <f t="shared" si="71"/>
        <v>0</v>
      </c>
      <c r="X57" s="689">
        <f t="shared" si="71"/>
        <v>0</v>
      </c>
      <c r="Y57" s="689">
        <f t="shared" si="71"/>
        <v>0</v>
      </c>
      <c r="Z57" s="689">
        <f t="shared" si="71"/>
        <v>0</v>
      </c>
      <c r="AA57" s="689">
        <f t="shared" si="71"/>
        <v>0</v>
      </c>
    </row>
    <row r="58" spans="1:64" s="35" customFormat="1" x14ac:dyDescent="0.25">
      <c r="B58" s="186" t="str">
        <f t="shared" si="68"/>
        <v>TTPDST100</v>
      </c>
      <c r="C58" s="186"/>
      <c r="D58" s="187"/>
      <c r="E58" s="186"/>
      <c r="F58" s="189"/>
      <c r="G58" s="170"/>
      <c r="H58" s="190">
        <f>AE$4</f>
        <v>2016</v>
      </c>
      <c r="I58" s="191"/>
      <c r="J58" s="191"/>
      <c r="K58" s="192" t="s">
        <v>1065</v>
      </c>
      <c r="L58" s="191" t="s">
        <v>748</v>
      </c>
      <c r="M58" s="687">
        <f t="shared" ref="M58:AA58" si="72">M57*LOOKUP($AC51,$AF$3:$AN$3,$AF$4:$AN$4)</f>
        <v>0</v>
      </c>
      <c r="N58" s="687">
        <f t="shared" si="72"/>
        <v>0</v>
      </c>
      <c r="O58" s="687">
        <f t="shared" si="72"/>
        <v>0</v>
      </c>
      <c r="P58" s="687">
        <f t="shared" si="72"/>
        <v>0</v>
      </c>
      <c r="Q58" s="687">
        <f t="shared" si="72"/>
        <v>0</v>
      </c>
      <c r="R58" s="687">
        <f t="shared" si="72"/>
        <v>0</v>
      </c>
      <c r="S58" s="687">
        <f t="shared" si="72"/>
        <v>0</v>
      </c>
      <c r="T58" s="687">
        <f t="shared" si="72"/>
        <v>0</v>
      </c>
      <c r="U58" s="687">
        <f t="shared" si="72"/>
        <v>0</v>
      </c>
      <c r="V58" s="687">
        <f t="shared" si="72"/>
        <v>0</v>
      </c>
      <c r="W58" s="687">
        <f t="shared" si="72"/>
        <v>0</v>
      </c>
      <c r="X58" s="687">
        <f t="shared" si="72"/>
        <v>0</v>
      </c>
      <c r="Y58" s="687">
        <f t="shared" si="72"/>
        <v>0</v>
      </c>
      <c r="Z58" s="687">
        <f t="shared" si="72"/>
        <v>0</v>
      </c>
      <c r="AA58" s="687">
        <f t="shared" si="72"/>
        <v>0</v>
      </c>
    </row>
    <row r="59" spans="1:64" s="35" customFormat="1" x14ac:dyDescent="0.25">
      <c r="B59" s="186" t="str">
        <f t="shared" si="68"/>
        <v>TTPDST100</v>
      </c>
      <c r="C59" s="186"/>
      <c r="D59" s="187"/>
      <c r="E59" s="186"/>
      <c r="F59" s="189"/>
      <c r="G59" s="170"/>
      <c r="H59" s="190">
        <f>AE$5</f>
        <v>2020</v>
      </c>
      <c r="I59" s="191"/>
      <c r="J59" s="191"/>
      <c r="K59" s="192" t="s">
        <v>1065</v>
      </c>
      <c r="L59" s="191" t="s">
        <v>748</v>
      </c>
      <c r="M59" s="687">
        <f t="shared" ref="M59:AA59" si="73">M57*LOOKUP($AC51,$AF$3:$AN$3,$AF$5:$AN$5)</f>
        <v>0</v>
      </c>
      <c r="N59" s="687">
        <f t="shared" si="73"/>
        <v>0</v>
      </c>
      <c r="O59" s="687">
        <f t="shared" si="73"/>
        <v>0</v>
      </c>
      <c r="P59" s="687">
        <f t="shared" si="73"/>
        <v>0</v>
      </c>
      <c r="Q59" s="687">
        <f t="shared" si="73"/>
        <v>0</v>
      </c>
      <c r="R59" s="687">
        <f t="shared" si="73"/>
        <v>0</v>
      </c>
      <c r="S59" s="687">
        <f t="shared" si="73"/>
        <v>0</v>
      </c>
      <c r="T59" s="687">
        <f t="shared" si="73"/>
        <v>0</v>
      </c>
      <c r="U59" s="687">
        <f t="shared" si="73"/>
        <v>0</v>
      </c>
      <c r="V59" s="687">
        <f t="shared" si="73"/>
        <v>0</v>
      </c>
      <c r="W59" s="687">
        <f t="shared" si="73"/>
        <v>0</v>
      </c>
      <c r="X59" s="687">
        <f t="shared" si="73"/>
        <v>0</v>
      </c>
      <c r="Y59" s="687">
        <f t="shared" si="73"/>
        <v>0</v>
      </c>
      <c r="Z59" s="687">
        <f t="shared" si="73"/>
        <v>0</v>
      </c>
      <c r="AA59" s="687">
        <f t="shared" si="73"/>
        <v>0</v>
      </c>
    </row>
    <row r="60" spans="1:64" s="35" customFormat="1" x14ac:dyDescent="0.25">
      <c r="B60" s="186" t="str">
        <f t="shared" si="68"/>
        <v>TTPDST100</v>
      </c>
      <c r="C60" s="186"/>
      <c r="D60" s="187"/>
      <c r="E60" s="186"/>
      <c r="F60" s="189"/>
      <c r="G60" s="170"/>
      <c r="H60" s="190">
        <f>AE$6</f>
        <v>2025</v>
      </c>
      <c r="I60" s="191"/>
      <c r="J60" s="191"/>
      <c r="K60" s="192" t="s">
        <v>1065</v>
      </c>
      <c r="L60" s="191" t="s">
        <v>748</v>
      </c>
      <c r="M60" s="687">
        <f t="shared" ref="M60:AA60" si="74">M57*LOOKUP($AC51,$AF$3:$AN$3,$AF$6:$AN$6)</f>
        <v>0</v>
      </c>
      <c r="N60" s="687">
        <f t="shared" si="74"/>
        <v>0</v>
      </c>
      <c r="O60" s="687">
        <f t="shared" si="74"/>
        <v>0</v>
      </c>
      <c r="P60" s="687">
        <f t="shared" si="74"/>
        <v>0</v>
      </c>
      <c r="Q60" s="687">
        <f t="shared" si="74"/>
        <v>0</v>
      </c>
      <c r="R60" s="687">
        <f t="shared" si="74"/>
        <v>0</v>
      </c>
      <c r="S60" s="687">
        <f t="shared" si="74"/>
        <v>0</v>
      </c>
      <c r="T60" s="687">
        <f t="shared" si="74"/>
        <v>0</v>
      </c>
      <c r="U60" s="687">
        <f t="shared" si="74"/>
        <v>0</v>
      </c>
      <c r="V60" s="687">
        <f t="shared" si="74"/>
        <v>0</v>
      </c>
      <c r="W60" s="687">
        <f t="shared" si="74"/>
        <v>0</v>
      </c>
      <c r="X60" s="687">
        <f t="shared" si="74"/>
        <v>0</v>
      </c>
      <c r="Y60" s="687">
        <f t="shared" si="74"/>
        <v>0</v>
      </c>
      <c r="Z60" s="687">
        <f t="shared" si="74"/>
        <v>0</v>
      </c>
      <c r="AA60" s="687">
        <f t="shared" si="74"/>
        <v>0</v>
      </c>
    </row>
    <row r="61" spans="1:64" s="35" customFormat="1" x14ac:dyDescent="0.25">
      <c r="B61" s="186" t="str">
        <f t="shared" si="68"/>
        <v>TTPDST100</v>
      </c>
      <c r="C61" s="186"/>
      <c r="D61" s="187"/>
      <c r="E61" s="186"/>
      <c r="F61" s="189"/>
      <c r="G61" s="170"/>
      <c r="H61" s="190">
        <f>AE$7</f>
        <v>2030</v>
      </c>
      <c r="I61" s="191"/>
      <c r="J61" s="191"/>
      <c r="K61" s="192" t="s">
        <v>1065</v>
      </c>
      <c r="L61" s="191" t="s">
        <v>748</v>
      </c>
      <c r="M61" s="687">
        <f t="shared" ref="M61:AA61" si="75">M57*LOOKUP($AC51,$AF$3:$AN$3,$AF$7:$AN$7)</f>
        <v>0</v>
      </c>
      <c r="N61" s="687">
        <f t="shared" si="75"/>
        <v>0</v>
      </c>
      <c r="O61" s="687">
        <f t="shared" si="75"/>
        <v>0</v>
      </c>
      <c r="P61" s="687">
        <f t="shared" si="75"/>
        <v>0</v>
      </c>
      <c r="Q61" s="687">
        <f t="shared" si="75"/>
        <v>0</v>
      </c>
      <c r="R61" s="687">
        <f t="shared" si="75"/>
        <v>0</v>
      </c>
      <c r="S61" s="687">
        <f t="shared" si="75"/>
        <v>0</v>
      </c>
      <c r="T61" s="687">
        <f t="shared" si="75"/>
        <v>0</v>
      </c>
      <c r="U61" s="687">
        <f t="shared" si="75"/>
        <v>0</v>
      </c>
      <c r="V61" s="687">
        <f t="shared" si="75"/>
        <v>0</v>
      </c>
      <c r="W61" s="687">
        <f t="shared" si="75"/>
        <v>0</v>
      </c>
      <c r="X61" s="687">
        <f t="shared" si="75"/>
        <v>0</v>
      </c>
      <c r="Y61" s="687">
        <f t="shared" si="75"/>
        <v>0</v>
      </c>
      <c r="Z61" s="687">
        <f t="shared" si="75"/>
        <v>0</v>
      </c>
      <c r="AA61" s="687">
        <f t="shared" si="75"/>
        <v>0</v>
      </c>
    </row>
    <row r="62" spans="1:64" s="35" customFormat="1" x14ac:dyDescent="0.25">
      <c r="B62" s="186" t="str">
        <f t="shared" si="68"/>
        <v>TTPDST100</v>
      </c>
      <c r="C62" s="186"/>
      <c r="D62" s="187"/>
      <c r="E62" s="186"/>
      <c r="F62" s="189"/>
      <c r="G62" s="170"/>
      <c r="H62" s="190">
        <f>AE$8</f>
        <v>2040</v>
      </c>
      <c r="I62" s="191"/>
      <c r="J62" s="191"/>
      <c r="K62" s="192" t="s">
        <v>1065</v>
      </c>
      <c r="L62" s="191" t="s">
        <v>748</v>
      </c>
      <c r="M62" s="687">
        <f t="shared" ref="M62:AA62" si="76">M57*LOOKUP($AC51,$AF$3:$AN$3,$AF$8:$AN$8)</f>
        <v>0</v>
      </c>
      <c r="N62" s="687">
        <f t="shared" si="76"/>
        <v>0</v>
      </c>
      <c r="O62" s="687">
        <f t="shared" si="76"/>
        <v>0</v>
      </c>
      <c r="P62" s="687">
        <f t="shared" si="76"/>
        <v>0</v>
      </c>
      <c r="Q62" s="687">
        <f t="shared" si="76"/>
        <v>0</v>
      </c>
      <c r="R62" s="687">
        <f t="shared" si="76"/>
        <v>0</v>
      </c>
      <c r="S62" s="687">
        <f t="shared" si="76"/>
        <v>0</v>
      </c>
      <c r="T62" s="687">
        <f t="shared" si="76"/>
        <v>0</v>
      </c>
      <c r="U62" s="687">
        <f t="shared" si="76"/>
        <v>0</v>
      </c>
      <c r="V62" s="687">
        <f t="shared" si="76"/>
        <v>0</v>
      </c>
      <c r="W62" s="687">
        <f t="shared" si="76"/>
        <v>0</v>
      </c>
      <c r="X62" s="687">
        <f t="shared" si="76"/>
        <v>0</v>
      </c>
      <c r="Y62" s="687">
        <f t="shared" si="76"/>
        <v>0</v>
      </c>
      <c r="Z62" s="687">
        <f t="shared" si="76"/>
        <v>0</v>
      </c>
      <c r="AA62" s="687">
        <f t="shared" si="76"/>
        <v>0</v>
      </c>
    </row>
    <row r="63" spans="1:64" s="35" customFormat="1" x14ac:dyDescent="0.25">
      <c r="B63" s="193" t="str">
        <f t="shared" si="68"/>
        <v>TTPDST100</v>
      </c>
      <c r="C63" s="193"/>
      <c r="D63" s="194"/>
      <c r="E63" s="193"/>
      <c r="F63" s="195"/>
      <c r="G63" s="196"/>
      <c r="H63" s="197">
        <f>AE$9</f>
        <v>2050</v>
      </c>
      <c r="I63" s="198"/>
      <c r="J63" s="198"/>
      <c r="K63" s="199" t="s">
        <v>1065</v>
      </c>
      <c r="L63" s="198" t="s">
        <v>748</v>
      </c>
      <c r="M63" s="688">
        <f t="shared" ref="M63:AA63" si="77">M57*LOOKUP($AC51,$AF$3:$AN$3,$AF$9:$AN$9)</f>
        <v>0</v>
      </c>
      <c r="N63" s="688">
        <f t="shared" si="77"/>
        <v>0</v>
      </c>
      <c r="O63" s="688">
        <f t="shared" si="77"/>
        <v>0</v>
      </c>
      <c r="P63" s="688">
        <f t="shared" si="77"/>
        <v>0</v>
      </c>
      <c r="Q63" s="688">
        <f t="shared" si="77"/>
        <v>0</v>
      </c>
      <c r="R63" s="688">
        <f t="shared" si="77"/>
        <v>0</v>
      </c>
      <c r="S63" s="688">
        <f t="shared" si="77"/>
        <v>0</v>
      </c>
      <c r="T63" s="688">
        <f t="shared" si="77"/>
        <v>0</v>
      </c>
      <c r="U63" s="688">
        <f t="shared" si="77"/>
        <v>0</v>
      </c>
      <c r="V63" s="688">
        <f t="shared" si="77"/>
        <v>0</v>
      </c>
      <c r="W63" s="688">
        <f t="shared" si="77"/>
        <v>0</v>
      </c>
      <c r="X63" s="688">
        <f t="shared" si="77"/>
        <v>0</v>
      </c>
      <c r="Y63" s="688">
        <f t="shared" si="77"/>
        <v>0</v>
      </c>
      <c r="Z63" s="688">
        <f t="shared" si="77"/>
        <v>0</v>
      </c>
      <c r="AA63" s="688">
        <f t="shared" si="77"/>
        <v>0</v>
      </c>
    </row>
    <row r="64" spans="1:64" s="83" customFormat="1" x14ac:dyDescent="0.25">
      <c r="A64" s="82"/>
      <c r="B64" s="178" t="str">
        <f>C64</f>
        <v>TTPHELC100</v>
      </c>
      <c r="C64" s="178" t="s">
        <v>224</v>
      </c>
      <c r="D64" s="179" t="s">
        <v>893</v>
      </c>
      <c r="E64" s="180" t="s">
        <v>1008</v>
      </c>
      <c r="F64" s="540"/>
      <c r="G64" s="182"/>
      <c r="H64" s="183"/>
      <c r="I64" s="184"/>
      <c r="J64" s="184"/>
      <c r="K64" s="185" t="s">
        <v>1107</v>
      </c>
      <c r="L64" s="184" t="s">
        <v>1125</v>
      </c>
      <c r="M64" s="378">
        <f>M$115</f>
        <v>1E-3</v>
      </c>
      <c r="N64" s="378">
        <f t="shared" ref="N64:AA64" si="78">$M64</f>
        <v>1E-3</v>
      </c>
      <c r="O64" s="378">
        <f t="shared" si="78"/>
        <v>1E-3</v>
      </c>
      <c r="P64" s="378">
        <f t="shared" si="78"/>
        <v>1E-3</v>
      </c>
      <c r="Q64" s="378">
        <f t="shared" si="78"/>
        <v>1E-3</v>
      </c>
      <c r="R64" s="378">
        <f t="shared" si="78"/>
        <v>1E-3</v>
      </c>
      <c r="S64" s="378">
        <f t="shared" si="78"/>
        <v>1E-3</v>
      </c>
      <c r="T64" s="378">
        <f t="shared" si="78"/>
        <v>1E-3</v>
      </c>
      <c r="U64" s="378">
        <f t="shared" si="78"/>
        <v>1E-3</v>
      </c>
      <c r="V64" s="378">
        <f t="shared" si="78"/>
        <v>1E-3</v>
      </c>
      <c r="W64" s="378">
        <f t="shared" si="78"/>
        <v>1E-3</v>
      </c>
      <c r="X64" s="378">
        <f t="shared" si="78"/>
        <v>1E-3</v>
      </c>
      <c r="Y64" s="378">
        <f t="shared" si="78"/>
        <v>1E-3</v>
      </c>
      <c r="Z64" s="378">
        <f t="shared" si="78"/>
        <v>1E-3</v>
      </c>
      <c r="AA64" s="378">
        <f t="shared" si="78"/>
        <v>1E-3</v>
      </c>
      <c r="AC64" s="410" t="str">
        <f>RIGHT(E64,3)</f>
        <v>ELR</v>
      </c>
      <c r="AD64" s="625" t="str">
        <f>IF(AD67-SUM(AC12:AC13)&lt;0,"too small",IF(AD67-SUM(AC12:AC13)&gt;0.001,"Too big","ok"))</f>
        <v>ok</v>
      </c>
      <c r="AE64" s="619" t="str">
        <f t="shared" ref="AE64:AS64" si="79">IF(AE67-SUM(M12:M13)&lt;0,"too small",IF(AE67-SUM(M12:M13)&gt;0.001,"Too big","ok"))</f>
        <v>ok</v>
      </c>
      <c r="AF64" s="619" t="str">
        <f t="shared" si="79"/>
        <v>ok</v>
      </c>
      <c r="AG64" s="619" t="str">
        <f t="shared" si="79"/>
        <v>ok</v>
      </c>
      <c r="AH64" s="619" t="str">
        <f t="shared" si="79"/>
        <v>ok</v>
      </c>
      <c r="AI64" s="619" t="str">
        <f t="shared" si="79"/>
        <v>ok</v>
      </c>
      <c r="AJ64" s="619" t="str">
        <f t="shared" si="79"/>
        <v>ok</v>
      </c>
      <c r="AK64" s="619" t="str">
        <f t="shared" si="79"/>
        <v>ok</v>
      </c>
      <c r="AL64" s="619" t="str">
        <f t="shared" si="79"/>
        <v>ok</v>
      </c>
      <c r="AM64" s="619" t="str">
        <f t="shared" si="79"/>
        <v>ok</v>
      </c>
      <c r="AN64" s="619" t="str">
        <f t="shared" si="79"/>
        <v>ok</v>
      </c>
      <c r="AO64" s="619" t="str">
        <f t="shared" si="79"/>
        <v>ok</v>
      </c>
      <c r="AP64" s="619" t="str">
        <f t="shared" si="79"/>
        <v>ok</v>
      </c>
      <c r="AQ64" s="619" t="str">
        <f t="shared" si="79"/>
        <v>ok</v>
      </c>
      <c r="AR64" s="619" t="str">
        <f t="shared" si="79"/>
        <v>ok</v>
      </c>
      <c r="AS64" s="619" t="str">
        <f t="shared" si="79"/>
        <v>ok</v>
      </c>
      <c r="AV64" s="700" t="str">
        <f t="shared" ref="AV64" si="80">MID(E64,1,7)</f>
        <v>TRAELR</v>
      </c>
      <c r="AW64" s="568">
        <f>SUM(AX64:BL64)</f>
        <v>0</v>
      </c>
      <c r="AX64" s="568">
        <f>M68*M69/M65/1000</f>
        <v>0</v>
      </c>
      <c r="AY64" s="568">
        <f t="shared" ref="AY64" si="81">N68*N69/N65/1000</f>
        <v>0</v>
      </c>
      <c r="AZ64" s="568">
        <f t="shared" ref="AZ64" si="82">O68*O69/O65/1000</f>
        <v>0</v>
      </c>
      <c r="BA64" s="568">
        <f t="shared" ref="BA64" si="83">P68*P69/P65/1000</f>
        <v>0</v>
      </c>
      <c r="BB64" s="568">
        <f t="shared" ref="BB64" si="84">Q68*Q69/Q65/1000</f>
        <v>0</v>
      </c>
      <c r="BC64" s="568">
        <f t="shared" ref="BC64" si="85">R68*R69/R65/1000</f>
        <v>0</v>
      </c>
      <c r="BD64" s="568">
        <f t="shared" ref="BD64" si="86">S68*S69/S65/1000</f>
        <v>0</v>
      </c>
      <c r="BE64" s="568">
        <f t="shared" ref="BE64" si="87">T68*T69/T65/1000</f>
        <v>0</v>
      </c>
      <c r="BF64" s="568">
        <f t="shared" ref="BF64" si="88">U68*U69/U65/1000</f>
        <v>0</v>
      </c>
      <c r="BG64" s="568">
        <f t="shared" ref="BG64" si="89">V68*V69/V65/1000</f>
        <v>0</v>
      </c>
      <c r="BH64" s="568">
        <f t="shared" ref="BH64" si="90">W68*W69/W65/1000</f>
        <v>0</v>
      </c>
      <c r="BI64" s="568">
        <f t="shared" ref="BI64" si="91">X68*X69/X65/1000</f>
        <v>0</v>
      </c>
      <c r="BJ64" s="568">
        <f t="shared" ref="BJ64" si="92">Y68*Y69/Y65/1000</f>
        <v>0</v>
      </c>
      <c r="BK64" s="568">
        <f t="shared" ref="BK64" si="93">Z68*Z69/Z65/1000</f>
        <v>0</v>
      </c>
      <c r="BL64" s="568">
        <f t="shared" ref="BL64" si="94">AA68*AA69/AA65/1000</f>
        <v>0</v>
      </c>
    </row>
    <row r="65" spans="1:48" s="83" customFormat="1" x14ac:dyDescent="0.25">
      <c r="A65" s="82"/>
      <c r="B65" s="186" t="str">
        <f>B64</f>
        <v>TTPHELC100</v>
      </c>
      <c r="C65" s="178"/>
      <c r="D65" s="179"/>
      <c r="E65" s="180"/>
      <c r="F65" s="540" t="s">
        <v>419</v>
      </c>
      <c r="G65" s="182"/>
      <c r="H65" s="183"/>
      <c r="I65" s="184"/>
      <c r="J65" s="184"/>
      <c r="K65" s="186" t="s">
        <v>1126</v>
      </c>
      <c r="L65" s="191" t="s">
        <v>678</v>
      </c>
      <c r="M65" s="377">
        <f>LOOKUP($C$64, T_CEFF!$C$300:$C$306, T_CEFF!H$300:H$306)</f>
        <v>2.0889999999999999E-2</v>
      </c>
      <c r="N65" s="377">
        <f>LOOKUP($C$64, T_CEFF!$C$300:$C$306, T_CEFF!I$300:I$306)</f>
        <v>2.0889999999999999E-2</v>
      </c>
      <c r="O65" s="377">
        <f>LOOKUP($C$64, T_CEFF!$C$300:$C$306, T_CEFF!J$300:J$306)</f>
        <v>2.0889999999999999E-2</v>
      </c>
      <c r="P65" s="377">
        <f>LOOKUP($C$64, T_CEFF!$C$300:$C$306, T_CEFF!K$300:K$306)</f>
        <v>2.0889999999999999E-2</v>
      </c>
      <c r="Q65" s="377">
        <f>LOOKUP($C$64, T_CEFF!$C$300:$C$306, T_CEFF!L$300:L$306)</f>
        <v>2.0889999999999999E-2</v>
      </c>
      <c r="R65" s="377">
        <f>LOOKUP($C$64, T_CEFF!$C$300:$C$306, T_CEFF!M$300:M$306)</f>
        <v>2.0889999999999999E-2</v>
      </c>
      <c r="S65" s="377">
        <f>LOOKUP($C$64, T_CEFF!$C$300:$C$306, T_CEFF!N$300:N$306)</f>
        <v>2.0889999999999999E-2</v>
      </c>
      <c r="T65" s="377">
        <f>LOOKUP($C$64, T_CEFF!$C$300:$C$306, T_CEFF!O$300:O$306)</f>
        <v>2.0889999999999999E-2</v>
      </c>
      <c r="U65" s="377">
        <f>LOOKUP($C$64, T_CEFF!$C$300:$C$306, T_CEFF!P$300:P$306)</f>
        <v>2.0889999999999999E-2</v>
      </c>
      <c r="V65" s="377">
        <f>LOOKUP($C$64, T_CEFF!$C$300:$C$306, T_CEFF!Q$300:Q$306)</f>
        <v>2.0889999999999999E-2</v>
      </c>
      <c r="W65" s="377">
        <f>LOOKUP($C$64, T_CEFF!$C$300:$C$306, T_CEFF!R$300:R$306)</f>
        <v>2.0889999999999999E-2</v>
      </c>
      <c r="X65" s="377">
        <f>LOOKUP($C$64, T_CEFF!$C$300:$C$306, T_CEFF!S$300:S$306)</f>
        <v>2.0889999999999999E-2</v>
      </c>
      <c r="Y65" s="377">
        <f>LOOKUP($C$64, T_CEFF!$C$300:$C$306, T_CEFF!T$300:T$306)</f>
        <v>2.0889999999999999E-2</v>
      </c>
      <c r="Z65" s="377">
        <f>LOOKUP($C$64, T_CEFF!$C$300:$C$306, T_CEFF!U$300:U$306)</f>
        <v>2.0889999999999999E-2</v>
      </c>
      <c r="AA65" s="377">
        <f>LOOKUP($C$64, T_CEFF!$C$300:$C$306, T_CEFF!V$300:V$306)</f>
        <v>2.0889999999999999E-2</v>
      </c>
      <c r="AC65" s="66" t="str">
        <f>IF(COUNTIF($AF$3:$AN$3,AC64)=1,"ok","MISSING")</f>
        <v>ok</v>
      </c>
      <c r="AD65" s="633"/>
      <c r="AE65" s="619"/>
      <c r="AF65" s="619"/>
      <c r="AG65" s="619"/>
      <c r="AH65" s="619"/>
      <c r="AI65" s="619"/>
      <c r="AJ65" s="619"/>
      <c r="AK65" s="619"/>
      <c r="AL65" s="619"/>
      <c r="AM65" s="619"/>
      <c r="AN65" s="619"/>
      <c r="AO65" s="619"/>
      <c r="AP65" s="619"/>
      <c r="AQ65" s="619"/>
      <c r="AR65" s="619"/>
      <c r="AS65" s="619"/>
    </row>
    <row r="66" spans="1:48" s="35" customFormat="1" x14ac:dyDescent="0.25">
      <c r="B66" s="186" t="str">
        <f t="shared" ref="B66:B75" si="95">B65</f>
        <v>TTPHELC100</v>
      </c>
      <c r="C66" s="186"/>
      <c r="D66" s="186"/>
      <c r="E66" s="188"/>
      <c r="F66" s="539" t="s">
        <v>614</v>
      </c>
      <c r="G66" s="170"/>
      <c r="H66" s="190"/>
      <c r="I66" s="191"/>
      <c r="J66" s="191"/>
      <c r="K66" s="186" t="s">
        <v>1126</v>
      </c>
      <c r="L66" s="191" t="s">
        <v>678</v>
      </c>
      <c r="M66" s="377">
        <f>LOOKUP($C$64, T_CEFF!$C$300:$C$306, T_CEFF!H$300:H$306)</f>
        <v>2.0889999999999999E-2</v>
      </c>
      <c r="N66" s="377">
        <f>LOOKUP($C$64, T_CEFF!$C$300:$C$306, T_CEFF!I$300:I$306)</f>
        <v>2.0889999999999999E-2</v>
      </c>
      <c r="O66" s="377">
        <f>LOOKUP($C$64, T_CEFF!$C$300:$C$306, T_CEFF!J$300:J$306)</f>
        <v>2.0889999999999999E-2</v>
      </c>
      <c r="P66" s="377">
        <f>LOOKUP($C$64, T_CEFF!$C$300:$C$306, T_CEFF!K$300:K$306)</f>
        <v>2.0889999999999999E-2</v>
      </c>
      <c r="Q66" s="377">
        <f>LOOKUP($C$64, T_CEFF!$C$300:$C$306, T_CEFF!L$300:L$306)</f>
        <v>2.0889999999999999E-2</v>
      </c>
      <c r="R66" s="377">
        <f>LOOKUP($C$64, T_CEFF!$C$300:$C$306, T_CEFF!M$300:M$306)</f>
        <v>2.0889999999999999E-2</v>
      </c>
      <c r="S66" s="377">
        <f>LOOKUP($C$64, T_CEFF!$C$300:$C$306, T_CEFF!N$300:N$306)</f>
        <v>2.0889999999999999E-2</v>
      </c>
      <c r="T66" s="377">
        <f>LOOKUP($C$64, T_CEFF!$C$300:$C$306, T_CEFF!O$300:O$306)</f>
        <v>2.0889999999999999E-2</v>
      </c>
      <c r="U66" s="377">
        <f>LOOKUP($C$64, T_CEFF!$C$300:$C$306, T_CEFF!P$300:P$306)</f>
        <v>2.0889999999999999E-2</v>
      </c>
      <c r="V66" s="377">
        <f>LOOKUP($C$64, T_CEFF!$C$300:$C$306, T_CEFF!Q$300:Q$306)</f>
        <v>2.0889999999999999E-2</v>
      </c>
      <c r="W66" s="377">
        <f>LOOKUP($C$64, T_CEFF!$C$300:$C$306, T_CEFF!R$300:R$306)</f>
        <v>2.0889999999999999E-2</v>
      </c>
      <c r="X66" s="377">
        <f>LOOKUP($C$64, T_CEFF!$C$300:$C$306, T_CEFF!S$300:S$306)</f>
        <v>2.0889999999999999E-2</v>
      </c>
      <c r="Y66" s="377">
        <f>LOOKUP($C$64, T_CEFF!$C$300:$C$306, T_CEFF!T$300:T$306)</f>
        <v>2.0889999999999999E-2</v>
      </c>
      <c r="Z66" s="377">
        <f>LOOKUP($C$64, T_CEFF!$C$300:$C$306, T_CEFF!U$300:U$306)</f>
        <v>2.0889999999999999E-2</v>
      </c>
      <c r="AA66" s="377">
        <f>LOOKUP($C$64, T_CEFF!$C$300:$C$306, T_CEFF!V$300:V$306)</f>
        <v>2.0889999999999999E-2</v>
      </c>
    </row>
    <row r="67" spans="1:48" s="35" customFormat="1" x14ac:dyDescent="0.25">
      <c r="B67" s="186" t="str">
        <f t="shared" si="95"/>
        <v>TTPHELC100</v>
      </c>
      <c r="C67" s="186"/>
      <c r="D67" s="187"/>
      <c r="E67" s="186"/>
      <c r="F67" s="189"/>
      <c r="G67" s="170"/>
      <c r="H67" s="190"/>
      <c r="I67" s="191"/>
      <c r="J67" s="191" t="s">
        <v>749</v>
      </c>
      <c r="K67" s="186" t="s">
        <v>1128</v>
      </c>
      <c r="L67" s="191" t="s">
        <v>1211</v>
      </c>
      <c r="M67" s="369">
        <f t="shared" ref="M67:AA67" si="96">M26</f>
        <v>0</v>
      </c>
      <c r="N67" s="369">
        <f t="shared" si="96"/>
        <v>0</v>
      </c>
      <c r="O67" s="369">
        <f t="shared" si="96"/>
        <v>0</v>
      </c>
      <c r="P67" s="369">
        <f t="shared" si="96"/>
        <v>0</v>
      </c>
      <c r="Q67" s="369">
        <f t="shared" si="96"/>
        <v>0</v>
      </c>
      <c r="R67" s="369">
        <f t="shared" si="96"/>
        <v>0</v>
      </c>
      <c r="S67" s="369">
        <f t="shared" si="96"/>
        <v>0</v>
      </c>
      <c r="T67" s="369">
        <f t="shared" si="96"/>
        <v>0</v>
      </c>
      <c r="U67" s="369">
        <f t="shared" si="96"/>
        <v>0</v>
      </c>
      <c r="V67" s="369">
        <f t="shared" si="96"/>
        <v>0</v>
      </c>
      <c r="W67" s="369">
        <f t="shared" si="96"/>
        <v>0</v>
      </c>
      <c r="X67" s="369">
        <f t="shared" si="96"/>
        <v>0</v>
      </c>
      <c r="Y67" s="369">
        <f t="shared" si="96"/>
        <v>0</v>
      </c>
      <c r="Z67" s="369">
        <f t="shared" si="96"/>
        <v>0</v>
      </c>
      <c r="AA67" s="369">
        <f t="shared" si="96"/>
        <v>0</v>
      </c>
      <c r="AC67" s="35" t="s">
        <v>1132</v>
      </c>
      <c r="AD67" s="622">
        <f>SUM(AE67:AS67)</f>
        <v>0</v>
      </c>
      <c r="AE67" s="81">
        <f t="shared" ref="AE67:AS67" si="97">M67*M68*M69/1000</f>
        <v>0</v>
      </c>
      <c r="AF67" s="81">
        <f t="shared" si="97"/>
        <v>0</v>
      </c>
      <c r="AG67" s="81">
        <f t="shared" si="97"/>
        <v>0</v>
      </c>
      <c r="AH67" s="81">
        <f t="shared" si="97"/>
        <v>0</v>
      </c>
      <c r="AI67" s="81">
        <f t="shared" si="97"/>
        <v>0</v>
      </c>
      <c r="AJ67" s="81">
        <f t="shared" si="97"/>
        <v>0</v>
      </c>
      <c r="AK67" s="81">
        <f t="shared" si="97"/>
        <v>0</v>
      </c>
      <c r="AL67" s="81">
        <f t="shared" si="97"/>
        <v>0</v>
      </c>
      <c r="AM67" s="81">
        <f t="shared" si="97"/>
        <v>0</v>
      </c>
      <c r="AN67" s="81">
        <f t="shared" si="97"/>
        <v>0</v>
      </c>
      <c r="AO67" s="81">
        <f t="shared" si="97"/>
        <v>0</v>
      </c>
      <c r="AP67" s="81">
        <f t="shared" si="97"/>
        <v>0</v>
      </c>
      <c r="AQ67" s="81">
        <f t="shared" si="97"/>
        <v>0</v>
      </c>
      <c r="AR67" s="81">
        <f t="shared" si="97"/>
        <v>0</v>
      </c>
      <c r="AS67" s="81">
        <f t="shared" si="97"/>
        <v>0</v>
      </c>
    </row>
    <row r="68" spans="1:48" s="35" customFormat="1" x14ac:dyDescent="0.25">
      <c r="B68" s="186" t="str">
        <f t="shared" si="95"/>
        <v>TTPHELC100</v>
      </c>
      <c r="C68" s="186"/>
      <c r="D68" s="187"/>
      <c r="E68" s="186"/>
      <c r="F68" s="189"/>
      <c r="G68" s="170"/>
      <c r="H68" s="190"/>
      <c r="I68" s="191"/>
      <c r="J68" s="191"/>
      <c r="K68" s="192" t="s">
        <v>1130</v>
      </c>
      <c r="L68" s="191" t="s">
        <v>1131</v>
      </c>
      <c r="M68" s="369">
        <f>LOOKUP($C$64, T_NCAP_AF!$C$349:$C$355,T_NCAP_AF!D$349:D$355)</f>
        <v>0</v>
      </c>
      <c r="N68" s="369">
        <f>LOOKUP($C$64, T_NCAP_AF!$C$349:$C$355,T_NCAP_AF!E$349:E$355)</f>
        <v>0</v>
      </c>
      <c r="O68" s="369">
        <f>LOOKUP($C$64, T_NCAP_AF!$C$349:$C$355,T_NCAP_AF!F$349:F$355)</f>
        <v>0</v>
      </c>
      <c r="P68" s="369">
        <f>LOOKUP($C$64, T_NCAP_AF!$C$349:$C$355,T_NCAP_AF!G$349:G$355)</f>
        <v>0</v>
      </c>
      <c r="Q68" s="369">
        <f>LOOKUP($C$64, T_NCAP_AF!$C$349:$C$355,T_NCAP_AF!H$349:H$355)</f>
        <v>0</v>
      </c>
      <c r="R68" s="369">
        <f>LOOKUP($C$64, T_NCAP_AF!$C$349:$C$355,T_NCAP_AF!I$349:I$355)</f>
        <v>0</v>
      </c>
      <c r="S68" s="369">
        <f>LOOKUP($C$64, T_NCAP_AF!$C$349:$C$355,T_NCAP_AF!J$349:J$355)</f>
        <v>0</v>
      </c>
      <c r="T68" s="369">
        <f>LOOKUP($C$64, T_NCAP_AF!$C$349:$C$355,T_NCAP_AF!K$349:K$355)</f>
        <v>0</v>
      </c>
      <c r="U68" s="369">
        <f>LOOKUP($C$64, T_NCAP_AF!$C$349:$C$355,T_NCAP_AF!L$349:L$355)</f>
        <v>0</v>
      </c>
      <c r="V68" s="369">
        <f>LOOKUP($C$64, T_NCAP_AF!$C$349:$C$355,T_NCAP_AF!M$349:M$355)</f>
        <v>0</v>
      </c>
      <c r="W68" s="369">
        <f>LOOKUP($C$64, T_NCAP_AF!$C$349:$C$355,T_NCAP_AF!N$349:N$355)</f>
        <v>0</v>
      </c>
      <c r="X68" s="369">
        <f>LOOKUP($C$64, T_NCAP_AF!$C$349:$C$355,T_NCAP_AF!O$349:O$355)</f>
        <v>0</v>
      </c>
      <c r="Y68" s="369">
        <f>LOOKUP($C$64, T_NCAP_AF!$C$349:$C$355,T_NCAP_AF!P$349:P$355)</f>
        <v>0</v>
      </c>
      <c r="Z68" s="369">
        <f>LOOKUP($C$64, T_NCAP_AF!$C$349:$C$355,T_NCAP_AF!Q$349:Q$355)</f>
        <v>0</v>
      </c>
      <c r="AA68" s="369">
        <f>LOOKUP($C$64, T_NCAP_AF!$C$349:$C$355,T_NCAP_AF!R$349:R$355)</f>
        <v>0</v>
      </c>
    </row>
    <row r="69" spans="1:48" s="35" customFormat="1" x14ac:dyDescent="0.25">
      <c r="B69" s="186" t="str">
        <f t="shared" si="95"/>
        <v>TTPHELC100</v>
      </c>
      <c r="C69" s="186"/>
      <c r="D69" s="187"/>
      <c r="E69" s="186"/>
      <c r="F69" s="189"/>
      <c r="G69" s="170"/>
      <c r="H69" s="190">
        <f>$L$3</f>
        <v>2019</v>
      </c>
      <c r="I69" s="191"/>
      <c r="J69" s="191"/>
      <c r="K69" s="192" t="s">
        <v>1065</v>
      </c>
      <c r="L69" s="191" t="s">
        <v>748</v>
      </c>
      <c r="M69" s="689">
        <f t="shared" ref="M69:AA69" si="98">IF(M68=0, 0, ROUNDUP((M12+M13)/M67/M68*1000, 8))</f>
        <v>0</v>
      </c>
      <c r="N69" s="689">
        <f t="shared" si="98"/>
        <v>0</v>
      </c>
      <c r="O69" s="689">
        <f t="shared" si="98"/>
        <v>0</v>
      </c>
      <c r="P69" s="689">
        <f t="shared" si="98"/>
        <v>0</v>
      </c>
      <c r="Q69" s="689">
        <f t="shared" si="98"/>
        <v>0</v>
      </c>
      <c r="R69" s="689">
        <f t="shared" si="98"/>
        <v>0</v>
      </c>
      <c r="S69" s="689">
        <f t="shared" si="98"/>
        <v>0</v>
      </c>
      <c r="T69" s="689">
        <f t="shared" si="98"/>
        <v>0</v>
      </c>
      <c r="U69" s="689">
        <f t="shared" si="98"/>
        <v>0</v>
      </c>
      <c r="V69" s="689">
        <f t="shared" si="98"/>
        <v>0</v>
      </c>
      <c r="W69" s="689">
        <f t="shared" si="98"/>
        <v>0</v>
      </c>
      <c r="X69" s="689">
        <f t="shared" si="98"/>
        <v>0</v>
      </c>
      <c r="Y69" s="689">
        <f t="shared" si="98"/>
        <v>0</v>
      </c>
      <c r="Z69" s="689">
        <f t="shared" si="98"/>
        <v>0</v>
      </c>
      <c r="AA69" s="689">
        <f t="shared" si="98"/>
        <v>0</v>
      </c>
    </row>
    <row r="70" spans="1:48" s="35" customFormat="1" x14ac:dyDescent="0.25">
      <c r="B70" s="186" t="str">
        <f t="shared" si="95"/>
        <v>TTPHELC100</v>
      </c>
      <c r="C70" s="186"/>
      <c r="D70" s="187"/>
      <c r="E70" s="186"/>
      <c r="F70" s="189"/>
      <c r="G70" s="170"/>
      <c r="H70" s="190">
        <f>AE$4</f>
        <v>2016</v>
      </c>
      <c r="I70" s="191"/>
      <c r="J70" s="191"/>
      <c r="K70" s="192" t="s">
        <v>1065</v>
      </c>
      <c r="L70" s="191" t="s">
        <v>748</v>
      </c>
      <c r="M70" s="687">
        <f t="shared" ref="M70:AA70" si="99">M69*LOOKUP($AC64,$AF$3:$AN$3,$AF$4:$AN$4)</f>
        <v>0</v>
      </c>
      <c r="N70" s="687">
        <f t="shared" si="99"/>
        <v>0</v>
      </c>
      <c r="O70" s="687">
        <f t="shared" si="99"/>
        <v>0</v>
      </c>
      <c r="P70" s="687">
        <f t="shared" si="99"/>
        <v>0</v>
      </c>
      <c r="Q70" s="687">
        <f t="shared" si="99"/>
        <v>0</v>
      </c>
      <c r="R70" s="687">
        <f t="shared" si="99"/>
        <v>0</v>
      </c>
      <c r="S70" s="687">
        <f t="shared" si="99"/>
        <v>0</v>
      </c>
      <c r="T70" s="687">
        <f t="shared" si="99"/>
        <v>0</v>
      </c>
      <c r="U70" s="687">
        <f t="shared" si="99"/>
        <v>0</v>
      </c>
      <c r="V70" s="687">
        <f t="shared" si="99"/>
        <v>0</v>
      </c>
      <c r="W70" s="687">
        <f t="shared" si="99"/>
        <v>0</v>
      </c>
      <c r="X70" s="687">
        <f t="shared" si="99"/>
        <v>0</v>
      </c>
      <c r="Y70" s="687">
        <f t="shared" si="99"/>
        <v>0</v>
      </c>
      <c r="Z70" s="687">
        <f t="shared" si="99"/>
        <v>0</v>
      </c>
      <c r="AA70" s="687">
        <f t="shared" si="99"/>
        <v>0</v>
      </c>
    </row>
    <row r="71" spans="1:48" s="35" customFormat="1" x14ac:dyDescent="0.25">
      <c r="B71" s="186" t="str">
        <f t="shared" si="95"/>
        <v>TTPHELC100</v>
      </c>
      <c r="C71" s="186"/>
      <c r="D71" s="187"/>
      <c r="E71" s="186"/>
      <c r="F71" s="189"/>
      <c r="G71" s="170"/>
      <c r="H71" s="190">
        <f>AE$5</f>
        <v>2020</v>
      </c>
      <c r="I71" s="191"/>
      <c r="J71" s="191"/>
      <c r="K71" s="192" t="s">
        <v>1065</v>
      </c>
      <c r="L71" s="191" t="s">
        <v>748</v>
      </c>
      <c r="M71" s="687">
        <f t="shared" ref="M71:AA71" si="100">M69*LOOKUP($AC64,$AF$3:$AN$3,$AF$5:$AN$5)</f>
        <v>0</v>
      </c>
      <c r="N71" s="687">
        <f t="shared" si="100"/>
        <v>0</v>
      </c>
      <c r="O71" s="687">
        <f t="shared" si="100"/>
        <v>0</v>
      </c>
      <c r="P71" s="687">
        <f t="shared" si="100"/>
        <v>0</v>
      </c>
      <c r="Q71" s="687">
        <f t="shared" si="100"/>
        <v>0</v>
      </c>
      <c r="R71" s="687">
        <f t="shared" si="100"/>
        <v>0</v>
      </c>
      <c r="S71" s="687">
        <f t="shared" si="100"/>
        <v>0</v>
      </c>
      <c r="T71" s="687">
        <f t="shared" si="100"/>
        <v>0</v>
      </c>
      <c r="U71" s="687">
        <f t="shared" si="100"/>
        <v>0</v>
      </c>
      <c r="V71" s="687">
        <f t="shared" si="100"/>
        <v>0</v>
      </c>
      <c r="W71" s="687">
        <f t="shared" si="100"/>
        <v>0</v>
      </c>
      <c r="X71" s="687">
        <f t="shared" si="100"/>
        <v>0</v>
      </c>
      <c r="Y71" s="687">
        <f t="shared" si="100"/>
        <v>0</v>
      </c>
      <c r="Z71" s="687">
        <f t="shared" si="100"/>
        <v>0</v>
      </c>
      <c r="AA71" s="687">
        <f t="shared" si="100"/>
        <v>0</v>
      </c>
    </row>
    <row r="72" spans="1:48" s="35" customFormat="1" x14ac:dyDescent="0.25">
      <c r="B72" s="186" t="str">
        <f t="shared" si="95"/>
        <v>TTPHELC100</v>
      </c>
      <c r="C72" s="186"/>
      <c r="D72" s="187"/>
      <c r="E72" s="186"/>
      <c r="F72" s="189"/>
      <c r="G72" s="170"/>
      <c r="H72" s="190">
        <f>AE$6</f>
        <v>2025</v>
      </c>
      <c r="I72" s="191"/>
      <c r="J72" s="191"/>
      <c r="K72" s="192" t="s">
        <v>1065</v>
      </c>
      <c r="L72" s="191" t="s">
        <v>748</v>
      </c>
      <c r="M72" s="687">
        <f t="shared" ref="M72:AA72" si="101">M69*LOOKUP($AC64,$AF$3:$AN$3,$AF$6:$AN$6)</f>
        <v>0</v>
      </c>
      <c r="N72" s="687">
        <f t="shared" si="101"/>
        <v>0</v>
      </c>
      <c r="O72" s="687">
        <f t="shared" si="101"/>
        <v>0</v>
      </c>
      <c r="P72" s="687">
        <f t="shared" si="101"/>
        <v>0</v>
      </c>
      <c r="Q72" s="687">
        <f t="shared" si="101"/>
        <v>0</v>
      </c>
      <c r="R72" s="687">
        <f t="shared" si="101"/>
        <v>0</v>
      </c>
      <c r="S72" s="687">
        <f t="shared" si="101"/>
        <v>0</v>
      </c>
      <c r="T72" s="687">
        <f t="shared" si="101"/>
        <v>0</v>
      </c>
      <c r="U72" s="687">
        <f t="shared" si="101"/>
        <v>0</v>
      </c>
      <c r="V72" s="687">
        <f t="shared" si="101"/>
        <v>0</v>
      </c>
      <c r="W72" s="687">
        <f t="shared" si="101"/>
        <v>0</v>
      </c>
      <c r="X72" s="687">
        <f t="shared" si="101"/>
        <v>0</v>
      </c>
      <c r="Y72" s="687">
        <f t="shared" si="101"/>
        <v>0</v>
      </c>
      <c r="Z72" s="687">
        <f t="shared" si="101"/>
        <v>0</v>
      </c>
      <c r="AA72" s="687">
        <f t="shared" si="101"/>
        <v>0</v>
      </c>
    </row>
    <row r="73" spans="1:48" s="35" customFormat="1" x14ac:dyDescent="0.25">
      <c r="B73" s="186" t="str">
        <f t="shared" si="95"/>
        <v>TTPHELC100</v>
      </c>
      <c r="C73" s="186"/>
      <c r="D73" s="187"/>
      <c r="E73" s="186"/>
      <c r="F73" s="189"/>
      <c r="G73" s="170"/>
      <c r="H73" s="190">
        <f>AE$7</f>
        <v>2030</v>
      </c>
      <c r="I73" s="191"/>
      <c r="J73" s="191"/>
      <c r="K73" s="192" t="s">
        <v>1065</v>
      </c>
      <c r="L73" s="191" t="s">
        <v>748</v>
      </c>
      <c r="M73" s="687">
        <f t="shared" ref="M73:AA73" si="102">M69*LOOKUP($AC64,$AF$3:$AN$3,$AF$7:$AN$7)</f>
        <v>0</v>
      </c>
      <c r="N73" s="687">
        <f t="shared" si="102"/>
        <v>0</v>
      </c>
      <c r="O73" s="687">
        <f t="shared" si="102"/>
        <v>0</v>
      </c>
      <c r="P73" s="687">
        <f t="shared" si="102"/>
        <v>0</v>
      </c>
      <c r="Q73" s="687">
        <f t="shared" si="102"/>
        <v>0</v>
      </c>
      <c r="R73" s="687">
        <f t="shared" si="102"/>
        <v>0</v>
      </c>
      <c r="S73" s="687">
        <f t="shared" si="102"/>
        <v>0</v>
      </c>
      <c r="T73" s="687">
        <f t="shared" si="102"/>
        <v>0</v>
      </c>
      <c r="U73" s="687">
        <f t="shared" si="102"/>
        <v>0</v>
      </c>
      <c r="V73" s="687">
        <f t="shared" si="102"/>
        <v>0</v>
      </c>
      <c r="W73" s="687">
        <f t="shared" si="102"/>
        <v>0</v>
      </c>
      <c r="X73" s="687">
        <f t="shared" si="102"/>
        <v>0</v>
      </c>
      <c r="Y73" s="687">
        <f t="shared" si="102"/>
        <v>0</v>
      </c>
      <c r="Z73" s="687">
        <f t="shared" si="102"/>
        <v>0</v>
      </c>
      <c r="AA73" s="687">
        <f t="shared" si="102"/>
        <v>0</v>
      </c>
    </row>
    <row r="74" spans="1:48" s="35" customFormat="1" x14ac:dyDescent="0.25">
      <c r="B74" s="186" t="str">
        <f t="shared" si="95"/>
        <v>TTPHELC100</v>
      </c>
      <c r="C74" s="186"/>
      <c r="D74" s="187"/>
      <c r="E74" s="186"/>
      <c r="F74" s="189"/>
      <c r="G74" s="170"/>
      <c r="H74" s="190">
        <f>AE$8</f>
        <v>2040</v>
      </c>
      <c r="I74" s="191"/>
      <c r="J74" s="191"/>
      <c r="K74" s="192" t="s">
        <v>1065</v>
      </c>
      <c r="L74" s="191" t="s">
        <v>748</v>
      </c>
      <c r="M74" s="687">
        <f t="shared" ref="M74:AA74" si="103">M69*LOOKUP($AC64,$AF$3:$AN$3,$AF$8:$AN$8)</f>
        <v>0</v>
      </c>
      <c r="N74" s="687">
        <f t="shared" si="103"/>
        <v>0</v>
      </c>
      <c r="O74" s="687">
        <f t="shared" si="103"/>
        <v>0</v>
      </c>
      <c r="P74" s="687">
        <f t="shared" si="103"/>
        <v>0</v>
      </c>
      <c r="Q74" s="687">
        <f t="shared" si="103"/>
        <v>0</v>
      </c>
      <c r="R74" s="687">
        <f t="shared" si="103"/>
        <v>0</v>
      </c>
      <c r="S74" s="687">
        <f t="shared" si="103"/>
        <v>0</v>
      </c>
      <c r="T74" s="687">
        <f t="shared" si="103"/>
        <v>0</v>
      </c>
      <c r="U74" s="687">
        <f t="shared" si="103"/>
        <v>0</v>
      </c>
      <c r="V74" s="687">
        <f t="shared" si="103"/>
        <v>0</v>
      </c>
      <c r="W74" s="687">
        <f t="shared" si="103"/>
        <v>0</v>
      </c>
      <c r="X74" s="687">
        <f t="shared" si="103"/>
        <v>0</v>
      </c>
      <c r="Y74" s="687">
        <f t="shared" si="103"/>
        <v>0</v>
      </c>
      <c r="Z74" s="687">
        <f t="shared" si="103"/>
        <v>0</v>
      </c>
      <c r="AA74" s="687">
        <f t="shared" si="103"/>
        <v>0</v>
      </c>
    </row>
    <row r="75" spans="1:48" s="35" customFormat="1" x14ac:dyDescent="0.25">
      <c r="B75" s="193" t="str">
        <f t="shared" si="95"/>
        <v>TTPHELC100</v>
      </c>
      <c r="C75" s="193"/>
      <c r="D75" s="194"/>
      <c r="E75" s="193"/>
      <c r="F75" s="195"/>
      <c r="G75" s="196"/>
      <c r="H75" s="197">
        <f>AE$9</f>
        <v>2050</v>
      </c>
      <c r="I75" s="198"/>
      <c r="J75" s="198"/>
      <c r="K75" s="199" t="s">
        <v>1065</v>
      </c>
      <c r="L75" s="198" t="s">
        <v>748</v>
      </c>
      <c r="M75" s="688">
        <f t="shared" ref="M75:AA75" si="104">M69*LOOKUP($AC64,$AF$3:$AN$3,$AF$9:$AN$9)</f>
        <v>0</v>
      </c>
      <c r="N75" s="688">
        <f t="shared" si="104"/>
        <v>0</v>
      </c>
      <c r="O75" s="688">
        <f t="shared" si="104"/>
        <v>0</v>
      </c>
      <c r="P75" s="688">
        <f t="shared" si="104"/>
        <v>0</v>
      </c>
      <c r="Q75" s="688">
        <f t="shared" si="104"/>
        <v>0</v>
      </c>
      <c r="R75" s="688">
        <f t="shared" si="104"/>
        <v>0</v>
      </c>
      <c r="S75" s="688">
        <f t="shared" si="104"/>
        <v>0</v>
      </c>
      <c r="T75" s="688">
        <f t="shared" si="104"/>
        <v>0</v>
      </c>
      <c r="U75" s="688">
        <f t="shared" si="104"/>
        <v>0</v>
      </c>
      <c r="V75" s="688">
        <f t="shared" si="104"/>
        <v>0</v>
      </c>
      <c r="W75" s="688">
        <f t="shared" si="104"/>
        <v>0</v>
      </c>
      <c r="X75" s="688">
        <f t="shared" si="104"/>
        <v>0</v>
      </c>
      <c r="Y75" s="688">
        <f t="shared" si="104"/>
        <v>0</v>
      </c>
      <c r="Z75" s="688">
        <f t="shared" si="104"/>
        <v>0</v>
      </c>
      <c r="AA75" s="688">
        <f t="shared" si="104"/>
        <v>0</v>
      </c>
    </row>
    <row r="77" spans="1:48" x14ac:dyDescent="0.25">
      <c r="AE77" s="92"/>
    </row>
    <row r="78" spans="1:48" s="559" customFormat="1" ht="16.5" customHeight="1" x14ac:dyDescent="0.25">
      <c r="B78" s="17" t="s">
        <v>1212</v>
      </c>
      <c r="C78" s="560"/>
      <c r="H78" s="370"/>
    </row>
    <row r="79" spans="1:48" s="559" customFormat="1" ht="16.5" customHeight="1" x14ac:dyDescent="0.25">
      <c r="B79" s="33"/>
      <c r="C79" s="33"/>
      <c r="H79" s="370"/>
    </row>
    <row r="80" spans="1:48" s="22" customFormat="1" x14ac:dyDescent="0.25">
      <c r="A80" s="35"/>
      <c r="B80" s="35"/>
      <c r="C80" s="50"/>
      <c r="D80" s="50"/>
      <c r="E80" s="35"/>
      <c r="F80" s="35"/>
      <c r="G80" s="41"/>
      <c r="H80" s="51"/>
      <c r="I80" s="41"/>
      <c r="J80" s="41"/>
      <c r="K80" s="40" t="str">
        <f>IF(SUM(M10:AA11)&gt;0,"~FI_T","not in use")</f>
        <v>not in use</v>
      </c>
      <c r="L80" s="40"/>
      <c r="M80" s="35"/>
      <c r="N80" s="35"/>
      <c r="O80" s="35"/>
      <c r="P80" s="35"/>
      <c r="Q80" s="41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41"/>
      <c r="AC80" s="49" t="str">
        <f>CONCATENATE("TEST: ",B78)</f>
        <v>TEST: Base-year: Train (freight)</v>
      </c>
      <c r="AV80" s="471" t="s">
        <v>1052</v>
      </c>
    </row>
    <row r="81" spans="1:64" s="22" customFormat="1" x14ac:dyDescent="0.25">
      <c r="A81" s="35"/>
      <c r="B81" s="52" t="s">
        <v>1053</v>
      </c>
      <c r="C81" s="26" t="s">
        <v>104</v>
      </c>
      <c r="D81" s="26" t="s">
        <v>1054</v>
      </c>
      <c r="E81" s="26" t="s">
        <v>673</v>
      </c>
      <c r="F81" s="26" t="s">
        <v>674</v>
      </c>
      <c r="G81" s="26" t="s">
        <v>1055</v>
      </c>
      <c r="H81" s="53" t="s">
        <v>1056</v>
      </c>
      <c r="I81" s="26" t="s">
        <v>982</v>
      </c>
      <c r="J81" s="42" t="s">
        <v>1123</v>
      </c>
      <c r="K81" s="26" t="s">
        <v>1057</v>
      </c>
      <c r="L81" s="26" t="s">
        <v>1058</v>
      </c>
      <c r="M81" s="26" t="str">
        <f t="shared" ref="M81:AA81" si="105">M$2</f>
        <v>Z01</v>
      </c>
      <c r="N81" s="26" t="str">
        <f t="shared" si="105"/>
        <v>Z02</v>
      </c>
      <c r="O81" s="26" t="str">
        <f t="shared" si="105"/>
        <v>Z03</v>
      </c>
      <c r="P81" s="26" t="str">
        <f t="shared" si="105"/>
        <v>Z04</v>
      </c>
      <c r="Q81" s="26" t="str">
        <f t="shared" si="105"/>
        <v>Z05</v>
      </c>
      <c r="R81" s="26" t="str">
        <f t="shared" si="105"/>
        <v>Z06</v>
      </c>
      <c r="S81" s="26" t="str">
        <f t="shared" si="105"/>
        <v>Z07</v>
      </c>
      <c r="T81" s="26" t="str">
        <f t="shared" si="105"/>
        <v>Z08</v>
      </c>
      <c r="U81" s="26" t="str">
        <f t="shared" si="105"/>
        <v>Z09</v>
      </c>
      <c r="V81" s="26" t="str">
        <f t="shared" si="105"/>
        <v>Z10</v>
      </c>
      <c r="W81" s="26" t="str">
        <f t="shared" si="105"/>
        <v>Z11</v>
      </c>
      <c r="X81" s="26" t="str">
        <f t="shared" si="105"/>
        <v>Z12</v>
      </c>
      <c r="Y81" s="26" t="str">
        <f t="shared" si="105"/>
        <v>Z13</v>
      </c>
      <c r="Z81" s="26" t="str">
        <f t="shared" si="105"/>
        <v>Z14</v>
      </c>
      <c r="AA81" s="26" t="str">
        <f t="shared" si="105"/>
        <v>Z15</v>
      </c>
      <c r="AB81" s="48"/>
      <c r="AC81" s="42"/>
      <c r="AD81" s="42" t="s">
        <v>421</v>
      </c>
      <c r="AE81" s="42" t="str">
        <f t="shared" ref="AE81:AS81" si="106">AE$113</f>
        <v>Z01</v>
      </c>
      <c r="AF81" s="42" t="str">
        <f t="shared" si="106"/>
        <v>Z02</v>
      </c>
      <c r="AG81" s="42" t="str">
        <f t="shared" si="106"/>
        <v>Z03</v>
      </c>
      <c r="AH81" s="42" t="str">
        <f t="shared" si="106"/>
        <v>Z04</v>
      </c>
      <c r="AI81" s="42" t="str">
        <f t="shared" si="106"/>
        <v>Z05</v>
      </c>
      <c r="AJ81" s="42" t="str">
        <f t="shared" si="106"/>
        <v>Z06</v>
      </c>
      <c r="AK81" s="42" t="str">
        <f t="shared" si="106"/>
        <v>Z07</v>
      </c>
      <c r="AL81" s="42" t="str">
        <f t="shared" si="106"/>
        <v>Z08</v>
      </c>
      <c r="AM81" s="42" t="str">
        <f t="shared" si="106"/>
        <v>Z09</v>
      </c>
      <c r="AN81" s="42" t="str">
        <f t="shared" si="106"/>
        <v>Z10</v>
      </c>
      <c r="AO81" s="42" t="str">
        <f t="shared" si="106"/>
        <v>Z11</v>
      </c>
      <c r="AP81" s="42" t="str">
        <f t="shared" si="106"/>
        <v>Z12</v>
      </c>
      <c r="AQ81" s="42" t="str">
        <f t="shared" si="106"/>
        <v>Z13</v>
      </c>
      <c r="AR81" s="42" t="str">
        <f t="shared" si="106"/>
        <v>Z14</v>
      </c>
      <c r="AS81" s="42" t="str">
        <f t="shared" si="106"/>
        <v>Z15</v>
      </c>
      <c r="AV81" s="701" t="s">
        <v>85</v>
      </c>
      <c r="AW81" s="701" t="s">
        <v>421</v>
      </c>
      <c r="AX81" s="701" t="str">
        <f t="shared" ref="AX81:BL81" si="107">M$2</f>
        <v>Z01</v>
      </c>
      <c r="AY81" s="701" t="str">
        <f t="shared" si="107"/>
        <v>Z02</v>
      </c>
      <c r="AZ81" s="701" t="str">
        <f t="shared" si="107"/>
        <v>Z03</v>
      </c>
      <c r="BA81" s="701" t="str">
        <f t="shared" si="107"/>
        <v>Z04</v>
      </c>
      <c r="BB81" s="701" t="str">
        <f t="shared" si="107"/>
        <v>Z05</v>
      </c>
      <c r="BC81" s="701" t="str">
        <f t="shared" si="107"/>
        <v>Z06</v>
      </c>
      <c r="BD81" s="701" t="str">
        <f t="shared" si="107"/>
        <v>Z07</v>
      </c>
      <c r="BE81" s="701" t="str">
        <f t="shared" si="107"/>
        <v>Z08</v>
      </c>
      <c r="BF81" s="701" t="str">
        <f t="shared" si="107"/>
        <v>Z09</v>
      </c>
      <c r="BG81" s="701" t="str">
        <f t="shared" si="107"/>
        <v>Z10</v>
      </c>
      <c r="BH81" s="701" t="str">
        <f t="shared" si="107"/>
        <v>Z11</v>
      </c>
      <c r="BI81" s="701" t="str">
        <f t="shared" si="107"/>
        <v>Z12</v>
      </c>
      <c r="BJ81" s="701" t="str">
        <f t="shared" si="107"/>
        <v>Z13</v>
      </c>
      <c r="BK81" s="701" t="str">
        <f t="shared" si="107"/>
        <v>Z14</v>
      </c>
      <c r="BL81" s="701" t="str">
        <f t="shared" si="107"/>
        <v>Z15</v>
      </c>
    </row>
    <row r="82" spans="1:64" s="22" customFormat="1" x14ac:dyDescent="0.25">
      <c r="A82" s="35"/>
      <c r="B82" s="176"/>
      <c r="C82" s="176"/>
      <c r="D82" s="176" t="s">
        <v>1062</v>
      </c>
      <c r="E82" s="176"/>
      <c r="F82" s="176"/>
      <c r="G82" s="176"/>
      <c r="H82" s="177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35"/>
      <c r="AC82" s="176" t="s">
        <v>1124</v>
      </c>
      <c r="AD82" s="625" t="str">
        <f>IF(AD83-SUM(AC10:AC11)&lt;0,"too small",IF(AD83-SUM(AC10:AC11)&gt;0.001,"Too big","ok"))</f>
        <v>ok</v>
      </c>
      <c r="AE82" s="619" t="str">
        <f t="shared" ref="AE82:AS82" si="108">IF(AE83-SUM(M10:M11)&lt;0,"too small",IF(AE83-SUM(M10:M11)&gt;0.001,"Too big","ok"))</f>
        <v>ok</v>
      </c>
      <c r="AF82" s="619" t="str">
        <f t="shared" si="108"/>
        <v>ok</v>
      </c>
      <c r="AG82" s="619" t="str">
        <f t="shared" si="108"/>
        <v>ok</v>
      </c>
      <c r="AH82" s="619" t="str">
        <f t="shared" si="108"/>
        <v>ok</v>
      </c>
      <c r="AI82" s="619" t="str">
        <f t="shared" si="108"/>
        <v>ok</v>
      </c>
      <c r="AJ82" s="619" t="str">
        <f t="shared" si="108"/>
        <v>ok</v>
      </c>
      <c r="AK82" s="619" t="str">
        <f t="shared" si="108"/>
        <v>ok</v>
      </c>
      <c r="AL82" s="619" t="str">
        <f t="shared" si="108"/>
        <v>ok</v>
      </c>
      <c r="AM82" s="619" t="str">
        <f t="shared" si="108"/>
        <v>ok</v>
      </c>
      <c r="AN82" s="619" t="str">
        <f t="shared" si="108"/>
        <v>ok</v>
      </c>
      <c r="AO82" s="619" t="str">
        <f t="shared" si="108"/>
        <v>ok</v>
      </c>
      <c r="AP82" s="619" t="str">
        <f t="shared" si="108"/>
        <v>ok</v>
      </c>
      <c r="AQ82" s="619" t="str">
        <f t="shared" si="108"/>
        <v>ok</v>
      </c>
      <c r="AR82" s="619" t="str">
        <f t="shared" si="108"/>
        <v>ok</v>
      </c>
      <c r="AS82" s="619" t="str">
        <f t="shared" si="108"/>
        <v>ok</v>
      </c>
      <c r="AV82" s="398" t="s">
        <v>103</v>
      </c>
      <c r="AW82" s="717">
        <f>SUM(AX82:BL82)</f>
        <v>0</v>
      </c>
      <c r="AX82" s="718">
        <f>SUM(AX83:AX242)</f>
        <v>0</v>
      </c>
      <c r="AY82" s="718">
        <f t="shared" ref="AY82" si="109">SUM(AY83:AY242)</f>
        <v>0</v>
      </c>
      <c r="AZ82" s="718">
        <f t="shared" ref="AZ82" si="110">SUM(AZ83:AZ242)</f>
        <v>0</v>
      </c>
      <c r="BA82" s="718">
        <f t="shared" ref="BA82" si="111">SUM(BA83:BA242)</f>
        <v>0</v>
      </c>
      <c r="BB82" s="718">
        <f t="shared" ref="BB82" si="112">SUM(BB83:BB242)</f>
        <v>0</v>
      </c>
      <c r="BC82" s="718">
        <f t="shared" ref="BC82" si="113">SUM(BC83:BC242)</f>
        <v>0</v>
      </c>
      <c r="BD82" s="718">
        <f t="shared" ref="BD82" si="114">SUM(BD83:BD242)</f>
        <v>0</v>
      </c>
      <c r="BE82" s="718">
        <f t="shared" ref="BE82" si="115">SUM(BE83:BE242)</f>
        <v>0</v>
      </c>
      <c r="BF82" s="718">
        <f t="shared" ref="BF82" si="116">SUM(BF83:BF242)</f>
        <v>0</v>
      </c>
      <c r="BG82" s="718">
        <f t="shared" ref="BG82" si="117">SUM(BG83:BG242)</f>
        <v>0</v>
      </c>
      <c r="BH82" s="718">
        <f t="shared" ref="BH82" si="118">SUM(BH83:BH242)</f>
        <v>0</v>
      </c>
      <c r="BI82" s="718">
        <f t="shared" ref="BI82" si="119">SUM(BI83:BI242)</f>
        <v>0</v>
      </c>
      <c r="BJ82" s="718">
        <f t="shared" ref="BJ82" si="120">SUM(BJ83:BJ242)</f>
        <v>0</v>
      </c>
      <c r="BK82" s="718">
        <f t="shared" ref="BK82" si="121">SUM(BK83:BK242)</f>
        <v>0</v>
      </c>
      <c r="BL82" s="718">
        <f t="shared" ref="BL82" si="122">SUM(BL83:BL242)</f>
        <v>0</v>
      </c>
    </row>
    <row r="83" spans="1:64" s="35" customFormat="1" x14ac:dyDescent="0.25">
      <c r="A83" s="22"/>
      <c r="B83" s="186" t="str">
        <f>C83</f>
        <v>TTFLDST100</v>
      </c>
      <c r="C83" s="186" t="s">
        <v>216</v>
      </c>
      <c r="D83" s="187" t="s">
        <v>887</v>
      </c>
      <c r="E83" s="188" t="s">
        <v>1002</v>
      </c>
      <c r="F83" s="189"/>
      <c r="G83" s="170"/>
      <c r="H83" s="190"/>
      <c r="I83" s="191"/>
      <c r="J83" s="191"/>
      <c r="K83" s="192" t="s">
        <v>1107</v>
      </c>
      <c r="L83" s="191" t="s">
        <v>1125</v>
      </c>
      <c r="M83" s="366">
        <f>M$115</f>
        <v>1E-3</v>
      </c>
      <c r="N83" s="366">
        <f t="shared" ref="N83:AA83" si="123">$M83</f>
        <v>1E-3</v>
      </c>
      <c r="O83" s="366">
        <f t="shared" si="123"/>
        <v>1E-3</v>
      </c>
      <c r="P83" s="366">
        <f t="shared" si="123"/>
        <v>1E-3</v>
      </c>
      <c r="Q83" s="366">
        <f t="shared" si="123"/>
        <v>1E-3</v>
      </c>
      <c r="R83" s="366">
        <f t="shared" si="123"/>
        <v>1E-3</v>
      </c>
      <c r="S83" s="366">
        <f t="shared" si="123"/>
        <v>1E-3</v>
      </c>
      <c r="T83" s="366">
        <f t="shared" si="123"/>
        <v>1E-3</v>
      </c>
      <c r="U83" s="366">
        <f t="shared" si="123"/>
        <v>1E-3</v>
      </c>
      <c r="V83" s="366">
        <f t="shared" si="123"/>
        <v>1E-3</v>
      </c>
      <c r="W83" s="366">
        <f t="shared" si="123"/>
        <v>1E-3</v>
      </c>
      <c r="X83" s="366">
        <f t="shared" si="123"/>
        <v>1E-3</v>
      </c>
      <c r="Y83" s="366">
        <f t="shared" si="123"/>
        <v>1E-3</v>
      </c>
      <c r="Z83" s="366">
        <f t="shared" si="123"/>
        <v>1E-3</v>
      </c>
      <c r="AA83" s="366">
        <f t="shared" si="123"/>
        <v>1E-3</v>
      </c>
      <c r="AC83" s="56" t="str">
        <f>RIGHT(E83,3)</f>
        <v>DSR</v>
      </c>
      <c r="AD83" s="93">
        <f>SUM(AE83:AS83)</f>
        <v>0</v>
      </c>
      <c r="AE83" s="518">
        <f>SUM(AE87:AE99)</f>
        <v>0</v>
      </c>
      <c r="AF83" s="518">
        <f t="shared" ref="AF83:AS83" si="124">SUM(AF87:AF99)</f>
        <v>0</v>
      </c>
      <c r="AG83" s="518">
        <f t="shared" si="124"/>
        <v>0</v>
      </c>
      <c r="AH83" s="518">
        <f t="shared" si="124"/>
        <v>0</v>
      </c>
      <c r="AI83" s="518">
        <f t="shared" si="124"/>
        <v>0</v>
      </c>
      <c r="AJ83" s="518">
        <f t="shared" si="124"/>
        <v>0</v>
      </c>
      <c r="AK83" s="518">
        <f t="shared" si="124"/>
        <v>0</v>
      </c>
      <c r="AL83" s="518">
        <f t="shared" si="124"/>
        <v>0</v>
      </c>
      <c r="AM83" s="518">
        <f t="shared" si="124"/>
        <v>0</v>
      </c>
      <c r="AN83" s="518">
        <f t="shared" si="124"/>
        <v>0</v>
      </c>
      <c r="AO83" s="518">
        <f t="shared" si="124"/>
        <v>0</v>
      </c>
      <c r="AP83" s="518">
        <f t="shared" si="124"/>
        <v>0</v>
      </c>
      <c r="AQ83" s="518">
        <f t="shared" si="124"/>
        <v>0</v>
      </c>
      <c r="AR83" s="518">
        <f t="shared" si="124"/>
        <v>0</v>
      </c>
      <c r="AS83" s="518">
        <f t="shared" si="124"/>
        <v>0</v>
      </c>
      <c r="AV83" s="700" t="str">
        <f>MID(E83,1,7)</f>
        <v>TRADSR</v>
      </c>
      <c r="AW83" s="568">
        <f>SUM(AX83:BL83)</f>
        <v>0</v>
      </c>
      <c r="AX83" s="568">
        <f>M88*M89/M85/1000</f>
        <v>0</v>
      </c>
      <c r="AY83" s="568">
        <f t="shared" ref="AY83" si="125">N88*N89/N85/1000</f>
        <v>0</v>
      </c>
      <c r="AZ83" s="568">
        <f t="shared" ref="AZ83" si="126">O88*O89/O85/1000</f>
        <v>0</v>
      </c>
      <c r="BA83" s="568">
        <f t="shared" ref="BA83" si="127">P88*P89/P85/1000</f>
        <v>0</v>
      </c>
      <c r="BB83" s="568">
        <f t="shared" ref="BB83" si="128">Q88*Q89/Q85/1000</f>
        <v>0</v>
      </c>
      <c r="BC83" s="568">
        <f t="shared" ref="BC83" si="129">R88*R89/R85/1000</f>
        <v>0</v>
      </c>
      <c r="BD83" s="568">
        <f t="shared" ref="BD83" si="130">S88*S89/S85/1000</f>
        <v>0</v>
      </c>
      <c r="BE83" s="568">
        <f t="shared" ref="BE83" si="131">T88*T89/T85/1000</f>
        <v>0</v>
      </c>
      <c r="BF83" s="568">
        <f t="shared" ref="BF83" si="132">U88*U89/U85/1000</f>
        <v>0</v>
      </c>
      <c r="BG83" s="568">
        <f t="shared" ref="BG83" si="133">V88*V89/V85/1000</f>
        <v>0</v>
      </c>
      <c r="BH83" s="568">
        <f t="shared" ref="BH83" si="134">W88*W89/W85/1000</f>
        <v>0</v>
      </c>
      <c r="BI83" s="568">
        <f t="shared" ref="BI83" si="135">X88*X89/X85/1000</f>
        <v>0</v>
      </c>
      <c r="BJ83" s="568">
        <f t="shared" ref="BJ83" si="136">Y88*Y89/Y85/1000</f>
        <v>0</v>
      </c>
      <c r="BK83" s="568">
        <f t="shared" ref="BK83" si="137">Z88*Z89/Z85/1000</f>
        <v>0</v>
      </c>
      <c r="BL83" s="568">
        <f t="shared" ref="BL83" si="138">AA88*AA89/AA85/1000</f>
        <v>0</v>
      </c>
    </row>
    <row r="84" spans="1:64" s="35" customFormat="1" x14ac:dyDescent="0.25">
      <c r="A84" s="22"/>
      <c r="B84" s="186" t="str">
        <f>B83</f>
        <v>TTFLDST100</v>
      </c>
      <c r="C84" s="186"/>
      <c r="D84" s="187"/>
      <c r="E84" s="188" t="s">
        <v>992</v>
      </c>
      <c r="F84" s="189"/>
      <c r="G84" s="170"/>
      <c r="H84" s="190"/>
      <c r="I84" s="191" t="s">
        <v>1157</v>
      </c>
      <c r="J84" s="191"/>
      <c r="K84" s="192" t="s">
        <v>101</v>
      </c>
      <c r="L84" s="191"/>
      <c r="M84" s="377">
        <v>0.05</v>
      </c>
      <c r="N84" s="377">
        <v>0.05</v>
      </c>
      <c r="O84" s="377">
        <v>0.05</v>
      </c>
      <c r="P84" s="377">
        <v>0.05</v>
      </c>
      <c r="Q84" s="377">
        <v>0.05</v>
      </c>
      <c r="R84" s="377">
        <v>0.05</v>
      </c>
      <c r="S84" s="377">
        <v>0.05</v>
      </c>
      <c r="T84" s="377">
        <v>0.05</v>
      </c>
      <c r="U84" s="377">
        <v>0.05</v>
      </c>
      <c r="V84" s="377">
        <v>0.05</v>
      </c>
      <c r="W84" s="377">
        <v>0.05</v>
      </c>
      <c r="X84" s="377">
        <v>0.05</v>
      </c>
      <c r="Y84" s="377">
        <v>0.05</v>
      </c>
      <c r="Z84" s="377">
        <v>0.05</v>
      </c>
      <c r="AA84" s="377">
        <v>0.05</v>
      </c>
      <c r="AC84" s="56"/>
      <c r="AD84" s="93"/>
      <c r="AE84" s="518"/>
      <c r="AF84" s="518"/>
      <c r="AG84" s="518"/>
      <c r="AH84" s="518"/>
      <c r="AI84" s="518"/>
      <c r="AJ84" s="518"/>
      <c r="AK84" s="518"/>
      <c r="AL84" s="518"/>
      <c r="AM84" s="518"/>
      <c r="AN84" s="518"/>
      <c r="AO84" s="518"/>
      <c r="AP84" s="518"/>
      <c r="AQ84" s="518"/>
      <c r="AR84" s="518"/>
      <c r="AS84" s="518"/>
      <c r="AV84" s="700"/>
      <c r="AW84" s="568"/>
      <c r="AX84" s="568"/>
      <c r="AY84" s="568"/>
      <c r="AZ84" s="568"/>
      <c r="BA84" s="568"/>
      <c r="BB84" s="568"/>
      <c r="BC84" s="568"/>
      <c r="BD84" s="568"/>
      <c r="BE84" s="568"/>
      <c r="BF84" s="568"/>
      <c r="BG84" s="568"/>
      <c r="BH84" s="568"/>
      <c r="BI84" s="568"/>
      <c r="BJ84" s="568"/>
      <c r="BK84" s="568"/>
      <c r="BL84" s="568"/>
    </row>
    <row r="85" spans="1:64" s="35" customFormat="1" x14ac:dyDescent="0.25">
      <c r="A85" s="22"/>
      <c r="B85" s="186" t="str">
        <f t="shared" ref="B85:B95" si="139">B84</f>
        <v>TTFLDST100</v>
      </c>
      <c r="C85" s="186"/>
      <c r="D85" s="187"/>
      <c r="E85" s="188"/>
      <c r="F85" s="189" t="s">
        <v>441</v>
      </c>
      <c r="G85" s="170"/>
      <c r="H85" s="190"/>
      <c r="I85" s="191"/>
      <c r="J85" s="191"/>
      <c r="K85" s="186" t="s">
        <v>1126</v>
      </c>
      <c r="L85" s="191" t="s">
        <v>678</v>
      </c>
      <c r="M85" s="377">
        <f>LOOKUP($C$83, T_CEFF!$C$300:$C$306, T_CEFF!H$300:H$306)</f>
        <v>5.2500000000000003E-3</v>
      </c>
      <c r="N85" s="377">
        <f>LOOKUP($C$83, T_CEFF!$C$300:$C$306, T_CEFF!I$300:I$306)</f>
        <v>5.2500000000000003E-3</v>
      </c>
      <c r="O85" s="377">
        <f>LOOKUP($C$83, T_CEFF!$C$300:$C$306, T_CEFF!J$300:J$306)</f>
        <v>5.2500000000000003E-3</v>
      </c>
      <c r="P85" s="377">
        <f>LOOKUP($C$83, T_CEFF!$C$300:$C$306, T_CEFF!K$300:K$306)</f>
        <v>5.2500000000000003E-3</v>
      </c>
      <c r="Q85" s="377">
        <f>LOOKUP($C$83, T_CEFF!$C$300:$C$306, T_CEFF!L$300:L$306)</f>
        <v>5.2500000000000003E-3</v>
      </c>
      <c r="R85" s="377">
        <f>LOOKUP($C$83, T_CEFF!$C$300:$C$306, T_CEFF!M$300:M$306)</f>
        <v>5.2500000000000003E-3</v>
      </c>
      <c r="S85" s="377">
        <f>LOOKUP($C$83, T_CEFF!$C$300:$C$306, T_CEFF!N$300:N$306)</f>
        <v>5.2500000000000003E-3</v>
      </c>
      <c r="T85" s="377">
        <f>LOOKUP($C$83, T_CEFF!$C$300:$C$306, T_CEFF!O$300:O$306)</f>
        <v>5.2500000000000003E-3</v>
      </c>
      <c r="U85" s="377">
        <f>LOOKUP($C$83, T_CEFF!$C$300:$C$306, T_CEFF!P$300:P$306)</f>
        <v>5.2500000000000003E-3</v>
      </c>
      <c r="V85" s="377">
        <f>LOOKUP($C$83, T_CEFF!$C$300:$C$306, T_CEFF!Q$300:Q$306)</f>
        <v>5.2500000000000003E-3</v>
      </c>
      <c r="W85" s="377">
        <f>LOOKUP($C$83, T_CEFF!$C$300:$C$306, T_CEFF!R$300:R$306)</f>
        <v>5.2500000000000003E-3</v>
      </c>
      <c r="X85" s="377">
        <f>LOOKUP($C$83, T_CEFF!$C$300:$C$306, T_CEFF!S$300:S$306)</f>
        <v>5.2500000000000003E-3</v>
      </c>
      <c r="Y85" s="377">
        <f>LOOKUP($C$83, T_CEFF!$C$300:$C$306, T_CEFF!T$300:T$306)</f>
        <v>5.2500000000000003E-3</v>
      </c>
      <c r="Z85" s="377">
        <f>LOOKUP($C$83, T_CEFF!$C$300:$C$306, T_CEFF!U$300:U$306)</f>
        <v>5.2500000000000003E-3</v>
      </c>
      <c r="AA85" s="377">
        <f>LOOKUP($C$83, T_CEFF!$C$300:$C$306, T_CEFF!V$300:V$306)</f>
        <v>5.2500000000000003E-3</v>
      </c>
      <c r="AC85" s="56"/>
      <c r="AD85" s="93"/>
      <c r="AE85" s="518"/>
      <c r="AF85" s="518"/>
      <c r="AG85" s="518"/>
      <c r="AH85" s="518"/>
      <c r="AI85" s="518"/>
      <c r="AJ85" s="518"/>
      <c r="AK85" s="518"/>
      <c r="AL85" s="518"/>
      <c r="AM85" s="518"/>
      <c r="AN85" s="518"/>
      <c r="AO85" s="518"/>
      <c r="AP85" s="518"/>
      <c r="AQ85" s="518"/>
      <c r="AR85" s="518"/>
      <c r="AS85" s="518"/>
      <c r="AV85" s="700" t="str">
        <f>MID(E85,1,7)</f>
        <v/>
      </c>
      <c r="AW85" s="568"/>
      <c r="AX85" s="568"/>
      <c r="AY85" s="568"/>
      <c r="AZ85" s="568"/>
      <c r="BA85" s="568"/>
      <c r="BB85" s="568"/>
      <c r="BC85" s="568"/>
      <c r="BD85" s="568"/>
      <c r="BE85" s="568"/>
      <c r="BF85" s="568"/>
      <c r="BG85" s="568"/>
      <c r="BH85" s="568"/>
      <c r="BI85" s="568"/>
      <c r="BJ85" s="568"/>
      <c r="BK85" s="568"/>
      <c r="BL85" s="568"/>
    </row>
    <row r="86" spans="1:64" s="35" customFormat="1" x14ac:dyDescent="0.25">
      <c r="B86" s="186" t="str">
        <f t="shared" si="139"/>
        <v>TTFLDST100</v>
      </c>
      <c r="C86" s="186"/>
      <c r="D86" s="186"/>
      <c r="E86" s="188"/>
      <c r="F86" s="189" t="s">
        <v>662</v>
      </c>
      <c r="G86" s="170"/>
      <c r="H86" s="190"/>
      <c r="I86" s="191"/>
      <c r="J86" s="191"/>
      <c r="K86" s="186" t="s">
        <v>1126</v>
      </c>
      <c r="L86" s="191" t="s">
        <v>678</v>
      </c>
      <c r="M86" s="377">
        <f>LOOKUP($C$83, T_CEFF!$C$300:$C$306, T_CEFF!H$300:H$306)</f>
        <v>5.2500000000000003E-3</v>
      </c>
      <c r="N86" s="377">
        <f>LOOKUP($C$83, T_CEFF!$C$300:$C$306, T_CEFF!I$300:I$306)</f>
        <v>5.2500000000000003E-3</v>
      </c>
      <c r="O86" s="377">
        <f>LOOKUP($C$83, T_CEFF!$C$300:$C$306, T_CEFF!J$300:J$306)</f>
        <v>5.2500000000000003E-3</v>
      </c>
      <c r="P86" s="377">
        <f>LOOKUP($C$83, T_CEFF!$C$300:$C$306, T_CEFF!K$300:K$306)</f>
        <v>5.2500000000000003E-3</v>
      </c>
      <c r="Q86" s="377">
        <f>LOOKUP($C$83, T_CEFF!$C$300:$C$306, T_CEFF!L$300:L$306)</f>
        <v>5.2500000000000003E-3</v>
      </c>
      <c r="R86" s="377">
        <f>LOOKUP($C$83, T_CEFF!$C$300:$C$306, T_CEFF!M$300:M$306)</f>
        <v>5.2500000000000003E-3</v>
      </c>
      <c r="S86" s="377">
        <f>LOOKUP($C$83, T_CEFF!$C$300:$C$306, T_CEFF!N$300:N$306)</f>
        <v>5.2500000000000003E-3</v>
      </c>
      <c r="T86" s="377">
        <f>LOOKUP($C$83, T_CEFF!$C$300:$C$306, T_CEFF!O$300:O$306)</f>
        <v>5.2500000000000003E-3</v>
      </c>
      <c r="U86" s="377">
        <f>LOOKUP($C$83, T_CEFF!$C$300:$C$306, T_CEFF!P$300:P$306)</f>
        <v>5.2500000000000003E-3</v>
      </c>
      <c r="V86" s="377">
        <f>LOOKUP($C$83, T_CEFF!$C$300:$C$306, T_CEFF!Q$300:Q$306)</f>
        <v>5.2500000000000003E-3</v>
      </c>
      <c r="W86" s="377">
        <f>LOOKUP($C$83, T_CEFF!$C$300:$C$306, T_CEFF!R$300:R$306)</f>
        <v>5.2500000000000003E-3</v>
      </c>
      <c r="X86" s="377">
        <f>LOOKUP($C$83, T_CEFF!$C$300:$C$306, T_CEFF!S$300:S$306)</f>
        <v>5.2500000000000003E-3</v>
      </c>
      <c r="Y86" s="377">
        <f>LOOKUP($C$83, T_CEFF!$C$300:$C$306, T_CEFF!T$300:T$306)</f>
        <v>5.2500000000000003E-3</v>
      </c>
      <c r="Z86" s="377">
        <f>LOOKUP($C$83, T_CEFF!$C$300:$C$306, T_CEFF!U$300:U$306)</f>
        <v>5.2500000000000003E-3</v>
      </c>
      <c r="AA86" s="377">
        <f>LOOKUP($C$83, T_CEFF!$C$300:$C$306, T_CEFF!V$300:V$306)</f>
        <v>5.2500000000000003E-3</v>
      </c>
      <c r="AC86" s="621" t="str">
        <f>IF(COUNTIF($AF$3:$AN$3,AC83)=1,"ok","MISSING")</f>
        <v>ok</v>
      </c>
      <c r="AV86" s="700" t="str">
        <f t="shared" ref="AV86:AV99" si="140">MID(E86,1,7)</f>
        <v/>
      </c>
      <c r="AW86" s="705"/>
      <c r="AX86" s="568"/>
      <c r="AY86" s="705"/>
      <c r="AZ86" s="705"/>
      <c r="BA86" s="705"/>
      <c r="BB86" s="705"/>
      <c r="BC86" s="705"/>
      <c r="BD86" s="705"/>
      <c r="BE86" s="705"/>
      <c r="BF86" s="705"/>
      <c r="BG86" s="705"/>
      <c r="BH86" s="705"/>
      <c r="BI86" s="705"/>
      <c r="BJ86" s="705"/>
      <c r="BK86" s="705"/>
      <c r="BL86" s="705"/>
    </row>
    <row r="87" spans="1:64" s="35" customFormat="1" x14ac:dyDescent="0.25">
      <c r="B87" s="186" t="str">
        <f t="shared" si="139"/>
        <v>TTFLDST100</v>
      </c>
      <c r="C87" s="186"/>
      <c r="D87" s="187"/>
      <c r="E87" s="186"/>
      <c r="F87" s="189"/>
      <c r="G87" s="170"/>
      <c r="H87" s="190"/>
      <c r="I87" s="191"/>
      <c r="J87" s="191" t="s">
        <v>749</v>
      </c>
      <c r="K87" s="186" t="s">
        <v>1128</v>
      </c>
      <c r="L87" s="191" t="s">
        <v>1213</v>
      </c>
      <c r="M87" s="369">
        <f>M$27</f>
        <v>0</v>
      </c>
      <c r="N87" s="369">
        <f t="shared" ref="N87:AA87" si="141">N$27</f>
        <v>0</v>
      </c>
      <c r="O87" s="369">
        <f t="shared" si="141"/>
        <v>0</v>
      </c>
      <c r="P87" s="369">
        <f t="shared" si="141"/>
        <v>0</v>
      </c>
      <c r="Q87" s="369">
        <f t="shared" si="141"/>
        <v>0</v>
      </c>
      <c r="R87" s="369">
        <f t="shared" si="141"/>
        <v>0</v>
      </c>
      <c r="S87" s="369">
        <f t="shared" si="141"/>
        <v>0</v>
      </c>
      <c r="T87" s="369">
        <f t="shared" si="141"/>
        <v>0</v>
      </c>
      <c r="U87" s="369">
        <f t="shared" si="141"/>
        <v>0</v>
      </c>
      <c r="V87" s="369">
        <f t="shared" si="141"/>
        <v>0</v>
      </c>
      <c r="W87" s="369">
        <f t="shared" si="141"/>
        <v>0</v>
      </c>
      <c r="X87" s="369">
        <f t="shared" si="141"/>
        <v>0</v>
      </c>
      <c r="Y87" s="369">
        <f t="shared" si="141"/>
        <v>0</v>
      </c>
      <c r="Z87" s="369">
        <f t="shared" si="141"/>
        <v>0</v>
      </c>
      <c r="AA87" s="369">
        <f t="shared" si="141"/>
        <v>0</v>
      </c>
      <c r="AC87" s="35" t="s">
        <v>1132</v>
      </c>
      <c r="AD87" s="93">
        <f>SUM(AE87:AS87)</f>
        <v>0</v>
      </c>
      <c r="AE87" s="586">
        <f t="shared" ref="AE87:AS87" si="142">M87*M88*M89/10^3</f>
        <v>0</v>
      </c>
      <c r="AF87" s="81">
        <f t="shared" si="142"/>
        <v>0</v>
      </c>
      <c r="AG87" s="81">
        <f t="shared" si="142"/>
        <v>0</v>
      </c>
      <c r="AH87" s="81">
        <f t="shared" si="142"/>
        <v>0</v>
      </c>
      <c r="AI87" s="81">
        <f t="shared" si="142"/>
        <v>0</v>
      </c>
      <c r="AJ87" s="81">
        <f t="shared" si="142"/>
        <v>0</v>
      </c>
      <c r="AK87" s="81">
        <f t="shared" si="142"/>
        <v>0</v>
      </c>
      <c r="AL87" s="81">
        <f t="shared" si="142"/>
        <v>0</v>
      </c>
      <c r="AM87" s="81">
        <f t="shared" si="142"/>
        <v>0</v>
      </c>
      <c r="AN87" s="81">
        <f t="shared" si="142"/>
        <v>0</v>
      </c>
      <c r="AO87" s="81">
        <f t="shared" si="142"/>
        <v>0</v>
      </c>
      <c r="AP87" s="81">
        <f t="shared" si="142"/>
        <v>0</v>
      </c>
      <c r="AQ87" s="81">
        <f t="shared" si="142"/>
        <v>0</v>
      </c>
      <c r="AR87" s="81">
        <f t="shared" si="142"/>
        <v>0</v>
      </c>
      <c r="AS87" s="81">
        <f t="shared" si="142"/>
        <v>0</v>
      </c>
      <c r="AV87" s="700" t="str">
        <f t="shared" si="140"/>
        <v/>
      </c>
      <c r="AX87" s="568"/>
    </row>
    <row r="88" spans="1:64" s="35" customFormat="1" x14ac:dyDescent="0.25">
      <c r="B88" s="186" t="str">
        <f t="shared" si="139"/>
        <v>TTFLDST100</v>
      </c>
      <c r="C88" s="186"/>
      <c r="D88" s="187"/>
      <c r="E88" s="186"/>
      <c r="F88" s="189"/>
      <c r="G88" s="170"/>
      <c r="H88" s="190"/>
      <c r="I88" s="191"/>
      <c r="J88" s="191"/>
      <c r="K88" s="192" t="s">
        <v>1130</v>
      </c>
      <c r="L88" s="191" t="s">
        <v>1131</v>
      </c>
      <c r="M88" s="369">
        <f>LOOKUP($C$83, T_NCAP_AF!$C$349:$C$355,T_NCAP_AF!D$349:D$355)</f>
        <v>0</v>
      </c>
      <c r="N88" s="369">
        <f>LOOKUP($C$83, T_NCAP_AF!$C$349:$C$355,T_NCAP_AF!E$349:E$355)</f>
        <v>0</v>
      </c>
      <c r="O88" s="369">
        <f>LOOKUP($C$83, T_NCAP_AF!$C$349:$C$355,T_NCAP_AF!F$349:F$355)</f>
        <v>0</v>
      </c>
      <c r="P88" s="369">
        <f>LOOKUP($C$83, T_NCAP_AF!$C$349:$C$355,T_NCAP_AF!G$349:G$355)</f>
        <v>0</v>
      </c>
      <c r="Q88" s="369">
        <f>LOOKUP($C$83, T_NCAP_AF!$C$349:$C$355,T_NCAP_AF!H$349:H$355)</f>
        <v>0</v>
      </c>
      <c r="R88" s="369">
        <f>LOOKUP($C$83, T_NCAP_AF!$C$349:$C$355,T_NCAP_AF!I$349:I$355)</f>
        <v>0</v>
      </c>
      <c r="S88" s="369">
        <f>LOOKUP($C$83, T_NCAP_AF!$C$349:$C$355,T_NCAP_AF!J$349:J$355)</f>
        <v>0</v>
      </c>
      <c r="T88" s="369">
        <f>LOOKUP($C$83, T_NCAP_AF!$C$349:$C$355,T_NCAP_AF!K$349:K$355)</f>
        <v>0</v>
      </c>
      <c r="U88" s="369">
        <f>LOOKUP($C$83, T_NCAP_AF!$C$349:$C$355,T_NCAP_AF!L$349:L$355)</f>
        <v>0</v>
      </c>
      <c r="V88" s="369">
        <f>LOOKUP($C$83, T_NCAP_AF!$C$349:$C$355,T_NCAP_AF!M$349:M$355)</f>
        <v>0</v>
      </c>
      <c r="W88" s="369">
        <f>LOOKUP($C$83, T_NCAP_AF!$C$349:$C$355,T_NCAP_AF!N$349:N$355)</f>
        <v>0</v>
      </c>
      <c r="X88" s="369">
        <f>LOOKUP($C$83, T_NCAP_AF!$C$349:$C$355,T_NCAP_AF!O$349:O$355)</f>
        <v>0</v>
      </c>
      <c r="Y88" s="369">
        <f>LOOKUP($C$83, T_NCAP_AF!$C$349:$C$355,T_NCAP_AF!P$349:P$355)</f>
        <v>0</v>
      </c>
      <c r="Z88" s="369">
        <f>LOOKUP($C$83, T_NCAP_AF!$C$349:$C$355,T_NCAP_AF!Q$349:Q$355)</f>
        <v>0</v>
      </c>
      <c r="AA88" s="369">
        <f>LOOKUP($C$83, T_NCAP_AF!$C$349:$C$355,T_NCAP_AF!R$349:R$355)</f>
        <v>0</v>
      </c>
      <c r="AE88" s="36"/>
      <c r="AV88" s="700" t="str">
        <f t="shared" si="140"/>
        <v/>
      </c>
    </row>
    <row r="89" spans="1:64" s="35" customFormat="1" x14ac:dyDescent="0.25">
      <c r="B89" s="186" t="str">
        <f t="shared" si="139"/>
        <v>TTFLDST100</v>
      </c>
      <c r="C89" s="186"/>
      <c r="D89" s="187"/>
      <c r="E89" s="186"/>
      <c r="F89" s="189"/>
      <c r="G89" s="170"/>
      <c r="H89" s="190">
        <f>$L$3</f>
        <v>2019</v>
      </c>
      <c r="I89" s="191"/>
      <c r="J89" s="191"/>
      <c r="K89" s="192" t="s">
        <v>1065</v>
      </c>
      <c r="L89" s="191" t="s">
        <v>748</v>
      </c>
      <c r="M89" s="381">
        <f>IF(M88=0, 0, ROUNDUP((M10+M11)/M87/M88*1000*M31, 8))</f>
        <v>0</v>
      </c>
      <c r="N89" s="381">
        <f t="shared" ref="N89:AA89" si="143">IF(N88=0, 0, ROUNDUP((N10+N11)/N87/N88*1000*N31, 8))</f>
        <v>0</v>
      </c>
      <c r="O89" s="381">
        <f t="shared" si="143"/>
        <v>0</v>
      </c>
      <c r="P89" s="381">
        <f t="shared" si="143"/>
        <v>0</v>
      </c>
      <c r="Q89" s="381">
        <f t="shared" si="143"/>
        <v>0</v>
      </c>
      <c r="R89" s="381">
        <f t="shared" si="143"/>
        <v>0</v>
      </c>
      <c r="S89" s="381">
        <f t="shared" si="143"/>
        <v>0</v>
      </c>
      <c r="T89" s="381">
        <f t="shared" si="143"/>
        <v>0</v>
      </c>
      <c r="U89" s="381">
        <f t="shared" si="143"/>
        <v>0</v>
      </c>
      <c r="V89" s="381">
        <f t="shared" si="143"/>
        <v>0</v>
      </c>
      <c r="W89" s="381">
        <f t="shared" si="143"/>
        <v>0</v>
      </c>
      <c r="X89" s="381">
        <f t="shared" si="143"/>
        <v>0</v>
      </c>
      <c r="Y89" s="381">
        <f t="shared" si="143"/>
        <v>0</v>
      </c>
      <c r="Z89" s="381">
        <f t="shared" si="143"/>
        <v>0</v>
      </c>
      <c r="AA89" s="381">
        <f t="shared" si="143"/>
        <v>0</v>
      </c>
      <c r="AE89" s="36"/>
      <c r="AV89" s="700" t="str">
        <f t="shared" si="140"/>
        <v/>
      </c>
    </row>
    <row r="90" spans="1:64" s="35" customFormat="1" x14ac:dyDescent="0.25">
      <c r="B90" s="186" t="str">
        <f t="shared" si="139"/>
        <v>TTFLDST100</v>
      </c>
      <c r="C90" s="186"/>
      <c r="D90" s="187"/>
      <c r="E90" s="186"/>
      <c r="F90" s="189"/>
      <c r="G90" s="170"/>
      <c r="H90" s="190">
        <f>AE$4</f>
        <v>2016</v>
      </c>
      <c r="I90" s="191"/>
      <c r="J90" s="191"/>
      <c r="K90" s="192" t="s">
        <v>1065</v>
      </c>
      <c r="L90" s="191" t="s">
        <v>748</v>
      </c>
      <c r="M90" s="391">
        <f>M89*LOOKUP($AC83,$AF$3:$AN$3,$AF$4:$AN$4)</f>
        <v>0</v>
      </c>
      <c r="N90" s="391">
        <f t="shared" ref="N90:AA90" si="144">N89*LOOKUP($AC83,$AF$3:$AN$3,$AF$4:$AN$4)</f>
        <v>0</v>
      </c>
      <c r="O90" s="391">
        <f t="shared" si="144"/>
        <v>0</v>
      </c>
      <c r="P90" s="391">
        <f t="shared" si="144"/>
        <v>0</v>
      </c>
      <c r="Q90" s="391">
        <f t="shared" si="144"/>
        <v>0</v>
      </c>
      <c r="R90" s="391">
        <f t="shared" si="144"/>
        <v>0</v>
      </c>
      <c r="S90" s="391">
        <f t="shared" si="144"/>
        <v>0</v>
      </c>
      <c r="T90" s="391">
        <f t="shared" si="144"/>
        <v>0</v>
      </c>
      <c r="U90" s="391">
        <f t="shared" si="144"/>
        <v>0</v>
      </c>
      <c r="V90" s="391">
        <f t="shared" si="144"/>
        <v>0</v>
      </c>
      <c r="W90" s="391">
        <f t="shared" si="144"/>
        <v>0</v>
      </c>
      <c r="X90" s="391">
        <f t="shared" si="144"/>
        <v>0</v>
      </c>
      <c r="Y90" s="391">
        <f t="shared" si="144"/>
        <v>0</v>
      </c>
      <c r="Z90" s="391">
        <f t="shared" si="144"/>
        <v>0</v>
      </c>
      <c r="AA90" s="391">
        <f t="shared" si="144"/>
        <v>0</v>
      </c>
      <c r="AE90" s="36"/>
      <c r="AV90" s="700" t="str">
        <f t="shared" si="140"/>
        <v/>
      </c>
    </row>
    <row r="91" spans="1:64" s="35" customFormat="1" x14ac:dyDescent="0.25">
      <c r="B91" s="186" t="str">
        <f t="shared" si="139"/>
        <v>TTFLDST100</v>
      </c>
      <c r="C91" s="186"/>
      <c r="D91" s="187"/>
      <c r="E91" s="186"/>
      <c r="F91" s="189"/>
      <c r="G91" s="170"/>
      <c r="H91" s="190">
        <f>AE$5</f>
        <v>2020</v>
      </c>
      <c r="I91" s="191"/>
      <c r="J91" s="191"/>
      <c r="K91" s="192" t="s">
        <v>1065</v>
      </c>
      <c r="L91" s="191" t="s">
        <v>748</v>
      </c>
      <c r="M91" s="391">
        <f t="shared" ref="M91:AA91" si="145">M89*LOOKUP($AC83,$AF$3:$AN$3,$AF$5:$AN$5)</f>
        <v>0</v>
      </c>
      <c r="N91" s="391">
        <f t="shared" si="145"/>
        <v>0</v>
      </c>
      <c r="O91" s="391">
        <f t="shared" si="145"/>
        <v>0</v>
      </c>
      <c r="P91" s="391">
        <f t="shared" si="145"/>
        <v>0</v>
      </c>
      <c r="Q91" s="391">
        <f t="shared" si="145"/>
        <v>0</v>
      </c>
      <c r="R91" s="391">
        <f t="shared" si="145"/>
        <v>0</v>
      </c>
      <c r="S91" s="391">
        <f t="shared" si="145"/>
        <v>0</v>
      </c>
      <c r="T91" s="391">
        <f t="shared" si="145"/>
        <v>0</v>
      </c>
      <c r="U91" s="391">
        <f t="shared" si="145"/>
        <v>0</v>
      </c>
      <c r="V91" s="391">
        <f t="shared" si="145"/>
        <v>0</v>
      </c>
      <c r="W91" s="391">
        <f t="shared" si="145"/>
        <v>0</v>
      </c>
      <c r="X91" s="391">
        <f t="shared" si="145"/>
        <v>0</v>
      </c>
      <c r="Y91" s="391">
        <f t="shared" si="145"/>
        <v>0</v>
      </c>
      <c r="Z91" s="391">
        <f t="shared" si="145"/>
        <v>0</v>
      </c>
      <c r="AA91" s="391">
        <f t="shared" si="145"/>
        <v>0</v>
      </c>
      <c r="AE91" s="36"/>
      <c r="AV91" s="700" t="str">
        <f t="shared" si="140"/>
        <v/>
      </c>
    </row>
    <row r="92" spans="1:64" s="35" customFormat="1" x14ac:dyDescent="0.25">
      <c r="B92" s="186" t="str">
        <f t="shared" si="139"/>
        <v>TTFLDST100</v>
      </c>
      <c r="C92" s="186"/>
      <c r="D92" s="187"/>
      <c r="E92" s="186"/>
      <c r="F92" s="189"/>
      <c r="G92" s="170"/>
      <c r="H92" s="190">
        <f>AE$6</f>
        <v>2025</v>
      </c>
      <c r="I92" s="191"/>
      <c r="J92" s="191"/>
      <c r="K92" s="192" t="s">
        <v>1065</v>
      </c>
      <c r="L92" s="191" t="s">
        <v>748</v>
      </c>
      <c r="M92" s="391">
        <f t="shared" ref="M92:AA92" si="146">M89*LOOKUP($AC83,$AF$3:$AN$3,$AF$6:$AN$6)</f>
        <v>0</v>
      </c>
      <c r="N92" s="391">
        <f t="shared" si="146"/>
        <v>0</v>
      </c>
      <c r="O92" s="391">
        <f t="shared" si="146"/>
        <v>0</v>
      </c>
      <c r="P92" s="391">
        <f t="shared" si="146"/>
        <v>0</v>
      </c>
      <c r="Q92" s="391">
        <f t="shared" si="146"/>
        <v>0</v>
      </c>
      <c r="R92" s="391">
        <f t="shared" si="146"/>
        <v>0</v>
      </c>
      <c r="S92" s="391">
        <f t="shared" si="146"/>
        <v>0</v>
      </c>
      <c r="T92" s="391">
        <f t="shared" si="146"/>
        <v>0</v>
      </c>
      <c r="U92" s="391">
        <f t="shared" si="146"/>
        <v>0</v>
      </c>
      <c r="V92" s="391">
        <f t="shared" si="146"/>
        <v>0</v>
      </c>
      <c r="W92" s="391">
        <f t="shared" si="146"/>
        <v>0</v>
      </c>
      <c r="X92" s="391">
        <f t="shared" si="146"/>
        <v>0</v>
      </c>
      <c r="Y92" s="391">
        <f t="shared" si="146"/>
        <v>0</v>
      </c>
      <c r="Z92" s="391">
        <f t="shared" si="146"/>
        <v>0</v>
      </c>
      <c r="AA92" s="391">
        <f t="shared" si="146"/>
        <v>0</v>
      </c>
      <c r="AE92" s="36"/>
      <c r="AV92" s="700" t="str">
        <f t="shared" si="140"/>
        <v/>
      </c>
    </row>
    <row r="93" spans="1:64" s="35" customFormat="1" x14ac:dyDescent="0.25">
      <c r="B93" s="186" t="str">
        <f t="shared" si="139"/>
        <v>TTFLDST100</v>
      </c>
      <c r="C93" s="186"/>
      <c r="D93" s="187"/>
      <c r="E93" s="186"/>
      <c r="F93" s="189"/>
      <c r="G93" s="170"/>
      <c r="H93" s="190">
        <f>AE$7</f>
        <v>2030</v>
      </c>
      <c r="I93" s="191"/>
      <c r="J93" s="191"/>
      <c r="K93" s="192" t="s">
        <v>1065</v>
      </c>
      <c r="L93" s="191" t="s">
        <v>748</v>
      </c>
      <c r="M93" s="391">
        <f t="shared" ref="M93:AA93" si="147">M89*LOOKUP($AC83,$AF$3:$AN$3,$AF$7:$AN$7)</f>
        <v>0</v>
      </c>
      <c r="N93" s="391">
        <f t="shared" si="147"/>
        <v>0</v>
      </c>
      <c r="O93" s="391">
        <f t="shared" si="147"/>
        <v>0</v>
      </c>
      <c r="P93" s="391">
        <f t="shared" si="147"/>
        <v>0</v>
      </c>
      <c r="Q93" s="391">
        <f t="shared" si="147"/>
        <v>0</v>
      </c>
      <c r="R93" s="391">
        <f t="shared" si="147"/>
        <v>0</v>
      </c>
      <c r="S93" s="391">
        <f t="shared" si="147"/>
        <v>0</v>
      </c>
      <c r="T93" s="391">
        <f t="shared" si="147"/>
        <v>0</v>
      </c>
      <c r="U93" s="391">
        <f t="shared" si="147"/>
        <v>0</v>
      </c>
      <c r="V93" s="391">
        <f t="shared" si="147"/>
        <v>0</v>
      </c>
      <c r="W93" s="391">
        <f t="shared" si="147"/>
        <v>0</v>
      </c>
      <c r="X93" s="391">
        <f t="shared" si="147"/>
        <v>0</v>
      </c>
      <c r="Y93" s="391">
        <f t="shared" si="147"/>
        <v>0</v>
      </c>
      <c r="Z93" s="391">
        <f t="shared" si="147"/>
        <v>0</v>
      </c>
      <c r="AA93" s="391">
        <f t="shared" si="147"/>
        <v>0</v>
      </c>
      <c r="AE93" s="36"/>
      <c r="AV93" s="700" t="str">
        <f t="shared" si="140"/>
        <v/>
      </c>
    </row>
    <row r="94" spans="1:64" s="35" customFormat="1" x14ac:dyDescent="0.25">
      <c r="B94" s="186" t="str">
        <f t="shared" si="139"/>
        <v>TTFLDST100</v>
      </c>
      <c r="C94" s="186"/>
      <c r="D94" s="187"/>
      <c r="E94" s="186"/>
      <c r="F94" s="189"/>
      <c r="G94" s="170"/>
      <c r="H94" s="190">
        <f>AE$8</f>
        <v>2040</v>
      </c>
      <c r="I94" s="191"/>
      <c r="J94" s="191"/>
      <c r="K94" s="192" t="s">
        <v>1065</v>
      </c>
      <c r="L94" s="191" t="s">
        <v>748</v>
      </c>
      <c r="M94" s="391">
        <f t="shared" ref="M94:AA94" si="148">M89*LOOKUP($AC83,$AF$3:$AN$3,$AF$8:$AN$8)</f>
        <v>0</v>
      </c>
      <c r="N94" s="391">
        <f t="shared" si="148"/>
        <v>0</v>
      </c>
      <c r="O94" s="391">
        <f t="shared" si="148"/>
        <v>0</v>
      </c>
      <c r="P94" s="391">
        <f t="shared" si="148"/>
        <v>0</v>
      </c>
      <c r="Q94" s="391">
        <f t="shared" si="148"/>
        <v>0</v>
      </c>
      <c r="R94" s="391">
        <f t="shared" si="148"/>
        <v>0</v>
      </c>
      <c r="S94" s="391">
        <f t="shared" si="148"/>
        <v>0</v>
      </c>
      <c r="T94" s="391">
        <f t="shared" si="148"/>
        <v>0</v>
      </c>
      <c r="U94" s="391">
        <f t="shared" si="148"/>
        <v>0</v>
      </c>
      <c r="V94" s="391">
        <f t="shared" si="148"/>
        <v>0</v>
      </c>
      <c r="W94" s="391">
        <f t="shared" si="148"/>
        <v>0</v>
      </c>
      <c r="X94" s="391">
        <f t="shared" si="148"/>
        <v>0</v>
      </c>
      <c r="Y94" s="391">
        <f t="shared" si="148"/>
        <v>0</v>
      </c>
      <c r="Z94" s="391">
        <f t="shared" si="148"/>
        <v>0</v>
      </c>
      <c r="AA94" s="391">
        <f t="shared" si="148"/>
        <v>0</v>
      </c>
      <c r="AE94" s="36"/>
      <c r="AV94" s="700" t="str">
        <f t="shared" si="140"/>
        <v/>
      </c>
    </row>
    <row r="95" spans="1:64" s="35" customFormat="1" x14ac:dyDescent="0.25">
      <c r="B95" s="193" t="str">
        <f t="shared" si="139"/>
        <v>TTFLDST100</v>
      </c>
      <c r="C95" s="193"/>
      <c r="D95" s="194"/>
      <c r="E95" s="193"/>
      <c r="F95" s="195"/>
      <c r="G95" s="196"/>
      <c r="H95" s="197">
        <f>AE$9</f>
        <v>2050</v>
      </c>
      <c r="I95" s="198"/>
      <c r="J95" s="198"/>
      <c r="K95" s="199" t="s">
        <v>1065</v>
      </c>
      <c r="L95" s="198" t="s">
        <v>748</v>
      </c>
      <c r="M95" s="392">
        <f t="shared" ref="M95:AA95" si="149">M89*LOOKUP($AC83,$AF$3:$AN$3,$AF$9:$AN$9)</f>
        <v>0</v>
      </c>
      <c r="N95" s="392">
        <f t="shared" si="149"/>
        <v>0</v>
      </c>
      <c r="O95" s="392">
        <f t="shared" si="149"/>
        <v>0</v>
      </c>
      <c r="P95" s="392">
        <f t="shared" si="149"/>
        <v>0</v>
      </c>
      <c r="Q95" s="392">
        <f t="shared" si="149"/>
        <v>0</v>
      </c>
      <c r="R95" s="392">
        <f t="shared" si="149"/>
        <v>0</v>
      </c>
      <c r="S95" s="392">
        <f t="shared" si="149"/>
        <v>0</v>
      </c>
      <c r="T95" s="392">
        <f t="shared" si="149"/>
        <v>0</v>
      </c>
      <c r="U95" s="392">
        <f t="shared" si="149"/>
        <v>0</v>
      </c>
      <c r="V95" s="392">
        <f t="shared" si="149"/>
        <v>0</v>
      </c>
      <c r="W95" s="392">
        <f t="shared" si="149"/>
        <v>0</v>
      </c>
      <c r="X95" s="392">
        <f t="shared" si="149"/>
        <v>0</v>
      </c>
      <c r="Y95" s="392">
        <f t="shared" si="149"/>
        <v>0</v>
      </c>
      <c r="Z95" s="392">
        <f t="shared" si="149"/>
        <v>0</v>
      </c>
      <c r="AA95" s="392">
        <f t="shared" si="149"/>
        <v>0</v>
      </c>
      <c r="AE95" s="36"/>
      <c r="AV95" s="700" t="str">
        <f t="shared" si="140"/>
        <v/>
      </c>
    </row>
    <row r="96" spans="1:64" s="35" customFormat="1" x14ac:dyDescent="0.25">
      <c r="A96" s="22"/>
      <c r="B96" s="186" t="str">
        <f>C96</f>
        <v>TTFLELC100</v>
      </c>
      <c r="C96" s="186" t="s">
        <v>217</v>
      </c>
      <c r="D96" s="187" t="s">
        <v>888</v>
      </c>
      <c r="E96" s="188" t="s">
        <v>1008</v>
      </c>
      <c r="F96" s="189"/>
      <c r="G96" s="170"/>
      <c r="H96" s="190"/>
      <c r="I96" s="191"/>
      <c r="J96" s="191"/>
      <c r="K96" s="192" t="s">
        <v>1107</v>
      </c>
      <c r="L96" s="191" t="s">
        <v>1125</v>
      </c>
      <c r="M96" s="366">
        <f>M$115</f>
        <v>1E-3</v>
      </c>
      <c r="N96" s="366">
        <f t="shared" ref="N96:AA96" si="150">$M96</f>
        <v>1E-3</v>
      </c>
      <c r="O96" s="366">
        <f t="shared" si="150"/>
        <v>1E-3</v>
      </c>
      <c r="P96" s="366">
        <f t="shared" si="150"/>
        <v>1E-3</v>
      </c>
      <c r="Q96" s="366">
        <f t="shared" si="150"/>
        <v>1E-3</v>
      </c>
      <c r="R96" s="366">
        <f t="shared" si="150"/>
        <v>1E-3</v>
      </c>
      <c r="S96" s="366">
        <f t="shared" si="150"/>
        <v>1E-3</v>
      </c>
      <c r="T96" s="366">
        <f t="shared" si="150"/>
        <v>1E-3</v>
      </c>
      <c r="U96" s="366">
        <f t="shared" si="150"/>
        <v>1E-3</v>
      </c>
      <c r="V96" s="366">
        <f t="shared" si="150"/>
        <v>1E-3</v>
      </c>
      <c r="W96" s="366">
        <f t="shared" si="150"/>
        <v>1E-3</v>
      </c>
      <c r="X96" s="366">
        <f t="shared" si="150"/>
        <v>1E-3</v>
      </c>
      <c r="Y96" s="366">
        <f t="shared" si="150"/>
        <v>1E-3</v>
      </c>
      <c r="Z96" s="366">
        <f t="shared" si="150"/>
        <v>1E-3</v>
      </c>
      <c r="AA96" s="366">
        <f t="shared" si="150"/>
        <v>1E-3</v>
      </c>
      <c r="AC96" s="402" t="str">
        <f>RIGHT(E96,3)</f>
        <v>ELR</v>
      </c>
      <c r="AE96" s="36"/>
      <c r="AV96" s="700" t="str">
        <f t="shared" si="140"/>
        <v>TRAELR</v>
      </c>
      <c r="AW96" s="568">
        <f>SUM(AX96:BL96)</f>
        <v>0</v>
      </c>
      <c r="AX96" s="568">
        <f>M100*M101/M97/1000</f>
        <v>0</v>
      </c>
      <c r="AY96" s="568">
        <f t="shared" ref="AY96" si="151">N100*N101/N97/1000</f>
        <v>0</v>
      </c>
      <c r="AZ96" s="568">
        <f t="shared" ref="AZ96" si="152">O100*O101/O97/1000</f>
        <v>0</v>
      </c>
      <c r="BA96" s="568">
        <f t="shared" ref="BA96" si="153">P100*P101/P97/1000</f>
        <v>0</v>
      </c>
      <c r="BB96" s="568">
        <f t="shared" ref="BB96" si="154">Q100*Q101/Q97/1000</f>
        <v>0</v>
      </c>
      <c r="BC96" s="568">
        <f t="shared" ref="BC96" si="155">R100*R101/R97/1000</f>
        <v>0</v>
      </c>
      <c r="BD96" s="568">
        <f t="shared" ref="BD96" si="156">S100*S101/S97/1000</f>
        <v>0</v>
      </c>
      <c r="BE96" s="568">
        <f t="shared" ref="BE96" si="157">T100*T101/T97/1000</f>
        <v>0</v>
      </c>
      <c r="BF96" s="568">
        <f t="shared" ref="BF96" si="158">U100*U101/U97/1000</f>
        <v>0</v>
      </c>
      <c r="BG96" s="568">
        <f t="shared" ref="BG96" si="159">V100*V101/V97/1000</f>
        <v>0</v>
      </c>
      <c r="BH96" s="568">
        <f t="shared" ref="BH96" si="160">W100*W101/W97/1000</f>
        <v>0</v>
      </c>
      <c r="BI96" s="568">
        <f t="shared" ref="BI96" si="161">X100*X101/X97/1000</f>
        <v>0</v>
      </c>
      <c r="BJ96" s="568">
        <f t="shared" ref="BJ96" si="162">Y100*Y101/Y97/1000</f>
        <v>0</v>
      </c>
      <c r="BK96" s="568">
        <f t="shared" ref="BK96" si="163">Z100*Z101/Z97/1000</f>
        <v>0</v>
      </c>
      <c r="BL96" s="568">
        <f t="shared" ref="BL96" si="164">AA100*AA101/AA97/1000</f>
        <v>0</v>
      </c>
    </row>
    <row r="97" spans="1:64" s="35" customFormat="1" x14ac:dyDescent="0.25">
      <c r="A97" s="22"/>
      <c r="B97" s="186" t="str">
        <f>B96</f>
        <v>TTFLELC100</v>
      </c>
      <c r="C97" s="186"/>
      <c r="D97" s="187"/>
      <c r="E97" s="188"/>
      <c r="F97" s="189" t="s">
        <v>441</v>
      </c>
      <c r="G97" s="170"/>
      <c r="H97" s="190"/>
      <c r="I97" s="191"/>
      <c r="J97" s="191"/>
      <c r="K97" s="186" t="s">
        <v>1126</v>
      </c>
      <c r="L97" s="191" t="s">
        <v>678</v>
      </c>
      <c r="M97" s="377">
        <f>LOOKUP($C$96, T_CEFF!$C$300:$C$306, T_CEFF!H$300:H$306)</f>
        <v>1.1350000000000001E-2</v>
      </c>
      <c r="N97" s="377">
        <f>LOOKUP($C$96, T_CEFF!$C$300:$C$306, T_CEFF!I$300:I$306)</f>
        <v>1.1350000000000001E-2</v>
      </c>
      <c r="O97" s="377">
        <f>LOOKUP($C$96, T_CEFF!$C$300:$C$306, T_CEFF!J$300:J$306)</f>
        <v>1.1350000000000001E-2</v>
      </c>
      <c r="P97" s="377">
        <f>LOOKUP($C$96, T_CEFF!$C$300:$C$306, T_CEFF!K$300:K$306)</f>
        <v>1.1350000000000001E-2</v>
      </c>
      <c r="Q97" s="377">
        <f>LOOKUP($C$96, T_CEFF!$C$300:$C$306, T_CEFF!L$300:L$306)</f>
        <v>1.1350000000000001E-2</v>
      </c>
      <c r="R97" s="377">
        <f>LOOKUP($C$96, T_CEFF!$C$300:$C$306, T_CEFF!M$300:M$306)</f>
        <v>1.1350000000000001E-2</v>
      </c>
      <c r="S97" s="377">
        <f>LOOKUP($C$96, T_CEFF!$C$300:$C$306, T_CEFF!N$300:N$306)</f>
        <v>1.1350000000000001E-2</v>
      </c>
      <c r="T97" s="377">
        <f>LOOKUP($C$96, T_CEFF!$C$300:$C$306, T_CEFF!O$300:O$306)</f>
        <v>1.1350000000000001E-2</v>
      </c>
      <c r="U97" s="377">
        <f>LOOKUP($C$96, T_CEFF!$C$300:$C$306, T_CEFF!P$300:P$306)</f>
        <v>1.1350000000000001E-2</v>
      </c>
      <c r="V97" s="377">
        <f>LOOKUP($C$96, T_CEFF!$C$300:$C$306, T_CEFF!Q$300:Q$306)</f>
        <v>1.1350000000000001E-2</v>
      </c>
      <c r="W97" s="377">
        <f>LOOKUP($C$96, T_CEFF!$C$300:$C$306, T_CEFF!R$300:R$306)</f>
        <v>1.1350000000000001E-2</v>
      </c>
      <c r="X97" s="377">
        <f>LOOKUP($C$96, T_CEFF!$C$300:$C$306, T_CEFF!S$300:S$306)</f>
        <v>1.1350000000000001E-2</v>
      </c>
      <c r="Y97" s="377">
        <f>LOOKUP($C$96, T_CEFF!$C$300:$C$306, T_CEFF!T$300:T$306)</f>
        <v>1.1350000000000001E-2</v>
      </c>
      <c r="Z97" s="377">
        <f>LOOKUP($C$96, T_CEFF!$C$300:$C$306, T_CEFF!U$300:U$306)</f>
        <v>1.1350000000000001E-2</v>
      </c>
      <c r="AA97" s="377">
        <f>LOOKUP($C$96, T_CEFF!$C$300:$C$306, T_CEFF!V$300:V$306)</f>
        <v>1.1350000000000001E-2</v>
      </c>
      <c r="AC97" s="56"/>
      <c r="AE97" s="36"/>
      <c r="AV97" s="700" t="str">
        <f t="shared" si="140"/>
        <v/>
      </c>
      <c r="AW97" s="568"/>
      <c r="AX97" s="568"/>
      <c r="AY97" s="568"/>
      <c r="AZ97" s="568"/>
      <c r="BA97" s="568"/>
      <c r="BB97" s="568"/>
      <c r="BC97" s="568"/>
      <c r="BD97" s="568"/>
      <c r="BE97" s="568"/>
      <c r="BF97" s="568"/>
      <c r="BG97" s="568"/>
      <c r="BH97" s="568"/>
      <c r="BI97" s="568"/>
      <c r="BJ97" s="568"/>
      <c r="BK97" s="568"/>
      <c r="BL97" s="568"/>
    </row>
    <row r="98" spans="1:64" s="35" customFormat="1" x14ac:dyDescent="0.25">
      <c r="B98" s="186" t="str">
        <f t="shared" ref="B98:B107" si="165">B97</f>
        <v>TTFLELC100</v>
      </c>
      <c r="C98" s="186"/>
      <c r="D98" s="186"/>
      <c r="E98" s="188"/>
      <c r="F98" s="189" t="s">
        <v>662</v>
      </c>
      <c r="G98" s="170"/>
      <c r="H98" s="190"/>
      <c r="I98" s="191"/>
      <c r="J98" s="191"/>
      <c r="K98" s="186" t="s">
        <v>1126</v>
      </c>
      <c r="L98" s="191" t="s">
        <v>678</v>
      </c>
      <c r="M98" s="377">
        <f>LOOKUP($C$96, T_CEFF!$C$300:$C$306, T_CEFF!H$300:H$306)</f>
        <v>1.1350000000000001E-2</v>
      </c>
      <c r="N98" s="377">
        <f>LOOKUP($C$96, T_CEFF!$C$300:$C$306, T_CEFF!I$300:I$306)</f>
        <v>1.1350000000000001E-2</v>
      </c>
      <c r="O98" s="377">
        <f>LOOKUP($C$96, T_CEFF!$C$300:$C$306, T_CEFF!J$300:J$306)</f>
        <v>1.1350000000000001E-2</v>
      </c>
      <c r="P98" s="377">
        <f>LOOKUP($C$96, T_CEFF!$C$300:$C$306, T_CEFF!K$300:K$306)</f>
        <v>1.1350000000000001E-2</v>
      </c>
      <c r="Q98" s="377">
        <f>LOOKUP($C$96, T_CEFF!$C$300:$C$306, T_CEFF!L$300:L$306)</f>
        <v>1.1350000000000001E-2</v>
      </c>
      <c r="R98" s="377">
        <f>LOOKUP($C$96, T_CEFF!$C$300:$C$306, T_CEFF!M$300:M$306)</f>
        <v>1.1350000000000001E-2</v>
      </c>
      <c r="S98" s="377">
        <f>LOOKUP($C$96, T_CEFF!$C$300:$C$306, T_CEFF!N$300:N$306)</f>
        <v>1.1350000000000001E-2</v>
      </c>
      <c r="T98" s="377">
        <f>LOOKUP($C$96, T_CEFF!$C$300:$C$306, T_CEFF!O$300:O$306)</f>
        <v>1.1350000000000001E-2</v>
      </c>
      <c r="U98" s="377">
        <f>LOOKUP($C$96, T_CEFF!$C$300:$C$306, T_CEFF!P$300:P$306)</f>
        <v>1.1350000000000001E-2</v>
      </c>
      <c r="V98" s="377">
        <f>LOOKUP($C$96, T_CEFF!$C$300:$C$306, T_CEFF!Q$300:Q$306)</f>
        <v>1.1350000000000001E-2</v>
      </c>
      <c r="W98" s="377">
        <f>LOOKUP($C$96, T_CEFF!$C$300:$C$306, T_CEFF!R$300:R$306)</f>
        <v>1.1350000000000001E-2</v>
      </c>
      <c r="X98" s="377">
        <f>LOOKUP($C$96, T_CEFF!$C$300:$C$306, T_CEFF!S$300:S$306)</f>
        <v>1.1350000000000001E-2</v>
      </c>
      <c r="Y98" s="377">
        <f>LOOKUP($C$96, T_CEFF!$C$300:$C$306, T_CEFF!T$300:T$306)</f>
        <v>1.1350000000000001E-2</v>
      </c>
      <c r="Z98" s="377">
        <f>LOOKUP($C$96, T_CEFF!$C$300:$C$306, T_CEFF!U$300:U$306)</f>
        <v>1.1350000000000001E-2</v>
      </c>
      <c r="AA98" s="377">
        <f>LOOKUP($C$96, T_CEFF!$C$300:$C$306, T_CEFF!V$300:V$306)</f>
        <v>1.1350000000000001E-2</v>
      </c>
      <c r="AC98" s="621" t="str">
        <f>IF(COUNTIF($AF$3:$AN$3,AC96)=1,"ok","MISSING")</f>
        <v>ok</v>
      </c>
      <c r="AE98" s="36"/>
      <c r="AV98" s="700" t="str">
        <f t="shared" si="140"/>
        <v/>
      </c>
    </row>
    <row r="99" spans="1:64" s="35" customFormat="1" x14ac:dyDescent="0.25">
      <c r="B99" s="186" t="str">
        <f t="shared" si="165"/>
        <v>TTFLELC100</v>
      </c>
      <c r="C99" s="186"/>
      <c r="D99" s="187"/>
      <c r="E99" s="186"/>
      <c r="F99" s="189"/>
      <c r="G99" s="170"/>
      <c r="H99" s="190"/>
      <c r="I99" s="191"/>
      <c r="J99" s="191" t="s">
        <v>749</v>
      </c>
      <c r="K99" s="186" t="s">
        <v>1128</v>
      </c>
      <c r="L99" s="191" t="s">
        <v>1213</v>
      </c>
      <c r="M99" s="369">
        <f>M$27</f>
        <v>0</v>
      </c>
      <c r="N99" s="369">
        <f t="shared" ref="N99:AA99" si="166">N$27</f>
        <v>0</v>
      </c>
      <c r="O99" s="369">
        <f t="shared" si="166"/>
        <v>0</v>
      </c>
      <c r="P99" s="369">
        <f t="shared" si="166"/>
        <v>0</v>
      </c>
      <c r="Q99" s="369">
        <f t="shared" si="166"/>
        <v>0</v>
      </c>
      <c r="R99" s="369">
        <f t="shared" si="166"/>
        <v>0</v>
      </c>
      <c r="S99" s="369">
        <f t="shared" si="166"/>
        <v>0</v>
      </c>
      <c r="T99" s="369">
        <f t="shared" si="166"/>
        <v>0</v>
      </c>
      <c r="U99" s="369">
        <f t="shared" si="166"/>
        <v>0</v>
      </c>
      <c r="V99" s="369">
        <f t="shared" si="166"/>
        <v>0</v>
      </c>
      <c r="W99" s="369">
        <f t="shared" si="166"/>
        <v>0</v>
      </c>
      <c r="X99" s="369">
        <f t="shared" si="166"/>
        <v>0</v>
      </c>
      <c r="Y99" s="369">
        <f t="shared" si="166"/>
        <v>0</v>
      </c>
      <c r="Z99" s="369">
        <f t="shared" si="166"/>
        <v>0</v>
      </c>
      <c r="AA99" s="369">
        <f t="shared" si="166"/>
        <v>0</v>
      </c>
      <c r="AC99" s="35" t="s">
        <v>1132</v>
      </c>
      <c r="AD99" s="93">
        <f>SUM(AE99:AS99)</f>
        <v>0</v>
      </c>
      <c r="AE99" s="586">
        <f t="shared" ref="AE99:AS99" si="167">M99*M100*M101/10^3</f>
        <v>0</v>
      </c>
      <c r="AF99" s="81">
        <f t="shared" si="167"/>
        <v>0</v>
      </c>
      <c r="AG99" s="81">
        <f t="shared" si="167"/>
        <v>0</v>
      </c>
      <c r="AH99" s="81">
        <f t="shared" si="167"/>
        <v>0</v>
      </c>
      <c r="AI99" s="81">
        <f t="shared" si="167"/>
        <v>0</v>
      </c>
      <c r="AJ99" s="81">
        <f t="shared" si="167"/>
        <v>0</v>
      </c>
      <c r="AK99" s="81">
        <f t="shared" si="167"/>
        <v>0</v>
      </c>
      <c r="AL99" s="81">
        <f t="shared" si="167"/>
        <v>0</v>
      </c>
      <c r="AM99" s="81">
        <f t="shared" si="167"/>
        <v>0</v>
      </c>
      <c r="AN99" s="81">
        <f t="shared" si="167"/>
        <v>0</v>
      </c>
      <c r="AO99" s="81">
        <f t="shared" si="167"/>
        <v>0</v>
      </c>
      <c r="AP99" s="81">
        <f t="shared" si="167"/>
        <v>0</v>
      </c>
      <c r="AQ99" s="81">
        <f t="shared" si="167"/>
        <v>0</v>
      </c>
      <c r="AR99" s="81">
        <f t="shared" si="167"/>
        <v>0</v>
      </c>
      <c r="AS99" s="81">
        <f t="shared" si="167"/>
        <v>0</v>
      </c>
      <c r="AV99" s="700" t="str">
        <f t="shared" si="140"/>
        <v/>
      </c>
    </row>
    <row r="100" spans="1:64" s="35" customFormat="1" x14ac:dyDescent="0.25">
      <c r="B100" s="186" t="str">
        <f t="shared" si="165"/>
        <v>TTFLELC100</v>
      </c>
      <c r="C100" s="186"/>
      <c r="D100" s="187"/>
      <c r="E100" s="186"/>
      <c r="F100" s="189"/>
      <c r="G100" s="170"/>
      <c r="H100" s="190"/>
      <c r="I100" s="191"/>
      <c r="J100" s="191"/>
      <c r="K100" s="192" t="s">
        <v>1130</v>
      </c>
      <c r="L100" s="191" t="s">
        <v>1131</v>
      </c>
      <c r="M100" s="369">
        <f>LOOKUP($C$96, T_NCAP_AF!$C$349:$C$355,T_NCAP_AF!D$349:D$355)</f>
        <v>0</v>
      </c>
      <c r="N100" s="369">
        <f>LOOKUP($C$96, T_NCAP_AF!$C$349:$C$355,T_NCAP_AF!E$349:E$355)</f>
        <v>0</v>
      </c>
      <c r="O100" s="369">
        <f>LOOKUP($C$96, T_NCAP_AF!$C$349:$C$355,T_NCAP_AF!F$349:F$355)</f>
        <v>0</v>
      </c>
      <c r="P100" s="369">
        <f>LOOKUP($C$96, T_NCAP_AF!$C$349:$C$355,T_NCAP_AF!G$349:G$355)</f>
        <v>0</v>
      </c>
      <c r="Q100" s="369">
        <f>LOOKUP($C$96, T_NCAP_AF!$C$349:$C$355,T_NCAP_AF!H$349:H$355)</f>
        <v>0</v>
      </c>
      <c r="R100" s="369">
        <f>LOOKUP($C$96, T_NCAP_AF!$C$349:$C$355,T_NCAP_AF!I$349:I$355)</f>
        <v>0</v>
      </c>
      <c r="S100" s="369">
        <f>LOOKUP($C$96, T_NCAP_AF!$C$349:$C$355,T_NCAP_AF!J$349:J$355)</f>
        <v>0</v>
      </c>
      <c r="T100" s="369">
        <f>LOOKUP($C$96, T_NCAP_AF!$C$349:$C$355,T_NCAP_AF!K$349:K$355)</f>
        <v>0</v>
      </c>
      <c r="U100" s="369">
        <f>LOOKUP($C$96, T_NCAP_AF!$C$349:$C$355,T_NCAP_AF!L$349:L$355)</f>
        <v>0</v>
      </c>
      <c r="V100" s="369">
        <f>LOOKUP($C$96, T_NCAP_AF!$C$349:$C$355,T_NCAP_AF!M$349:M$355)</f>
        <v>0</v>
      </c>
      <c r="W100" s="369">
        <f>LOOKUP($C$96, T_NCAP_AF!$C$349:$C$355,T_NCAP_AF!N$349:N$355)</f>
        <v>0</v>
      </c>
      <c r="X100" s="369">
        <f>LOOKUP($C$96, T_NCAP_AF!$C$349:$C$355,T_NCAP_AF!O$349:O$355)</f>
        <v>0</v>
      </c>
      <c r="Y100" s="369">
        <f>LOOKUP($C$96, T_NCAP_AF!$C$349:$C$355,T_NCAP_AF!P$349:P$355)</f>
        <v>0</v>
      </c>
      <c r="Z100" s="369">
        <f>LOOKUP($C$96, T_NCAP_AF!$C$349:$C$355,T_NCAP_AF!Q$349:Q$355)</f>
        <v>0</v>
      </c>
      <c r="AA100" s="369">
        <f>LOOKUP($C$96, T_NCAP_AF!$C$349:$C$355,T_NCAP_AF!R$349:R$355)</f>
        <v>0</v>
      </c>
    </row>
    <row r="101" spans="1:64" s="35" customFormat="1" x14ac:dyDescent="0.25">
      <c r="B101" s="186" t="str">
        <f t="shared" si="165"/>
        <v>TTFLELC100</v>
      </c>
      <c r="C101" s="186"/>
      <c r="D101" s="187"/>
      <c r="E101" s="186"/>
      <c r="F101" s="189"/>
      <c r="G101" s="170"/>
      <c r="H101" s="190">
        <f>$L$3</f>
        <v>2019</v>
      </c>
      <c r="I101" s="191"/>
      <c r="J101" s="191"/>
      <c r="K101" s="192" t="s">
        <v>1065</v>
      </c>
      <c r="L101" s="191" t="s">
        <v>748</v>
      </c>
      <c r="M101" s="381">
        <f>IF(M100=0, 0, ROUNDUP((M10+M11)/M99/M100*1000*M32, 8))</f>
        <v>0</v>
      </c>
      <c r="N101" s="381">
        <f t="shared" ref="N101:AA101" si="168">IF(N100=0, 0, ROUNDUP((N10+N11)/N99/N100*1000*N32, 8))</f>
        <v>0</v>
      </c>
      <c r="O101" s="381">
        <f t="shared" si="168"/>
        <v>0</v>
      </c>
      <c r="P101" s="381">
        <f t="shared" si="168"/>
        <v>0</v>
      </c>
      <c r="Q101" s="381">
        <f t="shared" si="168"/>
        <v>0</v>
      </c>
      <c r="R101" s="381">
        <f t="shared" si="168"/>
        <v>0</v>
      </c>
      <c r="S101" s="381">
        <f t="shared" si="168"/>
        <v>0</v>
      </c>
      <c r="T101" s="381">
        <f t="shared" si="168"/>
        <v>0</v>
      </c>
      <c r="U101" s="381">
        <f t="shared" si="168"/>
        <v>0</v>
      </c>
      <c r="V101" s="381">
        <f t="shared" si="168"/>
        <v>0</v>
      </c>
      <c r="W101" s="381">
        <f t="shared" si="168"/>
        <v>0</v>
      </c>
      <c r="X101" s="381">
        <f t="shared" si="168"/>
        <v>0</v>
      </c>
      <c r="Y101" s="381">
        <f t="shared" si="168"/>
        <v>0</v>
      </c>
      <c r="Z101" s="381">
        <f t="shared" si="168"/>
        <v>0</v>
      </c>
      <c r="AA101" s="381">
        <f t="shared" si="168"/>
        <v>0</v>
      </c>
    </row>
    <row r="102" spans="1:64" s="35" customFormat="1" x14ac:dyDescent="0.25">
      <c r="B102" s="186" t="str">
        <f t="shared" si="165"/>
        <v>TTFLELC100</v>
      </c>
      <c r="C102" s="186"/>
      <c r="D102" s="187"/>
      <c r="E102" s="186"/>
      <c r="F102" s="189"/>
      <c r="G102" s="170"/>
      <c r="H102" s="190">
        <f>AE$4</f>
        <v>2016</v>
      </c>
      <c r="I102" s="191"/>
      <c r="J102" s="191"/>
      <c r="K102" s="192" t="s">
        <v>1065</v>
      </c>
      <c r="L102" s="191" t="s">
        <v>748</v>
      </c>
      <c r="M102" s="391">
        <f t="shared" ref="M102:AA102" si="169">M101*LOOKUP($AC96,$AF$3:$AN$3,$AF$4:$AN$4)</f>
        <v>0</v>
      </c>
      <c r="N102" s="391">
        <f t="shared" si="169"/>
        <v>0</v>
      </c>
      <c r="O102" s="391">
        <f t="shared" si="169"/>
        <v>0</v>
      </c>
      <c r="P102" s="391">
        <f t="shared" si="169"/>
        <v>0</v>
      </c>
      <c r="Q102" s="391">
        <f t="shared" si="169"/>
        <v>0</v>
      </c>
      <c r="R102" s="391">
        <f t="shared" si="169"/>
        <v>0</v>
      </c>
      <c r="S102" s="391">
        <f t="shared" si="169"/>
        <v>0</v>
      </c>
      <c r="T102" s="391">
        <f t="shared" si="169"/>
        <v>0</v>
      </c>
      <c r="U102" s="391">
        <f t="shared" si="169"/>
        <v>0</v>
      </c>
      <c r="V102" s="391">
        <f t="shared" si="169"/>
        <v>0</v>
      </c>
      <c r="W102" s="391">
        <f t="shared" si="169"/>
        <v>0</v>
      </c>
      <c r="X102" s="391">
        <f t="shared" si="169"/>
        <v>0</v>
      </c>
      <c r="Y102" s="391">
        <f t="shared" si="169"/>
        <v>0</v>
      </c>
      <c r="Z102" s="391">
        <f t="shared" si="169"/>
        <v>0</v>
      </c>
      <c r="AA102" s="391">
        <f t="shared" si="169"/>
        <v>0</v>
      </c>
    </row>
    <row r="103" spans="1:64" s="35" customFormat="1" x14ac:dyDescent="0.25">
      <c r="B103" s="186" t="str">
        <f t="shared" si="165"/>
        <v>TTFLELC100</v>
      </c>
      <c r="C103" s="186"/>
      <c r="D103" s="187"/>
      <c r="E103" s="186"/>
      <c r="F103" s="189"/>
      <c r="G103" s="170"/>
      <c r="H103" s="190">
        <f>AE$5</f>
        <v>2020</v>
      </c>
      <c r="I103" s="191"/>
      <c r="J103" s="191"/>
      <c r="K103" s="192" t="s">
        <v>1065</v>
      </c>
      <c r="L103" s="191" t="s">
        <v>748</v>
      </c>
      <c r="M103" s="391">
        <f t="shared" ref="M103:AA103" si="170">M101*LOOKUP($AC96,$AF$3:$AN$3,$AF$5:$AN$5)</f>
        <v>0</v>
      </c>
      <c r="N103" s="391">
        <f t="shared" si="170"/>
        <v>0</v>
      </c>
      <c r="O103" s="391">
        <f t="shared" si="170"/>
        <v>0</v>
      </c>
      <c r="P103" s="391">
        <f t="shared" si="170"/>
        <v>0</v>
      </c>
      <c r="Q103" s="391">
        <f t="shared" si="170"/>
        <v>0</v>
      </c>
      <c r="R103" s="391">
        <f t="shared" si="170"/>
        <v>0</v>
      </c>
      <c r="S103" s="391">
        <f t="shared" si="170"/>
        <v>0</v>
      </c>
      <c r="T103" s="391">
        <f t="shared" si="170"/>
        <v>0</v>
      </c>
      <c r="U103" s="391">
        <f t="shared" si="170"/>
        <v>0</v>
      </c>
      <c r="V103" s="391">
        <f t="shared" si="170"/>
        <v>0</v>
      </c>
      <c r="W103" s="391">
        <f t="shared" si="170"/>
        <v>0</v>
      </c>
      <c r="X103" s="391">
        <f t="shared" si="170"/>
        <v>0</v>
      </c>
      <c r="Y103" s="391">
        <f t="shared" si="170"/>
        <v>0</v>
      </c>
      <c r="Z103" s="391">
        <f t="shared" si="170"/>
        <v>0</v>
      </c>
      <c r="AA103" s="391">
        <f t="shared" si="170"/>
        <v>0</v>
      </c>
    </row>
    <row r="104" spans="1:64" s="35" customFormat="1" x14ac:dyDescent="0.25">
      <c r="B104" s="186" t="str">
        <f t="shared" si="165"/>
        <v>TTFLELC100</v>
      </c>
      <c r="C104" s="186"/>
      <c r="D104" s="187"/>
      <c r="E104" s="186"/>
      <c r="F104" s="189"/>
      <c r="G104" s="170"/>
      <c r="H104" s="190">
        <f>AE$6</f>
        <v>2025</v>
      </c>
      <c r="I104" s="191"/>
      <c r="J104" s="191"/>
      <c r="K104" s="192" t="s">
        <v>1065</v>
      </c>
      <c r="L104" s="191" t="s">
        <v>748</v>
      </c>
      <c r="M104" s="391">
        <f t="shared" ref="M104:AA104" si="171">M101*LOOKUP($AC96,$AF$3:$AN$3,$AF$6:$AN$6)</f>
        <v>0</v>
      </c>
      <c r="N104" s="391">
        <f t="shared" si="171"/>
        <v>0</v>
      </c>
      <c r="O104" s="391">
        <f t="shared" si="171"/>
        <v>0</v>
      </c>
      <c r="P104" s="391">
        <f t="shared" si="171"/>
        <v>0</v>
      </c>
      <c r="Q104" s="391">
        <f t="shared" si="171"/>
        <v>0</v>
      </c>
      <c r="R104" s="391">
        <f t="shared" si="171"/>
        <v>0</v>
      </c>
      <c r="S104" s="391">
        <f t="shared" si="171"/>
        <v>0</v>
      </c>
      <c r="T104" s="391">
        <f t="shared" si="171"/>
        <v>0</v>
      </c>
      <c r="U104" s="391">
        <f t="shared" si="171"/>
        <v>0</v>
      </c>
      <c r="V104" s="391">
        <f t="shared" si="171"/>
        <v>0</v>
      </c>
      <c r="W104" s="391">
        <f t="shared" si="171"/>
        <v>0</v>
      </c>
      <c r="X104" s="391">
        <f t="shared" si="171"/>
        <v>0</v>
      </c>
      <c r="Y104" s="391">
        <f t="shared" si="171"/>
        <v>0</v>
      </c>
      <c r="Z104" s="391">
        <f t="shared" si="171"/>
        <v>0</v>
      </c>
      <c r="AA104" s="391">
        <f t="shared" si="171"/>
        <v>0</v>
      </c>
    </row>
    <row r="105" spans="1:64" s="35" customFormat="1" x14ac:dyDescent="0.25">
      <c r="B105" s="186" t="str">
        <f t="shared" si="165"/>
        <v>TTFLELC100</v>
      </c>
      <c r="C105" s="186"/>
      <c r="D105" s="187"/>
      <c r="E105" s="186"/>
      <c r="F105" s="189"/>
      <c r="G105" s="170"/>
      <c r="H105" s="190">
        <f>AE$7</f>
        <v>2030</v>
      </c>
      <c r="I105" s="191"/>
      <c r="J105" s="191"/>
      <c r="K105" s="192" t="s">
        <v>1065</v>
      </c>
      <c r="L105" s="191" t="s">
        <v>748</v>
      </c>
      <c r="M105" s="391">
        <f t="shared" ref="M105:AA105" si="172">M101*LOOKUP($AC96,$AF$3:$AN$3,$AF$7:$AN$7)</f>
        <v>0</v>
      </c>
      <c r="N105" s="391">
        <f t="shared" si="172"/>
        <v>0</v>
      </c>
      <c r="O105" s="391">
        <f t="shared" si="172"/>
        <v>0</v>
      </c>
      <c r="P105" s="391">
        <f t="shared" si="172"/>
        <v>0</v>
      </c>
      <c r="Q105" s="391">
        <f t="shared" si="172"/>
        <v>0</v>
      </c>
      <c r="R105" s="391">
        <f t="shared" si="172"/>
        <v>0</v>
      </c>
      <c r="S105" s="391">
        <f t="shared" si="172"/>
        <v>0</v>
      </c>
      <c r="T105" s="391">
        <f t="shared" si="172"/>
        <v>0</v>
      </c>
      <c r="U105" s="391">
        <f t="shared" si="172"/>
        <v>0</v>
      </c>
      <c r="V105" s="391">
        <f t="shared" si="172"/>
        <v>0</v>
      </c>
      <c r="W105" s="391">
        <f t="shared" si="172"/>
        <v>0</v>
      </c>
      <c r="X105" s="391">
        <f t="shared" si="172"/>
        <v>0</v>
      </c>
      <c r="Y105" s="391">
        <f t="shared" si="172"/>
        <v>0</v>
      </c>
      <c r="Z105" s="391">
        <f t="shared" si="172"/>
        <v>0</v>
      </c>
      <c r="AA105" s="391">
        <f t="shared" si="172"/>
        <v>0</v>
      </c>
    </row>
    <row r="106" spans="1:64" s="35" customFormat="1" x14ac:dyDescent="0.25">
      <c r="B106" s="186" t="str">
        <f t="shared" si="165"/>
        <v>TTFLELC100</v>
      </c>
      <c r="C106" s="186"/>
      <c r="D106" s="187"/>
      <c r="E106" s="186"/>
      <c r="F106" s="189"/>
      <c r="G106" s="170"/>
      <c r="H106" s="190">
        <f>AE$8</f>
        <v>2040</v>
      </c>
      <c r="I106" s="191"/>
      <c r="J106" s="191"/>
      <c r="K106" s="192" t="s">
        <v>1065</v>
      </c>
      <c r="L106" s="191" t="s">
        <v>748</v>
      </c>
      <c r="M106" s="391">
        <f t="shared" ref="M106:AA106" si="173">M101*LOOKUP($AC96,$AF$3:$AN$3,$AF$8:$AN$8)</f>
        <v>0</v>
      </c>
      <c r="N106" s="391">
        <f t="shared" si="173"/>
        <v>0</v>
      </c>
      <c r="O106" s="391">
        <f t="shared" si="173"/>
        <v>0</v>
      </c>
      <c r="P106" s="391">
        <f t="shared" si="173"/>
        <v>0</v>
      </c>
      <c r="Q106" s="391">
        <f t="shared" si="173"/>
        <v>0</v>
      </c>
      <c r="R106" s="391">
        <f t="shared" si="173"/>
        <v>0</v>
      </c>
      <c r="S106" s="391">
        <f t="shared" si="173"/>
        <v>0</v>
      </c>
      <c r="T106" s="391">
        <f t="shared" si="173"/>
        <v>0</v>
      </c>
      <c r="U106" s="391">
        <f t="shared" si="173"/>
        <v>0</v>
      </c>
      <c r="V106" s="391">
        <f t="shared" si="173"/>
        <v>0</v>
      </c>
      <c r="W106" s="391">
        <f t="shared" si="173"/>
        <v>0</v>
      </c>
      <c r="X106" s="391">
        <f t="shared" si="173"/>
        <v>0</v>
      </c>
      <c r="Y106" s="391">
        <f t="shared" si="173"/>
        <v>0</v>
      </c>
      <c r="Z106" s="391">
        <f t="shared" si="173"/>
        <v>0</v>
      </c>
      <c r="AA106" s="391">
        <f t="shared" si="173"/>
        <v>0</v>
      </c>
    </row>
    <row r="107" spans="1:64" s="35" customFormat="1" x14ac:dyDescent="0.25">
      <c r="B107" s="193" t="str">
        <f t="shared" si="165"/>
        <v>TTFLELC100</v>
      </c>
      <c r="C107" s="193"/>
      <c r="D107" s="194"/>
      <c r="E107" s="193"/>
      <c r="F107" s="195"/>
      <c r="G107" s="196"/>
      <c r="H107" s="197">
        <f>AE$9</f>
        <v>2050</v>
      </c>
      <c r="I107" s="198"/>
      <c r="J107" s="198"/>
      <c r="K107" s="199" t="s">
        <v>1065</v>
      </c>
      <c r="L107" s="198" t="s">
        <v>748</v>
      </c>
      <c r="M107" s="392">
        <f t="shared" ref="M107:AA107" si="174">M101*LOOKUP($AC96,$AF$3:$AN$3,$AF$9:$AN$9)</f>
        <v>0</v>
      </c>
      <c r="N107" s="392">
        <f t="shared" si="174"/>
        <v>0</v>
      </c>
      <c r="O107" s="392">
        <f t="shared" si="174"/>
        <v>0</v>
      </c>
      <c r="P107" s="392">
        <f t="shared" si="174"/>
        <v>0</v>
      </c>
      <c r="Q107" s="392">
        <f t="shared" si="174"/>
        <v>0</v>
      </c>
      <c r="R107" s="392">
        <f t="shared" si="174"/>
        <v>0</v>
      </c>
      <c r="S107" s="392">
        <f t="shared" si="174"/>
        <v>0</v>
      </c>
      <c r="T107" s="392">
        <f t="shared" si="174"/>
        <v>0</v>
      </c>
      <c r="U107" s="392">
        <f t="shared" si="174"/>
        <v>0</v>
      </c>
      <c r="V107" s="392">
        <f t="shared" si="174"/>
        <v>0</v>
      </c>
      <c r="W107" s="392">
        <f t="shared" si="174"/>
        <v>0</v>
      </c>
      <c r="X107" s="392">
        <f t="shared" si="174"/>
        <v>0</v>
      </c>
      <c r="Y107" s="392">
        <f t="shared" si="174"/>
        <v>0</v>
      </c>
      <c r="Z107" s="392">
        <f t="shared" si="174"/>
        <v>0</v>
      </c>
      <c r="AA107" s="392">
        <f t="shared" si="174"/>
        <v>0</v>
      </c>
    </row>
    <row r="108" spans="1:64" s="35" customFormat="1" x14ac:dyDescent="0.25">
      <c r="B108" s="22"/>
      <c r="C108" s="22"/>
      <c r="D108" s="60"/>
      <c r="E108" s="22"/>
      <c r="F108" s="61"/>
      <c r="H108" s="62"/>
      <c r="I108" s="63"/>
      <c r="J108" s="63"/>
      <c r="K108" s="64"/>
      <c r="L108" s="63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</row>
    <row r="109" spans="1:64" s="35" customFormat="1" x14ac:dyDescent="0.25">
      <c r="B109" s="22"/>
      <c r="C109" s="22"/>
      <c r="D109" s="60"/>
      <c r="E109" s="22"/>
      <c r="F109" s="61"/>
      <c r="H109" s="62"/>
      <c r="I109" s="63"/>
      <c r="J109" s="63"/>
      <c r="K109" s="64"/>
      <c r="L109" s="63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</row>
    <row r="110" spans="1:64" s="559" customFormat="1" ht="16.5" customHeight="1" x14ac:dyDescent="0.25">
      <c r="B110" s="17" t="s">
        <v>1214</v>
      </c>
      <c r="C110" s="560"/>
      <c r="H110" s="370"/>
    </row>
    <row r="111" spans="1:64" s="559" customFormat="1" ht="16.5" customHeight="1" x14ac:dyDescent="0.25">
      <c r="B111" s="22"/>
      <c r="C111" s="22"/>
      <c r="H111" s="370"/>
    </row>
    <row r="112" spans="1:64" s="22" customFormat="1" x14ac:dyDescent="0.25">
      <c r="A112" s="35"/>
      <c r="B112" s="35"/>
      <c r="C112" s="50"/>
      <c r="D112" s="50"/>
      <c r="E112" s="35"/>
      <c r="F112" s="35"/>
      <c r="G112" s="41"/>
      <c r="H112" s="51"/>
      <c r="I112" s="41"/>
      <c r="J112" s="41"/>
      <c r="K112" s="40" t="str">
        <f>IF(SUM(M14:AA17)&gt;0,"~FI_T","not in use")</f>
        <v>not in use</v>
      </c>
      <c r="L112" s="40"/>
      <c r="M112" s="35"/>
      <c r="N112" s="35"/>
      <c r="O112" s="35"/>
      <c r="P112" s="35"/>
      <c r="Q112" s="41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41"/>
      <c r="AC112" s="49" t="str">
        <f>CONCATENATE("TEST: ",B110)</f>
        <v>TEST: Base-year: Train Light (passenger)</v>
      </c>
      <c r="AV112" s="471" t="s">
        <v>1052</v>
      </c>
    </row>
    <row r="113" spans="1:64" s="82" customFormat="1" x14ac:dyDescent="0.25">
      <c r="A113" s="83"/>
      <c r="B113" s="351" t="s">
        <v>1053</v>
      </c>
      <c r="C113" s="352" t="s">
        <v>104</v>
      </c>
      <c r="D113" s="352" t="s">
        <v>1054</v>
      </c>
      <c r="E113" s="352" t="s">
        <v>673</v>
      </c>
      <c r="F113" s="352" t="s">
        <v>674</v>
      </c>
      <c r="G113" s="352" t="s">
        <v>1055</v>
      </c>
      <c r="H113" s="353" t="s">
        <v>1056</v>
      </c>
      <c r="I113" s="352" t="s">
        <v>982</v>
      </c>
      <c r="J113" s="354" t="s">
        <v>1123</v>
      </c>
      <c r="K113" s="352" t="s">
        <v>1057</v>
      </c>
      <c r="L113" s="352" t="s">
        <v>1058</v>
      </c>
      <c r="M113" s="352" t="str">
        <f t="shared" ref="M113:AA113" si="175">M$2</f>
        <v>Z01</v>
      </c>
      <c r="N113" s="352" t="str">
        <f t="shared" si="175"/>
        <v>Z02</v>
      </c>
      <c r="O113" s="352" t="str">
        <f t="shared" si="175"/>
        <v>Z03</v>
      </c>
      <c r="P113" s="352" t="str">
        <f t="shared" si="175"/>
        <v>Z04</v>
      </c>
      <c r="Q113" s="352" t="str">
        <f t="shared" si="175"/>
        <v>Z05</v>
      </c>
      <c r="R113" s="352" t="str">
        <f t="shared" si="175"/>
        <v>Z06</v>
      </c>
      <c r="S113" s="352" t="str">
        <f t="shared" si="175"/>
        <v>Z07</v>
      </c>
      <c r="T113" s="352" t="str">
        <f t="shared" si="175"/>
        <v>Z08</v>
      </c>
      <c r="U113" s="352" t="str">
        <f t="shared" si="175"/>
        <v>Z09</v>
      </c>
      <c r="V113" s="352" t="str">
        <f t="shared" si="175"/>
        <v>Z10</v>
      </c>
      <c r="W113" s="352" t="str">
        <f t="shared" si="175"/>
        <v>Z11</v>
      </c>
      <c r="X113" s="352" t="str">
        <f t="shared" si="175"/>
        <v>Z12</v>
      </c>
      <c r="Y113" s="352" t="str">
        <f t="shared" si="175"/>
        <v>Z13</v>
      </c>
      <c r="Z113" s="352" t="str">
        <f t="shared" si="175"/>
        <v>Z14</v>
      </c>
      <c r="AA113" s="352" t="str">
        <f t="shared" si="175"/>
        <v>Z15</v>
      </c>
      <c r="AB113" s="355"/>
      <c r="AC113" s="552"/>
      <c r="AD113" s="354" t="s">
        <v>421</v>
      </c>
      <c r="AE113" s="354" t="str">
        <f t="shared" ref="AE113:AS113" si="176">M2</f>
        <v>Z01</v>
      </c>
      <c r="AF113" s="354" t="str">
        <f t="shared" si="176"/>
        <v>Z02</v>
      </c>
      <c r="AG113" s="354" t="str">
        <f t="shared" si="176"/>
        <v>Z03</v>
      </c>
      <c r="AH113" s="354" t="str">
        <f t="shared" si="176"/>
        <v>Z04</v>
      </c>
      <c r="AI113" s="354" t="str">
        <f t="shared" si="176"/>
        <v>Z05</v>
      </c>
      <c r="AJ113" s="354" t="str">
        <f t="shared" si="176"/>
        <v>Z06</v>
      </c>
      <c r="AK113" s="354" t="str">
        <f t="shared" si="176"/>
        <v>Z07</v>
      </c>
      <c r="AL113" s="354" t="str">
        <f t="shared" si="176"/>
        <v>Z08</v>
      </c>
      <c r="AM113" s="354" t="str">
        <f t="shared" si="176"/>
        <v>Z09</v>
      </c>
      <c r="AN113" s="354" t="str">
        <f t="shared" si="176"/>
        <v>Z10</v>
      </c>
      <c r="AO113" s="354" t="str">
        <f t="shared" si="176"/>
        <v>Z11</v>
      </c>
      <c r="AP113" s="354" t="str">
        <f t="shared" si="176"/>
        <v>Z12</v>
      </c>
      <c r="AQ113" s="354" t="str">
        <f t="shared" si="176"/>
        <v>Z13</v>
      </c>
      <c r="AR113" s="354" t="str">
        <f t="shared" si="176"/>
        <v>Z14</v>
      </c>
      <c r="AS113" s="354" t="str">
        <f t="shared" si="176"/>
        <v>Z15</v>
      </c>
      <c r="AV113" s="701" t="s">
        <v>85</v>
      </c>
      <c r="AW113" s="701" t="s">
        <v>421</v>
      </c>
      <c r="AX113" s="701" t="str">
        <f t="shared" ref="AX113:BL113" si="177">M$2</f>
        <v>Z01</v>
      </c>
      <c r="AY113" s="701" t="str">
        <f t="shared" si="177"/>
        <v>Z02</v>
      </c>
      <c r="AZ113" s="701" t="str">
        <f t="shared" si="177"/>
        <v>Z03</v>
      </c>
      <c r="BA113" s="701" t="str">
        <f t="shared" si="177"/>
        <v>Z04</v>
      </c>
      <c r="BB113" s="701" t="str">
        <f t="shared" si="177"/>
        <v>Z05</v>
      </c>
      <c r="BC113" s="701" t="str">
        <f t="shared" si="177"/>
        <v>Z06</v>
      </c>
      <c r="BD113" s="701" t="str">
        <f t="shared" si="177"/>
        <v>Z07</v>
      </c>
      <c r="BE113" s="701" t="str">
        <f t="shared" si="177"/>
        <v>Z08</v>
      </c>
      <c r="BF113" s="701" t="str">
        <f t="shared" si="177"/>
        <v>Z09</v>
      </c>
      <c r="BG113" s="701" t="str">
        <f t="shared" si="177"/>
        <v>Z10</v>
      </c>
      <c r="BH113" s="701" t="str">
        <f t="shared" si="177"/>
        <v>Z11</v>
      </c>
      <c r="BI113" s="701" t="str">
        <f t="shared" si="177"/>
        <v>Z12</v>
      </c>
      <c r="BJ113" s="701" t="str">
        <f t="shared" si="177"/>
        <v>Z13</v>
      </c>
      <c r="BK113" s="701" t="str">
        <f t="shared" si="177"/>
        <v>Z14</v>
      </c>
      <c r="BL113" s="701" t="str">
        <f t="shared" si="177"/>
        <v>Z15</v>
      </c>
    </row>
    <row r="114" spans="1:64" s="22" customFormat="1" x14ac:dyDescent="0.25">
      <c r="A114" s="35"/>
      <c r="B114" s="176"/>
      <c r="C114" s="176"/>
      <c r="D114" s="176" t="s">
        <v>1062</v>
      </c>
      <c r="E114" s="176"/>
      <c r="F114" s="176"/>
      <c r="G114" s="176"/>
      <c r="H114" s="177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35"/>
      <c r="AC114" s="176" t="s">
        <v>1124</v>
      </c>
      <c r="AD114" s="625" t="str">
        <f>IF(AD115-SUM(AC14:AC15)&lt;0,"too small",IF(AD115-SUM(AC14:AC15)&gt;0.001,"Too big","ok"))</f>
        <v>ok</v>
      </c>
      <c r="AE114" s="619" t="str">
        <f t="shared" ref="AE114:AS114" si="178">IF(AE115-SUM(M14:M15)&lt;0,"too small",IF(AE115-SUM(M14:M15)&gt;0.001,"Too big","ok"))</f>
        <v>ok</v>
      </c>
      <c r="AF114" s="619" t="str">
        <f t="shared" si="178"/>
        <v>ok</v>
      </c>
      <c r="AG114" s="619" t="str">
        <f t="shared" si="178"/>
        <v>ok</v>
      </c>
      <c r="AH114" s="619" t="str">
        <f t="shared" si="178"/>
        <v>ok</v>
      </c>
      <c r="AI114" s="619" t="str">
        <f t="shared" si="178"/>
        <v>ok</v>
      </c>
      <c r="AJ114" s="619" t="str">
        <f t="shared" si="178"/>
        <v>ok</v>
      </c>
      <c r="AK114" s="619" t="str">
        <f t="shared" si="178"/>
        <v>ok</v>
      </c>
      <c r="AL114" s="619" t="str">
        <f t="shared" si="178"/>
        <v>ok</v>
      </c>
      <c r="AM114" s="619" t="str">
        <f t="shared" si="178"/>
        <v>ok</v>
      </c>
      <c r="AN114" s="619" t="str">
        <f t="shared" si="178"/>
        <v>ok</v>
      </c>
      <c r="AO114" s="619" t="str">
        <f t="shared" si="178"/>
        <v>ok</v>
      </c>
      <c r="AP114" s="619" t="str">
        <f t="shared" si="178"/>
        <v>ok</v>
      </c>
      <c r="AQ114" s="619" t="str">
        <f t="shared" si="178"/>
        <v>ok</v>
      </c>
      <c r="AR114" s="619" t="str">
        <f t="shared" si="178"/>
        <v>ok</v>
      </c>
      <c r="AS114" s="619" t="str">
        <f t="shared" si="178"/>
        <v>ok</v>
      </c>
      <c r="AV114" s="398" t="s">
        <v>103</v>
      </c>
      <c r="AW114" s="717">
        <f>SUM(AX114:BL114)</f>
        <v>0</v>
      </c>
      <c r="AX114" s="718">
        <f t="shared" ref="AX114:BL114" si="179">SUM(AX115:AX176)</f>
        <v>0</v>
      </c>
      <c r="AY114" s="718">
        <f t="shared" si="179"/>
        <v>0</v>
      </c>
      <c r="AZ114" s="718">
        <f t="shared" si="179"/>
        <v>0</v>
      </c>
      <c r="BA114" s="718">
        <f t="shared" si="179"/>
        <v>0</v>
      </c>
      <c r="BB114" s="718">
        <f t="shared" si="179"/>
        <v>0</v>
      </c>
      <c r="BC114" s="718">
        <f t="shared" si="179"/>
        <v>0</v>
      </c>
      <c r="BD114" s="718">
        <f t="shared" si="179"/>
        <v>0</v>
      </c>
      <c r="BE114" s="718">
        <f t="shared" si="179"/>
        <v>0</v>
      </c>
      <c r="BF114" s="718">
        <f t="shared" si="179"/>
        <v>0</v>
      </c>
      <c r="BG114" s="718">
        <f t="shared" si="179"/>
        <v>0</v>
      </c>
      <c r="BH114" s="718">
        <f t="shared" si="179"/>
        <v>0</v>
      </c>
      <c r="BI114" s="718">
        <f t="shared" si="179"/>
        <v>0</v>
      </c>
      <c r="BJ114" s="718">
        <f t="shared" si="179"/>
        <v>0</v>
      </c>
      <c r="BK114" s="718">
        <f t="shared" si="179"/>
        <v>0</v>
      </c>
      <c r="BL114" s="718">
        <f t="shared" si="179"/>
        <v>0</v>
      </c>
    </row>
    <row r="115" spans="1:64" s="35" customFormat="1" x14ac:dyDescent="0.25">
      <c r="A115" s="22"/>
      <c r="B115" s="186" t="str">
        <f>C115</f>
        <v>TTLRELC100</v>
      </c>
      <c r="C115" s="186" t="s">
        <v>218</v>
      </c>
      <c r="D115" s="187" t="s">
        <v>889</v>
      </c>
      <c r="E115" s="188" t="s">
        <v>1008</v>
      </c>
      <c r="F115" s="189"/>
      <c r="G115" s="170"/>
      <c r="H115" s="190"/>
      <c r="I115" s="191"/>
      <c r="J115" s="191"/>
      <c r="K115" s="192" t="s">
        <v>1107</v>
      </c>
      <c r="L115" s="191" t="s">
        <v>1125</v>
      </c>
      <c r="M115" s="366">
        <f>10^-3</f>
        <v>1E-3</v>
      </c>
      <c r="N115" s="366">
        <f t="shared" ref="N115:AA115" si="180">$M115</f>
        <v>1E-3</v>
      </c>
      <c r="O115" s="366">
        <f t="shared" si="180"/>
        <v>1E-3</v>
      </c>
      <c r="P115" s="366">
        <f t="shared" si="180"/>
        <v>1E-3</v>
      </c>
      <c r="Q115" s="366">
        <f t="shared" si="180"/>
        <v>1E-3</v>
      </c>
      <c r="R115" s="366">
        <f t="shared" si="180"/>
        <v>1E-3</v>
      </c>
      <c r="S115" s="366">
        <f t="shared" si="180"/>
        <v>1E-3</v>
      </c>
      <c r="T115" s="366">
        <f t="shared" si="180"/>
        <v>1E-3</v>
      </c>
      <c r="U115" s="366">
        <f t="shared" si="180"/>
        <v>1E-3</v>
      </c>
      <c r="V115" s="366">
        <f t="shared" si="180"/>
        <v>1E-3</v>
      </c>
      <c r="W115" s="366">
        <f t="shared" si="180"/>
        <v>1E-3</v>
      </c>
      <c r="X115" s="366">
        <f t="shared" si="180"/>
        <v>1E-3</v>
      </c>
      <c r="Y115" s="366">
        <f t="shared" si="180"/>
        <v>1E-3</v>
      </c>
      <c r="Z115" s="366">
        <f t="shared" si="180"/>
        <v>1E-3</v>
      </c>
      <c r="AA115" s="366">
        <f t="shared" si="180"/>
        <v>1E-3</v>
      </c>
      <c r="AC115" s="56" t="str">
        <f>RIGHT(E115,3)</f>
        <v>ELR</v>
      </c>
      <c r="AD115" s="622">
        <f>SUM(AE115:AS115)</f>
        <v>0</v>
      </c>
      <c r="AE115" s="517">
        <f>AE118</f>
        <v>0</v>
      </c>
      <c r="AF115" s="517">
        <f t="shared" ref="AF115:AS115" si="181">AF118</f>
        <v>0</v>
      </c>
      <c r="AG115" s="517">
        <f t="shared" si="181"/>
        <v>0</v>
      </c>
      <c r="AH115" s="517">
        <f t="shared" si="181"/>
        <v>0</v>
      </c>
      <c r="AI115" s="517">
        <f t="shared" si="181"/>
        <v>0</v>
      </c>
      <c r="AJ115" s="517">
        <f t="shared" si="181"/>
        <v>0</v>
      </c>
      <c r="AK115" s="517">
        <f t="shared" si="181"/>
        <v>0</v>
      </c>
      <c r="AL115" s="517">
        <f t="shared" si="181"/>
        <v>0</v>
      </c>
      <c r="AM115" s="517">
        <f t="shared" si="181"/>
        <v>0</v>
      </c>
      <c r="AN115" s="517">
        <f t="shared" si="181"/>
        <v>0</v>
      </c>
      <c r="AO115" s="517">
        <f t="shared" si="181"/>
        <v>0</v>
      </c>
      <c r="AP115" s="517">
        <f t="shared" si="181"/>
        <v>0</v>
      </c>
      <c r="AQ115" s="517">
        <f t="shared" si="181"/>
        <v>0</v>
      </c>
      <c r="AR115" s="517">
        <f t="shared" si="181"/>
        <v>0</v>
      </c>
      <c r="AS115" s="517">
        <f t="shared" si="181"/>
        <v>0</v>
      </c>
      <c r="AV115" s="700" t="str">
        <f t="shared" ref="AV115:AV138" si="182">MID(E115,1,7)</f>
        <v>TRAELR</v>
      </c>
      <c r="AW115" s="568">
        <f>SUM(AX115:BL115)</f>
        <v>0</v>
      </c>
      <c r="AX115" s="568">
        <f>M119*M120/M116/1000</f>
        <v>0</v>
      </c>
      <c r="AY115" s="568">
        <f t="shared" ref="AY115:BL115" si="183">N119*N120/N116/1000</f>
        <v>0</v>
      </c>
      <c r="AZ115" s="568">
        <f t="shared" si="183"/>
        <v>0</v>
      </c>
      <c r="BA115" s="568">
        <f t="shared" si="183"/>
        <v>0</v>
      </c>
      <c r="BB115" s="568">
        <f t="shared" si="183"/>
        <v>0</v>
      </c>
      <c r="BC115" s="568">
        <f t="shared" si="183"/>
        <v>0</v>
      </c>
      <c r="BD115" s="568">
        <f t="shared" si="183"/>
        <v>0</v>
      </c>
      <c r="BE115" s="568">
        <f t="shared" si="183"/>
        <v>0</v>
      </c>
      <c r="BF115" s="568">
        <f t="shared" si="183"/>
        <v>0</v>
      </c>
      <c r="BG115" s="568">
        <f t="shared" si="183"/>
        <v>0</v>
      </c>
      <c r="BH115" s="568">
        <f t="shared" si="183"/>
        <v>0</v>
      </c>
      <c r="BI115" s="568">
        <f t="shared" si="183"/>
        <v>0</v>
      </c>
      <c r="BJ115" s="568">
        <f t="shared" si="183"/>
        <v>0</v>
      </c>
      <c r="BK115" s="568">
        <f t="shared" si="183"/>
        <v>0</v>
      </c>
      <c r="BL115" s="568">
        <f t="shared" si="183"/>
        <v>0</v>
      </c>
    </row>
    <row r="116" spans="1:64" s="35" customFormat="1" x14ac:dyDescent="0.25">
      <c r="A116" s="22"/>
      <c r="B116" s="186" t="str">
        <f>B115</f>
        <v>TTLRELC100</v>
      </c>
      <c r="C116" s="186"/>
      <c r="D116" s="187"/>
      <c r="E116" s="188"/>
      <c r="F116" s="189" t="s">
        <v>511</v>
      </c>
      <c r="G116" s="170"/>
      <c r="H116" s="190"/>
      <c r="I116" s="191"/>
      <c r="J116" s="191"/>
      <c r="K116" s="186" t="s">
        <v>1126</v>
      </c>
      <c r="L116" s="191" t="s">
        <v>678</v>
      </c>
      <c r="M116" s="377">
        <f>LOOKUP($C$115, T_CEFF!$C$300:$C$306, T_CEFF!H$300:H$306)</f>
        <v>6.5689999999999998E-2</v>
      </c>
      <c r="N116" s="377">
        <f>LOOKUP($C$115, T_CEFF!$C$300:$C$306, T_CEFF!I$300:I$306)</f>
        <v>6.5689999999999998E-2</v>
      </c>
      <c r="O116" s="377">
        <f>LOOKUP($C$115, T_CEFF!$C$300:$C$306, T_CEFF!J$300:J$306)</f>
        <v>6.5689999999999998E-2</v>
      </c>
      <c r="P116" s="377">
        <f>LOOKUP($C$115, T_CEFF!$C$300:$C$306, T_CEFF!K$300:K$306)</f>
        <v>6.5689999999999998E-2</v>
      </c>
      <c r="Q116" s="377">
        <f>LOOKUP($C$115, T_CEFF!$C$300:$C$306, T_CEFF!L$300:L$306)</f>
        <v>6.5689999999999998E-2</v>
      </c>
      <c r="R116" s="377">
        <f>LOOKUP($C$115, T_CEFF!$C$300:$C$306, T_CEFF!M$300:M$306)</f>
        <v>6.5689999999999998E-2</v>
      </c>
      <c r="S116" s="377">
        <f>LOOKUP($C$115, T_CEFF!$C$300:$C$306, T_CEFF!N$300:N$306)</f>
        <v>6.5689999999999998E-2</v>
      </c>
      <c r="T116" s="377">
        <f>LOOKUP($C$115, T_CEFF!$C$300:$C$306, T_CEFF!O$300:O$306)</f>
        <v>6.5689999999999998E-2</v>
      </c>
      <c r="U116" s="377">
        <f>LOOKUP($C$115, T_CEFF!$C$300:$C$306, T_CEFF!P$300:P$306)</f>
        <v>6.5689999999999998E-2</v>
      </c>
      <c r="V116" s="377">
        <f>LOOKUP($C$115, T_CEFF!$C$300:$C$306, T_CEFF!Q$300:Q$306)</f>
        <v>6.5689999999999998E-2</v>
      </c>
      <c r="W116" s="377">
        <f>LOOKUP($C$115, T_CEFF!$C$300:$C$306, T_CEFF!R$300:R$306)</f>
        <v>6.5689999999999998E-2</v>
      </c>
      <c r="X116" s="377">
        <f>LOOKUP($C$115, T_CEFF!$C$300:$C$306, T_CEFF!S$300:S$306)</f>
        <v>6.5689999999999998E-2</v>
      </c>
      <c r="Y116" s="377">
        <f>LOOKUP($C$115, T_CEFF!$C$300:$C$306, T_CEFF!T$300:T$306)</f>
        <v>6.5689999999999998E-2</v>
      </c>
      <c r="Z116" s="377">
        <f>LOOKUP($C$115, T_CEFF!$C$300:$C$306, T_CEFF!U$300:U$306)</f>
        <v>6.5689999999999998E-2</v>
      </c>
      <c r="AA116" s="377">
        <f>LOOKUP($C$115, T_CEFF!$C$300:$C$306, T_CEFF!V$300:V$306)</f>
        <v>6.5689999999999998E-2</v>
      </c>
      <c r="AC116" s="66" t="str">
        <f>IF(COUNTIF($AF$3:$AN$3,AC115)=1,"ok","MISSING")</f>
        <v>ok</v>
      </c>
      <c r="AD116" s="622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7"/>
      <c r="AP116" s="517"/>
      <c r="AQ116" s="517"/>
      <c r="AR116" s="517"/>
      <c r="AS116" s="517"/>
      <c r="AV116" s="700" t="str">
        <f t="shared" si="182"/>
        <v/>
      </c>
      <c r="AW116" s="568"/>
      <c r="AX116" s="568"/>
      <c r="AY116" s="568"/>
      <c r="AZ116" s="568"/>
      <c r="BA116" s="568"/>
      <c r="BB116" s="568"/>
      <c r="BC116" s="568"/>
      <c r="BD116" s="568"/>
      <c r="BE116" s="568"/>
      <c r="BF116" s="568"/>
      <c r="BG116" s="568"/>
      <c r="BH116" s="568"/>
      <c r="BI116" s="568"/>
      <c r="BJ116" s="568"/>
      <c r="BK116" s="568"/>
      <c r="BL116" s="568"/>
    </row>
    <row r="117" spans="1:64" s="35" customFormat="1" x14ac:dyDescent="0.25">
      <c r="B117" s="186" t="str">
        <f t="shared" ref="B117:B126" si="184">B116</f>
        <v>TTLRELC100</v>
      </c>
      <c r="C117" s="186"/>
      <c r="D117" s="186"/>
      <c r="E117" s="188"/>
      <c r="F117" s="189" t="s">
        <v>617</v>
      </c>
      <c r="G117" s="170"/>
      <c r="H117" s="190"/>
      <c r="I117" s="191"/>
      <c r="J117" s="191"/>
      <c r="K117" s="186" t="s">
        <v>1126</v>
      </c>
      <c r="L117" s="191" t="s">
        <v>678</v>
      </c>
      <c r="M117" s="377">
        <f>LOOKUP($C$115, T_CEFF!$C$300:$C$306, T_CEFF!H$300:H$306)</f>
        <v>6.5689999999999998E-2</v>
      </c>
      <c r="N117" s="377">
        <f>LOOKUP($C$115, T_CEFF!$C$300:$C$306, T_CEFF!I$300:I$306)</f>
        <v>6.5689999999999998E-2</v>
      </c>
      <c r="O117" s="377">
        <f>LOOKUP($C$115, T_CEFF!$C$300:$C$306, T_CEFF!J$300:J$306)</f>
        <v>6.5689999999999998E-2</v>
      </c>
      <c r="P117" s="377">
        <f>LOOKUP($C$115, T_CEFF!$C$300:$C$306, T_CEFF!K$300:K$306)</f>
        <v>6.5689999999999998E-2</v>
      </c>
      <c r="Q117" s="377">
        <f>LOOKUP($C$115, T_CEFF!$C$300:$C$306, T_CEFF!L$300:L$306)</f>
        <v>6.5689999999999998E-2</v>
      </c>
      <c r="R117" s="377">
        <f>LOOKUP($C$115, T_CEFF!$C$300:$C$306, T_CEFF!M$300:M$306)</f>
        <v>6.5689999999999998E-2</v>
      </c>
      <c r="S117" s="377">
        <f>LOOKUP($C$115, T_CEFF!$C$300:$C$306, T_CEFF!N$300:N$306)</f>
        <v>6.5689999999999998E-2</v>
      </c>
      <c r="T117" s="377">
        <f>LOOKUP($C$115, T_CEFF!$C$300:$C$306, T_CEFF!O$300:O$306)</f>
        <v>6.5689999999999998E-2</v>
      </c>
      <c r="U117" s="377">
        <f>LOOKUP($C$115, T_CEFF!$C$300:$C$306, T_CEFF!P$300:P$306)</f>
        <v>6.5689999999999998E-2</v>
      </c>
      <c r="V117" s="377">
        <f>LOOKUP($C$115, T_CEFF!$C$300:$C$306, T_CEFF!Q$300:Q$306)</f>
        <v>6.5689999999999998E-2</v>
      </c>
      <c r="W117" s="377">
        <f>LOOKUP($C$115, T_CEFF!$C$300:$C$306, T_CEFF!R$300:R$306)</f>
        <v>6.5689999999999998E-2</v>
      </c>
      <c r="X117" s="377">
        <f>LOOKUP($C$115, T_CEFF!$C$300:$C$306, T_CEFF!S$300:S$306)</f>
        <v>6.5689999999999998E-2</v>
      </c>
      <c r="Y117" s="377">
        <f>LOOKUP($C$115, T_CEFF!$C$300:$C$306, T_CEFF!T$300:T$306)</f>
        <v>6.5689999999999998E-2</v>
      </c>
      <c r="Z117" s="377">
        <f>LOOKUP($C$115, T_CEFF!$C$300:$C$306, T_CEFF!U$300:U$306)</f>
        <v>6.5689999999999998E-2</v>
      </c>
      <c r="AA117" s="377">
        <f>LOOKUP($C$115, T_CEFF!$C$300:$C$306, T_CEFF!V$300:V$306)</f>
        <v>6.5689999999999998E-2</v>
      </c>
      <c r="AV117" s="700" t="str">
        <f t="shared" si="182"/>
        <v/>
      </c>
      <c r="AW117" s="705"/>
      <c r="AX117" s="568"/>
      <c r="AY117" s="705"/>
      <c r="AZ117" s="705"/>
      <c r="BA117" s="705"/>
      <c r="BB117" s="705"/>
      <c r="BC117" s="705"/>
      <c r="BD117" s="705"/>
      <c r="BE117" s="705"/>
      <c r="BF117" s="705"/>
      <c r="BG117" s="705"/>
      <c r="BH117" s="705"/>
      <c r="BI117" s="705"/>
      <c r="BJ117" s="705"/>
      <c r="BK117" s="705"/>
      <c r="BL117" s="705"/>
    </row>
    <row r="118" spans="1:64" s="35" customFormat="1" x14ac:dyDescent="0.25">
      <c r="B118" s="186" t="str">
        <f t="shared" si="184"/>
        <v>TTLRELC100</v>
      </c>
      <c r="C118" s="186"/>
      <c r="D118" s="187"/>
      <c r="E118" s="186"/>
      <c r="F118" s="189"/>
      <c r="G118" s="170"/>
      <c r="H118" s="190"/>
      <c r="I118" s="191"/>
      <c r="J118" s="191" t="s">
        <v>749</v>
      </c>
      <c r="K118" s="186" t="s">
        <v>1128</v>
      </c>
      <c r="L118" s="191" t="s">
        <v>1211</v>
      </c>
      <c r="M118" s="369">
        <f>M$22</f>
        <v>0</v>
      </c>
      <c r="N118" s="369">
        <f t="shared" ref="N118:AA118" si="185">N$22</f>
        <v>0</v>
      </c>
      <c r="O118" s="369">
        <f t="shared" si="185"/>
        <v>0</v>
      </c>
      <c r="P118" s="369">
        <f t="shared" si="185"/>
        <v>0</v>
      </c>
      <c r="Q118" s="369">
        <f t="shared" si="185"/>
        <v>0</v>
      </c>
      <c r="R118" s="369">
        <f t="shared" si="185"/>
        <v>0</v>
      </c>
      <c r="S118" s="369">
        <f t="shared" si="185"/>
        <v>0</v>
      </c>
      <c r="T118" s="369">
        <f t="shared" si="185"/>
        <v>0</v>
      </c>
      <c r="U118" s="369">
        <f t="shared" si="185"/>
        <v>0</v>
      </c>
      <c r="V118" s="369">
        <f t="shared" si="185"/>
        <v>0</v>
      </c>
      <c r="W118" s="369">
        <f t="shared" si="185"/>
        <v>0</v>
      </c>
      <c r="X118" s="369">
        <f t="shared" si="185"/>
        <v>0</v>
      </c>
      <c r="Y118" s="369">
        <f t="shared" si="185"/>
        <v>0</v>
      </c>
      <c r="Z118" s="369">
        <f t="shared" si="185"/>
        <v>0</v>
      </c>
      <c r="AA118" s="369">
        <f t="shared" si="185"/>
        <v>0</v>
      </c>
      <c r="AC118" s="35" t="s">
        <v>1132</v>
      </c>
      <c r="AD118" s="622">
        <f>SUM(AE118:AS118)</f>
        <v>0</v>
      </c>
      <c r="AE118" s="81">
        <f t="shared" ref="AE118:AS118" si="186">M118*M119*M120/1000</f>
        <v>0</v>
      </c>
      <c r="AF118" s="81">
        <f t="shared" si="186"/>
        <v>0</v>
      </c>
      <c r="AG118" s="81">
        <f t="shared" si="186"/>
        <v>0</v>
      </c>
      <c r="AH118" s="81">
        <f t="shared" si="186"/>
        <v>0</v>
      </c>
      <c r="AI118" s="81">
        <f t="shared" si="186"/>
        <v>0</v>
      </c>
      <c r="AJ118" s="81">
        <f t="shared" si="186"/>
        <v>0</v>
      </c>
      <c r="AK118" s="81">
        <f t="shared" si="186"/>
        <v>0</v>
      </c>
      <c r="AL118" s="81">
        <f t="shared" si="186"/>
        <v>0</v>
      </c>
      <c r="AM118" s="81">
        <f t="shared" si="186"/>
        <v>0</v>
      </c>
      <c r="AN118" s="81">
        <f t="shared" si="186"/>
        <v>0</v>
      </c>
      <c r="AO118" s="81">
        <f t="shared" si="186"/>
        <v>0</v>
      </c>
      <c r="AP118" s="81">
        <f t="shared" si="186"/>
        <v>0</v>
      </c>
      <c r="AQ118" s="81">
        <f t="shared" si="186"/>
        <v>0</v>
      </c>
      <c r="AR118" s="81">
        <f t="shared" si="186"/>
        <v>0</v>
      </c>
      <c r="AS118" s="81">
        <f t="shared" si="186"/>
        <v>0</v>
      </c>
      <c r="AV118" s="700" t="str">
        <f t="shared" si="182"/>
        <v/>
      </c>
      <c r="AX118" s="568"/>
    </row>
    <row r="119" spans="1:64" s="35" customFormat="1" x14ac:dyDescent="0.25">
      <c r="B119" s="186" t="str">
        <f t="shared" si="184"/>
        <v>TTLRELC100</v>
      </c>
      <c r="C119" s="186"/>
      <c r="D119" s="187"/>
      <c r="E119" s="186"/>
      <c r="F119" s="189"/>
      <c r="G119" s="170"/>
      <c r="H119" s="190"/>
      <c r="I119" s="191"/>
      <c r="J119" s="191"/>
      <c r="K119" s="192" t="s">
        <v>1130</v>
      </c>
      <c r="L119" s="191" t="s">
        <v>1131</v>
      </c>
      <c r="M119" s="369">
        <f>LOOKUP($C$115, T_NCAP_AF!$C$349:$C$355,T_NCAP_AF!D$349:D$355)</f>
        <v>0</v>
      </c>
      <c r="N119" s="369">
        <f>LOOKUP($C$115, T_NCAP_AF!$C$349:$C$355,T_NCAP_AF!E$349:E$355)</f>
        <v>0</v>
      </c>
      <c r="O119" s="369">
        <f>LOOKUP($C$115, T_NCAP_AF!$C$349:$C$355,T_NCAP_AF!F$349:F$355)</f>
        <v>0</v>
      </c>
      <c r="P119" s="369">
        <f>LOOKUP($C$115, T_NCAP_AF!$C$349:$C$355,T_NCAP_AF!G$349:G$355)</f>
        <v>0</v>
      </c>
      <c r="Q119" s="369">
        <f>LOOKUP($C$115, T_NCAP_AF!$C$349:$C$355,T_NCAP_AF!H$349:H$355)</f>
        <v>0</v>
      </c>
      <c r="R119" s="369">
        <f>LOOKUP($C$115, T_NCAP_AF!$C$349:$C$355,T_NCAP_AF!I$349:I$355)</f>
        <v>0</v>
      </c>
      <c r="S119" s="369">
        <f>LOOKUP($C$115, T_NCAP_AF!$C$349:$C$355,T_NCAP_AF!J$349:J$355)</f>
        <v>0</v>
      </c>
      <c r="T119" s="369">
        <f>LOOKUP($C$115, T_NCAP_AF!$C$349:$C$355,T_NCAP_AF!K$349:K$355)</f>
        <v>0</v>
      </c>
      <c r="U119" s="369">
        <f>LOOKUP($C$115, T_NCAP_AF!$C$349:$C$355,T_NCAP_AF!L$349:L$355)</f>
        <v>0</v>
      </c>
      <c r="V119" s="369">
        <f>LOOKUP($C$115, T_NCAP_AF!$C$349:$C$355,T_NCAP_AF!M$349:M$355)</f>
        <v>0</v>
      </c>
      <c r="W119" s="369">
        <f>LOOKUP($C$115, T_NCAP_AF!$C$349:$C$355,T_NCAP_AF!N$349:N$355)</f>
        <v>0</v>
      </c>
      <c r="X119" s="369">
        <f>LOOKUP($C$115, T_NCAP_AF!$C$349:$C$355,T_NCAP_AF!O$349:O$355)</f>
        <v>0</v>
      </c>
      <c r="Y119" s="369">
        <f>LOOKUP($C$115, T_NCAP_AF!$C$349:$C$355,T_NCAP_AF!P$349:P$355)</f>
        <v>0</v>
      </c>
      <c r="Z119" s="369">
        <f>LOOKUP($C$115, T_NCAP_AF!$C$349:$C$355,T_NCAP_AF!Q$349:Q$355)</f>
        <v>0</v>
      </c>
      <c r="AA119" s="369">
        <f>LOOKUP($C$115, T_NCAP_AF!$C$349:$C$355,T_NCAP_AF!R$349:R$355)</f>
        <v>0</v>
      </c>
      <c r="AV119" s="700" t="str">
        <f t="shared" si="182"/>
        <v/>
      </c>
    </row>
    <row r="120" spans="1:64" s="35" customFormat="1" x14ac:dyDescent="0.25">
      <c r="B120" s="186" t="str">
        <f t="shared" si="184"/>
        <v>TTLRELC100</v>
      </c>
      <c r="C120" s="186"/>
      <c r="D120" s="187"/>
      <c r="E120" s="186"/>
      <c r="F120" s="189"/>
      <c r="G120" s="170"/>
      <c r="H120" s="190">
        <f>$L$3</f>
        <v>2019</v>
      </c>
      <c r="I120" s="191"/>
      <c r="J120" s="191"/>
      <c r="K120" s="192" t="s">
        <v>1065</v>
      </c>
      <c r="L120" s="191" t="s">
        <v>748</v>
      </c>
      <c r="M120" s="689">
        <f t="shared" ref="M120:AA120" si="187">IF(M119=0, 0, ROUNDUP((M14+M15)/M118/M119*1000, 8))</f>
        <v>0</v>
      </c>
      <c r="N120" s="689">
        <f t="shared" si="187"/>
        <v>0</v>
      </c>
      <c r="O120" s="689">
        <f t="shared" si="187"/>
        <v>0</v>
      </c>
      <c r="P120" s="689">
        <f t="shared" si="187"/>
        <v>0</v>
      </c>
      <c r="Q120" s="689">
        <f t="shared" si="187"/>
        <v>0</v>
      </c>
      <c r="R120" s="689">
        <f t="shared" si="187"/>
        <v>0</v>
      </c>
      <c r="S120" s="689">
        <f t="shared" si="187"/>
        <v>0</v>
      </c>
      <c r="T120" s="689">
        <f t="shared" si="187"/>
        <v>0</v>
      </c>
      <c r="U120" s="689">
        <f t="shared" si="187"/>
        <v>0</v>
      </c>
      <c r="V120" s="689">
        <f t="shared" si="187"/>
        <v>0</v>
      </c>
      <c r="W120" s="689">
        <f t="shared" si="187"/>
        <v>0</v>
      </c>
      <c r="X120" s="689">
        <f t="shared" si="187"/>
        <v>0</v>
      </c>
      <c r="Y120" s="689">
        <f t="shared" si="187"/>
        <v>0</v>
      </c>
      <c r="Z120" s="689">
        <f t="shared" si="187"/>
        <v>0</v>
      </c>
      <c r="AA120" s="689">
        <f t="shared" si="187"/>
        <v>0</v>
      </c>
      <c r="AV120" s="700" t="str">
        <f t="shared" si="182"/>
        <v/>
      </c>
    </row>
    <row r="121" spans="1:64" s="35" customFormat="1" x14ac:dyDescent="0.25">
      <c r="B121" s="186" t="str">
        <f t="shared" si="184"/>
        <v>TTLRELC100</v>
      </c>
      <c r="C121" s="186"/>
      <c r="D121" s="187"/>
      <c r="E121" s="186"/>
      <c r="F121" s="189"/>
      <c r="G121" s="170"/>
      <c r="H121" s="190">
        <f>AE$4</f>
        <v>2016</v>
      </c>
      <c r="I121" s="191"/>
      <c r="J121" s="191"/>
      <c r="K121" s="192" t="s">
        <v>1065</v>
      </c>
      <c r="L121" s="191" t="s">
        <v>748</v>
      </c>
      <c r="M121" s="687">
        <f t="shared" ref="M121:AA121" si="188">M120*LOOKUP($AC115,$AF$3:$AN$3,$AF$4:$AN$4)</f>
        <v>0</v>
      </c>
      <c r="N121" s="687">
        <f t="shared" si="188"/>
        <v>0</v>
      </c>
      <c r="O121" s="687">
        <f t="shared" si="188"/>
        <v>0</v>
      </c>
      <c r="P121" s="687">
        <f t="shared" si="188"/>
        <v>0</v>
      </c>
      <c r="Q121" s="687">
        <f t="shared" si="188"/>
        <v>0</v>
      </c>
      <c r="R121" s="687">
        <f t="shared" si="188"/>
        <v>0</v>
      </c>
      <c r="S121" s="687">
        <f t="shared" si="188"/>
        <v>0</v>
      </c>
      <c r="T121" s="687">
        <f t="shared" si="188"/>
        <v>0</v>
      </c>
      <c r="U121" s="687">
        <f t="shared" si="188"/>
        <v>0</v>
      </c>
      <c r="V121" s="687">
        <f t="shared" si="188"/>
        <v>0</v>
      </c>
      <c r="W121" s="687">
        <f t="shared" si="188"/>
        <v>0</v>
      </c>
      <c r="X121" s="687">
        <f t="shared" si="188"/>
        <v>0</v>
      </c>
      <c r="Y121" s="687">
        <f t="shared" si="188"/>
        <v>0</v>
      </c>
      <c r="Z121" s="687">
        <f t="shared" si="188"/>
        <v>0</v>
      </c>
      <c r="AA121" s="687">
        <f t="shared" si="188"/>
        <v>0</v>
      </c>
      <c r="AV121" s="700" t="str">
        <f t="shared" si="182"/>
        <v/>
      </c>
    </row>
    <row r="122" spans="1:64" s="35" customFormat="1" x14ac:dyDescent="0.25">
      <c r="B122" s="186" t="str">
        <f t="shared" si="184"/>
        <v>TTLRELC100</v>
      </c>
      <c r="C122" s="186"/>
      <c r="D122" s="187"/>
      <c r="E122" s="186"/>
      <c r="F122" s="189"/>
      <c r="G122" s="170"/>
      <c r="H122" s="190">
        <f>AE$5</f>
        <v>2020</v>
      </c>
      <c r="I122" s="191"/>
      <c r="J122" s="191"/>
      <c r="K122" s="192" t="s">
        <v>1065</v>
      </c>
      <c r="L122" s="191" t="s">
        <v>748</v>
      </c>
      <c r="M122" s="687">
        <f t="shared" ref="M122:AA122" si="189">M120*LOOKUP($AC115,$AF$3:$AN$3,$AF$5:$AN$5)</f>
        <v>0</v>
      </c>
      <c r="N122" s="687">
        <f t="shared" si="189"/>
        <v>0</v>
      </c>
      <c r="O122" s="687">
        <f t="shared" si="189"/>
        <v>0</v>
      </c>
      <c r="P122" s="687">
        <f t="shared" si="189"/>
        <v>0</v>
      </c>
      <c r="Q122" s="687">
        <f t="shared" si="189"/>
        <v>0</v>
      </c>
      <c r="R122" s="687">
        <f t="shared" si="189"/>
        <v>0</v>
      </c>
      <c r="S122" s="687">
        <f t="shared" si="189"/>
        <v>0</v>
      </c>
      <c r="T122" s="687">
        <f t="shared" si="189"/>
        <v>0</v>
      </c>
      <c r="U122" s="687">
        <f t="shared" si="189"/>
        <v>0</v>
      </c>
      <c r="V122" s="687">
        <f t="shared" si="189"/>
        <v>0</v>
      </c>
      <c r="W122" s="687">
        <f t="shared" si="189"/>
        <v>0</v>
      </c>
      <c r="X122" s="687">
        <f t="shared" si="189"/>
        <v>0</v>
      </c>
      <c r="Y122" s="687">
        <f t="shared" si="189"/>
        <v>0</v>
      </c>
      <c r="Z122" s="687">
        <f t="shared" si="189"/>
        <v>0</v>
      </c>
      <c r="AA122" s="687">
        <f t="shared" si="189"/>
        <v>0</v>
      </c>
      <c r="AV122" s="700" t="str">
        <f t="shared" si="182"/>
        <v/>
      </c>
    </row>
    <row r="123" spans="1:64" s="35" customFormat="1" x14ac:dyDescent="0.25">
      <c r="B123" s="186" t="str">
        <f t="shared" si="184"/>
        <v>TTLRELC100</v>
      </c>
      <c r="C123" s="186"/>
      <c r="D123" s="187"/>
      <c r="E123" s="186"/>
      <c r="F123" s="189"/>
      <c r="G123" s="170"/>
      <c r="H123" s="190">
        <f>AE$6</f>
        <v>2025</v>
      </c>
      <c r="I123" s="191"/>
      <c r="J123" s="191"/>
      <c r="K123" s="192" t="s">
        <v>1065</v>
      </c>
      <c r="L123" s="191" t="s">
        <v>748</v>
      </c>
      <c r="M123" s="687">
        <f t="shared" ref="M123:AA123" si="190">M120*LOOKUP($AC115,$AF$3:$AN$3,$AF$6:$AN$6)</f>
        <v>0</v>
      </c>
      <c r="N123" s="687">
        <f t="shared" si="190"/>
        <v>0</v>
      </c>
      <c r="O123" s="687">
        <f t="shared" si="190"/>
        <v>0</v>
      </c>
      <c r="P123" s="687">
        <f t="shared" si="190"/>
        <v>0</v>
      </c>
      <c r="Q123" s="687">
        <f t="shared" si="190"/>
        <v>0</v>
      </c>
      <c r="R123" s="687">
        <f t="shared" si="190"/>
        <v>0</v>
      </c>
      <c r="S123" s="687">
        <f t="shared" si="190"/>
        <v>0</v>
      </c>
      <c r="T123" s="687">
        <f t="shared" si="190"/>
        <v>0</v>
      </c>
      <c r="U123" s="687">
        <f t="shared" si="190"/>
        <v>0</v>
      </c>
      <c r="V123" s="687">
        <f t="shared" si="190"/>
        <v>0</v>
      </c>
      <c r="W123" s="687">
        <f t="shared" si="190"/>
        <v>0</v>
      </c>
      <c r="X123" s="687">
        <f t="shared" si="190"/>
        <v>0</v>
      </c>
      <c r="Y123" s="687">
        <f t="shared" si="190"/>
        <v>0</v>
      </c>
      <c r="Z123" s="687">
        <f t="shared" si="190"/>
        <v>0</v>
      </c>
      <c r="AA123" s="687">
        <f t="shared" si="190"/>
        <v>0</v>
      </c>
      <c r="AV123" s="700" t="str">
        <f t="shared" si="182"/>
        <v/>
      </c>
    </row>
    <row r="124" spans="1:64" s="35" customFormat="1" x14ac:dyDescent="0.25">
      <c r="B124" s="186" t="str">
        <f t="shared" si="184"/>
        <v>TTLRELC100</v>
      </c>
      <c r="C124" s="186"/>
      <c r="D124" s="187"/>
      <c r="E124" s="186"/>
      <c r="F124" s="189"/>
      <c r="G124" s="170"/>
      <c r="H124" s="190">
        <f>AE$7</f>
        <v>2030</v>
      </c>
      <c r="I124" s="191"/>
      <c r="J124" s="191"/>
      <c r="K124" s="192" t="s">
        <v>1065</v>
      </c>
      <c r="L124" s="191" t="s">
        <v>748</v>
      </c>
      <c r="M124" s="687">
        <f t="shared" ref="M124:AA124" si="191">M120*LOOKUP($AC115,$AF$3:$AN$3,$AF$7:$AN$7)</f>
        <v>0</v>
      </c>
      <c r="N124" s="687">
        <f t="shared" si="191"/>
        <v>0</v>
      </c>
      <c r="O124" s="687">
        <f t="shared" si="191"/>
        <v>0</v>
      </c>
      <c r="P124" s="687">
        <f t="shared" si="191"/>
        <v>0</v>
      </c>
      <c r="Q124" s="687">
        <f t="shared" si="191"/>
        <v>0</v>
      </c>
      <c r="R124" s="687">
        <f t="shared" si="191"/>
        <v>0</v>
      </c>
      <c r="S124" s="687">
        <f t="shared" si="191"/>
        <v>0</v>
      </c>
      <c r="T124" s="687">
        <f t="shared" si="191"/>
        <v>0</v>
      </c>
      <c r="U124" s="687">
        <f t="shared" si="191"/>
        <v>0</v>
      </c>
      <c r="V124" s="687">
        <f t="shared" si="191"/>
        <v>0</v>
      </c>
      <c r="W124" s="687">
        <f t="shared" si="191"/>
        <v>0</v>
      </c>
      <c r="X124" s="687">
        <f t="shared" si="191"/>
        <v>0</v>
      </c>
      <c r="Y124" s="687">
        <f t="shared" si="191"/>
        <v>0</v>
      </c>
      <c r="Z124" s="687">
        <f t="shared" si="191"/>
        <v>0</v>
      </c>
      <c r="AA124" s="687">
        <f t="shared" si="191"/>
        <v>0</v>
      </c>
      <c r="AV124" s="700" t="str">
        <f t="shared" si="182"/>
        <v/>
      </c>
    </row>
    <row r="125" spans="1:64" s="35" customFormat="1" x14ac:dyDescent="0.25">
      <c r="B125" s="186" t="str">
        <f t="shared" si="184"/>
        <v>TTLRELC100</v>
      </c>
      <c r="C125" s="186"/>
      <c r="D125" s="187"/>
      <c r="E125" s="186"/>
      <c r="F125" s="189"/>
      <c r="G125" s="170"/>
      <c r="H125" s="190">
        <f>AE$8</f>
        <v>2040</v>
      </c>
      <c r="I125" s="191"/>
      <c r="J125" s="191"/>
      <c r="K125" s="192" t="s">
        <v>1065</v>
      </c>
      <c r="L125" s="191" t="s">
        <v>748</v>
      </c>
      <c r="M125" s="687">
        <f t="shared" ref="M125:AA125" si="192">M120*LOOKUP($AC115,$AF$3:$AN$3,$AF$8:$AN$8)</f>
        <v>0</v>
      </c>
      <c r="N125" s="687">
        <f t="shared" si="192"/>
        <v>0</v>
      </c>
      <c r="O125" s="687">
        <f t="shared" si="192"/>
        <v>0</v>
      </c>
      <c r="P125" s="687">
        <f t="shared" si="192"/>
        <v>0</v>
      </c>
      <c r="Q125" s="687">
        <f t="shared" si="192"/>
        <v>0</v>
      </c>
      <c r="R125" s="687">
        <f t="shared" si="192"/>
        <v>0</v>
      </c>
      <c r="S125" s="687">
        <f t="shared" si="192"/>
        <v>0</v>
      </c>
      <c r="T125" s="687">
        <f t="shared" si="192"/>
        <v>0</v>
      </c>
      <c r="U125" s="687">
        <f t="shared" si="192"/>
        <v>0</v>
      </c>
      <c r="V125" s="687">
        <f t="shared" si="192"/>
        <v>0</v>
      </c>
      <c r="W125" s="687">
        <f t="shared" si="192"/>
        <v>0</v>
      </c>
      <c r="X125" s="687">
        <f t="shared" si="192"/>
        <v>0</v>
      </c>
      <c r="Y125" s="687">
        <f t="shared" si="192"/>
        <v>0</v>
      </c>
      <c r="Z125" s="687">
        <f t="shared" si="192"/>
        <v>0</v>
      </c>
      <c r="AA125" s="687">
        <f t="shared" si="192"/>
        <v>0</v>
      </c>
      <c r="AV125" s="700" t="str">
        <f t="shared" si="182"/>
        <v/>
      </c>
    </row>
    <row r="126" spans="1:64" s="35" customFormat="1" x14ac:dyDescent="0.25">
      <c r="B126" s="193" t="str">
        <f t="shared" si="184"/>
        <v>TTLRELC100</v>
      </c>
      <c r="C126" s="193"/>
      <c r="D126" s="194"/>
      <c r="E126" s="193"/>
      <c r="F126" s="195"/>
      <c r="G126" s="196"/>
      <c r="H126" s="197">
        <f>AE$9</f>
        <v>2050</v>
      </c>
      <c r="I126" s="198"/>
      <c r="J126" s="198"/>
      <c r="K126" s="199" t="s">
        <v>1065</v>
      </c>
      <c r="L126" s="198" t="s">
        <v>748</v>
      </c>
      <c r="M126" s="688">
        <f t="shared" ref="M126:AA126" si="193">M120*LOOKUP($AC115,$AF$3:$AN$3,$AF$9:$AN$9)</f>
        <v>0</v>
      </c>
      <c r="N126" s="688">
        <f t="shared" si="193"/>
        <v>0</v>
      </c>
      <c r="O126" s="688">
        <f t="shared" si="193"/>
        <v>0</v>
      </c>
      <c r="P126" s="688">
        <f t="shared" si="193"/>
        <v>0</v>
      </c>
      <c r="Q126" s="688">
        <f t="shared" si="193"/>
        <v>0</v>
      </c>
      <c r="R126" s="688">
        <f t="shared" si="193"/>
        <v>0</v>
      </c>
      <c r="S126" s="688">
        <f t="shared" si="193"/>
        <v>0</v>
      </c>
      <c r="T126" s="688">
        <f t="shared" si="193"/>
        <v>0</v>
      </c>
      <c r="U126" s="688">
        <f t="shared" si="193"/>
        <v>0</v>
      </c>
      <c r="V126" s="688">
        <f t="shared" si="193"/>
        <v>0</v>
      </c>
      <c r="W126" s="688">
        <f t="shared" si="193"/>
        <v>0</v>
      </c>
      <c r="X126" s="688">
        <f t="shared" si="193"/>
        <v>0</v>
      </c>
      <c r="Y126" s="688">
        <f t="shared" si="193"/>
        <v>0</v>
      </c>
      <c r="Z126" s="688">
        <f t="shared" si="193"/>
        <v>0</v>
      </c>
      <c r="AA126" s="688">
        <f t="shared" si="193"/>
        <v>0</v>
      </c>
      <c r="AV126" s="700" t="str">
        <f t="shared" si="182"/>
        <v/>
      </c>
    </row>
    <row r="127" spans="1:64" s="35" customFormat="1" x14ac:dyDescent="0.25">
      <c r="A127" s="22"/>
      <c r="B127" s="186" t="str">
        <f>C127</f>
        <v>TTMEELC100</v>
      </c>
      <c r="C127" s="186" t="s">
        <v>219</v>
      </c>
      <c r="D127" s="187" t="s">
        <v>890</v>
      </c>
      <c r="E127" s="188" t="s">
        <v>1008</v>
      </c>
      <c r="F127" s="189"/>
      <c r="G127" s="170"/>
      <c r="H127" s="190"/>
      <c r="I127" s="191"/>
      <c r="J127" s="191"/>
      <c r="K127" s="192" t="s">
        <v>1107</v>
      </c>
      <c r="L127" s="191" t="s">
        <v>1125</v>
      </c>
      <c r="M127" s="366">
        <f>M$115</f>
        <v>1E-3</v>
      </c>
      <c r="N127" s="366">
        <f t="shared" ref="N127:AA127" si="194">$M127</f>
        <v>1E-3</v>
      </c>
      <c r="O127" s="366">
        <f t="shared" si="194"/>
        <v>1E-3</v>
      </c>
      <c r="P127" s="366">
        <f t="shared" si="194"/>
        <v>1E-3</v>
      </c>
      <c r="Q127" s="366">
        <f t="shared" si="194"/>
        <v>1E-3</v>
      </c>
      <c r="R127" s="366">
        <f t="shared" si="194"/>
        <v>1E-3</v>
      </c>
      <c r="S127" s="366">
        <f t="shared" si="194"/>
        <v>1E-3</v>
      </c>
      <c r="T127" s="366">
        <f t="shared" si="194"/>
        <v>1E-3</v>
      </c>
      <c r="U127" s="366">
        <f t="shared" si="194"/>
        <v>1E-3</v>
      </c>
      <c r="V127" s="366">
        <f t="shared" si="194"/>
        <v>1E-3</v>
      </c>
      <c r="W127" s="366">
        <f t="shared" si="194"/>
        <v>1E-3</v>
      </c>
      <c r="X127" s="366">
        <f t="shared" si="194"/>
        <v>1E-3</v>
      </c>
      <c r="Y127" s="366">
        <f t="shared" si="194"/>
        <v>1E-3</v>
      </c>
      <c r="Z127" s="366">
        <f t="shared" si="194"/>
        <v>1E-3</v>
      </c>
      <c r="AA127" s="366">
        <f t="shared" si="194"/>
        <v>1E-3</v>
      </c>
      <c r="AC127" s="402" t="str">
        <f>RIGHT(E127,3)</f>
        <v>ELR</v>
      </c>
      <c r="AD127" s="625" t="str">
        <f>IF(AD130-SUM(AC16:AC17)&lt;0,"too small",IF(AD130-SUM(AC16:AC17)&gt;0.001,"Too big","ok"))</f>
        <v>ok</v>
      </c>
      <c r="AE127" s="619" t="str">
        <f t="shared" ref="AE127:AS127" si="195">IF(AE130-SUM(M16:M17)&lt;0,"too small",IF(AE130-SUM(M16:M17)&gt;0.001,"Too big","ok"))</f>
        <v>ok</v>
      </c>
      <c r="AF127" s="619" t="str">
        <f t="shared" si="195"/>
        <v>ok</v>
      </c>
      <c r="AG127" s="619" t="str">
        <f t="shared" si="195"/>
        <v>ok</v>
      </c>
      <c r="AH127" s="619" t="str">
        <f t="shared" si="195"/>
        <v>ok</v>
      </c>
      <c r="AI127" s="619" t="str">
        <f t="shared" si="195"/>
        <v>ok</v>
      </c>
      <c r="AJ127" s="619" t="str">
        <f t="shared" si="195"/>
        <v>ok</v>
      </c>
      <c r="AK127" s="619" t="str">
        <f t="shared" si="195"/>
        <v>ok</v>
      </c>
      <c r="AL127" s="619" t="str">
        <f t="shared" si="195"/>
        <v>ok</v>
      </c>
      <c r="AM127" s="619" t="str">
        <f t="shared" si="195"/>
        <v>ok</v>
      </c>
      <c r="AN127" s="619" t="str">
        <f t="shared" si="195"/>
        <v>ok</v>
      </c>
      <c r="AO127" s="619" t="str">
        <f t="shared" si="195"/>
        <v>ok</v>
      </c>
      <c r="AP127" s="619" t="str">
        <f t="shared" si="195"/>
        <v>ok</v>
      </c>
      <c r="AQ127" s="619" t="str">
        <f t="shared" si="195"/>
        <v>ok</v>
      </c>
      <c r="AR127" s="619" t="str">
        <f t="shared" si="195"/>
        <v>ok</v>
      </c>
      <c r="AS127" s="619" t="str">
        <f t="shared" si="195"/>
        <v>ok</v>
      </c>
      <c r="AV127" s="700" t="str">
        <f t="shared" si="182"/>
        <v>TRAELR</v>
      </c>
      <c r="AW127" s="568">
        <f>SUM(AX127:BL127)</f>
        <v>0</v>
      </c>
      <c r="AX127" s="568">
        <f>M131*M132/M128/1000</f>
        <v>0</v>
      </c>
      <c r="AY127" s="568">
        <f t="shared" ref="AY127" si="196">N131*N132/N128/1000</f>
        <v>0</v>
      </c>
      <c r="AZ127" s="568">
        <f t="shared" ref="AZ127" si="197">O131*O132/O128/1000</f>
        <v>0</v>
      </c>
      <c r="BA127" s="568">
        <f t="shared" ref="BA127" si="198">P131*P132/P128/1000</f>
        <v>0</v>
      </c>
      <c r="BB127" s="568">
        <f t="shared" ref="BB127" si="199">Q131*Q132/Q128/1000</f>
        <v>0</v>
      </c>
      <c r="BC127" s="568">
        <f t="shared" ref="BC127" si="200">R131*R132/R128/1000</f>
        <v>0</v>
      </c>
      <c r="BD127" s="568">
        <f t="shared" ref="BD127" si="201">S131*S132/S128/1000</f>
        <v>0</v>
      </c>
      <c r="BE127" s="568">
        <f t="shared" ref="BE127" si="202">T131*T132/T128/1000</f>
        <v>0</v>
      </c>
      <c r="BF127" s="568">
        <f t="shared" ref="BF127" si="203">U131*U132/U128/1000</f>
        <v>0</v>
      </c>
      <c r="BG127" s="568">
        <f t="shared" ref="BG127" si="204">V131*V132/V128/1000</f>
        <v>0</v>
      </c>
      <c r="BH127" s="568">
        <f t="shared" ref="BH127" si="205">W131*W132/W128/1000</f>
        <v>0</v>
      </c>
      <c r="BI127" s="568">
        <f t="shared" ref="BI127" si="206">X131*X132/X128/1000</f>
        <v>0</v>
      </c>
      <c r="BJ127" s="568">
        <f t="shared" ref="BJ127" si="207">Y131*Y132/Y128/1000</f>
        <v>0</v>
      </c>
      <c r="BK127" s="568">
        <f t="shared" ref="BK127" si="208">Z131*Z132/Z128/1000</f>
        <v>0</v>
      </c>
      <c r="BL127" s="568">
        <f t="shared" ref="BL127" si="209">AA131*AA132/AA128/1000</f>
        <v>0</v>
      </c>
    </row>
    <row r="128" spans="1:64" s="35" customFormat="1" x14ac:dyDescent="0.25">
      <c r="A128" s="22"/>
      <c r="B128" s="186" t="str">
        <f>B127</f>
        <v>TTMEELC100</v>
      </c>
      <c r="C128" s="186"/>
      <c r="D128" s="187"/>
      <c r="E128" s="188"/>
      <c r="F128" s="189" t="s">
        <v>513</v>
      </c>
      <c r="G128" s="170"/>
      <c r="H128" s="190"/>
      <c r="I128" s="191"/>
      <c r="J128" s="191"/>
      <c r="K128" s="186" t="s">
        <v>1126</v>
      </c>
      <c r="L128" s="191" t="s">
        <v>678</v>
      </c>
      <c r="M128" s="377">
        <f>LOOKUP($C$127, T_CEFF!$C$300:$C$306, T_CEFF!H$300:H$306)</f>
        <v>1.7610000000000001E-2</v>
      </c>
      <c r="N128" s="377">
        <f>LOOKUP($C$127, T_CEFF!$C$300:$C$306, T_CEFF!I$300:I$306)</f>
        <v>1.7610000000000001E-2</v>
      </c>
      <c r="O128" s="377">
        <f>LOOKUP($C$127, T_CEFF!$C$300:$C$306, T_CEFF!J$300:J$306)</f>
        <v>1.7610000000000001E-2</v>
      </c>
      <c r="P128" s="377">
        <f>LOOKUP($C$127, T_CEFF!$C$300:$C$306, T_CEFF!K$300:K$306)</f>
        <v>1.7610000000000001E-2</v>
      </c>
      <c r="Q128" s="377">
        <f>LOOKUP($C$127, T_CEFF!$C$300:$C$306, T_CEFF!L$300:L$306)</f>
        <v>1.7610000000000001E-2</v>
      </c>
      <c r="R128" s="377">
        <f>LOOKUP($C$127, T_CEFF!$C$300:$C$306, T_CEFF!M$300:M$306)</f>
        <v>1.7610000000000001E-2</v>
      </c>
      <c r="S128" s="377">
        <f>LOOKUP($C$127, T_CEFF!$C$300:$C$306, T_CEFF!N$300:N$306)</f>
        <v>1.7610000000000001E-2</v>
      </c>
      <c r="T128" s="377">
        <f>LOOKUP($C$127, T_CEFF!$C$300:$C$306, T_CEFF!O$300:O$306)</f>
        <v>1.7610000000000001E-2</v>
      </c>
      <c r="U128" s="377">
        <f>LOOKUP($C$127, T_CEFF!$C$300:$C$306, T_CEFF!P$300:P$306)</f>
        <v>1.7610000000000001E-2</v>
      </c>
      <c r="V128" s="377">
        <f>LOOKUP($C$127, T_CEFF!$C$300:$C$306, T_CEFF!Q$300:Q$306)</f>
        <v>1.7610000000000001E-2</v>
      </c>
      <c r="W128" s="377">
        <f>LOOKUP($C$127, T_CEFF!$C$300:$C$306, T_CEFF!R$300:R$306)</f>
        <v>1.7610000000000001E-2</v>
      </c>
      <c r="X128" s="377">
        <f>LOOKUP($C$127, T_CEFF!$C$300:$C$306, T_CEFF!S$300:S$306)</f>
        <v>1.7610000000000001E-2</v>
      </c>
      <c r="Y128" s="377">
        <f>LOOKUP($C$127, T_CEFF!$C$300:$C$306, T_CEFF!T$300:T$306)</f>
        <v>1.7610000000000001E-2</v>
      </c>
      <c r="Z128" s="377">
        <f>LOOKUP($C$127, T_CEFF!$C$300:$C$306, T_CEFF!U$300:U$306)</f>
        <v>1.7610000000000001E-2</v>
      </c>
      <c r="AA128" s="377">
        <f>LOOKUP($C$127, T_CEFF!$C$300:$C$306, T_CEFF!V$300:V$306)</f>
        <v>1.7610000000000001E-2</v>
      </c>
      <c r="AC128" s="66" t="str">
        <f>IF(COUNTIF($AF$3:$AN$3,AC127)=1,"ok","MISSING")</f>
        <v>ok</v>
      </c>
      <c r="AD128" s="633"/>
      <c r="AE128" s="619"/>
      <c r="AF128" s="619"/>
      <c r="AG128" s="619"/>
      <c r="AH128" s="619"/>
      <c r="AI128" s="619"/>
      <c r="AJ128" s="619"/>
      <c r="AK128" s="619"/>
      <c r="AL128" s="619"/>
      <c r="AM128" s="619"/>
      <c r="AN128" s="619"/>
      <c r="AO128" s="619"/>
      <c r="AP128" s="619"/>
      <c r="AQ128" s="619"/>
      <c r="AR128" s="619"/>
      <c r="AS128" s="619"/>
      <c r="AV128" s="700" t="str">
        <f t="shared" si="182"/>
        <v/>
      </c>
      <c r="AW128" s="568"/>
      <c r="AX128" s="568"/>
      <c r="AY128" s="568"/>
      <c r="AZ128" s="568"/>
      <c r="BA128" s="568"/>
      <c r="BB128" s="568"/>
      <c r="BC128" s="568"/>
      <c r="BD128" s="568"/>
      <c r="BE128" s="568"/>
      <c r="BF128" s="568"/>
      <c r="BG128" s="568"/>
      <c r="BH128" s="568"/>
      <c r="BI128" s="568"/>
      <c r="BJ128" s="568"/>
      <c r="BK128" s="568"/>
      <c r="BL128" s="568"/>
    </row>
    <row r="129" spans="1:48" s="35" customFormat="1" x14ac:dyDescent="0.25">
      <c r="B129" s="186" t="str">
        <f t="shared" ref="B129:B138" si="210">B128</f>
        <v>TTMEELC100</v>
      </c>
      <c r="C129" s="186"/>
      <c r="D129" s="186"/>
      <c r="E129" s="188"/>
      <c r="F129" s="189" t="s">
        <v>620</v>
      </c>
      <c r="G129" s="170"/>
      <c r="H129" s="190"/>
      <c r="I129" s="191"/>
      <c r="J129" s="191"/>
      <c r="K129" s="186" t="s">
        <v>1126</v>
      </c>
      <c r="L129" s="191" t="s">
        <v>678</v>
      </c>
      <c r="M129" s="377">
        <f>LOOKUP($C$127, T_CEFF!$C$300:$C$306, T_CEFF!H$300:H$306)</f>
        <v>1.7610000000000001E-2</v>
      </c>
      <c r="N129" s="377">
        <f>LOOKUP($C$127, T_CEFF!$C$300:$C$306, T_CEFF!I$300:I$306)</f>
        <v>1.7610000000000001E-2</v>
      </c>
      <c r="O129" s="377">
        <f>LOOKUP($C$127, T_CEFF!$C$300:$C$306, T_CEFF!J$300:J$306)</f>
        <v>1.7610000000000001E-2</v>
      </c>
      <c r="P129" s="377">
        <f>LOOKUP($C$127, T_CEFF!$C$300:$C$306, T_CEFF!K$300:K$306)</f>
        <v>1.7610000000000001E-2</v>
      </c>
      <c r="Q129" s="377">
        <f>LOOKUP($C$127, T_CEFF!$C$300:$C$306, T_CEFF!L$300:L$306)</f>
        <v>1.7610000000000001E-2</v>
      </c>
      <c r="R129" s="377">
        <f>LOOKUP($C$127, T_CEFF!$C$300:$C$306, T_CEFF!M$300:M$306)</f>
        <v>1.7610000000000001E-2</v>
      </c>
      <c r="S129" s="377">
        <f>LOOKUP($C$127, T_CEFF!$C$300:$C$306, T_CEFF!N$300:N$306)</f>
        <v>1.7610000000000001E-2</v>
      </c>
      <c r="T129" s="377">
        <f>LOOKUP($C$127, T_CEFF!$C$300:$C$306, T_CEFF!O$300:O$306)</f>
        <v>1.7610000000000001E-2</v>
      </c>
      <c r="U129" s="377">
        <f>LOOKUP($C$127, T_CEFF!$C$300:$C$306, T_CEFF!P$300:P$306)</f>
        <v>1.7610000000000001E-2</v>
      </c>
      <c r="V129" s="377">
        <f>LOOKUP($C$127, T_CEFF!$C$300:$C$306, T_CEFF!Q$300:Q$306)</f>
        <v>1.7610000000000001E-2</v>
      </c>
      <c r="W129" s="377">
        <f>LOOKUP($C$127, T_CEFF!$C$300:$C$306, T_CEFF!R$300:R$306)</f>
        <v>1.7610000000000001E-2</v>
      </c>
      <c r="X129" s="377">
        <f>LOOKUP($C$127, T_CEFF!$C$300:$C$306, T_CEFF!S$300:S$306)</f>
        <v>1.7610000000000001E-2</v>
      </c>
      <c r="Y129" s="377">
        <f>LOOKUP($C$127, T_CEFF!$C$300:$C$306, T_CEFF!T$300:T$306)</f>
        <v>1.7610000000000001E-2</v>
      </c>
      <c r="Z129" s="377">
        <f>LOOKUP($C$127, T_CEFF!$C$300:$C$306, T_CEFF!U$300:U$306)</f>
        <v>1.7610000000000001E-2</v>
      </c>
      <c r="AA129" s="377">
        <f>LOOKUP($C$127, T_CEFF!$C$300:$C$306, T_CEFF!V$300:V$306)</f>
        <v>1.7610000000000001E-2</v>
      </c>
      <c r="AV129" s="700" t="str">
        <f t="shared" si="182"/>
        <v/>
      </c>
    </row>
    <row r="130" spans="1:48" s="35" customFormat="1" x14ac:dyDescent="0.25">
      <c r="B130" s="186" t="str">
        <f t="shared" si="210"/>
        <v>TTMEELC100</v>
      </c>
      <c r="C130" s="186"/>
      <c r="D130" s="187"/>
      <c r="E130" s="186"/>
      <c r="F130" s="189"/>
      <c r="G130" s="170"/>
      <c r="H130" s="190"/>
      <c r="I130" s="191"/>
      <c r="J130" s="191" t="s">
        <v>749</v>
      </c>
      <c r="K130" s="186" t="s">
        <v>1128</v>
      </c>
      <c r="L130" s="191" t="s">
        <v>1211</v>
      </c>
      <c r="M130" s="369">
        <f>M$23</f>
        <v>0</v>
      </c>
      <c r="N130" s="369">
        <f t="shared" ref="N130:AA130" si="211">N$23</f>
        <v>0</v>
      </c>
      <c r="O130" s="369">
        <f t="shared" si="211"/>
        <v>0</v>
      </c>
      <c r="P130" s="369">
        <f t="shared" si="211"/>
        <v>0</v>
      </c>
      <c r="Q130" s="369">
        <f t="shared" si="211"/>
        <v>0</v>
      </c>
      <c r="R130" s="369">
        <f t="shared" si="211"/>
        <v>0</v>
      </c>
      <c r="S130" s="369">
        <f t="shared" si="211"/>
        <v>0</v>
      </c>
      <c r="T130" s="369">
        <f t="shared" si="211"/>
        <v>0</v>
      </c>
      <c r="U130" s="369">
        <f t="shared" si="211"/>
        <v>0</v>
      </c>
      <c r="V130" s="369">
        <f t="shared" si="211"/>
        <v>0</v>
      </c>
      <c r="W130" s="369">
        <f t="shared" si="211"/>
        <v>0</v>
      </c>
      <c r="X130" s="369">
        <f t="shared" si="211"/>
        <v>0</v>
      </c>
      <c r="Y130" s="369">
        <f t="shared" si="211"/>
        <v>0</v>
      </c>
      <c r="Z130" s="369">
        <f t="shared" si="211"/>
        <v>0</v>
      </c>
      <c r="AA130" s="369">
        <f t="shared" si="211"/>
        <v>0</v>
      </c>
      <c r="AC130" s="35" t="s">
        <v>1132</v>
      </c>
      <c r="AD130" s="622">
        <f>SUM(AE130:AS130)</f>
        <v>0</v>
      </c>
      <c r="AE130" s="81">
        <f t="shared" ref="AE130:AS130" si="212">M130*M131*M132/1000</f>
        <v>0</v>
      </c>
      <c r="AF130" s="81">
        <f t="shared" si="212"/>
        <v>0</v>
      </c>
      <c r="AG130" s="81">
        <f t="shared" si="212"/>
        <v>0</v>
      </c>
      <c r="AH130" s="81">
        <f t="shared" si="212"/>
        <v>0</v>
      </c>
      <c r="AI130" s="81">
        <f t="shared" si="212"/>
        <v>0</v>
      </c>
      <c r="AJ130" s="81">
        <f t="shared" si="212"/>
        <v>0</v>
      </c>
      <c r="AK130" s="81">
        <f t="shared" si="212"/>
        <v>0</v>
      </c>
      <c r="AL130" s="81">
        <f t="shared" si="212"/>
        <v>0</v>
      </c>
      <c r="AM130" s="81">
        <f t="shared" si="212"/>
        <v>0</v>
      </c>
      <c r="AN130" s="81">
        <f t="shared" si="212"/>
        <v>0</v>
      </c>
      <c r="AO130" s="81">
        <f t="shared" si="212"/>
        <v>0</v>
      </c>
      <c r="AP130" s="81">
        <f t="shared" si="212"/>
        <v>0</v>
      </c>
      <c r="AQ130" s="81">
        <f t="shared" si="212"/>
        <v>0</v>
      </c>
      <c r="AR130" s="81">
        <f t="shared" si="212"/>
        <v>0</v>
      </c>
      <c r="AS130" s="81">
        <f t="shared" si="212"/>
        <v>0</v>
      </c>
      <c r="AV130" s="700" t="str">
        <f t="shared" si="182"/>
        <v/>
      </c>
    </row>
    <row r="131" spans="1:48" s="35" customFormat="1" x14ac:dyDescent="0.25">
      <c r="B131" s="186" t="str">
        <f t="shared" si="210"/>
        <v>TTMEELC100</v>
      </c>
      <c r="C131" s="186"/>
      <c r="D131" s="187"/>
      <c r="E131" s="186"/>
      <c r="F131" s="189"/>
      <c r="G131" s="170"/>
      <c r="H131" s="190"/>
      <c r="I131" s="191"/>
      <c r="J131" s="191"/>
      <c r="K131" s="192" t="s">
        <v>1130</v>
      </c>
      <c r="L131" s="191" t="s">
        <v>1131</v>
      </c>
      <c r="M131" s="369">
        <f>LOOKUP($C$127, T_NCAP_AF!$C$349:$C$355,T_NCAP_AF!D$349:D$355)</f>
        <v>0</v>
      </c>
      <c r="N131" s="369">
        <f>LOOKUP($C$127, T_NCAP_AF!$C$349:$C$355,T_NCAP_AF!E$349:E$355)</f>
        <v>0</v>
      </c>
      <c r="O131" s="369">
        <f>LOOKUP($C$127, T_NCAP_AF!$C$349:$C$355,T_NCAP_AF!F$349:F$355)</f>
        <v>0</v>
      </c>
      <c r="P131" s="369">
        <f>LOOKUP($C$127, T_NCAP_AF!$C$349:$C$355,T_NCAP_AF!G$349:G$355)</f>
        <v>0</v>
      </c>
      <c r="Q131" s="369">
        <f>LOOKUP($C$127, T_NCAP_AF!$C$349:$C$355,T_NCAP_AF!H$349:H$355)</f>
        <v>0</v>
      </c>
      <c r="R131" s="369">
        <f>LOOKUP($C$127, T_NCAP_AF!$C$349:$C$355,T_NCAP_AF!I$349:I$355)</f>
        <v>0</v>
      </c>
      <c r="S131" s="369">
        <f>LOOKUP($C$127, T_NCAP_AF!$C$349:$C$355,T_NCAP_AF!J$349:J$355)</f>
        <v>0</v>
      </c>
      <c r="T131" s="369">
        <f>LOOKUP($C$127, T_NCAP_AF!$C$349:$C$355,T_NCAP_AF!K$349:K$355)</f>
        <v>0</v>
      </c>
      <c r="U131" s="369">
        <f>LOOKUP($C$127, T_NCAP_AF!$C$349:$C$355,T_NCAP_AF!L$349:L$355)</f>
        <v>0</v>
      </c>
      <c r="V131" s="369">
        <f>LOOKUP($C$127, T_NCAP_AF!$C$349:$C$355,T_NCAP_AF!M$349:M$355)</f>
        <v>0</v>
      </c>
      <c r="W131" s="369">
        <f>LOOKUP($C$127, T_NCAP_AF!$C$349:$C$355,T_NCAP_AF!N$349:N$355)</f>
        <v>0</v>
      </c>
      <c r="X131" s="369">
        <f>LOOKUP($C$127, T_NCAP_AF!$C$349:$C$355,T_NCAP_AF!O$349:O$355)</f>
        <v>0</v>
      </c>
      <c r="Y131" s="369">
        <f>LOOKUP($C$127, T_NCAP_AF!$C$349:$C$355,T_NCAP_AF!P$349:P$355)</f>
        <v>0</v>
      </c>
      <c r="Z131" s="369">
        <f>LOOKUP($C$127, T_NCAP_AF!$C$349:$C$355,T_NCAP_AF!Q$349:Q$355)</f>
        <v>0</v>
      </c>
      <c r="AA131" s="369">
        <f>LOOKUP($C$127, T_NCAP_AF!$C$349:$C$355,T_NCAP_AF!R$349:R$355)</f>
        <v>0</v>
      </c>
      <c r="AV131" s="700" t="str">
        <f t="shared" si="182"/>
        <v/>
      </c>
    </row>
    <row r="132" spans="1:48" s="35" customFormat="1" x14ac:dyDescent="0.25">
      <c r="B132" s="186" t="str">
        <f t="shared" si="210"/>
        <v>TTMEELC100</v>
      </c>
      <c r="C132" s="186"/>
      <c r="D132" s="187"/>
      <c r="E132" s="186"/>
      <c r="F132" s="189"/>
      <c r="G132" s="170"/>
      <c r="H132" s="190">
        <f>$L$3</f>
        <v>2019</v>
      </c>
      <c r="I132" s="191"/>
      <c r="J132" s="191"/>
      <c r="K132" s="192" t="s">
        <v>1065</v>
      </c>
      <c r="L132" s="191" t="s">
        <v>748</v>
      </c>
      <c r="M132" s="689">
        <f t="shared" ref="M132:AA132" si="213">IF(M131=0,0,ROUNDUP((M16+M17)/M130/M131*1000,8))</f>
        <v>0</v>
      </c>
      <c r="N132" s="689">
        <f t="shared" si="213"/>
        <v>0</v>
      </c>
      <c r="O132" s="689">
        <f t="shared" si="213"/>
        <v>0</v>
      </c>
      <c r="P132" s="689">
        <f t="shared" si="213"/>
        <v>0</v>
      </c>
      <c r="Q132" s="689">
        <f t="shared" si="213"/>
        <v>0</v>
      </c>
      <c r="R132" s="689">
        <f t="shared" si="213"/>
        <v>0</v>
      </c>
      <c r="S132" s="689">
        <f t="shared" si="213"/>
        <v>0</v>
      </c>
      <c r="T132" s="689">
        <f t="shared" si="213"/>
        <v>0</v>
      </c>
      <c r="U132" s="689">
        <f t="shared" si="213"/>
        <v>0</v>
      </c>
      <c r="V132" s="689">
        <f t="shared" si="213"/>
        <v>0</v>
      </c>
      <c r="W132" s="689">
        <f t="shared" si="213"/>
        <v>0</v>
      </c>
      <c r="X132" s="689">
        <f t="shared" si="213"/>
        <v>0</v>
      </c>
      <c r="Y132" s="689">
        <f t="shared" si="213"/>
        <v>0</v>
      </c>
      <c r="Z132" s="689">
        <f t="shared" si="213"/>
        <v>0</v>
      </c>
      <c r="AA132" s="689">
        <f t="shared" si="213"/>
        <v>0</v>
      </c>
      <c r="AV132" s="700" t="str">
        <f t="shared" si="182"/>
        <v/>
      </c>
    </row>
    <row r="133" spans="1:48" s="35" customFormat="1" x14ac:dyDescent="0.25">
      <c r="B133" s="186" t="str">
        <f t="shared" si="210"/>
        <v>TTMEELC100</v>
      </c>
      <c r="C133" s="186"/>
      <c r="D133" s="187"/>
      <c r="E133" s="186"/>
      <c r="F133" s="189"/>
      <c r="G133" s="170"/>
      <c r="H133" s="190">
        <f>AE$4</f>
        <v>2016</v>
      </c>
      <c r="I133" s="191"/>
      <c r="J133" s="191"/>
      <c r="K133" s="192" t="s">
        <v>1065</v>
      </c>
      <c r="L133" s="191" t="s">
        <v>748</v>
      </c>
      <c r="M133" s="687">
        <f t="shared" ref="M133:AA133" si="214">M132*LOOKUP($AC127,$AF$3:$AN$3,$AF$4:$AN$4)</f>
        <v>0</v>
      </c>
      <c r="N133" s="687">
        <f t="shared" si="214"/>
        <v>0</v>
      </c>
      <c r="O133" s="687">
        <f t="shared" si="214"/>
        <v>0</v>
      </c>
      <c r="P133" s="687">
        <f t="shared" si="214"/>
        <v>0</v>
      </c>
      <c r="Q133" s="687">
        <f t="shared" si="214"/>
        <v>0</v>
      </c>
      <c r="R133" s="687">
        <f t="shared" si="214"/>
        <v>0</v>
      </c>
      <c r="S133" s="687">
        <f t="shared" si="214"/>
        <v>0</v>
      </c>
      <c r="T133" s="687">
        <f t="shared" si="214"/>
        <v>0</v>
      </c>
      <c r="U133" s="687">
        <f t="shared" si="214"/>
        <v>0</v>
      </c>
      <c r="V133" s="687">
        <f t="shared" si="214"/>
        <v>0</v>
      </c>
      <c r="W133" s="687">
        <f t="shared" si="214"/>
        <v>0</v>
      </c>
      <c r="X133" s="687">
        <f t="shared" si="214"/>
        <v>0</v>
      </c>
      <c r="Y133" s="687">
        <f t="shared" si="214"/>
        <v>0</v>
      </c>
      <c r="Z133" s="687">
        <f t="shared" si="214"/>
        <v>0</v>
      </c>
      <c r="AA133" s="687">
        <f t="shared" si="214"/>
        <v>0</v>
      </c>
      <c r="AV133" s="700" t="str">
        <f t="shared" si="182"/>
        <v/>
      </c>
    </row>
    <row r="134" spans="1:48" s="35" customFormat="1" x14ac:dyDescent="0.25">
      <c r="B134" s="186" t="str">
        <f t="shared" si="210"/>
        <v>TTMEELC100</v>
      </c>
      <c r="C134" s="186"/>
      <c r="D134" s="187"/>
      <c r="E134" s="186"/>
      <c r="F134" s="189"/>
      <c r="G134" s="170"/>
      <c r="H134" s="190">
        <f>AE$5</f>
        <v>2020</v>
      </c>
      <c r="I134" s="191"/>
      <c r="J134" s="191"/>
      <c r="K134" s="192" t="s">
        <v>1065</v>
      </c>
      <c r="L134" s="191" t="s">
        <v>748</v>
      </c>
      <c r="M134" s="687">
        <f t="shared" ref="M134:AA134" si="215">M132*LOOKUP($AC127,$AF$3:$AN$3,$AF$5:$AN$5)</f>
        <v>0</v>
      </c>
      <c r="N134" s="687">
        <f t="shared" si="215"/>
        <v>0</v>
      </c>
      <c r="O134" s="687">
        <f t="shared" si="215"/>
        <v>0</v>
      </c>
      <c r="P134" s="687">
        <f t="shared" si="215"/>
        <v>0</v>
      </c>
      <c r="Q134" s="687">
        <f t="shared" si="215"/>
        <v>0</v>
      </c>
      <c r="R134" s="687">
        <f t="shared" si="215"/>
        <v>0</v>
      </c>
      <c r="S134" s="687">
        <f t="shared" si="215"/>
        <v>0</v>
      </c>
      <c r="T134" s="687">
        <f t="shared" si="215"/>
        <v>0</v>
      </c>
      <c r="U134" s="687">
        <f t="shared" si="215"/>
        <v>0</v>
      </c>
      <c r="V134" s="687">
        <f t="shared" si="215"/>
        <v>0</v>
      </c>
      <c r="W134" s="687">
        <f t="shared" si="215"/>
        <v>0</v>
      </c>
      <c r="X134" s="687">
        <f t="shared" si="215"/>
        <v>0</v>
      </c>
      <c r="Y134" s="687">
        <f t="shared" si="215"/>
        <v>0</v>
      </c>
      <c r="Z134" s="687">
        <f t="shared" si="215"/>
        <v>0</v>
      </c>
      <c r="AA134" s="687">
        <f t="shared" si="215"/>
        <v>0</v>
      </c>
      <c r="AV134" s="700" t="str">
        <f t="shared" si="182"/>
        <v/>
      </c>
    </row>
    <row r="135" spans="1:48" s="35" customFormat="1" x14ac:dyDescent="0.25">
      <c r="B135" s="186" t="str">
        <f t="shared" si="210"/>
        <v>TTMEELC100</v>
      </c>
      <c r="C135" s="186"/>
      <c r="D135" s="187"/>
      <c r="E135" s="186"/>
      <c r="F135" s="189"/>
      <c r="G135" s="170"/>
      <c r="H135" s="190">
        <f>AE$6</f>
        <v>2025</v>
      </c>
      <c r="I135" s="191"/>
      <c r="J135" s="191"/>
      <c r="K135" s="192" t="s">
        <v>1065</v>
      </c>
      <c r="L135" s="191" t="s">
        <v>748</v>
      </c>
      <c r="M135" s="687">
        <f t="shared" ref="M135:AA135" si="216">M132*LOOKUP($AC127,$AF$3:$AN$3,$AF$6:$AN$6)</f>
        <v>0</v>
      </c>
      <c r="N135" s="687">
        <f t="shared" si="216"/>
        <v>0</v>
      </c>
      <c r="O135" s="687">
        <f t="shared" si="216"/>
        <v>0</v>
      </c>
      <c r="P135" s="687">
        <f t="shared" si="216"/>
        <v>0</v>
      </c>
      <c r="Q135" s="687">
        <f t="shared" si="216"/>
        <v>0</v>
      </c>
      <c r="R135" s="687">
        <f t="shared" si="216"/>
        <v>0</v>
      </c>
      <c r="S135" s="687">
        <f t="shared" si="216"/>
        <v>0</v>
      </c>
      <c r="T135" s="687">
        <f t="shared" si="216"/>
        <v>0</v>
      </c>
      <c r="U135" s="687">
        <f t="shared" si="216"/>
        <v>0</v>
      </c>
      <c r="V135" s="687">
        <f t="shared" si="216"/>
        <v>0</v>
      </c>
      <c r="W135" s="687">
        <f t="shared" si="216"/>
        <v>0</v>
      </c>
      <c r="X135" s="687">
        <f t="shared" si="216"/>
        <v>0</v>
      </c>
      <c r="Y135" s="687">
        <f t="shared" si="216"/>
        <v>0</v>
      </c>
      <c r="Z135" s="687">
        <f t="shared" si="216"/>
        <v>0</v>
      </c>
      <c r="AA135" s="687">
        <f t="shared" si="216"/>
        <v>0</v>
      </c>
      <c r="AV135" s="700" t="str">
        <f t="shared" si="182"/>
        <v/>
      </c>
    </row>
    <row r="136" spans="1:48" s="35" customFormat="1" x14ac:dyDescent="0.25">
      <c r="B136" s="186" t="str">
        <f t="shared" si="210"/>
        <v>TTMEELC100</v>
      </c>
      <c r="C136" s="186"/>
      <c r="D136" s="187"/>
      <c r="E136" s="186"/>
      <c r="F136" s="189"/>
      <c r="G136" s="170"/>
      <c r="H136" s="190">
        <f>AE$7</f>
        <v>2030</v>
      </c>
      <c r="I136" s="191"/>
      <c r="J136" s="191"/>
      <c r="K136" s="192" t="s">
        <v>1065</v>
      </c>
      <c r="L136" s="191" t="s">
        <v>748</v>
      </c>
      <c r="M136" s="687">
        <f t="shared" ref="M136:AA136" si="217">M132*LOOKUP($AC127,$AF$3:$AN$3,$AF$7:$AN$7)</f>
        <v>0</v>
      </c>
      <c r="N136" s="687">
        <f t="shared" si="217"/>
        <v>0</v>
      </c>
      <c r="O136" s="687">
        <f t="shared" si="217"/>
        <v>0</v>
      </c>
      <c r="P136" s="687">
        <f t="shared" si="217"/>
        <v>0</v>
      </c>
      <c r="Q136" s="687">
        <f t="shared" si="217"/>
        <v>0</v>
      </c>
      <c r="R136" s="687">
        <f t="shared" si="217"/>
        <v>0</v>
      </c>
      <c r="S136" s="687">
        <f t="shared" si="217"/>
        <v>0</v>
      </c>
      <c r="T136" s="687">
        <f t="shared" si="217"/>
        <v>0</v>
      </c>
      <c r="U136" s="687">
        <f t="shared" si="217"/>
        <v>0</v>
      </c>
      <c r="V136" s="687">
        <f t="shared" si="217"/>
        <v>0</v>
      </c>
      <c r="W136" s="687">
        <f t="shared" si="217"/>
        <v>0</v>
      </c>
      <c r="X136" s="687">
        <f t="shared" si="217"/>
        <v>0</v>
      </c>
      <c r="Y136" s="687">
        <f t="shared" si="217"/>
        <v>0</v>
      </c>
      <c r="Z136" s="687">
        <f t="shared" si="217"/>
        <v>0</v>
      </c>
      <c r="AA136" s="687">
        <f t="shared" si="217"/>
        <v>0</v>
      </c>
      <c r="AV136" s="700" t="str">
        <f t="shared" si="182"/>
        <v/>
      </c>
    </row>
    <row r="137" spans="1:48" s="35" customFormat="1" x14ac:dyDescent="0.25">
      <c r="B137" s="186" t="str">
        <f t="shared" si="210"/>
        <v>TTMEELC100</v>
      </c>
      <c r="C137" s="186"/>
      <c r="D137" s="187"/>
      <c r="E137" s="186"/>
      <c r="F137" s="189"/>
      <c r="G137" s="170"/>
      <c r="H137" s="190">
        <f>AE$8</f>
        <v>2040</v>
      </c>
      <c r="I137" s="191"/>
      <c r="J137" s="191"/>
      <c r="K137" s="192" t="s">
        <v>1065</v>
      </c>
      <c r="L137" s="191" t="s">
        <v>748</v>
      </c>
      <c r="M137" s="687">
        <f t="shared" ref="M137:AA137" si="218">M132*LOOKUP($AC127,$AF$3:$AN$3,$AF$8:$AN$8)</f>
        <v>0</v>
      </c>
      <c r="N137" s="687">
        <f t="shared" si="218"/>
        <v>0</v>
      </c>
      <c r="O137" s="687">
        <f t="shared" si="218"/>
        <v>0</v>
      </c>
      <c r="P137" s="687">
        <f t="shared" si="218"/>
        <v>0</v>
      </c>
      <c r="Q137" s="687">
        <f t="shared" si="218"/>
        <v>0</v>
      </c>
      <c r="R137" s="687">
        <f t="shared" si="218"/>
        <v>0</v>
      </c>
      <c r="S137" s="687">
        <f t="shared" si="218"/>
        <v>0</v>
      </c>
      <c r="T137" s="687">
        <f t="shared" si="218"/>
        <v>0</v>
      </c>
      <c r="U137" s="687">
        <f t="shared" si="218"/>
        <v>0</v>
      </c>
      <c r="V137" s="687">
        <f t="shared" si="218"/>
        <v>0</v>
      </c>
      <c r="W137" s="687">
        <f t="shared" si="218"/>
        <v>0</v>
      </c>
      <c r="X137" s="687">
        <f t="shared" si="218"/>
        <v>0</v>
      </c>
      <c r="Y137" s="687">
        <f t="shared" si="218"/>
        <v>0</v>
      </c>
      <c r="Z137" s="687">
        <f t="shared" si="218"/>
        <v>0</v>
      </c>
      <c r="AA137" s="687">
        <f t="shared" si="218"/>
        <v>0</v>
      </c>
      <c r="AV137" s="700" t="str">
        <f t="shared" si="182"/>
        <v/>
      </c>
    </row>
    <row r="138" spans="1:48" s="35" customFormat="1" x14ac:dyDescent="0.25">
      <c r="B138" s="193" t="str">
        <f t="shared" si="210"/>
        <v>TTMEELC100</v>
      </c>
      <c r="C138" s="193"/>
      <c r="D138" s="194"/>
      <c r="E138" s="193"/>
      <c r="F138" s="195"/>
      <c r="G138" s="196"/>
      <c r="H138" s="197">
        <f>AE$9</f>
        <v>2050</v>
      </c>
      <c r="I138" s="198"/>
      <c r="J138" s="198"/>
      <c r="K138" s="199" t="s">
        <v>1065</v>
      </c>
      <c r="L138" s="198" t="s">
        <v>748</v>
      </c>
      <c r="M138" s="688">
        <f t="shared" ref="M138:AA138" si="219">M132*LOOKUP($AC127,$AF$3:$AN$3,$AF$9:$AN$9)</f>
        <v>0</v>
      </c>
      <c r="N138" s="688">
        <f t="shared" si="219"/>
        <v>0</v>
      </c>
      <c r="O138" s="688">
        <f t="shared" si="219"/>
        <v>0</v>
      </c>
      <c r="P138" s="688">
        <f t="shared" si="219"/>
        <v>0</v>
      </c>
      <c r="Q138" s="688">
        <f t="shared" si="219"/>
        <v>0</v>
      </c>
      <c r="R138" s="688">
        <f t="shared" si="219"/>
        <v>0</v>
      </c>
      <c r="S138" s="688">
        <f t="shared" si="219"/>
        <v>0</v>
      </c>
      <c r="T138" s="688">
        <f t="shared" si="219"/>
        <v>0</v>
      </c>
      <c r="U138" s="688">
        <f t="shared" si="219"/>
        <v>0</v>
      </c>
      <c r="V138" s="688">
        <f t="shared" si="219"/>
        <v>0</v>
      </c>
      <c r="W138" s="688">
        <f t="shared" si="219"/>
        <v>0</v>
      </c>
      <c r="X138" s="688">
        <f t="shared" si="219"/>
        <v>0</v>
      </c>
      <c r="Y138" s="688">
        <f t="shared" si="219"/>
        <v>0</v>
      </c>
      <c r="Z138" s="688">
        <f t="shared" si="219"/>
        <v>0</v>
      </c>
      <c r="AA138" s="688">
        <f t="shared" si="219"/>
        <v>0</v>
      </c>
      <c r="AV138" s="700" t="str">
        <f t="shared" si="182"/>
        <v/>
      </c>
    </row>
    <row r="139" spans="1:48" s="22" customFormat="1" x14ac:dyDescent="0.25">
      <c r="A139" s="35"/>
      <c r="B139" s="35"/>
      <c r="C139" s="50"/>
      <c r="D139" s="50"/>
      <c r="E139" s="35"/>
      <c r="F139" s="35"/>
      <c r="G139" s="41"/>
      <c r="H139" s="51"/>
      <c r="I139" s="41"/>
      <c r="J139" s="41"/>
      <c r="K139" s="40"/>
      <c r="L139" s="40"/>
      <c r="M139" s="35"/>
      <c r="N139" s="35"/>
      <c r="O139" s="35"/>
      <c r="P139" s="35"/>
      <c r="Q139" s="41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41"/>
      <c r="AC139" s="49"/>
      <c r="AV139" s="471"/>
    </row>
    <row r="140" spans="1:48" s="35" customFormat="1" x14ac:dyDescent="0.25">
      <c r="B140" s="22"/>
      <c r="C140" s="22"/>
      <c r="D140" s="60"/>
      <c r="E140" s="22"/>
      <c r="F140" s="61"/>
      <c r="H140" s="62"/>
      <c r="I140" s="63"/>
      <c r="J140" s="63"/>
      <c r="K140" s="64"/>
      <c r="L140" s="63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</row>
  </sheetData>
  <sortState xmlns:xlrd2="http://schemas.microsoft.com/office/spreadsheetml/2017/richdata2" ref="H10:I19">
    <sortCondition ref="H10"/>
  </sortState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theme="5" tint="0.59999389629810485"/>
  </sheetPr>
  <dimension ref="A1:BL83"/>
  <sheetViews>
    <sheetView zoomScale="75" zoomScaleNormal="75" workbookViewId="0">
      <selection activeCell="AB27" sqref="AB1:AB1048576"/>
    </sheetView>
  </sheetViews>
  <sheetFormatPr defaultColWidth="9.28515625" defaultRowHeight="15" x14ac:dyDescent="0.25"/>
  <cols>
    <col min="1" max="1" width="3.28515625" style="33" customWidth="1"/>
    <col min="2" max="2" width="31.7109375" style="33" customWidth="1"/>
    <col min="3" max="3" width="10.7109375" style="33" bestFit="1" customWidth="1"/>
    <col min="4" max="4" width="37.7109375" style="33" bestFit="1" customWidth="1"/>
    <col min="5" max="6" width="13.28515625" style="33" customWidth="1"/>
    <col min="7" max="7" width="11.7109375" style="33" customWidth="1"/>
    <col min="8" max="8" width="15.5703125" style="33" bestFit="1" customWidth="1"/>
    <col min="9" max="9" width="36.7109375" style="33" bestFit="1" customWidth="1"/>
    <col min="10" max="10" width="14.28515625" style="33" bestFit="1" customWidth="1"/>
    <col min="11" max="11" width="19.7109375" style="33" customWidth="1"/>
    <col min="12" max="12" width="23.42578125" style="33" customWidth="1"/>
    <col min="13" max="13" width="17.28515625" style="33" customWidth="1"/>
    <col min="14" max="15" width="13.5703125" style="33" customWidth="1"/>
    <col min="16" max="16" width="15.42578125" style="33" customWidth="1"/>
    <col min="17" max="19" width="13.5703125" style="33" customWidth="1"/>
    <col min="20" max="27" width="12.7109375" style="33" bestFit="1" customWidth="1"/>
    <col min="28" max="28" width="10.7109375" style="33" customWidth="1"/>
    <col min="29" max="44" width="2.7109375" style="33" customWidth="1"/>
    <col min="45" max="45" width="4.5703125" style="33" bestFit="1" customWidth="1"/>
    <col min="46" max="16384" width="9.28515625" style="33"/>
  </cols>
  <sheetData>
    <row r="1" spans="1:64" x14ac:dyDescent="0.25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25">
      <c r="A2" s="22"/>
      <c r="B2" s="148" t="s">
        <v>1215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C2" s="37" t="s">
        <v>1112</v>
      </c>
      <c r="AD2" s="38"/>
      <c r="AE2" s="38"/>
      <c r="AF2" s="38"/>
    </row>
    <row r="3" spans="1:64" s="35" customFormat="1" x14ac:dyDescent="0.25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C3" s="38"/>
      <c r="AD3" s="406" t="s">
        <v>81</v>
      </c>
      <c r="AE3" s="406" t="s">
        <v>443</v>
      </c>
      <c r="AF3" s="406" t="s">
        <v>521</v>
      </c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s="35" customFormat="1" x14ac:dyDescent="0.25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C4" s="38">
        <v>2016</v>
      </c>
      <c r="AD4" s="67">
        <v>1</v>
      </c>
      <c r="AE4" s="67">
        <v>1</v>
      </c>
      <c r="AF4" s="67">
        <v>1</v>
      </c>
      <c r="AV4" s="701" t="s">
        <v>85</v>
      </c>
      <c r="AW4" s="701" t="s">
        <v>421</v>
      </c>
      <c r="AX4" s="701" t="str">
        <f t="shared" ref="AX4:BL4" si="2">M$2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s="35" customFormat="1" x14ac:dyDescent="0.25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C5" s="38">
        <v>2020</v>
      </c>
      <c r="AD5" s="67">
        <v>0.99</v>
      </c>
      <c r="AE5" s="611">
        <f>AD5</f>
        <v>0.99</v>
      </c>
      <c r="AF5" s="611">
        <f>AE5</f>
        <v>0.99</v>
      </c>
      <c r="AV5" s="398" t="s">
        <v>103</v>
      </c>
      <c r="AW5" s="710">
        <f>SUM(AX5:BL5)</f>
        <v>0</v>
      </c>
      <c r="AX5" s="709">
        <f>SUM(AX6:AX22)</f>
        <v>0</v>
      </c>
      <c r="AY5" s="709">
        <f t="shared" ref="AY5:BL5" si="3">SUM(AY6:AY22)</f>
        <v>0</v>
      </c>
      <c r="AZ5" s="709">
        <f t="shared" si="3"/>
        <v>0</v>
      </c>
      <c r="BA5" s="709">
        <f t="shared" si="3"/>
        <v>0</v>
      </c>
      <c r="BB5" s="709">
        <f t="shared" si="3"/>
        <v>0</v>
      </c>
      <c r="BC5" s="709">
        <f t="shared" si="3"/>
        <v>0</v>
      </c>
      <c r="BD5" s="709">
        <f t="shared" si="3"/>
        <v>0</v>
      </c>
      <c r="BE5" s="709">
        <f t="shared" si="3"/>
        <v>0</v>
      </c>
      <c r="BF5" s="709">
        <f t="shared" si="3"/>
        <v>0</v>
      </c>
      <c r="BG5" s="709">
        <f t="shared" si="3"/>
        <v>0</v>
      </c>
      <c r="BH5" s="709">
        <f t="shared" si="3"/>
        <v>0</v>
      </c>
      <c r="BI5" s="709">
        <f t="shared" si="3"/>
        <v>0</v>
      </c>
      <c r="BJ5" s="709">
        <f t="shared" si="3"/>
        <v>0</v>
      </c>
      <c r="BK5" s="709">
        <f t="shared" si="3"/>
        <v>0</v>
      </c>
      <c r="BL5" s="709">
        <f t="shared" si="3"/>
        <v>0</v>
      </c>
    </row>
    <row r="6" spans="1:64" s="35" customFormat="1" x14ac:dyDescent="0.25">
      <c r="H6" s="36"/>
      <c r="AC6" s="38">
        <f>AC5+5</f>
        <v>2025</v>
      </c>
      <c r="AD6" s="67">
        <v>0.98</v>
      </c>
      <c r="AE6" s="611">
        <f t="shared" ref="AE6:AF6" si="4">AD6</f>
        <v>0.98</v>
      </c>
      <c r="AF6" s="611">
        <f t="shared" si="4"/>
        <v>0.98</v>
      </c>
      <c r="AV6" s="725" t="s">
        <v>988</v>
      </c>
      <c r="AW6" s="730">
        <f t="shared" ref="AW6:AW22" si="5">SUM(AX6:BL6)</f>
        <v>0</v>
      </c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</row>
    <row r="7" spans="1:64" x14ac:dyDescent="0.25">
      <c r="B7" s="34"/>
      <c r="G7" s="19"/>
      <c r="H7" s="19"/>
      <c r="K7" s="40" t="s">
        <v>1051</v>
      </c>
      <c r="L7" s="40"/>
      <c r="Q7" s="41"/>
      <c r="AC7" s="38">
        <f>AC6+5</f>
        <v>2030</v>
      </c>
      <c r="AD7" s="67">
        <v>0.95</v>
      </c>
      <c r="AE7" s="611">
        <f t="shared" ref="AE7:AF7" si="6">AD7</f>
        <v>0.95</v>
      </c>
      <c r="AF7" s="611">
        <f t="shared" si="6"/>
        <v>0.95</v>
      </c>
      <c r="AV7" s="725" t="s">
        <v>994</v>
      </c>
      <c r="AW7" s="730">
        <f t="shared" si="5"/>
        <v>0</v>
      </c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</row>
    <row r="8" spans="1:64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7">M$2</f>
        <v>Z01</v>
      </c>
      <c r="N8" s="43" t="str">
        <f t="shared" si="7"/>
        <v>Z02</v>
      </c>
      <c r="O8" s="43" t="str">
        <f t="shared" si="7"/>
        <v>Z03</v>
      </c>
      <c r="P8" s="43" t="str">
        <f t="shared" si="7"/>
        <v>Z04</v>
      </c>
      <c r="Q8" s="43" t="str">
        <f t="shared" si="7"/>
        <v>Z05</v>
      </c>
      <c r="R8" s="43" t="str">
        <f t="shared" si="7"/>
        <v>Z06</v>
      </c>
      <c r="S8" s="43" t="str">
        <f t="shared" si="7"/>
        <v>Z07</v>
      </c>
      <c r="T8" s="43" t="str">
        <f t="shared" si="7"/>
        <v>Z08</v>
      </c>
      <c r="U8" s="43" t="str">
        <f t="shared" si="7"/>
        <v>Z09</v>
      </c>
      <c r="V8" s="43" t="str">
        <f t="shared" si="7"/>
        <v>Z10</v>
      </c>
      <c r="W8" s="43" t="str">
        <f t="shared" si="7"/>
        <v>Z11</v>
      </c>
      <c r="X8" s="43" t="str">
        <f t="shared" si="7"/>
        <v>Z12</v>
      </c>
      <c r="Y8" s="43" t="str">
        <f t="shared" si="7"/>
        <v>Z13</v>
      </c>
      <c r="Z8" s="43" t="str">
        <f t="shared" si="7"/>
        <v>Z14</v>
      </c>
      <c r="AA8" s="43" t="str">
        <f t="shared" si="7"/>
        <v>Z15</v>
      </c>
      <c r="AC8" s="38">
        <f>AC7+10</f>
        <v>2040</v>
      </c>
      <c r="AD8" s="67">
        <v>0.9</v>
      </c>
      <c r="AE8" s="611">
        <f t="shared" ref="AE8:AF8" si="8">AD8</f>
        <v>0.9</v>
      </c>
      <c r="AF8" s="611">
        <f t="shared" si="8"/>
        <v>0.9</v>
      </c>
      <c r="AV8" s="725" t="s">
        <v>998</v>
      </c>
      <c r="AW8" s="730">
        <f t="shared" si="5"/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38">
        <f>AC8+10</f>
        <v>2050</v>
      </c>
      <c r="AD9" s="67">
        <v>0.85</v>
      </c>
      <c r="AE9" s="611">
        <f t="shared" ref="AE9:AF9" si="9">AD9</f>
        <v>0.85</v>
      </c>
      <c r="AF9" s="611">
        <f t="shared" si="9"/>
        <v>0.85</v>
      </c>
      <c r="AV9" s="727" t="s">
        <v>1000</v>
      </c>
      <c r="AW9" s="730">
        <f t="shared" si="5"/>
        <v>0</v>
      </c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</row>
    <row r="10" spans="1:64" x14ac:dyDescent="0.25">
      <c r="A10" s="44"/>
      <c r="B10" s="44"/>
      <c r="C10" s="44"/>
      <c r="D10" s="35"/>
      <c r="E10" s="35"/>
      <c r="F10" s="44"/>
      <c r="G10" s="35"/>
      <c r="H10" s="172" t="s">
        <v>81</v>
      </c>
      <c r="I10" s="173" t="str">
        <f>LOOKUP(H10,TRA_Comm!$C$29:$C$90,TRA_Comm!$D$29:$D$90)</f>
        <v>Navigation.Generic.Passenger.</v>
      </c>
      <c r="J10" s="173"/>
      <c r="K10" s="173" t="s">
        <v>1118</v>
      </c>
      <c r="L10" s="173" t="str">
        <f>LOOKUP(H10,TRA_Comm!$C$29:$C$78,TRA_Comm!$E$29:$E$78)</f>
        <v>Million_Pkm</v>
      </c>
      <c r="M10" s="165">
        <f>SUMIF(DEMAND_Pkm_Tkm!$C$6:$C$43, $H10, DEMAND_Pkm_Tkm!G$6:G$43)</f>
        <v>0</v>
      </c>
      <c r="N10" s="165">
        <f>SUMIF(DEMAND_Pkm_Tkm!$C$6:$C$43, $H10, DEMAND_Pkm_Tkm!H$6:H$43)</f>
        <v>0</v>
      </c>
      <c r="O10" s="165">
        <f>SUMIF(DEMAND_Pkm_Tkm!$C$6:$C$43, $H10, DEMAND_Pkm_Tkm!I$6:I$43)</f>
        <v>0</v>
      </c>
      <c r="P10" s="165">
        <f>SUMIF(DEMAND_Pkm_Tkm!$C$6:$C$43, $H10, DEMAND_Pkm_Tkm!J$6:J$43)</f>
        <v>0</v>
      </c>
      <c r="Q10" s="165">
        <f>SUMIF(DEMAND_Pkm_Tkm!$C$6:$C$43, $H10, DEMAND_Pkm_Tkm!K$6:K$43)</f>
        <v>0</v>
      </c>
      <c r="R10" s="165">
        <f>SUMIF(DEMAND_Pkm_Tkm!$C$6:$C$43, $H10, DEMAND_Pkm_Tkm!L$6:L$43)</f>
        <v>0</v>
      </c>
      <c r="S10" s="165">
        <f>SUMIF(DEMAND_Pkm_Tkm!$C$6:$C$43, $H10, DEMAND_Pkm_Tkm!M$6:M$43)</f>
        <v>0</v>
      </c>
      <c r="T10" s="165">
        <f>SUMIF(DEMAND_Pkm_Tkm!$C$6:$C$43, $H10, DEMAND_Pkm_Tkm!N$6:N$43)</f>
        <v>0</v>
      </c>
      <c r="U10" s="165">
        <f>SUMIF(DEMAND_Pkm_Tkm!$C$6:$C$43, $H10, DEMAND_Pkm_Tkm!O$6:O$43)</f>
        <v>0</v>
      </c>
      <c r="V10" s="165">
        <f>SUMIF(DEMAND_Pkm_Tkm!$C$6:$C$43, $H10, DEMAND_Pkm_Tkm!P$6:P$43)</f>
        <v>0</v>
      </c>
      <c r="W10" s="165">
        <f>SUMIF(DEMAND_Pkm_Tkm!$C$6:$C$43, $H10, DEMAND_Pkm_Tkm!Q$6:Q$43)</f>
        <v>0</v>
      </c>
      <c r="X10" s="165">
        <f>SUMIF(DEMAND_Pkm_Tkm!$C$6:$C$43, $H10, DEMAND_Pkm_Tkm!R$6:R$43)</f>
        <v>0</v>
      </c>
      <c r="Y10" s="165">
        <f>SUMIF(DEMAND_Pkm_Tkm!$C$6:$C$43, $H10, DEMAND_Pkm_Tkm!S$6:S$43)</f>
        <v>0</v>
      </c>
      <c r="Z10" s="165">
        <f>SUMIF(DEMAND_Pkm_Tkm!$C$6:$C$43, $H10, DEMAND_Pkm_Tkm!T$6:T$43)</f>
        <v>0</v>
      </c>
      <c r="AA10" s="165">
        <f>SUMIF(DEMAND_Pkm_Tkm!$C$6:$C$43, $H10, DEMAND_Pkm_Tkm!U$6:U$43)</f>
        <v>0</v>
      </c>
      <c r="AN10" s="35"/>
      <c r="AO10" s="35"/>
      <c r="AP10" s="35"/>
      <c r="AQ10" s="35"/>
      <c r="AR10" s="35"/>
      <c r="AV10" s="728" t="s">
        <v>185</v>
      </c>
      <c r="AW10" s="730">
        <f t="shared" si="5"/>
        <v>0</v>
      </c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</row>
    <row r="11" spans="1:64" x14ac:dyDescent="0.25">
      <c r="A11" s="44"/>
      <c r="B11" s="44"/>
      <c r="C11" s="44"/>
      <c r="D11" s="35"/>
      <c r="E11" s="35"/>
      <c r="F11" s="44"/>
      <c r="G11" s="35"/>
      <c r="H11" s="172" t="s">
        <v>606</v>
      </c>
      <c r="I11" s="173" t="str">
        <f>LOOKUP(H11,TRA_Comm!$C$29:$C$90,TRA_Comm!$D$29:$D$90)</f>
        <v>Navigation.Generic.Passenger.City.</v>
      </c>
      <c r="J11" s="173"/>
      <c r="K11" s="173" t="s">
        <v>1118</v>
      </c>
      <c r="L11" s="173" t="str">
        <f>LOOKUP(H11,TRA_Comm!$C$29:$C$78,TRA_Comm!$E$29:$E$78)</f>
        <v>Million_Pkm</v>
      </c>
      <c r="M11" s="165">
        <f>SUMIF(DEMAND_Pkm_Tkm!$C$6:$C$43, $H11, DEMAND_Pkm_Tkm!G$6:G$43)</f>
        <v>0</v>
      </c>
      <c r="N11" s="165">
        <f>SUMIF(DEMAND_Pkm_Tkm!$C$6:$C$43, $H11, DEMAND_Pkm_Tkm!H$6:H$43)</f>
        <v>0</v>
      </c>
      <c r="O11" s="165">
        <f>SUMIF(DEMAND_Pkm_Tkm!$C$6:$C$43, $H11, DEMAND_Pkm_Tkm!I$6:I$43)</f>
        <v>0</v>
      </c>
      <c r="P11" s="165">
        <f>SUMIF(DEMAND_Pkm_Tkm!$C$6:$C$43, $H11, DEMAND_Pkm_Tkm!J$6:J$43)</f>
        <v>0</v>
      </c>
      <c r="Q11" s="165">
        <f>SUMIF(DEMAND_Pkm_Tkm!$C$6:$C$43, $H11, DEMAND_Pkm_Tkm!K$6:K$43)</f>
        <v>0</v>
      </c>
      <c r="R11" s="165">
        <f>SUMIF(DEMAND_Pkm_Tkm!$C$6:$C$43, $H11, DEMAND_Pkm_Tkm!L$6:L$43)</f>
        <v>0</v>
      </c>
      <c r="S11" s="165">
        <f>SUMIF(DEMAND_Pkm_Tkm!$C$6:$C$43, $H11, DEMAND_Pkm_Tkm!M$6:M$43)</f>
        <v>0</v>
      </c>
      <c r="T11" s="165">
        <f>SUMIF(DEMAND_Pkm_Tkm!$C$6:$C$43, $H11, DEMAND_Pkm_Tkm!N$6:N$43)</f>
        <v>0</v>
      </c>
      <c r="U11" s="165">
        <f>SUMIF(DEMAND_Pkm_Tkm!$C$6:$C$43, $H11, DEMAND_Pkm_Tkm!O$6:O$43)</f>
        <v>0</v>
      </c>
      <c r="V11" s="165">
        <f>SUMIF(DEMAND_Pkm_Tkm!$C$6:$C$43, $H11, DEMAND_Pkm_Tkm!P$6:P$43)</f>
        <v>0</v>
      </c>
      <c r="W11" s="165">
        <f>SUMIF(DEMAND_Pkm_Tkm!$C$6:$C$43, $H11, DEMAND_Pkm_Tkm!Q$6:Q$43)</f>
        <v>0</v>
      </c>
      <c r="X11" s="165">
        <f>SUMIF(DEMAND_Pkm_Tkm!$C$6:$C$43, $H11, DEMAND_Pkm_Tkm!R$6:R$43)</f>
        <v>0</v>
      </c>
      <c r="Y11" s="165">
        <f>SUMIF(DEMAND_Pkm_Tkm!$C$6:$C$43, $H11, DEMAND_Pkm_Tkm!S$6:S$43)</f>
        <v>0</v>
      </c>
      <c r="Z11" s="165">
        <f>SUMIF(DEMAND_Pkm_Tkm!$C$6:$C$43, $H11, DEMAND_Pkm_Tkm!T$6:T$43)</f>
        <v>0</v>
      </c>
      <c r="AA11" s="165">
        <f>SUMIF(DEMAND_Pkm_Tkm!$C$6:$C$43, $H11, DEMAND_Pkm_Tkm!U$6:U$43)</f>
        <v>0</v>
      </c>
      <c r="AO11" s="35"/>
      <c r="AP11" s="35"/>
      <c r="AQ11" s="35"/>
      <c r="AR11" s="35"/>
      <c r="AV11" s="728" t="s">
        <v>683</v>
      </c>
      <c r="AW11" s="730">
        <f t="shared" si="5"/>
        <v>0</v>
      </c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</row>
    <row r="12" spans="1:64" x14ac:dyDescent="0.25">
      <c r="A12" s="44"/>
      <c r="B12" s="34"/>
      <c r="C12" s="44"/>
      <c r="D12" s="35"/>
      <c r="E12" s="35"/>
      <c r="F12" s="44"/>
      <c r="G12" s="35"/>
      <c r="H12" s="172" t="s">
        <v>443</v>
      </c>
      <c r="I12" s="173" t="str">
        <f>LOOKUP(H12,TRA_Comm!$C$29:$C$90,TRA_Comm!$D$29:$D$90)</f>
        <v>Navigation.Generic.Bunker.</v>
      </c>
      <c r="J12" s="173"/>
      <c r="K12" s="173" t="s">
        <v>1118</v>
      </c>
      <c r="L12" s="173" t="str">
        <f>LOOKUP(H12,TRA_Comm!$C$29:$C$78,TRA_Comm!$E$29:$E$78)</f>
        <v>Million_Tkm</v>
      </c>
      <c r="M12" s="699">
        <f>SUMIF(DEMAND_Pkm_Tkm!$C$48:$C$71, $H12, DEMAND_Pkm_Tkm!G$48:G$71)</f>
        <v>0</v>
      </c>
      <c r="N12" s="165">
        <f>SUMIF(DEMAND_Pkm_Tkm!$C$48:$C$71, $H12, DEMAND_Pkm_Tkm!H$48:H$71)</f>
        <v>0</v>
      </c>
      <c r="O12" s="165">
        <f>SUMIF(DEMAND_Pkm_Tkm!$C$48:$C$71, $H12, DEMAND_Pkm_Tkm!I$48:I$71)</f>
        <v>0</v>
      </c>
      <c r="P12" s="165">
        <f>SUMIF(DEMAND_Pkm_Tkm!$C$48:$C$71, $H12, DEMAND_Pkm_Tkm!J$48:J$71)</f>
        <v>0</v>
      </c>
      <c r="Q12" s="165">
        <f>SUMIF(DEMAND_Pkm_Tkm!$C$48:$C$71, $H12, DEMAND_Pkm_Tkm!K$48:K$71)</f>
        <v>0</v>
      </c>
      <c r="R12" s="165">
        <f>SUMIF(DEMAND_Pkm_Tkm!$C$48:$C$71, $H12, DEMAND_Pkm_Tkm!L$48:L$71)</f>
        <v>0</v>
      </c>
      <c r="S12" s="165">
        <f>SUMIF(DEMAND_Pkm_Tkm!$C$48:$C$71, $H12, DEMAND_Pkm_Tkm!M$48:M$71)</f>
        <v>0</v>
      </c>
      <c r="T12" s="165">
        <f>SUMIF(DEMAND_Pkm_Tkm!$C$48:$C$71, $H12, DEMAND_Pkm_Tkm!N$48:N$71)</f>
        <v>0</v>
      </c>
      <c r="U12" s="165">
        <f>SUMIF(DEMAND_Pkm_Tkm!$C$48:$C$71, $H12, DEMAND_Pkm_Tkm!O$48:O$71)</f>
        <v>0</v>
      </c>
      <c r="V12" s="165">
        <f>SUMIF(DEMAND_Pkm_Tkm!$C$48:$C$71, $H12, DEMAND_Pkm_Tkm!P$48:P$71)</f>
        <v>0</v>
      </c>
      <c r="W12" s="165">
        <f>SUMIF(DEMAND_Pkm_Tkm!$C$48:$C$71, $H12, DEMAND_Pkm_Tkm!Q$48:Q$71)</f>
        <v>0</v>
      </c>
      <c r="X12" s="165">
        <f>SUMIF(DEMAND_Pkm_Tkm!$C$48:$C$71, $H12, DEMAND_Pkm_Tkm!R$48:R$71)</f>
        <v>0</v>
      </c>
      <c r="Y12" s="165">
        <f>SUMIF(DEMAND_Pkm_Tkm!$C$48:$C$71, $H12, DEMAND_Pkm_Tkm!S$48:S$71)</f>
        <v>0</v>
      </c>
      <c r="Z12" s="165">
        <f>SUMIF(DEMAND_Pkm_Tkm!$C$48:$C$71, $H12, DEMAND_Pkm_Tkm!T$48:T$71)</f>
        <v>0</v>
      </c>
      <c r="AA12" s="165">
        <f>SUMIF(DEMAND_Pkm_Tkm!$C$48:$C$71, $H12, DEMAND_Pkm_Tkm!U$48:U$71)</f>
        <v>0</v>
      </c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O12" s="35"/>
      <c r="AP12" s="35"/>
      <c r="AQ12" s="35"/>
      <c r="AR12" s="35"/>
      <c r="AV12" s="728" t="s">
        <v>1010</v>
      </c>
      <c r="AW12" s="730">
        <f t="shared" si="5"/>
        <v>0</v>
      </c>
      <c r="AX12" s="723"/>
      <c r="AY12" s="723"/>
      <c r="AZ12" s="723"/>
      <c r="BA12" s="723"/>
      <c r="BB12" s="723"/>
      <c r="BC12" s="723"/>
      <c r="BD12" s="723"/>
      <c r="BE12" s="723"/>
      <c r="BF12" s="723"/>
      <c r="BG12" s="723"/>
      <c r="BH12" s="723"/>
      <c r="BI12" s="723"/>
      <c r="BJ12" s="723"/>
      <c r="BK12" s="723"/>
      <c r="BL12" s="723"/>
    </row>
    <row r="13" spans="1:64" x14ac:dyDescent="0.25">
      <c r="A13" s="44"/>
      <c r="B13" s="45"/>
      <c r="C13" s="44"/>
      <c r="D13" s="35"/>
      <c r="E13" s="35"/>
      <c r="F13" s="44"/>
      <c r="G13" s="35"/>
      <c r="H13" s="172" t="s">
        <v>655</v>
      </c>
      <c r="I13" s="173" t="str">
        <f>LOOKUP(H13,TRA_Comm!$C$29:$C$90,TRA_Comm!$D$29:$D$90)</f>
        <v>Navigation.Generic.Bunker.City.</v>
      </c>
      <c r="J13" s="173"/>
      <c r="K13" s="173" t="s">
        <v>1118</v>
      </c>
      <c r="L13" s="173" t="str">
        <f>LOOKUP(H13,TRA_Comm!$C$29:$C$78,TRA_Comm!$E$29:$E$78)</f>
        <v>Million_Tkm</v>
      </c>
      <c r="M13" s="165">
        <f>SUMIF(DEMAND_Pkm_Tkm!$C$48:$C$71, $H13, DEMAND_Pkm_Tkm!G$48:G$71)</f>
        <v>0</v>
      </c>
      <c r="N13" s="165">
        <f>SUMIF(DEMAND_Pkm_Tkm!$C$48:$C$71, $H13, DEMAND_Pkm_Tkm!H$48:H$71)</f>
        <v>0</v>
      </c>
      <c r="O13" s="165">
        <f>SUMIF(DEMAND_Pkm_Tkm!$C$48:$C$71, $H13, DEMAND_Pkm_Tkm!I$48:I$71)</f>
        <v>0</v>
      </c>
      <c r="P13" s="165">
        <f>SUMIF(DEMAND_Pkm_Tkm!$C$48:$C$71, $H13, DEMAND_Pkm_Tkm!J$48:J$71)</f>
        <v>0</v>
      </c>
      <c r="Q13" s="165">
        <f>SUMIF(DEMAND_Pkm_Tkm!$C$48:$C$71, $H13, DEMAND_Pkm_Tkm!K$48:K$71)</f>
        <v>0</v>
      </c>
      <c r="R13" s="165">
        <f>SUMIF(DEMAND_Pkm_Tkm!$C$48:$C$71, $H13, DEMAND_Pkm_Tkm!L$48:L$71)</f>
        <v>0</v>
      </c>
      <c r="S13" s="165">
        <f>SUMIF(DEMAND_Pkm_Tkm!$C$48:$C$71, $H13, DEMAND_Pkm_Tkm!M$48:M$71)</f>
        <v>0</v>
      </c>
      <c r="T13" s="165">
        <f>SUMIF(DEMAND_Pkm_Tkm!$C$48:$C$71, $H13, DEMAND_Pkm_Tkm!N$48:N$71)</f>
        <v>0</v>
      </c>
      <c r="U13" s="165">
        <f>SUMIF(DEMAND_Pkm_Tkm!$C$48:$C$71, $H13, DEMAND_Pkm_Tkm!O$48:O$71)</f>
        <v>0</v>
      </c>
      <c r="V13" s="165">
        <f>SUMIF(DEMAND_Pkm_Tkm!$C$48:$C$71, $H13, DEMAND_Pkm_Tkm!P$48:P$71)</f>
        <v>0</v>
      </c>
      <c r="W13" s="165">
        <f>SUMIF(DEMAND_Pkm_Tkm!$C$48:$C$71, $H13, DEMAND_Pkm_Tkm!Q$48:Q$71)</f>
        <v>0</v>
      </c>
      <c r="X13" s="165">
        <f>SUMIF(DEMAND_Pkm_Tkm!$C$48:$C$71, $H13, DEMAND_Pkm_Tkm!R$48:R$71)</f>
        <v>0</v>
      </c>
      <c r="Y13" s="165">
        <f>SUMIF(DEMAND_Pkm_Tkm!$C$48:$C$71, $H13, DEMAND_Pkm_Tkm!S$48:S$71)</f>
        <v>0</v>
      </c>
      <c r="Z13" s="165">
        <f>SUMIF(DEMAND_Pkm_Tkm!$C$48:$C$71, $H13, DEMAND_Pkm_Tkm!T$48:T$71)</f>
        <v>0</v>
      </c>
      <c r="AA13" s="165">
        <f>SUMIF(DEMAND_Pkm_Tkm!$C$48:$C$71, $H13, DEMAND_Pkm_Tkm!U$48:U$71)</f>
        <v>0</v>
      </c>
      <c r="AD13" s="35"/>
      <c r="AE13" s="35"/>
      <c r="AF13" s="35"/>
      <c r="AG13" s="35"/>
      <c r="AH13" s="35"/>
      <c r="AI13" s="35"/>
      <c r="AJ13" s="35"/>
      <c r="AK13" s="35"/>
      <c r="AL13" s="35"/>
      <c r="AO13" s="35"/>
      <c r="AP13" s="35"/>
      <c r="AQ13" s="35"/>
      <c r="AR13" s="35"/>
      <c r="AV13" s="728" t="s">
        <v>1012</v>
      </c>
      <c r="AW13" s="730">
        <f t="shared" si="5"/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x14ac:dyDescent="0.25">
      <c r="A14" s="44"/>
      <c r="C14" s="44"/>
      <c r="D14" s="35"/>
      <c r="E14" s="35"/>
      <c r="F14" s="44"/>
      <c r="G14" s="35"/>
      <c r="H14" s="172" t="s">
        <v>521</v>
      </c>
      <c r="I14" s="173" t="str">
        <f>LOOKUP(H14,TRA_Comm!$C$29:$C$90,TRA_Comm!$D$29:$D$90)</f>
        <v>Navigation.Local.Ferry.Passenger.</v>
      </c>
      <c r="J14" s="173"/>
      <c r="K14" s="173" t="s">
        <v>1118</v>
      </c>
      <c r="L14" s="173" t="str">
        <f>LOOKUP(H14,TRA_Comm!$C$29:$C$78,TRA_Comm!$E$29:$E$78)</f>
        <v>Million_Pkm</v>
      </c>
      <c r="M14" s="165">
        <f>SUMIF(DEMAND_Pkm_Tkm!$C$6:$C$43, $H14, DEMAND_Pkm_Tkm!G$6:G$43)</f>
        <v>0</v>
      </c>
      <c r="N14" s="165">
        <f>SUMIF(DEMAND_Pkm_Tkm!$C$6:$C$43, $H14, DEMAND_Pkm_Tkm!H$6:H$43)</f>
        <v>0</v>
      </c>
      <c r="O14" s="165">
        <f>SUMIF(DEMAND_Pkm_Tkm!$C$6:$C$43, $H14, DEMAND_Pkm_Tkm!I$6:I$43)</f>
        <v>0</v>
      </c>
      <c r="P14" s="165">
        <f>SUMIF(DEMAND_Pkm_Tkm!$C$6:$C$43, $H14, DEMAND_Pkm_Tkm!J$6:J$43)</f>
        <v>0</v>
      </c>
      <c r="Q14" s="165">
        <f>SUMIF(DEMAND_Pkm_Tkm!$C$6:$C$43, $H14, DEMAND_Pkm_Tkm!K$6:K$43)</f>
        <v>0</v>
      </c>
      <c r="R14" s="165">
        <f>SUMIF(DEMAND_Pkm_Tkm!$C$6:$C$43, $H14, DEMAND_Pkm_Tkm!L$6:L$43)</f>
        <v>0</v>
      </c>
      <c r="S14" s="165">
        <f>SUMIF(DEMAND_Pkm_Tkm!$C$6:$C$43, $H14, DEMAND_Pkm_Tkm!M$6:M$43)</f>
        <v>0</v>
      </c>
      <c r="T14" s="165">
        <f>SUMIF(DEMAND_Pkm_Tkm!$C$6:$C$43, $H14, DEMAND_Pkm_Tkm!N$6:N$43)</f>
        <v>0</v>
      </c>
      <c r="U14" s="165">
        <f>SUMIF(DEMAND_Pkm_Tkm!$C$6:$C$43, $H14, DEMAND_Pkm_Tkm!O$6:O$43)</f>
        <v>0</v>
      </c>
      <c r="V14" s="165">
        <f>SUMIF(DEMAND_Pkm_Tkm!$C$6:$C$43, $H14, DEMAND_Pkm_Tkm!P$6:P$43)</f>
        <v>0</v>
      </c>
      <c r="W14" s="165">
        <f>SUMIF(DEMAND_Pkm_Tkm!$C$6:$C$43, $H14, DEMAND_Pkm_Tkm!Q$6:Q$43)</f>
        <v>0</v>
      </c>
      <c r="X14" s="165">
        <f>SUMIF(DEMAND_Pkm_Tkm!$C$6:$C$43, $H14, DEMAND_Pkm_Tkm!R$6:R$43)</f>
        <v>0</v>
      </c>
      <c r="Y14" s="165">
        <f>SUMIF(DEMAND_Pkm_Tkm!$C$6:$C$43, $H14, DEMAND_Pkm_Tkm!S$6:S$43)</f>
        <v>0</v>
      </c>
      <c r="Z14" s="165">
        <f>SUMIF(DEMAND_Pkm_Tkm!$C$6:$C$43, $H14, DEMAND_Pkm_Tkm!T$6:T$43)</f>
        <v>0</v>
      </c>
      <c r="AA14" s="165">
        <f>SUMIF(DEMAND_Pkm_Tkm!$C$6:$C$43, $H14, DEMAND_Pkm_Tkm!U$6:U$43)</f>
        <v>0</v>
      </c>
      <c r="AD14" s="35"/>
      <c r="AE14" s="35"/>
      <c r="AF14" s="35"/>
      <c r="AG14" s="35"/>
      <c r="AH14" s="35"/>
      <c r="AI14" s="35"/>
      <c r="AJ14" s="35"/>
      <c r="AK14" s="35"/>
      <c r="AL14" s="35"/>
      <c r="AO14" s="35"/>
      <c r="AP14" s="35"/>
      <c r="AQ14" s="35"/>
      <c r="AR14" s="35"/>
      <c r="AV14" s="728" t="s">
        <v>1014</v>
      </c>
      <c r="AW14" s="730">
        <f t="shared" si="5"/>
        <v>0</v>
      </c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</row>
    <row r="15" spans="1:64" x14ac:dyDescent="0.25">
      <c r="A15" s="44"/>
      <c r="C15" s="44"/>
      <c r="D15" s="35"/>
      <c r="E15" s="35"/>
      <c r="F15" s="44"/>
      <c r="G15" s="35"/>
      <c r="H15" s="172" t="s">
        <v>609</v>
      </c>
      <c r="I15" s="173" t="str">
        <f>LOOKUP(H15,TRA_Comm!$C$29:$C$90,TRA_Comm!$D$29:$D$90)</f>
        <v>Navigation.Local.Ferry.Passenger.City.</v>
      </c>
      <c r="J15" s="173"/>
      <c r="K15" s="173" t="s">
        <v>1118</v>
      </c>
      <c r="L15" s="173" t="str">
        <f>LOOKUP(H15,TRA_Comm!$C$29:$C$78,TRA_Comm!$E$29:$E$78)</f>
        <v>Million_Pkm</v>
      </c>
      <c r="M15" s="165">
        <f>SUMIF(DEMAND_Pkm_Tkm!$C$6:$C$43, $H15, DEMAND_Pkm_Tkm!G$6:G$43)</f>
        <v>0</v>
      </c>
      <c r="N15" s="165">
        <f>SUMIF(DEMAND_Pkm_Tkm!$C$6:$C$43, $H15, DEMAND_Pkm_Tkm!H$6:H$43)</f>
        <v>0</v>
      </c>
      <c r="O15" s="165">
        <f>SUMIF(DEMAND_Pkm_Tkm!$C$6:$C$43, $H15, DEMAND_Pkm_Tkm!I$6:I$43)</f>
        <v>0</v>
      </c>
      <c r="P15" s="165">
        <f>SUMIF(DEMAND_Pkm_Tkm!$C$6:$C$43, $H15, DEMAND_Pkm_Tkm!J$6:J$43)</f>
        <v>0</v>
      </c>
      <c r="Q15" s="165">
        <f>SUMIF(DEMAND_Pkm_Tkm!$C$6:$C$43, $H15, DEMAND_Pkm_Tkm!K$6:K$43)</f>
        <v>0</v>
      </c>
      <c r="R15" s="165">
        <f>SUMIF(DEMAND_Pkm_Tkm!$C$6:$C$43, $H15, DEMAND_Pkm_Tkm!L$6:L$43)</f>
        <v>0</v>
      </c>
      <c r="S15" s="165">
        <f>SUMIF(DEMAND_Pkm_Tkm!$C$6:$C$43, $H15, DEMAND_Pkm_Tkm!M$6:M$43)</f>
        <v>0</v>
      </c>
      <c r="T15" s="165">
        <f>SUMIF(DEMAND_Pkm_Tkm!$C$6:$C$43, $H15, DEMAND_Pkm_Tkm!N$6:N$43)</f>
        <v>0</v>
      </c>
      <c r="U15" s="165">
        <f>SUMIF(DEMAND_Pkm_Tkm!$C$6:$C$43, $H15, DEMAND_Pkm_Tkm!O$6:O$43)</f>
        <v>0</v>
      </c>
      <c r="V15" s="165">
        <f>SUMIF(DEMAND_Pkm_Tkm!$C$6:$C$43, $H15, DEMAND_Pkm_Tkm!P$6:P$43)</f>
        <v>0</v>
      </c>
      <c r="W15" s="165">
        <f>SUMIF(DEMAND_Pkm_Tkm!$C$6:$C$43, $H15, DEMAND_Pkm_Tkm!Q$6:Q$43)</f>
        <v>0</v>
      </c>
      <c r="X15" s="165">
        <f>SUMIF(DEMAND_Pkm_Tkm!$C$6:$C$43, $H15, DEMAND_Pkm_Tkm!R$6:R$43)</f>
        <v>0</v>
      </c>
      <c r="Y15" s="165">
        <f>SUMIF(DEMAND_Pkm_Tkm!$C$6:$C$43, $H15, DEMAND_Pkm_Tkm!S$6:S$43)</f>
        <v>0</v>
      </c>
      <c r="Z15" s="165">
        <f>SUMIF(DEMAND_Pkm_Tkm!$C$6:$C$43, $H15, DEMAND_Pkm_Tkm!T$6:T$43)</f>
        <v>0</v>
      </c>
      <c r="AA15" s="165">
        <f>SUMIF(DEMAND_Pkm_Tkm!$C$6:$C$43, $H15, DEMAND_Pkm_Tkm!U$6:U$43)</f>
        <v>0</v>
      </c>
      <c r="AD15" s="35"/>
      <c r="AE15" s="35"/>
      <c r="AF15" s="35"/>
      <c r="AG15" s="35"/>
      <c r="AH15" s="35"/>
      <c r="AI15" s="35"/>
      <c r="AJ15" s="35"/>
      <c r="AK15" s="35"/>
      <c r="AL15" s="35"/>
      <c r="AO15" s="35"/>
      <c r="AP15" s="35"/>
      <c r="AQ15" s="35"/>
      <c r="AR15" s="35"/>
      <c r="AV15" s="728" t="s">
        <v>1016</v>
      </c>
      <c r="AW15" s="730">
        <f t="shared" si="5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25">
      <c r="A16" s="44"/>
      <c r="B16" s="35"/>
      <c r="C16" s="44"/>
      <c r="D16" s="35"/>
      <c r="E16" s="35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D16" s="35"/>
      <c r="AE16" s="35"/>
      <c r="AF16" s="35"/>
      <c r="AG16" s="35"/>
      <c r="AH16" s="35"/>
      <c r="AI16" s="35"/>
      <c r="AJ16" s="35"/>
      <c r="AO16" s="35"/>
      <c r="AP16" s="35"/>
      <c r="AQ16" s="35"/>
      <c r="AR16" s="35"/>
      <c r="AV16" s="728" t="s">
        <v>1023</v>
      </c>
      <c r="AW16" s="730">
        <f t="shared" si="5"/>
        <v>0</v>
      </c>
      <c r="AX16" s="731">
        <f>AX28</f>
        <v>0</v>
      </c>
      <c r="AY16" s="725">
        <f t="shared" ref="AY16:BL16" si="10">AY28</f>
        <v>0</v>
      </c>
      <c r="AZ16" s="725">
        <f t="shared" si="10"/>
        <v>0</v>
      </c>
      <c r="BA16" s="725">
        <f t="shared" si="10"/>
        <v>0</v>
      </c>
      <c r="BB16" s="725">
        <f t="shared" si="10"/>
        <v>0</v>
      </c>
      <c r="BC16" s="725">
        <f t="shared" si="10"/>
        <v>0</v>
      </c>
      <c r="BD16" s="725">
        <f t="shared" si="10"/>
        <v>0</v>
      </c>
      <c r="BE16" s="725">
        <f t="shared" si="10"/>
        <v>0</v>
      </c>
      <c r="BF16" s="725">
        <f t="shared" si="10"/>
        <v>0</v>
      </c>
      <c r="BG16" s="725">
        <f t="shared" si="10"/>
        <v>0</v>
      </c>
      <c r="BH16" s="725">
        <f t="shared" si="10"/>
        <v>0</v>
      </c>
      <c r="BI16" s="725">
        <f t="shared" si="10"/>
        <v>0</v>
      </c>
      <c r="BJ16" s="725">
        <f t="shared" si="10"/>
        <v>0</v>
      </c>
      <c r="BK16" s="725">
        <f t="shared" si="10"/>
        <v>0</v>
      </c>
      <c r="BL16" s="725">
        <f t="shared" si="10"/>
        <v>0</v>
      </c>
    </row>
    <row r="17" spans="1:64" x14ac:dyDescent="0.25">
      <c r="A17" s="44"/>
      <c r="B17" s="44"/>
      <c r="C17" s="44"/>
      <c r="D17" s="35"/>
      <c r="E17" s="35"/>
      <c r="F17" s="44"/>
      <c r="G17" s="44"/>
      <c r="H17" s="44"/>
      <c r="I17" s="44"/>
      <c r="J17" s="44"/>
      <c r="K17" s="43" t="s">
        <v>461</v>
      </c>
      <c r="L17" s="43" t="s">
        <v>1216</v>
      </c>
      <c r="M17" s="43" t="str">
        <f t="shared" ref="M17:AA17" si="11">M$2</f>
        <v>Z01</v>
      </c>
      <c r="N17" s="43" t="str">
        <f t="shared" si="11"/>
        <v>Z02</v>
      </c>
      <c r="O17" s="43" t="str">
        <f t="shared" si="11"/>
        <v>Z03</v>
      </c>
      <c r="P17" s="43" t="str">
        <f t="shared" si="11"/>
        <v>Z04</v>
      </c>
      <c r="Q17" s="43" t="str">
        <f t="shared" si="11"/>
        <v>Z05</v>
      </c>
      <c r="R17" s="43" t="str">
        <f t="shared" si="11"/>
        <v>Z06</v>
      </c>
      <c r="S17" s="43" t="str">
        <f t="shared" si="11"/>
        <v>Z07</v>
      </c>
      <c r="T17" s="43" t="str">
        <f t="shared" si="11"/>
        <v>Z08</v>
      </c>
      <c r="U17" s="43" t="str">
        <f t="shared" si="11"/>
        <v>Z09</v>
      </c>
      <c r="V17" s="43" t="str">
        <f t="shared" si="11"/>
        <v>Z10</v>
      </c>
      <c r="W17" s="43" t="str">
        <f t="shared" si="11"/>
        <v>Z11</v>
      </c>
      <c r="X17" s="43" t="str">
        <f t="shared" si="11"/>
        <v>Z12</v>
      </c>
      <c r="Y17" s="43" t="str">
        <f t="shared" si="11"/>
        <v>Z13</v>
      </c>
      <c r="Z17" s="43" t="str">
        <f t="shared" si="11"/>
        <v>Z14</v>
      </c>
      <c r="AA17" s="43" t="str">
        <f t="shared" si="11"/>
        <v>Z15</v>
      </c>
      <c r="AB17" s="44"/>
      <c r="AD17" s="35"/>
      <c r="AE17" s="35"/>
      <c r="AF17" s="35"/>
      <c r="AG17" s="35"/>
      <c r="AH17" s="35"/>
      <c r="AI17" s="35"/>
      <c r="AJ17" s="35"/>
      <c r="AO17" s="35"/>
      <c r="AP17" s="35"/>
      <c r="AQ17" s="35"/>
      <c r="AR17" s="35"/>
      <c r="AV17" s="725" t="s">
        <v>681</v>
      </c>
      <c r="AW17" s="730">
        <f t="shared" si="5"/>
        <v>0</v>
      </c>
      <c r="AX17" s="731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25">
      <c r="A18" s="44"/>
      <c r="B18" s="44"/>
      <c r="C18" s="44"/>
      <c r="D18" s="35"/>
      <c r="E18" s="35"/>
      <c r="F18" s="44"/>
      <c r="G18" s="35"/>
      <c r="H18" s="35"/>
      <c r="I18" s="35"/>
      <c r="J18" s="35"/>
      <c r="K18" s="436"/>
      <c r="L18" s="173" t="s">
        <v>228</v>
      </c>
      <c r="M18" s="165">
        <f>T_ACTFLO!E43</f>
        <v>0</v>
      </c>
      <c r="N18" s="165">
        <f>T_ACTFLO!F43</f>
        <v>0</v>
      </c>
      <c r="O18" s="165">
        <f>T_ACTFLO!G43</f>
        <v>0</v>
      </c>
      <c r="P18" s="165">
        <f>T_ACTFLO!H43</f>
        <v>0</v>
      </c>
      <c r="Q18" s="165">
        <f>T_ACTFLO!I43</f>
        <v>0</v>
      </c>
      <c r="R18" s="165">
        <f>T_ACTFLO!J43</f>
        <v>0</v>
      </c>
      <c r="S18" s="165">
        <f>T_ACTFLO!K43</f>
        <v>0</v>
      </c>
      <c r="T18" s="165">
        <f>T_ACTFLO!L43</f>
        <v>0</v>
      </c>
      <c r="U18" s="165">
        <f>T_ACTFLO!M43</f>
        <v>0</v>
      </c>
      <c r="V18" s="165">
        <f>T_ACTFLO!N43</f>
        <v>0</v>
      </c>
      <c r="W18" s="165">
        <f>T_ACTFLO!O43</f>
        <v>0</v>
      </c>
      <c r="X18" s="165">
        <f>T_ACTFLO!P43</f>
        <v>0</v>
      </c>
      <c r="Y18" s="165">
        <f>T_ACTFLO!Q43</f>
        <v>0</v>
      </c>
      <c r="Z18" s="165">
        <f>T_ACTFLO!R43</f>
        <v>0</v>
      </c>
      <c r="AA18" s="165">
        <f>T_ACTFLO!S43</f>
        <v>0</v>
      </c>
      <c r="AD18" s="35"/>
      <c r="AE18" s="35"/>
      <c r="AF18" s="35"/>
      <c r="AG18" s="35"/>
      <c r="AH18" s="35"/>
      <c r="AI18" s="35"/>
      <c r="AJ18" s="35"/>
      <c r="AO18" s="35"/>
      <c r="AP18" s="35"/>
      <c r="AQ18" s="35"/>
      <c r="AR18" s="35"/>
      <c r="AV18" s="725" t="s">
        <v>1029</v>
      </c>
      <c r="AW18" s="730">
        <f t="shared" si="5"/>
        <v>0</v>
      </c>
      <c r="AX18" s="731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x14ac:dyDescent="0.25">
      <c r="A19" s="44"/>
      <c r="B19" s="44"/>
      <c r="C19" s="44"/>
      <c r="D19" s="35"/>
      <c r="E19" s="35"/>
      <c r="F19" s="44"/>
      <c r="G19" s="35"/>
      <c r="H19" s="35"/>
      <c r="I19" s="35"/>
      <c r="J19" s="35"/>
      <c r="K19" s="436"/>
      <c r="L19" s="173" t="s">
        <v>232</v>
      </c>
      <c r="M19" s="165">
        <f>T_ACTFLO!E44</f>
        <v>0</v>
      </c>
      <c r="N19" s="165">
        <f>T_ACTFLO!F44</f>
        <v>0</v>
      </c>
      <c r="O19" s="165">
        <f>T_ACTFLO!G44</f>
        <v>0</v>
      </c>
      <c r="P19" s="165">
        <f>T_ACTFLO!H44</f>
        <v>0</v>
      </c>
      <c r="Q19" s="165">
        <f>T_ACTFLO!I44</f>
        <v>0</v>
      </c>
      <c r="R19" s="165">
        <f>T_ACTFLO!J44</f>
        <v>0</v>
      </c>
      <c r="S19" s="165">
        <f>T_ACTFLO!K44</f>
        <v>0</v>
      </c>
      <c r="T19" s="165">
        <f>T_ACTFLO!L44</f>
        <v>0</v>
      </c>
      <c r="U19" s="165">
        <f>T_ACTFLO!M44</f>
        <v>0</v>
      </c>
      <c r="V19" s="165">
        <f>T_ACTFLO!N44</f>
        <v>0</v>
      </c>
      <c r="W19" s="165">
        <f>T_ACTFLO!O44</f>
        <v>0</v>
      </c>
      <c r="X19" s="165">
        <f>T_ACTFLO!P44</f>
        <v>0</v>
      </c>
      <c r="Y19" s="165">
        <f>T_ACTFLO!Q44</f>
        <v>0</v>
      </c>
      <c r="Z19" s="165">
        <f>T_ACTFLO!R44</f>
        <v>0</v>
      </c>
      <c r="AA19" s="165">
        <f>T_ACTFLO!S44</f>
        <v>0</v>
      </c>
      <c r="AD19" s="35"/>
      <c r="AE19" s="35"/>
      <c r="AF19" s="35"/>
      <c r="AG19" s="35"/>
      <c r="AH19" s="35"/>
      <c r="AI19" s="35"/>
      <c r="AJ19" s="35"/>
      <c r="AO19" s="35"/>
      <c r="AP19" s="35"/>
      <c r="AQ19" s="35"/>
      <c r="AR19" s="35"/>
      <c r="AV19" s="725" t="s">
        <v>1031</v>
      </c>
      <c r="AW19" s="730">
        <f t="shared" si="5"/>
        <v>0</v>
      </c>
      <c r="AX19" s="731">
        <f>AX29</f>
        <v>0</v>
      </c>
      <c r="AY19" s="725">
        <f t="shared" ref="AY19:BL19" si="12">AY29</f>
        <v>0</v>
      </c>
      <c r="AZ19" s="725">
        <f t="shared" si="12"/>
        <v>0</v>
      </c>
      <c r="BA19" s="725">
        <f t="shared" si="12"/>
        <v>0</v>
      </c>
      <c r="BB19" s="725">
        <f t="shared" si="12"/>
        <v>0</v>
      </c>
      <c r="BC19" s="725">
        <f t="shared" si="12"/>
        <v>0</v>
      </c>
      <c r="BD19" s="725">
        <f t="shared" si="12"/>
        <v>0</v>
      </c>
      <c r="BE19" s="725">
        <f t="shared" si="12"/>
        <v>0</v>
      </c>
      <c r="BF19" s="725">
        <f t="shared" si="12"/>
        <v>0</v>
      </c>
      <c r="BG19" s="725">
        <f t="shared" si="12"/>
        <v>0</v>
      </c>
      <c r="BH19" s="725">
        <f t="shared" si="12"/>
        <v>0</v>
      </c>
      <c r="BI19" s="725">
        <f t="shared" si="12"/>
        <v>0</v>
      </c>
      <c r="BJ19" s="725">
        <f t="shared" si="12"/>
        <v>0</v>
      </c>
      <c r="BK19" s="725">
        <f t="shared" si="12"/>
        <v>0</v>
      </c>
      <c r="BL19" s="725">
        <f t="shared" si="12"/>
        <v>0</v>
      </c>
    </row>
    <row r="20" spans="1:64" x14ac:dyDescent="0.25">
      <c r="A20" s="44"/>
      <c r="B20" s="44"/>
      <c r="C20" s="44"/>
      <c r="D20" s="35"/>
      <c r="E20" s="35"/>
      <c r="F20" s="44"/>
      <c r="G20" s="35"/>
      <c r="H20" s="35"/>
      <c r="I20" s="35"/>
      <c r="J20" s="35"/>
      <c r="K20" s="436"/>
      <c r="L20" s="173" t="s">
        <v>230</v>
      </c>
      <c r="M20" s="165">
        <f>T_ACTFLO!E45</f>
        <v>0</v>
      </c>
      <c r="N20" s="165">
        <f>T_ACTFLO!F45</f>
        <v>0</v>
      </c>
      <c r="O20" s="165">
        <f>T_ACTFLO!G45</f>
        <v>0</v>
      </c>
      <c r="P20" s="165">
        <f>T_ACTFLO!H45</f>
        <v>0</v>
      </c>
      <c r="Q20" s="165">
        <f>T_ACTFLO!I45</f>
        <v>0</v>
      </c>
      <c r="R20" s="165">
        <f>T_ACTFLO!J45</f>
        <v>0</v>
      </c>
      <c r="S20" s="165">
        <f>T_ACTFLO!K45</f>
        <v>0</v>
      </c>
      <c r="T20" s="165">
        <f>T_ACTFLO!L45</f>
        <v>0</v>
      </c>
      <c r="U20" s="165">
        <f>T_ACTFLO!M45</f>
        <v>0</v>
      </c>
      <c r="V20" s="165">
        <f>T_ACTFLO!N45</f>
        <v>0</v>
      </c>
      <c r="W20" s="165">
        <f>T_ACTFLO!O45</f>
        <v>0</v>
      </c>
      <c r="X20" s="165">
        <f>T_ACTFLO!P45</f>
        <v>0</v>
      </c>
      <c r="Y20" s="165">
        <f>T_ACTFLO!Q45</f>
        <v>0</v>
      </c>
      <c r="Z20" s="165">
        <f>T_ACTFLO!R45</f>
        <v>0</v>
      </c>
      <c r="AA20" s="165">
        <f>T_ACTFLO!S45</f>
        <v>0</v>
      </c>
      <c r="AD20" s="35"/>
      <c r="AE20" s="35"/>
      <c r="AF20" s="35"/>
      <c r="AG20" s="35"/>
      <c r="AH20" s="35"/>
      <c r="AI20" s="35"/>
      <c r="AJ20" s="35"/>
      <c r="AO20" s="35"/>
      <c r="AP20" s="35"/>
      <c r="AQ20" s="35"/>
      <c r="AR20" s="35"/>
      <c r="AV20" s="725" t="s">
        <v>1033</v>
      </c>
      <c r="AW20" s="730">
        <f t="shared" si="5"/>
        <v>0</v>
      </c>
      <c r="AX20" s="723"/>
      <c r="AY20" s="723"/>
      <c r="AZ20" s="723"/>
      <c r="BA20" s="723"/>
      <c r="BB20" s="723"/>
      <c r="BC20" s="723"/>
      <c r="BD20" s="723"/>
      <c r="BE20" s="723"/>
      <c r="BF20" s="723"/>
      <c r="BG20" s="723"/>
      <c r="BH20" s="723"/>
      <c r="BI20" s="723"/>
      <c r="BJ20" s="723"/>
      <c r="BK20" s="723"/>
      <c r="BL20" s="723"/>
    </row>
    <row r="21" spans="1:64" x14ac:dyDescent="0.25">
      <c r="AV21" s="725" t="s">
        <v>1035</v>
      </c>
      <c r="AW21" s="730">
        <f t="shared" si="5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x14ac:dyDescent="0.25">
      <c r="B22" s="66"/>
      <c r="AV22" s="725" t="s">
        <v>1039</v>
      </c>
      <c r="AW22" s="730">
        <f t="shared" si="5"/>
        <v>0</v>
      </c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</row>
    <row r="23" spans="1:64" s="35" customFormat="1" ht="16.5" customHeight="1" x14ac:dyDescent="0.25">
      <c r="B23" s="32" t="s">
        <v>1217</v>
      </c>
      <c r="C23" s="26"/>
      <c r="H23" s="36"/>
    </row>
    <row r="24" spans="1:64" s="35" customFormat="1" ht="16.5" customHeight="1" x14ac:dyDescent="0.25">
      <c r="H24" s="36"/>
    </row>
    <row r="25" spans="1:64" s="22" customFormat="1" x14ac:dyDescent="0.25">
      <c r="A25" s="35"/>
      <c r="C25" s="50"/>
      <c r="D25" s="50"/>
      <c r="E25" s="35"/>
      <c r="F25" s="35"/>
      <c r="G25" s="41"/>
      <c r="H25" s="51"/>
      <c r="I25" s="41"/>
      <c r="J25" s="41"/>
      <c r="K25" s="40" t="str">
        <f>IF(SUM(M10:AA11)&gt;0,"~FI_T","not in use")</f>
        <v>not in use</v>
      </c>
      <c r="L25" s="40"/>
      <c r="M25" s="35"/>
      <c r="N25" s="35"/>
      <c r="O25" s="35"/>
      <c r="P25" s="35"/>
      <c r="Q25" s="41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41"/>
      <c r="AC25" s="49" t="str">
        <f>CONCATENATE("TEST: ",B23)</f>
        <v>TEST: Base-year: Navigation - Passenger (Generic)</v>
      </c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V25" s="471" t="s">
        <v>1052</v>
      </c>
    </row>
    <row r="26" spans="1:64" s="22" customFormat="1" x14ac:dyDescent="0.25">
      <c r="A26" s="35"/>
      <c r="B26" s="52" t="s">
        <v>1053</v>
      </c>
      <c r="C26" s="26" t="s">
        <v>104</v>
      </c>
      <c r="D26" s="26" t="s">
        <v>1054</v>
      </c>
      <c r="E26" s="26" t="s">
        <v>673</v>
      </c>
      <c r="F26" s="26" t="s">
        <v>674</v>
      </c>
      <c r="G26" s="26" t="s">
        <v>1055</v>
      </c>
      <c r="H26" s="53" t="s">
        <v>1056</v>
      </c>
      <c r="I26" s="26" t="s">
        <v>982</v>
      </c>
      <c r="J26" s="42" t="s">
        <v>1123</v>
      </c>
      <c r="K26" s="26" t="s">
        <v>1057</v>
      </c>
      <c r="L26" s="26" t="s">
        <v>1058</v>
      </c>
      <c r="M26" s="26" t="str">
        <f t="shared" ref="M26:AA26" si="13">M$2</f>
        <v>Z01</v>
      </c>
      <c r="N26" s="26" t="str">
        <f t="shared" si="13"/>
        <v>Z02</v>
      </c>
      <c r="O26" s="26" t="str">
        <f t="shared" si="13"/>
        <v>Z03</v>
      </c>
      <c r="P26" s="26" t="str">
        <f t="shared" si="13"/>
        <v>Z04</v>
      </c>
      <c r="Q26" s="26" t="str">
        <f t="shared" si="13"/>
        <v>Z05</v>
      </c>
      <c r="R26" s="26" t="str">
        <f t="shared" si="13"/>
        <v>Z06</v>
      </c>
      <c r="S26" s="26" t="str">
        <f t="shared" si="13"/>
        <v>Z07</v>
      </c>
      <c r="T26" s="26" t="str">
        <f t="shared" si="13"/>
        <v>Z08</v>
      </c>
      <c r="U26" s="26" t="str">
        <f t="shared" si="13"/>
        <v>Z09</v>
      </c>
      <c r="V26" s="26" t="str">
        <f t="shared" si="13"/>
        <v>Z10</v>
      </c>
      <c r="W26" s="26" t="str">
        <f t="shared" si="13"/>
        <v>Z11</v>
      </c>
      <c r="X26" s="26" t="str">
        <f t="shared" si="13"/>
        <v>Z12</v>
      </c>
      <c r="Y26" s="26" t="str">
        <f t="shared" si="13"/>
        <v>Z13</v>
      </c>
      <c r="Z26" s="26" t="str">
        <f t="shared" si="13"/>
        <v>Z14</v>
      </c>
      <c r="AA26" s="26" t="str">
        <f t="shared" si="13"/>
        <v>Z15</v>
      </c>
      <c r="AB26" s="48"/>
      <c r="AC26" s="42"/>
      <c r="AD26" s="42" t="s">
        <v>421</v>
      </c>
      <c r="AE26" s="42" t="str">
        <f t="shared" ref="AE26:AS26" si="14">AE69</f>
        <v>Z01</v>
      </c>
      <c r="AF26" s="42" t="str">
        <f t="shared" si="14"/>
        <v>Z02</v>
      </c>
      <c r="AG26" s="42" t="str">
        <f t="shared" si="14"/>
        <v>Z03</v>
      </c>
      <c r="AH26" s="42" t="str">
        <f t="shared" si="14"/>
        <v>Z04</v>
      </c>
      <c r="AI26" s="42" t="str">
        <f t="shared" si="14"/>
        <v>Z05</v>
      </c>
      <c r="AJ26" s="42" t="str">
        <f t="shared" si="14"/>
        <v>Z06</v>
      </c>
      <c r="AK26" s="42" t="str">
        <f t="shared" si="14"/>
        <v>Z07</v>
      </c>
      <c r="AL26" s="42" t="str">
        <f t="shared" si="14"/>
        <v>Z08</v>
      </c>
      <c r="AM26" s="42" t="str">
        <f t="shared" si="14"/>
        <v>Z09</v>
      </c>
      <c r="AN26" s="42" t="str">
        <f t="shared" si="14"/>
        <v>Z10</v>
      </c>
      <c r="AO26" s="42" t="str">
        <f t="shared" si="14"/>
        <v>Z11</v>
      </c>
      <c r="AP26" s="42" t="str">
        <f t="shared" si="14"/>
        <v>Z12</v>
      </c>
      <c r="AQ26" s="42" t="str">
        <f t="shared" si="14"/>
        <v>Z13</v>
      </c>
      <c r="AR26" s="42" t="str">
        <f t="shared" si="14"/>
        <v>Z14</v>
      </c>
      <c r="AS26" s="42" t="str">
        <f t="shared" si="14"/>
        <v>Z15</v>
      </c>
      <c r="AV26" s="701" t="s">
        <v>85</v>
      </c>
      <c r="AW26" s="701" t="s">
        <v>421</v>
      </c>
      <c r="AX26" s="701" t="str">
        <f t="shared" ref="AX26:BL26" si="15">M$2</f>
        <v>Z01</v>
      </c>
      <c r="AY26" s="701" t="str">
        <f t="shared" si="15"/>
        <v>Z02</v>
      </c>
      <c r="AZ26" s="701" t="str">
        <f t="shared" si="15"/>
        <v>Z03</v>
      </c>
      <c r="BA26" s="701" t="str">
        <f t="shared" si="15"/>
        <v>Z04</v>
      </c>
      <c r="BB26" s="701" t="str">
        <f t="shared" si="15"/>
        <v>Z05</v>
      </c>
      <c r="BC26" s="701" t="str">
        <f t="shared" si="15"/>
        <v>Z06</v>
      </c>
      <c r="BD26" s="701" t="str">
        <f t="shared" si="15"/>
        <v>Z07</v>
      </c>
      <c r="BE26" s="701" t="str">
        <f t="shared" si="15"/>
        <v>Z08</v>
      </c>
      <c r="BF26" s="701" t="str">
        <f t="shared" si="15"/>
        <v>Z09</v>
      </c>
      <c r="BG26" s="701" t="str">
        <f t="shared" si="15"/>
        <v>Z10</v>
      </c>
      <c r="BH26" s="701" t="str">
        <f t="shared" si="15"/>
        <v>Z11</v>
      </c>
      <c r="BI26" s="701" t="str">
        <f t="shared" si="15"/>
        <v>Z12</v>
      </c>
      <c r="BJ26" s="701" t="str">
        <f t="shared" si="15"/>
        <v>Z13</v>
      </c>
      <c r="BK26" s="701" t="str">
        <f t="shared" si="15"/>
        <v>Z14</v>
      </c>
      <c r="BL26" s="701" t="str">
        <f t="shared" si="15"/>
        <v>Z15</v>
      </c>
    </row>
    <row r="27" spans="1:64" s="22" customFormat="1" x14ac:dyDescent="0.25">
      <c r="A27" s="35"/>
      <c r="B27" s="176"/>
      <c r="C27" s="176"/>
      <c r="D27" s="176" t="s">
        <v>1062</v>
      </c>
      <c r="E27" s="176"/>
      <c r="F27" s="176"/>
      <c r="G27" s="176"/>
      <c r="H27" s="177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35"/>
      <c r="AC27" s="176" t="s">
        <v>1124</v>
      </c>
      <c r="AD27" s="625" t="str">
        <f>IF(AD28-SUM(M10:AA11)&lt;0,"too small",IF(AD28-SUM(M10:AA11)&gt;0.001,"Too big","ok"))</f>
        <v>ok</v>
      </c>
      <c r="AE27" s="619" t="str">
        <f t="shared" ref="AE27:AS27" si="16">IF(AE28-SUM(M10:M11)&lt;0,"too small",IF(AE28-SUM(M10:M11)&gt;0.001,"Too big","ok"))</f>
        <v>ok</v>
      </c>
      <c r="AF27" s="619" t="str">
        <f t="shared" si="16"/>
        <v>ok</v>
      </c>
      <c r="AG27" s="619" t="str">
        <f t="shared" si="16"/>
        <v>ok</v>
      </c>
      <c r="AH27" s="619" t="str">
        <f t="shared" si="16"/>
        <v>ok</v>
      </c>
      <c r="AI27" s="619" t="str">
        <f t="shared" si="16"/>
        <v>ok</v>
      </c>
      <c r="AJ27" s="619" t="str">
        <f t="shared" si="16"/>
        <v>ok</v>
      </c>
      <c r="AK27" s="619" t="str">
        <f t="shared" si="16"/>
        <v>ok</v>
      </c>
      <c r="AL27" s="619" t="str">
        <f t="shared" si="16"/>
        <v>ok</v>
      </c>
      <c r="AM27" s="619" t="str">
        <f t="shared" si="16"/>
        <v>ok</v>
      </c>
      <c r="AN27" s="619" t="str">
        <f t="shared" si="16"/>
        <v>ok</v>
      </c>
      <c r="AO27" s="619" t="str">
        <f t="shared" si="16"/>
        <v>ok</v>
      </c>
      <c r="AP27" s="619" t="str">
        <f t="shared" si="16"/>
        <v>ok</v>
      </c>
      <c r="AQ27" s="619" t="str">
        <f t="shared" si="16"/>
        <v>ok</v>
      </c>
      <c r="AR27" s="619" t="str">
        <f t="shared" si="16"/>
        <v>ok</v>
      </c>
      <c r="AS27" s="619" t="str">
        <f t="shared" si="16"/>
        <v>ok</v>
      </c>
      <c r="AV27" s="398" t="s">
        <v>103</v>
      </c>
      <c r="AW27" s="717">
        <f>SUM(AX27:BL27)</f>
        <v>0</v>
      </c>
      <c r="AX27" s="718">
        <f>SUM(AX28:AX158)</f>
        <v>0</v>
      </c>
      <c r="AY27" s="718">
        <f t="shared" ref="AY27:BL27" si="17">SUM(AY28:AY158)</f>
        <v>0</v>
      </c>
      <c r="AZ27" s="718">
        <f t="shared" si="17"/>
        <v>0</v>
      </c>
      <c r="BA27" s="718">
        <f t="shared" si="17"/>
        <v>0</v>
      </c>
      <c r="BB27" s="718">
        <f t="shared" si="17"/>
        <v>0</v>
      </c>
      <c r="BC27" s="718">
        <f t="shared" si="17"/>
        <v>0</v>
      </c>
      <c r="BD27" s="718">
        <f t="shared" si="17"/>
        <v>0</v>
      </c>
      <c r="BE27" s="718">
        <f t="shared" si="17"/>
        <v>0</v>
      </c>
      <c r="BF27" s="718">
        <f t="shared" si="17"/>
        <v>0</v>
      </c>
      <c r="BG27" s="718">
        <f t="shared" si="17"/>
        <v>0</v>
      </c>
      <c r="BH27" s="718">
        <f t="shared" si="17"/>
        <v>0</v>
      </c>
      <c r="BI27" s="718">
        <f t="shared" si="17"/>
        <v>0</v>
      </c>
      <c r="BJ27" s="718">
        <f t="shared" si="17"/>
        <v>0</v>
      </c>
      <c r="BK27" s="718">
        <f t="shared" si="17"/>
        <v>0</v>
      </c>
      <c r="BL27" s="718">
        <f t="shared" si="17"/>
        <v>0</v>
      </c>
    </row>
    <row r="28" spans="1:64" s="83" customFormat="1" ht="30" x14ac:dyDescent="0.25">
      <c r="A28" s="82"/>
      <c r="B28" s="178" t="str">
        <f>C28</f>
        <v>TNA100</v>
      </c>
      <c r="C28" s="178" t="s">
        <v>572</v>
      </c>
      <c r="D28" s="179" t="s">
        <v>878</v>
      </c>
      <c r="E28" s="258" t="s">
        <v>1023</v>
      </c>
      <c r="F28" s="181"/>
      <c r="G28" s="182"/>
      <c r="H28" s="183"/>
      <c r="I28" s="184"/>
      <c r="J28" s="184"/>
      <c r="K28" s="185" t="s">
        <v>1107</v>
      </c>
      <c r="L28" s="184" t="s">
        <v>1156</v>
      </c>
      <c r="M28" s="378">
        <f>10^-3</f>
        <v>1E-3</v>
      </c>
      <c r="N28" s="378">
        <f t="shared" ref="N28:AA30" si="18">$M28</f>
        <v>1E-3</v>
      </c>
      <c r="O28" s="378">
        <f t="shared" si="18"/>
        <v>1E-3</v>
      </c>
      <c r="P28" s="378">
        <f t="shared" si="18"/>
        <v>1E-3</v>
      </c>
      <c r="Q28" s="378">
        <f t="shared" si="18"/>
        <v>1E-3</v>
      </c>
      <c r="R28" s="378">
        <f t="shared" si="18"/>
        <v>1E-3</v>
      </c>
      <c r="S28" s="378">
        <f t="shared" si="18"/>
        <v>1E-3</v>
      </c>
      <c r="T28" s="378">
        <f t="shared" si="18"/>
        <v>1E-3</v>
      </c>
      <c r="U28" s="378">
        <f t="shared" si="18"/>
        <v>1E-3</v>
      </c>
      <c r="V28" s="378">
        <f t="shared" si="18"/>
        <v>1E-3</v>
      </c>
      <c r="W28" s="378">
        <f t="shared" si="18"/>
        <v>1E-3</v>
      </c>
      <c r="X28" s="378">
        <f t="shared" si="18"/>
        <v>1E-3</v>
      </c>
      <c r="Y28" s="378">
        <f t="shared" si="18"/>
        <v>1E-3</v>
      </c>
      <c r="Z28" s="378">
        <f t="shared" si="18"/>
        <v>1E-3</v>
      </c>
      <c r="AA28" s="378">
        <f t="shared" si="18"/>
        <v>1E-3</v>
      </c>
      <c r="AC28" s="56" t="str">
        <f>LEFT(C28,3)</f>
        <v>TNA</v>
      </c>
      <c r="AD28" s="80">
        <f>SUM(AD29:AD39)</f>
        <v>0</v>
      </c>
      <c r="AE28" s="618">
        <f>AE31</f>
        <v>0</v>
      </c>
      <c r="AF28" s="618">
        <f t="shared" ref="AF28:AS28" si="19">AF31</f>
        <v>0</v>
      </c>
      <c r="AG28" s="618">
        <f t="shared" si="19"/>
        <v>0</v>
      </c>
      <c r="AH28" s="618">
        <f t="shared" si="19"/>
        <v>0</v>
      </c>
      <c r="AI28" s="618">
        <f t="shared" si="19"/>
        <v>0</v>
      </c>
      <c r="AJ28" s="618">
        <f t="shared" si="19"/>
        <v>0</v>
      </c>
      <c r="AK28" s="618">
        <f t="shared" si="19"/>
        <v>0</v>
      </c>
      <c r="AL28" s="618">
        <f t="shared" si="19"/>
        <v>0</v>
      </c>
      <c r="AM28" s="618">
        <f t="shared" si="19"/>
        <v>0</v>
      </c>
      <c r="AN28" s="618">
        <f t="shared" si="19"/>
        <v>0</v>
      </c>
      <c r="AO28" s="618">
        <f t="shared" si="19"/>
        <v>0</v>
      </c>
      <c r="AP28" s="618">
        <f t="shared" si="19"/>
        <v>0</v>
      </c>
      <c r="AQ28" s="618">
        <f t="shared" si="19"/>
        <v>0</v>
      </c>
      <c r="AR28" s="618">
        <f t="shared" si="19"/>
        <v>0</v>
      </c>
      <c r="AS28" s="618">
        <f t="shared" si="19"/>
        <v>0</v>
      </c>
      <c r="AV28" s="700" t="str">
        <f>MID(E50,1,7)</f>
        <v>TRAHFO</v>
      </c>
      <c r="AW28" s="568">
        <f>SUM(AX28:BL28)</f>
        <v>0</v>
      </c>
      <c r="AX28" s="568">
        <f t="shared" ref="AX28:BL28" si="20">M$55*M$56*(1-M51)/M52/1000</f>
        <v>0</v>
      </c>
      <c r="AY28" s="568">
        <f t="shared" si="20"/>
        <v>0</v>
      </c>
      <c r="AZ28" s="568">
        <f t="shared" si="20"/>
        <v>0</v>
      </c>
      <c r="BA28" s="568">
        <f t="shared" si="20"/>
        <v>0</v>
      </c>
      <c r="BB28" s="568">
        <f t="shared" si="20"/>
        <v>0</v>
      </c>
      <c r="BC28" s="568">
        <f t="shared" si="20"/>
        <v>0</v>
      </c>
      <c r="BD28" s="568">
        <f t="shared" si="20"/>
        <v>0</v>
      </c>
      <c r="BE28" s="568">
        <f t="shared" si="20"/>
        <v>0</v>
      </c>
      <c r="BF28" s="568">
        <f t="shared" si="20"/>
        <v>0</v>
      </c>
      <c r="BG28" s="568">
        <f t="shared" si="20"/>
        <v>0</v>
      </c>
      <c r="BH28" s="568">
        <f t="shared" si="20"/>
        <v>0</v>
      </c>
      <c r="BI28" s="568">
        <f t="shared" si="20"/>
        <v>0</v>
      </c>
      <c r="BJ28" s="568">
        <f t="shared" si="20"/>
        <v>0</v>
      </c>
      <c r="BK28" s="568">
        <f t="shared" si="20"/>
        <v>0</v>
      </c>
      <c r="BL28" s="568">
        <f t="shared" si="20"/>
        <v>0</v>
      </c>
    </row>
    <row r="29" spans="1:64" s="83" customFormat="1" x14ac:dyDescent="0.25">
      <c r="A29" s="22"/>
      <c r="B29" s="186" t="str">
        <f>B31</f>
        <v>TNA100</v>
      </c>
      <c r="C29" s="186"/>
      <c r="D29" s="187"/>
      <c r="E29" s="188" t="s">
        <v>1031</v>
      </c>
      <c r="F29" s="189"/>
      <c r="G29" s="170"/>
      <c r="H29" s="190"/>
      <c r="I29" s="191" t="s">
        <v>1157</v>
      </c>
      <c r="J29" s="191"/>
      <c r="K29" s="186" t="s">
        <v>1176</v>
      </c>
      <c r="L29" s="191"/>
      <c r="M29" s="377">
        <v>0.05</v>
      </c>
      <c r="N29" s="377">
        <f t="shared" si="18"/>
        <v>0.05</v>
      </c>
      <c r="O29" s="377">
        <f t="shared" si="18"/>
        <v>0.05</v>
      </c>
      <c r="P29" s="377">
        <f t="shared" si="18"/>
        <v>0.05</v>
      </c>
      <c r="Q29" s="377">
        <f t="shared" si="18"/>
        <v>0.05</v>
      </c>
      <c r="R29" s="377">
        <f t="shared" si="18"/>
        <v>0.05</v>
      </c>
      <c r="S29" s="377">
        <f t="shared" si="18"/>
        <v>0.05</v>
      </c>
      <c r="T29" s="377">
        <f t="shared" si="18"/>
        <v>0.05</v>
      </c>
      <c r="U29" s="377">
        <f t="shared" si="18"/>
        <v>0.05</v>
      </c>
      <c r="V29" s="377">
        <f t="shared" si="18"/>
        <v>0.05</v>
      </c>
      <c r="W29" s="377">
        <f t="shared" si="18"/>
        <v>0.05</v>
      </c>
      <c r="X29" s="377">
        <f t="shared" si="18"/>
        <v>0.05</v>
      </c>
      <c r="Y29" s="377">
        <f t="shared" si="18"/>
        <v>0.05</v>
      </c>
      <c r="Z29" s="377">
        <f t="shared" si="18"/>
        <v>0.05</v>
      </c>
      <c r="AA29" s="377">
        <f t="shared" si="18"/>
        <v>0.05</v>
      </c>
      <c r="AB29" s="35"/>
      <c r="AC29" s="66" t="str">
        <f>IF(COUNTIF($AD$3:$AF$3,AC28)=1,"ok","MISSING")</f>
        <v>ok</v>
      </c>
      <c r="AT29" s="35"/>
      <c r="AU29" s="35"/>
      <c r="AV29" s="700" t="str">
        <f>MID(E51,1,7)</f>
        <v>TRALFO</v>
      </c>
      <c r="AW29" s="568">
        <f>SUM(AX29:BL29)</f>
        <v>0</v>
      </c>
      <c r="AX29" s="568">
        <f t="shared" ref="AX29:BL29" si="21">M$55*M$56*M51/M53/1000</f>
        <v>0</v>
      </c>
      <c r="AY29" s="568">
        <f t="shared" si="21"/>
        <v>0</v>
      </c>
      <c r="AZ29" s="568">
        <f t="shared" si="21"/>
        <v>0</v>
      </c>
      <c r="BA29" s="568">
        <f t="shared" si="21"/>
        <v>0</v>
      </c>
      <c r="BB29" s="568">
        <f t="shared" si="21"/>
        <v>0</v>
      </c>
      <c r="BC29" s="568">
        <f t="shared" si="21"/>
        <v>0</v>
      </c>
      <c r="BD29" s="568">
        <f t="shared" si="21"/>
        <v>0</v>
      </c>
      <c r="BE29" s="568">
        <f t="shared" si="21"/>
        <v>0</v>
      </c>
      <c r="BF29" s="568">
        <f t="shared" si="21"/>
        <v>0</v>
      </c>
      <c r="BG29" s="568">
        <f t="shared" si="21"/>
        <v>0</v>
      </c>
      <c r="BH29" s="568">
        <f t="shared" si="21"/>
        <v>0</v>
      </c>
      <c r="BI29" s="568">
        <f t="shared" si="21"/>
        <v>0</v>
      </c>
      <c r="BJ29" s="568">
        <f t="shared" si="21"/>
        <v>0</v>
      </c>
      <c r="BK29" s="568">
        <f t="shared" si="21"/>
        <v>0</v>
      </c>
      <c r="BL29" s="568">
        <f t="shared" si="21"/>
        <v>0</v>
      </c>
    </row>
    <row r="30" spans="1:64" s="35" customFormat="1" x14ac:dyDescent="0.25">
      <c r="A30" s="22"/>
      <c r="B30" s="186" t="str">
        <f>B29</f>
        <v>TNA100</v>
      </c>
      <c r="C30" s="186"/>
      <c r="D30" s="187"/>
      <c r="E30" s="258" t="s">
        <v>185</v>
      </c>
      <c r="F30" s="189"/>
      <c r="G30" s="170"/>
      <c r="H30" s="190"/>
      <c r="I30" s="191" t="s">
        <v>1157</v>
      </c>
      <c r="J30" s="191"/>
      <c r="K30" s="186" t="s">
        <v>1176</v>
      </c>
      <c r="L30" s="191"/>
      <c r="M30" s="377">
        <v>0.75</v>
      </c>
      <c r="N30" s="377">
        <f t="shared" si="18"/>
        <v>0.75</v>
      </c>
      <c r="O30" s="377">
        <f t="shared" si="18"/>
        <v>0.75</v>
      </c>
      <c r="P30" s="377">
        <f t="shared" si="18"/>
        <v>0.75</v>
      </c>
      <c r="Q30" s="377">
        <f t="shared" si="18"/>
        <v>0.75</v>
      </c>
      <c r="R30" s="377">
        <f t="shared" si="18"/>
        <v>0.75</v>
      </c>
      <c r="S30" s="377">
        <f t="shared" si="18"/>
        <v>0.75</v>
      </c>
      <c r="T30" s="377">
        <f t="shared" si="18"/>
        <v>0.75</v>
      </c>
      <c r="U30" s="377">
        <f t="shared" si="18"/>
        <v>0.75</v>
      </c>
      <c r="V30" s="377">
        <f t="shared" si="18"/>
        <v>0.75</v>
      </c>
      <c r="W30" s="377">
        <f t="shared" si="18"/>
        <v>0.75</v>
      </c>
      <c r="X30" s="377">
        <f t="shared" si="18"/>
        <v>0.75</v>
      </c>
      <c r="Y30" s="377">
        <f t="shared" si="18"/>
        <v>0.75</v>
      </c>
      <c r="Z30" s="377">
        <f t="shared" si="18"/>
        <v>0.75</v>
      </c>
      <c r="AA30" s="377">
        <f t="shared" si="18"/>
        <v>0.75</v>
      </c>
      <c r="AC30" s="413"/>
    </row>
    <row r="31" spans="1:64" s="35" customFormat="1" x14ac:dyDescent="0.25">
      <c r="A31" s="22"/>
      <c r="B31" s="186" t="str">
        <f>B28</f>
        <v>TNA100</v>
      </c>
      <c r="C31" s="186"/>
      <c r="D31" s="187"/>
      <c r="E31" s="188"/>
      <c r="F31" s="181" t="s">
        <v>81</v>
      </c>
      <c r="G31" s="170"/>
      <c r="H31" s="190"/>
      <c r="I31" s="191"/>
      <c r="J31" s="191"/>
      <c r="K31" s="186" t="s">
        <v>1126</v>
      </c>
      <c r="L31" s="191" t="s">
        <v>678</v>
      </c>
      <c r="M31" s="366">
        <f>T_CEFF!H312</f>
        <v>1.7000000000000001E-4</v>
      </c>
      <c r="N31" s="366">
        <f>T_CEFF!I312</f>
        <v>1.7000000000000001E-4</v>
      </c>
      <c r="O31" s="366">
        <f>T_CEFF!J312</f>
        <v>1.7000000000000001E-4</v>
      </c>
      <c r="P31" s="366">
        <f>T_CEFF!K312</f>
        <v>1.7000000000000001E-4</v>
      </c>
      <c r="Q31" s="366">
        <f>T_CEFF!L312</f>
        <v>1.7000000000000001E-4</v>
      </c>
      <c r="R31" s="366">
        <f>T_CEFF!M312</f>
        <v>1.7000000000000001E-4</v>
      </c>
      <c r="S31" s="366">
        <f>T_CEFF!N312</f>
        <v>1.7000000000000001E-4</v>
      </c>
      <c r="T31" s="366">
        <f>T_CEFF!O312</f>
        <v>1.7000000000000001E-4</v>
      </c>
      <c r="U31" s="366">
        <f>T_CEFF!P312</f>
        <v>1.7000000000000001E-4</v>
      </c>
      <c r="V31" s="366">
        <f>T_CEFF!Q312</f>
        <v>1.7000000000000001E-4</v>
      </c>
      <c r="W31" s="366">
        <f>T_CEFF!R312</f>
        <v>1.7000000000000001E-4</v>
      </c>
      <c r="X31" s="366">
        <f>T_CEFF!S312</f>
        <v>1.7000000000000001E-4</v>
      </c>
      <c r="Y31" s="366">
        <f>T_CEFF!T312</f>
        <v>1.7000000000000001E-4</v>
      </c>
      <c r="Z31" s="366">
        <f>T_CEFF!U312</f>
        <v>1.7000000000000001E-4</v>
      </c>
      <c r="AA31" s="366">
        <f>T_CEFF!V312</f>
        <v>1.7000000000000001E-4</v>
      </c>
      <c r="AC31" s="473" t="s">
        <v>1132</v>
      </c>
      <c r="AD31" s="80">
        <f>SUM(AE31:AS31)</f>
        <v>0</v>
      </c>
      <c r="AE31" s="81">
        <f t="shared" ref="AE31:AS31" si="22">M35*M34</f>
        <v>0</v>
      </c>
      <c r="AF31" s="81">
        <f t="shared" si="22"/>
        <v>0</v>
      </c>
      <c r="AG31" s="81">
        <f t="shared" si="22"/>
        <v>0</v>
      </c>
      <c r="AH31" s="81">
        <f t="shared" si="22"/>
        <v>0</v>
      </c>
      <c r="AI31" s="81">
        <f t="shared" si="22"/>
        <v>0</v>
      </c>
      <c r="AJ31" s="81">
        <f t="shared" si="22"/>
        <v>0</v>
      </c>
      <c r="AK31" s="81">
        <f t="shared" si="22"/>
        <v>0</v>
      </c>
      <c r="AL31" s="81">
        <f t="shared" si="22"/>
        <v>0</v>
      </c>
      <c r="AM31" s="81">
        <f t="shared" si="22"/>
        <v>0</v>
      </c>
      <c r="AN31" s="81">
        <f t="shared" si="22"/>
        <v>0</v>
      </c>
      <c r="AO31" s="81">
        <f t="shared" si="22"/>
        <v>0</v>
      </c>
      <c r="AP31" s="81">
        <f t="shared" si="22"/>
        <v>0</v>
      </c>
      <c r="AQ31" s="81">
        <f t="shared" si="22"/>
        <v>0</v>
      </c>
      <c r="AR31" s="81">
        <f t="shared" si="22"/>
        <v>0</v>
      </c>
      <c r="AS31" s="81">
        <f t="shared" si="22"/>
        <v>0</v>
      </c>
    </row>
    <row r="32" spans="1:64" s="35" customFormat="1" x14ac:dyDescent="0.25">
      <c r="B32" s="186" t="str">
        <f>B30</f>
        <v>TNA100</v>
      </c>
      <c r="C32" s="186"/>
      <c r="D32" s="186"/>
      <c r="E32" s="258"/>
      <c r="F32" s="539" t="s">
        <v>606</v>
      </c>
      <c r="G32" s="170"/>
      <c r="H32" s="190"/>
      <c r="I32" s="191"/>
      <c r="J32" s="191"/>
      <c r="K32" s="186" t="s">
        <v>1126</v>
      </c>
      <c r="L32" s="191" t="s">
        <v>678</v>
      </c>
      <c r="M32" s="366">
        <f>T_CEFF!H312</f>
        <v>1.7000000000000001E-4</v>
      </c>
      <c r="N32" s="366">
        <f>T_CEFF!I312</f>
        <v>1.7000000000000001E-4</v>
      </c>
      <c r="O32" s="366">
        <f>T_CEFF!J312</f>
        <v>1.7000000000000001E-4</v>
      </c>
      <c r="P32" s="366">
        <f>T_CEFF!K312</f>
        <v>1.7000000000000001E-4</v>
      </c>
      <c r="Q32" s="366">
        <f>T_CEFF!L312</f>
        <v>1.7000000000000001E-4</v>
      </c>
      <c r="R32" s="366">
        <f>T_CEFF!M312</f>
        <v>1.7000000000000001E-4</v>
      </c>
      <c r="S32" s="366">
        <f>T_CEFF!N312</f>
        <v>1.7000000000000001E-4</v>
      </c>
      <c r="T32" s="366">
        <f>T_CEFF!O312</f>
        <v>1.7000000000000001E-4</v>
      </c>
      <c r="U32" s="366">
        <f>T_CEFF!P312</f>
        <v>1.7000000000000001E-4</v>
      </c>
      <c r="V32" s="366">
        <f>T_CEFF!Q312</f>
        <v>1.7000000000000001E-4</v>
      </c>
      <c r="W32" s="366">
        <f>T_CEFF!R312</f>
        <v>1.7000000000000001E-4</v>
      </c>
      <c r="X32" s="366">
        <f>T_CEFF!S312</f>
        <v>1.7000000000000001E-4</v>
      </c>
      <c r="Y32" s="366">
        <f>T_CEFF!T312</f>
        <v>1.7000000000000001E-4</v>
      </c>
      <c r="Z32" s="366">
        <f>T_CEFF!U312</f>
        <v>1.7000000000000001E-4</v>
      </c>
      <c r="AA32" s="366">
        <f>T_CEFF!V312</f>
        <v>1.7000000000000001E-4</v>
      </c>
      <c r="AC32" s="55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</row>
    <row r="33" spans="1:47" s="35" customFormat="1" x14ac:dyDescent="0.25">
      <c r="B33" s="186" t="str">
        <f>B32</f>
        <v>TNA100</v>
      </c>
      <c r="C33" s="186"/>
      <c r="D33" s="186"/>
      <c r="E33" s="188"/>
      <c r="F33" s="189"/>
      <c r="G33" s="170"/>
      <c r="H33" s="190"/>
      <c r="I33" s="191"/>
      <c r="J33" s="191" t="s">
        <v>749</v>
      </c>
      <c r="K33" s="191" t="s">
        <v>1128</v>
      </c>
      <c r="L33" s="186" t="s">
        <v>1159</v>
      </c>
      <c r="M33" s="376">
        <f>TNA!M18</f>
        <v>0</v>
      </c>
      <c r="N33" s="376">
        <f>TNA!N18</f>
        <v>0</v>
      </c>
      <c r="O33" s="376">
        <f>TNA!O18</f>
        <v>0</v>
      </c>
      <c r="P33" s="376">
        <f>TNA!P18</f>
        <v>0</v>
      </c>
      <c r="Q33" s="376">
        <f>TNA!Q18</f>
        <v>0</v>
      </c>
      <c r="R33" s="376">
        <f>TNA!R18</f>
        <v>0</v>
      </c>
      <c r="S33" s="376">
        <f>TNA!S18</f>
        <v>0</v>
      </c>
      <c r="T33" s="376">
        <f>TNA!T18</f>
        <v>0</v>
      </c>
      <c r="U33" s="376">
        <f>TNA!U18</f>
        <v>0</v>
      </c>
      <c r="V33" s="376">
        <f>TNA!V18</f>
        <v>0</v>
      </c>
      <c r="W33" s="376">
        <f>TNA!W18</f>
        <v>0</v>
      </c>
      <c r="X33" s="376">
        <f>TNA!X18</f>
        <v>0</v>
      </c>
      <c r="Y33" s="376">
        <f>TNA!Y18</f>
        <v>0</v>
      </c>
      <c r="Z33" s="376">
        <f>TNA!Z18</f>
        <v>0</v>
      </c>
      <c r="AA33" s="376">
        <f>TNA!AA18</f>
        <v>0</v>
      </c>
      <c r="AC33" s="55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</row>
    <row r="34" spans="1:47" s="35" customFormat="1" x14ac:dyDescent="0.25">
      <c r="B34" s="186" t="str">
        <f>B32</f>
        <v>TNA100</v>
      </c>
      <c r="C34" s="186"/>
      <c r="D34" s="187"/>
      <c r="E34" s="186"/>
      <c r="F34" s="189"/>
      <c r="G34" s="170"/>
      <c r="H34" s="190"/>
      <c r="I34" s="191"/>
      <c r="J34" s="191"/>
      <c r="K34" s="192" t="s">
        <v>1130</v>
      </c>
      <c r="L34" s="191" t="s">
        <v>1131</v>
      </c>
      <c r="M34" s="376">
        <f>T_NCAP_AF!D360</f>
        <v>0</v>
      </c>
      <c r="N34" s="376">
        <f>T_NCAP_AF!E360</f>
        <v>0</v>
      </c>
      <c r="O34" s="376">
        <f>T_NCAP_AF!F360</f>
        <v>0</v>
      </c>
      <c r="P34" s="376">
        <f>T_NCAP_AF!G360</f>
        <v>0</v>
      </c>
      <c r="Q34" s="376">
        <f>T_NCAP_AF!H360</f>
        <v>0</v>
      </c>
      <c r="R34" s="376">
        <f>T_NCAP_AF!I360</f>
        <v>0</v>
      </c>
      <c r="S34" s="376">
        <f>T_NCAP_AF!J360</f>
        <v>0</v>
      </c>
      <c r="T34" s="376">
        <f>T_NCAP_AF!K360</f>
        <v>0</v>
      </c>
      <c r="U34" s="376">
        <f>T_NCAP_AF!L360</f>
        <v>0</v>
      </c>
      <c r="V34" s="376">
        <f>T_NCAP_AF!M360</f>
        <v>0</v>
      </c>
      <c r="W34" s="376">
        <f>T_NCAP_AF!N360</f>
        <v>0</v>
      </c>
      <c r="X34" s="376">
        <f>T_NCAP_AF!O360</f>
        <v>0</v>
      </c>
      <c r="Y34" s="376">
        <f>T_NCAP_AF!P360</f>
        <v>0</v>
      </c>
      <c r="Z34" s="376">
        <f>T_NCAP_AF!Q360</f>
        <v>0</v>
      </c>
      <c r="AA34" s="376">
        <f>T_NCAP_AF!R360</f>
        <v>0</v>
      </c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</row>
    <row r="35" spans="1:47" s="35" customFormat="1" x14ac:dyDescent="0.25">
      <c r="B35" s="186" t="str">
        <f t="shared" ref="B35:B41" si="23">B34</f>
        <v>TNA100</v>
      </c>
      <c r="C35" s="186"/>
      <c r="D35" s="187"/>
      <c r="E35" s="186"/>
      <c r="F35" s="189"/>
      <c r="G35" s="170"/>
      <c r="H35" s="190">
        <f>$L$3</f>
        <v>2019</v>
      </c>
      <c r="I35" s="191"/>
      <c r="J35" s="191"/>
      <c r="K35" s="192" t="s">
        <v>1065</v>
      </c>
      <c r="L35" s="191" t="s">
        <v>748</v>
      </c>
      <c r="M35" s="689">
        <f t="shared" ref="M35:AA35" si="24">IF(M34=0, 0, ROUNDUP((M10+M11)/M33/M34*1000, 8))</f>
        <v>0</v>
      </c>
      <c r="N35" s="689">
        <f t="shared" si="24"/>
        <v>0</v>
      </c>
      <c r="O35" s="689">
        <f t="shared" si="24"/>
        <v>0</v>
      </c>
      <c r="P35" s="689">
        <f t="shared" si="24"/>
        <v>0</v>
      </c>
      <c r="Q35" s="689">
        <f t="shared" si="24"/>
        <v>0</v>
      </c>
      <c r="R35" s="689">
        <f t="shared" si="24"/>
        <v>0</v>
      </c>
      <c r="S35" s="689">
        <f t="shared" si="24"/>
        <v>0</v>
      </c>
      <c r="T35" s="689">
        <f t="shared" si="24"/>
        <v>0</v>
      </c>
      <c r="U35" s="689">
        <f t="shared" si="24"/>
        <v>0</v>
      </c>
      <c r="V35" s="689">
        <f t="shared" si="24"/>
        <v>0</v>
      </c>
      <c r="W35" s="689">
        <f t="shared" si="24"/>
        <v>0</v>
      </c>
      <c r="X35" s="689">
        <f t="shared" si="24"/>
        <v>0</v>
      </c>
      <c r="Y35" s="689">
        <f t="shared" si="24"/>
        <v>0</v>
      </c>
      <c r="Z35" s="689">
        <f t="shared" si="24"/>
        <v>0</v>
      </c>
      <c r="AA35" s="689">
        <f t="shared" si="24"/>
        <v>0</v>
      </c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</row>
    <row r="36" spans="1:47" s="35" customFormat="1" x14ac:dyDescent="0.25">
      <c r="B36" s="186" t="str">
        <f t="shared" si="23"/>
        <v>TNA100</v>
      </c>
      <c r="C36" s="186"/>
      <c r="D36" s="187"/>
      <c r="E36" s="186"/>
      <c r="F36" s="189"/>
      <c r="G36" s="170"/>
      <c r="H36" s="190">
        <f>AC$4</f>
        <v>2016</v>
      </c>
      <c r="I36" s="191"/>
      <c r="J36" s="191"/>
      <c r="K36" s="192" t="s">
        <v>1065</v>
      </c>
      <c r="L36" s="191" t="s">
        <v>748</v>
      </c>
      <c r="M36" s="687">
        <f t="shared" ref="M36:AA36" si="25">M$35*$AD4</f>
        <v>0</v>
      </c>
      <c r="N36" s="687">
        <f t="shared" si="25"/>
        <v>0</v>
      </c>
      <c r="O36" s="687">
        <f t="shared" si="25"/>
        <v>0</v>
      </c>
      <c r="P36" s="687">
        <f t="shared" si="25"/>
        <v>0</v>
      </c>
      <c r="Q36" s="687">
        <f t="shared" si="25"/>
        <v>0</v>
      </c>
      <c r="R36" s="687">
        <f t="shared" si="25"/>
        <v>0</v>
      </c>
      <c r="S36" s="687">
        <f t="shared" si="25"/>
        <v>0</v>
      </c>
      <c r="T36" s="687">
        <f t="shared" si="25"/>
        <v>0</v>
      </c>
      <c r="U36" s="687">
        <f t="shared" si="25"/>
        <v>0</v>
      </c>
      <c r="V36" s="687">
        <f t="shared" si="25"/>
        <v>0</v>
      </c>
      <c r="W36" s="687">
        <f t="shared" si="25"/>
        <v>0</v>
      </c>
      <c r="X36" s="687">
        <f t="shared" si="25"/>
        <v>0</v>
      </c>
      <c r="Y36" s="687">
        <f t="shared" si="25"/>
        <v>0</v>
      </c>
      <c r="Z36" s="687">
        <f t="shared" si="25"/>
        <v>0</v>
      </c>
      <c r="AA36" s="687">
        <f t="shared" si="25"/>
        <v>0</v>
      </c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</row>
    <row r="37" spans="1:47" s="35" customFormat="1" x14ac:dyDescent="0.25">
      <c r="B37" s="186" t="str">
        <f t="shared" si="23"/>
        <v>TNA100</v>
      </c>
      <c r="C37" s="186"/>
      <c r="D37" s="187"/>
      <c r="E37" s="186"/>
      <c r="F37" s="189"/>
      <c r="G37" s="170"/>
      <c r="H37" s="190">
        <f>AC$5</f>
        <v>2020</v>
      </c>
      <c r="I37" s="191"/>
      <c r="J37" s="191"/>
      <c r="K37" s="192" t="s">
        <v>1065</v>
      </c>
      <c r="L37" s="191" t="s">
        <v>748</v>
      </c>
      <c r="M37" s="687">
        <f t="shared" ref="M37:AA37" si="26">M$35*$AD5</f>
        <v>0</v>
      </c>
      <c r="N37" s="687">
        <f t="shared" si="26"/>
        <v>0</v>
      </c>
      <c r="O37" s="687">
        <f t="shared" si="26"/>
        <v>0</v>
      </c>
      <c r="P37" s="687">
        <f t="shared" si="26"/>
        <v>0</v>
      </c>
      <c r="Q37" s="687">
        <f t="shared" si="26"/>
        <v>0</v>
      </c>
      <c r="R37" s="687">
        <f t="shared" si="26"/>
        <v>0</v>
      </c>
      <c r="S37" s="687">
        <f t="shared" si="26"/>
        <v>0</v>
      </c>
      <c r="T37" s="687">
        <f t="shared" si="26"/>
        <v>0</v>
      </c>
      <c r="U37" s="687">
        <f t="shared" si="26"/>
        <v>0</v>
      </c>
      <c r="V37" s="687">
        <f t="shared" si="26"/>
        <v>0</v>
      </c>
      <c r="W37" s="687">
        <f t="shared" si="26"/>
        <v>0</v>
      </c>
      <c r="X37" s="687">
        <f t="shared" si="26"/>
        <v>0</v>
      </c>
      <c r="Y37" s="687">
        <f t="shared" si="26"/>
        <v>0</v>
      </c>
      <c r="Z37" s="687">
        <f t="shared" si="26"/>
        <v>0</v>
      </c>
      <c r="AA37" s="687">
        <f t="shared" si="26"/>
        <v>0</v>
      </c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</row>
    <row r="38" spans="1:47" s="35" customFormat="1" x14ac:dyDescent="0.25">
      <c r="B38" s="186" t="str">
        <f t="shared" si="23"/>
        <v>TNA100</v>
      </c>
      <c r="C38" s="186"/>
      <c r="D38" s="187"/>
      <c r="E38" s="186"/>
      <c r="F38" s="189"/>
      <c r="G38" s="170"/>
      <c r="H38" s="190">
        <f>AC$6</f>
        <v>2025</v>
      </c>
      <c r="I38" s="191"/>
      <c r="J38" s="191"/>
      <c r="K38" s="192" t="s">
        <v>1065</v>
      </c>
      <c r="L38" s="191" t="s">
        <v>748</v>
      </c>
      <c r="M38" s="687">
        <f t="shared" ref="M38:AA38" si="27">M$35*$AD6</f>
        <v>0</v>
      </c>
      <c r="N38" s="687">
        <f t="shared" si="27"/>
        <v>0</v>
      </c>
      <c r="O38" s="687">
        <f t="shared" si="27"/>
        <v>0</v>
      </c>
      <c r="P38" s="687">
        <f t="shared" si="27"/>
        <v>0</v>
      </c>
      <c r="Q38" s="687">
        <f t="shared" si="27"/>
        <v>0</v>
      </c>
      <c r="R38" s="687">
        <f t="shared" si="27"/>
        <v>0</v>
      </c>
      <c r="S38" s="687">
        <f t="shared" si="27"/>
        <v>0</v>
      </c>
      <c r="T38" s="687">
        <f t="shared" si="27"/>
        <v>0</v>
      </c>
      <c r="U38" s="687">
        <f t="shared" si="27"/>
        <v>0</v>
      </c>
      <c r="V38" s="687">
        <f t="shared" si="27"/>
        <v>0</v>
      </c>
      <c r="W38" s="687">
        <f t="shared" si="27"/>
        <v>0</v>
      </c>
      <c r="X38" s="687">
        <f t="shared" si="27"/>
        <v>0</v>
      </c>
      <c r="Y38" s="687">
        <f t="shared" si="27"/>
        <v>0</v>
      </c>
      <c r="Z38" s="687">
        <f t="shared" si="27"/>
        <v>0</v>
      </c>
      <c r="AA38" s="687">
        <f t="shared" si="27"/>
        <v>0</v>
      </c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</row>
    <row r="39" spans="1:47" s="35" customFormat="1" x14ac:dyDescent="0.25">
      <c r="B39" s="186" t="str">
        <f t="shared" si="23"/>
        <v>TNA100</v>
      </c>
      <c r="C39" s="186"/>
      <c r="D39" s="187"/>
      <c r="E39" s="186"/>
      <c r="F39" s="189"/>
      <c r="G39" s="170"/>
      <c r="H39" s="190">
        <f>AC$7</f>
        <v>2030</v>
      </c>
      <c r="I39" s="191"/>
      <c r="J39" s="191"/>
      <c r="K39" s="192" t="s">
        <v>1065</v>
      </c>
      <c r="L39" s="191" t="s">
        <v>748</v>
      </c>
      <c r="M39" s="687">
        <f t="shared" ref="M39:AA39" si="28">M$35*$AD7</f>
        <v>0</v>
      </c>
      <c r="N39" s="687">
        <f t="shared" si="28"/>
        <v>0</v>
      </c>
      <c r="O39" s="687">
        <f t="shared" si="28"/>
        <v>0</v>
      </c>
      <c r="P39" s="687">
        <f t="shared" si="28"/>
        <v>0</v>
      </c>
      <c r="Q39" s="687">
        <f t="shared" si="28"/>
        <v>0</v>
      </c>
      <c r="R39" s="687">
        <f t="shared" si="28"/>
        <v>0</v>
      </c>
      <c r="S39" s="687">
        <f t="shared" si="28"/>
        <v>0</v>
      </c>
      <c r="T39" s="687">
        <f t="shared" si="28"/>
        <v>0</v>
      </c>
      <c r="U39" s="687">
        <f t="shared" si="28"/>
        <v>0</v>
      </c>
      <c r="V39" s="687">
        <f t="shared" si="28"/>
        <v>0</v>
      </c>
      <c r="W39" s="687">
        <f t="shared" si="28"/>
        <v>0</v>
      </c>
      <c r="X39" s="687">
        <f t="shared" si="28"/>
        <v>0</v>
      </c>
      <c r="Y39" s="687">
        <f t="shared" si="28"/>
        <v>0</v>
      </c>
      <c r="Z39" s="687">
        <f t="shared" si="28"/>
        <v>0</v>
      </c>
      <c r="AA39" s="687">
        <f t="shared" si="28"/>
        <v>0</v>
      </c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</row>
    <row r="40" spans="1:47" s="35" customFormat="1" x14ac:dyDescent="0.25">
      <c r="B40" s="186" t="str">
        <f t="shared" si="23"/>
        <v>TNA100</v>
      </c>
      <c r="C40" s="186"/>
      <c r="D40" s="187"/>
      <c r="E40" s="186"/>
      <c r="F40" s="189"/>
      <c r="G40" s="170"/>
      <c r="H40" s="190">
        <f>AC$8</f>
        <v>2040</v>
      </c>
      <c r="I40" s="191"/>
      <c r="J40" s="191"/>
      <c r="K40" s="192" t="s">
        <v>1065</v>
      </c>
      <c r="L40" s="191" t="s">
        <v>748</v>
      </c>
      <c r="M40" s="687">
        <f t="shared" ref="M40:AA40" si="29">M$35*$AD8</f>
        <v>0</v>
      </c>
      <c r="N40" s="687">
        <f t="shared" si="29"/>
        <v>0</v>
      </c>
      <c r="O40" s="687">
        <f t="shared" si="29"/>
        <v>0</v>
      </c>
      <c r="P40" s="687">
        <f t="shared" si="29"/>
        <v>0</v>
      </c>
      <c r="Q40" s="687">
        <f t="shared" si="29"/>
        <v>0</v>
      </c>
      <c r="R40" s="687">
        <f t="shared" si="29"/>
        <v>0</v>
      </c>
      <c r="S40" s="687">
        <f t="shared" si="29"/>
        <v>0</v>
      </c>
      <c r="T40" s="687">
        <f t="shared" si="29"/>
        <v>0</v>
      </c>
      <c r="U40" s="687">
        <f t="shared" si="29"/>
        <v>0</v>
      </c>
      <c r="V40" s="687">
        <f t="shared" si="29"/>
        <v>0</v>
      </c>
      <c r="W40" s="687">
        <f t="shared" si="29"/>
        <v>0</v>
      </c>
      <c r="X40" s="687">
        <f t="shared" si="29"/>
        <v>0</v>
      </c>
      <c r="Y40" s="687">
        <f t="shared" si="29"/>
        <v>0</v>
      </c>
      <c r="Z40" s="687">
        <f t="shared" si="29"/>
        <v>0</v>
      </c>
      <c r="AA40" s="687">
        <f t="shared" si="29"/>
        <v>0</v>
      </c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</row>
    <row r="41" spans="1:47" x14ac:dyDescent="0.25">
      <c r="A41" s="35"/>
      <c r="B41" s="193" t="str">
        <f t="shared" si="23"/>
        <v>TNA100</v>
      </c>
      <c r="C41" s="193"/>
      <c r="D41" s="194"/>
      <c r="E41" s="193"/>
      <c r="F41" s="195"/>
      <c r="G41" s="196"/>
      <c r="H41" s="197">
        <f>AC$9</f>
        <v>2050</v>
      </c>
      <c r="I41" s="198"/>
      <c r="J41" s="198"/>
      <c r="K41" s="199" t="s">
        <v>1065</v>
      </c>
      <c r="L41" s="198" t="s">
        <v>748</v>
      </c>
      <c r="M41" s="688">
        <f t="shared" ref="M41:AA41" si="30">M$35*$AD9</f>
        <v>0</v>
      </c>
      <c r="N41" s="688">
        <f t="shared" si="30"/>
        <v>0</v>
      </c>
      <c r="O41" s="688">
        <f t="shared" si="30"/>
        <v>0</v>
      </c>
      <c r="P41" s="688">
        <f t="shared" si="30"/>
        <v>0</v>
      </c>
      <c r="Q41" s="688">
        <f t="shared" si="30"/>
        <v>0</v>
      </c>
      <c r="R41" s="688">
        <f t="shared" si="30"/>
        <v>0</v>
      </c>
      <c r="S41" s="688">
        <f t="shared" si="30"/>
        <v>0</v>
      </c>
      <c r="T41" s="688">
        <f t="shared" si="30"/>
        <v>0</v>
      </c>
      <c r="U41" s="688">
        <f t="shared" si="30"/>
        <v>0</v>
      </c>
      <c r="V41" s="688">
        <f t="shared" si="30"/>
        <v>0</v>
      </c>
      <c r="W41" s="688">
        <f t="shared" si="30"/>
        <v>0</v>
      </c>
      <c r="X41" s="688">
        <f t="shared" si="30"/>
        <v>0</v>
      </c>
      <c r="Y41" s="688">
        <f t="shared" si="30"/>
        <v>0</v>
      </c>
      <c r="Z41" s="688">
        <f t="shared" si="30"/>
        <v>0</v>
      </c>
      <c r="AA41" s="688">
        <f t="shared" si="30"/>
        <v>0</v>
      </c>
      <c r="AB41" s="35"/>
      <c r="AC41" s="35"/>
      <c r="AQ41" s="35"/>
      <c r="AR41" s="35"/>
      <c r="AS41" s="35"/>
      <c r="AT41" s="35"/>
      <c r="AU41" s="35"/>
    </row>
    <row r="44" spans="1:47" s="35" customFormat="1" ht="16.5" customHeight="1" x14ac:dyDescent="0.25"/>
    <row r="45" spans="1:47" s="22" customFormat="1" x14ac:dyDescent="0.25">
      <c r="A45" s="35"/>
      <c r="B45" s="32" t="s">
        <v>1218</v>
      </c>
      <c r="C45" s="26"/>
      <c r="D45" s="35"/>
      <c r="E45" s="35"/>
      <c r="F45" s="35"/>
      <c r="G45" s="35"/>
      <c r="H45" s="36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</row>
    <row r="46" spans="1:47" s="22" customFormat="1" x14ac:dyDescent="0.25">
      <c r="A46" s="35"/>
      <c r="B46" s="35"/>
      <c r="C46" s="35"/>
      <c r="D46" s="35"/>
      <c r="E46" s="35"/>
      <c r="F46" s="35"/>
      <c r="G46" s="35"/>
      <c r="H46" s="36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</row>
    <row r="47" spans="1:47" s="22" customFormat="1" x14ac:dyDescent="0.25">
      <c r="A47" s="35"/>
      <c r="B47" s="35"/>
      <c r="C47" s="50"/>
      <c r="D47" s="50"/>
      <c r="E47" s="35"/>
      <c r="F47" s="35"/>
      <c r="G47" s="41"/>
      <c r="H47" s="51"/>
      <c r="I47" s="41"/>
      <c r="J47" s="41"/>
      <c r="K47" s="40" t="str">
        <f>IF(SUM(M12:AA13)&gt;0,"~FI_T","not in use")</f>
        <v>not in use</v>
      </c>
      <c r="L47" s="40"/>
      <c r="M47" s="35"/>
      <c r="N47" s="35"/>
      <c r="O47" s="35"/>
      <c r="P47" s="35"/>
      <c r="Q47" s="41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41"/>
      <c r="AC47" s="49" t="str">
        <f>CONCATENATE("TEST: ",B45)</f>
        <v>TEST: Base-year: Navigation - Freight (Generic)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</row>
    <row r="48" spans="1:47" s="22" customFormat="1" x14ac:dyDescent="0.25">
      <c r="A48" s="35"/>
      <c r="B48" s="52" t="s">
        <v>1053</v>
      </c>
      <c r="C48" s="26" t="s">
        <v>104</v>
      </c>
      <c r="D48" s="26" t="s">
        <v>1054</v>
      </c>
      <c r="E48" s="26" t="s">
        <v>673</v>
      </c>
      <c r="F48" s="26" t="s">
        <v>674</v>
      </c>
      <c r="G48" s="26" t="s">
        <v>1055</v>
      </c>
      <c r="H48" s="53" t="s">
        <v>1056</v>
      </c>
      <c r="I48" s="26" t="s">
        <v>982</v>
      </c>
      <c r="J48" s="42" t="s">
        <v>1123</v>
      </c>
      <c r="K48" s="26" t="s">
        <v>1057</v>
      </c>
      <c r="L48" s="26" t="s">
        <v>1058</v>
      </c>
      <c r="M48" s="26" t="str">
        <f t="shared" ref="M48:AA48" si="31">M$2</f>
        <v>Z01</v>
      </c>
      <c r="N48" s="26" t="str">
        <f t="shared" si="31"/>
        <v>Z02</v>
      </c>
      <c r="O48" s="26" t="str">
        <f t="shared" si="31"/>
        <v>Z03</v>
      </c>
      <c r="P48" s="26" t="str">
        <f t="shared" si="31"/>
        <v>Z04</v>
      </c>
      <c r="Q48" s="26" t="str">
        <f t="shared" si="31"/>
        <v>Z05</v>
      </c>
      <c r="R48" s="26" t="str">
        <f t="shared" si="31"/>
        <v>Z06</v>
      </c>
      <c r="S48" s="26" t="str">
        <f t="shared" si="31"/>
        <v>Z07</v>
      </c>
      <c r="T48" s="26" t="str">
        <f t="shared" si="31"/>
        <v>Z08</v>
      </c>
      <c r="U48" s="26" t="str">
        <f t="shared" si="31"/>
        <v>Z09</v>
      </c>
      <c r="V48" s="26" t="str">
        <f t="shared" si="31"/>
        <v>Z10</v>
      </c>
      <c r="W48" s="26" t="str">
        <f t="shared" si="31"/>
        <v>Z11</v>
      </c>
      <c r="X48" s="26" t="str">
        <f t="shared" si="31"/>
        <v>Z12</v>
      </c>
      <c r="Y48" s="26" t="str">
        <f t="shared" si="31"/>
        <v>Z13</v>
      </c>
      <c r="Z48" s="26" t="str">
        <f t="shared" si="31"/>
        <v>Z14</v>
      </c>
      <c r="AA48" s="26" t="str">
        <f t="shared" si="31"/>
        <v>Z15</v>
      </c>
      <c r="AB48" s="48"/>
      <c r="AC48" s="42"/>
      <c r="AD48" s="42" t="s">
        <v>421</v>
      </c>
      <c r="AE48" s="42" t="str">
        <f t="shared" ref="AE48:AS48" si="32">M2</f>
        <v>Z01</v>
      </c>
      <c r="AF48" s="42" t="str">
        <f t="shared" si="32"/>
        <v>Z02</v>
      </c>
      <c r="AG48" s="42" t="str">
        <f t="shared" si="32"/>
        <v>Z03</v>
      </c>
      <c r="AH48" s="42" t="str">
        <f t="shared" si="32"/>
        <v>Z04</v>
      </c>
      <c r="AI48" s="42" t="str">
        <f t="shared" si="32"/>
        <v>Z05</v>
      </c>
      <c r="AJ48" s="42" t="str">
        <f t="shared" si="32"/>
        <v>Z06</v>
      </c>
      <c r="AK48" s="42" t="str">
        <f t="shared" si="32"/>
        <v>Z07</v>
      </c>
      <c r="AL48" s="42" t="str">
        <f t="shared" si="32"/>
        <v>Z08</v>
      </c>
      <c r="AM48" s="42" t="str">
        <f t="shared" si="32"/>
        <v>Z09</v>
      </c>
      <c r="AN48" s="42" t="str">
        <f t="shared" si="32"/>
        <v>Z10</v>
      </c>
      <c r="AO48" s="42" t="str">
        <f t="shared" si="32"/>
        <v>Z11</v>
      </c>
      <c r="AP48" s="42" t="str">
        <f t="shared" si="32"/>
        <v>Z12</v>
      </c>
      <c r="AQ48" s="42" t="str">
        <f t="shared" si="32"/>
        <v>Z13</v>
      </c>
      <c r="AR48" s="42" t="str">
        <f t="shared" si="32"/>
        <v>Z14</v>
      </c>
      <c r="AS48" s="42" t="str">
        <f t="shared" si="32"/>
        <v>Z15</v>
      </c>
    </row>
    <row r="49" spans="1:47" s="83" customFormat="1" x14ac:dyDescent="0.25">
      <c r="A49" s="82"/>
      <c r="B49" s="176"/>
      <c r="C49" s="176"/>
      <c r="D49" s="176" t="s">
        <v>1062</v>
      </c>
      <c r="E49" s="176"/>
      <c r="F49" s="176"/>
      <c r="G49" s="176"/>
      <c r="H49" s="177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35"/>
      <c r="AC49" s="176" t="s">
        <v>1124</v>
      </c>
      <c r="AD49" s="625" t="str">
        <f>IF(AD50-SUM(M12:AA13)&lt;0,"too small",IF(AD50-SUM(M12:AA13)&gt;0.0001,"Too big","ok"))</f>
        <v>ok</v>
      </c>
      <c r="AE49" s="619" t="str">
        <f>IF(AE50-M12&lt;0,"too small",IF(AE50-M12&gt;0.00001,"Too big","ok"))</f>
        <v>ok</v>
      </c>
      <c r="AF49" s="619" t="str">
        <f t="shared" ref="AF49:AS49" si="33">IF(AF50-N12&lt;0,"too small",IF(AF50-N12&gt;0.001,"Too big","ok"))</f>
        <v>ok</v>
      </c>
      <c r="AG49" s="619" t="str">
        <f t="shared" si="33"/>
        <v>ok</v>
      </c>
      <c r="AH49" s="619" t="str">
        <f t="shared" si="33"/>
        <v>ok</v>
      </c>
      <c r="AI49" s="619" t="str">
        <f t="shared" si="33"/>
        <v>ok</v>
      </c>
      <c r="AJ49" s="619" t="str">
        <f t="shared" si="33"/>
        <v>ok</v>
      </c>
      <c r="AK49" s="619" t="str">
        <f t="shared" si="33"/>
        <v>ok</v>
      </c>
      <c r="AL49" s="619" t="str">
        <f t="shared" si="33"/>
        <v>ok</v>
      </c>
      <c r="AM49" s="619" t="str">
        <f t="shared" si="33"/>
        <v>ok</v>
      </c>
      <c r="AN49" s="619" t="str">
        <f t="shared" si="33"/>
        <v>ok</v>
      </c>
      <c r="AO49" s="619" t="str">
        <f t="shared" si="33"/>
        <v>ok</v>
      </c>
      <c r="AP49" s="619" t="str">
        <f t="shared" si="33"/>
        <v>ok</v>
      </c>
      <c r="AQ49" s="619" t="str">
        <f t="shared" si="33"/>
        <v>ok</v>
      </c>
      <c r="AR49" s="619" t="str">
        <f t="shared" si="33"/>
        <v>ok</v>
      </c>
      <c r="AS49" s="619" t="str">
        <f t="shared" si="33"/>
        <v>ok</v>
      </c>
      <c r="AT49" s="22"/>
      <c r="AU49" s="22"/>
    </row>
    <row r="50" spans="1:47" s="35" customFormat="1" x14ac:dyDescent="0.25">
      <c r="A50" s="82"/>
      <c r="B50" s="178" t="str">
        <f>C50</f>
        <v>TNB100</v>
      </c>
      <c r="C50" s="178" t="s">
        <v>575</v>
      </c>
      <c r="D50" s="179" t="s">
        <v>879</v>
      </c>
      <c r="E50" s="407" t="s">
        <v>1023</v>
      </c>
      <c r="F50" s="181"/>
      <c r="G50" s="182"/>
      <c r="H50" s="183"/>
      <c r="I50" s="184"/>
      <c r="J50" s="184"/>
      <c r="K50" s="185" t="s">
        <v>1107</v>
      </c>
      <c r="L50" s="184" t="s">
        <v>1156</v>
      </c>
      <c r="M50" s="378">
        <f>10^-3</f>
        <v>1E-3</v>
      </c>
      <c r="N50" s="378">
        <f t="shared" ref="N50:AA50" si="34">$M50</f>
        <v>1E-3</v>
      </c>
      <c r="O50" s="378">
        <f t="shared" si="34"/>
        <v>1E-3</v>
      </c>
      <c r="P50" s="378">
        <f t="shared" si="34"/>
        <v>1E-3</v>
      </c>
      <c r="Q50" s="378">
        <f t="shared" si="34"/>
        <v>1E-3</v>
      </c>
      <c r="R50" s="378">
        <f t="shared" si="34"/>
        <v>1E-3</v>
      </c>
      <c r="S50" s="378">
        <f t="shared" si="34"/>
        <v>1E-3</v>
      </c>
      <c r="T50" s="378">
        <f t="shared" si="34"/>
        <v>1E-3</v>
      </c>
      <c r="U50" s="378">
        <f t="shared" si="34"/>
        <v>1E-3</v>
      </c>
      <c r="V50" s="378">
        <f t="shared" si="34"/>
        <v>1E-3</v>
      </c>
      <c r="W50" s="378">
        <f t="shared" si="34"/>
        <v>1E-3</v>
      </c>
      <c r="X50" s="378">
        <f t="shared" si="34"/>
        <v>1E-3</v>
      </c>
      <c r="Y50" s="378">
        <f t="shared" si="34"/>
        <v>1E-3</v>
      </c>
      <c r="Z50" s="378">
        <f t="shared" si="34"/>
        <v>1E-3</v>
      </c>
      <c r="AA50" s="378">
        <f t="shared" si="34"/>
        <v>1E-3</v>
      </c>
      <c r="AB50" s="83"/>
      <c r="AC50" s="56" t="str">
        <f>LEFT(C50,3)</f>
        <v>TNB</v>
      </c>
      <c r="AD50" s="331">
        <f>SUM(AE50:AS50)</f>
        <v>0</v>
      </c>
      <c r="AE50" s="586">
        <f>SUM(AE51:AE58)</f>
        <v>0</v>
      </c>
      <c r="AF50" s="618">
        <f t="shared" ref="AF50:AS50" si="35">SUM(AF51:AF58)</f>
        <v>0</v>
      </c>
      <c r="AG50" s="618">
        <f t="shared" si="35"/>
        <v>0</v>
      </c>
      <c r="AH50" s="618">
        <f t="shared" si="35"/>
        <v>0</v>
      </c>
      <c r="AI50" s="618">
        <f t="shared" si="35"/>
        <v>0</v>
      </c>
      <c r="AJ50" s="618">
        <f t="shared" si="35"/>
        <v>0</v>
      </c>
      <c r="AK50" s="618">
        <f t="shared" si="35"/>
        <v>0</v>
      </c>
      <c r="AL50" s="618">
        <f t="shared" si="35"/>
        <v>0</v>
      </c>
      <c r="AM50" s="618">
        <f t="shared" si="35"/>
        <v>0</v>
      </c>
      <c r="AN50" s="618">
        <f t="shared" si="35"/>
        <v>0</v>
      </c>
      <c r="AO50" s="618">
        <f t="shared" si="35"/>
        <v>0</v>
      </c>
      <c r="AP50" s="618">
        <f t="shared" si="35"/>
        <v>0</v>
      </c>
      <c r="AQ50" s="618">
        <f t="shared" si="35"/>
        <v>0</v>
      </c>
      <c r="AR50" s="618">
        <f t="shared" si="35"/>
        <v>0</v>
      </c>
      <c r="AS50" s="618">
        <f t="shared" si="35"/>
        <v>0</v>
      </c>
      <c r="AT50" s="83"/>
      <c r="AU50" s="83"/>
    </row>
    <row r="51" spans="1:47" s="35" customFormat="1" x14ac:dyDescent="0.25">
      <c r="A51" s="22"/>
      <c r="B51" s="178" t="str">
        <f>B50</f>
        <v>TNB100</v>
      </c>
      <c r="C51" s="178"/>
      <c r="D51" s="179"/>
      <c r="E51" s="258" t="s">
        <v>1031</v>
      </c>
      <c r="F51" s="181"/>
      <c r="G51" s="182"/>
      <c r="H51" s="183"/>
      <c r="I51" s="191" t="s">
        <v>1157</v>
      </c>
      <c r="J51" s="184"/>
      <c r="K51" s="185" t="s">
        <v>1176</v>
      </c>
      <c r="L51" s="184"/>
      <c r="M51" s="390">
        <v>0.63400000000000001</v>
      </c>
      <c r="N51" s="390">
        <v>0.63400000000000001</v>
      </c>
      <c r="O51" s="390">
        <v>0.63400000000000001</v>
      </c>
      <c r="P51" s="390">
        <v>0.63400000000000001</v>
      </c>
      <c r="Q51" s="390">
        <v>0.63400000000000001</v>
      </c>
      <c r="R51" s="390">
        <v>0.63400000000000001</v>
      </c>
      <c r="S51" s="390">
        <v>0.63400000000000001</v>
      </c>
      <c r="T51" s="390">
        <v>0.63400000000000001</v>
      </c>
      <c r="U51" s="390">
        <v>0.63400000000000001</v>
      </c>
      <c r="V51" s="390">
        <v>0.63400000000000001</v>
      </c>
      <c r="W51" s="390">
        <v>0.63400000000000001</v>
      </c>
      <c r="X51" s="390">
        <v>0.63400000000000001</v>
      </c>
      <c r="Y51" s="390">
        <v>0.63400000000000001</v>
      </c>
      <c r="Z51" s="390">
        <v>0.63400000000000001</v>
      </c>
      <c r="AA51" s="390">
        <v>0.63400000000000001</v>
      </c>
      <c r="AB51" s="83"/>
      <c r="AC51" s="66" t="str">
        <f>IF(COUNTIF($AD$3:$AF$3,AC50)=1,"ok","MISSING")</f>
        <v>ok</v>
      </c>
      <c r="AD51" s="331"/>
      <c r="AE51" s="618"/>
      <c r="AF51" s="618"/>
      <c r="AG51" s="618"/>
      <c r="AH51" s="618"/>
      <c r="AI51" s="618"/>
      <c r="AJ51" s="618"/>
      <c r="AK51" s="618"/>
      <c r="AL51" s="618"/>
      <c r="AM51" s="618"/>
      <c r="AN51" s="618"/>
      <c r="AO51" s="618"/>
      <c r="AP51" s="618"/>
      <c r="AQ51" s="618"/>
      <c r="AR51" s="618"/>
      <c r="AS51" s="618"/>
      <c r="AT51" s="83"/>
      <c r="AU51" s="83"/>
    </row>
    <row r="52" spans="1:47" s="35" customFormat="1" x14ac:dyDescent="0.25">
      <c r="A52" s="22"/>
      <c r="B52" s="178" t="str">
        <f t="shared" ref="B52:B62" si="36">B51</f>
        <v>TNB100</v>
      </c>
      <c r="C52" s="186"/>
      <c r="D52" s="187"/>
      <c r="E52" s="258"/>
      <c r="F52" s="181" t="s">
        <v>443</v>
      </c>
      <c r="G52" s="170"/>
      <c r="H52" s="190"/>
      <c r="I52" s="191"/>
      <c r="J52" s="191"/>
      <c r="K52" s="186" t="s">
        <v>1126</v>
      </c>
      <c r="L52" s="191" t="s">
        <v>678</v>
      </c>
      <c r="M52" s="753">
        <f>T_CEFF!H314</f>
        <v>1.7000000000000001E-4</v>
      </c>
      <c r="N52" s="753">
        <f>T_CEFF!I314</f>
        <v>1.7000000000000001E-4</v>
      </c>
      <c r="O52" s="753">
        <f>T_CEFF!J314</f>
        <v>1.7000000000000001E-4</v>
      </c>
      <c r="P52" s="753">
        <f>T_CEFF!K314</f>
        <v>1.7000000000000001E-4</v>
      </c>
      <c r="Q52" s="753">
        <f>T_CEFF!L314</f>
        <v>1.7000000000000001E-4</v>
      </c>
      <c r="R52" s="753">
        <f>T_CEFF!M314</f>
        <v>1.7000000000000001E-4</v>
      </c>
      <c r="S52" s="753">
        <f>T_CEFF!N314</f>
        <v>1.7000000000000001E-4</v>
      </c>
      <c r="T52" s="753">
        <f>T_CEFF!O314</f>
        <v>1.7000000000000001E-4</v>
      </c>
      <c r="U52" s="753">
        <f>T_CEFF!P314</f>
        <v>1.7000000000000001E-4</v>
      </c>
      <c r="V52" s="753">
        <f>T_CEFF!Q314</f>
        <v>1.7000000000000001E-4</v>
      </c>
      <c r="W52" s="753">
        <f>T_CEFF!R314</f>
        <v>1.7000000000000001E-4</v>
      </c>
      <c r="X52" s="753">
        <f>T_CEFF!S314</f>
        <v>1.7000000000000001E-4</v>
      </c>
      <c r="Y52" s="753">
        <f>T_CEFF!T314</f>
        <v>1.7000000000000001E-4</v>
      </c>
      <c r="Z52" s="753">
        <f>T_CEFF!U314</f>
        <v>1.7000000000000001E-4</v>
      </c>
      <c r="AA52" s="753">
        <f>T_CEFF!V314</f>
        <v>1.7000000000000001E-4</v>
      </c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</row>
    <row r="53" spans="1:47" s="35" customFormat="1" x14ac:dyDescent="0.25">
      <c r="A53" s="22"/>
      <c r="B53" s="178" t="str">
        <f t="shared" si="36"/>
        <v>TNB100</v>
      </c>
      <c r="C53" s="186"/>
      <c r="D53" s="187"/>
      <c r="E53" s="258"/>
      <c r="F53" s="189" t="s">
        <v>655</v>
      </c>
      <c r="G53" s="170"/>
      <c r="H53" s="190"/>
      <c r="I53" s="191"/>
      <c r="J53" s="191"/>
      <c r="K53" s="186" t="s">
        <v>1126</v>
      </c>
      <c r="L53" s="191" t="s">
        <v>678</v>
      </c>
      <c r="M53" s="753">
        <f>T_CEFF!H314</f>
        <v>1.7000000000000001E-4</v>
      </c>
      <c r="N53" s="753">
        <f>T_CEFF!I314</f>
        <v>1.7000000000000001E-4</v>
      </c>
      <c r="O53" s="753">
        <f>T_CEFF!J314</f>
        <v>1.7000000000000001E-4</v>
      </c>
      <c r="P53" s="753">
        <f>T_CEFF!K314</f>
        <v>1.7000000000000001E-4</v>
      </c>
      <c r="Q53" s="753">
        <f>T_CEFF!L314</f>
        <v>1.7000000000000001E-4</v>
      </c>
      <c r="R53" s="753">
        <f>T_CEFF!M314</f>
        <v>1.7000000000000001E-4</v>
      </c>
      <c r="S53" s="753">
        <f>T_CEFF!N314</f>
        <v>1.7000000000000001E-4</v>
      </c>
      <c r="T53" s="753">
        <f>T_CEFF!O314</f>
        <v>1.7000000000000001E-4</v>
      </c>
      <c r="U53" s="753">
        <f>T_CEFF!P314</f>
        <v>1.7000000000000001E-4</v>
      </c>
      <c r="V53" s="753">
        <f>T_CEFF!Q314</f>
        <v>1.7000000000000001E-4</v>
      </c>
      <c r="W53" s="753">
        <f>T_CEFF!R314</f>
        <v>1.7000000000000001E-4</v>
      </c>
      <c r="X53" s="753">
        <f>T_CEFF!S314</f>
        <v>1.7000000000000001E-4</v>
      </c>
      <c r="Y53" s="753">
        <f>T_CEFF!T314</f>
        <v>1.7000000000000001E-4</v>
      </c>
      <c r="Z53" s="753">
        <f>T_CEFF!U314</f>
        <v>1.7000000000000001E-4</v>
      </c>
      <c r="AA53" s="753">
        <f>T_CEFF!V314</f>
        <v>1.7000000000000001E-4</v>
      </c>
    </row>
    <row r="54" spans="1:47" s="35" customFormat="1" x14ac:dyDescent="0.25">
      <c r="B54" s="178" t="str">
        <f t="shared" si="36"/>
        <v>TNB100</v>
      </c>
      <c r="C54" s="186"/>
      <c r="D54" s="187"/>
      <c r="E54" s="188"/>
      <c r="F54" s="189"/>
      <c r="G54" s="170"/>
      <c r="H54" s="190"/>
      <c r="I54" s="191"/>
      <c r="J54" s="191" t="s">
        <v>749</v>
      </c>
      <c r="K54" s="186" t="s">
        <v>1128</v>
      </c>
      <c r="L54" s="186" t="s">
        <v>1171</v>
      </c>
      <c r="M54" s="369">
        <f t="shared" ref="M54:AA54" si="37">M19</f>
        <v>0</v>
      </c>
      <c r="N54" s="369">
        <f t="shared" si="37"/>
        <v>0</v>
      </c>
      <c r="O54" s="369">
        <f t="shared" si="37"/>
        <v>0</v>
      </c>
      <c r="P54" s="369">
        <f t="shared" si="37"/>
        <v>0</v>
      </c>
      <c r="Q54" s="369">
        <f t="shared" si="37"/>
        <v>0</v>
      </c>
      <c r="R54" s="369">
        <f t="shared" si="37"/>
        <v>0</v>
      </c>
      <c r="S54" s="369">
        <f t="shared" si="37"/>
        <v>0</v>
      </c>
      <c r="T54" s="369">
        <f t="shared" si="37"/>
        <v>0</v>
      </c>
      <c r="U54" s="369">
        <f t="shared" si="37"/>
        <v>0</v>
      </c>
      <c r="V54" s="369">
        <f t="shared" si="37"/>
        <v>0</v>
      </c>
      <c r="W54" s="369">
        <f t="shared" si="37"/>
        <v>0</v>
      </c>
      <c r="X54" s="369">
        <f t="shared" si="37"/>
        <v>0</v>
      </c>
      <c r="Y54" s="369">
        <f t="shared" si="37"/>
        <v>0</v>
      </c>
      <c r="Z54" s="369">
        <f t="shared" si="37"/>
        <v>0</v>
      </c>
      <c r="AA54" s="369">
        <f t="shared" si="37"/>
        <v>0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</row>
    <row r="55" spans="1:47" s="35" customFormat="1" x14ac:dyDescent="0.25">
      <c r="B55" s="178" t="str">
        <f t="shared" si="36"/>
        <v>TNB100</v>
      </c>
      <c r="C55" s="186"/>
      <c r="D55" s="187"/>
      <c r="E55" s="186"/>
      <c r="F55" s="189"/>
      <c r="G55" s="170"/>
      <c r="H55" s="190"/>
      <c r="I55" s="191"/>
      <c r="J55" s="191"/>
      <c r="K55" s="192" t="s">
        <v>1130</v>
      </c>
      <c r="L55" s="191" t="s">
        <v>1131</v>
      </c>
      <c r="M55" s="369">
        <f>T_NCAP_AF!D362</f>
        <v>0</v>
      </c>
      <c r="N55" s="369">
        <f>T_NCAP_AF!E362</f>
        <v>0</v>
      </c>
      <c r="O55" s="369">
        <f>T_NCAP_AF!F362</f>
        <v>0</v>
      </c>
      <c r="P55" s="369">
        <f>T_NCAP_AF!G362</f>
        <v>0</v>
      </c>
      <c r="Q55" s="369">
        <f>T_NCAP_AF!H362</f>
        <v>0</v>
      </c>
      <c r="R55" s="369">
        <f>T_NCAP_AF!I362</f>
        <v>0</v>
      </c>
      <c r="S55" s="369">
        <f>T_NCAP_AF!J362</f>
        <v>0</v>
      </c>
      <c r="T55" s="369">
        <f>T_NCAP_AF!K362</f>
        <v>0</v>
      </c>
      <c r="U55" s="369">
        <f>T_NCAP_AF!L362</f>
        <v>0</v>
      </c>
      <c r="V55" s="369">
        <f>T_NCAP_AF!M362</f>
        <v>0</v>
      </c>
      <c r="W55" s="369">
        <f>T_NCAP_AF!N362</f>
        <v>0</v>
      </c>
      <c r="X55" s="369">
        <f>T_NCAP_AF!O362</f>
        <v>0</v>
      </c>
      <c r="Y55" s="369">
        <f>T_NCAP_AF!P362</f>
        <v>0</v>
      </c>
      <c r="Z55" s="369">
        <f>T_NCAP_AF!Q362</f>
        <v>0</v>
      </c>
      <c r="AA55" s="369">
        <f>T_NCAP_AF!R362</f>
        <v>0</v>
      </c>
      <c r="AC55" s="473" t="s">
        <v>1132</v>
      </c>
      <c r="AD55" s="331">
        <f>SUM(AE55:AS55)</f>
        <v>0</v>
      </c>
      <c r="AE55" s="439">
        <f>M54*M55*M56/1000</f>
        <v>0</v>
      </c>
      <c r="AF55" s="439">
        <f t="shared" ref="AF55:AS55" si="38">N54*N55*N56/1000</f>
        <v>0</v>
      </c>
      <c r="AG55" s="439">
        <f t="shared" si="38"/>
        <v>0</v>
      </c>
      <c r="AH55" s="439">
        <f t="shared" si="38"/>
        <v>0</v>
      </c>
      <c r="AI55" s="439">
        <f t="shared" si="38"/>
        <v>0</v>
      </c>
      <c r="AJ55" s="439">
        <f t="shared" si="38"/>
        <v>0</v>
      </c>
      <c r="AK55" s="439">
        <f t="shared" si="38"/>
        <v>0</v>
      </c>
      <c r="AL55" s="439">
        <f t="shared" si="38"/>
        <v>0</v>
      </c>
      <c r="AM55" s="439">
        <f t="shared" si="38"/>
        <v>0</v>
      </c>
      <c r="AN55" s="439">
        <f t="shared" si="38"/>
        <v>0</v>
      </c>
      <c r="AO55" s="439">
        <f t="shared" si="38"/>
        <v>0</v>
      </c>
      <c r="AP55" s="439">
        <f t="shared" si="38"/>
        <v>0</v>
      </c>
      <c r="AQ55" s="439">
        <f t="shared" si="38"/>
        <v>0</v>
      </c>
      <c r="AR55" s="439">
        <f t="shared" si="38"/>
        <v>0</v>
      </c>
      <c r="AS55" s="439">
        <f t="shared" si="38"/>
        <v>0</v>
      </c>
    </row>
    <row r="56" spans="1:47" s="35" customFormat="1" x14ac:dyDescent="0.25">
      <c r="B56" s="178" t="str">
        <f t="shared" si="36"/>
        <v>TNB100</v>
      </c>
      <c r="C56" s="186"/>
      <c r="D56" s="187"/>
      <c r="E56" s="186"/>
      <c r="F56" s="189"/>
      <c r="G56" s="170"/>
      <c r="H56" s="190">
        <f>$L$3</f>
        <v>2019</v>
      </c>
      <c r="I56" s="191"/>
      <c r="J56" s="191"/>
      <c r="K56" s="192" t="s">
        <v>1065</v>
      </c>
      <c r="L56" s="191" t="s">
        <v>748</v>
      </c>
      <c r="M56" s="689">
        <f t="shared" ref="M56:AA56" si="39">IF(M55=0, 0, ROUNDUP((M12+M13)/M54/M55*1000, 9))</f>
        <v>0</v>
      </c>
      <c r="N56" s="689">
        <f t="shared" si="39"/>
        <v>0</v>
      </c>
      <c r="O56" s="689">
        <f t="shared" si="39"/>
        <v>0</v>
      </c>
      <c r="P56" s="689">
        <f t="shared" si="39"/>
        <v>0</v>
      </c>
      <c r="Q56" s="689">
        <f t="shared" si="39"/>
        <v>0</v>
      </c>
      <c r="R56" s="689">
        <f t="shared" si="39"/>
        <v>0</v>
      </c>
      <c r="S56" s="689">
        <f t="shared" si="39"/>
        <v>0</v>
      </c>
      <c r="T56" s="689">
        <f t="shared" si="39"/>
        <v>0</v>
      </c>
      <c r="U56" s="689">
        <f t="shared" si="39"/>
        <v>0</v>
      </c>
      <c r="V56" s="689">
        <f t="shared" si="39"/>
        <v>0</v>
      </c>
      <c r="W56" s="689">
        <f t="shared" si="39"/>
        <v>0</v>
      </c>
      <c r="X56" s="689">
        <f t="shared" si="39"/>
        <v>0</v>
      </c>
      <c r="Y56" s="689">
        <f t="shared" si="39"/>
        <v>0</v>
      </c>
      <c r="Z56" s="689">
        <f t="shared" si="39"/>
        <v>0</v>
      </c>
      <c r="AA56" s="689">
        <f t="shared" si="39"/>
        <v>0</v>
      </c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</row>
    <row r="57" spans="1:47" s="35" customFormat="1" x14ac:dyDescent="0.25">
      <c r="B57" s="178" t="str">
        <f t="shared" si="36"/>
        <v>TNB100</v>
      </c>
      <c r="C57" s="186"/>
      <c r="D57" s="187"/>
      <c r="E57" s="186"/>
      <c r="F57" s="189"/>
      <c r="G57" s="170"/>
      <c r="H57" s="190">
        <f>AC$4</f>
        <v>2016</v>
      </c>
      <c r="I57" s="191"/>
      <c r="J57" s="191"/>
      <c r="K57" s="192" t="s">
        <v>1065</v>
      </c>
      <c r="L57" s="191" t="s">
        <v>748</v>
      </c>
      <c r="M57" s="687">
        <f t="shared" ref="M57:AA57" si="40">M$56*$AE4</f>
        <v>0</v>
      </c>
      <c r="N57" s="687">
        <f t="shared" si="40"/>
        <v>0</v>
      </c>
      <c r="O57" s="687">
        <f t="shared" si="40"/>
        <v>0</v>
      </c>
      <c r="P57" s="687">
        <f t="shared" si="40"/>
        <v>0</v>
      </c>
      <c r="Q57" s="687">
        <f t="shared" si="40"/>
        <v>0</v>
      </c>
      <c r="R57" s="687">
        <f t="shared" si="40"/>
        <v>0</v>
      </c>
      <c r="S57" s="687">
        <f t="shared" si="40"/>
        <v>0</v>
      </c>
      <c r="T57" s="687">
        <f t="shared" si="40"/>
        <v>0</v>
      </c>
      <c r="U57" s="687">
        <f t="shared" si="40"/>
        <v>0</v>
      </c>
      <c r="V57" s="687">
        <f t="shared" si="40"/>
        <v>0</v>
      </c>
      <c r="W57" s="687">
        <f t="shared" si="40"/>
        <v>0</v>
      </c>
      <c r="X57" s="687">
        <f t="shared" si="40"/>
        <v>0</v>
      </c>
      <c r="Y57" s="687">
        <f t="shared" si="40"/>
        <v>0</v>
      </c>
      <c r="Z57" s="687">
        <f t="shared" si="40"/>
        <v>0</v>
      </c>
      <c r="AA57" s="687">
        <f t="shared" si="40"/>
        <v>0</v>
      </c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</row>
    <row r="58" spans="1:47" s="35" customFormat="1" x14ac:dyDescent="0.25">
      <c r="B58" s="178" t="str">
        <f t="shared" si="36"/>
        <v>TNB100</v>
      </c>
      <c r="C58" s="186"/>
      <c r="D58" s="187"/>
      <c r="E58" s="186"/>
      <c r="F58" s="189"/>
      <c r="G58" s="170"/>
      <c r="H58" s="190">
        <f>AC$5</f>
        <v>2020</v>
      </c>
      <c r="I58" s="191"/>
      <c r="J58" s="191"/>
      <c r="K58" s="192" t="s">
        <v>1065</v>
      </c>
      <c r="L58" s="191" t="s">
        <v>748</v>
      </c>
      <c r="M58" s="687">
        <f t="shared" ref="M58:AA58" si="41">M$56*$AE5</f>
        <v>0</v>
      </c>
      <c r="N58" s="687">
        <f t="shared" si="41"/>
        <v>0</v>
      </c>
      <c r="O58" s="687">
        <f t="shared" si="41"/>
        <v>0</v>
      </c>
      <c r="P58" s="687">
        <f t="shared" si="41"/>
        <v>0</v>
      </c>
      <c r="Q58" s="687">
        <f t="shared" si="41"/>
        <v>0</v>
      </c>
      <c r="R58" s="687">
        <f t="shared" si="41"/>
        <v>0</v>
      </c>
      <c r="S58" s="687">
        <f t="shared" si="41"/>
        <v>0</v>
      </c>
      <c r="T58" s="687">
        <f t="shared" si="41"/>
        <v>0</v>
      </c>
      <c r="U58" s="687">
        <f t="shared" si="41"/>
        <v>0</v>
      </c>
      <c r="V58" s="687">
        <f t="shared" si="41"/>
        <v>0</v>
      </c>
      <c r="W58" s="687">
        <f t="shared" si="41"/>
        <v>0</v>
      </c>
      <c r="X58" s="687">
        <f t="shared" si="41"/>
        <v>0</v>
      </c>
      <c r="Y58" s="687">
        <f t="shared" si="41"/>
        <v>0</v>
      </c>
      <c r="Z58" s="687">
        <f t="shared" si="41"/>
        <v>0</v>
      </c>
      <c r="AA58" s="687">
        <f t="shared" si="41"/>
        <v>0</v>
      </c>
      <c r="AC58" s="57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</row>
    <row r="59" spans="1:47" s="35" customFormat="1" x14ac:dyDescent="0.25">
      <c r="B59" s="178" t="str">
        <f t="shared" si="36"/>
        <v>TNB100</v>
      </c>
      <c r="C59" s="186"/>
      <c r="D59" s="187"/>
      <c r="E59" s="186"/>
      <c r="F59" s="189"/>
      <c r="G59" s="170"/>
      <c r="H59" s="190">
        <f>AC$6</f>
        <v>2025</v>
      </c>
      <c r="I59" s="191"/>
      <c r="J59" s="191"/>
      <c r="K59" s="192" t="s">
        <v>1065</v>
      </c>
      <c r="L59" s="191" t="s">
        <v>748</v>
      </c>
      <c r="M59" s="687">
        <f t="shared" ref="M59:AA59" si="42">M$56*$AE6</f>
        <v>0</v>
      </c>
      <c r="N59" s="687">
        <f t="shared" si="42"/>
        <v>0</v>
      </c>
      <c r="O59" s="687">
        <f t="shared" si="42"/>
        <v>0</v>
      </c>
      <c r="P59" s="687">
        <f t="shared" si="42"/>
        <v>0</v>
      </c>
      <c r="Q59" s="687">
        <f t="shared" si="42"/>
        <v>0</v>
      </c>
      <c r="R59" s="687">
        <f t="shared" si="42"/>
        <v>0</v>
      </c>
      <c r="S59" s="687">
        <f t="shared" si="42"/>
        <v>0</v>
      </c>
      <c r="T59" s="687">
        <f t="shared" si="42"/>
        <v>0</v>
      </c>
      <c r="U59" s="687">
        <f t="shared" si="42"/>
        <v>0</v>
      </c>
      <c r="V59" s="687">
        <f t="shared" si="42"/>
        <v>0</v>
      </c>
      <c r="W59" s="687">
        <f t="shared" si="42"/>
        <v>0</v>
      </c>
      <c r="X59" s="687">
        <f t="shared" si="42"/>
        <v>0</v>
      </c>
      <c r="Y59" s="687">
        <f t="shared" si="42"/>
        <v>0</v>
      </c>
      <c r="Z59" s="687">
        <f t="shared" si="42"/>
        <v>0</v>
      </c>
      <c r="AA59" s="687">
        <f t="shared" si="42"/>
        <v>0</v>
      </c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</row>
    <row r="60" spans="1:47" s="35" customFormat="1" x14ac:dyDescent="0.25">
      <c r="B60" s="178" t="str">
        <f t="shared" si="36"/>
        <v>TNB100</v>
      </c>
      <c r="C60" s="186"/>
      <c r="D60" s="187"/>
      <c r="E60" s="186"/>
      <c r="F60" s="189"/>
      <c r="G60" s="170"/>
      <c r="H60" s="190">
        <f>AC$7</f>
        <v>2030</v>
      </c>
      <c r="I60" s="191"/>
      <c r="J60" s="191"/>
      <c r="K60" s="192" t="s">
        <v>1065</v>
      </c>
      <c r="L60" s="191" t="s">
        <v>748</v>
      </c>
      <c r="M60" s="687">
        <f t="shared" ref="M60:AA60" si="43">M$56*$AE7</f>
        <v>0</v>
      </c>
      <c r="N60" s="687">
        <f t="shared" si="43"/>
        <v>0</v>
      </c>
      <c r="O60" s="687">
        <f t="shared" si="43"/>
        <v>0</v>
      </c>
      <c r="P60" s="687">
        <f t="shared" si="43"/>
        <v>0</v>
      </c>
      <c r="Q60" s="687">
        <f t="shared" si="43"/>
        <v>0</v>
      </c>
      <c r="R60" s="687">
        <f t="shared" si="43"/>
        <v>0</v>
      </c>
      <c r="S60" s="687">
        <f t="shared" si="43"/>
        <v>0</v>
      </c>
      <c r="T60" s="687">
        <f t="shared" si="43"/>
        <v>0</v>
      </c>
      <c r="U60" s="687">
        <f t="shared" si="43"/>
        <v>0</v>
      </c>
      <c r="V60" s="687">
        <f t="shared" si="43"/>
        <v>0</v>
      </c>
      <c r="W60" s="687">
        <f t="shared" si="43"/>
        <v>0</v>
      </c>
      <c r="X60" s="687">
        <f t="shared" si="43"/>
        <v>0</v>
      </c>
      <c r="Y60" s="687">
        <f t="shared" si="43"/>
        <v>0</v>
      </c>
      <c r="Z60" s="687">
        <f t="shared" si="43"/>
        <v>0</v>
      </c>
      <c r="AA60" s="687">
        <f t="shared" si="43"/>
        <v>0</v>
      </c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</row>
    <row r="61" spans="1:47" s="35" customFormat="1" x14ac:dyDescent="0.25">
      <c r="B61" s="178" t="str">
        <f t="shared" si="36"/>
        <v>TNB100</v>
      </c>
      <c r="C61" s="186"/>
      <c r="D61" s="187"/>
      <c r="E61" s="186"/>
      <c r="F61" s="189"/>
      <c r="G61" s="170"/>
      <c r="H61" s="190">
        <f>AC$8</f>
        <v>2040</v>
      </c>
      <c r="I61" s="191"/>
      <c r="J61" s="191"/>
      <c r="K61" s="192" t="s">
        <v>1065</v>
      </c>
      <c r="L61" s="191" t="s">
        <v>748</v>
      </c>
      <c r="M61" s="687">
        <f t="shared" ref="M61:AA61" si="44">M$56*$AE8</f>
        <v>0</v>
      </c>
      <c r="N61" s="687">
        <f t="shared" si="44"/>
        <v>0</v>
      </c>
      <c r="O61" s="687">
        <f t="shared" si="44"/>
        <v>0</v>
      </c>
      <c r="P61" s="687">
        <f t="shared" si="44"/>
        <v>0</v>
      </c>
      <c r="Q61" s="687">
        <f t="shared" si="44"/>
        <v>0</v>
      </c>
      <c r="R61" s="687">
        <f t="shared" si="44"/>
        <v>0</v>
      </c>
      <c r="S61" s="687">
        <f t="shared" si="44"/>
        <v>0</v>
      </c>
      <c r="T61" s="687">
        <f t="shared" si="44"/>
        <v>0</v>
      </c>
      <c r="U61" s="687">
        <f t="shared" si="44"/>
        <v>0</v>
      </c>
      <c r="V61" s="687">
        <f t="shared" si="44"/>
        <v>0</v>
      </c>
      <c r="W61" s="687">
        <f t="shared" si="44"/>
        <v>0</v>
      </c>
      <c r="X61" s="687">
        <f t="shared" si="44"/>
        <v>0</v>
      </c>
      <c r="Y61" s="687">
        <f t="shared" si="44"/>
        <v>0</v>
      </c>
      <c r="Z61" s="687">
        <f t="shared" si="44"/>
        <v>0</v>
      </c>
      <c r="AA61" s="687">
        <f t="shared" si="44"/>
        <v>0</v>
      </c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</row>
    <row r="62" spans="1:47" s="35" customFormat="1" x14ac:dyDescent="0.25">
      <c r="A62" s="33"/>
      <c r="B62" s="204" t="str">
        <f t="shared" si="36"/>
        <v>TNB100</v>
      </c>
      <c r="C62" s="193"/>
      <c r="D62" s="194"/>
      <c r="E62" s="193"/>
      <c r="F62" s="195"/>
      <c r="G62" s="196"/>
      <c r="H62" s="197">
        <f>AC$9</f>
        <v>2050</v>
      </c>
      <c r="I62" s="198"/>
      <c r="J62" s="198"/>
      <c r="K62" s="199" t="s">
        <v>1065</v>
      </c>
      <c r="L62" s="198" t="s">
        <v>748</v>
      </c>
      <c r="M62" s="688">
        <f t="shared" ref="M62:AA62" si="45">M$56*$AE9</f>
        <v>0</v>
      </c>
      <c r="N62" s="688">
        <f t="shared" si="45"/>
        <v>0</v>
      </c>
      <c r="O62" s="688">
        <f t="shared" si="45"/>
        <v>0</v>
      </c>
      <c r="P62" s="688">
        <f t="shared" si="45"/>
        <v>0</v>
      </c>
      <c r="Q62" s="688">
        <f t="shared" si="45"/>
        <v>0</v>
      </c>
      <c r="R62" s="688">
        <f t="shared" si="45"/>
        <v>0</v>
      </c>
      <c r="S62" s="688">
        <f t="shared" si="45"/>
        <v>0</v>
      </c>
      <c r="T62" s="688">
        <f t="shared" si="45"/>
        <v>0</v>
      </c>
      <c r="U62" s="688">
        <f t="shared" si="45"/>
        <v>0</v>
      </c>
      <c r="V62" s="688">
        <f t="shared" si="45"/>
        <v>0</v>
      </c>
      <c r="W62" s="688">
        <f t="shared" si="45"/>
        <v>0</v>
      </c>
      <c r="X62" s="688">
        <f t="shared" si="45"/>
        <v>0</v>
      </c>
      <c r="Y62" s="688">
        <f t="shared" si="45"/>
        <v>0</v>
      </c>
      <c r="Z62" s="688">
        <f t="shared" si="45"/>
        <v>0</v>
      </c>
      <c r="AA62" s="688">
        <f t="shared" si="45"/>
        <v>0</v>
      </c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</row>
    <row r="64" spans="1:47" x14ac:dyDescent="0.25">
      <c r="A64" s="44"/>
      <c r="B64" s="471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C64" s="48"/>
      <c r="AD64" s="35"/>
      <c r="AE64" s="35"/>
      <c r="AF64" s="35"/>
      <c r="AG64" s="35"/>
      <c r="AH64" s="35"/>
      <c r="AI64" s="35"/>
      <c r="AJ64" s="35"/>
    </row>
    <row r="65" spans="1:45" x14ac:dyDescent="0.25">
      <c r="B65" s="471"/>
    </row>
    <row r="66" spans="1:45" s="35" customFormat="1" ht="16.5" customHeight="1" x14ac:dyDescent="0.25">
      <c r="B66" s="32" t="s">
        <v>1219</v>
      </c>
      <c r="C66" s="26"/>
      <c r="H66" s="36"/>
    </row>
    <row r="67" spans="1:45" s="35" customFormat="1" ht="16.5" customHeight="1" x14ac:dyDescent="0.25">
      <c r="H67" s="36"/>
    </row>
    <row r="68" spans="1:45" s="22" customFormat="1" x14ac:dyDescent="0.25">
      <c r="A68" s="35"/>
      <c r="C68" s="50"/>
      <c r="D68" s="50"/>
      <c r="E68" s="35"/>
      <c r="F68" s="35"/>
      <c r="G68" s="41"/>
      <c r="H68" s="51"/>
      <c r="I68" s="41"/>
      <c r="J68" s="41"/>
      <c r="K68" s="40" t="str">
        <f>IF(SUM(M14:AA15)&gt;0,"~FI_T","not in use")</f>
        <v>not in use</v>
      </c>
      <c r="L68" s="40"/>
      <c r="M68" s="35"/>
      <c r="N68" s="35"/>
      <c r="O68" s="35"/>
      <c r="P68" s="35"/>
      <c r="Q68" s="41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41"/>
      <c r="AC68" s="49" t="str">
        <f>CONCATENATE("TEST: ",B66)</f>
        <v>TEST: Base-year: Navigation - Passenger (City Ferry)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</row>
    <row r="69" spans="1:45" s="22" customFormat="1" ht="75" x14ac:dyDescent="0.25">
      <c r="A69" s="35"/>
      <c r="B69" s="52" t="s">
        <v>1053</v>
      </c>
      <c r="C69" s="26" t="s">
        <v>104</v>
      </c>
      <c r="D69" s="26" t="s">
        <v>1054</v>
      </c>
      <c r="E69" s="26" t="s">
        <v>673</v>
      </c>
      <c r="F69" s="26" t="s">
        <v>674</v>
      </c>
      <c r="G69" s="26" t="s">
        <v>1055</v>
      </c>
      <c r="H69" s="53" t="s">
        <v>1056</v>
      </c>
      <c r="I69" s="26" t="s">
        <v>982</v>
      </c>
      <c r="J69" s="42" t="s">
        <v>1123</v>
      </c>
      <c r="K69" s="26" t="s">
        <v>1057</v>
      </c>
      <c r="L69" s="26" t="s">
        <v>1058</v>
      </c>
      <c r="M69" s="26" t="str">
        <f t="shared" ref="M69:AA69" si="46">M$2</f>
        <v>Z01</v>
      </c>
      <c r="N69" s="26" t="str">
        <f t="shared" si="46"/>
        <v>Z02</v>
      </c>
      <c r="O69" s="26" t="str">
        <f t="shared" si="46"/>
        <v>Z03</v>
      </c>
      <c r="P69" s="26" t="str">
        <f t="shared" si="46"/>
        <v>Z04</v>
      </c>
      <c r="Q69" s="26" t="str">
        <f t="shared" si="46"/>
        <v>Z05</v>
      </c>
      <c r="R69" s="26" t="str">
        <f t="shared" si="46"/>
        <v>Z06</v>
      </c>
      <c r="S69" s="26" t="str">
        <f t="shared" si="46"/>
        <v>Z07</v>
      </c>
      <c r="T69" s="26" t="str">
        <f t="shared" si="46"/>
        <v>Z08</v>
      </c>
      <c r="U69" s="26" t="str">
        <f t="shared" si="46"/>
        <v>Z09</v>
      </c>
      <c r="V69" s="26" t="str">
        <f t="shared" si="46"/>
        <v>Z10</v>
      </c>
      <c r="W69" s="26" t="str">
        <f t="shared" si="46"/>
        <v>Z11</v>
      </c>
      <c r="X69" s="26" t="str">
        <f t="shared" si="46"/>
        <v>Z12</v>
      </c>
      <c r="Y69" s="26" t="str">
        <f t="shared" si="46"/>
        <v>Z13</v>
      </c>
      <c r="Z69" s="26" t="str">
        <f t="shared" si="46"/>
        <v>Z14</v>
      </c>
      <c r="AA69" s="26" t="str">
        <f t="shared" si="46"/>
        <v>Z15</v>
      </c>
      <c r="AB69" s="48"/>
      <c r="AC69" s="43"/>
      <c r="AD69" s="43" t="s">
        <v>421</v>
      </c>
      <c r="AE69" s="43" t="str">
        <f t="shared" ref="AE69:AS69" si="47">AE48</f>
        <v>Z01</v>
      </c>
      <c r="AF69" s="43" t="str">
        <f t="shared" si="47"/>
        <v>Z02</v>
      </c>
      <c r="AG69" s="43" t="str">
        <f t="shared" si="47"/>
        <v>Z03</v>
      </c>
      <c r="AH69" s="43" t="str">
        <f t="shared" si="47"/>
        <v>Z04</v>
      </c>
      <c r="AI69" s="43" t="str">
        <f t="shared" si="47"/>
        <v>Z05</v>
      </c>
      <c r="AJ69" s="43" t="str">
        <f t="shared" si="47"/>
        <v>Z06</v>
      </c>
      <c r="AK69" s="43" t="str">
        <f t="shared" si="47"/>
        <v>Z07</v>
      </c>
      <c r="AL69" s="43" t="str">
        <f t="shared" si="47"/>
        <v>Z08</v>
      </c>
      <c r="AM69" s="43" t="str">
        <f t="shared" si="47"/>
        <v>Z09</v>
      </c>
      <c r="AN69" s="43" t="str">
        <f t="shared" si="47"/>
        <v>Z10</v>
      </c>
      <c r="AO69" s="43" t="str">
        <f t="shared" si="47"/>
        <v>Z11</v>
      </c>
      <c r="AP69" s="43" t="str">
        <f t="shared" si="47"/>
        <v>Z12</v>
      </c>
      <c r="AQ69" s="43" t="str">
        <f t="shared" si="47"/>
        <v>Z13</v>
      </c>
      <c r="AR69" s="43" t="str">
        <f t="shared" si="47"/>
        <v>Z14</v>
      </c>
      <c r="AS69" s="43" t="str">
        <f t="shared" si="47"/>
        <v>Z15</v>
      </c>
    </row>
    <row r="70" spans="1:45" s="22" customFormat="1" x14ac:dyDescent="0.25">
      <c r="A70" s="35"/>
      <c r="B70" s="176"/>
      <c r="C70" s="176"/>
      <c r="D70" s="176" t="s">
        <v>1062</v>
      </c>
      <c r="E70" s="176"/>
      <c r="F70" s="176"/>
      <c r="G70" s="176"/>
      <c r="H70" s="177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35"/>
      <c r="AC70" s="176" t="s">
        <v>1124</v>
      </c>
      <c r="AD70" s="625" t="str">
        <f>IF(AD71-SUM(M14:AA15)&lt;0,"too small",IF(AD71-SUM(M14:AA15)&gt;0.001,"Too big","ok"))</f>
        <v>ok</v>
      </c>
      <c r="AE70" s="619" t="str">
        <f t="shared" ref="AE70:AS70" si="48">IF(AE71-SUM(M14:M15)&lt;0,"too small",IF(AE71-SUM(M14:M15)&gt;0.001,"Too big","ok"))</f>
        <v>ok</v>
      </c>
      <c r="AF70" s="619" t="str">
        <f t="shared" si="48"/>
        <v>ok</v>
      </c>
      <c r="AG70" s="619" t="str">
        <f t="shared" si="48"/>
        <v>ok</v>
      </c>
      <c r="AH70" s="619" t="str">
        <f t="shared" si="48"/>
        <v>ok</v>
      </c>
      <c r="AI70" s="619" t="str">
        <f t="shared" si="48"/>
        <v>ok</v>
      </c>
      <c r="AJ70" s="619" t="str">
        <f t="shared" si="48"/>
        <v>ok</v>
      </c>
      <c r="AK70" s="619" t="str">
        <f t="shared" si="48"/>
        <v>ok</v>
      </c>
      <c r="AL70" s="619" t="str">
        <f t="shared" si="48"/>
        <v>ok</v>
      </c>
      <c r="AM70" s="619" t="str">
        <f t="shared" si="48"/>
        <v>ok</v>
      </c>
      <c r="AN70" s="619" t="str">
        <f t="shared" si="48"/>
        <v>ok</v>
      </c>
      <c r="AO70" s="619" t="str">
        <f t="shared" si="48"/>
        <v>ok</v>
      </c>
      <c r="AP70" s="619" t="str">
        <f t="shared" si="48"/>
        <v>ok</v>
      </c>
      <c r="AQ70" s="619" t="str">
        <f t="shared" si="48"/>
        <v>ok</v>
      </c>
      <c r="AR70" s="619" t="str">
        <f t="shared" si="48"/>
        <v>ok</v>
      </c>
      <c r="AS70" s="619" t="str">
        <f t="shared" si="48"/>
        <v>ok</v>
      </c>
    </row>
    <row r="71" spans="1:45" s="83" customFormat="1" x14ac:dyDescent="0.25">
      <c r="A71" s="82"/>
      <c r="B71" s="178" t="str">
        <f>C71</f>
        <v>TNCDST100</v>
      </c>
      <c r="C71" s="178" t="s">
        <v>186</v>
      </c>
      <c r="D71" s="179" t="s">
        <v>880</v>
      </c>
      <c r="E71" s="180" t="s">
        <v>185</v>
      </c>
      <c r="F71" s="181"/>
      <c r="G71" s="182"/>
      <c r="H71" s="183"/>
      <c r="I71" s="184"/>
      <c r="J71" s="184"/>
      <c r="K71" s="185" t="s">
        <v>1107</v>
      </c>
      <c r="L71" s="184" t="s">
        <v>1156</v>
      </c>
      <c r="M71" s="378">
        <f>10^-3</f>
        <v>1E-3</v>
      </c>
      <c r="N71" s="378">
        <f t="shared" ref="N71:AA71" si="49">$M71</f>
        <v>1E-3</v>
      </c>
      <c r="O71" s="378">
        <f t="shared" si="49"/>
        <v>1E-3</v>
      </c>
      <c r="P71" s="378">
        <f t="shared" si="49"/>
        <v>1E-3</v>
      </c>
      <c r="Q71" s="378">
        <f t="shared" si="49"/>
        <v>1E-3</v>
      </c>
      <c r="R71" s="378">
        <f t="shared" si="49"/>
        <v>1E-3</v>
      </c>
      <c r="S71" s="378">
        <f t="shared" si="49"/>
        <v>1E-3</v>
      </c>
      <c r="T71" s="378">
        <f t="shared" si="49"/>
        <v>1E-3</v>
      </c>
      <c r="U71" s="378">
        <f t="shared" si="49"/>
        <v>1E-3</v>
      </c>
      <c r="V71" s="378">
        <f t="shared" si="49"/>
        <v>1E-3</v>
      </c>
      <c r="W71" s="378">
        <f t="shared" si="49"/>
        <v>1E-3</v>
      </c>
      <c r="X71" s="378">
        <f t="shared" si="49"/>
        <v>1E-3</v>
      </c>
      <c r="Y71" s="378">
        <f t="shared" si="49"/>
        <v>1E-3</v>
      </c>
      <c r="Z71" s="378">
        <f t="shared" si="49"/>
        <v>1E-3</v>
      </c>
      <c r="AA71" s="378">
        <f t="shared" si="49"/>
        <v>1E-3</v>
      </c>
      <c r="AC71" s="56" t="str">
        <f>LEFT(C71,3)</f>
        <v>TNC</v>
      </c>
      <c r="AD71" s="80">
        <f>SUM(AD72:AD81)</f>
        <v>0</v>
      </c>
      <c r="AE71" s="618">
        <f>AE74</f>
        <v>0</v>
      </c>
      <c r="AF71" s="618">
        <f t="shared" ref="AF71:AS71" si="50">AF74</f>
        <v>0</v>
      </c>
      <c r="AG71" s="618">
        <f t="shared" si="50"/>
        <v>0</v>
      </c>
      <c r="AH71" s="618">
        <f t="shared" si="50"/>
        <v>0</v>
      </c>
      <c r="AI71" s="618">
        <f t="shared" si="50"/>
        <v>0</v>
      </c>
      <c r="AJ71" s="618">
        <f t="shared" si="50"/>
        <v>0</v>
      </c>
      <c r="AK71" s="618">
        <f t="shared" si="50"/>
        <v>0</v>
      </c>
      <c r="AL71" s="618">
        <f t="shared" si="50"/>
        <v>0</v>
      </c>
      <c r="AM71" s="618">
        <f t="shared" si="50"/>
        <v>0</v>
      </c>
      <c r="AN71" s="618">
        <f t="shared" si="50"/>
        <v>0</v>
      </c>
      <c r="AO71" s="618">
        <f t="shared" si="50"/>
        <v>0</v>
      </c>
      <c r="AP71" s="618">
        <f t="shared" si="50"/>
        <v>0</v>
      </c>
      <c r="AQ71" s="618">
        <f t="shared" si="50"/>
        <v>0</v>
      </c>
      <c r="AR71" s="618">
        <f t="shared" si="50"/>
        <v>0</v>
      </c>
      <c r="AS71" s="618">
        <f t="shared" si="50"/>
        <v>0</v>
      </c>
    </row>
    <row r="72" spans="1:45" s="35" customFormat="1" x14ac:dyDescent="0.25">
      <c r="B72" s="186" t="str">
        <f>B71</f>
        <v>TNCDST100</v>
      </c>
      <c r="C72" s="186"/>
      <c r="D72" s="187"/>
      <c r="E72" s="258" t="s">
        <v>988</v>
      </c>
      <c r="F72" s="189"/>
      <c r="G72" s="170"/>
      <c r="H72" s="190"/>
      <c r="I72" s="191" t="s">
        <v>1157</v>
      </c>
      <c r="J72" s="191"/>
      <c r="K72" s="186" t="s">
        <v>1176</v>
      </c>
      <c r="L72" s="191"/>
      <c r="M72" s="377">
        <v>0.05</v>
      </c>
      <c r="N72" s="377">
        <v>0.05</v>
      </c>
      <c r="O72" s="377">
        <v>0.05</v>
      </c>
      <c r="P72" s="377">
        <v>0.05</v>
      </c>
      <c r="Q72" s="377">
        <v>0.05</v>
      </c>
      <c r="R72" s="377">
        <v>0.05</v>
      </c>
      <c r="S72" s="377">
        <v>0.05</v>
      </c>
      <c r="T72" s="377">
        <v>0.05</v>
      </c>
      <c r="U72" s="377">
        <v>0.05</v>
      </c>
      <c r="V72" s="377">
        <v>0.05</v>
      </c>
      <c r="W72" s="377">
        <v>0.05</v>
      </c>
      <c r="X72" s="377">
        <v>0.05</v>
      </c>
      <c r="Y72" s="377">
        <v>0.05</v>
      </c>
      <c r="Z72" s="377">
        <v>0.05</v>
      </c>
      <c r="AA72" s="377">
        <v>0.05</v>
      </c>
      <c r="AC72" s="66" t="str">
        <f>IF(COUNTIF($AD$3:$AF$3,AC71)=1,"ok","MISSING")</f>
        <v>ok</v>
      </c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</row>
    <row r="73" spans="1:45" s="35" customFormat="1" x14ac:dyDescent="0.25">
      <c r="B73" s="186" t="str">
        <f t="shared" ref="B73:B83" si="51">B72</f>
        <v>TNCDST100</v>
      </c>
      <c r="C73" s="186"/>
      <c r="D73" s="187"/>
      <c r="E73" s="258"/>
      <c r="F73" s="181" t="s">
        <v>521</v>
      </c>
      <c r="G73" s="170"/>
      <c r="H73" s="190"/>
      <c r="I73" s="191"/>
      <c r="J73" s="191"/>
      <c r="K73" s="186" t="s">
        <v>1126</v>
      </c>
      <c r="L73" s="191" t="s">
        <v>678</v>
      </c>
      <c r="M73" s="377">
        <f>T_CEFF!H313</f>
        <v>1.125E-2</v>
      </c>
      <c r="N73" s="377">
        <f>T_CEFF!I313</f>
        <v>1.125E-2</v>
      </c>
      <c r="O73" s="377">
        <f>T_CEFF!J313</f>
        <v>1.125E-2</v>
      </c>
      <c r="P73" s="377">
        <f>T_CEFF!K313</f>
        <v>1.125E-2</v>
      </c>
      <c r="Q73" s="377">
        <f>T_CEFF!L313</f>
        <v>1.125E-2</v>
      </c>
      <c r="R73" s="377">
        <f>T_CEFF!M313</f>
        <v>1.125E-2</v>
      </c>
      <c r="S73" s="377">
        <f>T_CEFF!N313</f>
        <v>1.125E-2</v>
      </c>
      <c r="T73" s="377">
        <f>T_CEFF!O313</f>
        <v>1.125E-2</v>
      </c>
      <c r="U73" s="377">
        <f>T_CEFF!P313</f>
        <v>1.125E-2</v>
      </c>
      <c r="V73" s="377">
        <f>T_CEFF!Q313</f>
        <v>1.125E-2</v>
      </c>
      <c r="W73" s="377">
        <f>T_CEFF!R313</f>
        <v>1.125E-2</v>
      </c>
      <c r="X73" s="377">
        <f>T_CEFF!S313</f>
        <v>1.125E-2</v>
      </c>
      <c r="Y73" s="377">
        <f>T_CEFF!T313</f>
        <v>1.125E-2</v>
      </c>
      <c r="Z73" s="377">
        <f>T_CEFF!U313</f>
        <v>1.125E-2</v>
      </c>
      <c r="AA73" s="377">
        <f>T_CEFF!V313</f>
        <v>1.125E-2</v>
      </c>
    </row>
    <row r="74" spans="1:45" s="35" customFormat="1" x14ac:dyDescent="0.25">
      <c r="B74" s="186" t="str">
        <f t="shared" si="51"/>
        <v>TNCDST100</v>
      </c>
      <c r="C74" s="186"/>
      <c r="D74" s="187"/>
      <c r="E74" s="258"/>
      <c r="F74" s="189" t="s">
        <v>609</v>
      </c>
      <c r="G74" s="170"/>
      <c r="H74" s="190"/>
      <c r="I74" s="191"/>
      <c r="J74" s="191"/>
      <c r="K74" s="186" t="s">
        <v>1126</v>
      </c>
      <c r="L74" s="191" t="s">
        <v>678</v>
      </c>
      <c r="M74" s="377">
        <f>T_CEFF!H313</f>
        <v>1.125E-2</v>
      </c>
      <c r="N74" s="377">
        <f>T_CEFF!I313</f>
        <v>1.125E-2</v>
      </c>
      <c r="O74" s="377">
        <f>T_CEFF!J313</f>
        <v>1.125E-2</v>
      </c>
      <c r="P74" s="377">
        <f>T_CEFF!K313</f>
        <v>1.125E-2</v>
      </c>
      <c r="Q74" s="377">
        <f>T_CEFF!L313</f>
        <v>1.125E-2</v>
      </c>
      <c r="R74" s="377">
        <f>T_CEFF!M313</f>
        <v>1.125E-2</v>
      </c>
      <c r="S74" s="377">
        <f>T_CEFF!N313</f>
        <v>1.125E-2</v>
      </c>
      <c r="T74" s="377">
        <f>T_CEFF!O313</f>
        <v>1.125E-2</v>
      </c>
      <c r="U74" s="377">
        <f>T_CEFF!P313</f>
        <v>1.125E-2</v>
      </c>
      <c r="V74" s="377">
        <f>T_CEFF!Q313</f>
        <v>1.125E-2</v>
      </c>
      <c r="W74" s="377">
        <f>T_CEFF!R313</f>
        <v>1.125E-2</v>
      </c>
      <c r="X74" s="377">
        <f>T_CEFF!S313</f>
        <v>1.125E-2</v>
      </c>
      <c r="Y74" s="377">
        <f>T_CEFF!T313</f>
        <v>1.125E-2</v>
      </c>
      <c r="Z74" s="377">
        <f>T_CEFF!U313</f>
        <v>1.125E-2</v>
      </c>
      <c r="AA74" s="377">
        <f>T_CEFF!V313</f>
        <v>1.125E-2</v>
      </c>
      <c r="AC74" s="413" t="s">
        <v>1132</v>
      </c>
      <c r="AD74" s="93">
        <f>SUM(AE74:AS74)</f>
        <v>0</v>
      </c>
      <c r="AE74" s="81">
        <f>M73*M74*M75/1000</f>
        <v>0</v>
      </c>
      <c r="AF74" s="81">
        <f t="shared" ref="AF74:AS74" si="52">N73*N74*N75/1000</f>
        <v>0</v>
      </c>
      <c r="AG74" s="81">
        <f t="shared" si="52"/>
        <v>0</v>
      </c>
      <c r="AH74" s="81">
        <f t="shared" si="52"/>
        <v>0</v>
      </c>
      <c r="AI74" s="81">
        <f t="shared" si="52"/>
        <v>0</v>
      </c>
      <c r="AJ74" s="81">
        <f t="shared" si="52"/>
        <v>0</v>
      </c>
      <c r="AK74" s="81">
        <f t="shared" si="52"/>
        <v>0</v>
      </c>
      <c r="AL74" s="81">
        <f t="shared" si="52"/>
        <v>0</v>
      </c>
      <c r="AM74" s="81">
        <f t="shared" si="52"/>
        <v>0</v>
      </c>
      <c r="AN74" s="81">
        <f t="shared" si="52"/>
        <v>0</v>
      </c>
      <c r="AO74" s="81">
        <f t="shared" si="52"/>
        <v>0</v>
      </c>
      <c r="AP74" s="81">
        <f t="shared" si="52"/>
        <v>0</v>
      </c>
      <c r="AQ74" s="81">
        <f t="shared" si="52"/>
        <v>0</v>
      </c>
      <c r="AR74" s="81">
        <f t="shared" si="52"/>
        <v>0</v>
      </c>
      <c r="AS74" s="81">
        <f t="shared" si="52"/>
        <v>0</v>
      </c>
    </row>
    <row r="75" spans="1:45" s="35" customFormat="1" x14ac:dyDescent="0.25">
      <c r="B75" s="186" t="str">
        <f t="shared" si="51"/>
        <v>TNCDST100</v>
      </c>
      <c r="C75" s="186"/>
      <c r="D75" s="187"/>
      <c r="E75" s="186"/>
      <c r="F75" s="189"/>
      <c r="G75" s="170"/>
      <c r="H75" s="190"/>
      <c r="I75" s="191"/>
      <c r="J75" s="191" t="s">
        <v>749</v>
      </c>
      <c r="K75" s="186" t="s">
        <v>1128</v>
      </c>
      <c r="L75" s="186" t="s">
        <v>1159</v>
      </c>
      <c r="M75" s="369">
        <f t="shared" ref="M75:AA75" si="53">M20</f>
        <v>0</v>
      </c>
      <c r="N75" s="369">
        <f t="shared" si="53"/>
        <v>0</v>
      </c>
      <c r="O75" s="369">
        <f t="shared" si="53"/>
        <v>0</v>
      </c>
      <c r="P75" s="369">
        <f t="shared" si="53"/>
        <v>0</v>
      </c>
      <c r="Q75" s="369">
        <f t="shared" si="53"/>
        <v>0</v>
      </c>
      <c r="R75" s="369">
        <f t="shared" si="53"/>
        <v>0</v>
      </c>
      <c r="S75" s="369">
        <f t="shared" si="53"/>
        <v>0</v>
      </c>
      <c r="T75" s="369">
        <f t="shared" si="53"/>
        <v>0</v>
      </c>
      <c r="U75" s="369">
        <f t="shared" si="53"/>
        <v>0</v>
      </c>
      <c r="V75" s="369">
        <f t="shared" si="53"/>
        <v>0</v>
      </c>
      <c r="W75" s="369">
        <f t="shared" si="53"/>
        <v>0</v>
      </c>
      <c r="X75" s="369">
        <f t="shared" si="53"/>
        <v>0</v>
      </c>
      <c r="Y75" s="369">
        <f t="shared" si="53"/>
        <v>0</v>
      </c>
      <c r="Z75" s="369">
        <f t="shared" si="53"/>
        <v>0</v>
      </c>
      <c r="AA75" s="369">
        <f t="shared" si="53"/>
        <v>0</v>
      </c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</row>
    <row r="76" spans="1:45" s="35" customFormat="1" x14ac:dyDescent="0.25">
      <c r="B76" s="186" t="str">
        <f t="shared" si="51"/>
        <v>TNCDST100</v>
      </c>
      <c r="C76" s="186"/>
      <c r="D76" s="187"/>
      <c r="E76" s="186"/>
      <c r="F76" s="189"/>
      <c r="G76" s="170"/>
      <c r="H76" s="190"/>
      <c r="I76" s="191"/>
      <c r="J76" s="191"/>
      <c r="K76" s="192" t="s">
        <v>1130</v>
      </c>
      <c r="L76" s="191" t="s">
        <v>1131</v>
      </c>
      <c r="M76" s="376">
        <f>T_NCAP_AF!D361</f>
        <v>0</v>
      </c>
      <c r="N76" s="376">
        <f>T_NCAP_AF!E361</f>
        <v>0</v>
      </c>
      <c r="O76" s="376">
        <f>T_NCAP_AF!F361</f>
        <v>0</v>
      </c>
      <c r="P76" s="376">
        <f>T_NCAP_AF!G361</f>
        <v>0</v>
      </c>
      <c r="Q76" s="376">
        <f>T_NCAP_AF!H361</f>
        <v>0</v>
      </c>
      <c r="R76" s="376">
        <f>T_NCAP_AF!I361</f>
        <v>0</v>
      </c>
      <c r="S76" s="376">
        <f>T_NCAP_AF!J361</f>
        <v>0</v>
      </c>
      <c r="T76" s="376">
        <f>T_NCAP_AF!K361</f>
        <v>0</v>
      </c>
      <c r="U76" s="376">
        <f>T_NCAP_AF!L361</f>
        <v>0</v>
      </c>
      <c r="V76" s="376">
        <f>T_NCAP_AF!M361</f>
        <v>0</v>
      </c>
      <c r="W76" s="376">
        <f>T_NCAP_AF!N361</f>
        <v>0</v>
      </c>
      <c r="X76" s="376">
        <f>T_NCAP_AF!O361</f>
        <v>0</v>
      </c>
      <c r="Y76" s="376">
        <f>T_NCAP_AF!P361</f>
        <v>0</v>
      </c>
      <c r="Z76" s="376">
        <f>T_NCAP_AF!Q361</f>
        <v>0</v>
      </c>
      <c r="AA76" s="376">
        <f>T_NCAP_AF!R361</f>
        <v>0</v>
      </c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</row>
    <row r="77" spans="1:45" s="35" customFormat="1" x14ac:dyDescent="0.25">
      <c r="B77" s="186" t="str">
        <f t="shared" si="51"/>
        <v>TNCDST100</v>
      </c>
      <c r="C77" s="186"/>
      <c r="D77" s="187"/>
      <c r="E77" s="186"/>
      <c r="F77" s="189"/>
      <c r="G77" s="170"/>
      <c r="H77" s="190">
        <f>$L$3</f>
        <v>2019</v>
      </c>
      <c r="I77" s="191"/>
      <c r="J77" s="191"/>
      <c r="K77" s="192" t="s">
        <v>1065</v>
      </c>
      <c r="L77" s="191" t="s">
        <v>748</v>
      </c>
      <c r="M77" s="689">
        <f t="shared" ref="M77:AA77" si="54">IF(M76=0, 0, ROUNDUP((M14+M15)/M75/M76*1000, 8))</f>
        <v>0</v>
      </c>
      <c r="N77" s="689">
        <f t="shared" si="54"/>
        <v>0</v>
      </c>
      <c r="O77" s="689">
        <f t="shared" si="54"/>
        <v>0</v>
      </c>
      <c r="P77" s="689">
        <f t="shared" si="54"/>
        <v>0</v>
      </c>
      <c r="Q77" s="689">
        <f t="shared" si="54"/>
        <v>0</v>
      </c>
      <c r="R77" s="689">
        <f t="shared" si="54"/>
        <v>0</v>
      </c>
      <c r="S77" s="689">
        <f t="shared" si="54"/>
        <v>0</v>
      </c>
      <c r="T77" s="689">
        <f t="shared" si="54"/>
        <v>0</v>
      </c>
      <c r="U77" s="689">
        <f t="shared" si="54"/>
        <v>0</v>
      </c>
      <c r="V77" s="689">
        <f t="shared" si="54"/>
        <v>0</v>
      </c>
      <c r="W77" s="689">
        <f t="shared" si="54"/>
        <v>0</v>
      </c>
      <c r="X77" s="689">
        <f t="shared" si="54"/>
        <v>0</v>
      </c>
      <c r="Y77" s="689">
        <f t="shared" si="54"/>
        <v>0</v>
      </c>
      <c r="Z77" s="689">
        <f t="shared" si="54"/>
        <v>0</v>
      </c>
      <c r="AA77" s="689">
        <f t="shared" si="54"/>
        <v>0</v>
      </c>
      <c r="AC77" s="57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</row>
    <row r="78" spans="1:45" s="35" customFormat="1" x14ac:dyDescent="0.25">
      <c r="B78" s="186" t="str">
        <f t="shared" si="51"/>
        <v>TNCDST100</v>
      </c>
      <c r="C78" s="186"/>
      <c r="D78" s="187"/>
      <c r="E78" s="186"/>
      <c r="F78" s="189"/>
      <c r="G78" s="170"/>
      <c r="H78" s="190">
        <f>AC$4</f>
        <v>2016</v>
      </c>
      <c r="I78" s="191"/>
      <c r="J78" s="191"/>
      <c r="K78" s="192" t="s">
        <v>1065</v>
      </c>
      <c r="L78" s="191" t="s">
        <v>748</v>
      </c>
      <c r="M78" s="687">
        <f t="shared" ref="M78:AA78" si="55">M$77*$AF4</f>
        <v>0</v>
      </c>
      <c r="N78" s="687">
        <f t="shared" si="55"/>
        <v>0</v>
      </c>
      <c r="O78" s="687">
        <f t="shared" si="55"/>
        <v>0</v>
      </c>
      <c r="P78" s="687">
        <f t="shared" si="55"/>
        <v>0</v>
      </c>
      <c r="Q78" s="687">
        <f t="shared" si="55"/>
        <v>0</v>
      </c>
      <c r="R78" s="687">
        <f t="shared" si="55"/>
        <v>0</v>
      </c>
      <c r="S78" s="687">
        <f t="shared" si="55"/>
        <v>0</v>
      </c>
      <c r="T78" s="687">
        <f t="shared" si="55"/>
        <v>0</v>
      </c>
      <c r="U78" s="687">
        <f t="shared" si="55"/>
        <v>0</v>
      </c>
      <c r="V78" s="687">
        <f t="shared" si="55"/>
        <v>0</v>
      </c>
      <c r="W78" s="687">
        <f t="shared" si="55"/>
        <v>0</v>
      </c>
      <c r="X78" s="687">
        <f t="shared" si="55"/>
        <v>0</v>
      </c>
      <c r="Y78" s="687">
        <f t="shared" si="55"/>
        <v>0</v>
      </c>
      <c r="Z78" s="687">
        <f t="shared" si="55"/>
        <v>0</v>
      </c>
      <c r="AA78" s="687">
        <f t="shared" si="55"/>
        <v>0</v>
      </c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</row>
    <row r="79" spans="1:45" s="35" customFormat="1" x14ac:dyDescent="0.25">
      <c r="B79" s="186" t="str">
        <f t="shared" si="51"/>
        <v>TNCDST100</v>
      </c>
      <c r="C79" s="186"/>
      <c r="D79" s="187"/>
      <c r="E79" s="186"/>
      <c r="F79" s="189"/>
      <c r="G79" s="170"/>
      <c r="H79" s="190">
        <f>AC$5</f>
        <v>2020</v>
      </c>
      <c r="I79" s="191"/>
      <c r="J79" s="191"/>
      <c r="K79" s="192" t="s">
        <v>1065</v>
      </c>
      <c r="L79" s="191" t="s">
        <v>748</v>
      </c>
      <c r="M79" s="687">
        <f t="shared" ref="M79:AA79" si="56">M$77*$AF5</f>
        <v>0</v>
      </c>
      <c r="N79" s="687">
        <f t="shared" si="56"/>
        <v>0</v>
      </c>
      <c r="O79" s="687">
        <f t="shared" si="56"/>
        <v>0</v>
      </c>
      <c r="P79" s="687">
        <f t="shared" si="56"/>
        <v>0</v>
      </c>
      <c r="Q79" s="687">
        <f t="shared" si="56"/>
        <v>0</v>
      </c>
      <c r="R79" s="687">
        <f t="shared" si="56"/>
        <v>0</v>
      </c>
      <c r="S79" s="687">
        <f t="shared" si="56"/>
        <v>0</v>
      </c>
      <c r="T79" s="687">
        <f t="shared" si="56"/>
        <v>0</v>
      </c>
      <c r="U79" s="687">
        <f t="shared" si="56"/>
        <v>0</v>
      </c>
      <c r="V79" s="687">
        <f t="shared" si="56"/>
        <v>0</v>
      </c>
      <c r="W79" s="687">
        <f t="shared" si="56"/>
        <v>0</v>
      </c>
      <c r="X79" s="687">
        <f t="shared" si="56"/>
        <v>0</v>
      </c>
      <c r="Y79" s="687">
        <f t="shared" si="56"/>
        <v>0</v>
      </c>
      <c r="Z79" s="687">
        <f t="shared" si="56"/>
        <v>0</v>
      </c>
      <c r="AA79" s="687">
        <f t="shared" si="56"/>
        <v>0</v>
      </c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</row>
    <row r="80" spans="1:45" s="35" customFormat="1" x14ac:dyDescent="0.25">
      <c r="B80" s="186" t="str">
        <f t="shared" si="51"/>
        <v>TNCDST100</v>
      </c>
      <c r="C80" s="186"/>
      <c r="D80" s="187"/>
      <c r="E80" s="186"/>
      <c r="F80" s="189"/>
      <c r="G80" s="170"/>
      <c r="H80" s="190">
        <f>AC$6</f>
        <v>2025</v>
      </c>
      <c r="I80" s="191"/>
      <c r="J80" s="191"/>
      <c r="K80" s="192" t="s">
        <v>1065</v>
      </c>
      <c r="L80" s="191" t="s">
        <v>748</v>
      </c>
      <c r="M80" s="687">
        <f t="shared" ref="M80:AA80" si="57">M$77*$AF6</f>
        <v>0</v>
      </c>
      <c r="N80" s="687">
        <f t="shared" si="57"/>
        <v>0</v>
      </c>
      <c r="O80" s="687">
        <f t="shared" si="57"/>
        <v>0</v>
      </c>
      <c r="P80" s="687">
        <f t="shared" si="57"/>
        <v>0</v>
      </c>
      <c r="Q80" s="687">
        <f t="shared" si="57"/>
        <v>0</v>
      </c>
      <c r="R80" s="687">
        <f t="shared" si="57"/>
        <v>0</v>
      </c>
      <c r="S80" s="687">
        <f t="shared" si="57"/>
        <v>0</v>
      </c>
      <c r="T80" s="687">
        <f t="shared" si="57"/>
        <v>0</v>
      </c>
      <c r="U80" s="687">
        <f t="shared" si="57"/>
        <v>0</v>
      </c>
      <c r="V80" s="687">
        <f t="shared" si="57"/>
        <v>0</v>
      </c>
      <c r="W80" s="687">
        <f t="shared" si="57"/>
        <v>0</v>
      </c>
      <c r="X80" s="687">
        <f t="shared" si="57"/>
        <v>0</v>
      </c>
      <c r="Y80" s="687">
        <f t="shared" si="57"/>
        <v>0</v>
      </c>
      <c r="Z80" s="687">
        <f t="shared" si="57"/>
        <v>0</v>
      </c>
      <c r="AA80" s="687">
        <f t="shared" si="57"/>
        <v>0</v>
      </c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</row>
    <row r="81" spans="2:42" s="35" customFormat="1" x14ac:dyDescent="0.25">
      <c r="B81" s="186" t="str">
        <f t="shared" si="51"/>
        <v>TNCDST100</v>
      </c>
      <c r="C81" s="186"/>
      <c r="D81" s="187"/>
      <c r="E81" s="186"/>
      <c r="F81" s="189"/>
      <c r="G81" s="170"/>
      <c r="H81" s="190">
        <f>AC$7</f>
        <v>2030</v>
      </c>
      <c r="I81" s="191"/>
      <c r="J81" s="191"/>
      <c r="K81" s="192" t="s">
        <v>1065</v>
      </c>
      <c r="L81" s="191" t="s">
        <v>748</v>
      </c>
      <c r="M81" s="687">
        <f t="shared" ref="M81:AA81" si="58">M$77*$AF7</f>
        <v>0</v>
      </c>
      <c r="N81" s="687">
        <f t="shared" si="58"/>
        <v>0</v>
      </c>
      <c r="O81" s="687">
        <f t="shared" si="58"/>
        <v>0</v>
      </c>
      <c r="P81" s="687">
        <f t="shared" si="58"/>
        <v>0</v>
      </c>
      <c r="Q81" s="687">
        <f t="shared" si="58"/>
        <v>0</v>
      </c>
      <c r="R81" s="687">
        <f t="shared" si="58"/>
        <v>0</v>
      </c>
      <c r="S81" s="687">
        <f t="shared" si="58"/>
        <v>0</v>
      </c>
      <c r="T81" s="687">
        <f t="shared" si="58"/>
        <v>0</v>
      </c>
      <c r="U81" s="687">
        <f t="shared" si="58"/>
        <v>0</v>
      </c>
      <c r="V81" s="687">
        <f t="shared" si="58"/>
        <v>0</v>
      </c>
      <c r="W81" s="687">
        <f t="shared" si="58"/>
        <v>0</v>
      </c>
      <c r="X81" s="687">
        <f t="shared" si="58"/>
        <v>0</v>
      </c>
      <c r="Y81" s="687">
        <f t="shared" si="58"/>
        <v>0</v>
      </c>
      <c r="Z81" s="687">
        <f t="shared" si="58"/>
        <v>0</v>
      </c>
      <c r="AA81" s="687">
        <f t="shared" si="58"/>
        <v>0</v>
      </c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</row>
    <row r="82" spans="2:42" x14ac:dyDescent="0.25">
      <c r="B82" s="186" t="str">
        <f t="shared" si="51"/>
        <v>TNCDST100</v>
      </c>
      <c r="C82" s="186"/>
      <c r="D82" s="187"/>
      <c r="E82" s="186"/>
      <c r="F82" s="189"/>
      <c r="G82" s="170"/>
      <c r="H82" s="190">
        <f>AC$8</f>
        <v>2040</v>
      </c>
      <c r="I82" s="191"/>
      <c r="J82" s="191"/>
      <c r="K82" s="192" t="s">
        <v>1065</v>
      </c>
      <c r="L82" s="191" t="s">
        <v>748</v>
      </c>
      <c r="M82" s="687">
        <f t="shared" ref="M82:AA82" si="59">M$77*$AF8</f>
        <v>0</v>
      </c>
      <c r="N82" s="687">
        <f t="shared" si="59"/>
        <v>0</v>
      </c>
      <c r="O82" s="687">
        <f t="shared" si="59"/>
        <v>0</v>
      </c>
      <c r="P82" s="687">
        <f t="shared" si="59"/>
        <v>0</v>
      </c>
      <c r="Q82" s="687">
        <f t="shared" si="59"/>
        <v>0</v>
      </c>
      <c r="R82" s="687">
        <f t="shared" si="59"/>
        <v>0</v>
      </c>
      <c r="S82" s="687">
        <f t="shared" si="59"/>
        <v>0</v>
      </c>
      <c r="T82" s="687">
        <f t="shared" si="59"/>
        <v>0</v>
      </c>
      <c r="U82" s="687">
        <f t="shared" si="59"/>
        <v>0</v>
      </c>
      <c r="V82" s="687">
        <f t="shared" si="59"/>
        <v>0</v>
      </c>
      <c r="W82" s="687">
        <f t="shared" si="59"/>
        <v>0</v>
      </c>
      <c r="X82" s="687">
        <f t="shared" si="59"/>
        <v>0</v>
      </c>
      <c r="Y82" s="687">
        <f t="shared" si="59"/>
        <v>0</v>
      </c>
      <c r="Z82" s="687">
        <f t="shared" si="59"/>
        <v>0</v>
      </c>
      <c r="AA82" s="687">
        <f t="shared" si="59"/>
        <v>0</v>
      </c>
    </row>
    <row r="83" spans="2:42" x14ac:dyDescent="0.25">
      <c r="B83" s="193" t="str">
        <f t="shared" si="51"/>
        <v>TNCDST100</v>
      </c>
      <c r="C83" s="193"/>
      <c r="D83" s="194"/>
      <c r="E83" s="193"/>
      <c r="F83" s="195"/>
      <c r="G83" s="196"/>
      <c r="H83" s="197">
        <f>AC$9</f>
        <v>2050</v>
      </c>
      <c r="I83" s="198"/>
      <c r="J83" s="198"/>
      <c r="K83" s="199" t="s">
        <v>1065</v>
      </c>
      <c r="L83" s="198" t="s">
        <v>748</v>
      </c>
      <c r="M83" s="688">
        <f t="shared" ref="M83:AA83" si="60">M$77*$AF9</f>
        <v>0</v>
      </c>
      <c r="N83" s="688">
        <f t="shared" si="60"/>
        <v>0</v>
      </c>
      <c r="O83" s="688">
        <f t="shared" si="60"/>
        <v>0</v>
      </c>
      <c r="P83" s="688">
        <f t="shared" si="60"/>
        <v>0</v>
      </c>
      <c r="Q83" s="688">
        <f t="shared" si="60"/>
        <v>0</v>
      </c>
      <c r="R83" s="688">
        <f t="shared" si="60"/>
        <v>0</v>
      </c>
      <c r="S83" s="688">
        <f t="shared" si="60"/>
        <v>0</v>
      </c>
      <c r="T83" s="688">
        <f t="shared" si="60"/>
        <v>0</v>
      </c>
      <c r="U83" s="688">
        <f t="shared" si="60"/>
        <v>0</v>
      </c>
      <c r="V83" s="688">
        <f t="shared" si="60"/>
        <v>0</v>
      </c>
      <c r="W83" s="688">
        <f t="shared" si="60"/>
        <v>0</v>
      </c>
      <c r="X83" s="688">
        <f t="shared" si="60"/>
        <v>0</v>
      </c>
      <c r="Y83" s="688">
        <f t="shared" si="60"/>
        <v>0</v>
      </c>
      <c r="Z83" s="688">
        <f t="shared" si="60"/>
        <v>0</v>
      </c>
      <c r="AA83" s="688">
        <f t="shared" si="60"/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2">
    <tabColor theme="5" tint="0.59999389629810485"/>
  </sheetPr>
  <dimension ref="A1:AZ520"/>
  <sheetViews>
    <sheetView topLeftCell="U1" zoomScale="75" zoomScaleNormal="75" workbookViewId="0">
      <selection activeCell="AC1" sqref="AC1:AC1048576"/>
    </sheetView>
  </sheetViews>
  <sheetFormatPr defaultColWidth="9.28515625" defaultRowHeight="15" x14ac:dyDescent="0.25"/>
  <cols>
    <col min="1" max="1" width="9.28515625" style="35"/>
    <col min="2" max="2" width="18.7109375" style="35" customWidth="1"/>
    <col min="3" max="3" width="15.28515625" style="35" customWidth="1"/>
    <col min="4" max="4" width="46.42578125" style="35" customWidth="1"/>
    <col min="5" max="5" width="11.28515625" style="35" bestFit="1" customWidth="1"/>
    <col min="6" max="6" width="13.28515625" style="35" bestFit="1" customWidth="1"/>
    <col min="7" max="9" width="15.5703125" style="35" bestFit="1" customWidth="1"/>
    <col min="10" max="10" width="39.28515625" style="35" customWidth="1"/>
    <col min="11" max="11" width="16.5703125" style="35" customWidth="1"/>
    <col min="12" max="12" width="20" style="35" customWidth="1"/>
    <col min="13" max="13" width="19.28515625" style="70" bestFit="1" customWidth="1"/>
    <col min="14" max="28" width="11.7109375" style="35" customWidth="1"/>
    <col min="29" max="29" width="9.28515625" style="35"/>
    <col min="30" max="30" width="24.28515625" style="35" bestFit="1" customWidth="1"/>
    <col min="31" max="31" width="9.7109375" style="35" bestFit="1" customWidth="1"/>
    <col min="32" max="16384" width="9.28515625" style="35"/>
  </cols>
  <sheetData>
    <row r="1" spans="1:46" x14ac:dyDescent="0.25">
      <c r="M1" s="120" t="s">
        <v>1111</v>
      </c>
    </row>
    <row r="2" spans="1:46" ht="19.5" customHeight="1" x14ac:dyDescent="0.25">
      <c r="A2" s="22" t="s">
        <v>1168</v>
      </c>
      <c r="B2" s="148" t="s">
        <v>1220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46" x14ac:dyDescent="0.25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</row>
    <row r="4" spans="1:46" x14ac:dyDescent="0.25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/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Q4" s="406" t="s">
        <v>634</v>
      </c>
      <c r="AR4" s="406" t="s">
        <v>510</v>
      </c>
      <c r="AS4" s="406" t="s">
        <v>509</v>
      </c>
    </row>
    <row r="5" spans="1:46" x14ac:dyDescent="0.25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v>2016</v>
      </c>
      <c r="AG5" s="74"/>
      <c r="AH5" s="67">
        <v>0.95</v>
      </c>
      <c r="AI5" s="67">
        <v>0.95</v>
      </c>
      <c r="AJ5" s="67">
        <v>0.99</v>
      </c>
      <c r="AK5" s="67">
        <v>0.95</v>
      </c>
      <c r="AL5" s="67">
        <v>0.95</v>
      </c>
      <c r="AM5" s="67">
        <v>0.95</v>
      </c>
      <c r="AN5" s="67">
        <v>0.99</v>
      </c>
      <c r="AO5" s="67">
        <v>0.95</v>
      </c>
      <c r="AP5" s="67">
        <v>0.99</v>
      </c>
      <c r="AQ5" s="67">
        <v>1</v>
      </c>
      <c r="AR5" s="67">
        <v>1</v>
      </c>
      <c r="AS5" s="67">
        <v>1</v>
      </c>
    </row>
    <row r="6" spans="1:46" x14ac:dyDescent="0.25">
      <c r="I6" s="36"/>
      <c r="M6" s="35"/>
      <c r="AF6" s="38">
        <v>2020</v>
      </c>
      <c r="AG6" s="74"/>
      <c r="AH6" s="67">
        <v>0.7</v>
      </c>
      <c r="AI6" s="67">
        <v>0.7</v>
      </c>
      <c r="AJ6" s="67">
        <v>0.75</v>
      </c>
      <c r="AK6" s="67">
        <v>0.7</v>
      </c>
      <c r="AL6" s="67">
        <v>0.7</v>
      </c>
      <c r="AM6" s="67">
        <v>0.7</v>
      </c>
      <c r="AN6" s="67">
        <v>0.75</v>
      </c>
      <c r="AO6" s="67">
        <v>0.7</v>
      </c>
      <c r="AP6" s="67">
        <v>0.75</v>
      </c>
      <c r="AQ6" s="67">
        <v>0.75</v>
      </c>
      <c r="AR6" s="67">
        <v>0.75</v>
      </c>
      <c r="AS6" s="67">
        <v>0.75</v>
      </c>
    </row>
    <row r="7" spans="1:46" s="33" customFormat="1" x14ac:dyDescent="0.25">
      <c r="B7" s="34"/>
      <c r="H7" s="19"/>
      <c r="I7" s="19"/>
      <c r="L7" s="40" t="s">
        <v>1051</v>
      </c>
      <c r="M7" s="40"/>
      <c r="R7" s="41"/>
      <c r="AF7" s="38">
        <f>AF6+5</f>
        <v>2025</v>
      </c>
      <c r="AG7" s="74"/>
      <c r="AH7" s="67">
        <v>0.4</v>
      </c>
      <c r="AI7" s="67">
        <v>0.4</v>
      </c>
      <c r="AJ7" s="67">
        <v>0.5</v>
      </c>
      <c r="AK7" s="67">
        <v>0.4</v>
      </c>
      <c r="AL7" s="67">
        <v>0.4</v>
      </c>
      <c r="AM7" s="67">
        <v>0.4</v>
      </c>
      <c r="AN7" s="67">
        <v>0.5</v>
      </c>
      <c r="AO7" s="67">
        <v>0.4</v>
      </c>
      <c r="AP7" s="67">
        <v>0.5</v>
      </c>
      <c r="AQ7" s="67">
        <v>0.2</v>
      </c>
      <c r="AR7" s="67">
        <v>0.2</v>
      </c>
      <c r="AS7" s="67">
        <v>0.2</v>
      </c>
      <c r="AT7" s="35"/>
    </row>
    <row r="8" spans="1:46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163" t="s">
        <v>421</v>
      </c>
      <c r="AF8" s="38">
        <f>AF7+5</f>
        <v>2030</v>
      </c>
      <c r="AG8" s="74"/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Q8" s="67">
        <v>0.01</v>
      </c>
      <c r="AR8" s="67">
        <v>0.01</v>
      </c>
      <c r="AS8" s="67">
        <v>0.01</v>
      </c>
      <c r="AT8" s="35"/>
    </row>
    <row r="9" spans="1:46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20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AF8+10</f>
        <v>2040</v>
      </c>
      <c r="AG9" s="74"/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Q9" s="67">
        <v>0</v>
      </c>
      <c r="AR9" s="67">
        <v>0</v>
      </c>
      <c r="AS9" s="67">
        <v>0</v>
      </c>
      <c r="AT9" s="35"/>
    </row>
    <row r="10" spans="1:46" s="33" customFormat="1" x14ac:dyDescent="0.25">
      <c r="A10" s="44"/>
      <c r="B10" s="44"/>
      <c r="C10" s="44"/>
      <c r="D10" s="35"/>
      <c r="E10" s="35"/>
      <c r="F10" s="44"/>
      <c r="I10" s="173" t="s">
        <v>637</v>
      </c>
      <c r="J10" s="173" t="str">
        <f>LOOKUP(I10,TRA_Comm!$C$29:$C$90,TRA_Comm!$D$29:$D$90)</f>
        <v>Road.Freight.Light.LongDistance.City.</v>
      </c>
      <c r="K10" s="173"/>
      <c r="L10" s="173" t="s">
        <v>1118</v>
      </c>
      <c r="M10" s="173" t="s">
        <v>633</v>
      </c>
      <c r="N10" s="165">
        <f>SUMIF(DEMAND_Pkm_Tkm!$C$48:$C$71, $I10, DEMAND_Pkm_Tkm!G$48:G$71)</f>
        <v>0</v>
      </c>
      <c r="O10" s="165">
        <f>SUMIF(DEMAND_Pkm_Tkm!$C$48:$C$71, $I10, DEMAND_Pkm_Tkm!H$48:H$71)</f>
        <v>0</v>
      </c>
      <c r="P10" s="165">
        <f>SUMIF(DEMAND_Pkm_Tkm!$C$48:$C$71, $I10, DEMAND_Pkm_Tkm!I$48:I$71)</f>
        <v>0</v>
      </c>
      <c r="Q10" s="165">
        <f>SUMIF(DEMAND_Pkm_Tkm!$C$48:$C$71, $I10, DEMAND_Pkm_Tkm!J$48:J$71)</f>
        <v>0</v>
      </c>
      <c r="R10" s="165">
        <f>SUMIF(DEMAND_Pkm_Tkm!$C$48:$C$71, $I10, DEMAND_Pkm_Tkm!K$48:K$71)</f>
        <v>0</v>
      </c>
      <c r="S10" s="165">
        <f>SUMIF(DEMAND_Pkm_Tkm!$C$48:$C$71, $I10, DEMAND_Pkm_Tkm!L$48:L$71)</f>
        <v>0</v>
      </c>
      <c r="T10" s="165">
        <f>SUMIF(DEMAND_Pkm_Tkm!$C$48:$C$71, $I10, DEMAND_Pkm_Tkm!M$48:M$71)</f>
        <v>0</v>
      </c>
      <c r="U10" s="165">
        <f>SUMIF(DEMAND_Pkm_Tkm!$C$48:$C$71, $I10, DEMAND_Pkm_Tkm!N$48:N$71)</f>
        <v>0</v>
      </c>
      <c r="V10" s="165">
        <f>SUMIF(DEMAND_Pkm_Tkm!$C$48:$C$71, $I10, DEMAND_Pkm_Tkm!O$48:O$71)</f>
        <v>0</v>
      </c>
      <c r="W10" s="165">
        <f>SUMIF(DEMAND_Pkm_Tkm!$C$48:$C$71, $I10, DEMAND_Pkm_Tkm!P$48:P$71)</f>
        <v>0</v>
      </c>
      <c r="X10" s="165">
        <f>SUMIF(DEMAND_Pkm_Tkm!$C$48:$C$71, $I10, DEMAND_Pkm_Tkm!Q$48:Q$71)</f>
        <v>0</v>
      </c>
      <c r="Y10" s="165">
        <f>SUMIF(DEMAND_Pkm_Tkm!$C$48:$C$71, $I10, DEMAND_Pkm_Tkm!R$48:R$71)</f>
        <v>0</v>
      </c>
      <c r="Z10" s="165">
        <f>SUMIF(DEMAND_Pkm_Tkm!$C$48:$C$71, $I10, DEMAND_Pkm_Tkm!S$48:S$71)</f>
        <v>0</v>
      </c>
      <c r="AA10" s="165">
        <f>SUMIF(DEMAND_Pkm_Tkm!$C$48:$C$71, $I10, DEMAND_Pkm_Tkm!T$48:T$71)</f>
        <v>0</v>
      </c>
      <c r="AB10" s="165">
        <f>SUMIF(DEMAND_Pkm_Tkm!$C$48:$C$71, $I10, DEMAND_Pkm_Tkm!U$48:U$71)</f>
        <v>0</v>
      </c>
      <c r="AD10" s="550">
        <f t="shared" ref="AD10:AD18" si="3">SUM(N10:AB10)</f>
        <v>0</v>
      </c>
      <c r="AF10" s="38">
        <f>AF9+10</f>
        <v>2050</v>
      </c>
      <c r="AG10" s="74"/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35"/>
    </row>
    <row r="11" spans="1:46" s="33" customFormat="1" x14ac:dyDescent="0.25">
      <c r="A11" s="44"/>
      <c r="B11" s="44"/>
      <c r="C11" s="44"/>
      <c r="D11" s="35"/>
      <c r="E11" s="35"/>
      <c r="F11" s="44"/>
      <c r="G11" s="44"/>
      <c r="I11" s="173" t="s">
        <v>640</v>
      </c>
      <c r="J11" s="173" t="str">
        <f>LOOKUP(I11,TRA_Comm!$C$29:$C$90,TRA_Comm!$D$29:$D$90)</f>
        <v>Road.Freight.Light.Short.City.</v>
      </c>
      <c r="K11" s="173"/>
      <c r="L11" s="173" t="s">
        <v>1118</v>
      </c>
      <c r="M11" s="173" t="s">
        <v>633</v>
      </c>
      <c r="N11" s="165">
        <f>SUMIF(DEMAND_Pkm_Tkm!$C$48:$C$71, $I11, DEMAND_Pkm_Tkm!G$48:G$71)</f>
        <v>0</v>
      </c>
      <c r="O11" s="165">
        <f>SUMIF(DEMAND_Pkm_Tkm!$C$48:$C$71, $I11, DEMAND_Pkm_Tkm!H$48:H$71)</f>
        <v>0</v>
      </c>
      <c r="P11" s="165">
        <f>SUMIF(DEMAND_Pkm_Tkm!$C$48:$C$71, $I11, DEMAND_Pkm_Tkm!I$48:I$71)</f>
        <v>0</v>
      </c>
      <c r="Q11" s="165">
        <f>SUMIF(DEMAND_Pkm_Tkm!$C$48:$C$71, $I11, DEMAND_Pkm_Tkm!J$48:J$71)</f>
        <v>0</v>
      </c>
      <c r="R11" s="165">
        <f>SUMIF(DEMAND_Pkm_Tkm!$C$48:$C$71, $I11, DEMAND_Pkm_Tkm!K$48:K$71)</f>
        <v>0</v>
      </c>
      <c r="S11" s="165">
        <f>SUMIF(DEMAND_Pkm_Tkm!$C$48:$C$71, $I11, DEMAND_Pkm_Tkm!L$48:L$71)</f>
        <v>0</v>
      </c>
      <c r="T11" s="165">
        <f>SUMIF(DEMAND_Pkm_Tkm!$C$48:$C$71, $I11, DEMAND_Pkm_Tkm!M$48:M$71)</f>
        <v>0</v>
      </c>
      <c r="U11" s="165">
        <f>SUMIF(DEMAND_Pkm_Tkm!$C$48:$C$71, $I11, DEMAND_Pkm_Tkm!N$48:N$71)</f>
        <v>0</v>
      </c>
      <c r="V11" s="165">
        <f>SUMIF(DEMAND_Pkm_Tkm!$C$48:$C$71, $I11, DEMAND_Pkm_Tkm!O$48:O$71)</f>
        <v>0</v>
      </c>
      <c r="W11" s="165">
        <f>SUMIF(DEMAND_Pkm_Tkm!$C$48:$C$71, $I11, DEMAND_Pkm_Tkm!P$48:P$71)</f>
        <v>0</v>
      </c>
      <c r="X11" s="165">
        <f>SUMIF(DEMAND_Pkm_Tkm!$C$48:$C$71, $I11, DEMAND_Pkm_Tkm!Q$48:Q$71)</f>
        <v>0</v>
      </c>
      <c r="Y11" s="165">
        <f>SUMIF(DEMAND_Pkm_Tkm!$C$48:$C$71, $I11, DEMAND_Pkm_Tkm!R$48:R$71)</f>
        <v>0</v>
      </c>
      <c r="Z11" s="165">
        <f>SUMIF(DEMAND_Pkm_Tkm!$C$48:$C$71, $I11, DEMAND_Pkm_Tkm!S$48:S$71)</f>
        <v>0</v>
      </c>
      <c r="AA11" s="165">
        <f>SUMIF(DEMAND_Pkm_Tkm!$C$48:$C$71, $I11, DEMAND_Pkm_Tkm!T$48:T$71)</f>
        <v>0</v>
      </c>
      <c r="AB11" s="165">
        <f>SUMIF(DEMAND_Pkm_Tkm!$C$48:$C$71, $I11, DEMAND_Pkm_Tkm!U$48:U$71)</f>
        <v>0</v>
      </c>
      <c r="AD11" s="550">
        <f t="shared" si="3"/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</row>
    <row r="12" spans="1:46" s="33" customFormat="1" x14ac:dyDescent="0.25">
      <c r="A12" s="44"/>
      <c r="B12" s="44"/>
      <c r="C12" s="44"/>
      <c r="D12" s="35"/>
      <c r="E12" s="35"/>
      <c r="F12" s="44"/>
      <c r="G12" s="44"/>
      <c r="I12" s="173" t="s">
        <v>643</v>
      </c>
      <c r="J12" s="173" t="str">
        <f>LOOKUP(I12,TRA_Comm!$C$29:$C$90,TRA_Comm!$D$29:$D$90)</f>
        <v>Road.Freight.Medium.LongDistance.City.</v>
      </c>
      <c r="K12" s="173"/>
      <c r="L12" s="173" t="s">
        <v>1118</v>
      </c>
      <c r="M12" s="173" t="s">
        <v>633</v>
      </c>
      <c r="N12" s="165">
        <f>SUMIF(DEMAND_Pkm_Tkm!$C$48:$C$71, $I12, DEMAND_Pkm_Tkm!G$48:G$71)</f>
        <v>0</v>
      </c>
      <c r="O12" s="165">
        <f>SUMIF(DEMAND_Pkm_Tkm!$C$48:$C$71, $I12, DEMAND_Pkm_Tkm!H$48:H$71)</f>
        <v>0</v>
      </c>
      <c r="P12" s="165">
        <f>SUMIF(DEMAND_Pkm_Tkm!$C$48:$C$71, $I12, DEMAND_Pkm_Tkm!I$48:I$71)</f>
        <v>0</v>
      </c>
      <c r="Q12" s="165">
        <f>SUMIF(DEMAND_Pkm_Tkm!$C$48:$C$71, $I12, DEMAND_Pkm_Tkm!J$48:J$71)</f>
        <v>0</v>
      </c>
      <c r="R12" s="165">
        <f>SUMIF(DEMAND_Pkm_Tkm!$C$48:$C$71, $I12, DEMAND_Pkm_Tkm!K$48:K$71)</f>
        <v>0</v>
      </c>
      <c r="S12" s="165">
        <f>SUMIF(DEMAND_Pkm_Tkm!$C$48:$C$71, $I12, DEMAND_Pkm_Tkm!L$48:L$71)</f>
        <v>0</v>
      </c>
      <c r="T12" s="165">
        <f>SUMIF(DEMAND_Pkm_Tkm!$C$48:$C$71, $I12, DEMAND_Pkm_Tkm!M$48:M$71)</f>
        <v>0</v>
      </c>
      <c r="U12" s="165">
        <f>SUMIF(DEMAND_Pkm_Tkm!$C$48:$C$71, $I12, DEMAND_Pkm_Tkm!N$48:N$71)</f>
        <v>0</v>
      </c>
      <c r="V12" s="165">
        <f>SUMIF(DEMAND_Pkm_Tkm!$C$48:$C$71, $I12, DEMAND_Pkm_Tkm!O$48:O$71)</f>
        <v>0</v>
      </c>
      <c r="W12" s="165">
        <f>SUMIF(DEMAND_Pkm_Tkm!$C$48:$C$71, $I12, DEMAND_Pkm_Tkm!P$48:P$71)</f>
        <v>0</v>
      </c>
      <c r="X12" s="165">
        <f>SUMIF(DEMAND_Pkm_Tkm!$C$48:$C$71, $I12, DEMAND_Pkm_Tkm!Q$48:Q$71)</f>
        <v>0</v>
      </c>
      <c r="Y12" s="165">
        <f>SUMIF(DEMAND_Pkm_Tkm!$C$48:$C$71, $I12, DEMAND_Pkm_Tkm!R$48:R$71)</f>
        <v>0</v>
      </c>
      <c r="Z12" s="165">
        <f>SUMIF(DEMAND_Pkm_Tkm!$C$48:$C$71, $I12, DEMAND_Pkm_Tkm!S$48:S$71)</f>
        <v>0</v>
      </c>
      <c r="AA12" s="165">
        <f>SUMIF(DEMAND_Pkm_Tkm!$C$48:$C$71, $I12, DEMAND_Pkm_Tkm!T$48:T$71)</f>
        <v>0</v>
      </c>
      <c r="AB12" s="165">
        <f>SUMIF(DEMAND_Pkm_Tkm!$C$48:$C$71, $I12, DEMAND_Pkm_Tkm!U$48:U$71)</f>
        <v>0</v>
      </c>
      <c r="AD12" s="550">
        <f t="shared" si="3"/>
        <v>0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</row>
    <row r="13" spans="1:46" s="33" customFormat="1" x14ac:dyDescent="0.25">
      <c r="A13" s="44"/>
      <c r="B13" s="44"/>
      <c r="C13" s="44"/>
      <c r="D13" s="35"/>
      <c r="E13" s="35"/>
      <c r="F13" s="44"/>
      <c r="G13" s="44"/>
      <c r="I13" s="173" t="s">
        <v>646</v>
      </c>
      <c r="J13" s="173" t="str">
        <f>LOOKUP(I13,TRA_Comm!$C$29:$C$90,TRA_Comm!$D$29:$D$90)</f>
        <v>Road.Freight.Medium.Short.City.</v>
      </c>
      <c r="K13" s="173"/>
      <c r="L13" s="173" t="s">
        <v>1118</v>
      </c>
      <c r="M13" s="173" t="s">
        <v>633</v>
      </c>
      <c r="N13" s="165">
        <f>SUMIF(DEMAND_Pkm_Tkm!$C$48:$C$71, $I13, DEMAND_Pkm_Tkm!G$48:G$71)</f>
        <v>0</v>
      </c>
      <c r="O13" s="165">
        <f>SUMIF(DEMAND_Pkm_Tkm!$C$48:$C$71, $I13, DEMAND_Pkm_Tkm!H$48:H$71)</f>
        <v>0</v>
      </c>
      <c r="P13" s="165">
        <f>SUMIF(DEMAND_Pkm_Tkm!$C$48:$C$71, $I13, DEMAND_Pkm_Tkm!I$48:I$71)</f>
        <v>0</v>
      </c>
      <c r="Q13" s="165">
        <f>SUMIF(DEMAND_Pkm_Tkm!$C$48:$C$71, $I13, DEMAND_Pkm_Tkm!J$48:J$71)</f>
        <v>0</v>
      </c>
      <c r="R13" s="165">
        <f>SUMIF(DEMAND_Pkm_Tkm!$C$48:$C$71, $I13, DEMAND_Pkm_Tkm!K$48:K$71)</f>
        <v>0</v>
      </c>
      <c r="S13" s="165">
        <f>SUMIF(DEMAND_Pkm_Tkm!$C$48:$C$71, $I13, DEMAND_Pkm_Tkm!L$48:L$71)</f>
        <v>0</v>
      </c>
      <c r="T13" s="165">
        <f>SUMIF(DEMAND_Pkm_Tkm!$C$48:$C$71, $I13, DEMAND_Pkm_Tkm!M$48:M$71)</f>
        <v>0</v>
      </c>
      <c r="U13" s="165">
        <f>SUMIF(DEMAND_Pkm_Tkm!$C$48:$C$71, $I13, DEMAND_Pkm_Tkm!N$48:N$71)</f>
        <v>0</v>
      </c>
      <c r="V13" s="165">
        <f>SUMIF(DEMAND_Pkm_Tkm!$C$48:$C$71, $I13, DEMAND_Pkm_Tkm!O$48:O$71)</f>
        <v>0</v>
      </c>
      <c r="W13" s="165">
        <f>SUMIF(DEMAND_Pkm_Tkm!$C$48:$C$71, $I13, DEMAND_Pkm_Tkm!P$48:P$71)</f>
        <v>0</v>
      </c>
      <c r="X13" s="165">
        <f>SUMIF(DEMAND_Pkm_Tkm!$C$48:$C$71, $I13, DEMAND_Pkm_Tkm!Q$48:Q$71)</f>
        <v>0</v>
      </c>
      <c r="Y13" s="165">
        <f>SUMIF(DEMAND_Pkm_Tkm!$C$48:$C$71, $I13, DEMAND_Pkm_Tkm!R$48:R$71)</f>
        <v>0</v>
      </c>
      <c r="Z13" s="165">
        <f>SUMIF(DEMAND_Pkm_Tkm!$C$48:$C$71, $I13, DEMAND_Pkm_Tkm!S$48:S$71)</f>
        <v>0</v>
      </c>
      <c r="AA13" s="165">
        <f>SUMIF(DEMAND_Pkm_Tkm!$C$48:$C$71, $I13, DEMAND_Pkm_Tkm!T$48:T$71)</f>
        <v>0</v>
      </c>
      <c r="AB13" s="165">
        <f>SUMIF(DEMAND_Pkm_Tkm!$C$48:$C$71, $I13, DEMAND_Pkm_Tkm!U$48:U$71)</f>
        <v>0</v>
      </c>
      <c r="AD13" s="550">
        <f t="shared" si="3"/>
        <v>0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</row>
    <row r="14" spans="1:46" s="33" customFormat="1" x14ac:dyDescent="0.25">
      <c r="A14" s="44"/>
      <c r="B14" s="34"/>
      <c r="C14" s="44"/>
      <c r="D14" s="35"/>
      <c r="E14" s="35"/>
      <c r="F14" s="44"/>
      <c r="G14" s="44"/>
      <c r="H14" s="35"/>
      <c r="I14" s="173" t="s">
        <v>649</v>
      </c>
      <c r="J14" s="173" t="str">
        <f>LOOKUP(I14,TRA_Comm!$C$29:$C$90,TRA_Comm!$D$29:$D$90)</f>
        <v>Road.Freight.Heavy.LongDistance.City.</v>
      </c>
      <c r="K14" s="173"/>
      <c r="L14" s="173" t="s">
        <v>1118</v>
      </c>
      <c r="M14" s="173" t="s">
        <v>633</v>
      </c>
      <c r="N14" s="165">
        <f>SUMIF(DEMAND_Pkm_Tkm!$C$48:$C$71, $I14, DEMAND_Pkm_Tkm!G$48:G$71)</f>
        <v>0</v>
      </c>
      <c r="O14" s="165">
        <f>SUMIF(DEMAND_Pkm_Tkm!$C$48:$C$71, $I14, DEMAND_Pkm_Tkm!H$48:H$71)</f>
        <v>0</v>
      </c>
      <c r="P14" s="165">
        <f>SUMIF(DEMAND_Pkm_Tkm!$C$48:$C$71, $I14, DEMAND_Pkm_Tkm!I$48:I$71)</f>
        <v>0</v>
      </c>
      <c r="Q14" s="165">
        <f>SUMIF(DEMAND_Pkm_Tkm!$C$48:$C$71, $I14, DEMAND_Pkm_Tkm!J$48:J$71)</f>
        <v>0</v>
      </c>
      <c r="R14" s="165">
        <f>SUMIF(DEMAND_Pkm_Tkm!$C$48:$C$71, $I14, DEMAND_Pkm_Tkm!K$48:K$71)</f>
        <v>0</v>
      </c>
      <c r="S14" s="165">
        <f>SUMIF(DEMAND_Pkm_Tkm!$C$48:$C$71, $I14, DEMAND_Pkm_Tkm!L$48:L$71)</f>
        <v>0</v>
      </c>
      <c r="T14" s="165">
        <f>SUMIF(DEMAND_Pkm_Tkm!$C$48:$C$71, $I14, DEMAND_Pkm_Tkm!M$48:M$71)</f>
        <v>0</v>
      </c>
      <c r="U14" s="165">
        <f>SUMIF(DEMAND_Pkm_Tkm!$C$48:$C$71, $I14, DEMAND_Pkm_Tkm!N$48:N$71)</f>
        <v>0</v>
      </c>
      <c r="V14" s="165">
        <f>SUMIF(DEMAND_Pkm_Tkm!$C$48:$C$71, $I14, DEMAND_Pkm_Tkm!O$48:O$71)</f>
        <v>0</v>
      </c>
      <c r="W14" s="165">
        <f>SUMIF(DEMAND_Pkm_Tkm!$C$48:$C$71, $I14, DEMAND_Pkm_Tkm!P$48:P$71)</f>
        <v>0</v>
      </c>
      <c r="X14" s="165">
        <f>SUMIF(DEMAND_Pkm_Tkm!$C$48:$C$71, $I14, DEMAND_Pkm_Tkm!Q$48:Q$71)</f>
        <v>0</v>
      </c>
      <c r="Y14" s="165">
        <f>SUMIF(DEMAND_Pkm_Tkm!$C$48:$C$71, $I14, DEMAND_Pkm_Tkm!R$48:R$71)</f>
        <v>0</v>
      </c>
      <c r="Z14" s="165">
        <f>SUMIF(DEMAND_Pkm_Tkm!$C$48:$C$71, $I14, DEMAND_Pkm_Tkm!S$48:S$71)</f>
        <v>0</v>
      </c>
      <c r="AA14" s="165">
        <f>SUMIF(DEMAND_Pkm_Tkm!$C$48:$C$71, $I14, DEMAND_Pkm_Tkm!T$48:T$71)</f>
        <v>0</v>
      </c>
      <c r="AB14" s="165">
        <f>SUMIF(DEMAND_Pkm_Tkm!$C$48:$C$71, $I14, DEMAND_Pkm_Tkm!U$48:U$71)</f>
        <v>0</v>
      </c>
      <c r="AD14" s="550">
        <f t="shared" si="3"/>
        <v>0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Q14" s="35"/>
      <c r="AR14" s="35"/>
      <c r="AS14" s="35"/>
    </row>
    <row r="15" spans="1:46" s="33" customFormat="1" x14ac:dyDescent="0.25">
      <c r="A15" s="44"/>
      <c r="B15" s="45"/>
      <c r="C15" s="44"/>
      <c r="D15" s="35"/>
      <c r="E15" s="35"/>
      <c r="F15" s="44"/>
      <c r="G15" s="44"/>
      <c r="H15" s="35"/>
      <c r="I15" s="173" t="s">
        <v>652</v>
      </c>
      <c r="J15" s="173" t="str">
        <f>LOOKUP(I15,TRA_Comm!$C$29:$C$90,TRA_Comm!$D$29:$D$90)</f>
        <v>Road.Freight.Heavy.Short.City.</v>
      </c>
      <c r="K15" s="173"/>
      <c r="L15" s="173" t="s">
        <v>1118</v>
      </c>
      <c r="M15" s="173" t="s">
        <v>633</v>
      </c>
      <c r="N15" s="165">
        <f>SUMIF(DEMAND_Pkm_Tkm!$C$48:$C$71, $I15, DEMAND_Pkm_Tkm!G$48:G$71)</f>
        <v>0</v>
      </c>
      <c r="O15" s="165">
        <f>SUMIF(DEMAND_Pkm_Tkm!$C$48:$C$71, $I15, DEMAND_Pkm_Tkm!H$48:H$71)</f>
        <v>0</v>
      </c>
      <c r="P15" s="165">
        <f>SUMIF(DEMAND_Pkm_Tkm!$C$48:$C$71, $I15, DEMAND_Pkm_Tkm!I$48:I$71)</f>
        <v>0</v>
      </c>
      <c r="Q15" s="165">
        <f>SUMIF(DEMAND_Pkm_Tkm!$C$48:$C$71, $I15, DEMAND_Pkm_Tkm!J$48:J$71)</f>
        <v>0</v>
      </c>
      <c r="R15" s="165">
        <f>SUMIF(DEMAND_Pkm_Tkm!$C$48:$C$71, $I15, DEMAND_Pkm_Tkm!K$48:K$71)</f>
        <v>0</v>
      </c>
      <c r="S15" s="165">
        <f>SUMIF(DEMAND_Pkm_Tkm!$C$48:$C$71, $I15, DEMAND_Pkm_Tkm!L$48:L$71)</f>
        <v>0</v>
      </c>
      <c r="T15" s="165">
        <f>SUMIF(DEMAND_Pkm_Tkm!$C$48:$C$71, $I15, DEMAND_Pkm_Tkm!M$48:M$71)</f>
        <v>0</v>
      </c>
      <c r="U15" s="165">
        <f>SUMIF(DEMAND_Pkm_Tkm!$C$48:$C$71, $I15, DEMAND_Pkm_Tkm!N$48:N$71)</f>
        <v>0</v>
      </c>
      <c r="V15" s="165">
        <f>SUMIF(DEMAND_Pkm_Tkm!$C$48:$C$71, $I15, DEMAND_Pkm_Tkm!O$48:O$71)</f>
        <v>0</v>
      </c>
      <c r="W15" s="165">
        <f>SUMIF(DEMAND_Pkm_Tkm!$C$48:$C$71, $I15, DEMAND_Pkm_Tkm!P$48:P$71)</f>
        <v>0</v>
      </c>
      <c r="X15" s="165">
        <f>SUMIF(DEMAND_Pkm_Tkm!$C$48:$C$71, $I15, DEMAND_Pkm_Tkm!Q$48:Q$71)</f>
        <v>0</v>
      </c>
      <c r="Y15" s="165">
        <f>SUMIF(DEMAND_Pkm_Tkm!$C$48:$C$71, $I15, DEMAND_Pkm_Tkm!R$48:R$71)</f>
        <v>0</v>
      </c>
      <c r="Z15" s="165">
        <f>SUMIF(DEMAND_Pkm_Tkm!$C$48:$C$71, $I15, DEMAND_Pkm_Tkm!S$48:S$71)</f>
        <v>0</v>
      </c>
      <c r="AA15" s="165">
        <f>SUMIF(DEMAND_Pkm_Tkm!$C$48:$C$71, $I15, DEMAND_Pkm_Tkm!T$48:T$71)</f>
        <v>0</v>
      </c>
      <c r="AB15" s="165">
        <f>SUMIF(DEMAND_Pkm_Tkm!$C$48:$C$71, $I15, DEMAND_Pkm_Tkm!U$48:U$71)</f>
        <v>0</v>
      </c>
      <c r="AD15" s="550">
        <f t="shared" si="3"/>
        <v>0</v>
      </c>
      <c r="AF15" s="35"/>
      <c r="AG15" s="35"/>
      <c r="AH15" s="35"/>
      <c r="AI15" s="35"/>
      <c r="AJ15" s="35"/>
      <c r="AK15" s="35"/>
      <c r="AL15" s="35"/>
      <c r="AM15" s="35"/>
      <c r="AN15" s="35"/>
      <c r="AQ15" s="35"/>
      <c r="AR15" s="35"/>
      <c r="AS15" s="35"/>
    </row>
    <row r="16" spans="1:46" s="33" customFormat="1" x14ac:dyDescent="0.25">
      <c r="A16" s="44"/>
      <c r="B16" s="45"/>
      <c r="C16" s="44"/>
      <c r="D16" s="35"/>
      <c r="E16" s="35"/>
      <c r="F16" s="44"/>
      <c r="G16" s="44"/>
      <c r="H16" s="35"/>
      <c r="I16" s="173" t="s">
        <v>634</v>
      </c>
      <c r="J16" s="173" t="str">
        <f>LOOKUP(I16,TRA_Comm!$C$29:$C$90,TRA_Comm!$D$29:$D$90)</f>
        <v>LightElectricVehicle(LEV).Freight.City.</v>
      </c>
      <c r="K16" s="173"/>
      <c r="L16" s="173" t="s">
        <v>1118</v>
      </c>
      <c r="M16" s="173" t="s">
        <v>633</v>
      </c>
      <c r="N16" s="165">
        <f>SUMIF(DEMAND_Pkm_Tkm!$C$48:$C$71, $I16, DEMAND_Pkm_Tkm!G$48:G$71)</f>
        <v>0</v>
      </c>
      <c r="O16" s="165">
        <f>SUMIF(DEMAND_Pkm_Tkm!$C$48:$C$71, $I16, DEMAND_Pkm_Tkm!H$48:H$71)</f>
        <v>0</v>
      </c>
      <c r="P16" s="165">
        <f>SUMIF(DEMAND_Pkm_Tkm!$C$48:$C$71, $I16, DEMAND_Pkm_Tkm!I$48:I$71)</f>
        <v>0</v>
      </c>
      <c r="Q16" s="165">
        <f>SUMIF(DEMAND_Pkm_Tkm!$C$48:$C$71, $I16, DEMAND_Pkm_Tkm!J$48:J$71)</f>
        <v>0</v>
      </c>
      <c r="R16" s="165">
        <f>SUMIF(DEMAND_Pkm_Tkm!$C$48:$C$71, $I16, DEMAND_Pkm_Tkm!K$48:K$71)</f>
        <v>0</v>
      </c>
      <c r="S16" s="165">
        <f>SUMIF(DEMAND_Pkm_Tkm!$C$48:$C$71, $I16, DEMAND_Pkm_Tkm!L$48:L$71)</f>
        <v>0</v>
      </c>
      <c r="T16" s="165">
        <f>SUMIF(DEMAND_Pkm_Tkm!$C$48:$C$71, $I16, DEMAND_Pkm_Tkm!M$48:M$71)</f>
        <v>0</v>
      </c>
      <c r="U16" s="165">
        <f>SUMIF(DEMAND_Pkm_Tkm!$C$48:$C$71, $I16, DEMAND_Pkm_Tkm!N$48:N$71)</f>
        <v>0</v>
      </c>
      <c r="V16" s="165">
        <f>SUMIF(DEMAND_Pkm_Tkm!$C$48:$C$71, $I16, DEMAND_Pkm_Tkm!O$48:O$71)</f>
        <v>0</v>
      </c>
      <c r="W16" s="165">
        <f>SUMIF(DEMAND_Pkm_Tkm!$C$48:$C$71, $I16, DEMAND_Pkm_Tkm!P$48:P$71)</f>
        <v>0</v>
      </c>
      <c r="X16" s="165">
        <f>SUMIF(DEMAND_Pkm_Tkm!$C$48:$C$71, $I16, DEMAND_Pkm_Tkm!Q$48:Q$71)</f>
        <v>0</v>
      </c>
      <c r="Y16" s="165">
        <f>SUMIF(DEMAND_Pkm_Tkm!$C$48:$C$71, $I16, DEMAND_Pkm_Tkm!R$48:R$71)</f>
        <v>0</v>
      </c>
      <c r="Z16" s="165">
        <f>SUMIF(DEMAND_Pkm_Tkm!$C$48:$C$71, $I16, DEMAND_Pkm_Tkm!S$48:S$71)</f>
        <v>0</v>
      </c>
      <c r="AA16" s="165">
        <f>SUMIF(DEMAND_Pkm_Tkm!$C$48:$C$71, $I16, DEMAND_Pkm_Tkm!T$48:T$71)</f>
        <v>0</v>
      </c>
      <c r="AB16" s="165">
        <f>SUMIF(DEMAND_Pkm_Tkm!$C$48:$C$71, $I16, DEMAND_Pkm_Tkm!U$48:U$71)</f>
        <v>0</v>
      </c>
      <c r="AD16" s="550">
        <f t="shared" si="3"/>
        <v>0</v>
      </c>
      <c r="AF16" s="35"/>
      <c r="AG16" s="35"/>
      <c r="AH16" s="35"/>
      <c r="AI16" s="35"/>
      <c r="AJ16" s="35"/>
      <c r="AK16" s="35"/>
      <c r="AL16" s="35"/>
      <c r="AM16" s="35"/>
      <c r="AN16" s="35"/>
      <c r="AQ16" s="35"/>
      <c r="AR16" s="35"/>
      <c r="AS16" s="35"/>
    </row>
    <row r="17" spans="1:45" s="33" customFormat="1" x14ac:dyDescent="0.25">
      <c r="A17" s="44"/>
      <c r="B17" s="45"/>
      <c r="C17" s="44"/>
      <c r="D17" s="35"/>
      <c r="E17" s="35"/>
      <c r="F17" s="44"/>
      <c r="G17" s="44"/>
      <c r="H17" s="35"/>
      <c r="I17" s="173" t="s">
        <v>510</v>
      </c>
      <c r="J17" s="173" t="str">
        <f>LOOKUP(I17,TRA_Comm!$C$29:$C$90,TRA_Comm!$D$29:$D$90)</f>
        <v>BicYcle.Electric.Freight.City.</v>
      </c>
      <c r="K17" s="173"/>
      <c r="L17" s="173" t="s">
        <v>1118</v>
      </c>
      <c r="M17" s="173" t="s">
        <v>633</v>
      </c>
      <c r="N17" s="165">
        <f>SUMIF(DEMAND_Pkm_Tkm!$C$48:$C$71, $I17, DEMAND_Pkm_Tkm!G$48:G$71)</f>
        <v>0</v>
      </c>
      <c r="O17" s="165">
        <f>SUMIF(DEMAND_Pkm_Tkm!$C$48:$C$71, $I17, DEMAND_Pkm_Tkm!H$48:H$71)</f>
        <v>0</v>
      </c>
      <c r="P17" s="165">
        <f>SUMIF(DEMAND_Pkm_Tkm!$C$48:$C$71, $I17, DEMAND_Pkm_Tkm!I$48:I$71)</f>
        <v>0</v>
      </c>
      <c r="Q17" s="165">
        <f>SUMIF(DEMAND_Pkm_Tkm!$C$48:$C$71, $I17, DEMAND_Pkm_Tkm!J$48:J$71)</f>
        <v>0</v>
      </c>
      <c r="R17" s="165">
        <f>SUMIF(DEMAND_Pkm_Tkm!$C$48:$C$71, $I17, DEMAND_Pkm_Tkm!K$48:K$71)</f>
        <v>0</v>
      </c>
      <c r="S17" s="165">
        <f>SUMIF(DEMAND_Pkm_Tkm!$C$48:$C$71, $I17, DEMAND_Pkm_Tkm!L$48:L$71)</f>
        <v>0</v>
      </c>
      <c r="T17" s="165">
        <f>SUMIF(DEMAND_Pkm_Tkm!$C$48:$C$71, $I17, DEMAND_Pkm_Tkm!M$48:M$71)</f>
        <v>0</v>
      </c>
      <c r="U17" s="165">
        <f>SUMIF(DEMAND_Pkm_Tkm!$C$48:$C$71, $I17, DEMAND_Pkm_Tkm!N$48:N$71)</f>
        <v>0</v>
      </c>
      <c r="V17" s="165">
        <f>SUMIF(DEMAND_Pkm_Tkm!$C$48:$C$71, $I17, DEMAND_Pkm_Tkm!O$48:O$71)</f>
        <v>0</v>
      </c>
      <c r="W17" s="165">
        <f>SUMIF(DEMAND_Pkm_Tkm!$C$48:$C$71, $I17, DEMAND_Pkm_Tkm!P$48:P$71)</f>
        <v>0</v>
      </c>
      <c r="X17" s="165">
        <f>SUMIF(DEMAND_Pkm_Tkm!$C$48:$C$71, $I17, DEMAND_Pkm_Tkm!Q$48:Q$71)</f>
        <v>0</v>
      </c>
      <c r="Y17" s="165">
        <f>SUMIF(DEMAND_Pkm_Tkm!$C$48:$C$71, $I17, DEMAND_Pkm_Tkm!R$48:R$71)</f>
        <v>0</v>
      </c>
      <c r="Z17" s="165">
        <f>SUMIF(DEMAND_Pkm_Tkm!$C$48:$C$71, $I17, DEMAND_Pkm_Tkm!S$48:S$71)</f>
        <v>0</v>
      </c>
      <c r="AA17" s="165">
        <f>SUMIF(DEMAND_Pkm_Tkm!$C$48:$C$71, $I17, DEMAND_Pkm_Tkm!T$48:T$71)</f>
        <v>0</v>
      </c>
      <c r="AB17" s="165">
        <f>SUMIF(DEMAND_Pkm_Tkm!$C$48:$C$71, $I17, DEMAND_Pkm_Tkm!U$48:U$71)</f>
        <v>0</v>
      </c>
      <c r="AD17" s="550">
        <f t="shared" si="3"/>
        <v>0</v>
      </c>
      <c r="AF17" s="35"/>
      <c r="AG17" s="35"/>
      <c r="AH17" s="35"/>
      <c r="AI17" s="35"/>
      <c r="AJ17" s="35"/>
      <c r="AK17" s="35"/>
      <c r="AL17" s="35"/>
      <c r="AM17" s="35"/>
      <c r="AN17" s="35"/>
      <c r="AQ17" s="35"/>
      <c r="AR17" s="35"/>
      <c r="AS17" s="35"/>
    </row>
    <row r="18" spans="1:45" s="33" customFormat="1" x14ac:dyDescent="0.25">
      <c r="A18" s="44"/>
      <c r="B18" s="45"/>
      <c r="C18" s="44"/>
      <c r="D18" s="35"/>
      <c r="E18" s="35"/>
      <c r="F18" s="44"/>
      <c r="G18" s="44"/>
      <c r="H18" s="35"/>
      <c r="I18" s="173" t="s">
        <v>509</v>
      </c>
      <c r="J18" s="173" t="str">
        <f>LOOKUP(I18,TRA_Comm!$C$29:$C$90,TRA_Comm!$D$29:$D$90)</f>
        <v>BicYcle.Freight.City.</v>
      </c>
      <c r="K18" s="173"/>
      <c r="L18" s="173" t="s">
        <v>1118</v>
      </c>
      <c r="M18" s="173" t="s">
        <v>633</v>
      </c>
      <c r="N18" s="165">
        <f>SUMIF(DEMAND_Pkm_Tkm!$C$48:$C$71, $I18, DEMAND_Pkm_Tkm!G$48:G$71)</f>
        <v>0</v>
      </c>
      <c r="O18" s="165">
        <f>SUMIF(DEMAND_Pkm_Tkm!$C$48:$C$71, $I18, DEMAND_Pkm_Tkm!H$48:H$71)</f>
        <v>0</v>
      </c>
      <c r="P18" s="165">
        <f>SUMIF(DEMAND_Pkm_Tkm!$C$48:$C$71, $I18, DEMAND_Pkm_Tkm!I$48:I$71)</f>
        <v>0</v>
      </c>
      <c r="Q18" s="165">
        <f>SUMIF(DEMAND_Pkm_Tkm!$C$48:$C$71, $I18, DEMAND_Pkm_Tkm!J$48:J$71)</f>
        <v>0</v>
      </c>
      <c r="R18" s="165">
        <f>SUMIF(DEMAND_Pkm_Tkm!$C$48:$C$71, $I18, DEMAND_Pkm_Tkm!K$48:K$71)</f>
        <v>0</v>
      </c>
      <c r="S18" s="165">
        <f>SUMIF(DEMAND_Pkm_Tkm!$C$48:$C$71, $I18, DEMAND_Pkm_Tkm!L$48:L$71)</f>
        <v>0</v>
      </c>
      <c r="T18" s="165">
        <f>SUMIF(DEMAND_Pkm_Tkm!$C$48:$C$71, $I18, DEMAND_Pkm_Tkm!M$48:M$71)</f>
        <v>0</v>
      </c>
      <c r="U18" s="165">
        <f>SUMIF(DEMAND_Pkm_Tkm!$C$48:$C$71, $I18, DEMAND_Pkm_Tkm!N$48:N$71)</f>
        <v>0</v>
      </c>
      <c r="V18" s="165">
        <f>SUMIF(DEMAND_Pkm_Tkm!$C$48:$C$71, $I18, DEMAND_Pkm_Tkm!O$48:O$71)</f>
        <v>0</v>
      </c>
      <c r="W18" s="165">
        <f>SUMIF(DEMAND_Pkm_Tkm!$C$48:$C$71, $I18, DEMAND_Pkm_Tkm!P$48:P$71)</f>
        <v>0</v>
      </c>
      <c r="X18" s="165">
        <f>SUMIF(DEMAND_Pkm_Tkm!$C$48:$C$71, $I18, DEMAND_Pkm_Tkm!Q$48:Q$71)</f>
        <v>0</v>
      </c>
      <c r="Y18" s="165">
        <f>SUMIF(DEMAND_Pkm_Tkm!$C$48:$C$71, $I18, DEMAND_Pkm_Tkm!R$48:R$71)</f>
        <v>0</v>
      </c>
      <c r="Z18" s="165">
        <f>SUMIF(DEMAND_Pkm_Tkm!$C$48:$C$71, $I18, DEMAND_Pkm_Tkm!S$48:S$71)</f>
        <v>0</v>
      </c>
      <c r="AA18" s="165">
        <f>SUMIF(DEMAND_Pkm_Tkm!$C$48:$C$71, $I18, DEMAND_Pkm_Tkm!T$48:T$71)</f>
        <v>0</v>
      </c>
      <c r="AB18" s="165">
        <f>SUMIF(DEMAND_Pkm_Tkm!$C$48:$C$71, $I18, DEMAND_Pkm_Tkm!U$48:U$71)</f>
        <v>0</v>
      </c>
      <c r="AD18" s="550">
        <f t="shared" si="3"/>
        <v>0</v>
      </c>
      <c r="AF18" s="35"/>
      <c r="AG18" s="35"/>
      <c r="AH18" s="35"/>
      <c r="AI18" s="35"/>
      <c r="AJ18" s="35"/>
      <c r="AK18" s="35"/>
      <c r="AL18" s="35"/>
      <c r="AM18" s="35"/>
      <c r="AN18" s="35"/>
      <c r="AQ18" s="35"/>
      <c r="AR18" s="35"/>
      <c r="AS18" s="35"/>
    </row>
    <row r="19" spans="1:45" s="33" customFormat="1" x14ac:dyDescent="0.25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72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E19" s="35"/>
      <c r="AF19" s="35"/>
      <c r="AG19" s="35"/>
      <c r="AH19" s="35"/>
      <c r="AI19" s="35"/>
      <c r="AJ19" s="35"/>
      <c r="AK19" s="35"/>
      <c r="AP19" s="35"/>
      <c r="AQ19" s="35"/>
      <c r="AR19" s="35"/>
      <c r="AS19" s="35"/>
    </row>
    <row r="20" spans="1:45" s="33" customFormat="1" x14ac:dyDescent="0.25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4"/>
      <c r="L20" s="43" t="s">
        <v>461</v>
      </c>
      <c r="M20" s="43" t="s">
        <v>1171</v>
      </c>
      <c r="N20" s="43" t="str">
        <f t="shared" ref="N20:AB20" si="4">N$2</f>
        <v>Z01</v>
      </c>
      <c r="O20" s="43" t="str">
        <f t="shared" si="4"/>
        <v>Z02</v>
      </c>
      <c r="P20" s="43" t="str">
        <f t="shared" si="4"/>
        <v>Z03</v>
      </c>
      <c r="Q20" s="43" t="str">
        <f t="shared" si="4"/>
        <v>Z04</v>
      </c>
      <c r="R20" s="43" t="str">
        <f t="shared" si="4"/>
        <v>Z05</v>
      </c>
      <c r="S20" s="43" t="str">
        <f t="shared" si="4"/>
        <v>Z06</v>
      </c>
      <c r="T20" s="43" t="str">
        <f t="shared" si="4"/>
        <v>Z07</v>
      </c>
      <c r="U20" s="43" t="str">
        <f t="shared" si="4"/>
        <v>Z08</v>
      </c>
      <c r="V20" s="43" t="str">
        <f t="shared" si="4"/>
        <v>Z09</v>
      </c>
      <c r="W20" s="43" t="str">
        <f t="shared" si="4"/>
        <v>Z10</v>
      </c>
      <c r="X20" s="43" t="str">
        <f t="shared" si="4"/>
        <v>Z11</v>
      </c>
      <c r="Y20" s="43" t="str">
        <f t="shared" si="4"/>
        <v>Z12</v>
      </c>
      <c r="Z20" s="43" t="str">
        <f t="shared" si="4"/>
        <v>Z13</v>
      </c>
      <c r="AA20" s="43" t="str">
        <f t="shared" si="4"/>
        <v>Z14</v>
      </c>
      <c r="AB20" s="43" t="str">
        <f t="shared" si="4"/>
        <v>Z15</v>
      </c>
      <c r="AC20" s="44"/>
      <c r="AE20" s="35"/>
      <c r="AF20" s="35"/>
      <c r="AG20" s="35"/>
      <c r="AH20" s="35"/>
      <c r="AI20" s="35"/>
      <c r="AJ20" s="35"/>
      <c r="AK20" s="35"/>
      <c r="AP20" s="35"/>
      <c r="AQ20" s="35"/>
      <c r="AR20" s="35"/>
      <c r="AS20" s="35"/>
    </row>
    <row r="21" spans="1:45" s="33" customFormat="1" x14ac:dyDescent="0.25">
      <c r="A21" s="44"/>
      <c r="B21" s="44"/>
      <c r="C21" s="44"/>
      <c r="D21" s="35"/>
      <c r="E21" s="35"/>
      <c r="F21" s="44"/>
      <c r="G21" s="44"/>
      <c r="H21" s="44"/>
      <c r="I21" s="44"/>
      <c r="J21" s="44"/>
      <c r="K21" s="44"/>
      <c r="L21" s="330"/>
      <c r="M21" s="191" t="s">
        <v>1172</v>
      </c>
      <c r="N21" s="166">
        <f>T_ACTFLO!E31</f>
        <v>0</v>
      </c>
      <c r="O21" s="166">
        <f>T_ACTFLO!F31</f>
        <v>0</v>
      </c>
      <c r="P21" s="166">
        <f>T_ACTFLO!G31</f>
        <v>0</v>
      </c>
      <c r="Q21" s="166">
        <f>T_ACTFLO!H31</f>
        <v>0</v>
      </c>
      <c r="R21" s="166">
        <f>T_ACTFLO!I31</f>
        <v>0</v>
      </c>
      <c r="S21" s="166">
        <f>T_ACTFLO!J31</f>
        <v>0</v>
      </c>
      <c r="T21" s="166">
        <f>T_ACTFLO!K31</f>
        <v>0</v>
      </c>
      <c r="U21" s="166">
        <f>T_ACTFLO!L31</f>
        <v>0</v>
      </c>
      <c r="V21" s="166">
        <f>T_ACTFLO!M31</f>
        <v>0</v>
      </c>
      <c r="W21" s="166">
        <f>T_ACTFLO!N31</f>
        <v>0</v>
      </c>
      <c r="X21" s="166">
        <f>T_ACTFLO!O31</f>
        <v>0</v>
      </c>
      <c r="Y21" s="166">
        <f>T_ACTFLO!P31</f>
        <v>0</v>
      </c>
      <c r="Z21" s="166">
        <f>T_ACTFLO!Q31</f>
        <v>0</v>
      </c>
      <c r="AA21" s="166">
        <f>T_ACTFLO!R31</f>
        <v>0</v>
      </c>
      <c r="AB21" s="166">
        <f>T_ACTFLO!S31</f>
        <v>0</v>
      </c>
      <c r="AC21" s="44"/>
      <c r="AE21" s="35"/>
      <c r="AF21" s="35"/>
      <c r="AG21" s="35"/>
      <c r="AH21" s="35"/>
      <c r="AI21" s="35"/>
      <c r="AJ21" s="35"/>
      <c r="AK21" s="35"/>
      <c r="AP21" s="35"/>
      <c r="AQ21" s="35"/>
      <c r="AR21" s="35"/>
      <c r="AS21" s="35"/>
    </row>
    <row r="22" spans="1:45" s="33" customFormat="1" x14ac:dyDescent="0.25">
      <c r="A22" s="44"/>
      <c r="B22" s="44"/>
      <c r="C22" s="44"/>
      <c r="D22" s="35"/>
      <c r="E22" s="35"/>
      <c r="F22" s="44"/>
      <c r="G22" s="44"/>
      <c r="H22" s="44"/>
      <c r="I22" s="44"/>
      <c r="J22" s="44"/>
      <c r="K22" s="44"/>
      <c r="L22" s="330"/>
      <c r="M22" s="191" t="s">
        <v>1173</v>
      </c>
      <c r="N22" s="166">
        <f>T_ACTFLO!E32</f>
        <v>0</v>
      </c>
      <c r="O22" s="166">
        <f>T_ACTFLO!F32</f>
        <v>0</v>
      </c>
      <c r="P22" s="166">
        <f>T_ACTFLO!G32</f>
        <v>0</v>
      </c>
      <c r="Q22" s="166">
        <f>T_ACTFLO!H32</f>
        <v>0</v>
      </c>
      <c r="R22" s="166">
        <f>T_ACTFLO!I32</f>
        <v>0</v>
      </c>
      <c r="S22" s="166">
        <f>T_ACTFLO!J32</f>
        <v>0</v>
      </c>
      <c r="T22" s="166">
        <f>T_ACTFLO!K32</f>
        <v>0</v>
      </c>
      <c r="U22" s="166">
        <f>T_ACTFLO!L32</f>
        <v>0</v>
      </c>
      <c r="V22" s="166">
        <f>T_ACTFLO!M32</f>
        <v>0</v>
      </c>
      <c r="W22" s="166">
        <f>T_ACTFLO!N32</f>
        <v>0</v>
      </c>
      <c r="X22" s="166">
        <f>T_ACTFLO!O32</f>
        <v>0</v>
      </c>
      <c r="Y22" s="166">
        <f>T_ACTFLO!P32</f>
        <v>0</v>
      </c>
      <c r="Z22" s="166">
        <f>T_ACTFLO!Q32</f>
        <v>0</v>
      </c>
      <c r="AA22" s="166">
        <f>T_ACTFLO!R32</f>
        <v>0</v>
      </c>
      <c r="AB22" s="166">
        <f>T_ACTFLO!S32</f>
        <v>0</v>
      </c>
      <c r="AC22" s="44"/>
      <c r="AE22" s="35"/>
      <c r="AF22" s="35"/>
      <c r="AG22" s="35"/>
      <c r="AH22" s="35"/>
      <c r="AI22" s="35"/>
      <c r="AJ22" s="35"/>
      <c r="AK22" s="35"/>
      <c r="AP22" s="35"/>
      <c r="AQ22" s="35"/>
      <c r="AR22" s="35"/>
      <c r="AS22" s="35"/>
    </row>
    <row r="23" spans="1:45" s="33" customFormat="1" x14ac:dyDescent="0.25">
      <c r="A23" s="44"/>
      <c r="B23" s="44"/>
      <c r="C23" s="44"/>
      <c r="D23" s="35"/>
      <c r="E23" s="35"/>
      <c r="F23" s="44"/>
      <c r="G23" s="44"/>
      <c r="H23" s="35"/>
      <c r="I23" s="35"/>
      <c r="J23" s="35"/>
      <c r="K23" s="35"/>
      <c r="L23" s="35"/>
      <c r="M23" s="191" t="s">
        <v>501</v>
      </c>
      <c r="N23" s="166">
        <f>T_ACTFLO!E34</f>
        <v>0.76</v>
      </c>
      <c r="O23" s="166">
        <f>T_ACTFLO!F34</f>
        <v>0</v>
      </c>
      <c r="P23" s="166">
        <f>T_ACTFLO!G34</f>
        <v>0</v>
      </c>
      <c r="Q23" s="166">
        <f>T_ACTFLO!H34</f>
        <v>0</v>
      </c>
      <c r="R23" s="166">
        <f>T_ACTFLO!I34</f>
        <v>0</v>
      </c>
      <c r="S23" s="166">
        <f>T_ACTFLO!J34</f>
        <v>0</v>
      </c>
      <c r="T23" s="166">
        <f>T_ACTFLO!K34</f>
        <v>0</v>
      </c>
      <c r="U23" s="166">
        <f>T_ACTFLO!L34</f>
        <v>0</v>
      </c>
      <c r="V23" s="166">
        <f>T_ACTFLO!M34</f>
        <v>0</v>
      </c>
      <c r="W23" s="166">
        <f>T_ACTFLO!N34</f>
        <v>0</v>
      </c>
      <c r="X23" s="166">
        <f>T_ACTFLO!O34</f>
        <v>0</v>
      </c>
      <c r="Y23" s="166">
        <f>T_ACTFLO!P34</f>
        <v>0</v>
      </c>
      <c r="Z23" s="166">
        <f>T_ACTFLO!Q34</f>
        <v>0</v>
      </c>
      <c r="AA23" s="166">
        <f>T_ACTFLO!R34</f>
        <v>0</v>
      </c>
      <c r="AB23" s="166">
        <f>T_ACTFLO!S34</f>
        <v>0</v>
      </c>
      <c r="AE23" s="35"/>
      <c r="AF23" s="35"/>
      <c r="AG23" s="35"/>
      <c r="AH23" s="35"/>
      <c r="AI23" s="35"/>
      <c r="AJ23" s="35"/>
      <c r="AK23" s="35"/>
      <c r="AP23" s="35"/>
      <c r="AQ23" s="35"/>
      <c r="AR23" s="35"/>
      <c r="AS23" s="35"/>
    </row>
    <row r="24" spans="1:45" s="33" customFormat="1" x14ac:dyDescent="0.25">
      <c r="A24" s="44"/>
      <c r="B24" s="44"/>
      <c r="C24" s="44"/>
      <c r="D24" s="35"/>
      <c r="E24" s="35"/>
      <c r="F24" s="44"/>
      <c r="G24" s="44"/>
      <c r="H24" s="35"/>
      <c r="I24" s="35"/>
      <c r="J24" s="35"/>
      <c r="K24" s="35"/>
      <c r="L24" s="35"/>
      <c r="M24" s="191" t="s">
        <v>504</v>
      </c>
      <c r="N24" s="166">
        <f>T_ACTFLO!E35</f>
        <v>0</v>
      </c>
      <c r="O24" s="166">
        <f>T_ACTFLO!F35</f>
        <v>0</v>
      </c>
      <c r="P24" s="166">
        <f>T_ACTFLO!G35</f>
        <v>0</v>
      </c>
      <c r="Q24" s="166">
        <f>T_ACTFLO!H35</f>
        <v>0</v>
      </c>
      <c r="R24" s="166">
        <f>T_ACTFLO!I35</f>
        <v>0</v>
      </c>
      <c r="S24" s="166">
        <f>T_ACTFLO!J35</f>
        <v>0</v>
      </c>
      <c r="T24" s="166">
        <f>T_ACTFLO!K35</f>
        <v>0</v>
      </c>
      <c r="U24" s="166">
        <f>T_ACTFLO!L35</f>
        <v>0</v>
      </c>
      <c r="V24" s="166">
        <f>T_ACTFLO!M35</f>
        <v>0</v>
      </c>
      <c r="W24" s="166">
        <f>T_ACTFLO!N35</f>
        <v>0</v>
      </c>
      <c r="X24" s="166">
        <f>T_ACTFLO!O35</f>
        <v>0</v>
      </c>
      <c r="Y24" s="166">
        <f>T_ACTFLO!P35</f>
        <v>0</v>
      </c>
      <c r="Z24" s="166">
        <f>T_ACTFLO!Q35</f>
        <v>0</v>
      </c>
      <c r="AA24" s="166">
        <f>T_ACTFLO!R35</f>
        <v>0</v>
      </c>
      <c r="AB24" s="166">
        <f>T_ACTFLO!S35</f>
        <v>0</v>
      </c>
      <c r="AE24" s="35"/>
      <c r="AF24" s="35"/>
      <c r="AG24" s="35"/>
      <c r="AH24" s="35"/>
      <c r="AI24" s="35"/>
      <c r="AJ24" s="35"/>
      <c r="AK24" s="35"/>
      <c r="AP24" s="35"/>
      <c r="AQ24" s="35"/>
      <c r="AR24" s="35"/>
      <c r="AS24" s="35"/>
    </row>
    <row r="25" spans="1:45" s="33" customFormat="1" x14ac:dyDescent="0.25">
      <c r="A25" s="44"/>
      <c r="B25" s="44"/>
      <c r="C25" s="44"/>
      <c r="D25" s="35"/>
      <c r="E25" s="35"/>
      <c r="F25" s="44"/>
      <c r="G25" s="44"/>
      <c r="H25" s="35"/>
      <c r="I25" s="35"/>
      <c r="J25" s="35"/>
      <c r="K25" s="35"/>
      <c r="L25" s="35"/>
      <c r="M25" s="191" t="s">
        <v>506</v>
      </c>
      <c r="N25" s="166">
        <f>T_ACTFLO!E36</f>
        <v>0</v>
      </c>
      <c r="O25" s="166">
        <f>T_ACTFLO!F36</f>
        <v>0</v>
      </c>
      <c r="P25" s="166">
        <f>T_ACTFLO!G36</f>
        <v>0</v>
      </c>
      <c r="Q25" s="166">
        <f>T_ACTFLO!H36</f>
        <v>0</v>
      </c>
      <c r="R25" s="166">
        <f>T_ACTFLO!I36</f>
        <v>0</v>
      </c>
      <c r="S25" s="166">
        <f>T_ACTFLO!J36</f>
        <v>0</v>
      </c>
      <c r="T25" s="166">
        <f>T_ACTFLO!K36</f>
        <v>0</v>
      </c>
      <c r="U25" s="166">
        <f>T_ACTFLO!L36</f>
        <v>0</v>
      </c>
      <c r="V25" s="166">
        <f>T_ACTFLO!M36</f>
        <v>0</v>
      </c>
      <c r="W25" s="166">
        <f>T_ACTFLO!N36</f>
        <v>0</v>
      </c>
      <c r="X25" s="166">
        <f>T_ACTFLO!O36</f>
        <v>0</v>
      </c>
      <c r="Y25" s="166">
        <f>T_ACTFLO!P36</f>
        <v>0</v>
      </c>
      <c r="Z25" s="166">
        <f>T_ACTFLO!Q36</f>
        <v>0</v>
      </c>
      <c r="AA25" s="166">
        <f>T_ACTFLO!R36</f>
        <v>0</v>
      </c>
      <c r="AB25" s="166">
        <f>T_ACTFLO!S36</f>
        <v>0</v>
      </c>
      <c r="AE25" s="35"/>
      <c r="AF25" s="35"/>
      <c r="AG25" s="35"/>
      <c r="AH25" s="35"/>
      <c r="AI25" s="35"/>
      <c r="AJ25" s="35"/>
      <c r="AK25" s="35"/>
      <c r="AP25" s="35"/>
      <c r="AQ25" s="35"/>
      <c r="AR25" s="35"/>
      <c r="AS25" s="35"/>
    </row>
    <row r="26" spans="1:45" s="33" customFormat="1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72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D26" s="48"/>
      <c r="AE26" s="35"/>
      <c r="AF26" s="35"/>
      <c r="AG26" s="35"/>
      <c r="AH26" s="35"/>
      <c r="AI26" s="35"/>
      <c r="AJ26" s="35"/>
      <c r="AK26" s="35"/>
    </row>
    <row r="27" spans="1:45" s="33" customFormat="1" x14ac:dyDescent="0.25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STAT_TRA_Shares!B7</f>
        <v>% of biogas in CNG</v>
      </c>
      <c r="N27" s="151">
        <f>STAT_TRA_Shares!C7</f>
        <v>0.9</v>
      </c>
      <c r="O27" s="151">
        <f t="shared" ref="O27:AB33" si="5">$N27</f>
        <v>0.9</v>
      </c>
      <c r="P27" s="151">
        <f t="shared" si="5"/>
        <v>0.9</v>
      </c>
      <c r="Q27" s="151">
        <f t="shared" si="5"/>
        <v>0.9</v>
      </c>
      <c r="R27" s="151">
        <f t="shared" si="5"/>
        <v>0.9</v>
      </c>
      <c r="S27" s="151">
        <f t="shared" si="5"/>
        <v>0.9</v>
      </c>
      <c r="T27" s="151">
        <f t="shared" si="5"/>
        <v>0.9</v>
      </c>
      <c r="U27" s="151">
        <f t="shared" si="5"/>
        <v>0.9</v>
      </c>
      <c r="V27" s="151">
        <f t="shared" si="5"/>
        <v>0.9</v>
      </c>
      <c r="W27" s="151">
        <f t="shared" si="5"/>
        <v>0.9</v>
      </c>
      <c r="X27" s="151">
        <f t="shared" si="5"/>
        <v>0.9</v>
      </c>
      <c r="Y27" s="151">
        <f t="shared" si="5"/>
        <v>0.9</v>
      </c>
      <c r="Z27" s="151">
        <f t="shared" si="5"/>
        <v>0.9</v>
      </c>
      <c r="AA27" s="151">
        <f t="shared" si="5"/>
        <v>0.9</v>
      </c>
      <c r="AB27" s="151">
        <f t="shared" si="5"/>
        <v>0.9</v>
      </c>
      <c r="AE27" s="35"/>
      <c r="AF27" s="35"/>
      <c r="AG27" s="35"/>
      <c r="AH27" s="35"/>
      <c r="AI27" s="35"/>
    </row>
    <row r="28" spans="1:45" s="33" customFormat="1" x14ac:dyDescent="0.25">
      <c r="A28" s="44"/>
      <c r="B28" s="44"/>
      <c r="C28" s="44"/>
      <c r="D28" s="44"/>
      <c r="E28" s="44"/>
      <c r="F28" s="44"/>
      <c r="G28" s="44"/>
      <c r="J28" s="172"/>
      <c r="K28" s="172"/>
      <c r="L28" s="172"/>
      <c r="M28" s="175" t="str">
        <f>STAT_TRA_Shares!B9</f>
        <v>% of HVO in diesel</v>
      </c>
      <c r="N28" s="152">
        <f>STAT_TRA_Shares!C9</f>
        <v>0.15</v>
      </c>
      <c r="O28" s="152">
        <f t="shared" si="5"/>
        <v>0.15</v>
      </c>
      <c r="P28" s="152">
        <f t="shared" si="5"/>
        <v>0.15</v>
      </c>
      <c r="Q28" s="152">
        <f t="shared" si="5"/>
        <v>0.15</v>
      </c>
      <c r="R28" s="152">
        <f t="shared" si="5"/>
        <v>0.15</v>
      </c>
      <c r="S28" s="152">
        <f t="shared" si="5"/>
        <v>0.15</v>
      </c>
      <c r="T28" s="152">
        <f t="shared" si="5"/>
        <v>0.15</v>
      </c>
      <c r="U28" s="152">
        <f t="shared" si="5"/>
        <v>0.15</v>
      </c>
      <c r="V28" s="152">
        <f t="shared" si="5"/>
        <v>0.15</v>
      </c>
      <c r="W28" s="152">
        <f t="shared" si="5"/>
        <v>0.15</v>
      </c>
      <c r="X28" s="152">
        <f t="shared" si="5"/>
        <v>0.15</v>
      </c>
      <c r="Y28" s="152">
        <f t="shared" si="5"/>
        <v>0.15</v>
      </c>
      <c r="Z28" s="152">
        <f t="shared" si="5"/>
        <v>0.15</v>
      </c>
      <c r="AA28" s="152">
        <f t="shared" si="5"/>
        <v>0.15</v>
      </c>
      <c r="AB28" s="152">
        <f t="shared" si="5"/>
        <v>0.15</v>
      </c>
      <c r="AD28" s="76"/>
      <c r="AE28" s="35"/>
      <c r="AF28" s="35"/>
      <c r="AG28" s="35"/>
      <c r="AH28" s="35"/>
      <c r="AI28" s="35"/>
    </row>
    <row r="29" spans="1:45" s="33" customFormat="1" x14ac:dyDescent="0.25">
      <c r="A29" s="44"/>
      <c r="B29" s="44"/>
      <c r="C29" s="44"/>
      <c r="D29" s="44"/>
      <c r="E29" s="44"/>
      <c r="F29" s="44"/>
      <c r="G29" s="44"/>
      <c r="J29" s="172"/>
      <c r="K29" s="172"/>
      <c r="L29" s="172"/>
      <c r="M29" s="175" t="str">
        <f>STAT_TRA_Shares!B10</f>
        <v>% of low-blend bioethanol in gasoline</v>
      </c>
      <c r="N29" s="151">
        <f>STAT_TRA_Shares!C10</f>
        <v>0.03</v>
      </c>
      <c r="O29" s="151">
        <f t="shared" si="5"/>
        <v>0.03</v>
      </c>
      <c r="P29" s="151">
        <f t="shared" si="5"/>
        <v>0.03</v>
      </c>
      <c r="Q29" s="151">
        <f t="shared" si="5"/>
        <v>0.03</v>
      </c>
      <c r="R29" s="151">
        <f t="shared" si="5"/>
        <v>0.03</v>
      </c>
      <c r="S29" s="151">
        <f t="shared" si="5"/>
        <v>0.03</v>
      </c>
      <c r="T29" s="151">
        <f t="shared" si="5"/>
        <v>0.03</v>
      </c>
      <c r="U29" s="151">
        <f t="shared" si="5"/>
        <v>0.03</v>
      </c>
      <c r="V29" s="151">
        <f t="shared" si="5"/>
        <v>0.03</v>
      </c>
      <c r="W29" s="151">
        <f t="shared" si="5"/>
        <v>0.03</v>
      </c>
      <c r="X29" s="151">
        <f t="shared" si="5"/>
        <v>0.03</v>
      </c>
      <c r="Y29" s="151">
        <f t="shared" si="5"/>
        <v>0.03</v>
      </c>
      <c r="Z29" s="151">
        <f t="shared" si="5"/>
        <v>0.03</v>
      </c>
      <c r="AA29" s="151">
        <f t="shared" si="5"/>
        <v>0.03</v>
      </c>
      <c r="AB29" s="151">
        <f t="shared" si="5"/>
        <v>0.03</v>
      </c>
      <c r="AD29" s="35"/>
      <c r="AE29" s="35"/>
      <c r="AF29" s="35"/>
      <c r="AG29" s="35"/>
      <c r="AH29" s="35"/>
      <c r="AI29" s="35"/>
    </row>
    <row r="30" spans="1:45" s="33" customFormat="1" x14ac:dyDescent="0.25">
      <c r="A30" s="44"/>
      <c r="B30" s="44"/>
      <c r="C30" s="44"/>
      <c r="D30" s="44"/>
      <c r="E30" s="44"/>
      <c r="F30" s="44"/>
      <c r="G30" s="44"/>
      <c r="J30" s="172"/>
      <c r="K30" s="172"/>
      <c r="L30" s="172"/>
      <c r="M30" s="175" t="str">
        <f>STAT_TRA_Shares!B12</f>
        <v>% of bioethanol in E85 (TRAETH)</v>
      </c>
      <c r="N30" s="151">
        <f>STAT_TRA_Shares!C12</f>
        <v>0.85</v>
      </c>
      <c r="O30" s="151">
        <f t="shared" si="5"/>
        <v>0.85</v>
      </c>
      <c r="P30" s="151">
        <f t="shared" si="5"/>
        <v>0.85</v>
      </c>
      <c r="Q30" s="151">
        <f t="shared" si="5"/>
        <v>0.85</v>
      </c>
      <c r="R30" s="151">
        <f t="shared" si="5"/>
        <v>0.85</v>
      </c>
      <c r="S30" s="151">
        <f t="shared" si="5"/>
        <v>0.85</v>
      </c>
      <c r="T30" s="151">
        <f t="shared" si="5"/>
        <v>0.85</v>
      </c>
      <c r="U30" s="151">
        <f t="shared" si="5"/>
        <v>0.85</v>
      </c>
      <c r="V30" s="151">
        <f t="shared" si="5"/>
        <v>0.85</v>
      </c>
      <c r="W30" s="151">
        <f t="shared" si="5"/>
        <v>0.85</v>
      </c>
      <c r="X30" s="151">
        <f t="shared" si="5"/>
        <v>0.85</v>
      </c>
      <c r="Y30" s="151">
        <f t="shared" si="5"/>
        <v>0.85</v>
      </c>
      <c r="Z30" s="151">
        <f t="shared" si="5"/>
        <v>0.85</v>
      </c>
      <c r="AA30" s="151">
        <f t="shared" si="5"/>
        <v>0.85</v>
      </c>
      <c r="AB30" s="151">
        <f t="shared" si="5"/>
        <v>0.85</v>
      </c>
      <c r="AD30" s="76"/>
    </row>
    <row r="31" spans="1:45" s="33" customFormat="1" x14ac:dyDescent="0.25">
      <c r="A31" s="44"/>
      <c r="D31" s="44"/>
      <c r="E31" s="44"/>
      <c r="F31" s="44"/>
      <c r="G31" s="44"/>
      <c r="J31" s="172"/>
      <c r="K31" s="172"/>
      <c r="L31" s="172"/>
      <c r="M31" s="175" t="str">
        <f>STAT_TRA_Shares!B18</f>
        <v>% of CNG fuelled in flexfuel GAS vehicles (rest is GSL)</v>
      </c>
      <c r="N31" s="151">
        <f>STAT_TRA_Shares!C18</f>
        <v>0.8</v>
      </c>
      <c r="O31" s="151">
        <f t="shared" si="5"/>
        <v>0.8</v>
      </c>
      <c r="P31" s="151">
        <f t="shared" si="5"/>
        <v>0.8</v>
      </c>
      <c r="Q31" s="151">
        <f t="shared" si="5"/>
        <v>0.8</v>
      </c>
      <c r="R31" s="151">
        <f t="shared" si="5"/>
        <v>0.8</v>
      </c>
      <c r="S31" s="151">
        <f t="shared" si="5"/>
        <v>0.8</v>
      </c>
      <c r="T31" s="151">
        <f t="shared" si="5"/>
        <v>0.8</v>
      </c>
      <c r="U31" s="151">
        <f t="shared" si="5"/>
        <v>0.8</v>
      </c>
      <c r="V31" s="151">
        <f t="shared" si="5"/>
        <v>0.8</v>
      </c>
      <c r="W31" s="151">
        <f t="shared" si="5"/>
        <v>0.8</v>
      </c>
      <c r="X31" s="151">
        <f t="shared" si="5"/>
        <v>0.8</v>
      </c>
      <c r="Y31" s="151">
        <f t="shared" si="5"/>
        <v>0.8</v>
      </c>
      <c r="Z31" s="151">
        <f t="shared" si="5"/>
        <v>0.8</v>
      </c>
      <c r="AA31" s="151">
        <f t="shared" si="5"/>
        <v>0.8</v>
      </c>
      <c r="AB31" s="151">
        <f t="shared" si="5"/>
        <v>0.8</v>
      </c>
    </row>
    <row r="32" spans="1:45" s="33" customFormat="1" x14ac:dyDescent="0.25">
      <c r="A32" s="44"/>
      <c r="D32" s="44"/>
      <c r="E32" s="44"/>
      <c r="F32" s="44"/>
      <c r="G32" s="44"/>
      <c r="J32" s="172"/>
      <c r="K32" s="172"/>
      <c r="L32" s="172"/>
      <c r="M32" s="175" t="str">
        <f>STAT_TRA_Shares!B19</f>
        <v>% of ethanol fuelled in E85 flexfuel vehicles (rest is GSL)</v>
      </c>
      <c r="N32" s="151">
        <f>STAT_TRA_Shares!C19</f>
        <v>0.75</v>
      </c>
      <c r="O32" s="151">
        <f t="shared" si="5"/>
        <v>0.75</v>
      </c>
      <c r="P32" s="151">
        <f t="shared" si="5"/>
        <v>0.75</v>
      </c>
      <c r="Q32" s="151">
        <f t="shared" si="5"/>
        <v>0.75</v>
      </c>
      <c r="R32" s="151">
        <f t="shared" si="5"/>
        <v>0.75</v>
      </c>
      <c r="S32" s="151">
        <f t="shared" si="5"/>
        <v>0.75</v>
      </c>
      <c r="T32" s="151">
        <f t="shared" si="5"/>
        <v>0.75</v>
      </c>
      <c r="U32" s="151">
        <f t="shared" si="5"/>
        <v>0.75</v>
      </c>
      <c r="V32" s="151">
        <f t="shared" si="5"/>
        <v>0.75</v>
      </c>
      <c r="W32" s="151">
        <f t="shared" si="5"/>
        <v>0.75</v>
      </c>
      <c r="X32" s="151">
        <f t="shared" si="5"/>
        <v>0.75</v>
      </c>
      <c r="Y32" s="151">
        <f t="shared" si="5"/>
        <v>0.75</v>
      </c>
      <c r="Z32" s="151">
        <f t="shared" si="5"/>
        <v>0.75</v>
      </c>
      <c r="AA32" s="151">
        <f t="shared" si="5"/>
        <v>0.75</v>
      </c>
      <c r="AB32" s="151">
        <f t="shared" si="5"/>
        <v>0.75</v>
      </c>
      <c r="AF32" s="77"/>
      <c r="AG32" s="77"/>
      <c r="AH32" s="77"/>
      <c r="AI32" s="77"/>
      <c r="AJ32" s="77"/>
      <c r="AK32" s="77"/>
      <c r="AL32" s="77"/>
    </row>
    <row r="33" spans="1:46" s="33" customFormat="1" x14ac:dyDescent="0.25">
      <c r="A33" s="44"/>
      <c r="D33" s="44"/>
      <c r="E33" s="44"/>
      <c r="F33" s="44"/>
      <c r="G33" s="44"/>
      <c r="J33" s="172"/>
      <c r="K33" s="172"/>
      <c r="L33" s="172"/>
      <c r="M33" s="175" t="str">
        <f>STAT_TRA_Shares!B20</f>
        <v>% of LPG fuelled in flexfuel LPG vehicles (rest is GSL)</v>
      </c>
      <c r="N33" s="151">
        <f>STAT_TRA_Shares!C20</f>
        <v>0.8</v>
      </c>
      <c r="O33" s="151">
        <f t="shared" si="5"/>
        <v>0.8</v>
      </c>
      <c r="P33" s="151">
        <f t="shared" si="5"/>
        <v>0.8</v>
      </c>
      <c r="Q33" s="151">
        <f t="shared" si="5"/>
        <v>0.8</v>
      </c>
      <c r="R33" s="151">
        <f t="shared" si="5"/>
        <v>0.8</v>
      </c>
      <c r="S33" s="151">
        <f t="shared" si="5"/>
        <v>0.8</v>
      </c>
      <c r="T33" s="151">
        <f t="shared" si="5"/>
        <v>0.8</v>
      </c>
      <c r="U33" s="151">
        <f t="shared" si="5"/>
        <v>0.8</v>
      </c>
      <c r="V33" s="151">
        <f t="shared" si="5"/>
        <v>0.8</v>
      </c>
      <c r="W33" s="151">
        <f t="shared" si="5"/>
        <v>0.8</v>
      </c>
      <c r="X33" s="151">
        <f t="shared" si="5"/>
        <v>0.8</v>
      </c>
      <c r="Y33" s="151">
        <f t="shared" si="5"/>
        <v>0.8</v>
      </c>
      <c r="Z33" s="151">
        <f t="shared" si="5"/>
        <v>0.8</v>
      </c>
      <c r="AA33" s="151">
        <f t="shared" si="5"/>
        <v>0.8</v>
      </c>
      <c r="AB33" s="151">
        <f t="shared" si="5"/>
        <v>0.8</v>
      </c>
      <c r="AF33" s="77"/>
      <c r="AG33" s="77"/>
      <c r="AH33" s="77"/>
      <c r="AI33" s="77"/>
      <c r="AJ33" s="77"/>
      <c r="AK33" s="77"/>
      <c r="AL33" s="77"/>
    </row>
    <row r="34" spans="1:46" s="33" customFormat="1" x14ac:dyDescent="0.25">
      <c r="A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</row>
    <row r="35" spans="1:46" s="33" customFormat="1" x14ac:dyDescent="0.25">
      <c r="A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</row>
    <row r="36" spans="1:46" s="33" customFormat="1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73" t="s">
        <v>1152</v>
      </c>
      <c r="N36" s="482">
        <v>0</v>
      </c>
      <c r="O36" s="482">
        <f>N36</f>
        <v>0</v>
      </c>
      <c r="P36" s="482">
        <f>O36</f>
        <v>0</v>
      </c>
      <c r="Q36" s="482">
        <f t="shared" ref="Q36:AB37" si="6">P36</f>
        <v>0</v>
      </c>
      <c r="R36" s="482">
        <f t="shared" si="6"/>
        <v>0</v>
      </c>
      <c r="S36" s="482">
        <f t="shared" si="6"/>
        <v>0</v>
      </c>
      <c r="T36" s="482">
        <f t="shared" si="6"/>
        <v>0</v>
      </c>
      <c r="U36" s="482">
        <f t="shared" si="6"/>
        <v>0</v>
      </c>
      <c r="V36" s="482">
        <f t="shared" si="6"/>
        <v>0</v>
      </c>
      <c r="W36" s="482">
        <f t="shared" si="6"/>
        <v>0</v>
      </c>
      <c r="X36" s="482">
        <f t="shared" si="6"/>
        <v>0</v>
      </c>
      <c r="Y36" s="482">
        <f t="shared" si="6"/>
        <v>0</v>
      </c>
      <c r="Z36" s="482">
        <f t="shared" si="6"/>
        <v>0</v>
      </c>
      <c r="AA36" s="482">
        <f t="shared" si="6"/>
        <v>0</v>
      </c>
      <c r="AB36" s="482">
        <f t="shared" si="6"/>
        <v>0</v>
      </c>
      <c r="AC36" s="44"/>
      <c r="AD36" s="44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</row>
    <row r="37" spans="1:46" x14ac:dyDescent="0.25">
      <c r="B37" s="26" t="s">
        <v>1221</v>
      </c>
      <c r="C37" s="26"/>
      <c r="D37" s="26"/>
      <c r="I37" s="36"/>
      <c r="M37" s="473" t="s">
        <v>1154</v>
      </c>
      <c r="N37" s="482">
        <v>0</v>
      </c>
      <c r="O37" s="482">
        <f>N37</f>
        <v>0</v>
      </c>
      <c r="P37" s="482">
        <f t="shared" ref="P37" si="7">O37</f>
        <v>0</v>
      </c>
      <c r="Q37" s="482">
        <f t="shared" si="6"/>
        <v>0</v>
      </c>
      <c r="R37" s="482">
        <f t="shared" si="6"/>
        <v>0</v>
      </c>
      <c r="S37" s="482">
        <f t="shared" si="6"/>
        <v>0</v>
      </c>
      <c r="T37" s="482">
        <f t="shared" si="6"/>
        <v>0</v>
      </c>
      <c r="U37" s="482">
        <f t="shared" si="6"/>
        <v>0</v>
      </c>
      <c r="V37" s="482">
        <f t="shared" si="6"/>
        <v>0</v>
      </c>
      <c r="W37" s="482">
        <f t="shared" si="6"/>
        <v>0</v>
      </c>
      <c r="X37" s="482">
        <f t="shared" si="6"/>
        <v>0</v>
      </c>
      <c r="Y37" s="482">
        <f t="shared" si="6"/>
        <v>0</v>
      </c>
      <c r="Z37" s="482">
        <f t="shared" si="6"/>
        <v>0</v>
      </c>
      <c r="AA37" s="482">
        <f t="shared" si="6"/>
        <v>0</v>
      </c>
      <c r="AB37" s="482">
        <f t="shared" si="6"/>
        <v>0</v>
      </c>
      <c r="AE37" s="49"/>
    </row>
    <row r="38" spans="1:46" x14ac:dyDescent="0.25">
      <c r="I38" s="36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  <c r="X38" s="473"/>
      <c r="Y38" s="473"/>
      <c r="Z38" s="473"/>
      <c r="AA38" s="473"/>
      <c r="AB38" s="473"/>
      <c r="AE38" s="49"/>
    </row>
    <row r="39" spans="1:46" s="22" customFormat="1" x14ac:dyDescent="0.25">
      <c r="A39" s="35"/>
      <c r="B39" s="35"/>
      <c r="C39" s="50"/>
      <c r="D39" s="50"/>
      <c r="E39" s="35"/>
      <c r="F39" s="35"/>
      <c r="G39" s="35"/>
      <c r="H39" s="41"/>
      <c r="I39" s="51"/>
      <c r="J39" s="41"/>
      <c r="K39" s="41"/>
      <c r="L39" s="40" t="str">
        <f>IF(SUM(N16:AB18)&gt;0,"~FI_T","Not in use")</f>
        <v>Not in use</v>
      </c>
      <c r="M39" s="40"/>
      <c r="N39" s="35"/>
      <c r="O39" s="35"/>
      <c r="P39" s="35"/>
      <c r="Q39" s="35"/>
      <c r="R39" s="41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41"/>
      <c r="AD39" s="49" t="str">
        <f>CONCATENATE("TEST: ",B37)</f>
        <v>TEST: Base-year: Light Electric Vehicles (LEV) - City's OWN organisation</v>
      </c>
    </row>
    <row r="40" spans="1:46" s="22" customFormat="1" x14ac:dyDescent="0.25">
      <c r="A40" s="35"/>
      <c r="B40" s="52" t="s">
        <v>1053</v>
      </c>
      <c r="C40" s="26" t="s">
        <v>104</v>
      </c>
      <c r="D40" s="26" t="s">
        <v>1054</v>
      </c>
      <c r="E40" s="26" t="s">
        <v>673</v>
      </c>
      <c r="F40" s="26" t="s">
        <v>1155</v>
      </c>
      <c r="G40" s="26" t="s">
        <v>674</v>
      </c>
      <c r="H40" s="26" t="s">
        <v>1055</v>
      </c>
      <c r="I40" s="53" t="s">
        <v>1056</v>
      </c>
      <c r="J40" s="26" t="s">
        <v>982</v>
      </c>
      <c r="K40" s="42" t="s">
        <v>1123</v>
      </c>
      <c r="L40" s="26" t="s">
        <v>1057</v>
      </c>
      <c r="M40" s="26" t="s">
        <v>1058</v>
      </c>
      <c r="N40" s="26" t="str">
        <f t="shared" ref="N40:AB40" si="8">N$2</f>
        <v>Z01</v>
      </c>
      <c r="O40" s="26" t="str">
        <f t="shared" si="8"/>
        <v>Z02</v>
      </c>
      <c r="P40" s="26" t="str">
        <f t="shared" si="8"/>
        <v>Z03</v>
      </c>
      <c r="Q40" s="26" t="str">
        <f t="shared" si="8"/>
        <v>Z04</v>
      </c>
      <c r="R40" s="26" t="str">
        <f t="shared" si="8"/>
        <v>Z05</v>
      </c>
      <c r="S40" s="26" t="str">
        <f t="shared" si="8"/>
        <v>Z06</v>
      </c>
      <c r="T40" s="26" t="str">
        <f t="shared" si="8"/>
        <v>Z07</v>
      </c>
      <c r="U40" s="26" t="str">
        <f t="shared" si="8"/>
        <v>Z08</v>
      </c>
      <c r="V40" s="26" t="str">
        <f t="shared" si="8"/>
        <v>Z09</v>
      </c>
      <c r="W40" s="26" t="str">
        <f t="shared" si="8"/>
        <v>Z10</v>
      </c>
      <c r="X40" s="26" t="str">
        <f t="shared" si="8"/>
        <v>Z11</v>
      </c>
      <c r="Y40" s="26" t="str">
        <f t="shared" si="8"/>
        <v>Z12</v>
      </c>
      <c r="Z40" s="26" t="str">
        <f t="shared" si="8"/>
        <v>Z13</v>
      </c>
      <c r="AA40" s="26" t="str">
        <f t="shared" si="8"/>
        <v>Z14</v>
      </c>
      <c r="AB40" s="26" t="str">
        <f t="shared" si="8"/>
        <v>Z15</v>
      </c>
      <c r="AC40" s="48"/>
      <c r="AD40" s="43"/>
      <c r="AE40" s="43" t="s">
        <v>421</v>
      </c>
      <c r="AF40" s="43" t="str">
        <f t="shared" ref="AF40:AT40" si="9">N2</f>
        <v>Z01</v>
      </c>
      <c r="AG40" s="43" t="str">
        <f t="shared" si="9"/>
        <v>Z02</v>
      </c>
      <c r="AH40" s="43" t="str">
        <f t="shared" si="9"/>
        <v>Z03</v>
      </c>
      <c r="AI40" s="43" t="str">
        <f t="shared" si="9"/>
        <v>Z04</v>
      </c>
      <c r="AJ40" s="43" t="str">
        <f t="shared" si="9"/>
        <v>Z05</v>
      </c>
      <c r="AK40" s="43" t="str">
        <f t="shared" si="9"/>
        <v>Z06</v>
      </c>
      <c r="AL40" s="43" t="str">
        <f t="shared" si="9"/>
        <v>Z07</v>
      </c>
      <c r="AM40" s="43" t="str">
        <f t="shared" si="9"/>
        <v>Z08</v>
      </c>
      <c r="AN40" s="43" t="str">
        <f t="shared" si="9"/>
        <v>Z09</v>
      </c>
      <c r="AO40" s="43" t="str">
        <f t="shared" si="9"/>
        <v>Z10</v>
      </c>
      <c r="AP40" s="43" t="str">
        <f t="shared" si="9"/>
        <v>Z11</v>
      </c>
      <c r="AQ40" s="43" t="str">
        <f t="shared" si="9"/>
        <v>Z12</v>
      </c>
      <c r="AR40" s="43" t="str">
        <f t="shared" si="9"/>
        <v>Z13</v>
      </c>
      <c r="AS40" s="43" t="str">
        <f t="shared" si="9"/>
        <v>Z14</v>
      </c>
      <c r="AT40" s="43" t="str">
        <f t="shared" si="9"/>
        <v>Z15</v>
      </c>
    </row>
    <row r="41" spans="1:46" s="22" customFormat="1" x14ac:dyDescent="0.25">
      <c r="A41" s="35"/>
      <c r="B41" s="176"/>
      <c r="C41" s="176"/>
      <c r="D41" s="176" t="s">
        <v>1062</v>
      </c>
      <c r="E41" s="176"/>
      <c r="F41" s="176"/>
      <c r="G41" s="176"/>
      <c r="H41" s="176"/>
      <c r="I41" s="177"/>
      <c r="J41" s="176"/>
      <c r="K41" s="176"/>
      <c r="L41" s="176"/>
      <c r="M41" s="202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35"/>
      <c r="AD41" s="398" t="s">
        <v>1124</v>
      </c>
      <c r="AE41" s="625" t="str">
        <f>IF(AE46-AD16&lt;0,"too small",IF(AE46-AD16&gt;0.001,"Too big","ok"))</f>
        <v>ok</v>
      </c>
      <c r="AF41" s="619" t="str">
        <f>IF(AF46-N16&lt;0,"too small",IF(AF46-N16&gt;0.001,"Too big","ok"))</f>
        <v>ok</v>
      </c>
      <c r="AG41" s="619" t="str">
        <f t="shared" ref="AG41:AT41" si="10">IF(AG46-O16&lt;0,"too small",IF(AG46-O16&gt;0.001,"Too big","ok"))</f>
        <v>ok</v>
      </c>
      <c r="AH41" s="619" t="str">
        <f t="shared" si="10"/>
        <v>ok</v>
      </c>
      <c r="AI41" s="619" t="str">
        <f t="shared" si="10"/>
        <v>ok</v>
      </c>
      <c r="AJ41" s="619" t="str">
        <f t="shared" si="10"/>
        <v>ok</v>
      </c>
      <c r="AK41" s="619" t="str">
        <f t="shared" si="10"/>
        <v>ok</v>
      </c>
      <c r="AL41" s="619" t="str">
        <f t="shared" si="10"/>
        <v>ok</v>
      </c>
      <c r="AM41" s="619" t="str">
        <f t="shared" si="10"/>
        <v>ok</v>
      </c>
      <c r="AN41" s="619" t="str">
        <f t="shared" si="10"/>
        <v>ok</v>
      </c>
      <c r="AO41" s="619" t="str">
        <f t="shared" si="10"/>
        <v>ok</v>
      </c>
      <c r="AP41" s="619" t="str">
        <f t="shared" si="10"/>
        <v>ok</v>
      </c>
      <c r="AQ41" s="619" t="str">
        <f t="shared" si="10"/>
        <v>ok</v>
      </c>
      <c r="AR41" s="619" t="str">
        <f t="shared" si="10"/>
        <v>ok</v>
      </c>
      <c r="AS41" s="619" t="str">
        <f t="shared" si="10"/>
        <v>ok</v>
      </c>
      <c r="AT41" s="619" t="str">
        <f t="shared" si="10"/>
        <v>ok</v>
      </c>
    </row>
    <row r="42" spans="1:46" x14ac:dyDescent="0.25">
      <c r="A42" s="22"/>
      <c r="B42" s="178" t="str">
        <f>C42</f>
        <v>TLEFELC900</v>
      </c>
      <c r="C42" s="178" t="s">
        <v>559</v>
      </c>
      <c r="D42" s="179" t="s">
        <v>871</v>
      </c>
      <c r="E42" s="180" t="s">
        <v>683</v>
      </c>
      <c r="F42" s="182"/>
      <c r="G42" s="181"/>
      <c r="H42" s="182"/>
      <c r="I42" s="183"/>
      <c r="J42" s="184"/>
      <c r="K42" s="184"/>
      <c r="L42" s="203" t="s">
        <v>1107</v>
      </c>
      <c r="M42" s="184" t="s">
        <v>1125</v>
      </c>
      <c r="N42" s="567">
        <f>10^-3</f>
        <v>1E-3</v>
      </c>
      <c r="O42" s="366">
        <f t="shared" ref="O42:AB42" si="11">$N42</f>
        <v>1E-3</v>
      </c>
      <c r="P42" s="366">
        <f t="shared" si="11"/>
        <v>1E-3</v>
      </c>
      <c r="Q42" s="366">
        <f t="shared" si="11"/>
        <v>1E-3</v>
      </c>
      <c r="R42" s="366">
        <f t="shared" si="11"/>
        <v>1E-3</v>
      </c>
      <c r="S42" s="366">
        <f t="shared" si="11"/>
        <v>1E-3</v>
      </c>
      <c r="T42" s="366">
        <f t="shared" si="11"/>
        <v>1E-3</v>
      </c>
      <c r="U42" s="366">
        <f t="shared" si="11"/>
        <v>1E-3</v>
      </c>
      <c r="V42" s="366">
        <f t="shared" si="11"/>
        <v>1E-3</v>
      </c>
      <c r="W42" s="366">
        <f t="shared" si="11"/>
        <v>1E-3</v>
      </c>
      <c r="X42" s="366">
        <f t="shared" si="11"/>
        <v>1E-3</v>
      </c>
      <c r="Y42" s="366">
        <f t="shared" si="11"/>
        <v>1E-3</v>
      </c>
      <c r="Z42" s="366">
        <f t="shared" si="11"/>
        <v>1E-3</v>
      </c>
      <c r="AA42" s="366">
        <f t="shared" si="11"/>
        <v>1E-3</v>
      </c>
      <c r="AB42" s="366">
        <f t="shared" si="11"/>
        <v>1E-3</v>
      </c>
      <c r="AD42" s="86" t="str">
        <f>G43</f>
        <v>TLEF-C</v>
      </c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</row>
    <row r="43" spans="1:46" x14ac:dyDescent="0.25">
      <c r="A43" s="22"/>
      <c r="B43" s="178" t="str">
        <f>B42</f>
        <v>TLEFELC900</v>
      </c>
      <c r="C43" s="178"/>
      <c r="D43" s="179"/>
      <c r="E43" s="178"/>
      <c r="F43" s="182"/>
      <c r="G43" s="173" t="s">
        <v>634</v>
      </c>
      <c r="H43" s="182"/>
      <c r="I43" s="183"/>
      <c r="J43" s="184"/>
      <c r="K43" s="184"/>
      <c r="L43" s="184" t="s">
        <v>1126</v>
      </c>
      <c r="M43" s="184" t="s">
        <v>678</v>
      </c>
      <c r="N43" s="630">
        <f>T_CEFF!H226</f>
        <v>3.0303</v>
      </c>
      <c r="O43" s="630">
        <f>T_CEFF!I226</f>
        <v>3.0303</v>
      </c>
      <c r="P43" s="630">
        <f>T_CEFF!J226</f>
        <v>3.0303</v>
      </c>
      <c r="Q43" s="630">
        <f>T_CEFF!K226</f>
        <v>3.0303</v>
      </c>
      <c r="R43" s="630">
        <f>T_CEFF!L226</f>
        <v>3.0303</v>
      </c>
      <c r="S43" s="630">
        <f>T_CEFF!M226</f>
        <v>3.0303</v>
      </c>
      <c r="T43" s="630">
        <f>T_CEFF!N226</f>
        <v>3.0303</v>
      </c>
      <c r="U43" s="630">
        <f>T_CEFF!O226</f>
        <v>3.0303</v>
      </c>
      <c r="V43" s="630">
        <f>T_CEFF!P226</f>
        <v>3.0303</v>
      </c>
      <c r="W43" s="630">
        <f>T_CEFF!Q226</f>
        <v>3.0303</v>
      </c>
      <c r="X43" s="630">
        <f>T_CEFF!R226</f>
        <v>3.0303</v>
      </c>
      <c r="Y43" s="630">
        <f>T_CEFF!S226</f>
        <v>3.0303</v>
      </c>
      <c r="Z43" s="630">
        <f>T_CEFF!T226</f>
        <v>3.0303</v>
      </c>
      <c r="AA43" s="630">
        <f>T_CEFF!U226</f>
        <v>3.0303</v>
      </c>
      <c r="AB43" s="630">
        <f>T_CEFF!V226</f>
        <v>3.0303</v>
      </c>
      <c r="AD43" s="83" t="str">
        <f>IF(COUNTIF($AG$4:$AS$4,AD42)=1,"ok","MISSING")</f>
        <v>ok</v>
      </c>
    </row>
    <row r="44" spans="1:46" x14ac:dyDescent="0.25">
      <c r="A44" s="22"/>
      <c r="B44" s="178" t="str">
        <f>B43</f>
        <v>TLEFELC900</v>
      </c>
      <c r="C44" s="178"/>
      <c r="D44" s="179"/>
      <c r="E44" s="178"/>
      <c r="F44" s="182"/>
      <c r="G44" s="181"/>
      <c r="H44" s="182"/>
      <c r="I44" s="183"/>
      <c r="J44" s="184"/>
      <c r="K44" s="184" t="s">
        <v>749</v>
      </c>
      <c r="L44" s="184" t="s">
        <v>1128</v>
      </c>
      <c r="M44" s="184" t="s">
        <v>1175</v>
      </c>
      <c r="N44" s="629">
        <f>N21</f>
        <v>0</v>
      </c>
      <c r="O44" s="629">
        <f t="shared" ref="O44:AB44" si="12">O21</f>
        <v>0</v>
      </c>
      <c r="P44" s="629">
        <f t="shared" si="12"/>
        <v>0</v>
      </c>
      <c r="Q44" s="629">
        <f t="shared" si="12"/>
        <v>0</v>
      </c>
      <c r="R44" s="629">
        <f t="shared" si="12"/>
        <v>0</v>
      </c>
      <c r="S44" s="629">
        <f t="shared" si="12"/>
        <v>0</v>
      </c>
      <c r="T44" s="629">
        <f t="shared" si="12"/>
        <v>0</v>
      </c>
      <c r="U44" s="629">
        <f t="shared" si="12"/>
        <v>0</v>
      </c>
      <c r="V44" s="629">
        <f t="shared" si="12"/>
        <v>0</v>
      </c>
      <c r="W44" s="629">
        <f t="shared" si="12"/>
        <v>0</v>
      </c>
      <c r="X44" s="629">
        <f t="shared" si="12"/>
        <v>0</v>
      </c>
      <c r="Y44" s="629">
        <f t="shared" si="12"/>
        <v>0</v>
      </c>
      <c r="Z44" s="629">
        <f t="shared" si="12"/>
        <v>0</v>
      </c>
      <c r="AA44" s="629">
        <f t="shared" si="12"/>
        <v>0</v>
      </c>
      <c r="AB44" s="629">
        <f t="shared" si="12"/>
        <v>0</v>
      </c>
    </row>
    <row r="45" spans="1:46" x14ac:dyDescent="0.25">
      <c r="A45" s="22"/>
      <c r="B45" s="178" t="str">
        <f t="shared" ref="B45:B52" si="13">B44</f>
        <v>TLEFELC900</v>
      </c>
      <c r="C45" s="178"/>
      <c r="D45" s="179"/>
      <c r="E45" s="178"/>
      <c r="F45" s="182"/>
      <c r="G45" s="181"/>
      <c r="H45" s="182"/>
      <c r="I45" s="183"/>
      <c r="J45" s="184"/>
      <c r="K45" s="184"/>
      <c r="L45" s="203" t="s">
        <v>1130</v>
      </c>
      <c r="M45" s="184" t="s">
        <v>1131</v>
      </c>
      <c r="N45" s="630">
        <f>T_NCAP_AF!D265*(1+N36)</f>
        <v>0</v>
      </c>
      <c r="O45" s="630">
        <f>T_NCAP_AF!E265*(1+O36)</f>
        <v>0</v>
      </c>
      <c r="P45" s="630">
        <f>T_NCAP_AF!F265*(1+P36)</f>
        <v>0</v>
      </c>
      <c r="Q45" s="630">
        <f>T_NCAP_AF!G265*(1+Q36)</f>
        <v>0</v>
      </c>
      <c r="R45" s="630">
        <f>T_NCAP_AF!H265*(1+R36)</f>
        <v>0</v>
      </c>
      <c r="S45" s="630">
        <f>T_NCAP_AF!I265*(1+S36)</f>
        <v>0</v>
      </c>
      <c r="T45" s="630">
        <f>T_NCAP_AF!J265*(1+T36)</f>
        <v>0</v>
      </c>
      <c r="U45" s="630">
        <f>T_NCAP_AF!K265*(1+U36)</f>
        <v>0</v>
      </c>
      <c r="V45" s="630">
        <f>T_NCAP_AF!L265*(1+V36)</f>
        <v>0</v>
      </c>
      <c r="W45" s="630">
        <f>T_NCAP_AF!M265*(1+W36)</f>
        <v>0</v>
      </c>
      <c r="X45" s="630">
        <f>T_NCAP_AF!N265*(1+X36)</f>
        <v>0</v>
      </c>
      <c r="Y45" s="630">
        <f>T_NCAP_AF!O265*(1+Y36)</f>
        <v>0</v>
      </c>
      <c r="Z45" s="630">
        <f>T_NCAP_AF!P265*(1+Z36)</f>
        <v>0</v>
      </c>
      <c r="AA45" s="630">
        <f>T_NCAP_AF!Q265*(1+AA36)</f>
        <v>0</v>
      </c>
      <c r="AB45" s="630">
        <f>T_NCAP_AF!R265*(1+AB36)</f>
        <v>0</v>
      </c>
    </row>
    <row r="46" spans="1:46" x14ac:dyDescent="0.25">
      <c r="A46" s="22"/>
      <c r="B46" s="178" t="str">
        <f>B45</f>
        <v>TLEFELC900</v>
      </c>
      <c r="C46" s="178"/>
      <c r="D46" s="179"/>
      <c r="E46" s="178"/>
      <c r="F46" s="182"/>
      <c r="G46" s="181"/>
      <c r="H46" s="182"/>
      <c r="I46" s="183">
        <f>$M$3</f>
        <v>2019</v>
      </c>
      <c r="J46" s="184"/>
      <c r="K46" s="184"/>
      <c r="L46" s="203" t="s">
        <v>1065</v>
      </c>
      <c r="M46" s="184" t="s">
        <v>748</v>
      </c>
      <c r="N46" s="694">
        <f>'T_Stock_TOTAL_&amp;_City'!D155*(1+N37)</f>
        <v>0</v>
      </c>
      <c r="O46" s="694">
        <f>'T_Stock_TOTAL_&amp;_City'!E155*(1+O37)</f>
        <v>0</v>
      </c>
      <c r="P46" s="694">
        <f>'T_Stock_TOTAL_&amp;_City'!F155*(1+P37)</f>
        <v>0</v>
      </c>
      <c r="Q46" s="694">
        <f>'T_Stock_TOTAL_&amp;_City'!G155*(1+Q37)</f>
        <v>0</v>
      </c>
      <c r="R46" s="694">
        <f>'T_Stock_TOTAL_&amp;_City'!H155*(1+R37)</f>
        <v>0</v>
      </c>
      <c r="S46" s="694">
        <f>'T_Stock_TOTAL_&amp;_City'!I155*(1+S37)</f>
        <v>0</v>
      </c>
      <c r="T46" s="694">
        <f>'T_Stock_TOTAL_&amp;_City'!J155*(1+T37)</f>
        <v>0</v>
      </c>
      <c r="U46" s="694">
        <f>'T_Stock_TOTAL_&amp;_City'!K155*(1+U37)</f>
        <v>0</v>
      </c>
      <c r="V46" s="694">
        <f>'T_Stock_TOTAL_&amp;_City'!L155*(1+V37)</f>
        <v>0</v>
      </c>
      <c r="W46" s="694">
        <f>'T_Stock_TOTAL_&amp;_City'!M155*(1+W37)</f>
        <v>0</v>
      </c>
      <c r="X46" s="694">
        <f>'T_Stock_TOTAL_&amp;_City'!N155*(1+X37)</f>
        <v>0</v>
      </c>
      <c r="Y46" s="694">
        <f>'T_Stock_TOTAL_&amp;_City'!O155*(1+Y37)</f>
        <v>0</v>
      </c>
      <c r="Z46" s="694">
        <f>'T_Stock_TOTAL_&amp;_City'!P155*(1+Z37)</f>
        <v>0</v>
      </c>
      <c r="AA46" s="694">
        <f>'T_Stock_TOTAL_&amp;_City'!Q155*(1+AA37)</f>
        <v>0</v>
      </c>
      <c r="AB46" s="694">
        <f>'T_Stock_TOTAL_&amp;_City'!R155*(1+AB37)</f>
        <v>0</v>
      </c>
      <c r="AE46" s="80">
        <f>SUM(AF46:AT46)</f>
        <v>0</v>
      </c>
      <c r="AF46" s="81">
        <f>N44*N45*N46/1000</f>
        <v>0</v>
      </c>
      <c r="AG46" s="81">
        <f t="shared" ref="AG46:AT46" si="14">O44*O45*O46/1000</f>
        <v>0</v>
      </c>
      <c r="AH46" s="81">
        <f t="shared" si="14"/>
        <v>0</v>
      </c>
      <c r="AI46" s="81">
        <f t="shared" si="14"/>
        <v>0</v>
      </c>
      <c r="AJ46" s="81">
        <f t="shared" si="14"/>
        <v>0</v>
      </c>
      <c r="AK46" s="81">
        <f t="shared" si="14"/>
        <v>0</v>
      </c>
      <c r="AL46" s="81">
        <f t="shared" si="14"/>
        <v>0</v>
      </c>
      <c r="AM46" s="81">
        <f t="shared" si="14"/>
        <v>0</v>
      </c>
      <c r="AN46" s="81">
        <f t="shared" si="14"/>
        <v>0</v>
      </c>
      <c r="AO46" s="81">
        <f t="shared" si="14"/>
        <v>0</v>
      </c>
      <c r="AP46" s="81">
        <f t="shared" si="14"/>
        <v>0</v>
      </c>
      <c r="AQ46" s="81">
        <f t="shared" si="14"/>
        <v>0</v>
      </c>
      <c r="AR46" s="81">
        <f t="shared" si="14"/>
        <v>0</v>
      </c>
      <c r="AS46" s="81">
        <f t="shared" si="14"/>
        <v>0</v>
      </c>
      <c r="AT46" s="81">
        <f t="shared" si="14"/>
        <v>0</v>
      </c>
    </row>
    <row r="47" spans="1:46" x14ac:dyDescent="0.25">
      <c r="A47" s="22"/>
      <c r="B47" s="178" t="str">
        <f t="shared" si="13"/>
        <v>TLEFELC900</v>
      </c>
      <c r="C47" s="178"/>
      <c r="D47" s="179"/>
      <c r="E47" s="178"/>
      <c r="F47" s="182"/>
      <c r="G47" s="181"/>
      <c r="H47" s="182"/>
      <c r="I47" s="183">
        <f>AF$5</f>
        <v>2016</v>
      </c>
      <c r="J47" s="184"/>
      <c r="K47" s="184"/>
      <c r="L47" s="203" t="s">
        <v>1065</v>
      </c>
      <c r="M47" s="184" t="s">
        <v>748</v>
      </c>
      <c r="N47" s="694">
        <f t="shared" ref="N47:AB47" si="15">N$46*LOOKUP($AD$42,$AG$4:$AS$4,$AG5:$AS5)</f>
        <v>0</v>
      </c>
      <c r="O47" s="694">
        <f t="shared" si="15"/>
        <v>0</v>
      </c>
      <c r="P47" s="694">
        <f t="shared" si="15"/>
        <v>0</v>
      </c>
      <c r="Q47" s="694">
        <f t="shared" si="15"/>
        <v>0</v>
      </c>
      <c r="R47" s="694">
        <f t="shared" si="15"/>
        <v>0</v>
      </c>
      <c r="S47" s="694">
        <f t="shared" si="15"/>
        <v>0</v>
      </c>
      <c r="T47" s="694">
        <f t="shared" si="15"/>
        <v>0</v>
      </c>
      <c r="U47" s="694">
        <f t="shared" si="15"/>
        <v>0</v>
      </c>
      <c r="V47" s="694">
        <f t="shared" si="15"/>
        <v>0</v>
      </c>
      <c r="W47" s="694">
        <f t="shared" si="15"/>
        <v>0</v>
      </c>
      <c r="X47" s="694">
        <f t="shared" si="15"/>
        <v>0</v>
      </c>
      <c r="Y47" s="694">
        <f t="shared" si="15"/>
        <v>0</v>
      </c>
      <c r="Z47" s="694">
        <f t="shared" si="15"/>
        <v>0</v>
      </c>
      <c r="AA47" s="694">
        <f t="shared" si="15"/>
        <v>0</v>
      </c>
      <c r="AB47" s="694">
        <f t="shared" si="15"/>
        <v>0</v>
      </c>
    </row>
    <row r="48" spans="1:46" x14ac:dyDescent="0.25">
      <c r="A48" s="22"/>
      <c r="B48" s="178" t="str">
        <f t="shared" si="13"/>
        <v>TLEFELC900</v>
      </c>
      <c r="C48" s="178"/>
      <c r="D48" s="179"/>
      <c r="E48" s="178"/>
      <c r="F48" s="182"/>
      <c r="G48" s="181"/>
      <c r="H48" s="182"/>
      <c r="I48" s="183">
        <f>AF$6</f>
        <v>2020</v>
      </c>
      <c r="J48" s="184"/>
      <c r="K48" s="184"/>
      <c r="L48" s="203" t="s">
        <v>1065</v>
      </c>
      <c r="M48" s="184" t="s">
        <v>748</v>
      </c>
      <c r="N48" s="694">
        <f t="shared" ref="N48:AB48" si="16">N$46*LOOKUP($AD$42,$AG$4:$AS$4,$AG6:$AS6)</f>
        <v>0</v>
      </c>
      <c r="O48" s="694">
        <f t="shared" si="16"/>
        <v>0</v>
      </c>
      <c r="P48" s="694">
        <f t="shared" si="16"/>
        <v>0</v>
      </c>
      <c r="Q48" s="694">
        <f t="shared" si="16"/>
        <v>0</v>
      </c>
      <c r="R48" s="694">
        <f t="shared" si="16"/>
        <v>0</v>
      </c>
      <c r="S48" s="694">
        <f t="shared" si="16"/>
        <v>0</v>
      </c>
      <c r="T48" s="694">
        <f t="shared" si="16"/>
        <v>0</v>
      </c>
      <c r="U48" s="694">
        <f t="shared" si="16"/>
        <v>0</v>
      </c>
      <c r="V48" s="694">
        <f t="shared" si="16"/>
        <v>0</v>
      </c>
      <c r="W48" s="694">
        <f t="shared" si="16"/>
        <v>0</v>
      </c>
      <c r="X48" s="694">
        <f t="shared" si="16"/>
        <v>0</v>
      </c>
      <c r="Y48" s="694">
        <f t="shared" si="16"/>
        <v>0</v>
      </c>
      <c r="Z48" s="694">
        <f t="shared" si="16"/>
        <v>0</v>
      </c>
      <c r="AA48" s="694">
        <f t="shared" si="16"/>
        <v>0</v>
      </c>
      <c r="AB48" s="694">
        <f t="shared" si="16"/>
        <v>0</v>
      </c>
    </row>
    <row r="49" spans="1:46" x14ac:dyDescent="0.25">
      <c r="A49" s="22"/>
      <c r="B49" s="178" t="str">
        <f t="shared" si="13"/>
        <v>TLEFELC900</v>
      </c>
      <c r="C49" s="178"/>
      <c r="D49" s="179"/>
      <c r="E49" s="178"/>
      <c r="F49" s="182"/>
      <c r="G49" s="181"/>
      <c r="H49" s="182"/>
      <c r="I49" s="183">
        <f>AF$7</f>
        <v>2025</v>
      </c>
      <c r="J49" s="184"/>
      <c r="K49" s="184"/>
      <c r="L49" s="203" t="s">
        <v>1065</v>
      </c>
      <c r="M49" s="184" t="s">
        <v>748</v>
      </c>
      <c r="N49" s="694">
        <f t="shared" ref="N49:AB49" si="17">N$46*LOOKUP($AD$42,$AG$4:$AS$4,$AG7:$AS7)</f>
        <v>0</v>
      </c>
      <c r="O49" s="694">
        <f t="shared" si="17"/>
        <v>0</v>
      </c>
      <c r="P49" s="694">
        <f t="shared" si="17"/>
        <v>0</v>
      </c>
      <c r="Q49" s="694">
        <f t="shared" si="17"/>
        <v>0</v>
      </c>
      <c r="R49" s="694">
        <f t="shared" si="17"/>
        <v>0</v>
      </c>
      <c r="S49" s="694">
        <f t="shared" si="17"/>
        <v>0</v>
      </c>
      <c r="T49" s="694">
        <f t="shared" si="17"/>
        <v>0</v>
      </c>
      <c r="U49" s="694">
        <f t="shared" si="17"/>
        <v>0</v>
      </c>
      <c r="V49" s="694">
        <f t="shared" si="17"/>
        <v>0</v>
      </c>
      <c r="W49" s="694">
        <f t="shared" si="17"/>
        <v>0</v>
      </c>
      <c r="X49" s="694">
        <f t="shared" si="17"/>
        <v>0</v>
      </c>
      <c r="Y49" s="694">
        <f t="shared" si="17"/>
        <v>0</v>
      </c>
      <c r="Z49" s="694">
        <f t="shared" si="17"/>
        <v>0</v>
      </c>
      <c r="AA49" s="694">
        <f t="shared" si="17"/>
        <v>0</v>
      </c>
      <c r="AB49" s="694">
        <f t="shared" si="17"/>
        <v>0</v>
      </c>
    </row>
    <row r="50" spans="1:46" x14ac:dyDescent="0.25">
      <c r="A50" s="22"/>
      <c r="B50" s="178" t="str">
        <f t="shared" si="13"/>
        <v>TLEFELC900</v>
      </c>
      <c r="C50" s="178"/>
      <c r="D50" s="179"/>
      <c r="E50" s="178"/>
      <c r="F50" s="182"/>
      <c r="G50" s="181"/>
      <c r="H50" s="182"/>
      <c r="I50" s="183">
        <f>AF$8</f>
        <v>2030</v>
      </c>
      <c r="J50" s="184"/>
      <c r="K50" s="184"/>
      <c r="L50" s="203" t="s">
        <v>1065</v>
      </c>
      <c r="M50" s="184" t="s">
        <v>748</v>
      </c>
      <c r="N50" s="694">
        <f t="shared" ref="N50:AB50" si="18">N$46*LOOKUP($AD$42,$AG$4:$AS$4,$AG8:$AS8)</f>
        <v>0</v>
      </c>
      <c r="O50" s="694">
        <f t="shared" si="18"/>
        <v>0</v>
      </c>
      <c r="P50" s="694">
        <f t="shared" si="18"/>
        <v>0</v>
      </c>
      <c r="Q50" s="694">
        <f t="shared" si="18"/>
        <v>0</v>
      </c>
      <c r="R50" s="694">
        <f t="shared" si="18"/>
        <v>0</v>
      </c>
      <c r="S50" s="694">
        <f t="shared" si="18"/>
        <v>0</v>
      </c>
      <c r="T50" s="694">
        <f t="shared" si="18"/>
        <v>0</v>
      </c>
      <c r="U50" s="694">
        <f t="shared" si="18"/>
        <v>0</v>
      </c>
      <c r="V50" s="694">
        <f t="shared" si="18"/>
        <v>0</v>
      </c>
      <c r="W50" s="694">
        <f t="shared" si="18"/>
        <v>0</v>
      </c>
      <c r="X50" s="694">
        <f t="shared" si="18"/>
        <v>0</v>
      </c>
      <c r="Y50" s="694">
        <f t="shared" si="18"/>
        <v>0</v>
      </c>
      <c r="Z50" s="694">
        <f t="shared" si="18"/>
        <v>0</v>
      </c>
      <c r="AA50" s="694">
        <f t="shared" si="18"/>
        <v>0</v>
      </c>
      <c r="AB50" s="694">
        <f t="shared" si="18"/>
        <v>0</v>
      </c>
    </row>
    <row r="51" spans="1:46" x14ac:dyDescent="0.25">
      <c r="A51" s="22"/>
      <c r="B51" s="178" t="str">
        <f t="shared" si="13"/>
        <v>TLEFELC900</v>
      </c>
      <c r="C51" s="178"/>
      <c r="D51" s="179"/>
      <c r="E51" s="178"/>
      <c r="F51" s="182"/>
      <c r="G51" s="181"/>
      <c r="H51" s="182"/>
      <c r="I51" s="183">
        <f>AF$9</f>
        <v>2040</v>
      </c>
      <c r="J51" s="184"/>
      <c r="K51" s="184"/>
      <c r="L51" s="203" t="s">
        <v>1065</v>
      </c>
      <c r="M51" s="184" t="s">
        <v>748</v>
      </c>
      <c r="N51" s="694">
        <f t="shared" ref="N51:AB51" si="19">N$46*LOOKUP($AD$42,$AG$4:$AS$4,$AG9:$AS9)</f>
        <v>0</v>
      </c>
      <c r="O51" s="694">
        <f t="shared" si="19"/>
        <v>0</v>
      </c>
      <c r="P51" s="694">
        <f t="shared" si="19"/>
        <v>0</v>
      </c>
      <c r="Q51" s="694">
        <f t="shared" si="19"/>
        <v>0</v>
      </c>
      <c r="R51" s="694">
        <f t="shared" si="19"/>
        <v>0</v>
      </c>
      <c r="S51" s="694">
        <f t="shared" si="19"/>
        <v>0</v>
      </c>
      <c r="T51" s="694">
        <f t="shared" si="19"/>
        <v>0</v>
      </c>
      <c r="U51" s="694">
        <f t="shared" si="19"/>
        <v>0</v>
      </c>
      <c r="V51" s="694">
        <f t="shared" si="19"/>
        <v>0</v>
      </c>
      <c r="W51" s="694">
        <f t="shared" si="19"/>
        <v>0</v>
      </c>
      <c r="X51" s="694">
        <f t="shared" si="19"/>
        <v>0</v>
      </c>
      <c r="Y51" s="694">
        <f t="shared" si="19"/>
        <v>0</v>
      </c>
      <c r="Z51" s="694">
        <f t="shared" si="19"/>
        <v>0</v>
      </c>
      <c r="AA51" s="694">
        <f t="shared" si="19"/>
        <v>0</v>
      </c>
      <c r="AB51" s="694">
        <f t="shared" si="19"/>
        <v>0</v>
      </c>
    </row>
    <row r="52" spans="1:46" x14ac:dyDescent="0.25">
      <c r="A52" s="22"/>
      <c r="B52" s="204" t="str">
        <f t="shared" si="13"/>
        <v>TLEFELC900</v>
      </c>
      <c r="C52" s="204"/>
      <c r="D52" s="205"/>
      <c r="E52" s="204"/>
      <c r="F52" s="206"/>
      <c r="G52" s="207"/>
      <c r="H52" s="206"/>
      <c r="I52" s="208">
        <f>AF$10</f>
        <v>2050</v>
      </c>
      <c r="J52" s="209"/>
      <c r="K52" s="209"/>
      <c r="L52" s="210" t="s">
        <v>1065</v>
      </c>
      <c r="M52" s="209" t="s">
        <v>748</v>
      </c>
      <c r="N52" s="695">
        <f t="shared" ref="N52:AB52" si="20">N$46*LOOKUP($AD$42,$AG$4:$AS$4,$AG10:$AS10)</f>
        <v>0</v>
      </c>
      <c r="O52" s="695">
        <f t="shared" si="20"/>
        <v>0</v>
      </c>
      <c r="P52" s="695">
        <f t="shared" si="20"/>
        <v>0</v>
      </c>
      <c r="Q52" s="695">
        <f t="shared" si="20"/>
        <v>0</v>
      </c>
      <c r="R52" s="695">
        <f t="shared" si="20"/>
        <v>0</v>
      </c>
      <c r="S52" s="695">
        <f t="shared" si="20"/>
        <v>0</v>
      </c>
      <c r="T52" s="695">
        <f t="shared" si="20"/>
        <v>0</v>
      </c>
      <c r="U52" s="695">
        <f t="shared" si="20"/>
        <v>0</v>
      </c>
      <c r="V52" s="695">
        <f t="shared" si="20"/>
        <v>0</v>
      </c>
      <c r="W52" s="695">
        <f t="shared" si="20"/>
        <v>0</v>
      </c>
      <c r="X52" s="695">
        <f t="shared" si="20"/>
        <v>0</v>
      </c>
      <c r="Y52" s="695">
        <f t="shared" si="20"/>
        <v>0</v>
      </c>
      <c r="Z52" s="695">
        <f t="shared" si="20"/>
        <v>0</v>
      </c>
      <c r="AA52" s="695">
        <f t="shared" si="20"/>
        <v>0</v>
      </c>
      <c r="AB52" s="695">
        <f t="shared" si="20"/>
        <v>0</v>
      </c>
      <c r="AD52" s="400"/>
    </row>
    <row r="53" spans="1:46" x14ac:dyDescent="0.25">
      <c r="A53" s="22"/>
      <c r="B53" s="178" t="str">
        <f>C53</f>
        <v>TYNF900</v>
      </c>
      <c r="C53" s="178" t="s">
        <v>167</v>
      </c>
      <c r="D53" s="179" t="s">
        <v>901</v>
      </c>
      <c r="E53" s="407" t="s">
        <v>681</v>
      </c>
      <c r="F53" s="182"/>
      <c r="G53" s="181"/>
      <c r="H53" s="182"/>
      <c r="I53" s="183"/>
      <c r="J53" s="184"/>
      <c r="K53" s="184"/>
      <c r="L53" s="203" t="s">
        <v>1107</v>
      </c>
      <c r="M53" s="184" t="s">
        <v>1125</v>
      </c>
      <c r="N53" s="567">
        <f>10^-3</f>
        <v>1E-3</v>
      </c>
      <c r="O53" s="366">
        <f t="shared" ref="O53:AB53" si="21">$N53</f>
        <v>1E-3</v>
      </c>
      <c r="P53" s="366">
        <f t="shared" si="21"/>
        <v>1E-3</v>
      </c>
      <c r="Q53" s="366">
        <f t="shared" si="21"/>
        <v>1E-3</v>
      </c>
      <c r="R53" s="366">
        <f t="shared" si="21"/>
        <v>1E-3</v>
      </c>
      <c r="S53" s="366">
        <f t="shared" si="21"/>
        <v>1E-3</v>
      </c>
      <c r="T53" s="366">
        <f t="shared" si="21"/>
        <v>1E-3</v>
      </c>
      <c r="U53" s="366">
        <f t="shared" si="21"/>
        <v>1E-3</v>
      </c>
      <c r="V53" s="366">
        <f t="shared" si="21"/>
        <v>1E-3</v>
      </c>
      <c r="W53" s="366">
        <f t="shared" si="21"/>
        <v>1E-3</v>
      </c>
      <c r="X53" s="366">
        <f t="shared" si="21"/>
        <v>1E-3</v>
      </c>
      <c r="Y53" s="366">
        <f t="shared" si="21"/>
        <v>1E-3</v>
      </c>
      <c r="Z53" s="366">
        <f t="shared" si="21"/>
        <v>1E-3</v>
      </c>
      <c r="AA53" s="366">
        <f t="shared" si="21"/>
        <v>1E-3</v>
      </c>
      <c r="AB53" s="366">
        <f t="shared" si="21"/>
        <v>1E-3</v>
      </c>
      <c r="AD53" s="86" t="str">
        <f>G54</f>
        <v>TYNF-C</v>
      </c>
      <c r="AE53" s="625" t="str">
        <f>IF(AE57-AD18&lt;0,"too small",IF(AE57-AD18&gt;0.001,"Too big","ok"))</f>
        <v>ok</v>
      </c>
      <c r="AF53" s="619" t="str">
        <f>IF(AF57-N18&lt;0,"too small",IF(AF57-N18&gt;0.001,"Too big","ok"))</f>
        <v>ok</v>
      </c>
      <c r="AG53" s="619" t="str">
        <f t="shared" ref="AG53:AT53" si="22">IF(AG57-O18&lt;0,"too small",IF(AG57-O18&gt;0.001,"Too big","ok"))</f>
        <v>ok</v>
      </c>
      <c r="AH53" s="619" t="str">
        <f t="shared" si="22"/>
        <v>ok</v>
      </c>
      <c r="AI53" s="619" t="str">
        <f t="shared" si="22"/>
        <v>ok</v>
      </c>
      <c r="AJ53" s="619" t="str">
        <f t="shared" si="22"/>
        <v>ok</v>
      </c>
      <c r="AK53" s="619" t="str">
        <f t="shared" si="22"/>
        <v>ok</v>
      </c>
      <c r="AL53" s="619" t="str">
        <f t="shared" si="22"/>
        <v>ok</v>
      </c>
      <c r="AM53" s="619" t="str">
        <f t="shared" si="22"/>
        <v>ok</v>
      </c>
      <c r="AN53" s="619" t="str">
        <f t="shared" si="22"/>
        <v>ok</v>
      </c>
      <c r="AO53" s="619" t="str">
        <f t="shared" si="22"/>
        <v>ok</v>
      </c>
      <c r="AP53" s="619" t="str">
        <f t="shared" si="22"/>
        <v>ok</v>
      </c>
      <c r="AQ53" s="619" t="str">
        <f t="shared" si="22"/>
        <v>ok</v>
      </c>
      <c r="AR53" s="619" t="str">
        <f t="shared" si="22"/>
        <v>ok</v>
      </c>
      <c r="AS53" s="619" t="str">
        <f t="shared" si="22"/>
        <v>ok</v>
      </c>
      <c r="AT53" s="619" t="str">
        <f t="shared" si="22"/>
        <v>ok</v>
      </c>
    </row>
    <row r="54" spans="1:46" x14ac:dyDescent="0.25">
      <c r="A54" s="22"/>
      <c r="B54" s="178" t="str">
        <f>B53</f>
        <v>TYNF900</v>
      </c>
      <c r="C54" s="178"/>
      <c r="D54" s="179"/>
      <c r="E54" s="178"/>
      <c r="F54" s="182"/>
      <c r="G54" s="173" t="s">
        <v>509</v>
      </c>
      <c r="H54" s="182"/>
      <c r="I54" s="183"/>
      <c r="J54" s="184"/>
      <c r="K54" s="184"/>
      <c r="L54" s="184" t="s">
        <v>1126</v>
      </c>
      <c r="M54" s="184" t="s">
        <v>678</v>
      </c>
      <c r="N54" s="367">
        <v>1000</v>
      </c>
      <c r="O54" s="367">
        <f>N54</f>
        <v>1000</v>
      </c>
      <c r="P54" s="367">
        <f t="shared" ref="P54:AB54" si="23">O54</f>
        <v>1000</v>
      </c>
      <c r="Q54" s="367">
        <f t="shared" si="23"/>
        <v>1000</v>
      </c>
      <c r="R54" s="367">
        <f t="shared" si="23"/>
        <v>1000</v>
      </c>
      <c r="S54" s="367">
        <f t="shared" si="23"/>
        <v>1000</v>
      </c>
      <c r="T54" s="367">
        <f t="shared" si="23"/>
        <v>1000</v>
      </c>
      <c r="U54" s="367">
        <f t="shared" si="23"/>
        <v>1000</v>
      </c>
      <c r="V54" s="367">
        <f t="shared" si="23"/>
        <v>1000</v>
      </c>
      <c r="W54" s="367">
        <f t="shared" si="23"/>
        <v>1000</v>
      </c>
      <c r="X54" s="367">
        <f t="shared" si="23"/>
        <v>1000</v>
      </c>
      <c r="Y54" s="367">
        <f t="shared" si="23"/>
        <v>1000</v>
      </c>
      <c r="Z54" s="367">
        <f t="shared" si="23"/>
        <v>1000</v>
      </c>
      <c r="AA54" s="367">
        <f t="shared" si="23"/>
        <v>1000</v>
      </c>
      <c r="AB54" s="367">
        <f t="shared" si="23"/>
        <v>1000</v>
      </c>
      <c r="AD54" s="83" t="str">
        <f>IF(COUNTIF($AG$4:$AS$4,AD53)=1,"ok","MISSING")</f>
        <v>ok</v>
      </c>
    </row>
    <row r="55" spans="1:46" x14ac:dyDescent="0.25">
      <c r="A55" s="22"/>
      <c r="B55" s="178" t="str">
        <f>B54</f>
        <v>TYNF900</v>
      </c>
      <c r="C55" s="178"/>
      <c r="D55" s="179"/>
      <c r="E55" s="178"/>
      <c r="F55" s="182"/>
      <c r="G55" s="181"/>
      <c r="H55" s="182"/>
      <c r="I55" s="183"/>
      <c r="J55" s="184"/>
      <c r="K55" s="184" t="s">
        <v>749</v>
      </c>
      <c r="L55" s="184" t="s">
        <v>1128</v>
      </c>
      <c r="M55" s="184" t="s">
        <v>1175</v>
      </c>
      <c r="N55" s="629">
        <f>N22</f>
        <v>0</v>
      </c>
      <c r="O55" s="629">
        <f t="shared" ref="O55:AB55" si="24">O22</f>
        <v>0</v>
      </c>
      <c r="P55" s="629">
        <f t="shared" si="24"/>
        <v>0</v>
      </c>
      <c r="Q55" s="629">
        <f t="shared" si="24"/>
        <v>0</v>
      </c>
      <c r="R55" s="629">
        <f t="shared" si="24"/>
        <v>0</v>
      </c>
      <c r="S55" s="629">
        <f t="shared" si="24"/>
        <v>0</v>
      </c>
      <c r="T55" s="629">
        <f t="shared" si="24"/>
        <v>0</v>
      </c>
      <c r="U55" s="629">
        <f t="shared" si="24"/>
        <v>0</v>
      </c>
      <c r="V55" s="629">
        <f t="shared" si="24"/>
        <v>0</v>
      </c>
      <c r="W55" s="629">
        <f t="shared" si="24"/>
        <v>0</v>
      </c>
      <c r="X55" s="629">
        <f t="shared" si="24"/>
        <v>0</v>
      </c>
      <c r="Y55" s="629">
        <f t="shared" si="24"/>
        <v>0</v>
      </c>
      <c r="Z55" s="629">
        <f t="shared" si="24"/>
        <v>0</v>
      </c>
      <c r="AA55" s="629">
        <f t="shared" si="24"/>
        <v>0</v>
      </c>
      <c r="AB55" s="629">
        <f t="shared" si="24"/>
        <v>0</v>
      </c>
    </row>
    <row r="56" spans="1:46" x14ac:dyDescent="0.25">
      <c r="A56" s="22"/>
      <c r="B56" s="178" t="str">
        <f t="shared" ref="B56:B63" si="25">B55</f>
        <v>TYNF900</v>
      </c>
      <c r="C56" s="178"/>
      <c r="D56" s="179"/>
      <c r="E56" s="178"/>
      <c r="F56" s="182"/>
      <c r="G56" s="181"/>
      <c r="H56" s="182"/>
      <c r="I56" s="183"/>
      <c r="J56" s="184"/>
      <c r="K56" s="184"/>
      <c r="L56" s="203" t="s">
        <v>1130</v>
      </c>
      <c r="M56" s="184" t="s">
        <v>1131</v>
      </c>
      <c r="N56" s="630">
        <f>T_NCAP_AF!D338*(1+N36)</f>
        <v>0</v>
      </c>
      <c r="O56" s="630">
        <f>T_NCAP_AF!E338*(1+O36)</f>
        <v>0</v>
      </c>
      <c r="P56" s="630">
        <f>T_NCAP_AF!F338*(1+P36)</f>
        <v>0</v>
      </c>
      <c r="Q56" s="630">
        <f>T_NCAP_AF!G338*(1+Q36)</f>
        <v>0</v>
      </c>
      <c r="R56" s="630">
        <f>T_NCAP_AF!H338*(1+R36)</f>
        <v>0</v>
      </c>
      <c r="S56" s="630">
        <f>T_NCAP_AF!I338*(1+S36)</f>
        <v>0</v>
      </c>
      <c r="T56" s="630">
        <f>T_NCAP_AF!J338*(1+T36)</f>
        <v>0</v>
      </c>
      <c r="U56" s="630">
        <f>T_NCAP_AF!K338*(1+U36)</f>
        <v>0</v>
      </c>
      <c r="V56" s="630">
        <f>T_NCAP_AF!L338*(1+V36)</f>
        <v>0</v>
      </c>
      <c r="W56" s="630">
        <f>T_NCAP_AF!M338*(1+W36)</f>
        <v>0</v>
      </c>
      <c r="X56" s="630">
        <f>T_NCAP_AF!N338*(1+X36)</f>
        <v>0</v>
      </c>
      <c r="Y56" s="630">
        <f>T_NCAP_AF!O338*(1+Y36)</f>
        <v>0</v>
      </c>
      <c r="Z56" s="630">
        <f>T_NCAP_AF!P338*(1+Z36)</f>
        <v>0</v>
      </c>
      <c r="AA56" s="630">
        <f>T_NCAP_AF!Q338*(1+AA36)</f>
        <v>0</v>
      </c>
      <c r="AB56" s="630">
        <f>T_NCAP_AF!R338*(1+AB36)</f>
        <v>0</v>
      </c>
    </row>
    <row r="57" spans="1:46" x14ac:dyDescent="0.25">
      <c r="A57" s="22"/>
      <c r="B57" s="178" t="str">
        <f>B56</f>
        <v>TYNF900</v>
      </c>
      <c r="C57" s="178"/>
      <c r="D57" s="179"/>
      <c r="E57" s="178"/>
      <c r="F57" s="182"/>
      <c r="G57" s="181"/>
      <c r="H57" s="182"/>
      <c r="I57" s="183">
        <f>$M$3</f>
        <v>2019</v>
      </c>
      <c r="J57" s="184"/>
      <c r="K57" s="184"/>
      <c r="L57" s="203" t="s">
        <v>1065</v>
      </c>
      <c r="M57" s="184" t="s">
        <v>748</v>
      </c>
      <c r="N57" s="694">
        <f>'T_Stock_TOTAL_&amp;_City'!D145*(1+N37)</f>
        <v>0</v>
      </c>
      <c r="O57" s="694">
        <f>'T_Stock_TOTAL_&amp;_City'!E145*(1+O37)</f>
        <v>0</v>
      </c>
      <c r="P57" s="694">
        <f>'T_Stock_TOTAL_&amp;_City'!F145*(1+P37)</f>
        <v>0</v>
      </c>
      <c r="Q57" s="694">
        <f>'T_Stock_TOTAL_&amp;_City'!G145*(1+Q37)</f>
        <v>0</v>
      </c>
      <c r="R57" s="694">
        <f>'T_Stock_TOTAL_&amp;_City'!H145*(1+R37)</f>
        <v>0</v>
      </c>
      <c r="S57" s="694">
        <f>'T_Stock_TOTAL_&amp;_City'!I145*(1+S37)</f>
        <v>0</v>
      </c>
      <c r="T57" s="694">
        <f>'T_Stock_TOTAL_&amp;_City'!J145*(1+T37)</f>
        <v>0</v>
      </c>
      <c r="U57" s="694">
        <f>'T_Stock_TOTAL_&amp;_City'!K145*(1+U37)</f>
        <v>0</v>
      </c>
      <c r="V57" s="694">
        <f>'T_Stock_TOTAL_&amp;_City'!L145*(1+V37)</f>
        <v>0</v>
      </c>
      <c r="W57" s="694">
        <f>'T_Stock_TOTAL_&amp;_City'!M145*(1+W37)</f>
        <v>0</v>
      </c>
      <c r="X57" s="694">
        <f>'T_Stock_TOTAL_&amp;_City'!N145*(1+X37)</f>
        <v>0</v>
      </c>
      <c r="Y57" s="694">
        <f>'T_Stock_TOTAL_&amp;_City'!O145*(1+Y37)</f>
        <v>0</v>
      </c>
      <c r="Z57" s="694">
        <f>'T_Stock_TOTAL_&amp;_City'!P145*(1+Z37)</f>
        <v>0</v>
      </c>
      <c r="AA57" s="694">
        <f>'T_Stock_TOTAL_&amp;_City'!Q145*(1+AA37)</f>
        <v>0</v>
      </c>
      <c r="AB57" s="694">
        <f>'T_Stock_TOTAL_&amp;_City'!R145*(1+AB37)</f>
        <v>0</v>
      </c>
      <c r="AE57" s="80">
        <f>SUM(AF57:AT57)</f>
        <v>0</v>
      </c>
      <c r="AF57" s="81">
        <f>N55*N56*N57/1000</f>
        <v>0</v>
      </c>
      <c r="AG57" s="81">
        <f t="shared" ref="AG57:AT57" si="26">O55*O56*O57/1000</f>
        <v>0</v>
      </c>
      <c r="AH57" s="81">
        <f t="shared" si="26"/>
        <v>0</v>
      </c>
      <c r="AI57" s="81">
        <f t="shared" si="26"/>
        <v>0</v>
      </c>
      <c r="AJ57" s="81">
        <f t="shared" si="26"/>
        <v>0</v>
      </c>
      <c r="AK57" s="81">
        <f t="shared" si="26"/>
        <v>0</v>
      </c>
      <c r="AL57" s="81">
        <f t="shared" si="26"/>
        <v>0</v>
      </c>
      <c r="AM57" s="81">
        <f t="shared" si="26"/>
        <v>0</v>
      </c>
      <c r="AN57" s="81">
        <f t="shared" si="26"/>
        <v>0</v>
      </c>
      <c r="AO57" s="81">
        <f t="shared" si="26"/>
        <v>0</v>
      </c>
      <c r="AP57" s="81">
        <f t="shared" si="26"/>
        <v>0</v>
      </c>
      <c r="AQ57" s="81">
        <f t="shared" si="26"/>
        <v>0</v>
      </c>
      <c r="AR57" s="81">
        <f t="shared" si="26"/>
        <v>0</v>
      </c>
      <c r="AS57" s="81">
        <f t="shared" si="26"/>
        <v>0</v>
      </c>
      <c r="AT57" s="81">
        <f t="shared" si="26"/>
        <v>0</v>
      </c>
    </row>
    <row r="58" spans="1:46" x14ac:dyDescent="0.25">
      <c r="A58" s="22"/>
      <c r="B58" s="178" t="str">
        <f t="shared" si="25"/>
        <v>TYNF900</v>
      </c>
      <c r="C58" s="178"/>
      <c r="D58" s="179"/>
      <c r="E58" s="178"/>
      <c r="F58" s="182"/>
      <c r="G58" s="181"/>
      <c r="H58" s="182"/>
      <c r="I58" s="183">
        <f>AF$5</f>
        <v>2016</v>
      </c>
      <c r="J58" s="184"/>
      <c r="K58" s="184"/>
      <c r="L58" s="203" t="s">
        <v>1065</v>
      </c>
      <c r="M58" s="184" t="s">
        <v>748</v>
      </c>
      <c r="N58" s="694">
        <f t="shared" ref="N58:AB58" si="27">N$57*LOOKUP($AD$53,$AG$4:$AS$4,$AG5:$AS5)</f>
        <v>0</v>
      </c>
      <c r="O58" s="694">
        <f t="shared" si="27"/>
        <v>0</v>
      </c>
      <c r="P58" s="694">
        <f t="shared" si="27"/>
        <v>0</v>
      </c>
      <c r="Q58" s="694">
        <f t="shared" si="27"/>
        <v>0</v>
      </c>
      <c r="R58" s="694">
        <f t="shared" si="27"/>
        <v>0</v>
      </c>
      <c r="S58" s="694">
        <f t="shared" si="27"/>
        <v>0</v>
      </c>
      <c r="T58" s="694">
        <f t="shared" si="27"/>
        <v>0</v>
      </c>
      <c r="U58" s="694">
        <f t="shared" si="27"/>
        <v>0</v>
      </c>
      <c r="V58" s="694">
        <f t="shared" si="27"/>
        <v>0</v>
      </c>
      <c r="W58" s="694">
        <f t="shared" si="27"/>
        <v>0</v>
      </c>
      <c r="X58" s="694">
        <f t="shared" si="27"/>
        <v>0</v>
      </c>
      <c r="Y58" s="694">
        <f t="shared" si="27"/>
        <v>0</v>
      </c>
      <c r="Z58" s="694">
        <f t="shared" si="27"/>
        <v>0</v>
      </c>
      <c r="AA58" s="694">
        <f t="shared" si="27"/>
        <v>0</v>
      </c>
      <c r="AB58" s="694">
        <f t="shared" si="27"/>
        <v>0</v>
      </c>
    </row>
    <row r="59" spans="1:46" x14ac:dyDescent="0.25">
      <c r="A59" s="22"/>
      <c r="B59" s="178" t="str">
        <f t="shared" si="25"/>
        <v>TYNF900</v>
      </c>
      <c r="C59" s="178"/>
      <c r="D59" s="179"/>
      <c r="E59" s="178"/>
      <c r="F59" s="182"/>
      <c r="G59" s="181"/>
      <c r="H59" s="182"/>
      <c r="I59" s="183">
        <f>AF$6</f>
        <v>2020</v>
      </c>
      <c r="J59" s="184"/>
      <c r="K59" s="184"/>
      <c r="L59" s="203" t="s">
        <v>1065</v>
      </c>
      <c r="M59" s="184" t="s">
        <v>748</v>
      </c>
      <c r="N59" s="694">
        <f t="shared" ref="N59:AB59" si="28">N$57*LOOKUP($AD$53,$AG$4:$AS$4,$AG6:$AS6)</f>
        <v>0</v>
      </c>
      <c r="O59" s="694">
        <f t="shared" si="28"/>
        <v>0</v>
      </c>
      <c r="P59" s="694">
        <f t="shared" si="28"/>
        <v>0</v>
      </c>
      <c r="Q59" s="694">
        <f t="shared" si="28"/>
        <v>0</v>
      </c>
      <c r="R59" s="694">
        <f t="shared" si="28"/>
        <v>0</v>
      </c>
      <c r="S59" s="694">
        <f t="shared" si="28"/>
        <v>0</v>
      </c>
      <c r="T59" s="694">
        <f t="shared" si="28"/>
        <v>0</v>
      </c>
      <c r="U59" s="694">
        <f t="shared" si="28"/>
        <v>0</v>
      </c>
      <c r="V59" s="694">
        <f t="shared" si="28"/>
        <v>0</v>
      </c>
      <c r="W59" s="694">
        <f t="shared" si="28"/>
        <v>0</v>
      </c>
      <c r="X59" s="694">
        <f t="shared" si="28"/>
        <v>0</v>
      </c>
      <c r="Y59" s="694">
        <f t="shared" si="28"/>
        <v>0</v>
      </c>
      <c r="Z59" s="694">
        <f t="shared" si="28"/>
        <v>0</v>
      </c>
      <c r="AA59" s="694">
        <f t="shared" si="28"/>
        <v>0</v>
      </c>
      <c r="AB59" s="694">
        <f t="shared" si="28"/>
        <v>0</v>
      </c>
    </row>
    <row r="60" spans="1:46" x14ac:dyDescent="0.25">
      <c r="A60" s="22"/>
      <c r="B60" s="178" t="str">
        <f t="shared" si="25"/>
        <v>TYNF900</v>
      </c>
      <c r="C60" s="178"/>
      <c r="D60" s="179"/>
      <c r="E60" s="178"/>
      <c r="F60" s="182"/>
      <c r="G60" s="181"/>
      <c r="H60" s="182"/>
      <c r="I60" s="183">
        <f>AF$7</f>
        <v>2025</v>
      </c>
      <c r="J60" s="184"/>
      <c r="K60" s="184"/>
      <c r="L60" s="203" t="s">
        <v>1065</v>
      </c>
      <c r="M60" s="184" t="s">
        <v>748</v>
      </c>
      <c r="N60" s="694">
        <f t="shared" ref="N60:AB60" si="29">N$57*LOOKUP($AD$53,$AG$4:$AS$4,$AG7:$AS7)</f>
        <v>0</v>
      </c>
      <c r="O60" s="694">
        <f t="shared" si="29"/>
        <v>0</v>
      </c>
      <c r="P60" s="694">
        <f t="shared" si="29"/>
        <v>0</v>
      </c>
      <c r="Q60" s="694">
        <f t="shared" si="29"/>
        <v>0</v>
      </c>
      <c r="R60" s="694">
        <f t="shared" si="29"/>
        <v>0</v>
      </c>
      <c r="S60" s="694">
        <f t="shared" si="29"/>
        <v>0</v>
      </c>
      <c r="T60" s="694">
        <f t="shared" si="29"/>
        <v>0</v>
      </c>
      <c r="U60" s="694">
        <f t="shared" si="29"/>
        <v>0</v>
      </c>
      <c r="V60" s="694">
        <f t="shared" si="29"/>
        <v>0</v>
      </c>
      <c r="W60" s="694">
        <f t="shared" si="29"/>
        <v>0</v>
      </c>
      <c r="X60" s="694">
        <f t="shared" si="29"/>
        <v>0</v>
      </c>
      <c r="Y60" s="694">
        <f t="shared" si="29"/>
        <v>0</v>
      </c>
      <c r="Z60" s="694">
        <f t="shared" si="29"/>
        <v>0</v>
      </c>
      <c r="AA60" s="694">
        <f t="shared" si="29"/>
        <v>0</v>
      </c>
      <c r="AB60" s="694">
        <f t="shared" si="29"/>
        <v>0</v>
      </c>
    </row>
    <row r="61" spans="1:46" x14ac:dyDescent="0.25">
      <c r="A61" s="22"/>
      <c r="B61" s="178" t="str">
        <f t="shared" si="25"/>
        <v>TYNF900</v>
      </c>
      <c r="C61" s="178"/>
      <c r="D61" s="179"/>
      <c r="E61" s="178"/>
      <c r="F61" s="182"/>
      <c r="G61" s="181"/>
      <c r="H61" s="182"/>
      <c r="I61" s="183">
        <f>AF$8</f>
        <v>2030</v>
      </c>
      <c r="J61" s="184"/>
      <c r="K61" s="184"/>
      <c r="L61" s="203" t="s">
        <v>1065</v>
      </c>
      <c r="M61" s="184" t="s">
        <v>748</v>
      </c>
      <c r="N61" s="694">
        <f t="shared" ref="N61:AB61" si="30">N$57*LOOKUP($AD$53,$AG$4:$AS$4,$AG8:$AS8)</f>
        <v>0</v>
      </c>
      <c r="O61" s="694">
        <f t="shared" si="30"/>
        <v>0</v>
      </c>
      <c r="P61" s="694">
        <f t="shared" si="30"/>
        <v>0</v>
      </c>
      <c r="Q61" s="694">
        <f t="shared" si="30"/>
        <v>0</v>
      </c>
      <c r="R61" s="694">
        <f t="shared" si="30"/>
        <v>0</v>
      </c>
      <c r="S61" s="694">
        <f t="shared" si="30"/>
        <v>0</v>
      </c>
      <c r="T61" s="694">
        <f t="shared" si="30"/>
        <v>0</v>
      </c>
      <c r="U61" s="694">
        <f t="shared" si="30"/>
        <v>0</v>
      </c>
      <c r="V61" s="694">
        <f t="shared" si="30"/>
        <v>0</v>
      </c>
      <c r="W61" s="694">
        <f t="shared" si="30"/>
        <v>0</v>
      </c>
      <c r="X61" s="694">
        <f t="shared" si="30"/>
        <v>0</v>
      </c>
      <c r="Y61" s="694">
        <f t="shared" si="30"/>
        <v>0</v>
      </c>
      <c r="Z61" s="694">
        <f t="shared" si="30"/>
        <v>0</v>
      </c>
      <c r="AA61" s="694">
        <f t="shared" si="30"/>
        <v>0</v>
      </c>
      <c r="AB61" s="694">
        <f t="shared" si="30"/>
        <v>0</v>
      </c>
    </row>
    <row r="62" spans="1:46" x14ac:dyDescent="0.25">
      <c r="A62" s="22"/>
      <c r="B62" s="178" t="str">
        <f t="shared" si="25"/>
        <v>TYNF900</v>
      </c>
      <c r="C62" s="178"/>
      <c r="D62" s="179"/>
      <c r="E62" s="178"/>
      <c r="F62" s="182"/>
      <c r="G62" s="181"/>
      <c r="H62" s="182"/>
      <c r="I62" s="183">
        <f>AF$9</f>
        <v>2040</v>
      </c>
      <c r="J62" s="184"/>
      <c r="K62" s="184"/>
      <c r="L62" s="203" t="s">
        <v>1065</v>
      </c>
      <c r="M62" s="184" t="s">
        <v>748</v>
      </c>
      <c r="N62" s="694">
        <f t="shared" ref="N62:AB62" si="31">N$57*LOOKUP($AD$53,$AG$4:$AS$4,$AG9:$AS9)</f>
        <v>0</v>
      </c>
      <c r="O62" s="694">
        <f t="shared" si="31"/>
        <v>0</v>
      </c>
      <c r="P62" s="694">
        <f t="shared" si="31"/>
        <v>0</v>
      </c>
      <c r="Q62" s="694">
        <f t="shared" si="31"/>
        <v>0</v>
      </c>
      <c r="R62" s="694">
        <f t="shared" si="31"/>
        <v>0</v>
      </c>
      <c r="S62" s="694">
        <f t="shared" si="31"/>
        <v>0</v>
      </c>
      <c r="T62" s="694">
        <f t="shared" si="31"/>
        <v>0</v>
      </c>
      <c r="U62" s="694">
        <f t="shared" si="31"/>
        <v>0</v>
      </c>
      <c r="V62" s="694">
        <f t="shared" si="31"/>
        <v>0</v>
      </c>
      <c r="W62" s="694">
        <f t="shared" si="31"/>
        <v>0</v>
      </c>
      <c r="X62" s="694">
        <f t="shared" si="31"/>
        <v>0</v>
      </c>
      <c r="Y62" s="694">
        <f t="shared" si="31"/>
        <v>0</v>
      </c>
      <c r="Z62" s="694">
        <f t="shared" si="31"/>
        <v>0</v>
      </c>
      <c r="AA62" s="694">
        <f t="shared" si="31"/>
        <v>0</v>
      </c>
      <c r="AB62" s="694">
        <f t="shared" si="31"/>
        <v>0</v>
      </c>
    </row>
    <row r="63" spans="1:46" x14ac:dyDescent="0.25">
      <c r="A63" s="22"/>
      <c r="B63" s="204" t="str">
        <f t="shared" si="25"/>
        <v>TYNF900</v>
      </c>
      <c r="C63" s="204"/>
      <c r="D63" s="205"/>
      <c r="E63" s="204"/>
      <c r="F63" s="206"/>
      <c r="G63" s="207"/>
      <c r="H63" s="206"/>
      <c r="I63" s="208">
        <f>AF$10</f>
        <v>2050</v>
      </c>
      <c r="J63" s="209"/>
      <c r="K63" s="209"/>
      <c r="L63" s="210" t="s">
        <v>1065</v>
      </c>
      <c r="M63" s="209" t="s">
        <v>748</v>
      </c>
      <c r="N63" s="695">
        <f t="shared" ref="N63:AB63" si="32">N$57*LOOKUP($AD$53,$AG$4:$AS$4,$AG10:$AS10)</f>
        <v>0</v>
      </c>
      <c r="O63" s="695">
        <f t="shared" si="32"/>
        <v>0</v>
      </c>
      <c r="P63" s="695">
        <f t="shared" si="32"/>
        <v>0</v>
      </c>
      <c r="Q63" s="695">
        <f t="shared" si="32"/>
        <v>0</v>
      </c>
      <c r="R63" s="695">
        <f t="shared" si="32"/>
        <v>0</v>
      </c>
      <c r="S63" s="695">
        <f t="shared" si="32"/>
        <v>0</v>
      </c>
      <c r="T63" s="695">
        <f t="shared" si="32"/>
        <v>0</v>
      </c>
      <c r="U63" s="695">
        <f t="shared" si="32"/>
        <v>0</v>
      </c>
      <c r="V63" s="695">
        <f t="shared" si="32"/>
        <v>0</v>
      </c>
      <c r="W63" s="695">
        <f t="shared" si="32"/>
        <v>0</v>
      </c>
      <c r="X63" s="695">
        <f t="shared" si="32"/>
        <v>0</v>
      </c>
      <c r="Y63" s="695">
        <f t="shared" si="32"/>
        <v>0</v>
      </c>
      <c r="Z63" s="695">
        <f t="shared" si="32"/>
        <v>0</v>
      </c>
      <c r="AA63" s="695">
        <f t="shared" si="32"/>
        <v>0</v>
      </c>
      <c r="AB63" s="695">
        <f t="shared" si="32"/>
        <v>0</v>
      </c>
      <c r="AD63" s="400"/>
    </row>
    <row r="64" spans="1:46" x14ac:dyDescent="0.25">
      <c r="A64" s="22"/>
      <c r="B64" s="178" t="str">
        <f>C64</f>
        <v>TYEF900</v>
      </c>
      <c r="C64" s="178" t="s">
        <v>166</v>
      </c>
      <c r="D64" s="179" t="s">
        <v>897</v>
      </c>
      <c r="E64" s="180"/>
      <c r="F64" s="182"/>
      <c r="G64" s="173" t="s">
        <v>510</v>
      </c>
      <c r="H64" s="182"/>
      <c r="I64" s="183"/>
      <c r="J64" s="184"/>
      <c r="K64" s="184"/>
      <c r="L64" s="203" t="s">
        <v>1107</v>
      </c>
      <c r="M64" s="184" t="s">
        <v>1125</v>
      </c>
      <c r="N64" s="567">
        <f>10^-3</f>
        <v>1E-3</v>
      </c>
      <c r="O64" s="366">
        <f t="shared" ref="O64:AB64" si="33">$N64</f>
        <v>1E-3</v>
      </c>
      <c r="P64" s="366">
        <f t="shared" si="33"/>
        <v>1E-3</v>
      </c>
      <c r="Q64" s="366">
        <f t="shared" si="33"/>
        <v>1E-3</v>
      </c>
      <c r="R64" s="366">
        <f t="shared" si="33"/>
        <v>1E-3</v>
      </c>
      <c r="S64" s="366">
        <f t="shared" si="33"/>
        <v>1E-3</v>
      </c>
      <c r="T64" s="366">
        <f t="shared" si="33"/>
        <v>1E-3</v>
      </c>
      <c r="U64" s="366">
        <f t="shared" si="33"/>
        <v>1E-3</v>
      </c>
      <c r="V64" s="366">
        <f t="shared" si="33"/>
        <v>1E-3</v>
      </c>
      <c r="W64" s="366">
        <f t="shared" si="33"/>
        <v>1E-3</v>
      </c>
      <c r="X64" s="366">
        <f t="shared" si="33"/>
        <v>1E-3</v>
      </c>
      <c r="Y64" s="366">
        <f t="shared" si="33"/>
        <v>1E-3</v>
      </c>
      <c r="Z64" s="366">
        <f t="shared" si="33"/>
        <v>1E-3</v>
      </c>
      <c r="AA64" s="366">
        <f t="shared" si="33"/>
        <v>1E-3</v>
      </c>
      <c r="AB64" s="366">
        <f t="shared" si="33"/>
        <v>1E-3</v>
      </c>
      <c r="AD64" s="86" t="str">
        <f>G64</f>
        <v>TYEF-C</v>
      </c>
      <c r="AE64" s="625" t="str">
        <f>IF(AE70-AD17&lt;0,"too small",IF(AE70-AD17&gt;0.001,"Too big","ok"))</f>
        <v>ok</v>
      </c>
      <c r="AF64" s="619" t="str">
        <f>IF(AF70-N17&lt;0,"too small",IF(AF70-N17&gt;0.001,"Too big","ok"))</f>
        <v>ok</v>
      </c>
      <c r="AG64" s="619" t="str">
        <f t="shared" ref="AG64:AT64" si="34">IF(AG70-O17&lt;0,"too small",IF(AG70-O17&gt;0.001,"Too big","ok"))</f>
        <v>ok</v>
      </c>
      <c r="AH64" s="619" t="str">
        <f t="shared" si="34"/>
        <v>ok</v>
      </c>
      <c r="AI64" s="619" t="str">
        <f t="shared" si="34"/>
        <v>ok</v>
      </c>
      <c r="AJ64" s="619" t="str">
        <f t="shared" si="34"/>
        <v>ok</v>
      </c>
      <c r="AK64" s="619" t="str">
        <f t="shared" si="34"/>
        <v>ok</v>
      </c>
      <c r="AL64" s="619" t="str">
        <f t="shared" si="34"/>
        <v>ok</v>
      </c>
      <c r="AM64" s="619" t="str">
        <f t="shared" si="34"/>
        <v>ok</v>
      </c>
      <c r="AN64" s="619" t="str">
        <f t="shared" si="34"/>
        <v>ok</v>
      </c>
      <c r="AO64" s="619" t="str">
        <f t="shared" si="34"/>
        <v>ok</v>
      </c>
      <c r="AP64" s="619" t="str">
        <f t="shared" si="34"/>
        <v>ok</v>
      </c>
      <c r="AQ64" s="619" t="str">
        <f t="shared" si="34"/>
        <v>ok</v>
      </c>
      <c r="AR64" s="619" t="str">
        <f t="shared" si="34"/>
        <v>ok</v>
      </c>
      <c r="AS64" s="619" t="str">
        <f t="shared" si="34"/>
        <v>ok</v>
      </c>
      <c r="AT64" s="619" t="str">
        <f t="shared" si="34"/>
        <v>ok</v>
      </c>
    </row>
    <row r="65" spans="1:52" x14ac:dyDescent="0.25">
      <c r="A65" s="22"/>
      <c r="B65" s="178" t="str">
        <f>B64</f>
        <v>TYEF900</v>
      </c>
      <c r="C65" s="178"/>
      <c r="D65" s="179"/>
      <c r="E65" s="178" t="s">
        <v>683</v>
      </c>
      <c r="F65" s="182"/>
      <c r="G65" s="173"/>
      <c r="H65" s="182"/>
      <c r="I65" s="183"/>
      <c r="J65" s="184"/>
      <c r="K65" s="184"/>
      <c r="L65" s="184" t="s">
        <v>1126</v>
      </c>
      <c r="M65" s="184" t="s">
        <v>678</v>
      </c>
      <c r="N65" s="630">
        <f>T_CEFF!H293</f>
        <v>4.5454499999999998</v>
      </c>
      <c r="O65" s="630">
        <f>T_CEFF!I293</f>
        <v>4.5454499999999998</v>
      </c>
      <c r="P65" s="630">
        <f>T_CEFF!J293</f>
        <v>4.5454499999999998</v>
      </c>
      <c r="Q65" s="630">
        <f>T_CEFF!K293</f>
        <v>4.5454499999999998</v>
      </c>
      <c r="R65" s="630">
        <f>T_CEFF!L293</f>
        <v>4.5454499999999998</v>
      </c>
      <c r="S65" s="630">
        <f>T_CEFF!M293</f>
        <v>4.5454499999999998</v>
      </c>
      <c r="T65" s="630">
        <f>T_CEFF!N293</f>
        <v>4.5454499999999998</v>
      </c>
      <c r="U65" s="630">
        <f>T_CEFF!O293</f>
        <v>4.5454499999999998</v>
      </c>
      <c r="V65" s="630">
        <f>T_CEFF!P293</f>
        <v>4.5454499999999998</v>
      </c>
      <c r="W65" s="630">
        <f>T_CEFF!Q293</f>
        <v>4.5454499999999998</v>
      </c>
      <c r="X65" s="630">
        <f>T_CEFF!R293</f>
        <v>4.5454499999999998</v>
      </c>
      <c r="Y65" s="630">
        <f>T_CEFF!S293</f>
        <v>4.5454499999999998</v>
      </c>
      <c r="Z65" s="630">
        <f>T_CEFF!T293</f>
        <v>4.5454499999999998</v>
      </c>
      <c r="AA65" s="630">
        <f>T_CEFF!U293</f>
        <v>4.5454499999999998</v>
      </c>
      <c r="AB65" s="630">
        <f>T_CEFF!V293</f>
        <v>4.5454499999999998</v>
      </c>
      <c r="AD65" s="83" t="str">
        <f>IF(COUNTIF($AG$4:$AS$4,AD64)=1,"ok","MISSING")</f>
        <v>ok</v>
      </c>
    </row>
    <row r="66" spans="1:52" x14ac:dyDescent="0.25">
      <c r="A66" s="22"/>
      <c r="B66" s="178" t="str">
        <f>B65</f>
        <v>TYEF900</v>
      </c>
      <c r="C66" s="178"/>
      <c r="D66" s="179"/>
      <c r="E66" s="178" t="s">
        <v>681</v>
      </c>
      <c r="F66" s="182"/>
      <c r="G66" s="173"/>
      <c r="H66" s="182"/>
      <c r="I66" s="183"/>
      <c r="J66" s="184"/>
      <c r="K66" s="184"/>
      <c r="L66" s="184" t="s">
        <v>1126</v>
      </c>
      <c r="M66" s="184" t="s">
        <v>678</v>
      </c>
      <c r="N66" s="367">
        <v>1000</v>
      </c>
      <c r="O66" s="367">
        <f>N66</f>
        <v>1000</v>
      </c>
      <c r="P66" s="367">
        <f t="shared" ref="P66:AB66" si="35">O66</f>
        <v>1000</v>
      </c>
      <c r="Q66" s="367">
        <f t="shared" si="35"/>
        <v>1000</v>
      </c>
      <c r="R66" s="367">
        <f t="shared" si="35"/>
        <v>1000</v>
      </c>
      <c r="S66" s="367">
        <f t="shared" si="35"/>
        <v>1000</v>
      </c>
      <c r="T66" s="367">
        <f t="shared" si="35"/>
        <v>1000</v>
      </c>
      <c r="U66" s="367">
        <f t="shared" si="35"/>
        <v>1000</v>
      </c>
      <c r="V66" s="367">
        <f t="shared" si="35"/>
        <v>1000</v>
      </c>
      <c r="W66" s="367">
        <f t="shared" si="35"/>
        <v>1000</v>
      </c>
      <c r="X66" s="367">
        <f t="shared" si="35"/>
        <v>1000</v>
      </c>
      <c r="Y66" s="367">
        <f t="shared" si="35"/>
        <v>1000</v>
      </c>
      <c r="Z66" s="367">
        <f t="shared" si="35"/>
        <v>1000</v>
      </c>
      <c r="AA66" s="367">
        <f t="shared" si="35"/>
        <v>1000</v>
      </c>
      <c r="AB66" s="367">
        <f t="shared" si="35"/>
        <v>1000</v>
      </c>
      <c r="AD66" s="83"/>
    </row>
    <row r="67" spans="1:52" x14ac:dyDescent="0.25">
      <c r="A67" s="22"/>
      <c r="B67" s="178" t="str">
        <f t="shared" ref="B67:B76" si="36">B66</f>
        <v>TYEF900</v>
      </c>
      <c r="C67" s="178"/>
      <c r="D67" s="179"/>
      <c r="E67" s="178" t="s">
        <v>683</v>
      </c>
      <c r="F67" s="182"/>
      <c r="G67" s="173"/>
      <c r="H67" s="182"/>
      <c r="I67" s="183"/>
      <c r="J67" s="184" t="s">
        <v>1157</v>
      </c>
      <c r="K67" s="184"/>
      <c r="L67" s="184" t="s">
        <v>1176</v>
      </c>
      <c r="M67" s="184"/>
      <c r="N67" s="629">
        <v>0.3</v>
      </c>
      <c r="O67" s="629">
        <v>0.3</v>
      </c>
      <c r="P67" s="629">
        <v>0.3</v>
      </c>
      <c r="Q67" s="629">
        <v>0.3</v>
      </c>
      <c r="R67" s="629">
        <v>0.3</v>
      </c>
      <c r="S67" s="629">
        <v>0.3</v>
      </c>
      <c r="T67" s="629">
        <v>0.3</v>
      </c>
      <c r="U67" s="629">
        <v>0.3</v>
      </c>
      <c r="V67" s="629">
        <v>0.3</v>
      </c>
      <c r="W67" s="629">
        <v>0.3</v>
      </c>
      <c r="X67" s="629">
        <v>0.3</v>
      </c>
      <c r="Y67" s="629">
        <v>0.3</v>
      </c>
      <c r="Z67" s="629">
        <v>0.3</v>
      </c>
      <c r="AA67" s="629">
        <v>0.3</v>
      </c>
      <c r="AB67" s="629">
        <v>0.3</v>
      </c>
      <c r="AD67" s="83"/>
    </row>
    <row r="68" spans="1:52" x14ac:dyDescent="0.25">
      <c r="A68" s="22"/>
      <c r="B68" s="178" t="str">
        <f t="shared" si="36"/>
        <v>TYEF900</v>
      </c>
      <c r="C68" s="178"/>
      <c r="D68" s="179"/>
      <c r="E68" s="178"/>
      <c r="F68" s="182"/>
      <c r="G68" s="181"/>
      <c r="H68" s="182"/>
      <c r="I68" s="183"/>
      <c r="J68" s="184"/>
      <c r="K68" s="184" t="s">
        <v>749</v>
      </c>
      <c r="L68" s="184" t="s">
        <v>1128</v>
      </c>
      <c r="M68" s="184" t="s">
        <v>1175</v>
      </c>
      <c r="N68" s="629">
        <f>N22</f>
        <v>0</v>
      </c>
      <c r="O68" s="629">
        <f t="shared" ref="O68:AB68" si="37">O22</f>
        <v>0</v>
      </c>
      <c r="P68" s="629">
        <f t="shared" si="37"/>
        <v>0</v>
      </c>
      <c r="Q68" s="629">
        <f t="shared" si="37"/>
        <v>0</v>
      </c>
      <c r="R68" s="629">
        <f t="shared" si="37"/>
        <v>0</v>
      </c>
      <c r="S68" s="629">
        <f t="shared" si="37"/>
        <v>0</v>
      </c>
      <c r="T68" s="629">
        <f t="shared" si="37"/>
        <v>0</v>
      </c>
      <c r="U68" s="629">
        <f t="shared" si="37"/>
        <v>0</v>
      </c>
      <c r="V68" s="629">
        <f t="shared" si="37"/>
        <v>0</v>
      </c>
      <c r="W68" s="629">
        <f t="shared" si="37"/>
        <v>0</v>
      </c>
      <c r="X68" s="629">
        <f t="shared" si="37"/>
        <v>0</v>
      </c>
      <c r="Y68" s="629">
        <f t="shared" si="37"/>
        <v>0</v>
      </c>
      <c r="Z68" s="629">
        <f t="shared" si="37"/>
        <v>0</v>
      </c>
      <c r="AA68" s="629">
        <f t="shared" si="37"/>
        <v>0</v>
      </c>
      <c r="AB68" s="629">
        <f t="shared" si="37"/>
        <v>0</v>
      </c>
    </row>
    <row r="69" spans="1:52" x14ac:dyDescent="0.25">
      <c r="A69" s="22"/>
      <c r="B69" s="178" t="str">
        <f t="shared" si="36"/>
        <v>TYEF900</v>
      </c>
      <c r="C69" s="178"/>
      <c r="D69" s="179"/>
      <c r="E69" s="178"/>
      <c r="F69" s="182"/>
      <c r="G69" s="181"/>
      <c r="H69" s="182"/>
      <c r="I69" s="183"/>
      <c r="J69" s="184"/>
      <c r="K69" s="184"/>
      <c r="L69" s="203" t="s">
        <v>1130</v>
      </c>
      <c r="M69" s="184" t="s">
        <v>1131</v>
      </c>
      <c r="N69" s="630">
        <f>T_NCAP_AF!D329*(1+N36)</f>
        <v>0</v>
      </c>
      <c r="O69" s="630">
        <f>T_NCAP_AF!E329*(1+O36)</f>
        <v>0</v>
      </c>
      <c r="P69" s="630">
        <f>T_NCAP_AF!F329*(1+P36)</f>
        <v>0</v>
      </c>
      <c r="Q69" s="630">
        <f>T_NCAP_AF!G329*(1+Q36)</f>
        <v>0</v>
      </c>
      <c r="R69" s="630">
        <f>T_NCAP_AF!H329*(1+R36)</f>
        <v>0</v>
      </c>
      <c r="S69" s="630">
        <f>T_NCAP_AF!I329*(1+S36)</f>
        <v>0</v>
      </c>
      <c r="T69" s="630">
        <f>T_NCAP_AF!J329*(1+T36)</f>
        <v>0</v>
      </c>
      <c r="U69" s="630">
        <f>T_NCAP_AF!K329*(1+U36)</f>
        <v>0</v>
      </c>
      <c r="V69" s="630">
        <f>T_NCAP_AF!L329*(1+V36)</f>
        <v>0</v>
      </c>
      <c r="W69" s="630">
        <f>T_NCAP_AF!M329*(1+W36)</f>
        <v>0</v>
      </c>
      <c r="X69" s="630">
        <f>T_NCAP_AF!N329*(1+X36)</f>
        <v>0</v>
      </c>
      <c r="Y69" s="630">
        <f>T_NCAP_AF!O329*(1+Y36)</f>
        <v>0</v>
      </c>
      <c r="Z69" s="630">
        <f>T_NCAP_AF!P329*(1+Z36)</f>
        <v>0</v>
      </c>
      <c r="AA69" s="630">
        <f>T_NCAP_AF!Q329*(1+AA36)</f>
        <v>0</v>
      </c>
      <c r="AB69" s="630">
        <f>T_NCAP_AF!R329*(1+AB36)</f>
        <v>0</v>
      </c>
    </row>
    <row r="70" spans="1:52" x14ac:dyDescent="0.25">
      <c r="A70" s="22"/>
      <c r="B70" s="178" t="str">
        <f t="shared" si="36"/>
        <v>TYEF900</v>
      </c>
      <c r="C70" s="178"/>
      <c r="D70" s="179"/>
      <c r="E70" s="178"/>
      <c r="F70" s="182"/>
      <c r="G70" s="181"/>
      <c r="H70" s="182"/>
      <c r="I70" s="183">
        <f>$M$3</f>
        <v>2019</v>
      </c>
      <c r="J70" s="184"/>
      <c r="K70" s="184"/>
      <c r="L70" s="203" t="s">
        <v>1065</v>
      </c>
      <c r="M70" s="184" t="s">
        <v>748</v>
      </c>
      <c r="N70" s="694">
        <f>'T_Stock_TOTAL_&amp;_City'!D144*(1+N37)</f>
        <v>0</v>
      </c>
      <c r="O70" s="694">
        <f>'T_Stock_TOTAL_&amp;_City'!E144*(1+O37)</f>
        <v>0</v>
      </c>
      <c r="P70" s="694">
        <f>'T_Stock_TOTAL_&amp;_City'!F144*(1+P37)</f>
        <v>0</v>
      </c>
      <c r="Q70" s="694">
        <f>'T_Stock_TOTAL_&amp;_City'!G144*(1+Q37)</f>
        <v>0</v>
      </c>
      <c r="R70" s="694">
        <f>'T_Stock_TOTAL_&amp;_City'!H144*(1+R37)</f>
        <v>0</v>
      </c>
      <c r="S70" s="694">
        <f>'T_Stock_TOTAL_&amp;_City'!I144*(1+S37)</f>
        <v>0</v>
      </c>
      <c r="T70" s="694">
        <f>'T_Stock_TOTAL_&amp;_City'!J144*(1+T37)</f>
        <v>0</v>
      </c>
      <c r="U70" s="694">
        <f>'T_Stock_TOTAL_&amp;_City'!K144*(1+U37)</f>
        <v>0</v>
      </c>
      <c r="V70" s="694">
        <f>'T_Stock_TOTAL_&amp;_City'!L144*(1+V37)</f>
        <v>0</v>
      </c>
      <c r="W70" s="694">
        <f>'T_Stock_TOTAL_&amp;_City'!M144*(1+W37)</f>
        <v>0</v>
      </c>
      <c r="X70" s="694">
        <f>'T_Stock_TOTAL_&amp;_City'!N144*(1+X37)</f>
        <v>0</v>
      </c>
      <c r="Y70" s="694">
        <f>'T_Stock_TOTAL_&amp;_City'!O144*(1+Y37)</f>
        <v>0</v>
      </c>
      <c r="Z70" s="694">
        <f>'T_Stock_TOTAL_&amp;_City'!P144*(1+Z37)</f>
        <v>0</v>
      </c>
      <c r="AA70" s="694">
        <f>'T_Stock_TOTAL_&amp;_City'!Q144*(1+AA37)</f>
        <v>0</v>
      </c>
      <c r="AB70" s="694">
        <f>'T_Stock_TOTAL_&amp;_City'!R144*(1+AB37)</f>
        <v>0</v>
      </c>
      <c r="AE70" s="80">
        <f>SUM(AF70:AT70)</f>
        <v>0</v>
      </c>
      <c r="AF70" s="81">
        <f>N68*N69*N70/1000</f>
        <v>0</v>
      </c>
      <c r="AG70" s="81">
        <f t="shared" ref="AG70" si="38">O68*O69*O70/1000</f>
        <v>0</v>
      </c>
      <c r="AH70" s="81">
        <f t="shared" ref="AH70" si="39">P68*P69*P70/1000</f>
        <v>0</v>
      </c>
      <c r="AI70" s="81">
        <f t="shared" ref="AI70" si="40">Q68*Q69*Q70/1000</f>
        <v>0</v>
      </c>
      <c r="AJ70" s="81">
        <f t="shared" ref="AJ70" si="41">R68*R69*R70/1000</f>
        <v>0</v>
      </c>
      <c r="AK70" s="81">
        <f t="shared" ref="AK70" si="42">S68*S69*S70/1000</f>
        <v>0</v>
      </c>
      <c r="AL70" s="81">
        <f t="shared" ref="AL70" si="43">T68*T69*T70/1000</f>
        <v>0</v>
      </c>
      <c r="AM70" s="81">
        <f t="shared" ref="AM70" si="44">U68*U69*U70/1000</f>
        <v>0</v>
      </c>
      <c r="AN70" s="81">
        <f t="shared" ref="AN70" si="45">V68*V69*V70/1000</f>
        <v>0</v>
      </c>
      <c r="AO70" s="81">
        <f t="shared" ref="AO70" si="46">W68*W69*W70/1000</f>
        <v>0</v>
      </c>
      <c r="AP70" s="81">
        <f t="shared" ref="AP70" si="47">X68*X69*X70/1000</f>
        <v>0</v>
      </c>
      <c r="AQ70" s="81">
        <f t="shared" ref="AQ70" si="48">Y68*Y69*Y70/1000</f>
        <v>0</v>
      </c>
      <c r="AR70" s="81">
        <f t="shared" ref="AR70" si="49">Z68*Z69*Z70/1000</f>
        <v>0</v>
      </c>
      <c r="AS70" s="81">
        <f t="shared" ref="AS70" si="50">AA68*AA69*AA70/1000</f>
        <v>0</v>
      </c>
      <c r="AT70" s="81">
        <f t="shared" ref="AT70" si="51">AB68*AB69*AB70/1000</f>
        <v>0</v>
      </c>
    </row>
    <row r="71" spans="1:52" x14ac:dyDescent="0.25">
      <c r="A71" s="22"/>
      <c r="B71" s="178" t="str">
        <f t="shared" si="36"/>
        <v>TYEF900</v>
      </c>
      <c r="C71" s="178"/>
      <c r="D71" s="179"/>
      <c r="E71" s="178"/>
      <c r="F71" s="182"/>
      <c r="G71" s="181"/>
      <c r="H71" s="182"/>
      <c r="I71" s="183">
        <f>AF$5</f>
        <v>2016</v>
      </c>
      <c r="J71" s="184"/>
      <c r="K71" s="184"/>
      <c r="L71" s="203" t="s">
        <v>1065</v>
      </c>
      <c r="M71" s="184" t="s">
        <v>748</v>
      </c>
      <c r="N71" s="694">
        <f t="shared" ref="N71:AB71" si="52">N$70*LOOKUP($AD$64,$AG$4:$AS$4,$AG18:$AS18)</f>
        <v>0</v>
      </c>
      <c r="O71" s="694">
        <f t="shared" si="52"/>
        <v>0</v>
      </c>
      <c r="P71" s="694">
        <f t="shared" si="52"/>
        <v>0</v>
      </c>
      <c r="Q71" s="694">
        <f t="shared" si="52"/>
        <v>0</v>
      </c>
      <c r="R71" s="694">
        <f t="shared" si="52"/>
        <v>0</v>
      </c>
      <c r="S71" s="694">
        <f t="shared" si="52"/>
        <v>0</v>
      </c>
      <c r="T71" s="694">
        <f t="shared" si="52"/>
        <v>0</v>
      </c>
      <c r="U71" s="694">
        <f t="shared" si="52"/>
        <v>0</v>
      </c>
      <c r="V71" s="694">
        <f t="shared" si="52"/>
        <v>0</v>
      </c>
      <c r="W71" s="694">
        <f t="shared" si="52"/>
        <v>0</v>
      </c>
      <c r="X71" s="694">
        <f t="shared" si="52"/>
        <v>0</v>
      </c>
      <c r="Y71" s="694">
        <f t="shared" si="52"/>
        <v>0</v>
      </c>
      <c r="Z71" s="694">
        <f t="shared" si="52"/>
        <v>0</v>
      </c>
      <c r="AA71" s="694">
        <f t="shared" si="52"/>
        <v>0</v>
      </c>
      <c r="AB71" s="694">
        <f t="shared" si="52"/>
        <v>0</v>
      </c>
    </row>
    <row r="72" spans="1:52" x14ac:dyDescent="0.25">
      <c r="A72" s="22"/>
      <c r="B72" s="178" t="str">
        <f t="shared" si="36"/>
        <v>TYEF900</v>
      </c>
      <c r="C72" s="178"/>
      <c r="D72" s="179"/>
      <c r="E72" s="178"/>
      <c r="F72" s="182"/>
      <c r="G72" s="181"/>
      <c r="H72" s="182"/>
      <c r="I72" s="183">
        <f>AF$6</f>
        <v>2020</v>
      </c>
      <c r="J72" s="184"/>
      <c r="K72" s="184"/>
      <c r="L72" s="203" t="s">
        <v>1065</v>
      </c>
      <c r="M72" s="184" t="s">
        <v>748</v>
      </c>
      <c r="N72" s="694">
        <f t="shared" ref="N72:AB72" si="53">N$70*LOOKUP($AD$64,$AG$4:$AS$4,$AF19:$AR19)</f>
        <v>0</v>
      </c>
      <c r="O72" s="694">
        <f t="shared" si="53"/>
        <v>0</v>
      </c>
      <c r="P72" s="694">
        <f t="shared" si="53"/>
        <v>0</v>
      </c>
      <c r="Q72" s="694">
        <f t="shared" si="53"/>
        <v>0</v>
      </c>
      <c r="R72" s="694">
        <f t="shared" si="53"/>
        <v>0</v>
      </c>
      <c r="S72" s="694">
        <f t="shared" si="53"/>
        <v>0</v>
      </c>
      <c r="T72" s="694">
        <f t="shared" si="53"/>
        <v>0</v>
      </c>
      <c r="U72" s="694">
        <f t="shared" si="53"/>
        <v>0</v>
      </c>
      <c r="V72" s="694">
        <f t="shared" si="53"/>
        <v>0</v>
      </c>
      <c r="W72" s="694">
        <f t="shared" si="53"/>
        <v>0</v>
      </c>
      <c r="X72" s="694">
        <f t="shared" si="53"/>
        <v>0</v>
      </c>
      <c r="Y72" s="694">
        <f t="shared" si="53"/>
        <v>0</v>
      </c>
      <c r="Z72" s="694">
        <f t="shared" si="53"/>
        <v>0</v>
      </c>
      <c r="AA72" s="694">
        <f t="shared" si="53"/>
        <v>0</v>
      </c>
      <c r="AB72" s="694">
        <f t="shared" si="53"/>
        <v>0</v>
      </c>
    </row>
    <row r="73" spans="1:52" x14ac:dyDescent="0.25">
      <c r="A73" s="22"/>
      <c r="B73" s="178" t="str">
        <f t="shared" si="36"/>
        <v>TYEF900</v>
      </c>
      <c r="C73" s="178"/>
      <c r="D73" s="179"/>
      <c r="E73" s="178"/>
      <c r="F73" s="182"/>
      <c r="G73" s="181"/>
      <c r="H73" s="182"/>
      <c r="I73" s="183">
        <f>AF$7</f>
        <v>2025</v>
      </c>
      <c r="J73" s="184"/>
      <c r="K73" s="184"/>
      <c r="L73" s="203" t="s">
        <v>1065</v>
      </c>
      <c r="M73" s="184" t="s">
        <v>748</v>
      </c>
      <c r="N73" s="694">
        <f t="shared" ref="N73:AB73" si="54">N$70*LOOKUP($AD$64,$AG$4:$AS$4,$AF20:$AR20)</f>
        <v>0</v>
      </c>
      <c r="O73" s="694">
        <f t="shared" si="54"/>
        <v>0</v>
      </c>
      <c r="P73" s="694">
        <f t="shared" si="54"/>
        <v>0</v>
      </c>
      <c r="Q73" s="694">
        <f t="shared" si="54"/>
        <v>0</v>
      </c>
      <c r="R73" s="694">
        <f t="shared" si="54"/>
        <v>0</v>
      </c>
      <c r="S73" s="694">
        <f t="shared" si="54"/>
        <v>0</v>
      </c>
      <c r="T73" s="694">
        <f t="shared" si="54"/>
        <v>0</v>
      </c>
      <c r="U73" s="694">
        <f t="shared" si="54"/>
        <v>0</v>
      </c>
      <c r="V73" s="694">
        <f t="shared" si="54"/>
        <v>0</v>
      </c>
      <c r="W73" s="694">
        <f t="shared" si="54"/>
        <v>0</v>
      </c>
      <c r="X73" s="694">
        <f t="shared" si="54"/>
        <v>0</v>
      </c>
      <c r="Y73" s="694">
        <f t="shared" si="54"/>
        <v>0</v>
      </c>
      <c r="Z73" s="694">
        <f t="shared" si="54"/>
        <v>0</v>
      </c>
      <c r="AA73" s="694">
        <f t="shared" si="54"/>
        <v>0</v>
      </c>
      <c r="AB73" s="694">
        <f t="shared" si="54"/>
        <v>0</v>
      </c>
    </row>
    <row r="74" spans="1:52" x14ac:dyDescent="0.25">
      <c r="A74" s="22"/>
      <c r="B74" s="178" t="str">
        <f t="shared" si="36"/>
        <v>TYEF900</v>
      </c>
      <c r="C74" s="178"/>
      <c r="D74" s="179"/>
      <c r="E74" s="178"/>
      <c r="F74" s="182"/>
      <c r="G74" s="181"/>
      <c r="H74" s="182"/>
      <c r="I74" s="183">
        <f>AF$8</f>
        <v>2030</v>
      </c>
      <c r="J74" s="184"/>
      <c r="K74" s="184"/>
      <c r="L74" s="203" t="s">
        <v>1065</v>
      </c>
      <c r="M74" s="184" t="s">
        <v>748</v>
      </c>
      <c r="N74" s="694">
        <f t="shared" ref="N74:AB74" si="55">N$70*LOOKUP($AD$64,$AG$4:$AS$4,$AF21:$AR21)</f>
        <v>0</v>
      </c>
      <c r="O74" s="694">
        <f t="shared" si="55"/>
        <v>0</v>
      </c>
      <c r="P74" s="694">
        <f t="shared" si="55"/>
        <v>0</v>
      </c>
      <c r="Q74" s="694">
        <f t="shared" si="55"/>
        <v>0</v>
      </c>
      <c r="R74" s="694">
        <f t="shared" si="55"/>
        <v>0</v>
      </c>
      <c r="S74" s="694">
        <f t="shared" si="55"/>
        <v>0</v>
      </c>
      <c r="T74" s="694">
        <f t="shared" si="55"/>
        <v>0</v>
      </c>
      <c r="U74" s="694">
        <f t="shared" si="55"/>
        <v>0</v>
      </c>
      <c r="V74" s="694">
        <f t="shared" si="55"/>
        <v>0</v>
      </c>
      <c r="W74" s="694">
        <f t="shared" si="55"/>
        <v>0</v>
      </c>
      <c r="X74" s="694">
        <f t="shared" si="55"/>
        <v>0</v>
      </c>
      <c r="Y74" s="694">
        <f t="shared" si="55"/>
        <v>0</v>
      </c>
      <c r="Z74" s="694">
        <f t="shared" si="55"/>
        <v>0</v>
      </c>
      <c r="AA74" s="694">
        <f t="shared" si="55"/>
        <v>0</v>
      </c>
      <c r="AB74" s="694">
        <f t="shared" si="55"/>
        <v>0</v>
      </c>
    </row>
    <row r="75" spans="1:52" x14ac:dyDescent="0.25">
      <c r="A75" s="22"/>
      <c r="B75" s="178" t="str">
        <f t="shared" si="36"/>
        <v>TYEF900</v>
      </c>
      <c r="C75" s="178"/>
      <c r="D75" s="179"/>
      <c r="E75" s="178"/>
      <c r="F75" s="182"/>
      <c r="G75" s="181"/>
      <c r="H75" s="182"/>
      <c r="I75" s="183">
        <f>AF$9</f>
        <v>2040</v>
      </c>
      <c r="J75" s="184"/>
      <c r="K75" s="184"/>
      <c r="L75" s="203" t="s">
        <v>1065</v>
      </c>
      <c r="M75" s="184" t="s">
        <v>748</v>
      </c>
      <c r="N75" s="694">
        <f t="shared" ref="N75:AB75" si="56">N$70*LOOKUP($AD$64,$AG$4:$AS$4,$AF22:$AR22)</f>
        <v>0</v>
      </c>
      <c r="O75" s="694">
        <f t="shared" si="56"/>
        <v>0</v>
      </c>
      <c r="P75" s="694">
        <f t="shared" si="56"/>
        <v>0</v>
      </c>
      <c r="Q75" s="694">
        <f t="shared" si="56"/>
        <v>0</v>
      </c>
      <c r="R75" s="694">
        <f t="shared" si="56"/>
        <v>0</v>
      </c>
      <c r="S75" s="694">
        <f t="shared" si="56"/>
        <v>0</v>
      </c>
      <c r="T75" s="694">
        <f t="shared" si="56"/>
        <v>0</v>
      </c>
      <c r="U75" s="694">
        <f t="shared" si="56"/>
        <v>0</v>
      </c>
      <c r="V75" s="694">
        <f t="shared" si="56"/>
        <v>0</v>
      </c>
      <c r="W75" s="694">
        <f t="shared" si="56"/>
        <v>0</v>
      </c>
      <c r="X75" s="694">
        <f t="shared" si="56"/>
        <v>0</v>
      </c>
      <c r="Y75" s="694">
        <f t="shared" si="56"/>
        <v>0</v>
      </c>
      <c r="Z75" s="694">
        <f t="shared" si="56"/>
        <v>0</v>
      </c>
      <c r="AA75" s="694">
        <f t="shared" si="56"/>
        <v>0</v>
      </c>
      <c r="AB75" s="694">
        <f t="shared" si="56"/>
        <v>0</v>
      </c>
    </row>
    <row r="76" spans="1:52" x14ac:dyDescent="0.25">
      <c r="A76" s="22"/>
      <c r="B76" s="204" t="str">
        <f t="shared" si="36"/>
        <v>TYEF900</v>
      </c>
      <c r="C76" s="204"/>
      <c r="D76" s="205"/>
      <c r="E76" s="204"/>
      <c r="F76" s="206"/>
      <c r="G76" s="207"/>
      <c r="H76" s="206"/>
      <c r="I76" s="208">
        <f>AF$10</f>
        <v>2050</v>
      </c>
      <c r="J76" s="209"/>
      <c r="K76" s="209"/>
      <c r="L76" s="210" t="s">
        <v>1065</v>
      </c>
      <c r="M76" s="209" t="s">
        <v>748</v>
      </c>
      <c r="N76" s="695">
        <f t="shared" ref="N76:AB76" si="57">N$70*LOOKUP($AD$64,$AG$4:$AS$4,$AF23:$AR23)</f>
        <v>0</v>
      </c>
      <c r="O76" s="695">
        <f t="shared" si="57"/>
        <v>0</v>
      </c>
      <c r="P76" s="695">
        <f t="shared" si="57"/>
        <v>0</v>
      </c>
      <c r="Q76" s="695">
        <f t="shared" si="57"/>
        <v>0</v>
      </c>
      <c r="R76" s="695">
        <f t="shared" si="57"/>
        <v>0</v>
      </c>
      <c r="S76" s="695">
        <f t="shared" si="57"/>
        <v>0</v>
      </c>
      <c r="T76" s="695">
        <f t="shared" si="57"/>
        <v>0</v>
      </c>
      <c r="U76" s="695">
        <f t="shared" si="57"/>
        <v>0</v>
      </c>
      <c r="V76" s="695">
        <f t="shared" si="57"/>
        <v>0</v>
      </c>
      <c r="W76" s="695">
        <f t="shared" si="57"/>
        <v>0</v>
      </c>
      <c r="X76" s="695">
        <f t="shared" si="57"/>
        <v>0</v>
      </c>
      <c r="Y76" s="695">
        <f t="shared" si="57"/>
        <v>0</v>
      </c>
      <c r="Z76" s="695">
        <f t="shared" si="57"/>
        <v>0</v>
      </c>
      <c r="AA76" s="695">
        <f t="shared" si="57"/>
        <v>0</v>
      </c>
      <c r="AB76" s="695">
        <f t="shared" si="57"/>
        <v>0</v>
      </c>
    </row>
    <row r="77" spans="1:52" s="22" customFormat="1" x14ac:dyDescent="0.25">
      <c r="A77" s="35"/>
      <c r="B77" s="35"/>
      <c r="C77" s="50"/>
      <c r="D77" s="50"/>
      <c r="E77" s="35"/>
      <c r="F77" s="35"/>
      <c r="G77" s="35"/>
      <c r="H77" s="41"/>
      <c r="I77" s="51"/>
      <c r="J77" s="41"/>
      <c r="K77" s="41"/>
      <c r="L77" s="40"/>
      <c r="M77" s="40"/>
      <c r="N77" s="35"/>
      <c r="O77" s="35"/>
      <c r="P77" s="35"/>
      <c r="Q77" s="35"/>
      <c r="R77" s="41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41"/>
      <c r="AD77" s="35"/>
      <c r="AE77" s="330"/>
      <c r="AF77" s="330"/>
      <c r="AG77" s="330"/>
      <c r="AH77" s="330"/>
      <c r="AI77" s="330"/>
      <c r="AJ77" s="330"/>
      <c r="AK77" s="330"/>
      <c r="AL77" s="330"/>
      <c r="AM77" s="330"/>
      <c r="AN77" s="330"/>
      <c r="AO77" s="330"/>
      <c r="AP77" s="330"/>
      <c r="AQ77" s="330"/>
      <c r="AR77" s="330"/>
      <c r="AS77" s="330"/>
    </row>
    <row r="78" spans="1:52" s="22" customFormat="1" x14ac:dyDescent="0.25">
      <c r="A78" s="35"/>
      <c r="B78" s="35"/>
      <c r="C78" s="50"/>
      <c r="D78" s="50"/>
      <c r="E78" s="35"/>
      <c r="F78" s="35"/>
      <c r="G78" s="35"/>
      <c r="H78" s="41"/>
      <c r="I78" s="51"/>
      <c r="J78" s="41"/>
      <c r="K78" s="41"/>
      <c r="L78" s="40"/>
      <c r="M78" s="40"/>
      <c r="N78" s="35"/>
      <c r="O78" s="35"/>
      <c r="P78" s="35"/>
      <c r="Q78" s="35"/>
      <c r="R78" s="41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41"/>
      <c r="AD78" s="35"/>
      <c r="AE78" s="330"/>
      <c r="AF78" s="330"/>
      <c r="AG78" s="330"/>
      <c r="AH78" s="330"/>
      <c r="AI78" s="330"/>
      <c r="AJ78" s="330"/>
      <c r="AK78" s="330"/>
      <c r="AL78" s="330"/>
      <c r="AM78" s="330"/>
      <c r="AN78" s="330"/>
      <c r="AO78" s="330"/>
      <c r="AP78" s="330"/>
      <c r="AQ78" s="330"/>
      <c r="AR78" s="330"/>
      <c r="AS78" s="330"/>
    </row>
    <row r="79" spans="1:52" s="22" customFormat="1" x14ac:dyDescent="0.25">
      <c r="A79" s="35"/>
      <c r="B79" s="35"/>
      <c r="C79" s="50"/>
      <c r="D79" s="50"/>
      <c r="E79" s="35"/>
      <c r="F79" s="35"/>
      <c r="G79" s="35"/>
      <c r="H79" s="41"/>
      <c r="I79" s="51"/>
      <c r="J79" s="41"/>
      <c r="K79" s="41"/>
      <c r="L79" s="40"/>
      <c r="M79" s="473" t="s">
        <v>1152</v>
      </c>
      <c r="N79" s="482">
        <v>0</v>
      </c>
      <c r="O79" s="482">
        <f>N79</f>
        <v>0</v>
      </c>
      <c r="P79" s="482">
        <f>O79</f>
        <v>0</v>
      </c>
      <c r="Q79" s="482">
        <f t="shared" ref="Q79:AB79" si="58">P79</f>
        <v>0</v>
      </c>
      <c r="R79" s="482">
        <f t="shared" si="58"/>
        <v>0</v>
      </c>
      <c r="S79" s="482">
        <f t="shared" si="58"/>
        <v>0</v>
      </c>
      <c r="T79" s="482">
        <f t="shared" si="58"/>
        <v>0</v>
      </c>
      <c r="U79" s="482">
        <f t="shared" si="58"/>
        <v>0</v>
      </c>
      <c r="V79" s="482">
        <f t="shared" si="58"/>
        <v>0</v>
      </c>
      <c r="W79" s="482">
        <f t="shared" si="58"/>
        <v>0</v>
      </c>
      <c r="X79" s="482">
        <f t="shared" si="58"/>
        <v>0</v>
      </c>
      <c r="Y79" s="482">
        <f t="shared" si="58"/>
        <v>0</v>
      </c>
      <c r="Z79" s="482">
        <f t="shared" si="58"/>
        <v>0</v>
      </c>
      <c r="AA79" s="482">
        <f t="shared" si="58"/>
        <v>0</v>
      </c>
      <c r="AB79" s="482">
        <f t="shared" si="58"/>
        <v>0</v>
      </c>
      <c r="AC79" s="41"/>
      <c r="AD79" s="35"/>
      <c r="AE79" s="330"/>
      <c r="AF79" s="330"/>
      <c r="AG79" s="330"/>
      <c r="AH79" s="330"/>
      <c r="AI79" s="330"/>
      <c r="AJ79" s="330"/>
      <c r="AK79" s="330"/>
      <c r="AL79" s="330"/>
      <c r="AM79" s="330"/>
      <c r="AN79" s="330"/>
      <c r="AO79" s="330"/>
      <c r="AP79" s="330"/>
      <c r="AQ79" s="330"/>
      <c r="AR79" s="330"/>
      <c r="AS79" s="330"/>
    </row>
    <row r="80" spans="1:52" s="22" customFormat="1" x14ac:dyDescent="0.25">
      <c r="A80" s="35"/>
      <c r="B80" s="32" t="s">
        <v>1222</v>
      </c>
      <c r="C80" s="88"/>
      <c r="D80" s="26"/>
      <c r="E80" s="35"/>
      <c r="F80" s="35"/>
      <c r="G80" s="35"/>
      <c r="H80" s="35"/>
      <c r="I80" s="36"/>
      <c r="J80" s="35"/>
      <c r="K80" s="35"/>
      <c r="L80" s="35"/>
      <c r="M80" s="473" t="s">
        <v>1154</v>
      </c>
      <c r="N80" s="482">
        <v>0</v>
      </c>
      <c r="O80" s="482">
        <f>N80</f>
        <v>0</v>
      </c>
      <c r="P80" s="482">
        <f t="shared" ref="P80:AB80" si="59">O80</f>
        <v>0</v>
      </c>
      <c r="Q80" s="482">
        <f t="shared" si="59"/>
        <v>0</v>
      </c>
      <c r="R80" s="482">
        <f t="shared" si="59"/>
        <v>0</v>
      </c>
      <c r="S80" s="482">
        <f t="shared" si="59"/>
        <v>0</v>
      </c>
      <c r="T80" s="482">
        <f t="shared" si="59"/>
        <v>0</v>
      </c>
      <c r="U80" s="482">
        <f t="shared" si="59"/>
        <v>0</v>
      </c>
      <c r="V80" s="482">
        <f t="shared" si="59"/>
        <v>0</v>
      </c>
      <c r="W80" s="482">
        <f t="shared" si="59"/>
        <v>0</v>
      </c>
      <c r="X80" s="482">
        <f t="shared" si="59"/>
        <v>0</v>
      </c>
      <c r="Y80" s="482">
        <f t="shared" si="59"/>
        <v>0</v>
      </c>
      <c r="Z80" s="482">
        <f t="shared" si="59"/>
        <v>0</v>
      </c>
      <c r="AA80" s="482">
        <f t="shared" si="59"/>
        <v>0</v>
      </c>
      <c r="AB80" s="482">
        <f t="shared" si="59"/>
        <v>0</v>
      </c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spans="1:52" s="22" customFormat="1" x14ac:dyDescent="0.25">
      <c r="A81" s="35"/>
      <c r="B81" s="35"/>
      <c r="C81" s="35"/>
      <c r="D81" s="35"/>
      <c r="E81" s="35"/>
      <c r="F81" s="35"/>
      <c r="G81" s="35"/>
      <c r="H81" s="35"/>
      <c r="I81" s="36"/>
      <c r="J81" s="35"/>
      <c r="K81" s="35"/>
      <c r="L81" s="35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spans="1:52" x14ac:dyDescent="0.25">
      <c r="C82" s="50"/>
      <c r="D82" s="50"/>
      <c r="H82" s="41"/>
      <c r="I82" s="51"/>
      <c r="J82" s="41"/>
      <c r="K82" s="41"/>
      <c r="L82" s="40" t="str">
        <f>IF(SUM(N10:AB11)&gt;0,"~FI_T","Not in use")</f>
        <v>Not in use</v>
      </c>
      <c r="M82" s="40"/>
      <c r="R82" s="41"/>
      <c r="W82" s="41"/>
      <c r="AC82" s="41"/>
      <c r="AD82" s="49" t="str">
        <f>CONCATENATE("TEST: ",B80)</f>
        <v>TEST: Base-year: Light Trucks (LGV) &lt;3.5 tons - City's OWN organisation</v>
      </c>
      <c r="AE82" s="22"/>
      <c r="AU82" s="22"/>
      <c r="AV82" s="22"/>
      <c r="AW82" s="22"/>
      <c r="AX82" s="22"/>
      <c r="AY82" s="22"/>
      <c r="AZ82" s="22"/>
    </row>
    <row r="83" spans="1:52" s="22" customFormat="1" x14ac:dyDescent="0.25">
      <c r="A83" s="83"/>
      <c r="B83" s="351" t="s">
        <v>1053</v>
      </c>
      <c r="C83" s="352" t="s">
        <v>104</v>
      </c>
      <c r="D83" s="352" t="s">
        <v>1054</v>
      </c>
      <c r="E83" s="352" t="s">
        <v>673</v>
      </c>
      <c r="F83" s="352" t="s">
        <v>1155</v>
      </c>
      <c r="G83" s="352" t="s">
        <v>674</v>
      </c>
      <c r="H83" s="352" t="s">
        <v>1055</v>
      </c>
      <c r="I83" s="353" t="s">
        <v>1056</v>
      </c>
      <c r="J83" s="352" t="s">
        <v>982</v>
      </c>
      <c r="K83" s="354" t="s">
        <v>1123</v>
      </c>
      <c r="L83" s="352" t="s">
        <v>1057</v>
      </c>
      <c r="M83" s="352" t="s">
        <v>1058</v>
      </c>
      <c r="N83" s="352" t="str">
        <f t="shared" ref="N83:AB83" si="60">N$2</f>
        <v>Z01</v>
      </c>
      <c r="O83" s="352" t="str">
        <f t="shared" si="60"/>
        <v>Z02</v>
      </c>
      <c r="P83" s="352" t="str">
        <f t="shared" si="60"/>
        <v>Z03</v>
      </c>
      <c r="Q83" s="352" t="str">
        <f t="shared" si="60"/>
        <v>Z04</v>
      </c>
      <c r="R83" s="352" t="str">
        <f t="shared" si="60"/>
        <v>Z05</v>
      </c>
      <c r="S83" s="352" t="str">
        <f t="shared" si="60"/>
        <v>Z06</v>
      </c>
      <c r="T83" s="352" t="str">
        <f t="shared" si="60"/>
        <v>Z07</v>
      </c>
      <c r="U83" s="352" t="str">
        <f t="shared" si="60"/>
        <v>Z08</v>
      </c>
      <c r="V83" s="352" t="str">
        <f t="shared" si="60"/>
        <v>Z09</v>
      </c>
      <c r="W83" s="352" t="str">
        <f t="shared" si="60"/>
        <v>Z10</v>
      </c>
      <c r="X83" s="352" t="str">
        <f t="shared" si="60"/>
        <v>Z11</v>
      </c>
      <c r="Y83" s="352" t="str">
        <f t="shared" si="60"/>
        <v>Z12</v>
      </c>
      <c r="Z83" s="352" t="str">
        <f t="shared" si="60"/>
        <v>Z13</v>
      </c>
      <c r="AA83" s="352" t="str">
        <f t="shared" si="60"/>
        <v>Z14</v>
      </c>
      <c r="AB83" s="352" t="str">
        <f t="shared" si="60"/>
        <v>Z15</v>
      </c>
      <c r="AC83" s="355"/>
      <c r="AD83" s="552"/>
      <c r="AE83" s="552" t="str">
        <f t="shared" ref="AE83:AT83" si="61">AE40</f>
        <v>TOTAL</v>
      </c>
      <c r="AF83" s="552" t="str">
        <f t="shared" si="61"/>
        <v>Z01</v>
      </c>
      <c r="AG83" s="552" t="str">
        <f t="shared" si="61"/>
        <v>Z02</v>
      </c>
      <c r="AH83" s="552" t="str">
        <f t="shared" si="61"/>
        <v>Z03</v>
      </c>
      <c r="AI83" s="552" t="str">
        <f t="shared" si="61"/>
        <v>Z04</v>
      </c>
      <c r="AJ83" s="552" t="str">
        <f t="shared" si="61"/>
        <v>Z05</v>
      </c>
      <c r="AK83" s="552" t="str">
        <f t="shared" si="61"/>
        <v>Z06</v>
      </c>
      <c r="AL83" s="552" t="str">
        <f t="shared" si="61"/>
        <v>Z07</v>
      </c>
      <c r="AM83" s="552" t="str">
        <f t="shared" si="61"/>
        <v>Z08</v>
      </c>
      <c r="AN83" s="552" t="str">
        <f t="shared" si="61"/>
        <v>Z09</v>
      </c>
      <c r="AO83" s="552" t="str">
        <f t="shared" si="61"/>
        <v>Z10</v>
      </c>
      <c r="AP83" s="552" t="str">
        <f t="shared" si="61"/>
        <v>Z11</v>
      </c>
      <c r="AQ83" s="552" t="str">
        <f t="shared" si="61"/>
        <v>Z12</v>
      </c>
      <c r="AR83" s="552" t="str">
        <f t="shared" si="61"/>
        <v>Z13</v>
      </c>
      <c r="AS83" s="552" t="str">
        <f t="shared" si="61"/>
        <v>Z14</v>
      </c>
      <c r="AT83" s="552" t="str">
        <f t="shared" si="61"/>
        <v>Z15</v>
      </c>
      <c r="AU83" s="82"/>
      <c r="AV83" s="82"/>
      <c r="AW83" s="82"/>
      <c r="AX83" s="82"/>
      <c r="AY83" s="82"/>
      <c r="AZ83" s="82"/>
    </row>
    <row r="84" spans="1:52" s="82" customFormat="1" x14ac:dyDescent="0.25">
      <c r="A84" s="35"/>
      <c r="B84" s="176"/>
      <c r="C84" s="176"/>
      <c r="D84" s="176" t="s">
        <v>1062</v>
      </c>
      <c r="E84" s="176"/>
      <c r="F84" s="176"/>
      <c r="G84" s="176"/>
      <c r="H84" s="176"/>
      <c r="I84" s="177"/>
      <c r="J84" s="176"/>
      <c r="K84" s="176"/>
      <c r="L84" s="176"/>
      <c r="M84" s="202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35"/>
      <c r="AD84" s="398" t="s">
        <v>1124</v>
      </c>
      <c r="AE84" s="625" t="str">
        <f>IF(AE85-SUM(N10:AB11)&lt;0,"too small",IF(AE85-SUM(N10:AB11)&gt;0.05,"Too big","ok"))</f>
        <v>ok</v>
      </c>
      <c r="AF84" s="619" t="str">
        <f t="shared" ref="AF84:AT84" si="62">IF(AF85-SUM(N10:N11)&lt;0,"too small",IF(AF85-SUM(N10:N11)&gt;0.05,"Too big","ok"))</f>
        <v>ok</v>
      </c>
      <c r="AG84" s="619" t="str">
        <f t="shared" si="62"/>
        <v>ok</v>
      </c>
      <c r="AH84" s="619" t="str">
        <f t="shared" si="62"/>
        <v>ok</v>
      </c>
      <c r="AI84" s="619" t="str">
        <f t="shared" si="62"/>
        <v>ok</v>
      </c>
      <c r="AJ84" s="619" t="str">
        <f t="shared" si="62"/>
        <v>ok</v>
      </c>
      <c r="AK84" s="619" t="str">
        <f t="shared" si="62"/>
        <v>ok</v>
      </c>
      <c r="AL84" s="619" t="str">
        <f t="shared" si="62"/>
        <v>ok</v>
      </c>
      <c r="AM84" s="619" t="str">
        <f t="shared" si="62"/>
        <v>ok</v>
      </c>
      <c r="AN84" s="619" t="str">
        <f t="shared" si="62"/>
        <v>ok</v>
      </c>
      <c r="AO84" s="619" t="str">
        <f t="shared" si="62"/>
        <v>ok</v>
      </c>
      <c r="AP84" s="619" t="str">
        <f t="shared" si="62"/>
        <v>ok</v>
      </c>
      <c r="AQ84" s="619" t="str">
        <f t="shared" si="62"/>
        <v>ok</v>
      </c>
      <c r="AR84" s="619" t="str">
        <f t="shared" si="62"/>
        <v>ok</v>
      </c>
      <c r="AS84" s="619" t="str">
        <f t="shared" si="62"/>
        <v>ok</v>
      </c>
      <c r="AT84" s="619" t="str">
        <f t="shared" si="62"/>
        <v>ok</v>
      </c>
      <c r="AU84" s="22"/>
      <c r="AV84" s="22"/>
      <c r="AW84" s="22"/>
      <c r="AX84" s="22"/>
      <c r="AY84" s="22"/>
      <c r="AZ84" s="22"/>
    </row>
    <row r="85" spans="1:52" s="22" customFormat="1" x14ac:dyDescent="0.25">
      <c r="A85" s="82"/>
      <c r="B85" s="178" t="str">
        <f>C85</f>
        <v>TFLEBDL900</v>
      </c>
      <c r="C85" s="178" t="s">
        <v>127</v>
      </c>
      <c r="D85" s="179" t="s">
        <v>805</v>
      </c>
      <c r="E85" s="407" t="s">
        <v>988</v>
      </c>
      <c r="F85" s="182"/>
      <c r="G85" s="181"/>
      <c r="H85" s="182"/>
      <c r="I85" s="183"/>
      <c r="J85" s="184"/>
      <c r="K85" s="184"/>
      <c r="L85" s="203" t="s">
        <v>1107</v>
      </c>
      <c r="M85" s="184" t="s">
        <v>1125</v>
      </c>
      <c r="N85" s="378">
        <v>1E-3</v>
      </c>
      <c r="O85" s="378">
        <f t="shared" ref="O85:AB85" si="63">$N85</f>
        <v>1E-3</v>
      </c>
      <c r="P85" s="378">
        <f t="shared" si="63"/>
        <v>1E-3</v>
      </c>
      <c r="Q85" s="378">
        <f t="shared" si="63"/>
        <v>1E-3</v>
      </c>
      <c r="R85" s="378">
        <f t="shared" si="63"/>
        <v>1E-3</v>
      </c>
      <c r="S85" s="378">
        <f t="shared" si="63"/>
        <v>1E-3</v>
      </c>
      <c r="T85" s="378">
        <f t="shared" si="63"/>
        <v>1E-3</v>
      </c>
      <c r="U85" s="378">
        <f t="shared" si="63"/>
        <v>1E-3</v>
      </c>
      <c r="V85" s="378">
        <f t="shared" si="63"/>
        <v>1E-3</v>
      </c>
      <c r="W85" s="378">
        <f t="shared" si="63"/>
        <v>1E-3</v>
      </c>
      <c r="X85" s="378">
        <f t="shared" si="63"/>
        <v>1E-3</v>
      </c>
      <c r="Y85" s="378">
        <f t="shared" si="63"/>
        <v>1E-3</v>
      </c>
      <c r="Z85" s="378">
        <f t="shared" si="63"/>
        <v>1E-3</v>
      </c>
      <c r="AA85" s="378">
        <f t="shared" si="63"/>
        <v>1E-3</v>
      </c>
      <c r="AB85" s="378">
        <f t="shared" si="63"/>
        <v>1E-3</v>
      </c>
      <c r="AC85" s="83"/>
      <c r="AD85" s="86" t="str">
        <f>MID(D85,13,3)</f>
        <v>BDL</v>
      </c>
      <c r="AE85" s="572">
        <f>SUM(AF85:AT85)</f>
        <v>0</v>
      </c>
      <c r="AF85" s="586">
        <f>SUM(AF89:AF218)</f>
        <v>0</v>
      </c>
      <c r="AG85" s="586">
        <f t="shared" ref="AG85:AT85" si="64">SUM(AG89:AG218)</f>
        <v>0</v>
      </c>
      <c r="AH85" s="586">
        <f t="shared" si="64"/>
        <v>0</v>
      </c>
      <c r="AI85" s="586">
        <f t="shared" si="64"/>
        <v>0</v>
      </c>
      <c r="AJ85" s="586">
        <f t="shared" si="64"/>
        <v>0</v>
      </c>
      <c r="AK85" s="586">
        <f t="shared" si="64"/>
        <v>0</v>
      </c>
      <c r="AL85" s="586">
        <f t="shared" si="64"/>
        <v>0</v>
      </c>
      <c r="AM85" s="586">
        <f t="shared" si="64"/>
        <v>0</v>
      </c>
      <c r="AN85" s="586">
        <f t="shared" si="64"/>
        <v>0</v>
      </c>
      <c r="AO85" s="586">
        <f t="shared" si="64"/>
        <v>0</v>
      </c>
      <c r="AP85" s="586">
        <f t="shared" si="64"/>
        <v>0</v>
      </c>
      <c r="AQ85" s="586">
        <f t="shared" si="64"/>
        <v>0</v>
      </c>
      <c r="AR85" s="586">
        <f t="shared" si="64"/>
        <v>0</v>
      </c>
      <c r="AS85" s="586">
        <f t="shared" si="64"/>
        <v>0</v>
      </c>
      <c r="AT85" s="586">
        <f t="shared" si="64"/>
        <v>0</v>
      </c>
      <c r="AU85" s="83"/>
      <c r="AV85" s="83"/>
      <c r="AW85" s="83"/>
      <c r="AX85" s="83"/>
      <c r="AY85" s="83"/>
      <c r="AZ85" s="83"/>
    </row>
    <row r="86" spans="1:52" s="83" customFormat="1" x14ac:dyDescent="0.25">
      <c r="B86" s="178" t="str">
        <f>B85</f>
        <v>TFLEBDL900</v>
      </c>
      <c r="C86" s="178"/>
      <c r="D86" s="179"/>
      <c r="E86" s="178"/>
      <c r="F86" s="182"/>
      <c r="G86" s="173" t="s">
        <v>637</v>
      </c>
      <c r="H86" s="182"/>
      <c r="I86" s="183"/>
      <c r="J86" s="184"/>
      <c r="K86" s="184"/>
      <c r="L86" s="184" t="s">
        <v>1126</v>
      </c>
      <c r="M86" s="184" t="s">
        <v>678</v>
      </c>
      <c r="N86" s="676">
        <f>T_CEFF!H227</f>
        <v>0.53476000000000001</v>
      </c>
      <c r="O86" s="676">
        <f>T_CEFF!I227</f>
        <v>0.53476000000000001</v>
      </c>
      <c r="P86" s="676">
        <f>T_CEFF!J227</f>
        <v>0.53476000000000001</v>
      </c>
      <c r="Q86" s="676">
        <f>T_CEFF!K227</f>
        <v>0.53476000000000001</v>
      </c>
      <c r="R86" s="676">
        <f>T_CEFF!L227</f>
        <v>0.53476000000000001</v>
      </c>
      <c r="S86" s="676">
        <f>T_CEFF!M227</f>
        <v>0.53476000000000001</v>
      </c>
      <c r="T86" s="676">
        <f>T_CEFF!N227</f>
        <v>0.53476000000000001</v>
      </c>
      <c r="U86" s="676">
        <f>T_CEFF!O227</f>
        <v>0.53476000000000001</v>
      </c>
      <c r="V86" s="676">
        <f>T_CEFF!P227</f>
        <v>0.53476000000000001</v>
      </c>
      <c r="W86" s="676">
        <f>T_CEFF!Q227</f>
        <v>0.53476000000000001</v>
      </c>
      <c r="X86" s="676">
        <f>T_CEFF!R227</f>
        <v>0.53476000000000001</v>
      </c>
      <c r="Y86" s="676">
        <f>T_CEFF!S227</f>
        <v>0.53476000000000001</v>
      </c>
      <c r="Z86" s="676">
        <f>T_CEFF!T227</f>
        <v>0.53476000000000001</v>
      </c>
      <c r="AA86" s="676">
        <f>T_CEFF!U227</f>
        <v>0.53476000000000001</v>
      </c>
      <c r="AB86" s="676">
        <f>T_CEFF!V227</f>
        <v>0.53476000000000001</v>
      </c>
      <c r="AD86" s="66" t="str">
        <f>IF(COUNTIF($AH$4:$AQ$4,AD85)=1,"ok","MISSING")</f>
        <v>ok</v>
      </c>
      <c r="AE86" s="362"/>
      <c r="AF86" s="89"/>
    </row>
    <row r="87" spans="1:52" s="83" customFormat="1" x14ac:dyDescent="0.25">
      <c r="B87" s="178" t="str">
        <f t="shared" ref="B87:B96" si="65">B86</f>
        <v>TFLEBDL900</v>
      </c>
      <c r="C87" s="178"/>
      <c r="D87" s="179"/>
      <c r="E87" s="178"/>
      <c r="F87" s="182"/>
      <c r="G87" s="173" t="s">
        <v>640</v>
      </c>
      <c r="H87" s="182"/>
      <c r="I87" s="183"/>
      <c r="J87" s="184"/>
      <c r="K87" s="184"/>
      <c r="L87" s="184" t="s">
        <v>1126</v>
      </c>
      <c r="M87" s="184" t="s">
        <v>678</v>
      </c>
      <c r="N87" s="676">
        <f>T_CEFF!H228</f>
        <v>0.46948000000000001</v>
      </c>
      <c r="O87" s="676">
        <f>T_CEFF!I228</f>
        <v>0.46948000000000001</v>
      </c>
      <c r="P87" s="676">
        <f>T_CEFF!J228</f>
        <v>0.46948000000000001</v>
      </c>
      <c r="Q87" s="676">
        <f>T_CEFF!K228</f>
        <v>0.46948000000000001</v>
      </c>
      <c r="R87" s="676">
        <f>T_CEFF!L228</f>
        <v>0.46948000000000001</v>
      </c>
      <c r="S87" s="676">
        <f>T_CEFF!M228</f>
        <v>0.46948000000000001</v>
      </c>
      <c r="T87" s="676">
        <f>T_CEFF!N228</f>
        <v>0.46948000000000001</v>
      </c>
      <c r="U87" s="676">
        <f>T_CEFF!O228</f>
        <v>0.46948000000000001</v>
      </c>
      <c r="V87" s="676">
        <f>T_CEFF!P228</f>
        <v>0.46948000000000001</v>
      </c>
      <c r="W87" s="676">
        <f>T_CEFF!Q228</f>
        <v>0.46948000000000001</v>
      </c>
      <c r="X87" s="676">
        <f>T_CEFF!R228</f>
        <v>0.46948000000000001</v>
      </c>
      <c r="Y87" s="676">
        <f>T_CEFF!S228</f>
        <v>0.46948000000000001</v>
      </c>
      <c r="Z87" s="676">
        <f>T_CEFF!T228</f>
        <v>0.46948000000000001</v>
      </c>
      <c r="AA87" s="676">
        <f>T_CEFF!U228</f>
        <v>0.46948000000000001</v>
      </c>
      <c r="AB87" s="676">
        <f>T_CEFF!V228</f>
        <v>0.46948000000000001</v>
      </c>
    </row>
    <row r="88" spans="1:52" s="83" customFormat="1" x14ac:dyDescent="0.25">
      <c r="B88" s="178" t="str">
        <f>B87</f>
        <v>TFLEBDL900</v>
      </c>
      <c r="C88" s="178"/>
      <c r="D88" s="179"/>
      <c r="E88" s="178"/>
      <c r="F88" s="182"/>
      <c r="G88" s="181"/>
      <c r="H88" s="182"/>
      <c r="I88" s="183"/>
      <c r="J88" s="184"/>
      <c r="K88" s="184" t="s">
        <v>749</v>
      </c>
      <c r="L88" s="184" t="s">
        <v>1128</v>
      </c>
      <c r="M88" s="184" t="s">
        <v>1175</v>
      </c>
      <c r="N88" s="388">
        <f>N$23</f>
        <v>0.76</v>
      </c>
      <c r="O88" s="388">
        <f t="shared" ref="O88:AB88" si="66">O$23</f>
        <v>0</v>
      </c>
      <c r="P88" s="388">
        <f t="shared" si="66"/>
        <v>0</v>
      </c>
      <c r="Q88" s="388">
        <f t="shared" si="66"/>
        <v>0</v>
      </c>
      <c r="R88" s="388">
        <f t="shared" si="66"/>
        <v>0</v>
      </c>
      <c r="S88" s="388">
        <f t="shared" si="66"/>
        <v>0</v>
      </c>
      <c r="T88" s="388">
        <f t="shared" si="66"/>
        <v>0</v>
      </c>
      <c r="U88" s="388">
        <f t="shared" si="66"/>
        <v>0</v>
      </c>
      <c r="V88" s="388">
        <f t="shared" si="66"/>
        <v>0</v>
      </c>
      <c r="W88" s="388">
        <f t="shared" si="66"/>
        <v>0</v>
      </c>
      <c r="X88" s="388">
        <f t="shared" si="66"/>
        <v>0</v>
      </c>
      <c r="Y88" s="388">
        <f t="shared" si="66"/>
        <v>0</v>
      </c>
      <c r="Z88" s="388">
        <f t="shared" si="66"/>
        <v>0</v>
      </c>
      <c r="AA88" s="388">
        <f t="shared" si="66"/>
        <v>0</v>
      </c>
      <c r="AB88" s="388">
        <f t="shared" si="66"/>
        <v>0</v>
      </c>
    </row>
    <row r="89" spans="1:52" s="83" customFormat="1" x14ac:dyDescent="0.25">
      <c r="B89" s="178" t="str">
        <f t="shared" si="65"/>
        <v>TFLEBDL900</v>
      </c>
      <c r="C89" s="178"/>
      <c r="D89" s="179"/>
      <c r="E89" s="178"/>
      <c r="F89" s="182"/>
      <c r="G89" s="181"/>
      <c r="H89" s="182"/>
      <c r="I89" s="183"/>
      <c r="J89" s="184"/>
      <c r="K89" s="184"/>
      <c r="L89" s="203" t="s">
        <v>1130</v>
      </c>
      <c r="M89" s="184" t="s">
        <v>1131</v>
      </c>
      <c r="N89" s="397">
        <f>LOOKUP($C$85, T_NCAP_AF!$C$140:$C$150, T_NCAP_AF!D$140:D$150)*(1+N79)</f>
        <v>0</v>
      </c>
      <c r="O89" s="397">
        <f>LOOKUP($C$85, T_NCAP_AF!$C$140:$C$150, T_NCAP_AF!E$140:E$150)*(1+O79)</f>
        <v>0</v>
      </c>
      <c r="P89" s="397">
        <f>LOOKUP($C$85, T_NCAP_AF!$C$140:$C$150, T_NCAP_AF!F$140:F$150)*(1+P79)</f>
        <v>0</v>
      </c>
      <c r="Q89" s="397">
        <f>LOOKUP($C$85, T_NCAP_AF!$C$140:$C$150, T_NCAP_AF!G$140:G$150)*(1+Q79)</f>
        <v>0</v>
      </c>
      <c r="R89" s="397">
        <f>LOOKUP($C$85, T_NCAP_AF!$C$140:$C$150, T_NCAP_AF!H$140:H$150)*(1+R79)</f>
        <v>0</v>
      </c>
      <c r="S89" s="397">
        <f>LOOKUP($C$85, T_NCAP_AF!$C$140:$C$150, T_NCAP_AF!I$140:I$150)*(1+S79)</f>
        <v>0</v>
      </c>
      <c r="T89" s="397">
        <f>LOOKUP($C$85, T_NCAP_AF!$C$140:$C$150, T_NCAP_AF!J$140:J$150)*(1+T79)</f>
        <v>0</v>
      </c>
      <c r="U89" s="397">
        <f>LOOKUP($C$85, T_NCAP_AF!$C$140:$C$150, T_NCAP_AF!K$140:K$150)*(1+U79)</f>
        <v>0</v>
      </c>
      <c r="V89" s="397">
        <f>LOOKUP($C$85, T_NCAP_AF!$C$140:$C$150, T_NCAP_AF!L$140:L$150)*(1+V79)</f>
        <v>0</v>
      </c>
      <c r="W89" s="397">
        <f>LOOKUP($C$85, T_NCAP_AF!$C$140:$C$150, T_NCAP_AF!M$140:M$150)*(1+W79)</f>
        <v>0</v>
      </c>
      <c r="X89" s="397">
        <f>LOOKUP($C$85, T_NCAP_AF!$C$140:$C$150, T_NCAP_AF!N$140:N$150)*(1+X79)</f>
        <v>0</v>
      </c>
      <c r="Y89" s="397">
        <f>LOOKUP($C$85, T_NCAP_AF!$C$140:$C$150, T_NCAP_AF!O$140:O$150)*(1+Y79)</f>
        <v>0</v>
      </c>
      <c r="Z89" s="397">
        <f>LOOKUP($C$85, T_NCAP_AF!$C$140:$C$150, T_NCAP_AF!P$140:P$150)*(1+Z79)</f>
        <v>0</v>
      </c>
      <c r="AA89" s="397">
        <f>LOOKUP($C$85, T_NCAP_AF!$C$140:$C$150, T_NCAP_AF!Q$140:Q$150)*(1+AA79)</f>
        <v>0</v>
      </c>
      <c r="AB89" s="397">
        <f>LOOKUP($C$85, T_NCAP_AF!$C$140:$C$150, T_NCAP_AF!R$140:R$150)*(1+AB79)</f>
        <v>0</v>
      </c>
      <c r="AE89" s="572">
        <f>SUM(AF89:AT89)</f>
        <v>0</v>
      </c>
      <c r="AF89" s="85">
        <f t="shared" ref="AF89:AT89" si="67">N88*N89*N90/1000</f>
        <v>0</v>
      </c>
      <c r="AG89" s="85">
        <f t="shared" si="67"/>
        <v>0</v>
      </c>
      <c r="AH89" s="85">
        <f t="shared" si="67"/>
        <v>0</v>
      </c>
      <c r="AI89" s="85">
        <f t="shared" si="67"/>
        <v>0</v>
      </c>
      <c r="AJ89" s="85">
        <f t="shared" si="67"/>
        <v>0</v>
      </c>
      <c r="AK89" s="85">
        <f t="shared" si="67"/>
        <v>0</v>
      </c>
      <c r="AL89" s="85">
        <f t="shared" si="67"/>
        <v>0</v>
      </c>
      <c r="AM89" s="85">
        <f t="shared" si="67"/>
        <v>0</v>
      </c>
      <c r="AN89" s="85">
        <f t="shared" si="67"/>
        <v>0</v>
      </c>
      <c r="AO89" s="85">
        <f t="shared" si="67"/>
        <v>0</v>
      </c>
      <c r="AP89" s="85">
        <f t="shared" si="67"/>
        <v>0</v>
      </c>
      <c r="AQ89" s="85">
        <f t="shared" si="67"/>
        <v>0</v>
      </c>
      <c r="AR89" s="85">
        <f t="shared" si="67"/>
        <v>0</v>
      </c>
      <c r="AS89" s="85">
        <f t="shared" si="67"/>
        <v>0</v>
      </c>
      <c r="AT89" s="85">
        <f t="shared" si="67"/>
        <v>0</v>
      </c>
    </row>
    <row r="90" spans="1:52" s="83" customFormat="1" x14ac:dyDescent="0.25">
      <c r="B90" s="178" t="str">
        <f>B89</f>
        <v>TFLEBDL900</v>
      </c>
      <c r="C90" s="178"/>
      <c r="D90" s="179"/>
      <c r="E90" s="178"/>
      <c r="F90" s="182"/>
      <c r="G90" s="181"/>
      <c r="H90" s="182"/>
      <c r="I90" s="183">
        <f>$M$3</f>
        <v>2019</v>
      </c>
      <c r="J90" s="184"/>
      <c r="K90" s="184"/>
      <c r="L90" s="203" t="s">
        <v>1065</v>
      </c>
      <c r="M90" s="184" t="s">
        <v>748</v>
      </c>
      <c r="N90" s="694">
        <f>LOOKUP($C$85, 'T_Stock_TOTAL_&amp;_City'!$C$90:$C$100, 'T_Stock_TOTAL_&amp;_City'!D$90:D$100)*(1+N80)</f>
        <v>0</v>
      </c>
      <c r="O90" s="694">
        <f>LOOKUP($C$85, 'T_Stock_TOTAL_&amp;_City'!$C$90:$C$100, 'T_Stock_TOTAL_&amp;_City'!E$90:E$100)*(1+O80)</f>
        <v>0</v>
      </c>
      <c r="P90" s="694">
        <f>LOOKUP($C$85, 'T_Stock_TOTAL_&amp;_City'!$C$90:$C$100, 'T_Stock_TOTAL_&amp;_City'!F$90:F$100)*(1+P80)</f>
        <v>0</v>
      </c>
      <c r="Q90" s="694">
        <f>LOOKUP($C$85, 'T_Stock_TOTAL_&amp;_City'!$C$90:$C$100, 'T_Stock_TOTAL_&amp;_City'!G$90:G$100)*(1+Q80)</f>
        <v>0</v>
      </c>
      <c r="R90" s="694">
        <f>LOOKUP($C$85, 'T_Stock_TOTAL_&amp;_City'!$C$90:$C$100, 'T_Stock_TOTAL_&amp;_City'!H$90:H$100)*(1+R80)</f>
        <v>0</v>
      </c>
      <c r="S90" s="694">
        <f>LOOKUP($C$85, 'T_Stock_TOTAL_&amp;_City'!$C$90:$C$100, 'T_Stock_TOTAL_&amp;_City'!I$90:I$100)*(1+S80)</f>
        <v>0</v>
      </c>
      <c r="T90" s="694">
        <f>LOOKUP($C$85, 'T_Stock_TOTAL_&amp;_City'!$C$90:$C$100, 'T_Stock_TOTAL_&amp;_City'!J$90:J$100)*(1+T80)</f>
        <v>0</v>
      </c>
      <c r="U90" s="694">
        <f>LOOKUP($C$85, 'T_Stock_TOTAL_&amp;_City'!$C$90:$C$100, 'T_Stock_TOTAL_&amp;_City'!K$90:K$100)*(1+U80)</f>
        <v>0</v>
      </c>
      <c r="V90" s="694">
        <f>LOOKUP($C$85, 'T_Stock_TOTAL_&amp;_City'!$C$90:$C$100, 'T_Stock_TOTAL_&amp;_City'!L$90:L$100)*(1+V80)</f>
        <v>0</v>
      </c>
      <c r="W90" s="694">
        <f>LOOKUP($C$85, 'T_Stock_TOTAL_&amp;_City'!$C$90:$C$100, 'T_Stock_TOTAL_&amp;_City'!M$90:M$100)*(1+W80)</f>
        <v>0</v>
      </c>
      <c r="X90" s="694">
        <f>LOOKUP($C$85, 'T_Stock_TOTAL_&amp;_City'!$C$90:$C$100, 'T_Stock_TOTAL_&amp;_City'!N$90:N$100)*(1+X80)</f>
        <v>0</v>
      </c>
      <c r="Y90" s="694">
        <f>LOOKUP($C$85, 'T_Stock_TOTAL_&amp;_City'!$C$90:$C$100, 'T_Stock_TOTAL_&amp;_City'!O$90:O$100)*(1+Y80)</f>
        <v>0</v>
      </c>
      <c r="Z90" s="694">
        <f>LOOKUP($C$85, 'T_Stock_TOTAL_&amp;_City'!$C$90:$C$100, 'T_Stock_TOTAL_&amp;_City'!P$90:P$100)*(1+Z80)</f>
        <v>0</v>
      </c>
      <c r="AA90" s="694">
        <f>LOOKUP($C$85, 'T_Stock_TOTAL_&amp;_City'!$C$90:$C$100, 'T_Stock_TOTAL_&amp;_City'!Q$90:Q$100)*(1+AA80)</f>
        <v>0</v>
      </c>
      <c r="AB90" s="694">
        <f>LOOKUP($C$85, 'T_Stock_TOTAL_&amp;_City'!$C$90:$C$100, 'T_Stock_TOTAL_&amp;_City'!R$90:R$100)*(1+AB80)</f>
        <v>0</v>
      </c>
    </row>
    <row r="91" spans="1:52" s="83" customFormat="1" x14ac:dyDescent="0.25">
      <c r="B91" s="178" t="str">
        <f t="shared" si="65"/>
        <v>TFLEBDL900</v>
      </c>
      <c r="C91" s="178"/>
      <c r="D91" s="179"/>
      <c r="E91" s="178"/>
      <c r="F91" s="182"/>
      <c r="G91" s="181"/>
      <c r="H91" s="182"/>
      <c r="I91" s="183">
        <f>AF$5</f>
        <v>2016</v>
      </c>
      <c r="J91" s="184"/>
      <c r="K91" s="184"/>
      <c r="L91" s="203" t="s">
        <v>1065</v>
      </c>
      <c r="M91" s="184" t="s">
        <v>748</v>
      </c>
      <c r="N91" s="694">
        <f t="shared" ref="N91:AB91" si="68">N90*LOOKUP($AD85,$AH$4:$AQ$4,$AH$5:$AQ$5)</f>
        <v>0</v>
      </c>
      <c r="O91" s="694">
        <f t="shared" si="68"/>
        <v>0</v>
      </c>
      <c r="P91" s="694">
        <f t="shared" si="68"/>
        <v>0</v>
      </c>
      <c r="Q91" s="694">
        <f t="shared" si="68"/>
        <v>0</v>
      </c>
      <c r="R91" s="694">
        <f t="shared" si="68"/>
        <v>0</v>
      </c>
      <c r="S91" s="694">
        <f t="shared" si="68"/>
        <v>0</v>
      </c>
      <c r="T91" s="694">
        <f t="shared" si="68"/>
        <v>0</v>
      </c>
      <c r="U91" s="694">
        <f t="shared" si="68"/>
        <v>0</v>
      </c>
      <c r="V91" s="694">
        <f t="shared" si="68"/>
        <v>0</v>
      </c>
      <c r="W91" s="694">
        <f t="shared" si="68"/>
        <v>0</v>
      </c>
      <c r="X91" s="694">
        <f t="shared" si="68"/>
        <v>0</v>
      </c>
      <c r="Y91" s="694">
        <f t="shared" si="68"/>
        <v>0</v>
      </c>
      <c r="Z91" s="694">
        <f t="shared" si="68"/>
        <v>0</v>
      </c>
      <c r="AA91" s="694">
        <f t="shared" si="68"/>
        <v>0</v>
      </c>
      <c r="AB91" s="694">
        <f t="shared" si="68"/>
        <v>0</v>
      </c>
    </row>
    <row r="92" spans="1:52" s="83" customFormat="1" x14ac:dyDescent="0.25">
      <c r="B92" s="178" t="str">
        <f t="shared" si="65"/>
        <v>TFLEBDL900</v>
      </c>
      <c r="C92" s="178"/>
      <c r="D92" s="179"/>
      <c r="E92" s="178"/>
      <c r="F92" s="182"/>
      <c r="G92" s="181"/>
      <c r="H92" s="182"/>
      <c r="I92" s="183">
        <f>AF$6</f>
        <v>2020</v>
      </c>
      <c r="J92" s="184"/>
      <c r="K92" s="184"/>
      <c r="L92" s="203" t="s">
        <v>1065</v>
      </c>
      <c r="M92" s="184" t="s">
        <v>748</v>
      </c>
      <c r="N92" s="694">
        <f t="shared" ref="N92:AB92" si="69">N90*LOOKUP($AD85,$AH$4:$AQ$4,$AH$6:$AQ$6)</f>
        <v>0</v>
      </c>
      <c r="O92" s="694">
        <f t="shared" si="69"/>
        <v>0</v>
      </c>
      <c r="P92" s="694">
        <f t="shared" si="69"/>
        <v>0</v>
      </c>
      <c r="Q92" s="694">
        <f t="shared" si="69"/>
        <v>0</v>
      </c>
      <c r="R92" s="694">
        <f t="shared" si="69"/>
        <v>0</v>
      </c>
      <c r="S92" s="694">
        <f t="shared" si="69"/>
        <v>0</v>
      </c>
      <c r="T92" s="694">
        <f t="shared" si="69"/>
        <v>0</v>
      </c>
      <c r="U92" s="694">
        <f t="shared" si="69"/>
        <v>0</v>
      </c>
      <c r="V92" s="694">
        <f t="shared" si="69"/>
        <v>0</v>
      </c>
      <c r="W92" s="694">
        <f t="shared" si="69"/>
        <v>0</v>
      </c>
      <c r="X92" s="694">
        <f t="shared" si="69"/>
        <v>0</v>
      </c>
      <c r="Y92" s="694">
        <f t="shared" si="69"/>
        <v>0</v>
      </c>
      <c r="Z92" s="694">
        <f t="shared" si="69"/>
        <v>0</v>
      </c>
      <c r="AA92" s="694">
        <f t="shared" si="69"/>
        <v>0</v>
      </c>
      <c r="AB92" s="694">
        <f t="shared" si="69"/>
        <v>0</v>
      </c>
    </row>
    <row r="93" spans="1:52" s="83" customFormat="1" x14ac:dyDescent="0.25">
      <c r="B93" s="178" t="str">
        <f t="shared" si="65"/>
        <v>TFLEBDL900</v>
      </c>
      <c r="C93" s="178"/>
      <c r="D93" s="179"/>
      <c r="E93" s="178"/>
      <c r="F93" s="182"/>
      <c r="G93" s="181"/>
      <c r="H93" s="182"/>
      <c r="I93" s="183">
        <f>AF$7</f>
        <v>2025</v>
      </c>
      <c r="J93" s="184"/>
      <c r="K93" s="184"/>
      <c r="L93" s="203" t="s">
        <v>1065</v>
      </c>
      <c r="M93" s="184" t="s">
        <v>748</v>
      </c>
      <c r="N93" s="694">
        <f t="shared" ref="N93:AB93" si="70">N90*LOOKUP($AD85,$AH$4:$AQ$4,$AH$7:$AQ$7)</f>
        <v>0</v>
      </c>
      <c r="O93" s="694">
        <f t="shared" si="70"/>
        <v>0</v>
      </c>
      <c r="P93" s="694">
        <f t="shared" si="70"/>
        <v>0</v>
      </c>
      <c r="Q93" s="694">
        <f t="shared" si="70"/>
        <v>0</v>
      </c>
      <c r="R93" s="694">
        <f t="shared" si="70"/>
        <v>0</v>
      </c>
      <c r="S93" s="694">
        <f t="shared" si="70"/>
        <v>0</v>
      </c>
      <c r="T93" s="694">
        <f t="shared" si="70"/>
        <v>0</v>
      </c>
      <c r="U93" s="694">
        <f t="shared" si="70"/>
        <v>0</v>
      </c>
      <c r="V93" s="694">
        <f t="shared" si="70"/>
        <v>0</v>
      </c>
      <c r="W93" s="694">
        <f t="shared" si="70"/>
        <v>0</v>
      </c>
      <c r="X93" s="694">
        <f t="shared" si="70"/>
        <v>0</v>
      </c>
      <c r="Y93" s="694">
        <f t="shared" si="70"/>
        <v>0</v>
      </c>
      <c r="Z93" s="694">
        <f t="shared" si="70"/>
        <v>0</v>
      </c>
      <c r="AA93" s="694">
        <f t="shared" si="70"/>
        <v>0</v>
      </c>
      <c r="AB93" s="694">
        <f t="shared" si="70"/>
        <v>0</v>
      </c>
    </row>
    <row r="94" spans="1:52" s="83" customFormat="1" x14ac:dyDescent="0.25">
      <c r="B94" s="178" t="str">
        <f t="shared" si="65"/>
        <v>TFLEBDL900</v>
      </c>
      <c r="C94" s="178"/>
      <c r="D94" s="179"/>
      <c r="E94" s="178"/>
      <c r="F94" s="182"/>
      <c r="G94" s="181"/>
      <c r="H94" s="182"/>
      <c r="I94" s="183">
        <f>AF$8</f>
        <v>2030</v>
      </c>
      <c r="J94" s="184"/>
      <c r="K94" s="184"/>
      <c r="L94" s="203" t="s">
        <v>1065</v>
      </c>
      <c r="M94" s="184" t="s">
        <v>748</v>
      </c>
      <c r="N94" s="694">
        <f t="shared" ref="N94:AB94" si="71">N90*LOOKUP($AD85,$AH$4:$AQ$4,$AH$8:$AQ$8)</f>
        <v>0</v>
      </c>
      <c r="O94" s="694">
        <f t="shared" si="71"/>
        <v>0</v>
      </c>
      <c r="P94" s="694">
        <f t="shared" si="71"/>
        <v>0</v>
      </c>
      <c r="Q94" s="694">
        <f t="shared" si="71"/>
        <v>0</v>
      </c>
      <c r="R94" s="694">
        <f t="shared" si="71"/>
        <v>0</v>
      </c>
      <c r="S94" s="694">
        <f t="shared" si="71"/>
        <v>0</v>
      </c>
      <c r="T94" s="694">
        <f t="shared" si="71"/>
        <v>0</v>
      </c>
      <c r="U94" s="694">
        <f t="shared" si="71"/>
        <v>0</v>
      </c>
      <c r="V94" s="694">
        <f t="shared" si="71"/>
        <v>0</v>
      </c>
      <c r="W94" s="694">
        <f t="shared" si="71"/>
        <v>0</v>
      </c>
      <c r="X94" s="694">
        <f t="shared" si="71"/>
        <v>0</v>
      </c>
      <c r="Y94" s="694">
        <f t="shared" si="71"/>
        <v>0</v>
      </c>
      <c r="Z94" s="694">
        <f t="shared" si="71"/>
        <v>0</v>
      </c>
      <c r="AA94" s="694">
        <f t="shared" si="71"/>
        <v>0</v>
      </c>
      <c r="AB94" s="694">
        <f t="shared" si="71"/>
        <v>0</v>
      </c>
    </row>
    <row r="95" spans="1:52" s="83" customFormat="1" x14ac:dyDescent="0.25">
      <c r="B95" s="178" t="str">
        <f t="shared" si="65"/>
        <v>TFLEBDL900</v>
      </c>
      <c r="C95" s="178"/>
      <c r="D95" s="179"/>
      <c r="E95" s="178"/>
      <c r="F95" s="182"/>
      <c r="G95" s="181"/>
      <c r="H95" s="182"/>
      <c r="I95" s="183">
        <f>AF$9</f>
        <v>2040</v>
      </c>
      <c r="J95" s="184"/>
      <c r="K95" s="184"/>
      <c r="L95" s="203" t="s">
        <v>1065</v>
      </c>
      <c r="M95" s="184" t="s">
        <v>748</v>
      </c>
      <c r="N95" s="694">
        <f t="shared" ref="N95:AB95" si="72">N90*LOOKUP($AD85,$AH$4:$AQ$4,$AH$9:$AQ$9)</f>
        <v>0</v>
      </c>
      <c r="O95" s="694">
        <f t="shared" si="72"/>
        <v>0</v>
      </c>
      <c r="P95" s="694">
        <f t="shared" si="72"/>
        <v>0</v>
      </c>
      <c r="Q95" s="694">
        <f t="shared" si="72"/>
        <v>0</v>
      </c>
      <c r="R95" s="694">
        <f t="shared" si="72"/>
        <v>0</v>
      </c>
      <c r="S95" s="694">
        <f t="shared" si="72"/>
        <v>0</v>
      </c>
      <c r="T95" s="694">
        <f t="shared" si="72"/>
        <v>0</v>
      </c>
      <c r="U95" s="694">
        <f t="shared" si="72"/>
        <v>0</v>
      </c>
      <c r="V95" s="694">
        <f t="shared" si="72"/>
        <v>0</v>
      </c>
      <c r="W95" s="694">
        <f t="shared" si="72"/>
        <v>0</v>
      </c>
      <c r="X95" s="694">
        <f t="shared" si="72"/>
        <v>0</v>
      </c>
      <c r="Y95" s="694">
        <f t="shared" si="72"/>
        <v>0</v>
      </c>
      <c r="Z95" s="694">
        <f t="shared" si="72"/>
        <v>0</v>
      </c>
      <c r="AA95" s="694">
        <f t="shared" si="72"/>
        <v>0</v>
      </c>
      <c r="AB95" s="694">
        <f t="shared" si="72"/>
        <v>0</v>
      </c>
    </row>
    <row r="96" spans="1:52" s="83" customFormat="1" x14ac:dyDescent="0.25">
      <c r="B96" s="204" t="str">
        <f t="shared" si="65"/>
        <v>TFLEBDL900</v>
      </c>
      <c r="C96" s="204"/>
      <c r="D96" s="205"/>
      <c r="E96" s="204"/>
      <c r="F96" s="206"/>
      <c r="G96" s="207"/>
      <c r="H96" s="206"/>
      <c r="I96" s="208">
        <f>AF$10</f>
        <v>2050</v>
      </c>
      <c r="J96" s="209"/>
      <c r="K96" s="209"/>
      <c r="L96" s="210" t="s">
        <v>1065</v>
      </c>
      <c r="M96" s="209" t="s">
        <v>748</v>
      </c>
      <c r="N96" s="695">
        <f t="shared" ref="N96:AB96" si="73">N90*LOOKUP($AD85,$AH$4:$AQ$4,$AH$10:$AQ$10)</f>
        <v>0</v>
      </c>
      <c r="O96" s="695">
        <f t="shared" si="73"/>
        <v>0</v>
      </c>
      <c r="P96" s="695">
        <f t="shared" si="73"/>
        <v>0</v>
      </c>
      <c r="Q96" s="695">
        <f t="shared" si="73"/>
        <v>0</v>
      </c>
      <c r="R96" s="695">
        <f t="shared" si="73"/>
        <v>0</v>
      </c>
      <c r="S96" s="695">
        <f t="shared" si="73"/>
        <v>0</v>
      </c>
      <c r="T96" s="695">
        <f t="shared" si="73"/>
        <v>0</v>
      </c>
      <c r="U96" s="695">
        <f t="shared" si="73"/>
        <v>0</v>
      </c>
      <c r="V96" s="695">
        <f t="shared" si="73"/>
        <v>0</v>
      </c>
      <c r="W96" s="695">
        <f t="shared" si="73"/>
        <v>0</v>
      </c>
      <c r="X96" s="695">
        <f t="shared" si="73"/>
        <v>0</v>
      </c>
      <c r="Y96" s="695">
        <f t="shared" si="73"/>
        <v>0</v>
      </c>
      <c r="Z96" s="695">
        <f t="shared" si="73"/>
        <v>0</v>
      </c>
      <c r="AA96" s="695">
        <f t="shared" si="73"/>
        <v>0</v>
      </c>
      <c r="AB96" s="695">
        <f t="shared" si="73"/>
        <v>0</v>
      </c>
      <c r="AD96" s="409"/>
    </row>
    <row r="97" spans="1:46" s="83" customFormat="1" x14ac:dyDescent="0.25">
      <c r="A97" s="82"/>
      <c r="B97" s="178" t="str">
        <f>C97</f>
        <v>TFLEDST900</v>
      </c>
      <c r="C97" s="178" t="s">
        <v>128</v>
      </c>
      <c r="D97" s="179" t="s">
        <v>807</v>
      </c>
      <c r="E97" s="180" t="s">
        <v>185</v>
      </c>
      <c r="F97" s="182"/>
      <c r="G97" s="181"/>
      <c r="H97" s="182"/>
      <c r="I97" s="183"/>
      <c r="J97" s="184"/>
      <c r="K97" s="184"/>
      <c r="L97" s="203" t="s">
        <v>1107</v>
      </c>
      <c r="M97" s="184" t="s">
        <v>1125</v>
      </c>
      <c r="N97" s="378">
        <v>1E-3</v>
      </c>
      <c r="O97" s="378">
        <f t="shared" ref="O97:AB97" si="74">$N97</f>
        <v>1E-3</v>
      </c>
      <c r="P97" s="378">
        <f t="shared" si="74"/>
        <v>1E-3</v>
      </c>
      <c r="Q97" s="378">
        <f t="shared" si="74"/>
        <v>1E-3</v>
      </c>
      <c r="R97" s="378">
        <f t="shared" si="74"/>
        <v>1E-3</v>
      </c>
      <c r="S97" s="378">
        <f t="shared" si="74"/>
        <v>1E-3</v>
      </c>
      <c r="T97" s="378">
        <f t="shared" si="74"/>
        <v>1E-3</v>
      </c>
      <c r="U97" s="378">
        <f t="shared" si="74"/>
        <v>1E-3</v>
      </c>
      <c r="V97" s="378">
        <f t="shared" si="74"/>
        <v>1E-3</v>
      </c>
      <c r="W97" s="378">
        <f t="shared" si="74"/>
        <v>1E-3</v>
      </c>
      <c r="X97" s="378">
        <f t="shared" si="74"/>
        <v>1E-3</v>
      </c>
      <c r="Y97" s="378">
        <f t="shared" si="74"/>
        <v>1E-3</v>
      </c>
      <c r="Z97" s="378">
        <f t="shared" si="74"/>
        <v>1E-3</v>
      </c>
      <c r="AA97" s="378">
        <f t="shared" si="74"/>
        <v>1E-3</v>
      </c>
      <c r="AB97" s="378">
        <f t="shared" si="74"/>
        <v>1E-3</v>
      </c>
      <c r="AD97" s="86" t="str">
        <f>MID(D97,13,3)</f>
        <v>DST</v>
      </c>
    </row>
    <row r="98" spans="1:46" s="83" customFormat="1" x14ac:dyDescent="0.25">
      <c r="A98" s="82"/>
      <c r="B98" s="178" t="str">
        <f>B97</f>
        <v>TFLEDST900</v>
      </c>
      <c r="C98" s="178"/>
      <c r="D98" s="179"/>
      <c r="E98" s="407" t="s">
        <v>988</v>
      </c>
      <c r="F98" s="182"/>
      <c r="G98" s="181"/>
      <c r="H98" s="182"/>
      <c r="I98" s="183"/>
      <c r="J98" s="184" t="s">
        <v>1223</v>
      </c>
      <c r="K98" s="184"/>
      <c r="L98" s="203" t="s">
        <v>101</v>
      </c>
      <c r="M98" s="184"/>
      <c r="N98" s="390">
        <f>N$28</f>
        <v>0.15</v>
      </c>
      <c r="O98" s="390">
        <f t="shared" ref="O98:AB98" si="75">O$28</f>
        <v>0.15</v>
      </c>
      <c r="P98" s="390">
        <f t="shared" si="75"/>
        <v>0.15</v>
      </c>
      <c r="Q98" s="390">
        <f t="shared" si="75"/>
        <v>0.15</v>
      </c>
      <c r="R98" s="390">
        <f t="shared" si="75"/>
        <v>0.15</v>
      </c>
      <c r="S98" s="390">
        <f t="shared" si="75"/>
        <v>0.15</v>
      </c>
      <c r="T98" s="390">
        <f t="shared" si="75"/>
        <v>0.15</v>
      </c>
      <c r="U98" s="390">
        <f t="shared" si="75"/>
        <v>0.15</v>
      </c>
      <c r="V98" s="390">
        <f t="shared" si="75"/>
        <v>0.15</v>
      </c>
      <c r="W98" s="390">
        <f t="shared" si="75"/>
        <v>0.15</v>
      </c>
      <c r="X98" s="390">
        <f t="shared" si="75"/>
        <v>0.15</v>
      </c>
      <c r="Y98" s="390">
        <f t="shared" si="75"/>
        <v>0.15</v>
      </c>
      <c r="Z98" s="390">
        <f t="shared" si="75"/>
        <v>0.15</v>
      </c>
      <c r="AA98" s="390">
        <f t="shared" si="75"/>
        <v>0.15</v>
      </c>
      <c r="AB98" s="390">
        <f t="shared" si="75"/>
        <v>0.15</v>
      </c>
      <c r="AD98" s="66" t="str">
        <f>IF(COUNTIF($AH$4:$AQ$4,AD97)=1,"ok","MISSING")</f>
        <v>ok</v>
      </c>
      <c r="AE98" s="362"/>
      <c r="AF98" s="89"/>
    </row>
    <row r="99" spans="1:46" s="83" customFormat="1" x14ac:dyDescent="0.25">
      <c r="B99" s="178" t="str">
        <f t="shared" ref="B99:B109" si="76">B98</f>
        <v>TFLEDST900</v>
      </c>
      <c r="C99" s="178"/>
      <c r="D99" s="179"/>
      <c r="E99" s="178"/>
      <c r="F99" s="182"/>
      <c r="G99" s="173" t="s">
        <v>637</v>
      </c>
      <c r="H99" s="182"/>
      <c r="I99" s="183"/>
      <c r="J99" s="184"/>
      <c r="K99" s="184"/>
      <c r="L99" s="184" t="s">
        <v>1126</v>
      </c>
      <c r="M99" s="184" t="s">
        <v>678</v>
      </c>
      <c r="N99" s="676">
        <f>T_CEFF!H229</f>
        <v>0.53476000000000001</v>
      </c>
      <c r="O99" s="676">
        <f>T_CEFF!I229</f>
        <v>0.53476000000000001</v>
      </c>
      <c r="P99" s="676">
        <f>T_CEFF!J229</f>
        <v>0.53476000000000001</v>
      </c>
      <c r="Q99" s="676">
        <f>T_CEFF!K229</f>
        <v>0.53476000000000001</v>
      </c>
      <c r="R99" s="676">
        <f>T_CEFF!L229</f>
        <v>0.53476000000000001</v>
      </c>
      <c r="S99" s="676">
        <f>T_CEFF!M229</f>
        <v>0.53476000000000001</v>
      </c>
      <c r="T99" s="676">
        <f>T_CEFF!N229</f>
        <v>0.53476000000000001</v>
      </c>
      <c r="U99" s="676">
        <f>T_CEFF!O229</f>
        <v>0.53476000000000001</v>
      </c>
      <c r="V99" s="676">
        <f>T_CEFF!P229</f>
        <v>0.53476000000000001</v>
      </c>
      <c r="W99" s="676">
        <f>T_CEFF!Q229</f>
        <v>0.53476000000000001</v>
      </c>
      <c r="X99" s="676">
        <f>T_CEFF!R229</f>
        <v>0.53476000000000001</v>
      </c>
      <c r="Y99" s="676">
        <f>T_CEFF!S229</f>
        <v>0.53476000000000001</v>
      </c>
      <c r="Z99" s="676">
        <f>T_CEFF!T229</f>
        <v>0.53476000000000001</v>
      </c>
      <c r="AA99" s="676">
        <f>T_CEFF!U229</f>
        <v>0.53476000000000001</v>
      </c>
      <c r="AB99" s="676">
        <f>T_CEFF!V229</f>
        <v>0.53476000000000001</v>
      </c>
    </row>
    <row r="100" spans="1:46" s="83" customFormat="1" x14ac:dyDescent="0.25">
      <c r="B100" s="178" t="str">
        <f t="shared" si="76"/>
        <v>TFLEDST900</v>
      </c>
      <c r="C100" s="178"/>
      <c r="D100" s="179"/>
      <c r="E100" s="178"/>
      <c r="F100" s="182"/>
      <c r="G100" s="173" t="s">
        <v>640</v>
      </c>
      <c r="H100" s="182"/>
      <c r="I100" s="183"/>
      <c r="J100" s="184"/>
      <c r="K100" s="184"/>
      <c r="L100" s="184" t="s">
        <v>1126</v>
      </c>
      <c r="M100" s="184" t="s">
        <v>678</v>
      </c>
      <c r="N100" s="676">
        <f>T_CEFF!H230</f>
        <v>0.46948000000000001</v>
      </c>
      <c r="O100" s="676">
        <f>T_CEFF!I230</f>
        <v>0.46948000000000001</v>
      </c>
      <c r="P100" s="676">
        <f>T_CEFF!J230</f>
        <v>0.46948000000000001</v>
      </c>
      <c r="Q100" s="676">
        <f>T_CEFF!K230</f>
        <v>0.46948000000000001</v>
      </c>
      <c r="R100" s="676">
        <f>T_CEFF!L230</f>
        <v>0.46948000000000001</v>
      </c>
      <c r="S100" s="676">
        <f>T_CEFF!M230</f>
        <v>0.46948000000000001</v>
      </c>
      <c r="T100" s="676">
        <f>T_CEFF!N230</f>
        <v>0.46948000000000001</v>
      </c>
      <c r="U100" s="676">
        <f>T_CEFF!O230</f>
        <v>0.46948000000000001</v>
      </c>
      <c r="V100" s="676">
        <f>T_CEFF!P230</f>
        <v>0.46948000000000001</v>
      </c>
      <c r="W100" s="676">
        <f>T_CEFF!Q230</f>
        <v>0.46948000000000001</v>
      </c>
      <c r="X100" s="676">
        <f>T_CEFF!R230</f>
        <v>0.46948000000000001</v>
      </c>
      <c r="Y100" s="676">
        <f>T_CEFF!S230</f>
        <v>0.46948000000000001</v>
      </c>
      <c r="Z100" s="676">
        <f>T_CEFF!T230</f>
        <v>0.46948000000000001</v>
      </c>
      <c r="AA100" s="676">
        <f>T_CEFF!U230</f>
        <v>0.46948000000000001</v>
      </c>
      <c r="AB100" s="676">
        <f>T_CEFF!V230</f>
        <v>0.46948000000000001</v>
      </c>
    </row>
    <row r="101" spans="1:46" s="83" customFormat="1" x14ac:dyDescent="0.25">
      <c r="B101" s="178" t="str">
        <f>B100</f>
        <v>TFLEDST900</v>
      </c>
      <c r="C101" s="178"/>
      <c r="D101" s="179"/>
      <c r="E101" s="178"/>
      <c r="F101" s="182"/>
      <c r="G101" s="181"/>
      <c r="H101" s="182"/>
      <c r="I101" s="183"/>
      <c r="J101" s="184"/>
      <c r="K101" s="184" t="s">
        <v>749</v>
      </c>
      <c r="L101" s="184" t="s">
        <v>1128</v>
      </c>
      <c r="M101" s="184" t="s">
        <v>1175</v>
      </c>
      <c r="N101" s="388">
        <f>N$23</f>
        <v>0.76</v>
      </c>
      <c r="O101" s="388">
        <f t="shared" ref="O101:AB101" si="77">O$23</f>
        <v>0</v>
      </c>
      <c r="P101" s="388">
        <f t="shared" si="77"/>
        <v>0</v>
      </c>
      <c r="Q101" s="388">
        <f t="shared" si="77"/>
        <v>0</v>
      </c>
      <c r="R101" s="388">
        <f t="shared" si="77"/>
        <v>0</v>
      </c>
      <c r="S101" s="388">
        <f t="shared" si="77"/>
        <v>0</v>
      </c>
      <c r="T101" s="388">
        <f t="shared" si="77"/>
        <v>0</v>
      </c>
      <c r="U101" s="388">
        <f t="shared" si="77"/>
        <v>0</v>
      </c>
      <c r="V101" s="388">
        <f t="shared" si="77"/>
        <v>0</v>
      </c>
      <c r="W101" s="388">
        <f t="shared" si="77"/>
        <v>0</v>
      </c>
      <c r="X101" s="388">
        <f t="shared" si="77"/>
        <v>0</v>
      </c>
      <c r="Y101" s="388">
        <f t="shared" si="77"/>
        <v>0</v>
      </c>
      <c r="Z101" s="388">
        <f t="shared" si="77"/>
        <v>0</v>
      </c>
      <c r="AA101" s="388">
        <f t="shared" si="77"/>
        <v>0</v>
      </c>
      <c r="AB101" s="388">
        <f t="shared" si="77"/>
        <v>0</v>
      </c>
    </row>
    <row r="102" spans="1:46" s="83" customFormat="1" x14ac:dyDescent="0.25">
      <c r="B102" s="178" t="str">
        <f t="shared" si="76"/>
        <v>TFLEDST900</v>
      </c>
      <c r="C102" s="178"/>
      <c r="D102" s="179"/>
      <c r="E102" s="178"/>
      <c r="F102" s="182"/>
      <c r="G102" s="181"/>
      <c r="H102" s="182"/>
      <c r="I102" s="183"/>
      <c r="J102" s="184"/>
      <c r="K102" s="184"/>
      <c r="L102" s="203" t="s">
        <v>1130</v>
      </c>
      <c r="M102" s="184" t="s">
        <v>1131</v>
      </c>
      <c r="N102" s="397">
        <f>LOOKUP($C$97, T_NCAP_AF!$C$140:$C$150, T_NCAP_AF!D$140:D$150)*(1+N79)</f>
        <v>0</v>
      </c>
      <c r="O102" s="397">
        <f>LOOKUP($C$97, T_NCAP_AF!$C$140:$C$150, T_NCAP_AF!E$140:E$150)*(1+O79)</f>
        <v>0</v>
      </c>
      <c r="P102" s="397">
        <f>LOOKUP($C$97, T_NCAP_AF!$C$140:$C$150, T_NCAP_AF!F$140:F$150)*(1+P79)</f>
        <v>0</v>
      </c>
      <c r="Q102" s="397">
        <f>LOOKUP($C$97, T_NCAP_AF!$C$140:$C$150, T_NCAP_AF!G$140:G$150)*(1+Q79)</f>
        <v>0</v>
      </c>
      <c r="R102" s="397">
        <f>LOOKUP($C$97, T_NCAP_AF!$C$140:$C$150, T_NCAP_AF!H$140:H$150)*(1+R79)</f>
        <v>0</v>
      </c>
      <c r="S102" s="397">
        <f>LOOKUP($C$97, T_NCAP_AF!$C$140:$C$150, T_NCAP_AF!I$140:I$150)*(1+S79)</f>
        <v>0</v>
      </c>
      <c r="T102" s="397">
        <f>LOOKUP($C$97, T_NCAP_AF!$C$140:$C$150, T_NCAP_AF!J$140:J$150)*(1+T79)</f>
        <v>0</v>
      </c>
      <c r="U102" s="397">
        <f>LOOKUP($C$97, T_NCAP_AF!$C$140:$C$150, T_NCAP_AF!K$140:K$150)*(1+U79)</f>
        <v>0</v>
      </c>
      <c r="V102" s="397">
        <f>LOOKUP($C$97, T_NCAP_AF!$C$140:$C$150, T_NCAP_AF!L$140:L$150)*(1+V79)</f>
        <v>0</v>
      </c>
      <c r="W102" s="397">
        <f>LOOKUP($C$97, T_NCAP_AF!$C$140:$C$150, T_NCAP_AF!M$140:M$150)*(1+W79)</f>
        <v>0</v>
      </c>
      <c r="X102" s="397">
        <f>LOOKUP($C$97, T_NCAP_AF!$C$140:$C$150, T_NCAP_AF!N$140:N$150)*(1+X79)</f>
        <v>0</v>
      </c>
      <c r="Y102" s="397">
        <f>LOOKUP($C$97, T_NCAP_AF!$C$140:$C$150, T_NCAP_AF!O$140:O$150)*(1+Y79)</f>
        <v>0</v>
      </c>
      <c r="Z102" s="397">
        <f>LOOKUP($C$97, T_NCAP_AF!$C$140:$C$150, T_NCAP_AF!P$140:P$150)*(1+Z79)</f>
        <v>0</v>
      </c>
      <c r="AA102" s="397">
        <f>LOOKUP($C$97, T_NCAP_AF!$C$140:$C$150, T_NCAP_AF!Q$140:Q$150)*(1+AA79)</f>
        <v>0</v>
      </c>
      <c r="AB102" s="397">
        <f>LOOKUP($C$97, T_NCAP_AF!$C$140:$C$150, T_NCAP_AF!R$140:R$150)*(1+AB79)</f>
        <v>0</v>
      </c>
      <c r="AE102" s="572">
        <f>SUM(AF102:AT102)</f>
        <v>0</v>
      </c>
      <c r="AF102" s="85">
        <f t="shared" ref="AF102:AT102" si="78">N101*N102*N103/1000</f>
        <v>0</v>
      </c>
      <c r="AG102" s="85">
        <f t="shared" si="78"/>
        <v>0</v>
      </c>
      <c r="AH102" s="85">
        <f t="shared" si="78"/>
        <v>0</v>
      </c>
      <c r="AI102" s="85">
        <f t="shared" si="78"/>
        <v>0</v>
      </c>
      <c r="AJ102" s="85">
        <f t="shared" si="78"/>
        <v>0</v>
      </c>
      <c r="AK102" s="85">
        <f t="shared" si="78"/>
        <v>0</v>
      </c>
      <c r="AL102" s="85">
        <f t="shared" si="78"/>
        <v>0</v>
      </c>
      <c r="AM102" s="85">
        <f t="shared" si="78"/>
        <v>0</v>
      </c>
      <c r="AN102" s="85">
        <f t="shared" si="78"/>
        <v>0</v>
      </c>
      <c r="AO102" s="85">
        <f t="shared" si="78"/>
        <v>0</v>
      </c>
      <c r="AP102" s="85">
        <f t="shared" si="78"/>
        <v>0</v>
      </c>
      <c r="AQ102" s="85">
        <f t="shared" si="78"/>
        <v>0</v>
      </c>
      <c r="AR102" s="85">
        <f t="shared" si="78"/>
        <v>0</v>
      </c>
      <c r="AS102" s="85">
        <f t="shared" si="78"/>
        <v>0</v>
      </c>
      <c r="AT102" s="85">
        <f t="shared" si="78"/>
        <v>0</v>
      </c>
    </row>
    <row r="103" spans="1:46" s="83" customFormat="1" x14ac:dyDescent="0.25">
      <c r="B103" s="178" t="str">
        <f>B102</f>
        <v>TFLEDST900</v>
      </c>
      <c r="C103" s="178"/>
      <c r="D103" s="179"/>
      <c r="E103" s="178"/>
      <c r="F103" s="182"/>
      <c r="G103" s="181"/>
      <c r="H103" s="182"/>
      <c r="I103" s="183">
        <f>$M$3</f>
        <v>2019</v>
      </c>
      <c r="J103" s="184"/>
      <c r="K103" s="184"/>
      <c r="L103" s="203" t="s">
        <v>1065</v>
      </c>
      <c r="M103" s="184" t="s">
        <v>748</v>
      </c>
      <c r="N103" s="694">
        <f>LOOKUP($C$97, 'T_Stock_TOTAL_&amp;_City'!$C$90:$C$100, 'T_Stock_TOTAL_&amp;_City'!D$90:D$100)*(1+N80)</f>
        <v>0</v>
      </c>
      <c r="O103" s="694">
        <f>LOOKUP($C$97, 'T_Stock_TOTAL_&amp;_City'!$C$90:$C$100, 'T_Stock_TOTAL_&amp;_City'!E$90:E$100)*(1+O80)</f>
        <v>0</v>
      </c>
      <c r="P103" s="694">
        <f>LOOKUP($C$97, 'T_Stock_TOTAL_&amp;_City'!$C$90:$C$100, 'T_Stock_TOTAL_&amp;_City'!F$90:F$100)*(1+P80)</f>
        <v>0</v>
      </c>
      <c r="Q103" s="694">
        <f>LOOKUP($C$97, 'T_Stock_TOTAL_&amp;_City'!$C$90:$C$100, 'T_Stock_TOTAL_&amp;_City'!G$90:G$100)*(1+Q80)</f>
        <v>0</v>
      </c>
      <c r="R103" s="694">
        <f>LOOKUP($C$97, 'T_Stock_TOTAL_&amp;_City'!$C$90:$C$100, 'T_Stock_TOTAL_&amp;_City'!H$90:H$100)*(1+R80)</f>
        <v>0</v>
      </c>
      <c r="S103" s="694">
        <f>LOOKUP($C$97, 'T_Stock_TOTAL_&amp;_City'!$C$90:$C$100, 'T_Stock_TOTAL_&amp;_City'!I$90:I$100)*(1+S80)</f>
        <v>0</v>
      </c>
      <c r="T103" s="694">
        <f>LOOKUP($C$97, 'T_Stock_TOTAL_&amp;_City'!$C$90:$C$100, 'T_Stock_TOTAL_&amp;_City'!J$90:J$100)*(1+T80)</f>
        <v>0</v>
      </c>
      <c r="U103" s="694">
        <f>LOOKUP($C$97, 'T_Stock_TOTAL_&amp;_City'!$C$90:$C$100, 'T_Stock_TOTAL_&amp;_City'!K$90:K$100)*(1+U80)</f>
        <v>0</v>
      </c>
      <c r="V103" s="694">
        <f>LOOKUP($C$97, 'T_Stock_TOTAL_&amp;_City'!$C$90:$C$100, 'T_Stock_TOTAL_&amp;_City'!L$90:L$100)*(1+V80)</f>
        <v>0</v>
      </c>
      <c r="W103" s="694">
        <f>LOOKUP($C$97, 'T_Stock_TOTAL_&amp;_City'!$C$90:$C$100, 'T_Stock_TOTAL_&amp;_City'!M$90:M$100)*(1+W80)</f>
        <v>0</v>
      </c>
      <c r="X103" s="694">
        <f>LOOKUP($C$97, 'T_Stock_TOTAL_&amp;_City'!$C$90:$C$100, 'T_Stock_TOTAL_&amp;_City'!N$90:N$100)*(1+X80)</f>
        <v>0</v>
      </c>
      <c r="Y103" s="694">
        <f>LOOKUP($C$97, 'T_Stock_TOTAL_&amp;_City'!$C$90:$C$100, 'T_Stock_TOTAL_&amp;_City'!O$90:O$100)*(1+Y80)</f>
        <v>0</v>
      </c>
      <c r="Z103" s="694">
        <f>LOOKUP($C$97, 'T_Stock_TOTAL_&amp;_City'!$C$90:$C$100, 'T_Stock_TOTAL_&amp;_City'!P$90:P$100)*(1+Z80)</f>
        <v>0</v>
      </c>
      <c r="AA103" s="694">
        <f>LOOKUP($C$97, 'T_Stock_TOTAL_&amp;_City'!$C$90:$C$100, 'T_Stock_TOTAL_&amp;_City'!Q$90:Q$100)*(1+AA80)</f>
        <v>0</v>
      </c>
      <c r="AB103" s="694">
        <f>LOOKUP($C$97, 'T_Stock_TOTAL_&amp;_City'!$C$90:$C$100, 'T_Stock_TOTAL_&amp;_City'!R$90:R$100)*(1+AB80)</f>
        <v>0</v>
      </c>
    </row>
    <row r="104" spans="1:46" s="83" customFormat="1" x14ac:dyDescent="0.25">
      <c r="B104" s="178" t="str">
        <f t="shared" si="76"/>
        <v>TFLEDST900</v>
      </c>
      <c r="C104" s="178"/>
      <c r="D104" s="179"/>
      <c r="E104" s="178"/>
      <c r="F104" s="182"/>
      <c r="G104" s="181"/>
      <c r="H104" s="182"/>
      <c r="I104" s="183">
        <f>AF$5</f>
        <v>2016</v>
      </c>
      <c r="J104" s="184"/>
      <c r="K104" s="184"/>
      <c r="L104" s="203" t="s">
        <v>1065</v>
      </c>
      <c r="M104" s="184" t="s">
        <v>748</v>
      </c>
      <c r="N104" s="694">
        <f t="shared" ref="N104:AB104" si="79">N103*LOOKUP($AD97,$AH$4:$AQ$4,$AH$5:$AQ$5)</f>
        <v>0</v>
      </c>
      <c r="O104" s="694">
        <f t="shared" si="79"/>
        <v>0</v>
      </c>
      <c r="P104" s="694">
        <f t="shared" si="79"/>
        <v>0</v>
      </c>
      <c r="Q104" s="694">
        <f t="shared" si="79"/>
        <v>0</v>
      </c>
      <c r="R104" s="694">
        <f t="shared" si="79"/>
        <v>0</v>
      </c>
      <c r="S104" s="694">
        <f t="shared" si="79"/>
        <v>0</v>
      </c>
      <c r="T104" s="694">
        <f t="shared" si="79"/>
        <v>0</v>
      </c>
      <c r="U104" s="694">
        <f t="shared" si="79"/>
        <v>0</v>
      </c>
      <c r="V104" s="694">
        <f t="shared" si="79"/>
        <v>0</v>
      </c>
      <c r="W104" s="694">
        <f t="shared" si="79"/>
        <v>0</v>
      </c>
      <c r="X104" s="694">
        <f t="shared" si="79"/>
        <v>0</v>
      </c>
      <c r="Y104" s="694">
        <f t="shared" si="79"/>
        <v>0</v>
      </c>
      <c r="Z104" s="694">
        <f t="shared" si="79"/>
        <v>0</v>
      </c>
      <c r="AA104" s="694">
        <f t="shared" si="79"/>
        <v>0</v>
      </c>
      <c r="AB104" s="694">
        <f t="shared" si="79"/>
        <v>0</v>
      </c>
    </row>
    <row r="105" spans="1:46" s="83" customFormat="1" x14ac:dyDescent="0.25">
      <c r="B105" s="178" t="str">
        <f t="shared" si="76"/>
        <v>TFLEDST900</v>
      </c>
      <c r="C105" s="178"/>
      <c r="D105" s="179"/>
      <c r="E105" s="178"/>
      <c r="F105" s="182"/>
      <c r="G105" s="181"/>
      <c r="H105" s="182"/>
      <c r="I105" s="183">
        <f>AF$6</f>
        <v>2020</v>
      </c>
      <c r="J105" s="184"/>
      <c r="K105" s="184"/>
      <c r="L105" s="203" t="s">
        <v>1065</v>
      </c>
      <c r="M105" s="184" t="s">
        <v>748</v>
      </c>
      <c r="N105" s="694">
        <f t="shared" ref="N105:AB105" si="80">N103*LOOKUP($AD97,$AH$4:$AQ$4,$AH$6:$AQ$6)</f>
        <v>0</v>
      </c>
      <c r="O105" s="694">
        <f t="shared" si="80"/>
        <v>0</v>
      </c>
      <c r="P105" s="694">
        <f t="shared" si="80"/>
        <v>0</v>
      </c>
      <c r="Q105" s="694">
        <f t="shared" si="80"/>
        <v>0</v>
      </c>
      <c r="R105" s="694">
        <f t="shared" si="80"/>
        <v>0</v>
      </c>
      <c r="S105" s="694">
        <f t="shared" si="80"/>
        <v>0</v>
      </c>
      <c r="T105" s="694">
        <f t="shared" si="80"/>
        <v>0</v>
      </c>
      <c r="U105" s="694">
        <f t="shared" si="80"/>
        <v>0</v>
      </c>
      <c r="V105" s="694">
        <f t="shared" si="80"/>
        <v>0</v>
      </c>
      <c r="W105" s="694">
        <f t="shared" si="80"/>
        <v>0</v>
      </c>
      <c r="X105" s="694">
        <f t="shared" si="80"/>
        <v>0</v>
      </c>
      <c r="Y105" s="694">
        <f t="shared" si="80"/>
        <v>0</v>
      </c>
      <c r="Z105" s="694">
        <f t="shared" si="80"/>
        <v>0</v>
      </c>
      <c r="AA105" s="694">
        <f t="shared" si="80"/>
        <v>0</v>
      </c>
      <c r="AB105" s="694">
        <f t="shared" si="80"/>
        <v>0</v>
      </c>
    </row>
    <row r="106" spans="1:46" s="83" customFormat="1" x14ac:dyDescent="0.25">
      <c r="B106" s="178" t="str">
        <f t="shared" si="76"/>
        <v>TFLEDST900</v>
      </c>
      <c r="C106" s="178"/>
      <c r="D106" s="179"/>
      <c r="E106" s="178"/>
      <c r="F106" s="182"/>
      <c r="G106" s="181"/>
      <c r="H106" s="182"/>
      <c r="I106" s="183">
        <f>AF$7</f>
        <v>2025</v>
      </c>
      <c r="J106" s="184"/>
      <c r="K106" s="184"/>
      <c r="L106" s="203" t="s">
        <v>1065</v>
      </c>
      <c r="M106" s="184" t="s">
        <v>748</v>
      </c>
      <c r="N106" s="694">
        <f t="shared" ref="N106:AB106" si="81">N103*LOOKUP($AD97,$AH$4:$AQ$4,$AH$7:$AQ$7)</f>
        <v>0</v>
      </c>
      <c r="O106" s="694">
        <f t="shared" si="81"/>
        <v>0</v>
      </c>
      <c r="P106" s="694">
        <f t="shared" si="81"/>
        <v>0</v>
      </c>
      <c r="Q106" s="694">
        <f t="shared" si="81"/>
        <v>0</v>
      </c>
      <c r="R106" s="694">
        <f t="shared" si="81"/>
        <v>0</v>
      </c>
      <c r="S106" s="694">
        <f t="shared" si="81"/>
        <v>0</v>
      </c>
      <c r="T106" s="694">
        <f t="shared" si="81"/>
        <v>0</v>
      </c>
      <c r="U106" s="694">
        <f t="shared" si="81"/>
        <v>0</v>
      </c>
      <c r="V106" s="694">
        <f t="shared" si="81"/>
        <v>0</v>
      </c>
      <c r="W106" s="694">
        <f t="shared" si="81"/>
        <v>0</v>
      </c>
      <c r="X106" s="694">
        <f t="shared" si="81"/>
        <v>0</v>
      </c>
      <c r="Y106" s="694">
        <f t="shared" si="81"/>
        <v>0</v>
      </c>
      <c r="Z106" s="694">
        <f t="shared" si="81"/>
        <v>0</v>
      </c>
      <c r="AA106" s="694">
        <f t="shared" si="81"/>
        <v>0</v>
      </c>
      <c r="AB106" s="694">
        <f t="shared" si="81"/>
        <v>0</v>
      </c>
    </row>
    <row r="107" spans="1:46" s="83" customFormat="1" x14ac:dyDescent="0.25">
      <c r="B107" s="178" t="str">
        <f t="shared" si="76"/>
        <v>TFLEDST900</v>
      </c>
      <c r="C107" s="178"/>
      <c r="D107" s="179"/>
      <c r="E107" s="178"/>
      <c r="F107" s="182"/>
      <c r="G107" s="181"/>
      <c r="H107" s="182"/>
      <c r="I107" s="183">
        <f>AF$8</f>
        <v>2030</v>
      </c>
      <c r="J107" s="184"/>
      <c r="K107" s="184"/>
      <c r="L107" s="203" t="s">
        <v>1065</v>
      </c>
      <c r="M107" s="184" t="s">
        <v>748</v>
      </c>
      <c r="N107" s="694">
        <f t="shared" ref="N107:AB107" si="82">N103*LOOKUP($AD97,$AH$4:$AQ$4,$AH$8:$AQ$8)</f>
        <v>0</v>
      </c>
      <c r="O107" s="694">
        <f t="shared" si="82"/>
        <v>0</v>
      </c>
      <c r="P107" s="694">
        <f t="shared" si="82"/>
        <v>0</v>
      </c>
      <c r="Q107" s="694">
        <f t="shared" si="82"/>
        <v>0</v>
      </c>
      <c r="R107" s="694">
        <f t="shared" si="82"/>
        <v>0</v>
      </c>
      <c r="S107" s="694">
        <f t="shared" si="82"/>
        <v>0</v>
      </c>
      <c r="T107" s="694">
        <f t="shared" si="82"/>
        <v>0</v>
      </c>
      <c r="U107" s="694">
        <f t="shared" si="82"/>
        <v>0</v>
      </c>
      <c r="V107" s="694">
        <f t="shared" si="82"/>
        <v>0</v>
      </c>
      <c r="W107" s="694">
        <f t="shared" si="82"/>
        <v>0</v>
      </c>
      <c r="X107" s="694">
        <f t="shared" si="82"/>
        <v>0</v>
      </c>
      <c r="Y107" s="694">
        <f t="shared" si="82"/>
        <v>0</v>
      </c>
      <c r="Z107" s="694">
        <f t="shared" si="82"/>
        <v>0</v>
      </c>
      <c r="AA107" s="694">
        <f t="shared" si="82"/>
        <v>0</v>
      </c>
      <c r="AB107" s="694">
        <f t="shared" si="82"/>
        <v>0</v>
      </c>
    </row>
    <row r="108" spans="1:46" s="83" customFormat="1" x14ac:dyDescent="0.25">
      <c r="B108" s="178" t="str">
        <f t="shared" si="76"/>
        <v>TFLEDST900</v>
      </c>
      <c r="C108" s="178"/>
      <c r="D108" s="179"/>
      <c r="E108" s="178"/>
      <c r="F108" s="182"/>
      <c r="G108" s="181"/>
      <c r="H108" s="182"/>
      <c r="I108" s="183">
        <f>AF$9</f>
        <v>2040</v>
      </c>
      <c r="J108" s="184"/>
      <c r="K108" s="184"/>
      <c r="L108" s="203" t="s">
        <v>1065</v>
      </c>
      <c r="M108" s="184" t="s">
        <v>748</v>
      </c>
      <c r="N108" s="694">
        <f t="shared" ref="N108:AB108" si="83">N103*LOOKUP($AD97,$AH$4:$AQ$4,$AH$9:$AQ$9)</f>
        <v>0</v>
      </c>
      <c r="O108" s="694">
        <f t="shared" si="83"/>
        <v>0</v>
      </c>
      <c r="P108" s="694">
        <f t="shared" si="83"/>
        <v>0</v>
      </c>
      <c r="Q108" s="694">
        <f t="shared" si="83"/>
        <v>0</v>
      </c>
      <c r="R108" s="694">
        <f t="shared" si="83"/>
        <v>0</v>
      </c>
      <c r="S108" s="694">
        <f t="shared" si="83"/>
        <v>0</v>
      </c>
      <c r="T108" s="694">
        <f t="shared" si="83"/>
        <v>0</v>
      </c>
      <c r="U108" s="694">
        <f t="shared" si="83"/>
        <v>0</v>
      </c>
      <c r="V108" s="694">
        <f t="shared" si="83"/>
        <v>0</v>
      </c>
      <c r="W108" s="694">
        <f t="shared" si="83"/>
        <v>0</v>
      </c>
      <c r="X108" s="694">
        <f t="shared" si="83"/>
        <v>0</v>
      </c>
      <c r="Y108" s="694">
        <f t="shared" si="83"/>
        <v>0</v>
      </c>
      <c r="Z108" s="694">
        <f t="shared" si="83"/>
        <v>0</v>
      </c>
      <c r="AA108" s="694">
        <f t="shared" si="83"/>
        <v>0</v>
      </c>
      <c r="AB108" s="694">
        <f t="shared" si="83"/>
        <v>0</v>
      </c>
    </row>
    <row r="109" spans="1:46" s="83" customFormat="1" x14ac:dyDescent="0.25">
      <c r="B109" s="204" t="str">
        <f t="shared" si="76"/>
        <v>TFLEDST900</v>
      </c>
      <c r="C109" s="204"/>
      <c r="D109" s="205"/>
      <c r="E109" s="204"/>
      <c r="F109" s="206"/>
      <c r="G109" s="207"/>
      <c r="H109" s="206"/>
      <c r="I109" s="208">
        <f>AF$10</f>
        <v>2050</v>
      </c>
      <c r="J109" s="209"/>
      <c r="K109" s="209"/>
      <c r="L109" s="210" t="s">
        <v>1065</v>
      </c>
      <c r="M109" s="209" t="s">
        <v>748</v>
      </c>
      <c r="N109" s="695">
        <f t="shared" ref="N109:AB109" si="84">N103*LOOKUP($AD97,$AH$4:$AQ$4,$AH$10:$AQ$10)</f>
        <v>0</v>
      </c>
      <c r="O109" s="695">
        <f t="shared" si="84"/>
        <v>0</v>
      </c>
      <c r="P109" s="695">
        <f t="shared" si="84"/>
        <v>0</v>
      </c>
      <c r="Q109" s="695">
        <f t="shared" si="84"/>
        <v>0</v>
      </c>
      <c r="R109" s="695">
        <f t="shared" si="84"/>
        <v>0</v>
      </c>
      <c r="S109" s="695">
        <f t="shared" si="84"/>
        <v>0</v>
      </c>
      <c r="T109" s="695">
        <f t="shared" si="84"/>
        <v>0</v>
      </c>
      <c r="U109" s="695">
        <f t="shared" si="84"/>
        <v>0</v>
      </c>
      <c r="V109" s="695">
        <f t="shared" si="84"/>
        <v>0</v>
      </c>
      <c r="W109" s="695">
        <f t="shared" si="84"/>
        <v>0</v>
      </c>
      <c r="X109" s="695">
        <f t="shared" si="84"/>
        <v>0</v>
      </c>
      <c r="Y109" s="695">
        <f t="shared" si="84"/>
        <v>0</v>
      </c>
      <c r="Z109" s="695">
        <f t="shared" si="84"/>
        <v>0</v>
      </c>
      <c r="AA109" s="695">
        <f t="shared" si="84"/>
        <v>0</v>
      </c>
      <c r="AB109" s="695">
        <f t="shared" si="84"/>
        <v>0</v>
      </c>
    </row>
    <row r="110" spans="1:46" s="83" customFormat="1" x14ac:dyDescent="0.25">
      <c r="A110" s="82"/>
      <c r="B110" s="178" t="str">
        <f>C110</f>
        <v>TFLEELC900</v>
      </c>
      <c r="C110" s="178" t="s">
        <v>129</v>
      </c>
      <c r="D110" s="179" t="s">
        <v>809</v>
      </c>
      <c r="E110" s="180" t="s">
        <v>683</v>
      </c>
      <c r="F110" s="182"/>
      <c r="G110" s="181"/>
      <c r="H110" s="182"/>
      <c r="I110" s="183"/>
      <c r="J110" s="184"/>
      <c r="K110" s="184"/>
      <c r="L110" s="203" t="s">
        <v>1107</v>
      </c>
      <c r="M110" s="184" t="s">
        <v>1125</v>
      </c>
      <c r="N110" s="378">
        <v>1E-3</v>
      </c>
      <c r="O110" s="378">
        <f t="shared" ref="O110:AB110" si="85">$N110</f>
        <v>1E-3</v>
      </c>
      <c r="P110" s="378">
        <f t="shared" si="85"/>
        <v>1E-3</v>
      </c>
      <c r="Q110" s="378">
        <f t="shared" si="85"/>
        <v>1E-3</v>
      </c>
      <c r="R110" s="378">
        <f t="shared" si="85"/>
        <v>1E-3</v>
      </c>
      <c r="S110" s="378">
        <f t="shared" si="85"/>
        <v>1E-3</v>
      </c>
      <c r="T110" s="378">
        <f t="shared" si="85"/>
        <v>1E-3</v>
      </c>
      <c r="U110" s="378">
        <f t="shared" si="85"/>
        <v>1E-3</v>
      </c>
      <c r="V110" s="378">
        <f t="shared" si="85"/>
        <v>1E-3</v>
      </c>
      <c r="W110" s="378">
        <f t="shared" si="85"/>
        <v>1E-3</v>
      </c>
      <c r="X110" s="378">
        <f t="shared" si="85"/>
        <v>1E-3</v>
      </c>
      <c r="Y110" s="378">
        <f t="shared" si="85"/>
        <v>1E-3</v>
      </c>
      <c r="Z110" s="378">
        <f t="shared" si="85"/>
        <v>1E-3</v>
      </c>
      <c r="AA110" s="378">
        <f t="shared" si="85"/>
        <v>1E-3</v>
      </c>
      <c r="AB110" s="378">
        <f t="shared" si="85"/>
        <v>1E-3</v>
      </c>
      <c r="AD110" s="410" t="str">
        <f>MID(D110,13,3)</f>
        <v>ELC</v>
      </c>
    </row>
    <row r="111" spans="1:46" s="83" customFormat="1" x14ac:dyDescent="0.25">
      <c r="A111" s="82"/>
      <c r="B111" s="178" t="str">
        <f>B110</f>
        <v>TFLEELC900</v>
      </c>
      <c r="C111" s="178"/>
      <c r="D111" s="179"/>
      <c r="E111" s="178"/>
      <c r="F111" s="182"/>
      <c r="G111" s="173" t="s">
        <v>637</v>
      </c>
      <c r="H111" s="182"/>
      <c r="I111" s="183"/>
      <c r="J111" s="184"/>
      <c r="K111" s="184"/>
      <c r="L111" s="184" t="s">
        <v>1126</v>
      </c>
      <c r="M111" s="184" t="s">
        <v>678</v>
      </c>
      <c r="N111" s="676">
        <f>T_CEFF!H231</f>
        <v>1.2987</v>
      </c>
      <c r="O111" s="676">
        <f>T_CEFF!I231</f>
        <v>1.2987</v>
      </c>
      <c r="P111" s="676">
        <f>T_CEFF!J231</f>
        <v>1.2987</v>
      </c>
      <c r="Q111" s="676">
        <f>T_CEFF!K231</f>
        <v>1.2987</v>
      </c>
      <c r="R111" s="676">
        <f>T_CEFF!L231</f>
        <v>1.2987</v>
      </c>
      <c r="S111" s="676">
        <f>T_CEFF!M231</f>
        <v>1.2987</v>
      </c>
      <c r="T111" s="676">
        <f>T_CEFF!N231</f>
        <v>1.2987</v>
      </c>
      <c r="U111" s="676">
        <f>T_CEFF!O231</f>
        <v>1.2987</v>
      </c>
      <c r="V111" s="676">
        <f>T_CEFF!P231</f>
        <v>1.2987</v>
      </c>
      <c r="W111" s="676">
        <f>T_CEFF!Q231</f>
        <v>1.2987</v>
      </c>
      <c r="X111" s="676">
        <f>T_CEFF!R231</f>
        <v>1.2987</v>
      </c>
      <c r="Y111" s="676">
        <f>T_CEFF!S231</f>
        <v>1.2987</v>
      </c>
      <c r="Z111" s="676">
        <f>T_CEFF!T231</f>
        <v>1.2987</v>
      </c>
      <c r="AA111" s="676">
        <f>T_CEFF!U231</f>
        <v>1.2987</v>
      </c>
      <c r="AB111" s="676">
        <f>T_CEFF!V231</f>
        <v>1.2987</v>
      </c>
      <c r="AD111" s="66" t="str">
        <f>IF(COUNTIF($AH$4:$AQ$4,AD110)=1,"ok","MISSING")</f>
        <v>ok</v>
      </c>
    </row>
    <row r="112" spans="1:46" s="83" customFormat="1" x14ac:dyDescent="0.25">
      <c r="A112" s="82"/>
      <c r="B112" s="178" t="str">
        <f t="shared" ref="B112:B121" si="86">B111</f>
        <v>TFLEELC900</v>
      </c>
      <c r="C112" s="178"/>
      <c r="D112" s="179"/>
      <c r="E112" s="178"/>
      <c r="F112" s="182"/>
      <c r="G112" s="173" t="s">
        <v>640</v>
      </c>
      <c r="H112" s="182"/>
      <c r="I112" s="183"/>
      <c r="J112" s="184"/>
      <c r="K112" s="184"/>
      <c r="L112" s="184" t="s">
        <v>1126</v>
      </c>
      <c r="M112" s="184" t="s">
        <v>678</v>
      </c>
      <c r="N112" s="676">
        <f>T_CEFF!H232</f>
        <v>1.6129</v>
      </c>
      <c r="O112" s="676">
        <f>T_CEFF!I232</f>
        <v>1.6129</v>
      </c>
      <c r="P112" s="676">
        <f>T_CEFF!J232</f>
        <v>1.6129</v>
      </c>
      <c r="Q112" s="676">
        <f>T_CEFF!K232</f>
        <v>1.6129</v>
      </c>
      <c r="R112" s="676">
        <f>T_CEFF!L232</f>
        <v>1.6129</v>
      </c>
      <c r="S112" s="676">
        <f>T_CEFF!M232</f>
        <v>1.6129</v>
      </c>
      <c r="T112" s="676">
        <f>T_CEFF!N232</f>
        <v>1.6129</v>
      </c>
      <c r="U112" s="676">
        <f>T_CEFF!O232</f>
        <v>1.6129</v>
      </c>
      <c r="V112" s="676">
        <f>T_CEFF!P232</f>
        <v>1.6129</v>
      </c>
      <c r="W112" s="676">
        <f>T_CEFF!Q232</f>
        <v>1.6129</v>
      </c>
      <c r="X112" s="676">
        <f>T_CEFF!R232</f>
        <v>1.6129</v>
      </c>
      <c r="Y112" s="676">
        <f>T_CEFF!S232</f>
        <v>1.6129</v>
      </c>
      <c r="Z112" s="676">
        <f>T_CEFF!T232</f>
        <v>1.6129</v>
      </c>
      <c r="AA112" s="676">
        <f>T_CEFF!U232</f>
        <v>1.6129</v>
      </c>
      <c r="AB112" s="676">
        <f>T_CEFF!V232</f>
        <v>1.6129</v>
      </c>
    </row>
    <row r="113" spans="1:46" s="83" customFormat="1" x14ac:dyDescent="0.25">
      <c r="A113" s="82"/>
      <c r="B113" s="178" t="str">
        <f>B112</f>
        <v>TFLEELC900</v>
      </c>
      <c r="C113" s="178"/>
      <c r="D113" s="179"/>
      <c r="E113" s="178"/>
      <c r="F113" s="182"/>
      <c r="G113" s="181"/>
      <c r="H113" s="182"/>
      <c r="I113" s="183"/>
      <c r="J113" s="184"/>
      <c r="K113" s="184" t="s">
        <v>749</v>
      </c>
      <c r="L113" s="184" t="s">
        <v>1128</v>
      </c>
      <c r="M113" s="184" t="s">
        <v>1175</v>
      </c>
      <c r="N113" s="388">
        <f t="shared" ref="N113:AB113" si="87">N$23</f>
        <v>0.76</v>
      </c>
      <c r="O113" s="388">
        <f t="shared" si="87"/>
        <v>0</v>
      </c>
      <c r="P113" s="388">
        <f t="shared" si="87"/>
        <v>0</v>
      </c>
      <c r="Q113" s="388">
        <f t="shared" si="87"/>
        <v>0</v>
      </c>
      <c r="R113" s="388">
        <f t="shared" si="87"/>
        <v>0</v>
      </c>
      <c r="S113" s="388">
        <f t="shared" si="87"/>
        <v>0</v>
      </c>
      <c r="T113" s="388">
        <f t="shared" si="87"/>
        <v>0</v>
      </c>
      <c r="U113" s="388">
        <f t="shared" si="87"/>
        <v>0</v>
      </c>
      <c r="V113" s="388">
        <f t="shared" si="87"/>
        <v>0</v>
      </c>
      <c r="W113" s="388">
        <f t="shared" si="87"/>
        <v>0</v>
      </c>
      <c r="X113" s="388">
        <f t="shared" si="87"/>
        <v>0</v>
      </c>
      <c r="Y113" s="388">
        <f t="shared" si="87"/>
        <v>0</v>
      </c>
      <c r="Z113" s="388">
        <f t="shared" si="87"/>
        <v>0</v>
      </c>
      <c r="AA113" s="388">
        <f t="shared" si="87"/>
        <v>0</v>
      </c>
      <c r="AB113" s="388">
        <f t="shared" si="87"/>
        <v>0</v>
      </c>
    </row>
    <row r="114" spans="1:46" s="83" customFormat="1" x14ac:dyDescent="0.25">
      <c r="A114" s="82"/>
      <c r="B114" s="178" t="str">
        <f t="shared" si="86"/>
        <v>TFLEELC900</v>
      </c>
      <c r="C114" s="178"/>
      <c r="D114" s="179"/>
      <c r="E114" s="178"/>
      <c r="F114" s="182"/>
      <c r="G114" s="181"/>
      <c r="H114" s="182"/>
      <c r="I114" s="183"/>
      <c r="J114" s="184"/>
      <c r="K114" s="184"/>
      <c r="L114" s="203" t="s">
        <v>1130</v>
      </c>
      <c r="M114" s="184" t="s">
        <v>1131</v>
      </c>
      <c r="N114" s="397">
        <f>LOOKUP($C$110, T_NCAP_AF!$C$140:$C$150, T_NCAP_AF!D$140:D$150)*(1+N79)</f>
        <v>0</v>
      </c>
      <c r="O114" s="397">
        <f>LOOKUP($C$110, T_NCAP_AF!$C$140:$C$150, T_NCAP_AF!E$140:E$150)*(1+O79)</f>
        <v>0</v>
      </c>
      <c r="P114" s="397">
        <f>LOOKUP($C$110, T_NCAP_AF!$C$140:$C$150, T_NCAP_AF!F$140:F$150)*(1+P79)</f>
        <v>0</v>
      </c>
      <c r="Q114" s="397">
        <f>LOOKUP($C$110, T_NCAP_AF!$C$140:$C$150, T_NCAP_AF!G$140:G$150)*(1+Q79)</f>
        <v>0</v>
      </c>
      <c r="R114" s="397">
        <f>LOOKUP($C$110, T_NCAP_AF!$C$140:$C$150, T_NCAP_AF!H$140:H$150)*(1+R79)</f>
        <v>0</v>
      </c>
      <c r="S114" s="397">
        <f>LOOKUP($C$110, T_NCAP_AF!$C$140:$C$150, T_NCAP_AF!I$140:I$150)*(1+S79)</f>
        <v>0</v>
      </c>
      <c r="T114" s="397">
        <f>LOOKUP($C$110, T_NCAP_AF!$C$140:$C$150, T_NCAP_AF!J$140:J$150)*(1+T79)</f>
        <v>0</v>
      </c>
      <c r="U114" s="397">
        <f>LOOKUP($C$110, T_NCAP_AF!$C$140:$C$150, T_NCAP_AF!K$140:K$150)*(1+U79)</f>
        <v>0</v>
      </c>
      <c r="V114" s="397">
        <f>LOOKUP($C$110, T_NCAP_AF!$C$140:$C$150, T_NCAP_AF!L$140:L$150)*(1+V79)</f>
        <v>0</v>
      </c>
      <c r="W114" s="397">
        <f>LOOKUP($C$110, T_NCAP_AF!$C$140:$C$150, T_NCAP_AF!M$140:M$150)*(1+W79)</f>
        <v>0</v>
      </c>
      <c r="X114" s="397">
        <f>LOOKUP($C$110, T_NCAP_AF!$C$140:$C$150, T_NCAP_AF!N$140:N$150)*(1+X79)</f>
        <v>0</v>
      </c>
      <c r="Y114" s="397">
        <f>LOOKUP($C$110, T_NCAP_AF!$C$140:$C$150, T_NCAP_AF!O$140:O$150)*(1+Y79)</f>
        <v>0</v>
      </c>
      <c r="Z114" s="397">
        <f>LOOKUP($C$110, T_NCAP_AF!$C$140:$C$150, T_NCAP_AF!P$140:P$150)*(1+Z79)</f>
        <v>0</v>
      </c>
      <c r="AA114" s="397">
        <f>LOOKUP($C$110, T_NCAP_AF!$C$140:$C$150, T_NCAP_AF!Q$140:Q$150)*(1+AA79)</f>
        <v>0</v>
      </c>
      <c r="AB114" s="397">
        <f>LOOKUP($C$110, T_NCAP_AF!$C$140:$C$150, T_NCAP_AF!R$140:R$150)*(1+AB79)</f>
        <v>0</v>
      </c>
      <c r="AE114" s="572">
        <f>SUM(AF114:AT114)</f>
        <v>0</v>
      </c>
      <c r="AF114" s="85">
        <f t="shared" ref="AF114:AT114" si="88">N113*N114*N115/1000</f>
        <v>0</v>
      </c>
      <c r="AG114" s="85">
        <f t="shared" si="88"/>
        <v>0</v>
      </c>
      <c r="AH114" s="85">
        <f t="shared" si="88"/>
        <v>0</v>
      </c>
      <c r="AI114" s="85">
        <f t="shared" si="88"/>
        <v>0</v>
      </c>
      <c r="AJ114" s="85">
        <f t="shared" si="88"/>
        <v>0</v>
      </c>
      <c r="AK114" s="85">
        <f t="shared" si="88"/>
        <v>0</v>
      </c>
      <c r="AL114" s="85">
        <f t="shared" si="88"/>
        <v>0</v>
      </c>
      <c r="AM114" s="85">
        <f t="shared" si="88"/>
        <v>0</v>
      </c>
      <c r="AN114" s="85">
        <f t="shared" si="88"/>
        <v>0</v>
      </c>
      <c r="AO114" s="85">
        <f t="shared" si="88"/>
        <v>0</v>
      </c>
      <c r="AP114" s="85">
        <f t="shared" si="88"/>
        <v>0</v>
      </c>
      <c r="AQ114" s="85">
        <f t="shared" si="88"/>
        <v>0</v>
      </c>
      <c r="AR114" s="85">
        <f t="shared" si="88"/>
        <v>0</v>
      </c>
      <c r="AS114" s="85">
        <f t="shared" si="88"/>
        <v>0</v>
      </c>
      <c r="AT114" s="85">
        <f t="shared" si="88"/>
        <v>0</v>
      </c>
    </row>
    <row r="115" spans="1:46" s="83" customFormat="1" x14ac:dyDescent="0.25">
      <c r="A115" s="82"/>
      <c r="B115" s="178" t="str">
        <f>B114</f>
        <v>TFLEELC900</v>
      </c>
      <c r="C115" s="178"/>
      <c r="D115" s="179"/>
      <c r="E115" s="178"/>
      <c r="F115" s="182"/>
      <c r="G115" s="181"/>
      <c r="H115" s="182"/>
      <c r="I115" s="183">
        <f>$M$3</f>
        <v>2019</v>
      </c>
      <c r="J115" s="184"/>
      <c r="K115" s="184"/>
      <c r="L115" s="203" t="s">
        <v>1065</v>
      </c>
      <c r="M115" s="184" t="s">
        <v>748</v>
      </c>
      <c r="N115" s="694">
        <f>LOOKUP($C$110, 'T_Stock_TOTAL_&amp;_City'!$C$90:$C$100, 'T_Stock_TOTAL_&amp;_City'!D$90:D$100)*(1+N80)</f>
        <v>0</v>
      </c>
      <c r="O115" s="694">
        <f>LOOKUP($C$110, 'T_Stock_TOTAL_&amp;_City'!$C$90:$C$100, 'T_Stock_TOTAL_&amp;_City'!E$90:E$100)*(1+O80)</f>
        <v>0</v>
      </c>
      <c r="P115" s="694">
        <f>LOOKUP($C$110, 'T_Stock_TOTAL_&amp;_City'!$C$90:$C$100, 'T_Stock_TOTAL_&amp;_City'!F$90:F$100)*(1+P80)</f>
        <v>0</v>
      </c>
      <c r="Q115" s="694">
        <f>LOOKUP($C$110, 'T_Stock_TOTAL_&amp;_City'!$C$90:$C$100, 'T_Stock_TOTAL_&amp;_City'!G$90:G$100)*(1+Q80)</f>
        <v>0</v>
      </c>
      <c r="R115" s="694">
        <f>LOOKUP($C$110, 'T_Stock_TOTAL_&amp;_City'!$C$90:$C$100, 'T_Stock_TOTAL_&amp;_City'!H$90:H$100)*(1+R80)</f>
        <v>0</v>
      </c>
      <c r="S115" s="694">
        <f>LOOKUP($C$110, 'T_Stock_TOTAL_&amp;_City'!$C$90:$C$100, 'T_Stock_TOTAL_&amp;_City'!I$90:I$100)*(1+S80)</f>
        <v>0</v>
      </c>
      <c r="T115" s="694">
        <f>LOOKUP($C$110, 'T_Stock_TOTAL_&amp;_City'!$C$90:$C$100, 'T_Stock_TOTAL_&amp;_City'!J$90:J$100)*(1+T80)</f>
        <v>0</v>
      </c>
      <c r="U115" s="694">
        <f>LOOKUP($C$110, 'T_Stock_TOTAL_&amp;_City'!$C$90:$C$100, 'T_Stock_TOTAL_&amp;_City'!K$90:K$100)*(1+U80)</f>
        <v>0</v>
      </c>
      <c r="V115" s="694">
        <f>LOOKUP($C$110, 'T_Stock_TOTAL_&amp;_City'!$C$90:$C$100, 'T_Stock_TOTAL_&amp;_City'!L$90:L$100)*(1+V80)</f>
        <v>0</v>
      </c>
      <c r="W115" s="694">
        <f>LOOKUP($C$110, 'T_Stock_TOTAL_&amp;_City'!$C$90:$C$100, 'T_Stock_TOTAL_&amp;_City'!M$90:M$100)*(1+W80)</f>
        <v>0</v>
      </c>
      <c r="X115" s="694">
        <f>LOOKUP($C$110, 'T_Stock_TOTAL_&amp;_City'!$C$90:$C$100, 'T_Stock_TOTAL_&amp;_City'!N$90:N$100)*(1+X80)</f>
        <v>0</v>
      </c>
      <c r="Y115" s="694">
        <f>LOOKUP($C$110, 'T_Stock_TOTAL_&amp;_City'!$C$90:$C$100, 'T_Stock_TOTAL_&amp;_City'!O$90:O$100)*(1+Y80)</f>
        <v>0</v>
      </c>
      <c r="Z115" s="694">
        <f>LOOKUP($C$110, 'T_Stock_TOTAL_&amp;_City'!$C$90:$C$100, 'T_Stock_TOTAL_&amp;_City'!P$90:P$100)*(1+Z80)</f>
        <v>0</v>
      </c>
      <c r="AA115" s="694">
        <f>LOOKUP($C$110, 'T_Stock_TOTAL_&amp;_City'!$C$90:$C$100, 'T_Stock_TOTAL_&amp;_City'!Q$90:Q$100)*(1+AA80)</f>
        <v>0</v>
      </c>
      <c r="AB115" s="694">
        <f>LOOKUP($C$110, 'T_Stock_TOTAL_&amp;_City'!$C$90:$C$100, 'T_Stock_TOTAL_&amp;_City'!R$90:R$100)*(1+AB80)</f>
        <v>0</v>
      </c>
    </row>
    <row r="116" spans="1:46" s="83" customFormat="1" x14ac:dyDescent="0.25">
      <c r="A116" s="82"/>
      <c r="B116" s="178" t="str">
        <f t="shared" si="86"/>
        <v>TFLEELC900</v>
      </c>
      <c r="C116" s="178"/>
      <c r="D116" s="179"/>
      <c r="E116" s="178"/>
      <c r="F116" s="182"/>
      <c r="G116" s="181"/>
      <c r="H116" s="182"/>
      <c r="I116" s="183">
        <f>AF$5</f>
        <v>2016</v>
      </c>
      <c r="J116" s="184"/>
      <c r="K116" s="184"/>
      <c r="L116" s="203" t="s">
        <v>1065</v>
      </c>
      <c r="M116" s="184" t="s">
        <v>748</v>
      </c>
      <c r="N116" s="694">
        <f t="shared" ref="N116:AB116" si="89">N115*LOOKUP($AD110,$AH$4:$AQ$4,$AH$5:$AQ$5)</f>
        <v>0</v>
      </c>
      <c r="O116" s="694">
        <f t="shared" si="89"/>
        <v>0</v>
      </c>
      <c r="P116" s="694">
        <f t="shared" si="89"/>
        <v>0</v>
      </c>
      <c r="Q116" s="694">
        <f t="shared" si="89"/>
        <v>0</v>
      </c>
      <c r="R116" s="694">
        <f t="shared" si="89"/>
        <v>0</v>
      </c>
      <c r="S116" s="694">
        <f t="shared" si="89"/>
        <v>0</v>
      </c>
      <c r="T116" s="694">
        <f t="shared" si="89"/>
        <v>0</v>
      </c>
      <c r="U116" s="694">
        <f t="shared" si="89"/>
        <v>0</v>
      </c>
      <c r="V116" s="694">
        <f t="shared" si="89"/>
        <v>0</v>
      </c>
      <c r="W116" s="694">
        <f t="shared" si="89"/>
        <v>0</v>
      </c>
      <c r="X116" s="694">
        <f t="shared" si="89"/>
        <v>0</v>
      </c>
      <c r="Y116" s="694">
        <f t="shared" si="89"/>
        <v>0</v>
      </c>
      <c r="Z116" s="694">
        <f t="shared" si="89"/>
        <v>0</v>
      </c>
      <c r="AA116" s="694">
        <f t="shared" si="89"/>
        <v>0</v>
      </c>
      <c r="AB116" s="694">
        <f t="shared" si="89"/>
        <v>0</v>
      </c>
    </row>
    <row r="117" spans="1:46" s="83" customFormat="1" x14ac:dyDescent="0.25">
      <c r="A117" s="82"/>
      <c r="B117" s="178" t="str">
        <f t="shared" si="86"/>
        <v>TFLEELC900</v>
      </c>
      <c r="C117" s="178"/>
      <c r="D117" s="179"/>
      <c r="E117" s="178"/>
      <c r="F117" s="182"/>
      <c r="G117" s="181"/>
      <c r="H117" s="182"/>
      <c r="I117" s="183">
        <f>AF$6</f>
        <v>2020</v>
      </c>
      <c r="J117" s="184"/>
      <c r="K117" s="184"/>
      <c r="L117" s="203" t="s">
        <v>1065</v>
      </c>
      <c r="M117" s="184" t="s">
        <v>748</v>
      </c>
      <c r="N117" s="694">
        <f t="shared" ref="N117:AB117" si="90">N115*LOOKUP($AD110,$AH$4:$AQ$4,$AH$6:$AQ$6)</f>
        <v>0</v>
      </c>
      <c r="O117" s="694">
        <f t="shared" si="90"/>
        <v>0</v>
      </c>
      <c r="P117" s="694">
        <f t="shared" si="90"/>
        <v>0</v>
      </c>
      <c r="Q117" s="694">
        <f t="shared" si="90"/>
        <v>0</v>
      </c>
      <c r="R117" s="694">
        <f t="shared" si="90"/>
        <v>0</v>
      </c>
      <c r="S117" s="694">
        <f t="shared" si="90"/>
        <v>0</v>
      </c>
      <c r="T117" s="694">
        <f t="shared" si="90"/>
        <v>0</v>
      </c>
      <c r="U117" s="694">
        <f t="shared" si="90"/>
        <v>0</v>
      </c>
      <c r="V117" s="694">
        <f t="shared" si="90"/>
        <v>0</v>
      </c>
      <c r="W117" s="694">
        <f t="shared" si="90"/>
        <v>0</v>
      </c>
      <c r="X117" s="694">
        <f t="shared" si="90"/>
        <v>0</v>
      </c>
      <c r="Y117" s="694">
        <f t="shared" si="90"/>
        <v>0</v>
      </c>
      <c r="Z117" s="694">
        <f t="shared" si="90"/>
        <v>0</v>
      </c>
      <c r="AA117" s="694">
        <f t="shared" si="90"/>
        <v>0</v>
      </c>
      <c r="AB117" s="694">
        <f t="shared" si="90"/>
        <v>0</v>
      </c>
    </row>
    <row r="118" spans="1:46" s="83" customFormat="1" x14ac:dyDescent="0.25">
      <c r="A118" s="82"/>
      <c r="B118" s="178" t="str">
        <f t="shared" si="86"/>
        <v>TFLEELC900</v>
      </c>
      <c r="C118" s="178"/>
      <c r="D118" s="179"/>
      <c r="E118" s="178"/>
      <c r="F118" s="182"/>
      <c r="G118" s="181"/>
      <c r="H118" s="182"/>
      <c r="I118" s="183">
        <f>AF$7</f>
        <v>2025</v>
      </c>
      <c r="J118" s="184"/>
      <c r="K118" s="184"/>
      <c r="L118" s="203" t="s">
        <v>1065</v>
      </c>
      <c r="M118" s="184" t="s">
        <v>748</v>
      </c>
      <c r="N118" s="694">
        <f t="shared" ref="N118:AB118" si="91">N115*LOOKUP($AD110,$AH$4:$AQ$4,$AH$7:$AQ$7)</f>
        <v>0</v>
      </c>
      <c r="O118" s="694">
        <f t="shared" si="91"/>
        <v>0</v>
      </c>
      <c r="P118" s="694">
        <f t="shared" si="91"/>
        <v>0</v>
      </c>
      <c r="Q118" s="694">
        <f t="shared" si="91"/>
        <v>0</v>
      </c>
      <c r="R118" s="694">
        <f t="shared" si="91"/>
        <v>0</v>
      </c>
      <c r="S118" s="694">
        <f t="shared" si="91"/>
        <v>0</v>
      </c>
      <c r="T118" s="694">
        <f t="shared" si="91"/>
        <v>0</v>
      </c>
      <c r="U118" s="694">
        <f t="shared" si="91"/>
        <v>0</v>
      </c>
      <c r="V118" s="694">
        <f t="shared" si="91"/>
        <v>0</v>
      </c>
      <c r="W118" s="694">
        <f t="shared" si="91"/>
        <v>0</v>
      </c>
      <c r="X118" s="694">
        <f t="shared" si="91"/>
        <v>0</v>
      </c>
      <c r="Y118" s="694">
        <f t="shared" si="91"/>
        <v>0</v>
      </c>
      <c r="Z118" s="694">
        <f t="shared" si="91"/>
        <v>0</v>
      </c>
      <c r="AA118" s="694">
        <f t="shared" si="91"/>
        <v>0</v>
      </c>
      <c r="AB118" s="694">
        <f t="shared" si="91"/>
        <v>0</v>
      </c>
    </row>
    <row r="119" spans="1:46" s="83" customFormat="1" x14ac:dyDescent="0.25">
      <c r="A119" s="82"/>
      <c r="B119" s="178" t="str">
        <f t="shared" si="86"/>
        <v>TFLEELC900</v>
      </c>
      <c r="C119" s="178"/>
      <c r="D119" s="179"/>
      <c r="E119" s="178"/>
      <c r="F119" s="182"/>
      <c r="G119" s="181"/>
      <c r="H119" s="182"/>
      <c r="I119" s="183">
        <f>AF$8</f>
        <v>2030</v>
      </c>
      <c r="J119" s="184"/>
      <c r="K119" s="184"/>
      <c r="L119" s="203" t="s">
        <v>1065</v>
      </c>
      <c r="M119" s="184" t="s">
        <v>748</v>
      </c>
      <c r="N119" s="694">
        <f t="shared" ref="N119:AB119" si="92">N115*LOOKUP($AD110,$AH$4:$AQ$4,$AH$8:$AQ$8)</f>
        <v>0</v>
      </c>
      <c r="O119" s="694">
        <f t="shared" si="92"/>
        <v>0</v>
      </c>
      <c r="P119" s="694">
        <f t="shared" si="92"/>
        <v>0</v>
      </c>
      <c r="Q119" s="694">
        <f t="shared" si="92"/>
        <v>0</v>
      </c>
      <c r="R119" s="694">
        <f t="shared" si="92"/>
        <v>0</v>
      </c>
      <c r="S119" s="694">
        <f t="shared" si="92"/>
        <v>0</v>
      </c>
      <c r="T119" s="694">
        <f t="shared" si="92"/>
        <v>0</v>
      </c>
      <c r="U119" s="694">
        <f t="shared" si="92"/>
        <v>0</v>
      </c>
      <c r="V119" s="694">
        <f t="shared" si="92"/>
        <v>0</v>
      </c>
      <c r="W119" s="694">
        <f t="shared" si="92"/>
        <v>0</v>
      </c>
      <c r="X119" s="694">
        <f t="shared" si="92"/>
        <v>0</v>
      </c>
      <c r="Y119" s="694">
        <f t="shared" si="92"/>
        <v>0</v>
      </c>
      <c r="Z119" s="694">
        <f t="shared" si="92"/>
        <v>0</v>
      </c>
      <c r="AA119" s="694">
        <f t="shared" si="92"/>
        <v>0</v>
      </c>
      <c r="AB119" s="694">
        <f t="shared" si="92"/>
        <v>0</v>
      </c>
    </row>
    <row r="120" spans="1:46" s="83" customFormat="1" x14ac:dyDescent="0.25">
      <c r="A120" s="82"/>
      <c r="B120" s="178" t="str">
        <f t="shared" si="86"/>
        <v>TFLEELC900</v>
      </c>
      <c r="C120" s="178"/>
      <c r="D120" s="179"/>
      <c r="E120" s="178"/>
      <c r="F120" s="182"/>
      <c r="G120" s="181"/>
      <c r="H120" s="182"/>
      <c r="I120" s="183">
        <f>AF$9</f>
        <v>2040</v>
      </c>
      <c r="J120" s="184"/>
      <c r="K120" s="184"/>
      <c r="L120" s="203" t="s">
        <v>1065</v>
      </c>
      <c r="M120" s="184" t="s">
        <v>748</v>
      </c>
      <c r="N120" s="694">
        <f t="shared" ref="N120:AB120" si="93">N115*LOOKUP($AD110,$AH$4:$AQ$4,$AH$9:$AQ$9)</f>
        <v>0</v>
      </c>
      <c r="O120" s="694">
        <f t="shared" si="93"/>
        <v>0</v>
      </c>
      <c r="P120" s="694">
        <f t="shared" si="93"/>
        <v>0</v>
      </c>
      <c r="Q120" s="694">
        <f t="shared" si="93"/>
        <v>0</v>
      </c>
      <c r="R120" s="694">
        <f t="shared" si="93"/>
        <v>0</v>
      </c>
      <c r="S120" s="694">
        <f t="shared" si="93"/>
        <v>0</v>
      </c>
      <c r="T120" s="694">
        <f t="shared" si="93"/>
        <v>0</v>
      </c>
      <c r="U120" s="694">
        <f t="shared" si="93"/>
        <v>0</v>
      </c>
      <c r="V120" s="694">
        <f t="shared" si="93"/>
        <v>0</v>
      </c>
      <c r="W120" s="694">
        <f t="shared" si="93"/>
        <v>0</v>
      </c>
      <c r="X120" s="694">
        <f t="shared" si="93"/>
        <v>0</v>
      </c>
      <c r="Y120" s="694">
        <f t="shared" si="93"/>
        <v>0</v>
      </c>
      <c r="Z120" s="694">
        <f t="shared" si="93"/>
        <v>0</v>
      </c>
      <c r="AA120" s="694">
        <f t="shared" si="93"/>
        <v>0</v>
      </c>
      <c r="AB120" s="694">
        <f t="shared" si="93"/>
        <v>0</v>
      </c>
    </row>
    <row r="121" spans="1:46" s="83" customFormat="1" x14ac:dyDescent="0.25">
      <c r="A121" s="82"/>
      <c r="B121" s="204" t="str">
        <f t="shared" si="86"/>
        <v>TFLEELC900</v>
      </c>
      <c r="C121" s="204"/>
      <c r="D121" s="205"/>
      <c r="E121" s="204"/>
      <c r="F121" s="206"/>
      <c r="G121" s="207"/>
      <c r="H121" s="206"/>
      <c r="I121" s="208">
        <f>AF$10</f>
        <v>2050</v>
      </c>
      <c r="J121" s="209"/>
      <c r="K121" s="209"/>
      <c r="L121" s="210" t="s">
        <v>1065</v>
      </c>
      <c r="M121" s="209" t="s">
        <v>748</v>
      </c>
      <c r="N121" s="695">
        <f t="shared" ref="N121:AB121" si="94">N115*LOOKUP($AD110,$AH$4:$AQ$4,$AH$10:$AQ$10)</f>
        <v>0</v>
      </c>
      <c r="O121" s="695">
        <f t="shared" si="94"/>
        <v>0</v>
      </c>
      <c r="P121" s="695">
        <f t="shared" si="94"/>
        <v>0</v>
      </c>
      <c r="Q121" s="695">
        <f t="shared" si="94"/>
        <v>0</v>
      </c>
      <c r="R121" s="695">
        <f t="shared" si="94"/>
        <v>0</v>
      </c>
      <c r="S121" s="695">
        <f t="shared" si="94"/>
        <v>0</v>
      </c>
      <c r="T121" s="695">
        <f t="shared" si="94"/>
        <v>0</v>
      </c>
      <c r="U121" s="695">
        <f t="shared" si="94"/>
        <v>0</v>
      </c>
      <c r="V121" s="695">
        <f t="shared" si="94"/>
        <v>0</v>
      </c>
      <c r="W121" s="695">
        <f t="shared" si="94"/>
        <v>0</v>
      </c>
      <c r="X121" s="695">
        <f t="shared" si="94"/>
        <v>0</v>
      </c>
      <c r="Y121" s="695">
        <f t="shared" si="94"/>
        <v>0</v>
      </c>
      <c r="Z121" s="695">
        <f t="shared" si="94"/>
        <v>0</v>
      </c>
      <c r="AA121" s="695">
        <f t="shared" si="94"/>
        <v>0</v>
      </c>
      <c r="AB121" s="695">
        <f t="shared" si="94"/>
        <v>0</v>
      </c>
    </row>
    <row r="122" spans="1:46" s="83" customFormat="1" x14ac:dyDescent="0.25">
      <c r="A122" s="82"/>
      <c r="B122" s="178" t="str">
        <f>C122</f>
        <v>TFLEETH900</v>
      </c>
      <c r="C122" s="178" t="s">
        <v>130</v>
      </c>
      <c r="D122" s="179" t="s">
        <v>811</v>
      </c>
      <c r="E122" s="180" t="s">
        <v>1010</v>
      </c>
      <c r="F122" s="182"/>
      <c r="G122" s="181"/>
      <c r="H122" s="182"/>
      <c r="I122" s="183"/>
      <c r="J122" s="184"/>
      <c r="K122" s="184"/>
      <c r="L122" s="203" t="s">
        <v>1107</v>
      </c>
      <c r="M122" s="184" t="s">
        <v>1125</v>
      </c>
      <c r="N122" s="378">
        <v>1E-3</v>
      </c>
      <c r="O122" s="378">
        <f t="shared" ref="O122:AB122" si="95">$N122</f>
        <v>1E-3</v>
      </c>
      <c r="P122" s="378">
        <f t="shared" si="95"/>
        <v>1E-3</v>
      </c>
      <c r="Q122" s="378">
        <f t="shared" si="95"/>
        <v>1E-3</v>
      </c>
      <c r="R122" s="378">
        <f t="shared" si="95"/>
        <v>1E-3</v>
      </c>
      <c r="S122" s="378">
        <f t="shared" si="95"/>
        <v>1E-3</v>
      </c>
      <c r="T122" s="378">
        <f t="shared" si="95"/>
        <v>1E-3</v>
      </c>
      <c r="U122" s="378">
        <f t="shared" si="95"/>
        <v>1E-3</v>
      </c>
      <c r="V122" s="378">
        <f t="shared" si="95"/>
        <v>1E-3</v>
      </c>
      <c r="W122" s="378">
        <f t="shared" si="95"/>
        <v>1E-3</v>
      </c>
      <c r="X122" s="378">
        <f t="shared" si="95"/>
        <v>1E-3</v>
      </c>
      <c r="Y122" s="378">
        <f t="shared" si="95"/>
        <v>1E-3</v>
      </c>
      <c r="Z122" s="378">
        <f t="shared" si="95"/>
        <v>1E-3</v>
      </c>
      <c r="AA122" s="378">
        <f t="shared" si="95"/>
        <v>1E-3</v>
      </c>
      <c r="AB122" s="378">
        <f t="shared" si="95"/>
        <v>1E-3</v>
      </c>
      <c r="AD122" s="410" t="str">
        <f>MID(D122,13,3)</f>
        <v>ETH</v>
      </c>
    </row>
    <row r="123" spans="1:46" s="83" customFormat="1" x14ac:dyDescent="0.25">
      <c r="A123" s="82"/>
      <c r="B123" s="178" t="str">
        <f>B122</f>
        <v>TFLEETH900</v>
      </c>
      <c r="C123" s="178"/>
      <c r="D123" s="178"/>
      <c r="E123" s="180" t="s">
        <v>1014</v>
      </c>
      <c r="F123" s="182"/>
      <c r="G123" s="181"/>
      <c r="H123" s="182"/>
      <c r="I123" s="183"/>
      <c r="J123" s="184" t="s">
        <v>1223</v>
      </c>
      <c r="K123" s="184"/>
      <c r="L123" s="203" t="s">
        <v>101</v>
      </c>
      <c r="M123" s="184"/>
      <c r="N123" s="390">
        <f>N$28</f>
        <v>0.15</v>
      </c>
      <c r="O123" s="390">
        <f t="shared" ref="O123:AB123" si="96">O$28</f>
        <v>0.15</v>
      </c>
      <c r="P123" s="390">
        <f t="shared" si="96"/>
        <v>0.15</v>
      </c>
      <c r="Q123" s="390">
        <f t="shared" si="96"/>
        <v>0.15</v>
      </c>
      <c r="R123" s="390">
        <f t="shared" si="96"/>
        <v>0.15</v>
      </c>
      <c r="S123" s="390">
        <f t="shared" si="96"/>
        <v>0.15</v>
      </c>
      <c r="T123" s="390">
        <f t="shared" si="96"/>
        <v>0.15</v>
      </c>
      <c r="U123" s="390">
        <f t="shared" si="96"/>
        <v>0.15</v>
      </c>
      <c r="V123" s="390">
        <f t="shared" si="96"/>
        <v>0.15</v>
      </c>
      <c r="W123" s="390">
        <f t="shared" si="96"/>
        <v>0.15</v>
      </c>
      <c r="X123" s="390">
        <f t="shared" si="96"/>
        <v>0.15</v>
      </c>
      <c r="Y123" s="390">
        <f t="shared" si="96"/>
        <v>0.15</v>
      </c>
      <c r="Z123" s="390">
        <f t="shared" si="96"/>
        <v>0.15</v>
      </c>
      <c r="AA123" s="390">
        <f t="shared" si="96"/>
        <v>0.15</v>
      </c>
      <c r="AB123" s="390">
        <f t="shared" si="96"/>
        <v>0.15</v>
      </c>
      <c r="AD123" s="66" t="str">
        <f>IF(COUNTIF($AH$4:$AQ$4,AD122)=1,"ok","MISSING")</f>
        <v>ok</v>
      </c>
    </row>
    <row r="124" spans="1:46" s="83" customFormat="1" x14ac:dyDescent="0.25">
      <c r="A124" s="82"/>
      <c r="B124" s="178" t="str">
        <f t="shared" ref="B124:B134" si="97">B123</f>
        <v>TFLEETH900</v>
      </c>
      <c r="C124" s="178"/>
      <c r="D124" s="179"/>
      <c r="E124" s="178"/>
      <c r="F124" s="182"/>
      <c r="G124" s="173" t="s">
        <v>637</v>
      </c>
      <c r="H124" s="182"/>
      <c r="I124" s="183"/>
      <c r="J124" s="184"/>
      <c r="K124" s="184"/>
      <c r="L124" s="184" t="s">
        <v>1126</v>
      </c>
      <c r="M124" s="184" t="s">
        <v>678</v>
      </c>
      <c r="N124" s="676">
        <f>T_CEFF!H233</f>
        <v>0.48309000000000002</v>
      </c>
      <c r="O124" s="676">
        <f>T_CEFF!I233</f>
        <v>0.48309000000000002</v>
      </c>
      <c r="P124" s="676">
        <f>T_CEFF!J233</f>
        <v>0.48309000000000002</v>
      </c>
      <c r="Q124" s="676">
        <f>T_CEFF!K233</f>
        <v>0.48309000000000002</v>
      </c>
      <c r="R124" s="676">
        <f>T_CEFF!L233</f>
        <v>0.48309000000000002</v>
      </c>
      <c r="S124" s="676">
        <f>T_CEFF!M233</f>
        <v>0.48309000000000002</v>
      </c>
      <c r="T124" s="676">
        <f>T_CEFF!N233</f>
        <v>0.48309000000000002</v>
      </c>
      <c r="U124" s="676">
        <f>T_CEFF!O233</f>
        <v>0.48309000000000002</v>
      </c>
      <c r="V124" s="676">
        <f>T_CEFF!P233</f>
        <v>0.48309000000000002</v>
      </c>
      <c r="W124" s="676">
        <f>T_CEFF!Q233</f>
        <v>0.48309000000000002</v>
      </c>
      <c r="X124" s="676">
        <f>T_CEFF!R233</f>
        <v>0.48309000000000002</v>
      </c>
      <c r="Y124" s="676">
        <f>T_CEFF!S233</f>
        <v>0.48309000000000002</v>
      </c>
      <c r="Z124" s="676">
        <f>T_CEFF!T233</f>
        <v>0.48309000000000002</v>
      </c>
      <c r="AA124" s="676">
        <f>T_CEFF!U233</f>
        <v>0.48309000000000002</v>
      </c>
      <c r="AB124" s="676">
        <f>T_CEFF!V233</f>
        <v>0.48309000000000002</v>
      </c>
    </row>
    <row r="125" spans="1:46" s="83" customFormat="1" x14ac:dyDescent="0.25">
      <c r="A125" s="82"/>
      <c r="B125" s="178" t="str">
        <f t="shared" si="97"/>
        <v>TFLEETH900</v>
      </c>
      <c r="C125" s="178"/>
      <c r="D125" s="179"/>
      <c r="E125" s="178"/>
      <c r="F125" s="182"/>
      <c r="G125" s="173" t="s">
        <v>640</v>
      </c>
      <c r="H125" s="182"/>
      <c r="I125" s="183"/>
      <c r="J125" s="184"/>
      <c r="K125" s="184"/>
      <c r="L125" s="184" t="s">
        <v>1126</v>
      </c>
      <c r="M125" s="184" t="s">
        <v>678</v>
      </c>
      <c r="N125" s="676">
        <f>T_CEFF!H234</f>
        <v>0.39840999999999999</v>
      </c>
      <c r="O125" s="676">
        <f>T_CEFF!I234</f>
        <v>0.39840999999999999</v>
      </c>
      <c r="P125" s="676">
        <f>T_CEFF!J234</f>
        <v>0.39840999999999999</v>
      </c>
      <c r="Q125" s="676">
        <f>T_CEFF!K234</f>
        <v>0.39840999999999999</v>
      </c>
      <c r="R125" s="676">
        <f>T_CEFF!L234</f>
        <v>0.39840999999999999</v>
      </c>
      <c r="S125" s="676">
        <f>T_CEFF!M234</f>
        <v>0.39840999999999999</v>
      </c>
      <c r="T125" s="676">
        <f>T_CEFF!N234</f>
        <v>0.39840999999999999</v>
      </c>
      <c r="U125" s="676">
        <f>T_CEFF!O234</f>
        <v>0.39840999999999999</v>
      </c>
      <c r="V125" s="676">
        <f>T_CEFF!P234</f>
        <v>0.39840999999999999</v>
      </c>
      <c r="W125" s="676">
        <f>T_CEFF!Q234</f>
        <v>0.39840999999999999</v>
      </c>
      <c r="X125" s="676">
        <f>T_CEFF!R234</f>
        <v>0.39840999999999999</v>
      </c>
      <c r="Y125" s="676">
        <f>T_CEFF!S234</f>
        <v>0.39840999999999999</v>
      </c>
      <c r="Z125" s="676">
        <f>T_CEFF!T234</f>
        <v>0.39840999999999999</v>
      </c>
      <c r="AA125" s="676">
        <f>T_CEFF!U234</f>
        <v>0.39840999999999999</v>
      </c>
      <c r="AB125" s="676">
        <f>T_CEFF!V234</f>
        <v>0.39840999999999999</v>
      </c>
    </row>
    <row r="126" spans="1:46" s="83" customFormat="1" x14ac:dyDescent="0.25">
      <c r="A126" s="82"/>
      <c r="B126" s="178" t="str">
        <f>B125</f>
        <v>TFLEETH900</v>
      </c>
      <c r="C126" s="178"/>
      <c r="D126" s="179"/>
      <c r="E126" s="178"/>
      <c r="F126" s="182"/>
      <c r="G126" s="181"/>
      <c r="H126" s="182"/>
      <c r="I126" s="183"/>
      <c r="J126" s="184"/>
      <c r="K126" s="184" t="s">
        <v>749</v>
      </c>
      <c r="L126" s="184" t="s">
        <v>1128</v>
      </c>
      <c r="M126" s="184" t="s">
        <v>1175</v>
      </c>
      <c r="N126" s="388">
        <f t="shared" ref="N126:AB126" si="98">N$23</f>
        <v>0.76</v>
      </c>
      <c r="O126" s="388">
        <f t="shared" si="98"/>
        <v>0</v>
      </c>
      <c r="P126" s="388">
        <f t="shared" si="98"/>
        <v>0</v>
      </c>
      <c r="Q126" s="388">
        <f t="shared" si="98"/>
        <v>0</v>
      </c>
      <c r="R126" s="388">
        <f t="shared" si="98"/>
        <v>0</v>
      </c>
      <c r="S126" s="388">
        <f t="shared" si="98"/>
        <v>0</v>
      </c>
      <c r="T126" s="388">
        <f t="shared" si="98"/>
        <v>0</v>
      </c>
      <c r="U126" s="388">
        <f t="shared" si="98"/>
        <v>0</v>
      </c>
      <c r="V126" s="388">
        <f t="shared" si="98"/>
        <v>0</v>
      </c>
      <c r="W126" s="388">
        <f t="shared" si="98"/>
        <v>0</v>
      </c>
      <c r="X126" s="388">
        <f t="shared" si="98"/>
        <v>0</v>
      </c>
      <c r="Y126" s="388">
        <f t="shared" si="98"/>
        <v>0</v>
      </c>
      <c r="Z126" s="388">
        <f t="shared" si="98"/>
        <v>0</v>
      </c>
      <c r="AA126" s="388">
        <f t="shared" si="98"/>
        <v>0</v>
      </c>
      <c r="AB126" s="388">
        <f t="shared" si="98"/>
        <v>0</v>
      </c>
    </row>
    <row r="127" spans="1:46" s="83" customFormat="1" x14ac:dyDescent="0.25">
      <c r="A127" s="82"/>
      <c r="B127" s="178" t="str">
        <f t="shared" si="97"/>
        <v>TFLEETH900</v>
      </c>
      <c r="C127" s="178"/>
      <c r="D127" s="179"/>
      <c r="E127" s="178"/>
      <c r="F127" s="182"/>
      <c r="G127" s="181"/>
      <c r="H127" s="182"/>
      <c r="I127" s="183"/>
      <c r="J127" s="184"/>
      <c r="K127" s="184"/>
      <c r="L127" s="203" t="s">
        <v>1130</v>
      </c>
      <c r="M127" s="184" t="s">
        <v>1131</v>
      </c>
      <c r="N127" s="397">
        <f>LOOKUP($C$122, T_NCAP_AF!$C$140:$C$150, T_NCAP_AF!D$140:D$150)*(1+N79)</f>
        <v>0</v>
      </c>
      <c r="O127" s="397">
        <f>LOOKUP($C$122, T_NCAP_AF!$C$140:$C$150, T_NCAP_AF!E$140:E$150)*(1+O79)</f>
        <v>0</v>
      </c>
      <c r="P127" s="397">
        <f>LOOKUP($C$122, T_NCAP_AF!$C$140:$C$150, T_NCAP_AF!F$140:F$150)*(1+P79)</f>
        <v>0</v>
      </c>
      <c r="Q127" s="397">
        <f>LOOKUP($C$122, T_NCAP_AF!$C$140:$C$150, T_NCAP_AF!G$140:G$150)*(1+Q79)</f>
        <v>0</v>
      </c>
      <c r="R127" s="397">
        <f>LOOKUP($C$122, T_NCAP_AF!$C$140:$C$150, T_NCAP_AF!H$140:H$150)*(1+R79)</f>
        <v>0</v>
      </c>
      <c r="S127" s="397">
        <f>LOOKUP($C$122, T_NCAP_AF!$C$140:$C$150, T_NCAP_AF!I$140:I$150)*(1+S79)</f>
        <v>0</v>
      </c>
      <c r="T127" s="397">
        <f>LOOKUP($C$122, T_NCAP_AF!$C$140:$C$150, T_NCAP_AF!J$140:J$150)*(1+T79)</f>
        <v>0</v>
      </c>
      <c r="U127" s="397">
        <f>LOOKUP($C$122, T_NCAP_AF!$C$140:$C$150, T_NCAP_AF!K$140:K$150)*(1+U79)</f>
        <v>0</v>
      </c>
      <c r="V127" s="397">
        <f>LOOKUP($C$122, T_NCAP_AF!$C$140:$C$150, T_NCAP_AF!L$140:L$150)*(1+V79)</f>
        <v>0</v>
      </c>
      <c r="W127" s="397">
        <f>LOOKUP($C$122, T_NCAP_AF!$C$140:$C$150, T_NCAP_AF!M$140:M$150)*(1+W79)</f>
        <v>0</v>
      </c>
      <c r="X127" s="397">
        <f>LOOKUP($C$122, T_NCAP_AF!$C$140:$C$150, T_NCAP_AF!N$140:N$150)*(1+X79)</f>
        <v>0</v>
      </c>
      <c r="Y127" s="397">
        <f>LOOKUP($C$122, T_NCAP_AF!$C$140:$C$150, T_NCAP_AF!O$140:O$150)*(1+Y79)</f>
        <v>0</v>
      </c>
      <c r="Z127" s="397">
        <f>LOOKUP($C$122, T_NCAP_AF!$C$140:$C$150, T_NCAP_AF!P$140:P$150)*(1+Z79)</f>
        <v>0</v>
      </c>
      <c r="AA127" s="397">
        <f>LOOKUP($C$122, T_NCAP_AF!$C$140:$C$150, T_NCAP_AF!Q$140:Q$150)*(1+AA79)</f>
        <v>0</v>
      </c>
      <c r="AB127" s="397">
        <f>LOOKUP($C$122, T_NCAP_AF!$C$140:$C$150, T_NCAP_AF!R$140:R$150)*(1+AB79)</f>
        <v>0</v>
      </c>
      <c r="AE127" s="572">
        <f>SUM(AF127:AT127)</f>
        <v>0</v>
      </c>
      <c r="AF127" s="85">
        <f t="shared" ref="AF127:AT127" si="99">N126*N127*N128/1000</f>
        <v>0</v>
      </c>
      <c r="AG127" s="85">
        <f t="shared" si="99"/>
        <v>0</v>
      </c>
      <c r="AH127" s="85">
        <f t="shared" si="99"/>
        <v>0</v>
      </c>
      <c r="AI127" s="85">
        <f t="shared" si="99"/>
        <v>0</v>
      </c>
      <c r="AJ127" s="85">
        <f t="shared" si="99"/>
        <v>0</v>
      </c>
      <c r="AK127" s="85">
        <f t="shared" si="99"/>
        <v>0</v>
      </c>
      <c r="AL127" s="85">
        <f t="shared" si="99"/>
        <v>0</v>
      </c>
      <c r="AM127" s="85">
        <f t="shared" si="99"/>
        <v>0</v>
      </c>
      <c r="AN127" s="85">
        <f t="shared" si="99"/>
        <v>0</v>
      </c>
      <c r="AO127" s="85">
        <f t="shared" si="99"/>
        <v>0</v>
      </c>
      <c r="AP127" s="85">
        <f t="shared" si="99"/>
        <v>0</v>
      </c>
      <c r="AQ127" s="85">
        <f t="shared" si="99"/>
        <v>0</v>
      </c>
      <c r="AR127" s="85">
        <f t="shared" si="99"/>
        <v>0</v>
      </c>
      <c r="AS127" s="85">
        <f t="shared" si="99"/>
        <v>0</v>
      </c>
      <c r="AT127" s="85">
        <f t="shared" si="99"/>
        <v>0</v>
      </c>
    </row>
    <row r="128" spans="1:46" s="83" customFormat="1" x14ac:dyDescent="0.25">
      <c r="A128" s="82"/>
      <c r="B128" s="178" t="str">
        <f>B127</f>
        <v>TFLEETH900</v>
      </c>
      <c r="C128" s="178"/>
      <c r="D128" s="179"/>
      <c r="E128" s="178"/>
      <c r="F128" s="182"/>
      <c r="G128" s="181"/>
      <c r="H128" s="182"/>
      <c r="I128" s="183">
        <f>$M$3</f>
        <v>2019</v>
      </c>
      <c r="J128" s="184"/>
      <c r="K128" s="184"/>
      <c r="L128" s="203" t="s">
        <v>1065</v>
      </c>
      <c r="M128" s="184" t="s">
        <v>748</v>
      </c>
      <c r="N128" s="694">
        <f>LOOKUP($C$122, 'T_Stock_TOTAL_&amp;_City'!$C$90:$C$100, 'T_Stock_TOTAL_&amp;_City'!D$90:D$100)*(1+N80)</f>
        <v>0</v>
      </c>
      <c r="O128" s="694">
        <f>LOOKUP($C$122, 'T_Stock_TOTAL_&amp;_City'!$C$90:$C$100, 'T_Stock_TOTAL_&amp;_City'!E$90:E$100)*(1+O80)</f>
        <v>0</v>
      </c>
      <c r="P128" s="694">
        <f>LOOKUP($C$122, 'T_Stock_TOTAL_&amp;_City'!$C$90:$C$100, 'T_Stock_TOTAL_&amp;_City'!F$90:F$100)*(1+P80)</f>
        <v>0</v>
      </c>
      <c r="Q128" s="694">
        <f>LOOKUP($C$122, 'T_Stock_TOTAL_&amp;_City'!$C$90:$C$100, 'T_Stock_TOTAL_&amp;_City'!G$90:G$100)*(1+Q80)</f>
        <v>0</v>
      </c>
      <c r="R128" s="694">
        <f>LOOKUP($C$122, 'T_Stock_TOTAL_&amp;_City'!$C$90:$C$100, 'T_Stock_TOTAL_&amp;_City'!H$90:H$100)*(1+R80)</f>
        <v>0</v>
      </c>
      <c r="S128" s="694">
        <f>LOOKUP($C$122, 'T_Stock_TOTAL_&amp;_City'!$C$90:$C$100, 'T_Stock_TOTAL_&amp;_City'!I$90:I$100)*(1+S80)</f>
        <v>0</v>
      </c>
      <c r="T128" s="694">
        <f>LOOKUP($C$122, 'T_Stock_TOTAL_&amp;_City'!$C$90:$C$100, 'T_Stock_TOTAL_&amp;_City'!J$90:J$100)*(1+T80)</f>
        <v>0</v>
      </c>
      <c r="U128" s="694">
        <f>LOOKUP($C$122, 'T_Stock_TOTAL_&amp;_City'!$C$90:$C$100, 'T_Stock_TOTAL_&amp;_City'!K$90:K$100)*(1+U80)</f>
        <v>0</v>
      </c>
      <c r="V128" s="694">
        <f>LOOKUP($C$122, 'T_Stock_TOTAL_&amp;_City'!$C$90:$C$100, 'T_Stock_TOTAL_&amp;_City'!L$90:L$100)*(1+V80)</f>
        <v>0</v>
      </c>
      <c r="W128" s="694">
        <f>LOOKUP($C$122, 'T_Stock_TOTAL_&amp;_City'!$C$90:$C$100, 'T_Stock_TOTAL_&amp;_City'!M$90:M$100)*(1+W80)</f>
        <v>0</v>
      </c>
      <c r="X128" s="694">
        <f>LOOKUP($C$122, 'T_Stock_TOTAL_&amp;_City'!$C$90:$C$100, 'T_Stock_TOTAL_&amp;_City'!N$90:N$100)*(1+X80)</f>
        <v>0</v>
      </c>
      <c r="Y128" s="694">
        <f>LOOKUP($C$122, 'T_Stock_TOTAL_&amp;_City'!$C$90:$C$100, 'T_Stock_TOTAL_&amp;_City'!O$90:O$100)*(1+Y80)</f>
        <v>0</v>
      </c>
      <c r="Z128" s="694">
        <f>LOOKUP($C$122, 'T_Stock_TOTAL_&amp;_City'!$C$90:$C$100, 'T_Stock_TOTAL_&amp;_City'!P$90:P$100)*(1+Z80)</f>
        <v>0</v>
      </c>
      <c r="AA128" s="694">
        <f>LOOKUP($C$122, 'T_Stock_TOTAL_&amp;_City'!$C$90:$C$100, 'T_Stock_TOTAL_&amp;_City'!Q$90:Q$100)*(1+AA80)</f>
        <v>0</v>
      </c>
      <c r="AB128" s="694">
        <f>LOOKUP($C$122, 'T_Stock_TOTAL_&amp;_City'!$C$90:$C$100, 'T_Stock_TOTAL_&amp;_City'!R$90:R$100)*(1+AB80)</f>
        <v>0</v>
      </c>
    </row>
    <row r="129" spans="1:46" s="83" customFormat="1" x14ac:dyDescent="0.25">
      <c r="A129" s="82"/>
      <c r="B129" s="178" t="str">
        <f t="shared" si="97"/>
        <v>TFLEETH900</v>
      </c>
      <c r="C129" s="178"/>
      <c r="D129" s="179"/>
      <c r="E129" s="178"/>
      <c r="F129" s="182"/>
      <c r="G129" s="181"/>
      <c r="H129" s="182"/>
      <c r="I129" s="183">
        <f>AF$5</f>
        <v>2016</v>
      </c>
      <c r="J129" s="184"/>
      <c r="K129" s="184"/>
      <c r="L129" s="203" t="s">
        <v>1065</v>
      </c>
      <c r="M129" s="184" t="s">
        <v>748</v>
      </c>
      <c r="N129" s="694">
        <f t="shared" ref="N129:AB129" si="100">N128*LOOKUP($AD122,$AH$4:$AQ$4,$AH$5:$AQ$5)</f>
        <v>0</v>
      </c>
      <c r="O129" s="694">
        <f t="shared" si="100"/>
        <v>0</v>
      </c>
      <c r="P129" s="694">
        <f t="shared" si="100"/>
        <v>0</v>
      </c>
      <c r="Q129" s="694">
        <f t="shared" si="100"/>
        <v>0</v>
      </c>
      <c r="R129" s="694">
        <f t="shared" si="100"/>
        <v>0</v>
      </c>
      <c r="S129" s="694">
        <f t="shared" si="100"/>
        <v>0</v>
      </c>
      <c r="T129" s="694">
        <f t="shared" si="100"/>
        <v>0</v>
      </c>
      <c r="U129" s="694">
        <f t="shared" si="100"/>
        <v>0</v>
      </c>
      <c r="V129" s="694">
        <f t="shared" si="100"/>
        <v>0</v>
      </c>
      <c r="W129" s="694">
        <f t="shared" si="100"/>
        <v>0</v>
      </c>
      <c r="X129" s="694">
        <f t="shared" si="100"/>
        <v>0</v>
      </c>
      <c r="Y129" s="694">
        <f t="shared" si="100"/>
        <v>0</v>
      </c>
      <c r="Z129" s="694">
        <f t="shared" si="100"/>
        <v>0</v>
      </c>
      <c r="AA129" s="694">
        <f t="shared" si="100"/>
        <v>0</v>
      </c>
      <c r="AB129" s="694">
        <f t="shared" si="100"/>
        <v>0</v>
      </c>
    </row>
    <row r="130" spans="1:46" s="83" customFormat="1" x14ac:dyDescent="0.25">
      <c r="A130" s="82"/>
      <c r="B130" s="178" t="str">
        <f t="shared" si="97"/>
        <v>TFLEETH900</v>
      </c>
      <c r="C130" s="178"/>
      <c r="D130" s="179"/>
      <c r="E130" s="178"/>
      <c r="F130" s="182"/>
      <c r="G130" s="181"/>
      <c r="H130" s="182"/>
      <c r="I130" s="183">
        <f>AF$6</f>
        <v>2020</v>
      </c>
      <c r="J130" s="184"/>
      <c r="K130" s="184"/>
      <c r="L130" s="203" t="s">
        <v>1065</v>
      </c>
      <c r="M130" s="184" t="s">
        <v>748</v>
      </c>
      <c r="N130" s="694">
        <f t="shared" ref="N130:AB130" si="101">N128*LOOKUP($AD122,$AH$4:$AQ$4,$AH$6:$AQ$6)</f>
        <v>0</v>
      </c>
      <c r="O130" s="694">
        <f t="shared" si="101"/>
        <v>0</v>
      </c>
      <c r="P130" s="694">
        <f t="shared" si="101"/>
        <v>0</v>
      </c>
      <c r="Q130" s="694">
        <f t="shared" si="101"/>
        <v>0</v>
      </c>
      <c r="R130" s="694">
        <f t="shared" si="101"/>
        <v>0</v>
      </c>
      <c r="S130" s="694">
        <f t="shared" si="101"/>
        <v>0</v>
      </c>
      <c r="T130" s="694">
        <f t="shared" si="101"/>
        <v>0</v>
      </c>
      <c r="U130" s="694">
        <f t="shared" si="101"/>
        <v>0</v>
      </c>
      <c r="V130" s="694">
        <f t="shared" si="101"/>
        <v>0</v>
      </c>
      <c r="W130" s="694">
        <f t="shared" si="101"/>
        <v>0</v>
      </c>
      <c r="X130" s="694">
        <f t="shared" si="101"/>
        <v>0</v>
      </c>
      <c r="Y130" s="694">
        <f t="shared" si="101"/>
        <v>0</v>
      </c>
      <c r="Z130" s="694">
        <f t="shared" si="101"/>
        <v>0</v>
      </c>
      <c r="AA130" s="694">
        <f t="shared" si="101"/>
        <v>0</v>
      </c>
      <c r="AB130" s="694">
        <f t="shared" si="101"/>
        <v>0</v>
      </c>
    </row>
    <row r="131" spans="1:46" s="83" customFormat="1" x14ac:dyDescent="0.25">
      <c r="A131" s="82"/>
      <c r="B131" s="178" t="str">
        <f t="shared" si="97"/>
        <v>TFLEETH900</v>
      </c>
      <c r="C131" s="178"/>
      <c r="D131" s="179"/>
      <c r="E131" s="178"/>
      <c r="F131" s="182"/>
      <c r="G131" s="181"/>
      <c r="H131" s="182"/>
      <c r="I131" s="183">
        <f>AF$7</f>
        <v>2025</v>
      </c>
      <c r="J131" s="184"/>
      <c r="K131" s="184"/>
      <c r="L131" s="203" t="s">
        <v>1065</v>
      </c>
      <c r="M131" s="184" t="s">
        <v>748</v>
      </c>
      <c r="N131" s="694">
        <f t="shared" ref="N131:AB131" si="102">N128*LOOKUP($AD122,$AH$4:$AQ$4,$AH$7:$AQ$7)</f>
        <v>0</v>
      </c>
      <c r="O131" s="694">
        <f t="shared" si="102"/>
        <v>0</v>
      </c>
      <c r="P131" s="694">
        <f t="shared" si="102"/>
        <v>0</v>
      </c>
      <c r="Q131" s="694">
        <f t="shared" si="102"/>
        <v>0</v>
      </c>
      <c r="R131" s="694">
        <f t="shared" si="102"/>
        <v>0</v>
      </c>
      <c r="S131" s="694">
        <f t="shared" si="102"/>
        <v>0</v>
      </c>
      <c r="T131" s="694">
        <f t="shared" si="102"/>
        <v>0</v>
      </c>
      <c r="U131" s="694">
        <f t="shared" si="102"/>
        <v>0</v>
      </c>
      <c r="V131" s="694">
        <f t="shared" si="102"/>
        <v>0</v>
      </c>
      <c r="W131" s="694">
        <f t="shared" si="102"/>
        <v>0</v>
      </c>
      <c r="X131" s="694">
        <f t="shared" si="102"/>
        <v>0</v>
      </c>
      <c r="Y131" s="694">
        <f t="shared" si="102"/>
        <v>0</v>
      </c>
      <c r="Z131" s="694">
        <f t="shared" si="102"/>
        <v>0</v>
      </c>
      <c r="AA131" s="694">
        <f t="shared" si="102"/>
        <v>0</v>
      </c>
      <c r="AB131" s="694">
        <f t="shared" si="102"/>
        <v>0</v>
      </c>
    </row>
    <row r="132" spans="1:46" s="83" customFormat="1" x14ac:dyDescent="0.25">
      <c r="A132" s="82"/>
      <c r="B132" s="178" t="str">
        <f t="shared" si="97"/>
        <v>TFLEETH900</v>
      </c>
      <c r="C132" s="178"/>
      <c r="D132" s="179"/>
      <c r="E132" s="178"/>
      <c r="F132" s="182"/>
      <c r="G132" s="181"/>
      <c r="H132" s="182"/>
      <c r="I132" s="183">
        <f>AF$8</f>
        <v>2030</v>
      </c>
      <c r="J132" s="184"/>
      <c r="K132" s="184"/>
      <c r="L132" s="203" t="s">
        <v>1065</v>
      </c>
      <c r="M132" s="184" t="s">
        <v>748</v>
      </c>
      <c r="N132" s="694">
        <f t="shared" ref="N132:AB132" si="103">N128*LOOKUP($AD122,$AH$4:$AQ$4,$AH$8:$AQ$8)</f>
        <v>0</v>
      </c>
      <c r="O132" s="694">
        <f t="shared" si="103"/>
        <v>0</v>
      </c>
      <c r="P132" s="694">
        <f t="shared" si="103"/>
        <v>0</v>
      </c>
      <c r="Q132" s="694">
        <f t="shared" si="103"/>
        <v>0</v>
      </c>
      <c r="R132" s="694">
        <f t="shared" si="103"/>
        <v>0</v>
      </c>
      <c r="S132" s="694">
        <f t="shared" si="103"/>
        <v>0</v>
      </c>
      <c r="T132" s="694">
        <f t="shared" si="103"/>
        <v>0</v>
      </c>
      <c r="U132" s="694">
        <f t="shared" si="103"/>
        <v>0</v>
      </c>
      <c r="V132" s="694">
        <f t="shared" si="103"/>
        <v>0</v>
      </c>
      <c r="W132" s="694">
        <f t="shared" si="103"/>
        <v>0</v>
      </c>
      <c r="X132" s="694">
        <f t="shared" si="103"/>
        <v>0</v>
      </c>
      <c r="Y132" s="694">
        <f t="shared" si="103"/>
        <v>0</v>
      </c>
      <c r="Z132" s="694">
        <f t="shared" si="103"/>
        <v>0</v>
      </c>
      <c r="AA132" s="694">
        <f t="shared" si="103"/>
        <v>0</v>
      </c>
      <c r="AB132" s="694">
        <f t="shared" si="103"/>
        <v>0</v>
      </c>
    </row>
    <row r="133" spans="1:46" s="83" customFormat="1" x14ac:dyDescent="0.25">
      <c r="A133" s="82"/>
      <c r="B133" s="178" t="str">
        <f t="shared" si="97"/>
        <v>TFLEETH900</v>
      </c>
      <c r="C133" s="178"/>
      <c r="D133" s="179"/>
      <c r="E133" s="178"/>
      <c r="F133" s="182"/>
      <c r="G133" s="181"/>
      <c r="H133" s="182"/>
      <c r="I133" s="183">
        <f>AF$9</f>
        <v>2040</v>
      </c>
      <c r="J133" s="184"/>
      <c r="K133" s="184"/>
      <c r="L133" s="203" t="s">
        <v>1065</v>
      </c>
      <c r="M133" s="184" t="s">
        <v>748</v>
      </c>
      <c r="N133" s="694">
        <f t="shared" ref="N133:AB133" si="104">N128*LOOKUP($AD122,$AH$4:$AQ$4,$AH$9:$AQ$9)</f>
        <v>0</v>
      </c>
      <c r="O133" s="694">
        <f t="shared" si="104"/>
        <v>0</v>
      </c>
      <c r="P133" s="694">
        <f t="shared" si="104"/>
        <v>0</v>
      </c>
      <c r="Q133" s="694">
        <f t="shared" si="104"/>
        <v>0</v>
      </c>
      <c r="R133" s="694">
        <f t="shared" si="104"/>
        <v>0</v>
      </c>
      <c r="S133" s="694">
        <f t="shared" si="104"/>
        <v>0</v>
      </c>
      <c r="T133" s="694">
        <f t="shared" si="104"/>
        <v>0</v>
      </c>
      <c r="U133" s="694">
        <f t="shared" si="104"/>
        <v>0</v>
      </c>
      <c r="V133" s="694">
        <f t="shared" si="104"/>
        <v>0</v>
      </c>
      <c r="W133" s="694">
        <f t="shared" si="104"/>
        <v>0</v>
      </c>
      <c r="X133" s="694">
        <f t="shared" si="104"/>
        <v>0</v>
      </c>
      <c r="Y133" s="694">
        <f t="shared" si="104"/>
        <v>0</v>
      </c>
      <c r="Z133" s="694">
        <f t="shared" si="104"/>
        <v>0</v>
      </c>
      <c r="AA133" s="694">
        <f t="shared" si="104"/>
        <v>0</v>
      </c>
      <c r="AB133" s="694">
        <f t="shared" si="104"/>
        <v>0</v>
      </c>
    </row>
    <row r="134" spans="1:46" s="83" customFormat="1" x14ac:dyDescent="0.25">
      <c r="A134" s="82"/>
      <c r="B134" s="204" t="str">
        <f t="shared" si="97"/>
        <v>TFLEETH900</v>
      </c>
      <c r="C134" s="204"/>
      <c r="D134" s="205"/>
      <c r="E134" s="204"/>
      <c r="F134" s="206"/>
      <c r="G134" s="207"/>
      <c r="H134" s="206"/>
      <c r="I134" s="208">
        <f>AF$10</f>
        <v>2050</v>
      </c>
      <c r="J134" s="209"/>
      <c r="K134" s="209"/>
      <c r="L134" s="210" t="s">
        <v>1065</v>
      </c>
      <c r="M134" s="209" t="s">
        <v>748</v>
      </c>
      <c r="N134" s="695">
        <f t="shared" ref="N134:AB134" si="105">N128*LOOKUP($AD122,$AH$4:$AQ$4,$AH$10:$AQ$10)</f>
        <v>0</v>
      </c>
      <c r="O134" s="695">
        <f t="shared" si="105"/>
        <v>0</v>
      </c>
      <c r="P134" s="695">
        <f t="shared" si="105"/>
        <v>0</v>
      </c>
      <c r="Q134" s="695">
        <f t="shared" si="105"/>
        <v>0</v>
      </c>
      <c r="R134" s="695">
        <f t="shared" si="105"/>
        <v>0</v>
      </c>
      <c r="S134" s="695">
        <f t="shared" si="105"/>
        <v>0</v>
      </c>
      <c r="T134" s="695">
        <f t="shared" si="105"/>
        <v>0</v>
      </c>
      <c r="U134" s="695">
        <f t="shared" si="105"/>
        <v>0</v>
      </c>
      <c r="V134" s="695">
        <f t="shared" si="105"/>
        <v>0</v>
      </c>
      <c r="W134" s="695">
        <f t="shared" si="105"/>
        <v>0</v>
      </c>
      <c r="X134" s="695">
        <f t="shared" si="105"/>
        <v>0</v>
      </c>
      <c r="Y134" s="695">
        <f t="shared" si="105"/>
        <v>0</v>
      </c>
      <c r="Z134" s="695">
        <f t="shared" si="105"/>
        <v>0</v>
      </c>
      <c r="AA134" s="695">
        <f t="shared" si="105"/>
        <v>0</v>
      </c>
      <c r="AB134" s="695">
        <f t="shared" si="105"/>
        <v>0</v>
      </c>
    </row>
    <row r="135" spans="1:46" s="83" customFormat="1" x14ac:dyDescent="0.25">
      <c r="A135" s="82"/>
      <c r="B135" s="178" t="str">
        <f>C135</f>
        <v>TFLEGAS900</v>
      </c>
      <c r="C135" s="178" t="s">
        <v>131</v>
      </c>
      <c r="D135" s="179" t="s">
        <v>813</v>
      </c>
      <c r="E135" s="180" t="s">
        <v>1039</v>
      </c>
      <c r="F135" s="182"/>
      <c r="G135" s="181"/>
      <c r="H135" s="182"/>
      <c r="I135" s="183"/>
      <c r="J135" s="184"/>
      <c r="K135" s="184"/>
      <c r="L135" s="203" t="s">
        <v>1107</v>
      </c>
      <c r="M135" s="184" t="s">
        <v>1125</v>
      </c>
      <c r="N135" s="378">
        <v>1E-3</v>
      </c>
      <c r="O135" s="378">
        <f t="shared" ref="O135:AB137" si="106">$N135</f>
        <v>1E-3</v>
      </c>
      <c r="P135" s="378">
        <f t="shared" si="106"/>
        <v>1E-3</v>
      </c>
      <c r="Q135" s="378">
        <f t="shared" si="106"/>
        <v>1E-3</v>
      </c>
      <c r="R135" s="378">
        <f t="shared" si="106"/>
        <v>1E-3</v>
      </c>
      <c r="S135" s="378">
        <f t="shared" si="106"/>
        <v>1E-3</v>
      </c>
      <c r="T135" s="378">
        <f t="shared" si="106"/>
        <v>1E-3</v>
      </c>
      <c r="U135" s="378">
        <f t="shared" si="106"/>
        <v>1E-3</v>
      </c>
      <c r="V135" s="378">
        <f t="shared" si="106"/>
        <v>1E-3</v>
      </c>
      <c r="W135" s="378">
        <f t="shared" si="106"/>
        <v>1E-3</v>
      </c>
      <c r="X135" s="378">
        <f t="shared" si="106"/>
        <v>1E-3</v>
      </c>
      <c r="Y135" s="378">
        <f t="shared" si="106"/>
        <v>1E-3</v>
      </c>
      <c r="Z135" s="378">
        <f t="shared" si="106"/>
        <v>1E-3</v>
      </c>
      <c r="AA135" s="378">
        <f t="shared" si="106"/>
        <v>1E-3</v>
      </c>
      <c r="AB135" s="378">
        <f t="shared" si="106"/>
        <v>1E-3</v>
      </c>
      <c r="AD135" s="410" t="str">
        <f>MID(D135,13,3)</f>
        <v>GAS</v>
      </c>
    </row>
    <row r="136" spans="1:46" s="83" customFormat="1" x14ac:dyDescent="0.25">
      <c r="A136" s="82"/>
      <c r="B136" s="178" t="str">
        <f>B135</f>
        <v>TFLEGAS900</v>
      </c>
      <c r="C136" s="178"/>
      <c r="D136" s="179"/>
      <c r="E136" s="180" t="s">
        <v>994</v>
      </c>
      <c r="F136" s="182"/>
      <c r="G136" s="180"/>
      <c r="H136" s="182"/>
      <c r="I136" s="183"/>
      <c r="J136" s="184" t="s">
        <v>1223</v>
      </c>
      <c r="K136" s="184"/>
      <c r="L136" s="203" t="s">
        <v>101</v>
      </c>
      <c r="M136" s="184"/>
      <c r="N136" s="390">
        <f>(1-N137)*(1-N31)</f>
        <v>0.15999999999999998</v>
      </c>
      <c r="O136" s="390">
        <f t="shared" si="106"/>
        <v>0.15999999999999998</v>
      </c>
      <c r="P136" s="390">
        <f t="shared" si="106"/>
        <v>0.15999999999999998</v>
      </c>
      <c r="Q136" s="390">
        <f t="shared" si="106"/>
        <v>0.15999999999999998</v>
      </c>
      <c r="R136" s="390">
        <f t="shared" si="106"/>
        <v>0.15999999999999998</v>
      </c>
      <c r="S136" s="390">
        <f t="shared" si="106"/>
        <v>0.15999999999999998</v>
      </c>
      <c r="T136" s="390">
        <f t="shared" si="106"/>
        <v>0.15999999999999998</v>
      </c>
      <c r="U136" s="390">
        <f t="shared" si="106"/>
        <v>0.15999999999999998</v>
      </c>
      <c r="V136" s="390">
        <f t="shared" si="106"/>
        <v>0.15999999999999998</v>
      </c>
      <c r="W136" s="390">
        <f t="shared" si="106"/>
        <v>0.15999999999999998</v>
      </c>
      <c r="X136" s="390">
        <f t="shared" si="106"/>
        <v>0.15999999999999998</v>
      </c>
      <c r="Y136" s="390">
        <f t="shared" si="106"/>
        <v>0.15999999999999998</v>
      </c>
      <c r="Z136" s="390">
        <f t="shared" si="106"/>
        <v>0.15999999999999998</v>
      </c>
      <c r="AA136" s="390">
        <f t="shared" si="106"/>
        <v>0.15999999999999998</v>
      </c>
      <c r="AB136" s="390">
        <f t="shared" si="106"/>
        <v>0.15999999999999998</v>
      </c>
      <c r="AD136" s="66" t="str">
        <f>IF(COUNTIF($AH$4:$AQ$4,AD135)=1,"ok","MISSING")</f>
        <v>ok</v>
      </c>
    </row>
    <row r="137" spans="1:46" s="83" customFormat="1" x14ac:dyDescent="0.25">
      <c r="A137" s="82"/>
      <c r="B137" s="178" t="str">
        <f>B136</f>
        <v>TFLEGAS900</v>
      </c>
      <c r="C137" s="178"/>
      <c r="D137" s="179"/>
      <c r="E137" s="180" t="s">
        <v>1014</v>
      </c>
      <c r="F137" s="182"/>
      <c r="G137" s="181"/>
      <c r="H137" s="182"/>
      <c r="I137" s="183"/>
      <c r="J137" s="184" t="s">
        <v>1157</v>
      </c>
      <c r="K137" s="184"/>
      <c r="L137" s="203" t="s">
        <v>101</v>
      </c>
      <c r="M137" s="184"/>
      <c r="N137" s="390">
        <v>0.2</v>
      </c>
      <c r="O137" s="390">
        <f t="shared" si="106"/>
        <v>0.2</v>
      </c>
      <c r="P137" s="390">
        <f t="shared" si="106"/>
        <v>0.2</v>
      </c>
      <c r="Q137" s="390">
        <f t="shared" si="106"/>
        <v>0.2</v>
      </c>
      <c r="R137" s="390">
        <f t="shared" si="106"/>
        <v>0.2</v>
      </c>
      <c r="S137" s="390">
        <f t="shared" si="106"/>
        <v>0.2</v>
      </c>
      <c r="T137" s="390">
        <f t="shared" si="106"/>
        <v>0.2</v>
      </c>
      <c r="U137" s="390">
        <f t="shared" si="106"/>
        <v>0.2</v>
      </c>
      <c r="V137" s="390">
        <f t="shared" si="106"/>
        <v>0.2</v>
      </c>
      <c r="W137" s="390">
        <f t="shared" si="106"/>
        <v>0.2</v>
      </c>
      <c r="X137" s="390">
        <f t="shared" si="106"/>
        <v>0.2</v>
      </c>
      <c r="Y137" s="390">
        <f t="shared" si="106"/>
        <v>0.2</v>
      </c>
      <c r="Z137" s="390">
        <f t="shared" si="106"/>
        <v>0.2</v>
      </c>
      <c r="AA137" s="390">
        <f t="shared" si="106"/>
        <v>0.2</v>
      </c>
      <c r="AB137" s="390">
        <f t="shared" si="106"/>
        <v>0.2</v>
      </c>
    </row>
    <row r="138" spans="1:46" s="83" customFormat="1" x14ac:dyDescent="0.25">
      <c r="A138" s="82"/>
      <c r="B138" s="178" t="str">
        <f>B137</f>
        <v>TFLEGAS900</v>
      </c>
      <c r="C138" s="178"/>
      <c r="D138" s="179"/>
      <c r="E138" s="178"/>
      <c r="F138" s="182"/>
      <c r="G138" s="173" t="s">
        <v>637</v>
      </c>
      <c r="H138" s="182"/>
      <c r="I138" s="183"/>
      <c r="J138" s="184"/>
      <c r="K138" s="184"/>
      <c r="L138" s="184" t="s">
        <v>1126</v>
      </c>
      <c r="M138" s="184" t="s">
        <v>678</v>
      </c>
      <c r="N138" s="676">
        <f>T_CEFF!H235</f>
        <v>0.48309000000000002</v>
      </c>
      <c r="O138" s="676">
        <f>T_CEFF!I235</f>
        <v>0.48309000000000002</v>
      </c>
      <c r="P138" s="676">
        <f>T_CEFF!J235</f>
        <v>0.48309000000000002</v>
      </c>
      <c r="Q138" s="676">
        <f>T_CEFF!K235</f>
        <v>0.48309000000000002</v>
      </c>
      <c r="R138" s="676">
        <f>T_CEFF!L235</f>
        <v>0.48309000000000002</v>
      </c>
      <c r="S138" s="676">
        <f>T_CEFF!M235</f>
        <v>0.48309000000000002</v>
      </c>
      <c r="T138" s="676">
        <f>T_CEFF!N235</f>
        <v>0.48309000000000002</v>
      </c>
      <c r="U138" s="676">
        <f>T_CEFF!O235</f>
        <v>0.48309000000000002</v>
      </c>
      <c r="V138" s="676">
        <f>T_CEFF!P235</f>
        <v>0.48309000000000002</v>
      </c>
      <c r="W138" s="676">
        <f>T_CEFF!Q235</f>
        <v>0.48309000000000002</v>
      </c>
      <c r="X138" s="676">
        <f>T_CEFF!R235</f>
        <v>0.48309000000000002</v>
      </c>
      <c r="Y138" s="676">
        <f>T_CEFF!S235</f>
        <v>0.48309000000000002</v>
      </c>
      <c r="Z138" s="676">
        <f>T_CEFF!T235</f>
        <v>0.48309000000000002</v>
      </c>
      <c r="AA138" s="676">
        <f>T_CEFF!U235</f>
        <v>0.48309000000000002</v>
      </c>
      <c r="AB138" s="676">
        <f>T_CEFF!V235</f>
        <v>0.48309000000000002</v>
      </c>
    </row>
    <row r="139" spans="1:46" s="83" customFormat="1" x14ac:dyDescent="0.25">
      <c r="A139" s="82"/>
      <c r="B139" s="178" t="str">
        <f t="shared" ref="B139:B148" si="107">B138</f>
        <v>TFLEGAS900</v>
      </c>
      <c r="C139" s="178"/>
      <c r="D139" s="179"/>
      <c r="E139" s="178"/>
      <c r="F139" s="182"/>
      <c r="G139" s="173" t="s">
        <v>640</v>
      </c>
      <c r="H139" s="182"/>
      <c r="I139" s="183"/>
      <c r="J139" s="184"/>
      <c r="K139" s="184"/>
      <c r="L139" s="184" t="s">
        <v>1126</v>
      </c>
      <c r="M139" s="184" t="s">
        <v>678</v>
      </c>
      <c r="N139" s="676">
        <f>T_CEFF!H236</f>
        <v>0.39840999999999999</v>
      </c>
      <c r="O139" s="676">
        <f>T_CEFF!I236</f>
        <v>0.39840999999999999</v>
      </c>
      <c r="P139" s="676">
        <f>T_CEFF!J236</f>
        <v>0.39840999999999999</v>
      </c>
      <c r="Q139" s="676">
        <f>T_CEFF!K236</f>
        <v>0.39840999999999999</v>
      </c>
      <c r="R139" s="676">
        <f>T_CEFF!L236</f>
        <v>0.39840999999999999</v>
      </c>
      <c r="S139" s="676">
        <f>T_CEFF!M236</f>
        <v>0.39840999999999999</v>
      </c>
      <c r="T139" s="676">
        <f>T_CEFF!N236</f>
        <v>0.39840999999999999</v>
      </c>
      <c r="U139" s="676">
        <f>T_CEFF!O236</f>
        <v>0.39840999999999999</v>
      </c>
      <c r="V139" s="676">
        <f>T_CEFF!P236</f>
        <v>0.39840999999999999</v>
      </c>
      <c r="W139" s="676">
        <f>T_CEFF!Q236</f>
        <v>0.39840999999999999</v>
      </c>
      <c r="X139" s="676">
        <f>T_CEFF!R236</f>
        <v>0.39840999999999999</v>
      </c>
      <c r="Y139" s="676">
        <f>T_CEFF!S236</f>
        <v>0.39840999999999999</v>
      </c>
      <c r="Z139" s="676">
        <f>T_CEFF!T236</f>
        <v>0.39840999999999999</v>
      </c>
      <c r="AA139" s="676">
        <f>T_CEFF!U236</f>
        <v>0.39840999999999999</v>
      </c>
      <c r="AB139" s="676">
        <f>T_CEFF!V236</f>
        <v>0.39840999999999999</v>
      </c>
    </row>
    <row r="140" spans="1:46" s="83" customFormat="1" x14ac:dyDescent="0.25">
      <c r="A140" s="82"/>
      <c r="B140" s="178" t="str">
        <f t="shared" si="107"/>
        <v>TFLEGAS900</v>
      </c>
      <c r="C140" s="178"/>
      <c r="D140" s="179"/>
      <c r="E140" s="178"/>
      <c r="F140" s="182"/>
      <c r="G140" s="181"/>
      <c r="H140" s="182"/>
      <c r="I140" s="183"/>
      <c r="J140" s="184"/>
      <c r="K140" s="184" t="s">
        <v>749</v>
      </c>
      <c r="L140" s="184" t="s">
        <v>1128</v>
      </c>
      <c r="M140" s="184" t="s">
        <v>1175</v>
      </c>
      <c r="N140" s="388">
        <f t="shared" ref="N140:AB140" si="108">N$23</f>
        <v>0.76</v>
      </c>
      <c r="O140" s="388">
        <f t="shared" si="108"/>
        <v>0</v>
      </c>
      <c r="P140" s="388">
        <f t="shared" si="108"/>
        <v>0</v>
      </c>
      <c r="Q140" s="388">
        <f t="shared" si="108"/>
        <v>0</v>
      </c>
      <c r="R140" s="388">
        <f t="shared" si="108"/>
        <v>0</v>
      </c>
      <c r="S140" s="388">
        <f t="shared" si="108"/>
        <v>0</v>
      </c>
      <c r="T140" s="388">
        <f t="shared" si="108"/>
        <v>0</v>
      </c>
      <c r="U140" s="388">
        <f t="shared" si="108"/>
        <v>0</v>
      </c>
      <c r="V140" s="388">
        <f t="shared" si="108"/>
        <v>0</v>
      </c>
      <c r="W140" s="388">
        <f t="shared" si="108"/>
        <v>0</v>
      </c>
      <c r="X140" s="388">
        <f t="shared" si="108"/>
        <v>0</v>
      </c>
      <c r="Y140" s="388">
        <f t="shared" si="108"/>
        <v>0</v>
      </c>
      <c r="Z140" s="388">
        <f t="shared" si="108"/>
        <v>0</v>
      </c>
      <c r="AA140" s="388">
        <f t="shared" si="108"/>
        <v>0</v>
      </c>
      <c r="AB140" s="388">
        <f t="shared" si="108"/>
        <v>0</v>
      </c>
    </row>
    <row r="141" spans="1:46" s="83" customFormat="1" x14ac:dyDescent="0.25">
      <c r="A141" s="82"/>
      <c r="B141" s="178" t="str">
        <f t="shared" si="107"/>
        <v>TFLEGAS900</v>
      </c>
      <c r="C141" s="178"/>
      <c r="D141" s="179"/>
      <c r="E141" s="178"/>
      <c r="F141" s="182"/>
      <c r="G141" s="181"/>
      <c r="H141" s="182"/>
      <c r="I141" s="183"/>
      <c r="J141" s="184"/>
      <c r="K141" s="184"/>
      <c r="L141" s="203" t="s">
        <v>1130</v>
      </c>
      <c r="M141" s="184" t="s">
        <v>1131</v>
      </c>
      <c r="N141" s="397">
        <f>LOOKUP($C$135, T_NCAP_AF!$C$140:$C$150, T_NCAP_AF!D$140:D$150)*(1+N79)</f>
        <v>0</v>
      </c>
      <c r="O141" s="397">
        <f>LOOKUP($C$135, T_NCAP_AF!$C$140:$C$150, T_NCAP_AF!E$140:E$150)*(1+O79)</f>
        <v>0</v>
      </c>
      <c r="P141" s="397">
        <f>LOOKUP($C$135, T_NCAP_AF!$C$140:$C$150, T_NCAP_AF!F$140:F$150)*(1+P79)</f>
        <v>0</v>
      </c>
      <c r="Q141" s="397">
        <f>LOOKUP($C$135, T_NCAP_AF!$C$140:$C$150, T_NCAP_AF!G$140:G$150)*(1+Q79)</f>
        <v>0</v>
      </c>
      <c r="R141" s="397">
        <f>LOOKUP($C$135, T_NCAP_AF!$C$140:$C$150, T_NCAP_AF!H$140:H$150)*(1+R79)</f>
        <v>0</v>
      </c>
      <c r="S141" s="397">
        <f>LOOKUP($C$135, T_NCAP_AF!$C$140:$C$150, T_NCAP_AF!I$140:I$150)*(1+S79)</f>
        <v>0</v>
      </c>
      <c r="T141" s="397">
        <f>LOOKUP($C$135, T_NCAP_AF!$C$140:$C$150, T_NCAP_AF!J$140:J$150)*(1+T79)</f>
        <v>0</v>
      </c>
      <c r="U141" s="397">
        <f>LOOKUP($C$135, T_NCAP_AF!$C$140:$C$150, T_NCAP_AF!K$140:K$150)*(1+U79)</f>
        <v>0</v>
      </c>
      <c r="V141" s="397">
        <f>LOOKUP($C$135, T_NCAP_AF!$C$140:$C$150, T_NCAP_AF!L$140:L$150)*(1+V79)</f>
        <v>0</v>
      </c>
      <c r="W141" s="397">
        <f>LOOKUP($C$135, T_NCAP_AF!$C$140:$C$150, T_NCAP_AF!M$140:M$150)*(1+W79)</f>
        <v>0</v>
      </c>
      <c r="X141" s="397">
        <f>LOOKUP($C$135, T_NCAP_AF!$C$140:$C$150, T_NCAP_AF!N$140:N$150)*(1+X79)</f>
        <v>0</v>
      </c>
      <c r="Y141" s="397">
        <f>LOOKUP($C$135, T_NCAP_AF!$C$140:$C$150, T_NCAP_AF!O$140:O$150)*(1+Y79)</f>
        <v>0</v>
      </c>
      <c r="Z141" s="397">
        <f>LOOKUP($C$135, T_NCAP_AF!$C$140:$C$150, T_NCAP_AF!P$140:P$150)*(1+Z79)</f>
        <v>0</v>
      </c>
      <c r="AA141" s="397">
        <f>LOOKUP($C$135, T_NCAP_AF!$C$140:$C$150, T_NCAP_AF!Q$140:Q$150)*(1+AA79)</f>
        <v>0</v>
      </c>
      <c r="AB141" s="397">
        <f>LOOKUP($C$135, T_NCAP_AF!$C$140:$C$150, T_NCAP_AF!R$140:R$150)*(1+AB79)</f>
        <v>0</v>
      </c>
      <c r="AE141" s="572">
        <f>SUM(AF141:AT141)</f>
        <v>0</v>
      </c>
      <c r="AF141" s="85">
        <f t="shared" ref="AF141:AT141" si="109">N140*N141*N142/1000</f>
        <v>0</v>
      </c>
      <c r="AG141" s="85">
        <f t="shared" si="109"/>
        <v>0</v>
      </c>
      <c r="AH141" s="85">
        <f t="shared" si="109"/>
        <v>0</v>
      </c>
      <c r="AI141" s="85">
        <f t="shared" si="109"/>
        <v>0</v>
      </c>
      <c r="AJ141" s="85">
        <f t="shared" si="109"/>
        <v>0</v>
      </c>
      <c r="AK141" s="85">
        <f t="shared" si="109"/>
        <v>0</v>
      </c>
      <c r="AL141" s="85">
        <f t="shared" si="109"/>
        <v>0</v>
      </c>
      <c r="AM141" s="85">
        <f t="shared" si="109"/>
        <v>0</v>
      </c>
      <c r="AN141" s="85">
        <f t="shared" si="109"/>
        <v>0</v>
      </c>
      <c r="AO141" s="85">
        <f t="shared" si="109"/>
        <v>0</v>
      </c>
      <c r="AP141" s="85">
        <f t="shared" si="109"/>
        <v>0</v>
      </c>
      <c r="AQ141" s="85">
        <f t="shared" si="109"/>
        <v>0</v>
      </c>
      <c r="AR141" s="85">
        <f t="shared" si="109"/>
        <v>0</v>
      </c>
      <c r="AS141" s="85">
        <f t="shared" si="109"/>
        <v>0</v>
      </c>
      <c r="AT141" s="85">
        <f t="shared" si="109"/>
        <v>0</v>
      </c>
    </row>
    <row r="142" spans="1:46" s="83" customFormat="1" x14ac:dyDescent="0.25">
      <c r="A142" s="82"/>
      <c r="B142" s="178" t="str">
        <f t="shared" si="107"/>
        <v>TFLEGAS900</v>
      </c>
      <c r="C142" s="178"/>
      <c r="D142" s="179"/>
      <c r="E142" s="178"/>
      <c r="F142" s="182"/>
      <c r="G142" s="181"/>
      <c r="H142" s="182"/>
      <c r="I142" s="183">
        <f>$M$3</f>
        <v>2019</v>
      </c>
      <c r="J142" s="184"/>
      <c r="K142" s="184"/>
      <c r="L142" s="203" t="s">
        <v>1065</v>
      </c>
      <c r="M142" s="184" t="s">
        <v>748</v>
      </c>
      <c r="N142" s="694">
        <f>LOOKUP($C$135, 'T_Stock_TOTAL_&amp;_City'!$C$90:$C$100, 'T_Stock_TOTAL_&amp;_City'!D$90:D$100)*(1+N80)</f>
        <v>0</v>
      </c>
      <c r="O142" s="694">
        <f>LOOKUP($C$135, 'T_Stock_TOTAL_&amp;_City'!$C$90:$C$100, 'T_Stock_TOTAL_&amp;_City'!E$90:E$100)*(1+O80)</f>
        <v>0</v>
      </c>
      <c r="P142" s="694">
        <f>LOOKUP($C$135, 'T_Stock_TOTAL_&amp;_City'!$C$90:$C$100, 'T_Stock_TOTAL_&amp;_City'!F$90:F$100)*(1+P80)</f>
        <v>0</v>
      </c>
      <c r="Q142" s="694">
        <f>LOOKUP($C$135, 'T_Stock_TOTAL_&amp;_City'!$C$90:$C$100, 'T_Stock_TOTAL_&amp;_City'!G$90:G$100)*(1+Q80)</f>
        <v>0</v>
      </c>
      <c r="R142" s="694">
        <f>LOOKUP($C$135, 'T_Stock_TOTAL_&amp;_City'!$C$90:$C$100, 'T_Stock_TOTAL_&amp;_City'!H$90:H$100)*(1+R80)</f>
        <v>0</v>
      </c>
      <c r="S142" s="694">
        <f>LOOKUP($C$135, 'T_Stock_TOTAL_&amp;_City'!$C$90:$C$100, 'T_Stock_TOTAL_&amp;_City'!I$90:I$100)*(1+S80)</f>
        <v>0</v>
      </c>
      <c r="T142" s="694">
        <f>LOOKUP($C$135, 'T_Stock_TOTAL_&amp;_City'!$C$90:$C$100, 'T_Stock_TOTAL_&amp;_City'!J$90:J$100)*(1+T80)</f>
        <v>0</v>
      </c>
      <c r="U142" s="694">
        <f>LOOKUP($C$135, 'T_Stock_TOTAL_&amp;_City'!$C$90:$C$100, 'T_Stock_TOTAL_&amp;_City'!K$90:K$100)*(1+U80)</f>
        <v>0</v>
      </c>
      <c r="V142" s="694">
        <f>LOOKUP($C$135, 'T_Stock_TOTAL_&amp;_City'!$C$90:$C$100, 'T_Stock_TOTAL_&amp;_City'!L$90:L$100)*(1+V80)</f>
        <v>0</v>
      </c>
      <c r="W142" s="694">
        <f>LOOKUP($C$135, 'T_Stock_TOTAL_&amp;_City'!$C$90:$C$100, 'T_Stock_TOTAL_&amp;_City'!M$90:M$100)*(1+W80)</f>
        <v>0</v>
      </c>
      <c r="X142" s="694">
        <f>LOOKUP($C$135, 'T_Stock_TOTAL_&amp;_City'!$C$90:$C$100, 'T_Stock_TOTAL_&amp;_City'!N$90:N$100)*(1+X80)</f>
        <v>0</v>
      </c>
      <c r="Y142" s="694">
        <f>LOOKUP($C$135, 'T_Stock_TOTAL_&amp;_City'!$C$90:$C$100, 'T_Stock_TOTAL_&amp;_City'!O$90:O$100)*(1+Y80)</f>
        <v>0</v>
      </c>
      <c r="Z142" s="694">
        <f>LOOKUP($C$135, 'T_Stock_TOTAL_&amp;_City'!$C$90:$C$100, 'T_Stock_TOTAL_&amp;_City'!P$90:P$100)*(1+Z80)</f>
        <v>0</v>
      </c>
      <c r="AA142" s="694">
        <f>LOOKUP($C$135, 'T_Stock_TOTAL_&amp;_City'!$C$90:$C$100, 'T_Stock_TOTAL_&amp;_City'!Q$90:Q$100)*(1+AA80)</f>
        <v>0</v>
      </c>
      <c r="AB142" s="694">
        <f>LOOKUP($C$135, 'T_Stock_TOTAL_&amp;_City'!$C$90:$C$100, 'T_Stock_TOTAL_&amp;_City'!R$90:R$100)*(1+AB80)</f>
        <v>0</v>
      </c>
    </row>
    <row r="143" spans="1:46" s="83" customFormat="1" x14ac:dyDescent="0.25">
      <c r="A143" s="82"/>
      <c r="B143" s="178" t="str">
        <f t="shared" si="107"/>
        <v>TFLEGAS900</v>
      </c>
      <c r="C143" s="178"/>
      <c r="D143" s="179"/>
      <c r="E143" s="178"/>
      <c r="F143" s="182"/>
      <c r="G143" s="181"/>
      <c r="H143" s="182"/>
      <c r="I143" s="183">
        <f>AF$5</f>
        <v>2016</v>
      </c>
      <c r="J143" s="184"/>
      <c r="K143" s="184"/>
      <c r="L143" s="203" t="s">
        <v>1065</v>
      </c>
      <c r="M143" s="184" t="s">
        <v>748</v>
      </c>
      <c r="N143" s="694">
        <f t="shared" ref="N143:AB143" si="110">N142*LOOKUP($AD135,$AH$4:$AQ$4,$AH$5:$AQ$5)</f>
        <v>0</v>
      </c>
      <c r="O143" s="694">
        <f t="shared" si="110"/>
        <v>0</v>
      </c>
      <c r="P143" s="694">
        <f t="shared" si="110"/>
        <v>0</v>
      </c>
      <c r="Q143" s="694">
        <f t="shared" si="110"/>
        <v>0</v>
      </c>
      <c r="R143" s="694">
        <f t="shared" si="110"/>
        <v>0</v>
      </c>
      <c r="S143" s="694">
        <f t="shared" si="110"/>
        <v>0</v>
      </c>
      <c r="T143" s="694">
        <f t="shared" si="110"/>
        <v>0</v>
      </c>
      <c r="U143" s="694">
        <f t="shared" si="110"/>
        <v>0</v>
      </c>
      <c r="V143" s="694">
        <f t="shared" si="110"/>
        <v>0</v>
      </c>
      <c r="W143" s="694">
        <f t="shared" si="110"/>
        <v>0</v>
      </c>
      <c r="X143" s="694">
        <f t="shared" si="110"/>
        <v>0</v>
      </c>
      <c r="Y143" s="694">
        <f t="shared" si="110"/>
        <v>0</v>
      </c>
      <c r="Z143" s="694">
        <f t="shared" si="110"/>
        <v>0</v>
      </c>
      <c r="AA143" s="694">
        <f t="shared" si="110"/>
        <v>0</v>
      </c>
      <c r="AB143" s="694">
        <f t="shared" si="110"/>
        <v>0</v>
      </c>
    </row>
    <row r="144" spans="1:46" s="83" customFormat="1" x14ac:dyDescent="0.25">
      <c r="A144" s="82"/>
      <c r="B144" s="178" t="str">
        <f t="shared" si="107"/>
        <v>TFLEGAS900</v>
      </c>
      <c r="C144" s="178"/>
      <c r="D144" s="179"/>
      <c r="E144" s="178"/>
      <c r="F144" s="182"/>
      <c r="G144" s="181"/>
      <c r="H144" s="182"/>
      <c r="I144" s="183">
        <f>AF$6</f>
        <v>2020</v>
      </c>
      <c r="J144" s="184"/>
      <c r="K144" s="184"/>
      <c r="L144" s="203" t="s">
        <v>1065</v>
      </c>
      <c r="M144" s="184" t="s">
        <v>748</v>
      </c>
      <c r="N144" s="694">
        <f t="shared" ref="N144:AB144" si="111">N142*LOOKUP($AD135,$AH$4:$AQ$4,$AH$6:$AQ$6)</f>
        <v>0</v>
      </c>
      <c r="O144" s="694">
        <f t="shared" si="111"/>
        <v>0</v>
      </c>
      <c r="P144" s="694">
        <f t="shared" si="111"/>
        <v>0</v>
      </c>
      <c r="Q144" s="694">
        <f t="shared" si="111"/>
        <v>0</v>
      </c>
      <c r="R144" s="694">
        <f t="shared" si="111"/>
        <v>0</v>
      </c>
      <c r="S144" s="694">
        <f t="shared" si="111"/>
        <v>0</v>
      </c>
      <c r="T144" s="694">
        <f t="shared" si="111"/>
        <v>0</v>
      </c>
      <c r="U144" s="694">
        <f t="shared" si="111"/>
        <v>0</v>
      </c>
      <c r="V144" s="694">
        <f t="shared" si="111"/>
        <v>0</v>
      </c>
      <c r="W144" s="694">
        <f t="shared" si="111"/>
        <v>0</v>
      </c>
      <c r="X144" s="694">
        <f t="shared" si="111"/>
        <v>0</v>
      </c>
      <c r="Y144" s="694">
        <f t="shared" si="111"/>
        <v>0</v>
      </c>
      <c r="Z144" s="694">
        <f t="shared" si="111"/>
        <v>0</v>
      </c>
      <c r="AA144" s="694">
        <f t="shared" si="111"/>
        <v>0</v>
      </c>
      <c r="AB144" s="694">
        <f t="shared" si="111"/>
        <v>0</v>
      </c>
    </row>
    <row r="145" spans="1:46" s="83" customFormat="1" x14ac:dyDescent="0.25">
      <c r="A145" s="82"/>
      <c r="B145" s="178" t="str">
        <f t="shared" si="107"/>
        <v>TFLEGAS900</v>
      </c>
      <c r="C145" s="178"/>
      <c r="D145" s="179"/>
      <c r="E145" s="178"/>
      <c r="F145" s="182"/>
      <c r="G145" s="181"/>
      <c r="H145" s="182"/>
      <c r="I145" s="183">
        <f>AF$7</f>
        <v>2025</v>
      </c>
      <c r="J145" s="184"/>
      <c r="K145" s="184"/>
      <c r="L145" s="203" t="s">
        <v>1065</v>
      </c>
      <c r="M145" s="184" t="s">
        <v>748</v>
      </c>
      <c r="N145" s="694">
        <f t="shared" ref="N145:AB145" si="112">N142*LOOKUP($AD135,$AH$4:$AQ$4,$AH$7:$AQ$7)</f>
        <v>0</v>
      </c>
      <c r="O145" s="694">
        <f t="shared" si="112"/>
        <v>0</v>
      </c>
      <c r="P145" s="694">
        <f t="shared" si="112"/>
        <v>0</v>
      </c>
      <c r="Q145" s="694">
        <f t="shared" si="112"/>
        <v>0</v>
      </c>
      <c r="R145" s="694">
        <f t="shared" si="112"/>
        <v>0</v>
      </c>
      <c r="S145" s="694">
        <f t="shared" si="112"/>
        <v>0</v>
      </c>
      <c r="T145" s="694">
        <f t="shared" si="112"/>
        <v>0</v>
      </c>
      <c r="U145" s="694">
        <f t="shared" si="112"/>
        <v>0</v>
      </c>
      <c r="V145" s="694">
        <f t="shared" si="112"/>
        <v>0</v>
      </c>
      <c r="W145" s="694">
        <f t="shared" si="112"/>
        <v>0</v>
      </c>
      <c r="X145" s="694">
        <f t="shared" si="112"/>
        <v>0</v>
      </c>
      <c r="Y145" s="694">
        <f t="shared" si="112"/>
        <v>0</v>
      </c>
      <c r="Z145" s="694">
        <f t="shared" si="112"/>
        <v>0</v>
      </c>
      <c r="AA145" s="694">
        <f t="shared" si="112"/>
        <v>0</v>
      </c>
      <c r="AB145" s="694">
        <f t="shared" si="112"/>
        <v>0</v>
      </c>
    </row>
    <row r="146" spans="1:46" s="83" customFormat="1" x14ac:dyDescent="0.25">
      <c r="A146" s="82"/>
      <c r="B146" s="178" t="str">
        <f t="shared" si="107"/>
        <v>TFLEGAS900</v>
      </c>
      <c r="C146" s="178"/>
      <c r="D146" s="179"/>
      <c r="E146" s="178"/>
      <c r="F146" s="182"/>
      <c r="G146" s="181"/>
      <c r="H146" s="182"/>
      <c r="I146" s="183">
        <f>AF$8</f>
        <v>2030</v>
      </c>
      <c r="J146" s="184"/>
      <c r="K146" s="184"/>
      <c r="L146" s="203" t="s">
        <v>1065</v>
      </c>
      <c r="M146" s="184" t="s">
        <v>748</v>
      </c>
      <c r="N146" s="694">
        <f t="shared" ref="N146:AB146" si="113">N142*LOOKUP($AD135,$AH$4:$AQ$4,$AH$8:$AQ$8)</f>
        <v>0</v>
      </c>
      <c r="O146" s="694">
        <f t="shared" si="113"/>
        <v>0</v>
      </c>
      <c r="P146" s="694">
        <f t="shared" si="113"/>
        <v>0</v>
      </c>
      <c r="Q146" s="694">
        <f t="shared" si="113"/>
        <v>0</v>
      </c>
      <c r="R146" s="694">
        <f t="shared" si="113"/>
        <v>0</v>
      </c>
      <c r="S146" s="694">
        <f t="shared" si="113"/>
        <v>0</v>
      </c>
      <c r="T146" s="694">
        <f t="shared" si="113"/>
        <v>0</v>
      </c>
      <c r="U146" s="694">
        <f t="shared" si="113"/>
        <v>0</v>
      </c>
      <c r="V146" s="694">
        <f t="shared" si="113"/>
        <v>0</v>
      </c>
      <c r="W146" s="694">
        <f t="shared" si="113"/>
        <v>0</v>
      </c>
      <c r="X146" s="694">
        <f t="shared" si="113"/>
        <v>0</v>
      </c>
      <c r="Y146" s="694">
        <f t="shared" si="113"/>
        <v>0</v>
      </c>
      <c r="Z146" s="694">
        <f t="shared" si="113"/>
        <v>0</v>
      </c>
      <c r="AA146" s="694">
        <f t="shared" si="113"/>
        <v>0</v>
      </c>
      <c r="AB146" s="694">
        <f t="shared" si="113"/>
        <v>0</v>
      </c>
    </row>
    <row r="147" spans="1:46" s="83" customFormat="1" x14ac:dyDescent="0.25">
      <c r="A147" s="82"/>
      <c r="B147" s="178" t="str">
        <f t="shared" si="107"/>
        <v>TFLEGAS900</v>
      </c>
      <c r="C147" s="178"/>
      <c r="D147" s="179"/>
      <c r="E147" s="178"/>
      <c r="F147" s="182"/>
      <c r="G147" s="181"/>
      <c r="H147" s="182"/>
      <c r="I147" s="183">
        <f>AF$9</f>
        <v>2040</v>
      </c>
      <c r="J147" s="184"/>
      <c r="K147" s="184"/>
      <c r="L147" s="203" t="s">
        <v>1065</v>
      </c>
      <c r="M147" s="184" t="s">
        <v>748</v>
      </c>
      <c r="N147" s="694">
        <f t="shared" ref="N147:AB147" si="114">N142*LOOKUP($AD135,$AH$4:$AQ$4,$AH$9:$AQ$9)</f>
        <v>0</v>
      </c>
      <c r="O147" s="694">
        <f t="shared" si="114"/>
        <v>0</v>
      </c>
      <c r="P147" s="694">
        <f t="shared" si="114"/>
        <v>0</v>
      </c>
      <c r="Q147" s="694">
        <f t="shared" si="114"/>
        <v>0</v>
      </c>
      <c r="R147" s="694">
        <f t="shared" si="114"/>
        <v>0</v>
      </c>
      <c r="S147" s="694">
        <f t="shared" si="114"/>
        <v>0</v>
      </c>
      <c r="T147" s="694">
        <f t="shared" si="114"/>
        <v>0</v>
      </c>
      <c r="U147" s="694">
        <f t="shared" si="114"/>
        <v>0</v>
      </c>
      <c r="V147" s="694">
        <f t="shared" si="114"/>
        <v>0</v>
      </c>
      <c r="W147" s="694">
        <f t="shared" si="114"/>
        <v>0</v>
      </c>
      <c r="X147" s="694">
        <f t="shared" si="114"/>
        <v>0</v>
      </c>
      <c r="Y147" s="694">
        <f t="shared" si="114"/>
        <v>0</v>
      </c>
      <c r="Z147" s="694">
        <f t="shared" si="114"/>
        <v>0</v>
      </c>
      <c r="AA147" s="694">
        <f t="shared" si="114"/>
        <v>0</v>
      </c>
      <c r="AB147" s="694">
        <f t="shared" si="114"/>
        <v>0</v>
      </c>
    </row>
    <row r="148" spans="1:46" s="83" customFormat="1" x14ac:dyDescent="0.25">
      <c r="A148" s="82"/>
      <c r="B148" s="204" t="str">
        <f t="shared" si="107"/>
        <v>TFLEGAS900</v>
      </c>
      <c r="C148" s="204"/>
      <c r="D148" s="205"/>
      <c r="E148" s="204"/>
      <c r="F148" s="206"/>
      <c r="G148" s="207"/>
      <c r="H148" s="206"/>
      <c r="I148" s="208">
        <f>AF$10</f>
        <v>2050</v>
      </c>
      <c r="J148" s="209"/>
      <c r="K148" s="209"/>
      <c r="L148" s="210" t="s">
        <v>1065</v>
      </c>
      <c r="M148" s="209" t="s">
        <v>748</v>
      </c>
      <c r="N148" s="695">
        <f t="shared" ref="N148:AB148" si="115">N142*LOOKUP($AD135,$AH$4:$AQ$4,$AH$10:$AQ$10)</f>
        <v>0</v>
      </c>
      <c r="O148" s="695">
        <f t="shared" si="115"/>
        <v>0</v>
      </c>
      <c r="P148" s="695">
        <f t="shared" si="115"/>
        <v>0</v>
      </c>
      <c r="Q148" s="695">
        <f t="shared" si="115"/>
        <v>0</v>
      </c>
      <c r="R148" s="695">
        <f t="shared" si="115"/>
        <v>0</v>
      </c>
      <c r="S148" s="695">
        <f t="shared" si="115"/>
        <v>0</v>
      </c>
      <c r="T148" s="695">
        <f t="shared" si="115"/>
        <v>0</v>
      </c>
      <c r="U148" s="695">
        <f t="shared" si="115"/>
        <v>0</v>
      </c>
      <c r="V148" s="695">
        <f t="shared" si="115"/>
        <v>0</v>
      </c>
      <c r="W148" s="695">
        <f t="shared" si="115"/>
        <v>0</v>
      </c>
      <c r="X148" s="695">
        <f t="shared" si="115"/>
        <v>0</v>
      </c>
      <c r="Y148" s="695">
        <f t="shared" si="115"/>
        <v>0</v>
      </c>
      <c r="Z148" s="695">
        <f t="shared" si="115"/>
        <v>0</v>
      </c>
      <c r="AA148" s="695">
        <f t="shared" si="115"/>
        <v>0</v>
      </c>
      <c r="AB148" s="695">
        <f t="shared" si="115"/>
        <v>0</v>
      </c>
    </row>
    <row r="149" spans="1:46" s="83" customFormat="1" x14ac:dyDescent="0.25">
      <c r="A149" s="82"/>
      <c r="B149" s="178" t="str">
        <f>C149</f>
        <v>TFLEGSL900</v>
      </c>
      <c r="C149" s="178" t="s">
        <v>132</v>
      </c>
      <c r="D149" s="179" t="s">
        <v>815</v>
      </c>
      <c r="E149" s="407" t="s">
        <v>1014</v>
      </c>
      <c r="F149" s="182"/>
      <c r="G149" s="181"/>
      <c r="H149" s="182"/>
      <c r="I149" s="183"/>
      <c r="J149" s="184"/>
      <c r="K149" s="184"/>
      <c r="L149" s="203" t="s">
        <v>1107</v>
      </c>
      <c r="M149" s="184" t="s">
        <v>1125</v>
      </c>
      <c r="N149" s="378">
        <v>1E-3</v>
      </c>
      <c r="O149" s="378">
        <f t="shared" ref="O149:AB149" si="116">$N149</f>
        <v>1E-3</v>
      </c>
      <c r="P149" s="378">
        <f t="shared" si="116"/>
        <v>1E-3</v>
      </c>
      <c r="Q149" s="378">
        <f t="shared" si="116"/>
        <v>1E-3</v>
      </c>
      <c r="R149" s="378">
        <f t="shared" si="116"/>
        <v>1E-3</v>
      </c>
      <c r="S149" s="378">
        <f t="shared" si="116"/>
        <v>1E-3</v>
      </c>
      <c r="T149" s="378">
        <f t="shared" si="116"/>
        <v>1E-3</v>
      </c>
      <c r="U149" s="378">
        <f t="shared" si="116"/>
        <v>1E-3</v>
      </c>
      <c r="V149" s="378">
        <f t="shared" si="116"/>
        <v>1E-3</v>
      </c>
      <c r="W149" s="378">
        <f t="shared" si="116"/>
        <v>1E-3</v>
      </c>
      <c r="X149" s="378">
        <f t="shared" si="116"/>
        <v>1E-3</v>
      </c>
      <c r="Y149" s="378">
        <f t="shared" si="116"/>
        <v>1E-3</v>
      </c>
      <c r="Z149" s="378">
        <f t="shared" si="116"/>
        <v>1E-3</v>
      </c>
      <c r="AA149" s="378">
        <f t="shared" si="116"/>
        <v>1E-3</v>
      </c>
      <c r="AB149" s="378">
        <f t="shared" si="116"/>
        <v>1E-3</v>
      </c>
      <c r="AD149" s="410" t="str">
        <f>MID(D149,13,3)</f>
        <v>GSL</v>
      </c>
    </row>
    <row r="150" spans="1:46" s="83" customFormat="1" x14ac:dyDescent="0.25">
      <c r="A150" s="82"/>
      <c r="B150" s="178" t="str">
        <f>B149</f>
        <v>TFLEGSL900</v>
      </c>
      <c r="C150" s="178"/>
      <c r="D150" s="179"/>
      <c r="E150" s="407" t="s">
        <v>1012</v>
      </c>
      <c r="F150" s="182"/>
      <c r="G150" s="181"/>
      <c r="H150" s="182"/>
      <c r="I150" s="183"/>
      <c r="J150" s="184" t="s">
        <v>1157</v>
      </c>
      <c r="K150" s="184"/>
      <c r="L150" s="203" t="s">
        <v>101</v>
      </c>
      <c r="M150" s="184"/>
      <c r="N150" s="390">
        <f>N$29</f>
        <v>0.03</v>
      </c>
      <c r="O150" s="390">
        <f t="shared" ref="O150:AB150" si="117">O$29</f>
        <v>0.03</v>
      </c>
      <c r="P150" s="390">
        <f t="shared" si="117"/>
        <v>0.03</v>
      </c>
      <c r="Q150" s="390">
        <f t="shared" si="117"/>
        <v>0.03</v>
      </c>
      <c r="R150" s="390">
        <f t="shared" si="117"/>
        <v>0.03</v>
      </c>
      <c r="S150" s="390">
        <f t="shared" si="117"/>
        <v>0.03</v>
      </c>
      <c r="T150" s="390">
        <f t="shared" si="117"/>
        <v>0.03</v>
      </c>
      <c r="U150" s="390">
        <f t="shared" si="117"/>
        <v>0.03</v>
      </c>
      <c r="V150" s="390">
        <f t="shared" si="117"/>
        <v>0.03</v>
      </c>
      <c r="W150" s="390">
        <f t="shared" si="117"/>
        <v>0.03</v>
      </c>
      <c r="X150" s="390">
        <f t="shared" si="117"/>
        <v>0.03</v>
      </c>
      <c r="Y150" s="390">
        <f t="shared" si="117"/>
        <v>0.03</v>
      </c>
      <c r="Z150" s="390">
        <f t="shared" si="117"/>
        <v>0.03</v>
      </c>
      <c r="AA150" s="390">
        <f t="shared" si="117"/>
        <v>0.03</v>
      </c>
      <c r="AB150" s="390">
        <f t="shared" si="117"/>
        <v>0.03</v>
      </c>
      <c r="AD150" s="66" t="str">
        <f>IF(COUNTIF($AH$4:$AQ$4,AD149)=1,"ok","MISSING")</f>
        <v>ok</v>
      </c>
    </row>
    <row r="151" spans="1:46" s="83" customFormat="1" x14ac:dyDescent="0.25">
      <c r="A151" s="82"/>
      <c r="B151" s="178" t="str">
        <f>B150</f>
        <v>TFLEGSL900</v>
      </c>
      <c r="C151" s="178"/>
      <c r="D151" s="179"/>
      <c r="E151" s="178"/>
      <c r="F151" s="182"/>
      <c r="G151" s="173" t="s">
        <v>637</v>
      </c>
      <c r="H151" s="182"/>
      <c r="I151" s="183"/>
      <c r="J151" s="184"/>
      <c r="K151" s="184"/>
      <c r="L151" s="184" t="s">
        <v>1126</v>
      </c>
      <c r="M151" s="184" t="s">
        <v>678</v>
      </c>
      <c r="N151" s="676">
        <f>T_CEFF!H237</f>
        <v>0.48309000000000002</v>
      </c>
      <c r="O151" s="676">
        <f>T_CEFF!I237</f>
        <v>0.48309000000000002</v>
      </c>
      <c r="P151" s="676">
        <f>T_CEFF!J237</f>
        <v>0.48309000000000002</v>
      </c>
      <c r="Q151" s="676">
        <f>T_CEFF!K237</f>
        <v>0.48309000000000002</v>
      </c>
      <c r="R151" s="676">
        <f>T_CEFF!L237</f>
        <v>0.48309000000000002</v>
      </c>
      <c r="S151" s="676">
        <f>T_CEFF!M237</f>
        <v>0.48309000000000002</v>
      </c>
      <c r="T151" s="676">
        <f>T_CEFF!N237</f>
        <v>0.48309000000000002</v>
      </c>
      <c r="U151" s="676">
        <f>T_CEFF!O237</f>
        <v>0.48309000000000002</v>
      </c>
      <c r="V151" s="676">
        <f>T_CEFF!P237</f>
        <v>0.48309000000000002</v>
      </c>
      <c r="W151" s="676">
        <f>T_CEFF!Q237</f>
        <v>0.48309000000000002</v>
      </c>
      <c r="X151" s="676">
        <f>T_CEFF!R237</f>
        <v>0.48309000000000002</v>
      </c>
      <c r="Y151" s="676">
        <f>T_CEFF!S237</f>
        <v>0.48309000000000002</v>
      </c>
      <c r="Z151" s="676">
        <f>T_CEFF!T237</f>
        <v>0.48309000000000002</v>
      </c>
      <c r="AA151" s="676">
        <f>T_CEFF!U237</f>
        <v>0.48309000000000002</v>
      </c>
      <c r="AB151" s="676">
        <f>T_CEFF!V237</f>
        <v>0.48309000000000002</v>
      </c>
    </row>
    <row r="152" spans="1:46" s="83" customFormat="1" x14ac:dyDescent="0.25">
      <c r="A152" s="82"/>
      <c r="B152" s="178" t="str">
        <f>B151</f>
        <v>TFLEGSL900</v>
      </c>
      <c r="C152" s="178"/>
      <c r="D152" s="179"/>
      <c r="E152" s="178"/>
      <c r="F152" s="182"/>
      <c r="G152" s="173" t="s">
        <v>640</v>
      </c>
      <c r="H152" s="182"/>
      <c r="I152" s="183"/>
      <c r="J152" s="184"/>
      <c r="K152" s="184"/>
      <c r="L152" s="184" t="s">
        <v>1126</v>
      </c>
      <c r="M152" s="184" t="s">
        <v>678</v>
      </c>
      <c r="N152" s="676">
        <f>T_CEFF!H238</f>
        <v>0.39840999999999999</v>
      </c>
      <c r="O152" s="676">
        <f>T_CEFF!I238</f>
        <v>0.39840999999999999</v>
      </c>
      <c r="P152" s="676">
        <f>T_CEFF!J238</f>
        <v>0.39840999999999999</v>
      </c>
      <c r="Q152" s="676">
        <f>T_CEFF!K238</f>
        <v>0.39840999999999999</v>
      </c>
      <c r="R152" s="676">
        <f>T_CEFF!L238</f>
        <v>0.39840999999999999</v>
      </c>
      <c r="S152" s="676">
        <f>T_CEFF!M238</f>
        <v>0.39840999999999999</v>
      </c>
      <c r="T152" s="676">
        <f>T_CEFF!N238</f>
        <v>0.39840999999999999</v>
      </c>
      <c r="U152" s="676">
        <f>T_CEFF!O238</f>
        <v>0.39840999999999999</v>
      </c>
      <c r="V152" s="676">
        <f>T_CEFF!P238</f>
        <v>0.39840999999999999</v>
      </c>
      <c r="W152" s="676">
        <f>T_CEFF!Q238</f>
        <v>0.39840999999999999</v>
      </c>
      <c r="X152" s="676">
        <f>T_CEFF!R238</f>
        <v>0.39840999999999999</v>
      </c>
      <c r="Y152" s="676">
        <f>T_CEFF!S238</f>
        <v>0.39840999999999999</v>
      </c>
      <c r="Z152" s="676">
        <f>T_CEFF!T238</f>
        <v>0.39840999999999999</v>
      </c>
      <c r="AA152" s="676">
        <f>T_CEFF!U238</f>
        <v>0.39840999999999999</v>
      </c>
      <c r="AB152" s="676">
        <f>T_CEFF!V238</f>
        <v>0.39840999999999999</v>
      </c>
    </row>
    <row r="153" spans="1:46" s="83" customFormat="1" x14ac:dyDescent="0.25">
      <c r="A153" s="82"/>
      <c r="B153" s="178" t="str">
        <f t="shared" ref="B153:B161" si="118">B152</f>
        <v>TFLEGSL900</v>
      </c>
      <c r="C153" s="178"/>
      <c r="D153" s="179"/>
      <c r="E153" s="178"/>
      <c r="F153" s="182"/>
      <c r="G153" s="181"/>
      <c r="H153" s="182"/>
      <c r="I153" s="183"/>
      <c r="J153" s="184"/>
      <c r="K153" s="184" t="s">
        <v>749</v>
      </c>
      <c r="L153" s="184" t="s">
        <v>1128</v>
      </c>
      <c r="M153" s="184" t="s">
        <v>1175</v>
      </c>
      <c r="N153" s="388">
        <f t="shared" ref="N153:AB153" si="119">N$23</f>
        <v>0.76</v>
      </c>
      <c r="O153" s="388">
        <f t="shared" si="119"/>
        <v>0</v>
      </c>
      <c r="P153" s="388">
        <f t="shared" si="119"/>
        <v>0</v>
      </c>
      <c r="Q153" s="388">
        <f t="shared" si="119"/>
        <v>0</v>
      </c>
      <c r="R153" s="388">
        <f t="shared" si="119"/>
        <v>0</v>
      </c>
      <c r="S153" s="388">
        <f t="shared" si="119"/>
        <v>0</v>
      </c>
      <c r="T153" s="388">
        <f t="shared" si="119"/>
        <v>0</v>
      </c>
      <c r="U153" s="388">
        <f t="shared" si="119"/>
        <v>0</v>
      </c>
      <c r="V153" s="388">
        <f t="shared" si="119"/>
        <v>0</v>
      </c>
      <c r="W153" s="388">
        <f t="shared" si="119"/>
        <v>0</v>
      </c>
      <c r="X153" s="388">
        <f t="shared" si="119"/>
        <v>0</v>
      </c>
      <c r="Y153" s="388">
        <f t="shared" si="119"/>
        <v>0</v>
      </c>
      <c r="Z153" s="388">
        <f t="shared" si="119"/>
        <v>0</v>
      </c>
      <c r="AA153" s="388">
        <f t="shared" si="119"/>
        <v>0</v>
      </c>
      <c r="AB153" s="388">
        <f t="shared" si="119"/>
        <v>0</v>
      </c>
    </row>
    <row r="154" spans="1:46" s="83" customFormat="1" x14ac:dyDescent="0.25">
      <c r="A154" s="82"/>
      <c r="B154" s="178" t="str">
        <f t="shared" si="118"/>
        <v>TFLEGSL900</v>
      </c>
      <c r="C154" s="178"/>
      <c r="D154" s="179"/>
      <c r="E154" s="178"/>
      <c r="F154" s="182"/>
      <c r="G154" s="181"/>
      <c r="H154" s="182"/>
      <c r="I154" s="183"/>
      <c r="J154" s="184"/>
      <c r="K154" s="184"/>
      <c r="L154" s="203" t="s">
        <v>1130</v>
      </c>
      <c r="M154" s="184" t="s">
        <v>1131</v>
      </c>
      <c r="N154" s="397">
        <f>LOOKUP($C$149, T_NCAP_AF!$C$140:$C$150, T_NCAP_AF!D$140:D$150)*(1+N79)</f>
        <v>0</v>
      </c>
      <c r="O154" s="397">
        <f>LOOKUP($C$149, T_NCAP_AF!$C$140:$C$150, T_NCAP_AF!E$140:E$150)*(1+O79)</f>
        <v>0</v>
      </c>
      <c r="P154" s="397">
        <f>LOOKUP($C$149, T_NCAP_AF!$C$140:$C$150, T_NCAP_AF!F$140:F$150)*(1+P79)</f>
        <v>0</v>
      </c>
      <c r="Q154" s="397">
        <f>LOOKUP($C$149, T_NCAP_AF!$C$140:$C$150, T_NCAP_AF!G$140:G$150)*(1+Q79)</f>
        <v>0</v>
      </c>
      <c r="R154" s="397">
        <f>LOOKUP($C$149, T_NCAP_AF!$C$140:$C$150, T_NCAP_AF!H$140:H$150)*(1+R79)</f>
        <v>0</v>
      </c>
      <c r="S154" s="397">
        <f>LOOKUP($C$149, T_NCAP_AF!$C$140:$C$150, T_NCAP_AF!I$140:I$150)*(1+S79)</f>
        <v>0</v>
      </c>
      <c r="T154" s="397">
        <f>LOOKUP($C$149, T_NCAP_AF!$C$140:$C$150, T_NCAP_AF!J$140:J$150)*(1+T79)</f>
        <v>0</v>
      </c>
      <c r="U154" s="397">
        <f>LOOKUP($C$149, T_NCAP_AF!$C$140:$C$150, T_NCAP_AF!K$140:K$150)*(1+U79)</f>
        <v>0</v>
      </c>
      <c r="V154" s="397">
        <f>LOOKUP($C$149, T_NCAP_AF!$C$140:$C$150, T_NCAP_AF!L$140:L$150)*(1+V79)</f>
        <v>0</v>
      </c>
      <c r="W154" s="397">
        <f>LOOKUP($C$149, T_NCAP_AF!$C$140:$C$150, T_NCAP_AF!M$140:M$150)*(1+W79)</f>
        <v>0</v>
      </c>
      <c r="X154" s="397">
        <f>LOOKUP($C$149, T_NCAP_AF!$C$140:$C$150, T_NCAP_AF!N$140:N$150)*(1+X79)</f>
        <v>0</v>
      </c>
      <c r="Y154" s="397">
        <f>LOOKUP($C$149, T_NCAP_AF!$C$140:$C$150, T_NCAP_AF!O$140:O$150)*(1+Y79)</f>
        <v>0</v>
      </c>
      <c r="Z154" s="397">
        <f>LOOKUP($C$149, T_NCAP_AF!$C$140:$C$150, T_NCAP_AF!P$140:P$150)*(1+Z79)</f>
        <v>0</v>
      </c>
      <c r="AA154" s="397">
        <f>LOOKUP($C$149, T_NCAP_AF!$C$140:$C$150, T_NCAP_AF!Q$140:Q$150)*(1+AA79)</f>
        <v>0</v>
      </c>
      <c r="AB154" s="397">
        <f>LOOKUP($C$149, T_NCAP_AF!$C$140:$C$150, T_NCAP_AF!R$140:R$150)*(1+AB79)</f>
        <v>0</v>
      </c>
      <c r="AE154" s="572">
        <f>SUM(AF154:AT154)</f>
        <v>0</v>
      </c>
      <c r="AF154" s="85">
        <f t="shared" ref="AF154:AT154" si="120">N153*N154*N155/1000</f>
        <v>0</v>
      </c>
      <c r="AG154" s="85">
        <f t="shared" si="120"/>
        <v>0</v>
      </c>
      <c r="AH154" s="85">
        <f t="shared" si="120"/>
        <v>0</v>
      </c>
      <c r="AI154" s="85">
        <f t="shared" si="120"/>
        <v>0</v>
      </c>
      <c r="AJ154" s="85">
        <f t="shared" si="120"/>
        <v>0</v>
      </c>
      <c r="AK154" s="85">
        <f t="shared" si="120"/>
        <v>0</v>
      </c>
      <c r="AL154" s="85">
        <f t="shared" si="120"/>
        <v>0</v>
      </c>
      <c r="AM154" s="85">
        <f t="shared" si="120"/>
        <v>0</v>
      </c>
      <c r="AN154" s="85">
        <f t="shared" si="120"/>
        <v>0</v>
      </c>
      <c r="AO154" s="85">
        <f t="shared" si="120"/>
        <v>0</v>
      </c>
      <c r="AP154" s="85">
        <f t="shared" si="120"/>
        <v>0</v>
      </c>
      <c r="AQ154" s="85">
        <f t="shared" si="120"/>
        <v>0</v>
      </c>
      <c r="AR154" s="85">
        <f t="shared" si="120"/>
        <v>0</v>
      </c>
      <c r="AS154" s="85">
        <f t="shared" si="120"/>
        <v>0</v>
      </c>
      <c r="AT154" s="85">
        <f t="shared" si="120"/>
        <v>0</v>
      </c>
    </row>
    <row r="155" spans="1:46" s="83" customFormat="1" x14ac:dyDescent="0.25">
      <c r="A155" s="82"/>
      <c r="B155" s="178" t="str">
        <f t="shared" si="118"/>
        <v>TFLEGSL900</v>
      </c>
      <c r="C155" s="178"/>
      <c r="D155" s="179"/>
      <c r="E155" s="178"/>
      <c r="F155" s="182"/>
      <c r="G155" s="181"/>
      <c r="H155" s="182"/>
      <c r="I155" s="183">
        <f>$M$3</f>
        <v>2019</v>
      </c>
      <c r="J155" s="184"/>
      <c r="K155" s="184"/>
      <c r="L155" s="203" t="s">
        <v>1065</v>
      </c>
      <c r="M155" s="184" t="s">
        <v>748</v>
      </c>
      <c r="N155" s="694">
        <f>LOOKUP($C$149, 'T_Stock_TOTAL_&amp;_City'!$C$90:$C$100, 'T_Stock_TOTAL_&amp;_City'!D$90:D$100)*(1+N80)</f>
        <v>0</v>
      </c>
      <c r="O155" s="694">
        <f>LOOKUP($C$149, 'T_Stock_TOTAL_&amp;_City'!$C$90:$C$100, 'T_Stock_TOTAL_&amp;_City'!E$90:E$100)*(1+O80)</f>
        <v>0</v>
      </c>
      <c r="P155" s="694">
        <f>LOOKUP($C$149, 'T_Stock_TOTAL_&amp;_City'!$C$90:$C$100, 'T_Stock_TOTAL_&amp;_City'!F$90:F$100)*(1+P80)</f>
        <v>0</v>
      </c>
      <c r="Q155" s="694">
        <f>LOOKUP($C$149, 'T_Stock_TOTAL_&amp;_City'!$C$90:$C$100, 'T_Stock_TOTAL_&amp;_City'!G$90:G$100)*(1+Q80)</f>
        <v>0</v>
      </c>
      <c r="R155" s="694">
        <f>LOOKUP($C$149, 'T_Stock_TOTAL_&amp;_City'!$C$90:$C$100, 'T_Stock_TOTAL_&amp;_City'!H$90:H$100)*(1+R80)</f>
        <v>0</v>
      </c>
      <c r="S155" s="694">
        <f>LOOKUP($C$149, 'T_Stock_TOTAL_&amp;_City'!$C$90:$C$100, 'T_Stock_TOTAL_&amp;_City'!I$90:I$100)*(1+S80)</f>
        <v>0</v>
      </c>
      <c r="T155" s="694">
        <f>LOOKUP($C$149, 'T_Stock_TOTAL_&amp;_City'!$C$90:$C$100, 'T_Stock_TOTAL_&amp;_City'!J$90:J$100)*(1+T80)</f>
        <v>0</v>
      </c>
      <c r="U155" s="694">
        <f>LOOKUP($C$149, 'T_Stock_TOTAL_&amp;_City'!$C$90:$C$100, 'T_Stock_TOTAL_&amp;_City'!K$90:K$100)*(1+U80)</f>
        <v>0</v>
      </c>
      <c r="V155" s="694">
        <f>LOOKUP($C$149, 'T_Stock_TOTAL_&amp;_City'!$C$90:$C$100, 'T_Stock_TOTAL_&amp;_City'!L$90:L$100)*(1+V80)</f>
        <v>0</v>
      </c>
      <c r="W155" s="694">
        <f>LOOKUP($C$149, 'T_Stock_TOTAL_&amp;_City'!$C$90:$C$100, 'T_Stock_TOTAL_&amp;_City'!M$90:M$100)*(1+W80)</f>
        <v>0</v>
      </c>
      <c r="X155" s="694">
        <f>LOOKUP($C$149, 'T_Stock_TOTAL_&amp;_City'!$C$90:$C$100, 'T_Stock_TOTAL_&amp;_City'!N$90:N$100)*(1+X80)</f>
        <v>0</v>
      </c>
      <c r="Y155" s="694">
        <f>LOOKUP($C$149, 'T_Stock_TOTAL_&amp;_City'!$C$90:$C$100, 'T_Stock_TOTAL_&amp;_City'!O$90:O$100)*(1+Y80)</f>
        <v>0</v>
      </c>
      <c r="Z155" s="694">
        <f>LOOKUP($C$149, 'T_Stock_TOTAL_&amp;_City'!$C$90:$C$100, 'T_Stock_TOTAL_&amp;_City'!P$90:P$100)*(1+Z80)</f>
        <v>0</v>
      </c>
      <c r="AA155" s="694">
        <f>LOOKUP($C$149, 'T_Stock_TOTAL_&amp;_City'!$C$90:$C$100, 'T_Stock_TOTAL_&amp;_City'!Q$90:Q$100)*(1+AA80)</f>
        <v>0</v>
      </c>
      <c r="AB155" s="694">
        <f>LOOKUP($C$149, 'T_Stock_TOTAL_&amp;_City'!$C$90:$C$100, 'T_Stock_TOTAL_&amp;_City'!R$90:R$100)*(1+AB80)</f>
        <v>0</v>
      </c>
      <c r="AD155" s="35"/>
    </row>
    <row r="156" spans="1:46" s="83" customFormat="1" x14ac:dyDescent="0.25">
      <c r="A156" s="82"/>
      <c r="B156" s="178" t="str">
        <f t="shared" si="118"/>
        <v>TFLEGSL900</v>
      </c>
      <c r="C156" s="178"/>
      <c r="D156" s="179"/>
      <c r="E156" s="178"/>
      <c r="F156" s="182"/>
      <c r="G156" s="181"/>
      <c r="H156" s="182"/>
      <c r="I156" s="183">
        <f>AF$5</f>
        <v>2016</v>
      </c>
      <c r="J156" s="184"/>
      <c r="K156" s="184"/>
      <c r="L156" s="203" t="s">
        <v>1065</v>
      </c>
      <c r="M156" s="184" t="s">
        <v>748</v>
      </c>
      <c r="N156" s="694">
        <f t="shared" ref="N156:AB156" si="121">N155*LOOKUP($AD149,$AH$4:$AQ$4,$AH$5:$AQ$5)</f>
        <v>0</v>
      </c>
      <c r="O156" s="694">
        <f t="shared" si="121"/>
        <v>0</v>
      </c>
      <c r="P156" s="694">
        <f t="shared" si="121"/>
        <v>0</v>
      </c>
      <c r="Q156" s="694">
        <f t="shared" si="121"/>
        <v>0</v>
      </c>
      <c r="R156" s="694">
        <f t="shared" si="121"/>
        <v>0</v>
      </c>
      <c r="S156" s="694">
        <f t="shared" si="121"/>
        <v>0</v>
      </c>
      <c r="T156" s="694">
        <f t="shared" si="121"/>
        <v>0</v>
      </c>
      <c r="U156" s="694">
        <f t="shared" si="121"/>
        <v>0</v>
      </c>
      <c r="V156" s="694">
        <f t="shared" si="121"/>
        <v>0</v>
      </c>
      <c r="W156" s="694">
        <f t="shared" si="121"/>
        <v>0</v>
      </c>
      <c r="X156" s="694">
        <f t="shared" si="121"/>
        <v>0</v>
      </c>
      <c r="Y156" s="694">
        <f t="shared" si="121"/>
        <v>0</v>
      </c>
      <c r="Z156" s="694">
        <f t="shared" si="121"/>
        <v>0</v>
      </c>
      <c r="AA156" s="694">
        <f t="shared" si="121"/>
        <v>0</v>
      </c>
      <c r="AB156" s="694">
        <f t="shared" si="121"/>
        <v>0</v>
      </c>
      <c r="AD156" s="35"/>
    </row>
    <row r="157" spans="1:46" s="83" customFormat="1" x14ac:dyDescent="0.25">
      <c r="A157" s="82"/>
      <c r="B157" s="178" t="str">
        <f t="shared" si="118"/>
        <v>TFLEGSL900</v>
      </c>
      <c r="C157" s="178"/>
      <c r="D157" s="179"/>
      <c r="E157" s="178"/>
      <c r="F157" s="182"/>
      <c r="G157" s="181"/>
      <c r="H157" s="182"/>
      <c r="I157" s="183">
        <f>AF$6</f>
        <v>2020</v>
      </c>
      <c r="J157" s="184"/>
      <c r="K157" s="184"/>
      <c r="L157" s="203" t="s">
        <v>1065</v>
      </c>
      <c r="M157" s="184" t="s">
        <v>748</v>
      </c>
      <c r="N157" s="694">
        <f t="shared" ref="N157:AB157" si="122">N155*LOOKUP($AD149,$AH$4:$AQ$4,$AH$6:$AQ$6)</f>
        <v>0</v>
      </c>
      <c r="O157" s="694">
        <f t="shared" si="122"/>
        <v>0</v>
      </c>
      <c r="P157" s="694">
        <f t="shared" si="122"/>
        <v>0</v>
      </c>
      <c r="Q157" s="694">
        <f t="shared" si="122"/>
        <v>0</v>
      </c>
      <c r="R157" s="694">
        <f t="shared" si="122"/>
        <v>0</v>
      </c>
      <c r="S157" s="694">
        <f t="shared" si="122"/>
        <v>0</v>
      </c>
      <c r="T157" s="694">
        <f t="shared" si="122"/>
        <v>0</v>
      </c>
      <c r="U157" s="694">
        <f t="shared" si="122"/>
        <v>0</v>
      </c>
      <c r="V157" s="694">
        <f t="shared" si="122"/>
        <v>0</v>
      </c>
      <c r="W157" s="694">
        <f t="shared" si="122"/>
        <v>0</v>
      </c>
      <c r="X157" s="694">
        <f t="shared" si="122"/>
        <v>0</v>
      </c>
      <c r="Y157" s="694">
        <f t="shared" si="122"/>
        <v>0</v>
      </c>
      <c r="Z157" s="694">
        <f t="shared" si="122"/>
        <v>0</v>
      </c>
      <c r="AA157" s="694">
        <f t="shared" si="122"/>
        <v>0</v>
      </c>
      <c r="AB157" s="694">
        <f t="shared" si="122"/>
        <v>0</v>
      </c>
      <c r="AD157" s="35"/>
    </row>
    <row r="158" spans="1:46" s="83" customFormat="1" x14ac:dyDescent="0.25">
      <c r="A158" s="82"/>
      <c r="B158" s="178" t="str">
        <f t="shared" si="118"/>
        <v>TFLEGSL900</v>
      </c>
      <c r="C158" s="178"/>
      <c r="D158" s="179"/>
      <c r="E158" s="178"/>
      <c r="F158" s="182"/>
      <c r="G158" s="181"/>
      <c r="H158" s="182"/>
      <c r="I158" s="183">
        <f>AF$7</f>
        <v>2025</v>
      </c>
      <c r="J158" s="184"/>
      <c r="K158" s="184"/>
      <c r="L158" s="203" t="s">
        <v>1065</v>
      </c>
      <c r="M158" s="184" t="s">
        <v>748</v>
      </c>
      <c r="N158" s="694">
        <f t="shared" ref="N158:AB158" si="123">N155*LOOKUP($AD149,$AH$4:$AQ$4,$AH$7:$AQ$7)</f>
        <v>0</v>
      </c>
      <c r="O158" s="694">
        <f t="shared" si="123"/>
        <v>0</v>
      </c>
      <c r="P158" s="694">
        <f t="shared" si="123"/>
        <v>0</v>
      </c>
      <c r="Q158" s="694">
        <f t="shared" si="123"/>
        <v>0</v>
      </c>
      <c r="R158" s="694">
        <f t="shared" si="123"/>
        <v>0</v>
      </c>
      <c r="S158" s="694">
        <f t="shared" si="123"/>
        <v>0</v>
      </c>
      <c r="T158" s="694">
        <f t="shared" si="123"/>
        <v>0</v>
      </c>
      <c r="U158" s="694">
        <f t="shared" si="123"/>
        <v>0</v>
      </c>
      <c r="V158" s="694">
        <f t="shared" si="123"/>
        <v>0</v>
      </c>
      <c r="W158" s="694">
        <f t="shared" si="123"/>
        <v>0</v>
      </c>
      <c r="X158" s="694">
        <f t="shared" si="123"/>
        <v>0</v>
      </c>
      <c r="Y158" s="694">
        <f t="shared" si="123"/>
        <v>0</v>
      </c>
      <c r="Z158" s="694">
        <f t="shared" si="123"/>
        <v>0</v>
      </c>
      <c r="AA158" s="694">
        <f t="shared" si="123"/>
        <v>0</v>
      </c>
      <c r="AB158" s="694">
        <f t="shared" si="123"/>
        <v>0</v>
      </c>
      <c r="AD158" s="35"/>
    </row>
    <row r="159" spans="1:46" s="83" customFormat="1" x14ac:dyDescent="0.25">
      <c r="A159" s="82"/>
      <c r="B159" s="178" t="str">
        <f t="shared" si="118"/>
        <v>TFLEGSL900</v>
      </c>
      <c r="C159" s="178"/>
      <c r="D159" s="179"/>
      <c r="E159" s="178"/>
      <c r="F159" s="182"/>
      <c r="G159" s="181"/>
      <c r="H159" s="182"/>
      <c r="I159" s="183">
        <f>AF$8</f>
        <v>2030</v>
      </c>
      <c r="J159" s="184"/>
      <c r="K159" s="184"/>
      <c r="L159" s="203" t="s">
        <v>1065</v>
      </c>
      <c r="M159" s="184" t="s">
        <v>748</v>
      </c>
      <c r="N159" s="694">
        <f t="shared" ref="N159:AB159" si="124">N155*LOOKUP($AD149,$AH$4:$AQ$4,$AH$8:$AQ$8)</f>
        <v>0</v>
      </c>
      <c r="O159" s="694">
        <f t="shared" si="124"/>
        <v>0</v>
      </c>
      <c r="P159" s="694">
        <f t="shared" si="124"/>
        <v>0</v>
      </c>
      <c r="Q159" s="694">
        <f t="shared" si="124"/>
        <v>0</v>
      </c>
      <c r="R159" s="694">
        <f t="shared" si="124"/>
        <v>0</v>
      </c>
      <c r="S159" s="694">
        <f t="shared" si="124"/>
        <v>0</v>
      </c>
      <c r="T159" s="694">
        <f t="shared" si="124"/>
        <v>0</v>
      </c>
      <c r="U159" s="694">
        <f t="shared" si="124"/>
        <v>0</v>
      </c>
      <c r="V159" s="694">
        <f t="shared" si="124"/>
        <v>0</v>
      </c>
      <c r="W159" s="694">
        <f t="shared" si="124"/>
        <v>0</v>
      </c>
      <c r="X159" s="694">
        <f t="shared" si="124"/>
        <v>0</v>
      </c>
      <c r="Y159" s="694">
        <f t="shared" si="124"/>
        <v>0</v>
      </c>
      <c r="Z159" s="694">
        <f t="shared" si="124"/>
        <v>0</v>
      </c>
      <c r="AA159" s="694">
        <f t="shared" si="124"/>
        <v>0</v>
      </c>
      <c r="AB159" s="694">
        <f t="shared" si="124"/>
        <v>0</v>
      </c>
      <c r="AD159" s="35"/>
    </row>
    <row r="160" spans="1:46" s="83" customFormat="1" x14ac:dyDescent="0.25">
      <c r="A160" s="82"/>
      <c r="B160" s="178" t="str">
        <f t="shared" si="118"/>
        <v>TFLEGSL900</v>
      </c>
      <c r="C160" s="178"/>
      <c r="D160" s="179"/>
      <c r="E160" s="178"/>
      <c r="F160" s="182"/>
      <c r="G160" s="181"/>
      <c r="H160" s="182"/>
      <c r="I160" s="183">
        <f>AF$9</f>
        <v>2040</v>
      </c>
      <c r="J160" s="184"/>
      <c r="K160" s="184"/>
      <c r="L160" s="203" t="s">
        <v>1065</v>
      </c>
      <c r="M160" s="184" t="s">
        <v>748</v>
      </c>
      <c r="N160" s="694">
        <f t="shared" ref="N160:AB160" si="125">N155*LOOKUP($AD149,$AH$4:$AQ$4,$AH$9:$AQ$9)</f>
        <v>0</v>
      </c>
      <c r="O160" s="694">
        <f t="shared" si="125"/>
        <v>0</v>
      </c>
      <c r="P160" s="694">
        <f t="shared" si="125"/>
        <v>0</v>
      </c>
      <c r="Q160" s="694">
        <f t="shared" si="125"/>
        <v>0</v>
      </c>
      <c r="R160" s="694">
        <f t="shared" si="125"/>
        <v>0</v>
      </c>
      <c r="S160" s="694">
        <f t="shared" si="125"/>
        <v>0</v>
      </c>
      <c r="T160" s="694">
        <f t="shared" si="125"/>
        <v>0</v>
      </c>
      <c r="U160" s="694">
        <f t="shared" si="125"/>
        <v>0</v>
      </c>
      <c r="V160" s="694">
        <f t="shared" si="125"/>
        <v>0</v>
      </c>
      <c r="W160" s="694">
        <f t="shared" si="125"/>
        <v>0</v>
      </c>
      <c r="X160" s="694">
        <f t="shared" si="125"/>
        <v>0</v>
      </c>
      <c r="Y160" s="694">
        <f t="shared" si="125"/>
        <v>0</v>
      </c>
      <c r="Z160" s="694">
        <f t="shared" si="125"/>
        <v>0</v>
      </c>
      <c r="AA160" s="694">
        <f t="shared" si="125"/>
        <v>0</v>
      </c>
      <c r="AB160" s="694">
        <f t="shared" si="125"/>
        <v>0</v>
      </c>
      <c r="AD160" s="35"/>
    </row>
    <row r="161" spans="1:46" s="83" customFormat="1" x14ac:dyDescent="0.25">
      <c r="A161" s="82"/>
      <c r="B161" s="204" t="str">
        <f t="shared" si="118"/>
        <v>TFLEGSL900</v>
      </c>
      <c r="C161" s="204"/>
      <c r="D161" s="205"/>
      <c r="E161" s="204"/>
      <c r="F161" s="206"/>
      <c r="G161" s="207"/>
      <c r="H161" s="206"/>
      <c r="I161" s="208">
        <f>AF$10</f>
        <v>2050</v>
      </c>
      <c r="J161" s="209"/>
      <c r="K161" s="209"/>
      <c r="L161" s="210" t="s">
        <v>1065</v>
      </c>
      <c r="M161" s="209" t="s">
        <v>748</v>
      </c>
      <c r="N161" s="695">
        <f t="shared" ref="N161:AB161" si="126">N155*LOOKUP($AD149,$AH$4:$AQ$4,$AH$10:$AQ$10)</f>
        <v>0</v>
      </c>
      <c r="O161" s="695">
        <f t="shared" si="126"/>
        <v>0</v>
      </c>
      <c r="P161" s="695">
        <f t="shared" si="126"/>
        <v>0</v>
      </c>
      <c r="Q161" s="695">
        <f t="shared" si="126"/>
        <v>0</v>
      </c>
      <c r="R161" s="695">
        <f t="shared" si="126"/>
        <v>0</v>
      </c>
      <c r="S161" s="695">
        <f t="shared" si="126"/>
        <v>0</v>
      </c>
      <c r="T161" s="695">
        <f t="shared" si="126"/>
        <v>0</v>
      </c>
      <c r="U161" s="695">
        <f t="shared" si="126"/>
        <v>0</v>
      </c>
      <c r="V161" s="695">
        <f t="shared" si="126"/>
        <v>0</v>
      </c>
      <c r="W161" s="695">
        <f t="shared" si="126"/>
        <v>0</v>
      </c>
      <c r="X161" s="695">
        <f t="shared" si="126"/>
        <v>0</v>
      </c>
      <c r="Y161" s="695">
        <f t="shared" si="126"/>
        <v>0</v>
      </c>
      <c r="Z161" s="695">
        <f t="shared" si="126"/>
        <v>0</v>
      </c>
      <c r="AA161" s="695">
        <f t="shared" si="126"/>
        <v>0</v>
      </c>
      <c r="AB161" s="695">
        <f t="shared" si="126"/>
        <v>0</v>
      </c>
    </row>
    <row r="162" spans="1:46" s="83" customFormat="1" x14ac:dyDescent="0.25">
      <c r="A162" s="82"/>
      <c r="B162" s="178" t="str">
        <f>C162</f>
        <v>TFLEHYD900</v>
      </c>
      <c r="C162" s="178" t="s">
        <v>133</v>
      </c>
      <c r="D162" s="179" t="s">
        <v>817</v>
      </c>
      <c r="E162" s="407" t="s">
        <v>988</v>
      </c>
      <c r="F162" s="182"/>
      <c r="G162" s="181"/>
      <c r="H162" s="182"/>
      <c r="I162" s="183"/>
      <c r="J162" s="184"/>
      <c r="K162" s="184"/>
      <c r="L162" s="203" t="s">
        <v>1107</v>
      </c>
      <c r="M162" s="184" t="s">
        <v>1125</v>
      </c>
      <c r="N162" s="378">
        <v>1E-3</v>
      </c>
      <c r="O162" s="378">
        <f t="shared" ref="O162:AB162" si="127">$N162</f>
        <v>1E-3</v>
      </c>
      <c r="P162" s="378">
        <f t="shared" si="127"/>
        <v>1E-3</v>
      </c>
      <c r="Q162" s="378">
        <f t="shared" si="127"/>
        <v>1E-3</v>
      </c>
      <c r="R162" s="378">
        <f t="shared" si="127"/>
        <v>1E-3</v>
      </c>
      <c r="S162" s="378">
        <f t="shared" si="127"/>
        <v>1E-3</v>
      </c>
      <c r="T162" s="378">
        <f t="shared" si="127"/>
        <v>1E-3</v>
      </c>
      <c r="U162" s="378">
        <f t="shared" si="127"/>
        <v>1E-3</v>
      </c>
      <c r="V162" s="378">
        <f t="shared" si="127"/>
        <v>1E-3</v>
      </c>
      <c r="W162" s="378">
        <f t="shared" si="127"/>
        <v>1E-3</v>
      </c>
      <c r="X162" s="378">
        <f t="shared" si="127"/>
        <v>1E-3</v>
      </c>
      <c r="Y162" s="378">
        <f t="shared" si="127"/>
        <v>1E-3</v>
      </c>
      <c r="Z162" s="378">
        <f t="shared" si="127"/>
        <v>1E-3</v>
      </c>
      <c r="AA162" s="378">
        <f t="shared" si="127"/>
        <v>1E-3</v>
      </c>
      <c r="AB162" s="378">
        <f t="shared" si="127"/>
        <v>1E-3</v>
      </c>
      <c r="AD162" s="410" t="str">
        <f>MID(D162,13,3)</f>
        <v>Hyb</v>
      </c>
    </row>
    <row r="163" spans="1:46" s="83" customFormat="1" x14ac:dyDescent="0.25">
      <c r="A163" s="82"/>
      <c r="B163" s="178" t="str">
        <f>B162</f>
        <v>TFLEHYD900</v>
      </c>
      <c r="C163" s="178"/>
      <c r="D163" s="179"/>
      <c r="E163" s="407" t="s">
        <v>185</v>
      </c>
      <c r="F163" s="182"/>
      <c r="G163" s="181"/>
      <c r="H163" s="182"/>
      <c r="I163" s="183"/>
      <c r="J163" s="184" t="s">
        <v>1157</v>
      </c>
      <c r="K163" s="184"/>
      <c r="L163" s="203" t="s">
        <v>101</v>
      </c>
      <c r="M163" s="184"/>
      <c r="N163" s="390">
        <f>1-N$28</f>
        <v>0.85</v>
      </c>
      <c r="O163" s="390">
        <f t="shared" ref="O163:AB163" si="128">1-O$28</f>
        <v>0.85</v>
      </c>
      <c r="P163" s="390">
        <f t="shared" si="128"/>
        <v>0.85</v>
      </c>
      <c r="Q163" s="390">
        <f t="shared" si="128"/>
        <v>0.85</v>
      </c>
      <c r="R163" s="390">
        <f t="shared" si="128"/>
        <v>0.85</v>
      </c>
      <c r="S163" s="390">
        <f t="shared" si="128"/>
        <v>0.85</v>
      </c>
      <c r="T163" s="390">
        <f t="shared" si="128"/>
        <v>0.85</v>
      </c>
      <c r="U163" s="390">
        <f t="shared" si="128"/>
        <v>0.85</v>
      </c>
      <c r="V163" s="390">
        <f t="shared" si="128"/>
        <v>0.85</v>
      </c>
      <c r="W163" s="390">
        <f t="shared" si="128"/>
        <v>0.85</v>
      </c>
      <c r="X163" s="390">
        <f t="shared" si="128"/>
        <v>0.85</v>
      </c>
      <c r="Y163" s="390">
        <f t="shared" si="128"/>
        <v>0.85</v>
      </c>
      <c r="Z163" s="390">
        <f t="shared" si="128"/>
        <v>0.85</v>
      </c>
      <c r="AA163" s="390">
        <f t="shared" si="128"/>
        <v>0.85</v>
      </c>
      <c r="AB163" s="390">
        <f t="shared" si="128"/>
        <v>0.85</v>
      </c>
      <c r="AD163" s="66" t="str">
        <f>IF(COUNTIF($AH$4:$AQ$4,AD162)=1,"ok","MISSING")</f>
        <v>ok</v>
      </c>
    </row>
    <row r="164" spans="1:46" s="83" customFormat="1" x14ac:dyDescent="0.25">
      <c r="A164" s="82"/>
      <c r="B164" s="178" t="str">
        <f>B163</f>
        <v>TFLEHYD900</v>
      </c>
      <c r="C164" s="178"/>
      <c r="D164" s="179"/>
      <c r="E164" s="178"/>
      <c r="F164" s="182"/>
      <c r="G164" s="173" t="s">
        <v>637</v>
      </c>
      <c r="H164" s="182"/>
      <c r="I164" s="183"/>
      <c r="J164" s="184"/>
      <c r="K164" s="184"/>
      <c r="L164" s="184" t="s">
        <v>1126</v>
      </c>
      <c r="M164" s="184" t="s">
        <v>678</v>
      </c>
      <c r="N164" s="676">
        <f>T_CEFF!H239</f>
        <v>0.66666999999999998</v>
      </c>
      <c r="O164" s="676">
        <f>T_CEFF!I239</f>
        <v>0.66666999999999998</v>
      </c>
      <c r="P164" s="676">
        <f>T_CEFF!J239</f>
        <v>0.66666999999999998</v>
      </c>
      <c r="Q164" s="676">
        <f>T_CEFF!K239</f>
        <v>0.66666999999999998</v>
      </c>
      <c r="R164" s="676">
        <f>T_CEFF!L239</f>
        <v>0.66666999999999998</v>
      </c>
      <c r="S164" s="676">
        <f>T_CEFF!M239</f>
        <v>0.66666999999999998</v>
      </c>
      <c r="T164" s="676">
        <f>T_CEFF!N239</f>
        <v>0.66666999999999998</v>
      </c>
      <c r="U164" s="676">
        <f>T_CEFF!O239</f>
        <v>0.66666999999999998</v>
      </c>
      <c r="V164" s="676">
        <f>T_CEFF!P239</f>
        <v>0.66666999999999998</v>
      </c>
      <c r="W164" s="676">
        <f>T_CEFF!Q239</f>
        <v>0.66666999999999998</v>
      </c>
      <c r="X164" s="676">
        <f>T_CEFF!R239</f>
        <v>0.66666999999999998</v>
      </c>
      <c r="Y164" s="676">
        <f>T_CEFF!S239</f>
        <v>0.66666999999999998</v>
      </c>
      <c r="Z164" s="676">
        <f>T_CEFF!T239</f>
        <v>0.66666999999999998</v>
      </c>
      <c r="AA164" s="676">
        <f>T_CEFF!U239</f>
        <v>0.66666999999999998</v>
      </c>
      <c r="AB164" s="676">
        <f>T_CEFF!V239</f>
        <v>0.66666999999999998</v>
      </c>
    </row>
    <row r="165" spans="1:46" s="83" customFormat="1" x14ac:dyDescent="0.25">
      <c r="A165" s="82"/>
      <c r="B165" s="178" t="str">
        <f>B164</f>
        <v>TFLEHYD900</v>
      </c>
      <c r="C165" s="178"/>
      <c r="D165" s="179"/>
      <c r="E165" s="178"/>
      <c r="F165" s="182"/>
      <c r="G165" s="173" t="s">
        <v>640</v>
      </c>
      <c r="H165" s="182"/>
      <c r="I165" s="183"/>
      <c r="J165" s="184"/>
      <c r="K165" s="184"/>
      <c r="L165" s="184" t="s">
        <v>1126</v>
      </c>
      <c r="M165" s="184" t="s">
        <v>678</v>
      </c>
      <c r="N165" s="676">
        <f>T_CEFF!H240</f>
        <v>0.58823999999999999</v>
      </c>
      <c r="O165" s="676">
        <f>T_CEFF!I240</f>
        <v>0.58823999999999999</v>
      </c>
      <c r="P165" s="676">
        <f>T_CEFF!J240</f>
        <v>0.58823999999999999</v>
      </c>
      <c r="Q165" s="676">
        <f>T_CEFF!K240</f>
        <v>0.58823999999999999</v>
      </c>
      <c r="R165" s="676">
        <f>T_CEFF!L240</f>
        <v>0.58823999999999999</v>
      </c>
      <c r="S165" s="676">
        <f>T_CEFF!M240</f>
        <v>0.58823999999999999</v>
      </c>
      <c r="T165" s="676">
        <f>T_CEFF!N240</f>
        <v>0.58823999999999999</v>
      </c>
      <c r="U165" s="676">
        <f>T_CEFF!O240</f>
        <v>0.58823999999999999</v>
      </c>
      <c r="V165" s="676">
        <f>T_CEFF!P240</f>
        <v>0.58823999999999999</v>
      </c>
      <c r="W165" s="676">
        <f>T_CEFF!Q240</f>
        <v>0.58823999999999999</v>
      </c>
      <c r="X165" s="676">
        <f>T_CEFF!R240</f>
        <v>0.58823999999999999</v>
      </c>
      <c r="Y165" s="676">
        <f>T_CEFF!S240</f>
        <v>0.58823999999999999</v>
      </c>
      <c r="Z165" s="676">
        <f>T_CEFF!T240</f>
        <v>0.58823999999999999</v>
      </c>
      <c r="AA165" s="676">
        <f>T_CEFF!U240</f>
        <v>0.58823999999999999</v>
      </c>
      <c r="AB165" s="676">
        <f>T_CEFF!V240</f>
        <v>0.58823999999999999</v>
      </c>
    </row>
    <row r="166" spans="1:46" s="83" customFormat="1" x14ac:dyDescent="0.25">
      <c r="A166" s="82"/>
      <c r="B166" s="178" t="str">
        <f t="shared" ref="B166:B174" si="129">B165</f>
        <v>TFLEHYD900</v>
      </c>
      <c r="C166" s="178"/>
      <c r="D166" s="179"/>
      <c r="E166" s="178"/>
      <c r="F166" s="182"/>
      <c r="G166" s="181"/>
      <c r="H166" s="182"/>
      <c r="I166" s="183"/>
      <c r="J166" s="184"/>
      <c r="K166" s="184" t="s">
        <v>749</v>
      </c>
      <c r="L166" s="184" t="s">
        <v>1128</v>
      </c>
      <c r="M166" s="184" t="s">
        <v>1175</v>
      </c>
      <c r="N166" s="388">
        <f t="shared" ref="N166:AB166" si="130">N$23</f>
        <v>0.76</v>
      </c>
      <c r="O166" s="388">
        <f t="shared" si="130"/>
        <v>0</v>
      </c>
      <c r="P166" s="388">
        <f t="shared" si="130"/>
        <v>0</v>
      </c>
      <c r="Q166" s="388">
        <f t="shared" si="130"/>
        <v>0</v>
      </c>
      <c r="R166" s="388">
        <f t="shared" si="130"/>
        <v>0</v>
      </c>
      <c r="S166" s="388">
        <f t="shared" si="130"/>
        <v>0</v>
      </c>
      <c r="T166" s="388">
        <f t="shared" si="130"/>
        <v>0</v>
      </c>
      <c r="U166" s="388">
        <f t="shared" si="130"/>
        <v>0</v>
      </c>
      <c r="V166" s="388">
        <f t="shared" si="130"/>
        <v>0</v>
      </c>
      <c r="W166" s="388">
        <f t="shared" si="130"/>
        <v>0</v>
      </c>
      <c r="X166" s="388">
        <f t="shared" si="130"/>
        <v>0</v>
      </c>
      <c r="Y166" s="388">
        <f t="shared" si="130"/>
        <v>0</v>
      </c>
      <c r="Z166" s="388">
        <f t="shared" si="130"/>
        <v>0</v>
      </c>
      <c r="AA166" s="388">
        <f t="shared" si="130"/>
        <v>0</v>
      </c>
      <c r="AB166" s="388">
        <f t="shared" si="130"/>
        <v>0</v>
      </c>
    </row>
    <row r="167" spans="1:46" s="83" customFormat="1" x14ac:dyDescent="0.25">
      <c r="A167" s="82"/>
      <c r="B167" s="178" t="str">
        <f t="shared" si="129"/>
        <v>TFLEHYD900</v>
      </c>
      <c r="C167" s="178"/>
      <c r="D167" s="179"/>
      <c r="E167" s="178"/>
      <c r="F167" s="182"/>
      <c r="G167" s="181"/>
      <c r="H167" s="182"/>
      <c r="I167" s="183"/>
      <c r="J167" s="184"/>
      <c r="K167" s="184"/>
      <c r="L167" s="203" t="s">
        <v>1130</v>
      </c>
      <c r="M167" s="184" t="s">
        <v>1131</v>
      </c>
      <c r="N167" s="397">
        <f>LOOKUP($C$162, T_NCAP_AF!$C$140:$C$150, T_NCAP_AF!D$140:D$150)*(1+N79)</f>
        <v>0</v>
      </c>
      <c r="O167" s="397">
        <f>LOOKUP($C$162, T_NCAP_AF!$C$140:$C$150, T_NCAP_AF!E$140:E$150)*(1+O79)</f>
        <v>0</v>
      </c>
      <c r="P167" s="397">
        <f>LOOKUP($C$162, T_NCAP_AF!$C$140:$C$150, T_NCAP_AF!F$140:F$150)*(1+P79)</f>
        <v>0</v>
      </c>
      <c r="Q167" s="397">
        <f>LOOKUP($C$162, T_NCAP_AF!$C$140:$C$150, T_NCAP_AF!G$140:G$150)*(1+Q79)</f>
        <v>0</v>
      </c>
      <c r="R167" s="397">
        <f>LOOKUP($C$162, T_NCAP_AF!$C$140:$C$150, T_NCAP_AF!H$140:H$150)*(1+R79)</f>
        <v>0</v>
      </c>
      <c r="S167" s="397">
        <f>LOOKUP($C$162, T_NCAP_AF!$C$140:$C$150, T_NCAP_AF!I$140:I$150)*(1+S79)</f>
        <v>0</v>
      </c>
      <c r="T167" s="397">
        <f>LOOKUP($C$162, T_NCAP_AF!$C$140:$C$150, T_NCAP_AF!J$140:J$150)*(1+T79)</f>
        <v>0</v>
      </c>
      <c r="U167" s="397">
        <f>LOOKUP($C$162, T_NCAP_AF!$C$140:$C$150, T_NCAP_AF!K$140:K$150)*(1+U79)</f>
        <v>0</v>
      </c>
      <c r="V167" s="397">
        <f>LOOKUP($C$162, T_NCAP_AF!$C$140:$C$150, T_NCAP_AF!L$140:L$150)*(1+V79)</f>
        <v>0</v>
      </c>
      <c r="W167" s="397">
        <f>LOOKUP($C$162, T_NCAP_AF!$C$140:$C$150, T_NCAP_AF!M$140:M$150)*(1+W79)</f>
        <v>0</v>
      </c>
      <c r="X167" s="397">
        <f>LOOKUP($C$162, T_NCAP_AF!$C$140:$C$150, T_NCAP_AF!N$140:N$150)*(1+X79)</f>
        <v>0</v>
      </c>
      <c r="Y167" s="397">
        <f>LOOKUP($C$162, T_NCAP_AF!$C$140:$C$150, T_NCAP_AF!O$140:O$150)*(1+Y79)</f>
        <v>0</v>
      </c>
      <c r="Z167" s="397">
        <f>LOOKUP($C$162, T_NCAP_AF!$C$140:$C$150, T_NCAP_AF!P$140:P$150)*(1+Z79)</f>
        <v>0</v>
      </c>
      <c r="AA167" s="397">
        <f>LOOKUP($C$162, T_NCAP_AF!$C$140:$C$150, T_NCAP_AF!Q$140:Q$150)*(1+AA79)</f>
        <v>0</v>
      </c>
      <c r="AB167" s="397">
        <f>LOOKUP($C$162, T_NCAP_AF!$C$140:$C$150, T_NCAP_AF!R$140:R$150)*(1+AB79)</f>
        <v>0</v>
      </c>
      <c r="AE167" s="572">
        <f>SUM(AF167:AT167)</f>
        <v>0</v>
      </c>
      <c r="AF167" s="85">
        <f t="shared" ref="AF167:AT167" si="131">N166*N167*N168/1000</f>
        <v>0</v>
      </c>
      <c r="AG167" s="85">
        <f t="shared" si="131"/>
        <v>0</v>
      </c>
      <c r="AH167" s="85">
        <f t="shared" si="131"/>
        <v>0</v>
      </c>
      <c r="AI167" s="85">
        <f t="shared" si="131"/>
        <v>0</v>
      </c>
      <c r="AJ167" s="85">
        <f t="shared" si="131"/>
        <v>0</v>
      </c>
      <c r="AK167" s="85">
        <f t="shared" si="131"/>
        <v>0</v>
      </c>
      <c r="AL167" s="85">
        <f t="shared" si="131"/>
        <v>0</v>
      </c>
      <c r="AM167" s="85">
        <f t="shared" si="131"/>
        <v>0</v>
      </c>
      <c r="AN167" s="85">
        <f t="shared" si="131"/>
        <v>0</v>
      </c>
      <c r="AO167" s="85">
        <f t="shared" si="131"/>
        <v>0</v>
      </c>
      <c r="AP167" s="85">
        <f t="shared" si="131"/>
        <v>0</v>
      </c>
      <c r="AQ167" s="85">
        <f t="shared" si="131"/>
        <v>0</v>
      </c>
      <c r="AR167" s="85">
        <f t="shared" si="131"/>
        <v>0</v>
      </c>
      <c r="AS167" s="85">
        <f t="shared" si="131"/>
        <v>0</v>
      </c>
      <c r="AT167" s="85">
        <f t="shared" si="131"/>
        <v>0</v>
      </c>
    </row>
    <row r="168" spans="1:46" s="83" customFormat="1" x14ac:dyDescent="0.25">
      <c r="A168" s="82"/>
      <c r="B168" s="178" t="str">
        <f t="shared" si="129"/>
        <v>TFLEHYD900</v>
      </c>
      <c r="C168" s="178"/>
      <c r="D168" s="179"/>
      <c r="E168" s="178"/>
      <c r="F168" s="182"/>
      <c r="G168" s="181"/>
      <c r="H168" s="182"/>
      <c r="I168" s="183">
        <f>$M$3</f>
        <v>2019</v>
      </c>
      <c r="J168" s="184"/>
      <c r="K168" s="184"/>
      <c r="L168" s="203" t="s">
        <v>1065</v>
      </c>
      <c r="M168" s="184" t="s">
        <v>748</v>
      </c>
      <c r="N168" s="694">
        <f>LOOKUP($C$162, 'T_Stock_TOTAL_&amp;_City'!$C$90:$C$100, 'T_Stock_TOTAL_&amp;_City'!D$90:D$100)*(1+N80)</f>
        <v>0</v>
      </c>
      <c r="O168" s="694">
        <f>LOOKUP($C$162, 'T_Stock_TOTAL_&amp;_City'!$C$90:$C$100, 'T_Stock_TOTAL_&amp;_City'!E$90:E$100)*(1+O80)</f>
        <v>0</v>
      </c>
      <c r="P168" s="694">
        <f>LOOKUP($C$162, 'T_Stock_TOTAL_&amp;_City'!$C$90:$C$100, 'T_Stock_TOTAL_&amp;_City'!F$90:F$100)*(1+P80)</f>
        <v>0</v>
      </c>
      <c r="Q168" s="694">
        <f>LOOKUP($C$162, 'T_Stock_TOTAL_&amp;_City'!$C$90:$C$100, 'T_Stock_TOTAL_&amp;_City'!G$90:G$100)*(1+Q80)</f>
        <v>0</v>
      </c>
      <c r="R168" s="694">
        <f>LOOKUP($C$162, 'T_Stock_TOTAL_&amp;_City'!$C$90:$C$100, 'T_Stock_TOTAL_&amp;_City'!H$90:H$100)*(1+R80)</f>
        <v>0</v>
      </c>
      <c r="S168" s="694">
        <f>LOOKUP($C$162, 'T_Stock_TOTAL_&amp;_City'!$C$90:$C$100, 'T_Stock_TOTAL_&amp;_City'!I$90:I$100)*(1+S80)</f>
        <v>0</v>
      </c>
      <c r="T168" s="694">
        <f>LOOKUP($C$162, 'T_Stock_TOTAL_&amp;_City'!$C$90:$C$100, 'T_Stock_TOTAL_&amp;_City'!J$90:J$100)*(1+T80)</f>
        <v>0</v>
      </c>
      <c r="U168" s="694">
        <f>LOOKUP($C$162, 'T_Stock_TOTAL_&amp;_City'!$C$90:$C$100, 'T_Stock_TOTAL_&amp;_City'!K$90:K$100)*(1+U80)</f>
        <v>0</v>
      </c>
      <c r="V168" s="694">
        <f>LOOKUP($C$162, 'T_Stock_TOTAL_&amp;_City'!$C$90:$C$100, 'T_Stock_TOTAL_&amp;_City'!L$90:L$100)*(1+V80)</f>
        <v>0</v>
      </c>
      <c r="W168" s="694">
        <f>LOOKUP($C$162, 'T_Stock_TOTAL_&amp;_City'!$C$90:$C$100, 'T_Stock_TOTAL_&amp;_City'!M$90:M$100)*(1+W80)</f>
        <v>0</v>
      </c>
      <c r="X168" s="694">
        <f>LOOKUP($C$162, 'T_Stock_TOTAL_&amp;_City'!$C$90:$C$100, 'T_Stock_TOTAL_&amp;_City'!N$90:N$100)*(1+X80)</f>
        <v>0</v>
      </c>
      <c r="Y168" s="694">
        <f>LOOKUP($C$162, 'T_Stock_TOTAL_&amp;_City'!$C$90:$C$100, 'T_Stock_TOTAL_&amp;_City'!O$90:O$100)*(1+Y80)</f>
        <v>0</v>
      </c>
      <c r="Z168" s="694">
        <f>LOOKUP($C$162, 'T_Stock_TOTAL_&amp;_City'!$C$90:$C$100, 'T_Stock_TOTAL_&amp;_City'!P$90:P$100)*(1+Z80)</f>
        <v>0</v>
      </c>
      <c r="AA168" s="694">
        <f>LOOKUP($C$162, 'T_Stock_TOTAL_&amp;_City'!$C$90:$C$100, 'T_Stock_TOTAL_&amp;_City'!Q$90:Q$100)*(1+AA80)</f>
        <v>0</v>
      </c>
      <c r="AB168" s="694">
        <f>LOOKUP($C$162, 'T_Stock_TOTAL_&amp;_City'!$C$90:$C$100, 'T_Stock_TOTAL_&amp;_City'!R$90:R$100)*(1+AB80)</f>
        <v>0</v>
      </c>
      <c r="AD168" s="35"/>
    </row>
    <row r="169" spans="1:46" s="83" customFormat="1" x14ac:dyDescent="0.25">
      <c r="A169" s="82"/>
      <c r="B169" s="178" t="str">
        <f t="shared" si="129"/>
        <v>TFLEHYD900</v>
      </c>
      <c r="C169" s="178"/>
      <c r="D169" s="179"/>
      <c r="E169" s="178"/>
      <c r="F169" s="182"/>
      <c r="G169" s="181"/>
      <c r="H169" s="182"/>
      <c r="I169" s="183">
        <f>AF$5</f>
        <v>2016</v>
      </c>
      <c r="J169" s="184"/>
      <c r="K169" s="184"/>
      <c r="L169" s="203" t="s">
        <v>1065</v>
      </c>
      <c r="M169" s="184" t="s">
        <v>748</v>
      </c>
      <c r="N169" s="694">
        <f t="shared" ref="N169:AB169" si="132">N168*LOOKUP($AD162,$AH$4:$AQ$4,$AH$5:$AQ$5)</f>
        <v>0</v>
      </c>
      <c r="O169" s="694">
        <f t="shared" si="132"/>
        <v>0</v>
      </c>
      <c r="P169" s="694">
        <f t="shared" si="132"/>
        <v>0</v>
      </c>
      <c r="Q169" s="694">
        <f t="shared" si="132"/>
        <v>0</v>
      </c>
      <c r="R169" s="694">
        <f t="shared" si="132"/>
        <v>0</v>
      </c>
      <c r="S169" s="694">
        <f t="shared" si="132"/>
        <v>0</v>
      </c>
      <c r="T169" s="694">
        <f t="shared" si="132"/>
        <v>0</v>
      </c>
      <c r="U169" s="694">
        <f t="shared" si="132"/>
        <v>0</v>
      </c>
      <c r="V169" s="694">
        <f t="shared" si="132"/>
        <v>0</v>
      </c>
      <c r="W169" s="694">
        <f t="shared" si="132"/>
        <v>0</v>
      </c>
      <c r="X169" s="694">
        <f t="shared" si="132"/>
        <v>0</v>
      </c>
      <c r="Y169" s="694">
        <f t="shared" si="132"/>
        <v>0</v>
      </c>
      <c r="Z169" s="694">
        <f t="shared" si="132"/>
        <v>0</v>
      </c>
      <c r="AA169" s="694">
        <f t="shared" si="132"/>
        <v>0</v>
      </c>
      <c r="AB169" s="694">
        <f t="shared" si="132"/>
        <v>0</v>
      </c>
      <c r="AD169" s="35"/>
    </row>
    <row r="170" spans="1:46" s="83" customFormat="1" x14ac:dyDescent="0.25">
      <c r="A170" s="82"/>
      <c r="B170" s="178" t="str">
        <f t="shared" si="129"/>
        <v>TFLEHYD900</v>
      </c>
      <c r="C170" s="178"/>
      <c r="D170" s="179"/>
      <c r="E170" s="178"/>
      <c r="F170" s="182"/>
      <c r="G170" s="181"/>
      <c r="H170" s="182"/>
      <c r="I170" s="183">
        <f>AF$6</f>
        <v>2020</v>
      </c>
      <c r="J170" s="184"/>
      <c r="K170" s="184"/>
      <c r="L170" s="203" t="s">
        <v>1065</v>
      </c>
      <c r="M170" s="184" t="s">
        <v>748</v>
      </c>
      <c r="N170" s="694">
        <f t="shared" ref="N170:AB170" si="133">N168*LOOKUP($AD162,$AH$4:$AQ$4,$AH$6:$AQ$6)</f>
        <v>0</v>
      </c>
      <c r="O170" s="694">
        <f t="shared" si="133"/>
        <v>0</v>
      </c>
      <c r="P170" s="694">
        <f t="shared" si="133"/>
        <v>0</v>
      </c>
      <c r="Q170" s="694">
        <f t="shared" si="133"/>
        <v>0</v>
      </c>
      <c r="R170" s="694">
        <f t="shared" si="133"/>
        <v>0</v>
      </c>
      <c r="S170" s="694">
        <f t="shared" si="133"/>
        <v>0</v>
      </c>
      <c r="T170" s="694">
        <f t="shared" si="133"/>
        <v>0</v>
      </c>
      <c r="U170" s="694">
        <f t="shared" si="133"/>
        <v>0</v>
      </c>
      <c r="V170" s="694">
        <f t="shared" si="133"/>
        <v>0</v>
      </c>
      <c r="W170" s="694">
        <f t="shared" si="133"/>
        <v>0</v>
      </c>
      <c r="X170" s="694">
        <f t="shared" si="133"/>
        <v>0</v>
      </c>
      <c r="Y170" s="694">
        <f t="shared" si="133"/>
        <v>0</v>
      </c>
      <c r="Z170" s="694">
        <f t="shared" si="133"/>
        <v>0</v>
      </c>
      <c r="AA170" s="694">
        <f t="shared" si="133"/>
        <v>0</v>
      </c>
      <c r="AB170" s="694">
        <f t="shared" si="133"/>
        <v>0</v>
      </c>
      <c r="AD170" s="35"/>
    </row>
    <row r="171" spans="1:46" s="83" customFormat="1" x14ac:dyDescent="0.25">
      <c r="A171" s="82"/>
      <c r="B171" s="178" t="str">
        <f t="shared" si="129"/>
        <v>TFLEHYD900</v>
      </c>
      <c r="C171" s="178"/>
      <c r="D171" s="179"/>
      <c r="E171" s="178"/>
      <c r="F171" s="182"/>
      <c r="G171" s="181"/>
      <c r="H171" s="182"/>
      <c r="I171" s="183">
        <f>AF$7</f>
        <v>2025</v>
      </c>
      <c r="J171" s="184"/>
      <c r="K171" s="184"/>
      <c r="L171" s="203" t="s">
        <v>1065</v>
      </c>
      <c r="M171" s="184" t="s">
        <v>748</v>
      </c>
      <c r="N171" s="694">
        <f t="shared" ref="N171:AB171" si="134">N168*LOOKUP($AD162,$AH$4:$AQ$4,$AH$7:$AQ$7)</f>
        <v>0</v>
      </c>
      <c r="O171" s="694">
        <f t="shared" si="134"/>
        <v>0</v>
      </c>
      <c r="P171" s="694">
        <f t="shared" si="134"/>
        <v>0</v>
      </c>
      <c r="Q171" s="694">
        <f t="shared" si="134"/>
        <v>0</v>
      </c>
      <c r="R171" s="694">
        <f t="shared" si="134"/>
        <v>0</v>
      </c>
      <c r="S171" s="694">
        <f t="shared" si="134"/>
        <v>0</v>
      </c>
      <c r="T171" s="694">
        <f t="shared" si="134"/>
        <v>0</v>
      </c>
      <c r="U171" s="694">
        <f t="shared" si="134"/>
        <v>0</v>
      </c>
      <c r="V171" s="694">
        <f t="shared" si="134"/>
        <v>0</v>
      </c>
      <c r="W171" s="694">
        <f t="shared" si="134"/>
        <v>0</v>
      </c>
      <c r="X171" s="694">
        <f t="shared" si="134"/>
        <v>0</v>
      </c>
      <c r="Y171" s="694">
        <f t="shared" si="134"/>
        <v>0</v>
      </c>
      <c r="Z171" s="694">
        <f t="shared" si="134"/>
        <v>0</v>
      </c>
      <c r="AA171" s="694">
        <f t="shared" si="134"/>
        <v>0</v>
      </c>
      <c r="AB171" s="694">
        <f t="shared" si="134"/>
        <v>0</v>
      </c>
      <c r="AD171" s="35"/>
    </row>
    <row r="172" spans="1:46" s="83" customFormat="1" x14ac:dyDescent="0.25">
      <c r="A172" s="82"/>
      <c r="B172" s="178" t="str">
        <f t="shared" si="129"/>
        <v>TFLEHYD900</v>
      </c>
      <c r="C172" s="178"/>
      <c r="D172" s="179"/>
      <c r="E172" s="178"/>
      <c r="F172" s="182"/>
      <c r="G172" s="181"/>
      <c r="H172" s="182"/>
      <c r="I172" s="183">
        <f>AF$8</f>
        <v>2030</v>
      </c>
      <c r="J172" s="184"/>
      <c r="K172" s="184"/>
      <c r="L172" s="203" t="s">
        <v>1065</v>
      </c>
      <c r="M172" s="184" t="s">
        <v>748</v>
      </c>
      <c r="N172" s="694">
        <f t="shared" ref="N172:AB172" si="135">N168*LOOKUP($AD162,$AH$4:$AQ$4,$AH$8:$AQ$8)</f>
        <v>0</v>
      </c>
      <c r="O172" s="694">
        <f t="shared" si="135"/>
        <v>0</v>
      </c>
      <c r="P172" s="694">
        <f t="shared" si="135"/>
        <v>0</v>
      </c>
      <c r="Q172" s="694">
        <f t="shared" si="135"/>
        <v>0</v>
      </c>
      <c r="R172" s="694">
        <f t="shared" si="135"/>
        <v>0</v>
      </c>
      <c r="S172" s="694">
        <f t="shared" si="135"/>
        <v>0</v>
      </c>
      <c r="T172" s="694">
        <f t="shared" si="135"/>
        <v>0</v>
      </c>
      <c r="U172" s="694">
        <f t="shared" si="135"/>
        <v>0</v>
      </c>
      <c r="V172" s="694">
        <f t="shared" si="135"/>
        <v>0</v>
      </c>
      <c r="W172" s="694">
        <f t="shared" si="135"/>
        <v>0</v>
      </c>
      <c r="X172" s="694">
        <f t="shared" si="135"/>
        <v>0</v>
      </c>
      <c r="Y172" s="694">
        <f t="shared" si="135"/>
        <v>0</v>
      </c>
      <c r="Z172" s="694">
        <f t="shared" si="135"/>
        <v>0</v>
      </c>
      <c r="AA172" s="694">
        <f t="shared" si="135"/>
        <v>0</v>
      </c>
      <c r="AB172" s="694">
        <f t="shared" si="135"/>
        <v>0</v>
      </c>
      <c r="AD172" s="35"/>
    </row>
    <row r="173" spans="1:46" s="83" customFormat="1" x14ac:dyDescent="0.25">
      <c r="A173" s="82"/>
      <c r="B173" s="178" t="str">
        <f t="shared" si="129"/>
        <v>TFLEHYD900</v>
      </c>
      <c r="C173" s="178"/>
      <c r="D173" s="179"/>
      <c r="E173" s="178"/>
      <c r="F173" s="182"/>
      <c r="G173" s="181"/>
      <c r="H173" s="182"/>
      <c r="I173" s="183">
        <f>AF$9</f>
        <v>2040</v>
      </c>
      <c r="J173" s="184"/>
      <c r="K173" s="184"/>
      <c r="L173" s="203" t="s">
        <v>1065</v>
      </c>
      <c r="M173" s="184" t="s">
        <v>748</v>
      </c>
      <c r="N173" s="694">
        <f t="shared" ref="N173:AB173" si="136">N168*LOOKUP($AD162,$AH$4:$AQ$4,$AH$9:$AQ$9)</f>
        <v>0</v>
      </c>
      <c r="O173" s="694">
        <f t="shared" si="136"/>
        <v>0</v>
      </c>
      <c r="P173" s="694">
        <f t="shared" si="136"/>
        <v>0</v>
      </c>
      <c r="Q173" s="694">
        <f t="shared" si="136"/>
        <v>0</v>
      </c>
      <c r="R173" s="694">
        <f t="shared" si="136"/>
        <v>0</v>
      </c>
      <c r="S173" s="694">
        <f t="shared" si="136"/>
        <v>0</v>
      </c>
      <c r="T173" s="694">
        <f t="shared" si="136"/>
        <v>0</v>
      </c>
      <c r="U173" s="694">
        <f t="shared" si="136"/>
        <v>0</v>
      </c>
      <c r="V173" s="694">
        <f t="shared" si="136"/>
        <v>0</v>
      </c>
      <c r="W173" s="694">
        <f t="shared" si="136"/>
        <v>0</v>
      </c>
      <c r="X173" s="694">
        <f t="shared" si="136"/>
        <v>0</v>
      </c>
      <c r="Y173" s="694">
        <f t="shared" si="136"/>
        <v>0</v>
      </c>
      <c r="Z173" s="694">
        <f t="shared" si="136"/>
        <v>0</v>
      </c>
      <c r="AA173" s="694">
        <f t="shared" si="136"/>
        <v>0</v>
      </c>
      <c r="AB173" s="694">
        <f t="shared" si="136"/>
        <v>0</v>
      </c>
      <c r="AD173" s="35"/>
    </row>
    <row r="174" spans="1:46" s="83" customFormat="1" x14ac:dyDescent="0.25">
      <c r="A174" s="82"/>
      <c r="B174" s="204" t="str">
        <f t="shared" si="129"/>
        <v>TFLEHYD900</v>
      </c>
      <c r="C174" s="204"/>
      <c r="D174" s="205"/>
      <c r="E174" s="204"/>
      <c r="F174" s="206"/>
      <c r="G174" s="207"/>
      <c r="H174" s="206"/>
      <c r="I174" s="208">
        <f>AF$10</f>
        <v>2050</v>
      </c>
      <c r="J174" s="209"/>
      <c r="K174" s="209"/>
      <c r="L174" s="210" t="s">
        <v>1065</v>
      </c>
      <c r="M174" s="209" t="s">
        <v>748</v>
      </c>
      <c r="N174" s="695">
        <f t="shared" ref="N174:AB174" si="137">N168*LOOKUP($AD162,$AH$4:$AQ$4,$AH$10:$AQ$10)</f>
        <v>0</v>
      </c>
      <c r="O174" s="695">
        <f t="shared" si="137"/>
        <v>0</v>
      </c>
      <c r="P174" s="695">
        <f t="shared" si="137"/>
        <v>0</v>
      </c>
      <c r="Q174" s="695">
        <f t="shared" si="137"/>
        <v>0</v>
      </c>
      <c r="R174" s="695">
        <f t="shared" si="137"/>
        <v>0</v>
      </c>
      <c r="S174" s="695">
        <f t="shared" si="137"/>
        <v>0</v>
      </c>
      <c r="T174" s="695">
        <f t="shared" si="137"/>
        <v>0</v>
      </c>
      <c r="U174" s="695">
        <f t="shared" si="137"/>
        <v>0</v>
      </c>
      <c r="V174" s="695">
        <f t="shared" si="137"/>
        <v>0</v>
      </c>
      <c r="W174" s="695">
        <f t="shared" si="137"/>
        <v>0</v>
      </c>
      <c r="X174" s="695">
        <f t="shared" si="137"/>
        <v>0</v>
      </c>
      <c r="Y174" s="695">
        <f t="shared" si="137"/>
        <v>0</v>
      </c>
      <c r="Z174" s="695">
        <f t="shared" si="137"/>
        <v>0</v>
      </c>
      <c r="AA174" s="695">
        <f t="shared" si="137"/>
        <v>0</v>
      </c>
      <c r="AB174" s="695">
        <f t="shared" si="137"/>
        <v>0</v>
      </c>
    </row>
    <row r="175" spans="1:46" s="83" customFormat="1" x14ac:dyDescent="0.25">
      <c r="A175" s="82"/>
      <c r="B175" s="178" t="str">
        <f>C175</f>
        <v>TFLEHYG900</v>
      </c>
      <c r="C175" s="178" t="s">
        <v>134</v>
      </c>
      <c r="D175" s="179" t="s">
        <v>819</v>
      </c>
      <c r="E175" s="407" t="s">
        <v>1014</v>
      </c>
      <c r="F175" s="182"/>
      <c r="G175" s="181"/>
      <c r="H175" s="182"/>
      <c r="I175" s="183"/>
      <c r="J175" s="184"/>
      <c r="K175" s="184"/>
      <c r="L175" s="203" t="s">
        <v>1107</v>
      </c>
      <c r="M175" s="184" t="s">
        <v>1125</v>
      </c>
      <c r="N175" s="378">
        <v>1E-3</v>
      </c>
      <c r="O175" s="378">
        <f t="shared" ref="O175:AB175" si="138">$N175</f>
        <v>1E-3</v>
      </c>
      <c r="P175" s="378">
        <f t="shared" si="138"/>
        <v>1E-3</v>
      </c>
      <c r="Q175" s="378">
        <f t="shared" si="138"/>
        <v>1E-3</v>
      </c>
      <c r="R175" s="378">
        <f t="shared" si="138"/>
        <v>1E-3</v>
      </c>
      <c r="S175" s="378">
        <f t="shared" si="138"/>
        <v>1E-3</v>
      </c>
      <c r="T175" s="378">
        <f t="shared" si="138"/>
        <v>1E-3</v>
      </c>
      <c r="U175" s="378">
        <f t="shared" si="138"/>
        <v>1E-3</v>
      </c>
      <c r="V175" s="378">
        <f t="shared" si="138"/>
        <v>1E-3</v>
      </c>
      <c r="W175" s="378">
        <f t="shared" si="138"/>
        <v>1E-3</v>
      </c>
      <c r="X175" s="378">
        <f t="shared" si="138"/>
        <v>1E-3</v>
      </c>
      <c r="Y175" s="378">
        <f t="shared" si="138"/>
        <v>1E-3</v>
      </c>
      <c r="Z175" s="378">
        <f t="shared" si="138"/>
        <v>1E-3</v>
      </c>
      <c r="AA175" s="378">
        <f t="shared" si="138"/>
        <v>1E-3</v>
      </c>
      <c r="AB175" s="378">
        <f t="shared" si="138"/>
        <v>1E-3</v>
      </c>
      <c r="AD175" s="410" t="str">
        <f>MID(D175,13,3)</f>
        <v>Hyb</v>
      </c>
    </row>
    <row r="176" spans="1:46" s="83" customFormat="1" x14ac:dyDescent="0.25">
      <c r="A176" s="82"/>
      <c r="B176" s="178" t="str">
        <f>B175</f>
        <v>TFLEHYG900</v>
      </c>
      <c r="C176" s="178"/>
      <c r="D176" s="179"/>
      <c r="E176" s="407" t="s">
        <v>1012</v>
      </c>
      <c r="F176" s="182"/>
      <c r="G176" s="181"/>
      <c r="H176" s="182"/>
      <c r="I176" s="183"/>
      <c r="J176" s="184" t="s">
        <v>1157</v>
      </c>
      <c r="K176" s="184"/>
      <c r="L176" s="203" t="s">
        <v>101</v>
      </c>
      <c r="M176" s="184"/>
      <c r="N176" s="390">
        <f>N$29</f>
        <v>0.03</v>
      </c>
      <c r="O176" s="390">
        <f t="shared" ref="O176:AB176" si="139">O$29</f>
        <v>0.03</v>
      </c>
      <c r="P176" s="390">
        <f t="shared" si="139"/>
        <v>0.03</v>
      </c>
      <c r="Q176" s="390">
        <f t="shared" si="139"/>
        <v>0.03</v>
      </c>
      <c r="R176" s="390">
        <f t="shared" si="139"/>
        <v>0.03</v>
      </c>
      <c r="S176" s="390">
        <f t="shared" si="139"/>
        <v>0.03</v>
      </c>
      <c r="T176" s="390">
        <f t="shared" si="139"/>
        <v>0.03</v>
      </c>
      <c r="U176" s="390">
        <f t="shared" si="139"/>
        <v>0.03</v>
      </c>
      <c r="V176" s="390">
        <f t="shared" si="139"/>
        <v>0.03</v>
      </c>
      <c r="W176" s="390">
        <f t="shared" si="139"/>
        <v>0.03</v>
      </c>
      <c r="X176" s="390">
        <f t="shared" si="139"/>
        <v>0.03</v>
      </c>
      <c r="Y176" s="390">
        <f t="shared" si="139"/>
        <v>0.03</v>
      </c>
      <c r="Z176" s="390">
        <f t="shared" si="139"/>
        <v>0.03</v>
      </c>
      <c r="AA176" s="390">
        <f t="shared" si="139"/>
        <v>0.03</v>
      </c>
      <c r="AB176" s="390">
        <f t="shared" si="139"/>
        <v>0.03</v>
      </c>
      <c r="AD176" s="66" t="str">
        <f>IF(COUNTIF($AH$4:$AQ$4,AD175)=1,"ok","MISSING")</f>
        <v>ok</v>
      </c>
    </row>
    <row r="177" spans="1:52" s="83" customFormat="1" x14ac:dyDescent="0.25">
      <c r="A177" s="82"/>
      <c r="B177" s="178" t="str">
        <f>B176</f>
        <v>TFLEHYG900</v>
      </c>
      <c r="C177" s="178"/>
      <c r="D177" s="179"/>
      <c r="E177" s="178"/>
      <c r="F177" s="182"/>
      <c r="G177" s="173" t="s">
        <v>637</v>
      </c>
      <c r="H177" s="182"/>
      <c r="I177" s="183"/>
      <c r="J177" s="184"/>
      <c r="K177" s="184"/>
      <c r="L177" s="184" t="s">
        <v>1126</v>
      </c>
      <c r="M177" s="184" t="s">
        <v>678</v>
      </c>
      <c r="N177" s="676">
        <f>T_CEFF!H241</f>
        <v>0.5988</v>
      </c>
      <c r="O177" s="676">
        <f>T_CEFF!I241</f>
        <v>0.5988</v>
      </c>
      <c r="P177" s="676">
        <f>T_CEFF!J241</f>
        <v>0.5988</v>
      </c>
      <c r="Q177" s="676">
        <f>T_CEFF!K241</f>
        <v>0.5988</v>
      </c>
      <c r="R177" s="676">
        <f>T_CEFF!L241</f>
        <v>0.5988</v>
      </c>
      <c r="S177" s="676">
        <f>T_CEFF!M241</f>
        <v>0.5988</v>
      </c>
      <c r="T177" s="676">
        <f>T_CEFF!N241</f>
        <v>0.5988</v>
      </c>
      <c r="U177" s="676">
        <f>T_CEFF!O241</f>
        <v>0.5988</v>
      </c>
      <c r="V177" s="676">
        <f>T_CEFF!P241</f>
        <v>0.5988</v>
      </c>
      <c r="W177" s="676">
        <f>T_CEFF!Q241</f>
        <v>0.5988</v>
      </c>
      <c r="X177" s="676">
        <f>T_CEFF!R241</f>
        <v>0.5988</v>
      </c>
      <c r="Y177" s="676">
        <f>T_CEFF!S241</f>
        <v>0.5988</v>
      </c>
      <c r="Z177" s="676">
        <f>T_CEFF!T241</f>
        <v>0.5988</v>
      </c>
      <c r="AA177" s="676">
        <f>T_CEFF!U241</f>
        <v>0.5988</v>
      </c>
      <c r="AB177" s="676">
        <f>T_CEFF!V241</f>
        <v>0.5988</v>
      </c>
    </row>
    <row r="178" spans="1:52" s="83" customFormat="1" x14ac:dyDescent="0.25">
      <c r="A178" s="82"/>
      <c r="B178" s="178" t="str">
        <f>B177</f>
        <v>TFLEHYG900</v>
      </c>
      <c r="C178" s="178"/>
      <c r="D178" s="179"/>
      <c r="E178" s="178"/>
      <c r="F178" s="182"/>
      <c r="G178" s="173" t="s">
        <v>640</v>
      </c>
      <c r="H178" s="182"/>
      <c r="I178" s="183"/>
      <c r="J178" s="184"/>
      <c r="K178" s="184"/>
      <c r="L178" s="184" t="s">
        <v>1126</v>
      </c>
      <c r="M178" s="184" t="s">
        <v>678</v>
      </c>
      <c r="N178" s="676">
        <f>T_CEFF!H242</f>
        <v>0.49504999999999999</v>
      </c>
      <c r="O178" s="676">
        <f>T_CEFF!I242</f>
        <v>0.49504999999999999</v>
      </c>
      <c r="P178" s="676">
        <f>T_CEFF!J242</f>
        <v>0.49504999999999999</v>
      </c>
      <c r="Q178" s="676">
        <f>T_CEFF!K242</f>
        <v>0.49504999999999999</v>
      </c>
      <c r="R178" s="676">
        <f>T_CEFF!L242</f>
        <v>0.49504999999999999</v>
      </c>
      <c r="S178" s="676">
        <f>T_CEFF!M242</f>
        <v>0.49504999999999999</v>
      </c>
      <c r="T178" s="676">
        <f>T_CEFF!N242</f>
        <v>0.49504999999999999</v>
      </c>
      <c r="U178" s="676">
        <f>T_CEFF!O242</f>
        <v>0.49504999999999999</v>
      </c>
      <c r="V178" s="676">
        <f>T_CEFF!P242</f>
        <v>0.49504999999999999</v>
      </c>
      <c r="W178" s="676">
        <f>T_CEFF!Q242</f>
        <v>0.49504999999999999</v>
      </c>
      <c r="X178" s="676">
        <f>T_CEFF!R242</f>
        <v>0.49504999999999999</v>
      </c>
      <c r="Y178" s="676">
        <f>T_CEFF!S242</f>
        <v>0.49504999999999999</v>
      </c>
      <c r="Z178" s="676">
        <f>T_CEFF!T242</f>
        <v>0.49504999999999999</v>
      </c>
      <c r="AA178" s="676">
        <f>T_CEFF!U242</f>
        <v>0.49504999999999999</v>
      </c>
      <c r="AB178" s="676">
        <f>T_CEFF!V242</f>
        <v>0.49504999999999999</v>
      </c>
    </row>
    <row r="179" spans="1:52" s="83" customFormat="1" x14ac:dyDescent="0.25">
      <c r="A179" s="82"/>
      <c r="B179" s="178" t="str">
        <f t="shared" ref="B179:B187" si="140">B178</f>
        <v>TFLEHYG900</v>
      </c>
      <c r="C179" s="178"/>
      <c r="D179" s="179"/>
      <c r="E179" s="178"/>
      <c r="F179" s="182"/>
      <c r="G179" s="181"/>
      <c r="H179" s="182"/>
      <c r="I179" s="183"/>
      <c r="J179" s="184"/>
      <c r="K179" s="184" t="s">
        <v>749</v>
      </c>
      <c r="L179" s="184" t="s">
        <v>1128</v>
      </c>
      <c r="M179" s="184" t="s">
        <v>1175</v>
      </c>
      <c r="N179" s="388">
        <f t="shared" ref="N179:AB179" si="141">N$23</f>
        <v>0.76</v>
      </c>
      <c r="O179" s="388">
        <f t="shared" si="141"/>
        <v>0</v>
      </c>
      <c r="P179" s="388">
        <f t="shared" si="141"/>
        <v>0</v>
      </c>
      <c r="Q179" s="388">
        <f t="shared" si="141"/>
        <v>0</v>
      </c>
      <c r="R179" s="388">
        <f t="shared" si="141"/>
        <v>0</v>
      </c>
      <c r="S179" s="388">
        <f t="shared" si="141"/>
        <v>0</v>
      </c>
      <c r="T179" s="388">
        <f t="shared" si="141"/>
        <v>0</v>
      </c>
      <c r="U179" s="388">
        <f t="shared" si="141"/>
        <v>0</v>
      </c>
      <c r="V179" s="388">
        <f t="shared" si="141"/>
        <v>0</v>
      </c>
      <c r="W179" s="388">
        <f t="shared" si="141"/>
        <v>0</v>
      </c>
      <c r="X179" s="388">
        <f t="shared" si="141"/>
        <v>0</v>
      </c>
      <c r="Y179" s="388">
        <f t="shared" si="141"/>
        <v>0</v>
      </c>
      <c r="Z179" s="388">
        <f t="shared" si="141"/>
        <v>0</v>
      </c>
      <c r="AA179" s="388">
        <f t="shared" si="141"/>
        <v>0</v>
      </c>
      <c r="AB179" s="388">
        <f t="shared" si="141"/>
        <v>0</v>
      </c>
    </row>
    <row r="180" spans="1:52" s="83" customFormat="1" x14ac:dyDescent="0.25">
      <c r="A180" s="82"/>
      <c r="B180" s="178" t="str">
        <f t="shared" si="140"/>
        <v>TFLEHYG900</v>
      </c>
      <c r="C180" s="178"/>
      <c r="D180" s="179"/>
      <c r="E180" s="178"/>
      <c r="F180" s="182"/>
      <c r="G180" s="181"/>
      <c r="H180" s="182"/>
      <c r="I180" s="183"/>
      <c r="J180" s="184"/>
      <c r="K180" s="184"/>
      <c r="L180" s="203" t="s">
        <v>1130</v>
      </c>
      <c r="M180" s="184" t="s">
        <v>1131</v>
      </c>
      <c r="N180" s="397">
        <f>LOOKUP($C$175, T_NCAP_AF!$C$140:$C$150, T_NCAP_AF!D$140:D$150)*(1+N79)</f>
        <v>0</v>
      </c>
      <c r="O180" s="397">
        <f>LOOKUP($C$175, T_NCAP_AF!$C$140:$C$150, T_NCAP_AF!E$140:E$150)*(1+O79)</f>
        <v>0</v>
      </c>
      <c r="P180" s="397">
        <f>LOOKUP($C$175, T_NCAP_AF!$C$140:$C$150, T_NCAP_AF!F$140:F$150)*(1+P79)</f>
        <v>0</v>
      </c>
      <c r="Q180" s="397">
        <f>LOOKUP($C$175, T_NCAP_AF!$C$140:$C$150, T_NCAP_AF!G$140:G$150)*(1+Q79)</f>
        <v>0</v>
      </c>
      <c r="R180" s="397">
        <f>LOOKUP($C$175, T_NCAP_AF!$C$140:$C$150, T_NCAP_AF!H$140:H$150)*(1+R79)</f>
        <v>0</v>
      </c>
      <c r="S180" s="397">
        <f>LOOKUP($C$175, T_NCAP_AF!$C$140:$C$150, T_NCAP_AF!I$140:I$150)*(1+S79)</f>
        <v>0</v>
      </c>
      <c r="T180" s="397">
        <f>LOOKUP($C$175, T_NCAP_AF!$C$140:$C$150, T_NCAP_AF!J$140:J$150)*(1+T79)</f>
        <v>0</v>
      </c>
      <c r="U180" s="397">
        <f>LOOKUP($C$175, T_NCAP_AF!$C$140:$C$150, T_NCAP_AF!K$140:K$150)*(1+U79)</f>
        <v>0</v>
      </c>
      <c r="V180" s="397">
        <f>LOOKUP($C$175, T_NCAP_AF!$C$140:$C$150, T_NCAP_AF!L$140:L$150)*(1+V79)</f>
        <v>0</v>
      </c>
      <c r="W180" s="397">
        <f>LOOKUP($C$175, T_NCAP_AF!$C$140:$C$150, T_NCAP_AF!M$140:M$150)*(1+W79)</f>
        <v>0</v>
      </c>
      <c r="X180" s="397">
        <f>LOOKUP($C$175, T_NCAP_AF!$C$140:$C$150, T_NCAP_AF!N$140:N$150)*(1+X79)</f>
        <v>0</v>
      </c>
      <c r="Y180" s="397">
        <f>LOOKUP($C$175, T_NCAP_AF!$C$140:$C$150, T_NCAP_AF!O$140:O$150)*(1+Y79)</f>
        <v>0</v>
      </c>
      <c r="Z180" s="397">
        <f>LOOKUP($C$175, T_NCAP_AF!$C$140:$C$150, T_NCAP_AF!P$140:P$150)*(1+Z79)</f>
        <v>0</v>
      </c>
      <c r="AA180" s="397">
        <f>LOOKUP($C$175, T_NCAP_AF!$C$140:$C$150, T_NCAP_AF!Q$140:Q$150)*(1+AA79)</f>
        <v>0</v>
      </c>
      <c r="AB180" s="397">
        <f>LOOKUP($C$175, T_NCAP_AF!$C$140:$C$150, T_NCAP_AF!R$140:R$150)*(1+AB79)</f>
        <v>0</v>
      </c>
      <c r="AE180" s="572">
        <f>SUM(AF180:AT180)</f>
        <v>0</v>
      </c>
      <c r="AF180" s="85">
        <f t="shared" ref="AF180:AT180" si="142">N179*N180*N181/1000</f>
        <v>0</v>
      </c>
      <c r="AG180" s="85">
        <f t="shared" si="142"/>
        <v>0</v>
      </c>
      <c r="AH180" s="85">
        <f t="shared" si="142"/>
        <v>0</v>
      </c>
      <c r="AI180" s="85">
        <f t="shared" si="142"/>
        <v>0</v>
      </c>
      <c r="AJ180" s="85">
        <f t="shared" si="142"/>
        <v>0</v>
      </c>
      <c r="AK180" s="85">
        <f t="shared" si="142"/>
        <v>0</v>
      </c>
      <c r="AL180" s="85">
        <f t="shared" si="142"/>
        <v>0</v>
      </c>
      <c r="AM180" s="85">
        <f t="shared" si="142"/>
        <v>0</v>
      </c>
      <c r="AN180" s="85">
        <f t="shared" si="142"/>
        <v>0</v>
      </c>
      <c r="AO180" s="85">
        <f t="shared" si="142"/>
        <v>0</v>
      </c>
      <c r="AP180" s="85">
        <f t="shared" si="142"/>
        <v>0</v>
      </c>
      <c r="AQ180" s="85">
        <f t="shared" si="142"/>
        <v>0</v>
      </c>
      <c r="AR180" s="85">
        <f t="shared" si="142"/>
        <v>0</v>
      </c>
      <c r="AS180" s="85">
        <f t="shared" si="142"/>
        <v>0</v>
      </c>
      <c r="AT180" s="85">
        <f t="shared" si="142"/>
        <v>0</v>
      </c>
    </row>
    <row r="181" spans="1:52" s="83" customFormat="1" x14ac:dyDescent="0.25">
      <c r="A181" s="82"/>
      <c r="B181" s="178" t="str">
        <f t="shared" si="140"/>
        <v>TFLEHYG900</v>
      </c>
      <c r="C181" s="178"/>
      <c r="D181" s="179"/>
      <c r="E181" s="178"/>
      <c r="F181" s="182"/>
      <c r="G181" s="181"/>
      <c r="H181" s="182"/>
      <c r="I181" s="183">
        <f>$M$3</f>
        <v>2019</v>
      </c>
      <c r="J181" s="184"/>
      <c r="K181" s="184"/>
      <c r="L181" s="203" t="s">
        <v>1065</v>
      </c>
      <c r="M181" s="184" t="s">
        <v>748</v>
      </c>
      <c r="N181" s="694">
        <f>LOOKUP($C$175, 'T_Stock_TOTAL_&amp;_City'!$C$90:$C$100, 'T_Stock_TOTAL_&amp;_City'!D$90:D$100)*(1+N80)</f>
        <v>0</v>
      </c>
      <c r="O181" s="694">
        <f>LOOKUP($C$175, 'T_Stock_TOTAL_&amp;_City'!$C$90:$C$100, 'T_Stock_TOTAL_&amp;_City'!E$90:E$100)*(1+O80)</f>
        <v>0</v>
      </c>
      <c r="P181" s="694">
        <f>LOOKUP($C$175, 'T_Stock_TOTAL_&amp;_City'!$C$90:$C$100, 'T_Stock_TOTAL_&amp;_City'!F$90:F$100)*(1+P80)</f>
        <v>0</v>
      </c>
      <c r="Q181" s="694">
        <f>LOOKUP($C$175, 'T_Stock_TOTAL_&amp;_City'!$C$90:$C$100, 'T_Stock_TOTAL_&amp;_City'!G$90:G$100)*(1+Q80)</f>
        <v>0</v>
      </c>
      <c r="R181" s="694">
        <f>LOOKUP($C$175, 'T_Stock_TOTAL_&amp;_City'!$C$90:$C$100, 'T_Stock_TOTAL_&amp;_City'!H$90:H$100)*(1+R80)</f>
        <v>0</v>
      </c>
      <c r="S181" s="694">
        <f>LOOKUP($C$175, 'T_Stock_TOTAL_&amp;_City'!$C$90:$C$100, 'T_Stock_TOTAL_&amp;_City'!I$90:I$100)*(1+S80)</f>
        <v>0</v>
      </c>
      <c r="T181" s="694">
        <f>LOOKUP($C$175, 'T_Stock_TOTAL_&amp;_City'!$C$90:$C$100, 'T_Stock_TOTAL_&amp;_City'!J$90:J$100)*(1+T80)</f>
        <v>0</v>
      </c>
      <c r="U181" s="694">
        <f>LOOKUP($C$175, 'T_Stock_TOTAL_&amp;_City'!$C$90:$C$100, 'T_Stock_TOTAL_&amp;_City'!K$90:K$100)*(1+U80)</f>
        <v>0</v>
      </c>
      <c r="V181" s="694">
        <f>LOOKUP($C$175, 'T_Stock_TOTAL_&amp;_City'!$C$90:$C$100, 'T_Stock_TOTAL_&amp;_City'!L$90:L$100)*(1+V80)</f>
        <v>0</v>
      </c>
      <c r="W181" s="694">
        <f>LOOKUP($C$175, 'T_Stock_TOTAL_&amp;_City'!$C$90:$C$100, 'T_Stock_TOTAL_&amp;_City'!M$90:M$100)*(1+W80)</f>
        <v>0</v>
      </c>
      <c r="X181" s="694">
        <f>LOOKUP($C$175, 'T_Stock_TOTAL_&amp;_City'!$C$90:$C$100, 'T_Stock_TOTAL_&amp;_City'!N$90:N$100)*(1+X80)</f>
        <v>0</v>
      </c>
      <c r="Y181" s="694">
        <f>LOOKUP($C$175, 'T_Stock_TOTAL_&amp;_City'!$C$90:$C$100, 'T_Stock_TOTAL_&amp;_City'!O$90:O$100)*(1+Y80)</f>
        <v>0</v>
      </c>
      <c r="Z181" s="694">
        <f>LOOKUP($C$175, 'T_Stock_TOTAL_&amp;_City'!$C$90:$C$100, 'T_Stock_TOTAL_&amp;_City'!P$90:P$100)*(1+Z80)</f>
        <v>0</v>
      </c>
      <c r="AA181" s="694">
        <f>LOOKUP($C$175, 'T_Stock_TOTAL_&amp;_City'!$C$90:$C$100, 'T_Stock_TOTAL_&amp;_City'!Q$90:Q$100)*(1+AA80)</f>
        <v>0</v>
      </c>
      <c r="AB181" s="694">
        <f>LOOKUP($C$175, 'T_Stock_TOTAL_&amp;_City'!$C$90:$C$100, 'T_Stock_TOTAL_&amp;_City'!R$90:R$100)*(1+AB80)</f>
        <v>0</v>
      </c>
      <c r="AD181" s="35"/>
    </row>
    <row r="182" spans="1:52" s="83" customFormat="1" x14ac:dyDescent="0.25">
      <c r="A182" s="82"/>
      <c r="B182" s="178" t="str">
        <f t="shared" si="140"/>
        <v>TFLEHYG900</v>
      </c>
      <c r="C182" s="178"/>
      <c r="D182" s="179"/>
      <c r="E182" s="178"/>
      <c r="F182" s="182"/>
      <c r="G182" s="181"/>
      <c r="H182" s="182"/>
      <c r="I182" s="183">
        <f>AF$5</f>
        <v>2016</v>
      </c>
      <c r="J182" s="184"/>
      <c r="K182" s="184"/>
      <c r="L182" s="203" t="s">
        <v>1065</v>
      </c>
      <c r="M182" s="184" t="s">
        <v>748</v>
      </c>
      <c r="N182" s="694">
        <f t="shared" ref="N182:AB182" si="143">N181*LOOKUP($AD175,$AH$4:$AQ$4,$AH$5:$AQ$5)</f>
        <v>0</v>
      </c>
      <c r="O182" s="694">
        <f t="shared" si="143"/>
        <v>0</v>
      </c>
      <c r="P182" s="694">
        <f t="shared" si="143"/>
        <v>0</v>
      </c>
      <c r="Q182" s="694">
        <f t="shared" si="143"/>
        <v>0</v>
      </c>
      <c r="R182" s="694">
        <f t="shared" si="143"/>
        <v>0</v>
      </c>
      <c r="S182" s="694">
        <f t="shared" si="143"/>
        <v>0</v>
      </c>
      <c r="T182" s="694">
        <f t="shared" si="143"/>
        <v>0</v>
      </c>
      <c r="U182" s="694">
        <f t="shared" si="143"/>
        <v>0</v>
      </c>
      <c r="V182" s="694">
        <f t="shared" si="143"/>
        <v>0</v>
      </c>
      <c r="W182" s="694">
        <f t="shared" si="143"/>
        <v>0</v>
      </c>
      <c r="X182" s="694">
        <f t="shared" si="143"/>
        <v>0</v>
      </c>
      <c r="Y182" s="694">
        <f t="shared" si="143"/>
        <v>0</v>
      </c>
      <c r="Z182" s="694">
        <f t="shared" si="143"/>
        <v>0</v>
      </c>
      <c r="AA182" s="694">
        <f t="shared" si="143"/>
        <v>0</v>
      </c>
      <c r="AB182" s="694">
        <f t="shared" si="143"/>
        <v>0</v>
      </c>
      <c r="AD182" s="35"/>
    </row>
    <row r="183" spans="1:52" s="83" customFormat="1" x14ac:dyDescent="0.25">
      <c r="A183" s="82"/>
      <c r="B183" s="178" t="str">
        <f t="shared" si="140"/>
        <v>TFLEHYG900</v>
      </c>
      <c r="C183" s="178"/>
      <c r="D183" s="179"/>
      <c r="E183" s="178"/>
      <c r="F183" s="182"/>
      <c r="G183" s="181"/>
      <c r="H183" s="182"/>
      <c r="I183" s="183">
        <f>AF$6</f>
        <v>2020</v>
      </c>
      <c r="J183" s="184"/>
      <c r="K183" s="184"/>
      <c r="L183" s="203" t="s">
        <v>1065</v>
      </c>
      <c r="M183" s="184" t="s">
        <v>748</v>
      </c>
      <c r="N183" s="694">
        <f t="shared" ref="N183:AB183" si="144">N181*LOOKUP($AD175,$AH$4:$AQ$4,$AH$6:$AQ$6)</f>
        <v>0</v>
      </c>
      <c r="O183" s="694">
        <f t="shared" si="144"/>
        <v>0</v>
      </c>
      <c r="P183" s="694">
        <f t="shared" si="144"/>
        <v>0</v>
      </c>
      <c r="Q183" s="694">
        <f t="shared" si="144"/>
        <v>0</v>
      </c>
      <c r="R183" s="694">
        <f t="shared" si="144"/>
        <v>0</v>
      </c>
      <c r="S183" s="694">
        <f t="shared" si="144"/>
        <v>0</v>
      </c>
      <c r="T183" s="694">
        <f t="shared" si="144"/>
        <v>0</v>
      </c>
      <c r="U183" s="694">
        <f t="shared" si="144"/>
        <v>0</v>
      </c>
      <c r="V183" s="694">
        <f t="shared" si="144"/>
        <v>0</v>
      </c>
      <c r="W183" s="694">
        <f t="shared" si="144"/>
        <v>0</v>
      </c>
      <c r="X183" s="694">
        <f t="shared" si="144"/>
        <v>0</v>
      </c>
      <c r="Y183" s="694">
        <f t="shared" si="144"/>
        <v>0</v>
      </c>
      <c r="Z183" s="694">
        <f t="shared" si="144"/>
        <v>0</v>
      </c>
      <c r="AA183" s="694">
        <f t="shared" si="144"/>
        <v>0</v>
      </c>
      <c r="AB183" s="694">
        <f t="shared" si="144"/>
        <v>0</v>
      </c>
      <c r="AD183" s="35"/>
    </row>
    <row r="184" spans="1:52" s="83" customFormat="1" x14ac:dyDescent="0.25">
      <c r="A184" s="82"/>
      <c r="B184" s="178" t="str">
        <f t="shared" si="140"/>
        <v>TFLEHYG900</v>
      </c>
      <c r="C184" s="178"/>
      <c r="D184" s="179"/>
      <c r="E184" s="178"/>
      <c r="F184" s="182"/>
      <c r="G184" s="181"/>
      <c r="H184" s="182"/>
      <c r="I184" s="183">
        <f>AF$7</f>
        <v>2025</v>
      </c>
      <c r="J184" s="184"/>
      <c r="K184" s="184"/>
      <c r="L184" s="203" t="s">
        <v>1065</v>
      </c>
      <c r="M184" s="184" t="s">
        <v>748</v>
      </c>
      <c r="N184" s="694">
        <f t="shared" ref="N184:AB184" si="145">N181*LOOKUP($AD175,$AH$4:$AQ$4,$AH$7:$AQ$7)</f>
        <v>0</v>
      </c>
      <c r="O184" s="694">
        <f t="shared" si="145"/>
        <v>0</v>
      </c>
      <c r="P184" s="694">
        <f t="shared" si="145"/>
        <v>0</v>
      </c>
      <c r="Q184" s="694">
        <f t="shared" si="145"/>
        <v>0</v>
      </c>
      <c r="R184" s="694">
        <f t="shared" si="145"/>
        <v>0</v>
      </c>
      <c r="S184" s="694">
        <f t="shared" si="145"/>
        <v>0</v>
      </c>
      <c r="T184" s="694">
        <f t="shared" si="145"/>
        <v>0</v>
      </c>
      <c r="U184" s="694">
        <f t="shared" si="145"/>
        <v>0</v>
      </c>
      <c r="V184" s="694">
        <f t="shared" si="145"/>
        <v>0</v>
      </c>
      <c r="W184" s="694">
        <f t="shared" si="145"/>
        <v>0</v>
      </c>
      <c r="X184" s="694">
        <f t="shared" si="145"/>
        <v>0</v>
      </c>
      <c r="Y184" s="694">
        <f t="shared" si="145"/>
        <v>0</v>
      </c>
      <c r="Z184" s="694">
        <f t="shared" si="145"/>
        <v>0</v>
      </c>
      <c r="AA184" s="694">
        <f t="shared" si="145"/>
        <v>0</v>
      </c>
      <c r="AB184" s="694">
        <f t="shared" si="145"/>
        <v>0</v>
      </c>
      <c r="AD184" s="35"/>
    </row>
    <row r="185" spans="1:52" s="83" customFormat="1" x14ac:dyDescent="0.25">
      <c r="A185" s="82"/>
      <c r="B185" s="178" t="str">
        <f t="shared" si="140"/>
        <v>TFLEHYG900</v>
      </c>
      <c r="C185" s="178"/>
      <c r="D185" s="179"/>
      <c r="E185" s="178"/>
      <c r="F185" s="182"/>
      <c r="G185" s="181"/>
      <c r="H185" s="182"/>
      <c r="I185" s="183">
        <f>AF$8</f>
        <v>2030</v>
      </c>
      <c r="J185" s="184"/>
      <c r="K185" s="184"/>
      <c r="L185" s="203" t="s">
        <v>1065</v>
      </c>
      <c r="M185" s="184" t="s">
        <v>748</v>
      </c>
      <c r="N185" s="694">
        <f t="shared" ref="N185:AB185" si="146">N181*LOOKUP($AD175,$AH$4:$AQ$4,$AH$8:$AQ$8)</f>
        <v>0</v>
      </c>
      <c r="O185" s="694">
        <f t="shared" si="146"/>
        <v>0</v>
      </c>
      <c r="P185" s="694">
        <f t="shared" si="146"/>
        <v>0</v>
      </c>
      <c r="Q185" s="694">
        <f t="shared" si="146"/>
        <v>0</v>
      </c>
      <c r="R185" s="694">
        <f t="shared" si="146"/>
        <v>0</v>
      </c>
      <c r="S185" s="694">
        <f t="shared" si="146"/>
        <v>0</v>
      </c>
      <c r="T185" s="694">
        <f t="shared" si="146"/>
        <v>0</v>
      </c>
      <c r="U185" s="694">
        <f t="shared" si="146"/>
        <v>0</v>
      </c>
      <c r="V185" s="694">
        <f t="shared" si="146"/>
        <v>0</v>
      </c>
      <c r="W185" s="694">
        <f t="shared" si="146"/>
        <v>0</v>
      </c>
      <c r="X185" s="694">
        <f t="shared" si="146"/>
        <v>0</v>
      </c>
      <c r="Y185" s="694">
        <f t="shared" si="146"/>
        <v>0</v>
      </c>
      <c r="Z185" s="694">
        <f t="shared" si="146"/>
        <v>0</v>
      </c>
      <c r="AA185" s="694">
        <f t="shared" si="146"/>
        <v>0</v>
      </c>
      <c r="AB185" s="694">
        <f t="shared" si="146"/>
        <v>0</v>
      </c>
      <c r="AD185" s="35"/>
    </row>
    <row r="186" spans="1:52" s="83" customFormat="1" x14ac:dyDescent="0.25">
      <c r="A186" s="82"/>
      <c r="B186" s="178" t="str">
        <f t="shared" si="140"/>
        <v>TFLEHYG900</v>
      </c>
      <c r="C186" s="178"/>
      <c r="D186" s="179"/>
      <c r="E186" s="178"/>
      <c r="F186" s="182"/>
      <c r="G186" s="181"/>
      <c r="H186" s="182"/>
      <c r="I186" s="183">
        <f>AF$9</f>
        <v>2040</v>
      </c>
      <c r="J186" s="184"/>
      <c r="K186" s="184"/>
      <c r="L186" s="203" t="s">
        <v>1065</v>
      </c>
      <c r="M186" s="184" t="s">
        <v>748</v>
      </c>
      <c r="N186" s="694">
        <f t="shared" ref="N186:AB186" si="147">N181*LOOKUP($AD175,$AH$4:$AQ$4,$AH$9:$AQ$9)</f>
        <v>0</v>
      </c>
      <c r="O186" s="694">
        <f t="shared" si="147"/>
        <v>0</v>
      </c>
      <c r="P186" s="694">
        <f t="shared" si="147"/>
        <v>0</v>
      </c>
      <c r="Q186" s="694">
        <f t="shared" si="147"/>
        <v>0</v>
      </c>
      <c r="R186" s="694">
        <f t="shared" si="147"/>
        <v>0</v>
      </c>
      <c r="S186" s="694">
        <f t="shared" si="147"/>
        <v>0</v>
      </c>
      <c r="T186" s="694">
        <f t="shared" si="147"/>
        <v>0</v>
      </c>
      <c r="U186" s="694">
        <f t="shared" si="147"/>
        <v>0</v>
      </c>
      <c r="V186" s="694">
        <f t="shared" si="147"/>
        <v>0</v>
      </c>
      <c r="W186" s="694">
        <f t="shared" si="147"/>
        <v>0</v>
      </c>
      <c r="X186" s="694">
        <f t="shared" si="147"/>
        <v>0</v>
      </c>
      <c r="Y186" s="694">
        <f t="shared" si="147"/>
        <v>0</v>
      </c>
      <c r="Z186" s="694">
        <f t="shared" si="147"/>
        <v>0</v>
      </c>
      <c r="AA186" s="694">
        <f t="shared" si="147"/>
        <v>0</v>
      </c>
      <c r="AB186" s="694">
        <f t="shared" si="147"/>
        <v>0</v>
      </c>
      <c r="AD186" s="35"/>
    </row>
    <row r="187" spans="1:52" s="83" customFormat="1" x14ac:dyDescent="0.25">
      <c r="A187" s="82"/>
      <c r="B187" s="204" t="str">
        <f t="shared" si="140"/>
        <v>TFLEHYG900</v>
      </c>
      <c r="C187" s="204"/>
      <c r="D187" s="205"/>
      <c r="E187" s="204"/>
      <c r="F187" s="206"/>
      <c r="G187" s="207"/>
      <c r="H187" s="206"/>
      <c r="I187" s="208">
        <f>AF$10</f>
        <v>2050</v>
      </c>
      <c r="J187" s="209"/>
      <c r="K187" s="209"/>
      <c r="L187" s="210" t="s">
        <v>1065</v>
      </c>
      <c r="M187" s="209" t="s">
        <v>748</v>
      </c>
      <c r="N187" s="695">
        <f t="shared" ref="N187:AB187" si="148">N181*LOOKUP($AD175,$AH$4:$AQ$4,$AH$10:$AQ$10)</f>
        <v>0</v>
      </c>
      <c r="O187" s="695">
        <f t="shared" si="148"/>
        <v>0</v>
      </c>
      <c r="P187" s="695">
        <f t="shared" si="148"/>
        <v>0</v>
      </c>
      <c r="Q187" s="695">
        <f t="shared" si="148"/>
        <v>0</v>
      </c>
      <c r="R187" s="695">
        <f t="shared" si="148"/>
        <v>0</v>
      </c>
      <c r="S187" s="695">
        <f t="shared" si="148"/>
        <v>0</v>
      </c>
      <c r="T187" s="695">
        <f t="shared" si="148"/>
        <v>0</v>
      </c>
      <c r="U187" s="695">
        <f t="shared" si="148"/>
        <v>0</v>
      </c>
      <c r="V187" s="695">
        <f t="shared" si="148"/>
        <v>0</v>
      </c>
      <c r="W187" s="695">
        <f t="shared" si="148"/>
        <v>0</v>
      </c>
      <c r="X187" s="695">
        <f t="shared" si="148"/>
        <v>0</v>
      </c>
      <c r="Y187" s="695">
        <f t="shared" si="148"/>
        <v>0</v>
      </c>
      <c r="Z187" s="695">
        <f t="shared" si="148"/>
        <v>0</v>
      </c>
      <c r="AA187" s="695">
        <f t="shared" si="148"/>
        <v>0</v>
      </c>
      <c r="AB187" s="695">
        <f t="shared" si="148"/>
        <v>0</v>
      </c>
    </row>
    <row r="188" spans="1:52" s="83" customFormat="1" x14ac:dyDescent="0.25">
      <c r="A188" s="82"/>
      <c r="B188" s="178" t="str">
        <f>C188</f>
        <v>TFLELPG900</v>
      </c>
      <c r="C188" s="178" t="s">
        <v>135</v>
      </c>
      <c r="D188" s="179" t="s">
        <v>821</v>
      </c>
      <c r="E188" s="180" t="s">
        <v>1033</v>
      </c>
      <c r="F188" s="182"/>
      <c r="G188" s="181"/>
      <c r="H188" s="182"/>
      <c r="I188" s="183"/>
      <c r="J188" s="184"/>
      <c r="K188" s="184"/>
      <c r="L188" s="203" t="s">
        <v>1107</v>
      </c>
      <c r="M188" s="184" t="s">
        <v>1125</v>
      </c>
      <c r="N188" s="378">
        <v>1E-3</v>
      </c>
      <c r="O188" s="378">
        <f t="shared" ref="O188:AB188" si="149">$N188</f>
        <v>1E-3</v>
      </c>
      <c r="P188" s="378">
        <f t="shared" si="149"/>
        <v>1E-3</v>
      </c>
      <c r="Q188" s="378">
        <f t="shared" si="149"/>
        <v>1E-3</v>
      </c>
      <c r="R188" s="378">
        <f t="shared" si="149"/>
        <v>1E-3</v>
      </c>
      <c r="S188" s="378">
        <f t="shared" si="149"/>
        <v>1E-3</v>
      </c>
      <c r="T188" s="378">
        <f t="shared" si="149"/>
        <v>1E-3</v>
      </c>
      <c r="U188" s="378">
        <f t="shared" si="149"/>
        <v>1E-3</v>
      </c>
      <c r="V188" s="378">
        <f t="shared" si="149"/>
        <v>1E-3</v>
      </c>
      <c r="W188" s="378">
        <f t="shared" si="149"/>
        <v>1E-3</v>
      </c>
      <c r="X188" s="378">
        <f t="shared" si="149"/>
        <v>1E-3</v>
      </c>
      <c r="Y188" s="378">
        <f t="shared" si="149"/>
        <v>1E-3</v>
      </c>
      <c r="Z188" s="378">
        <f t="shared" si="149"/>
        <v>1E-3</v>
      </c>
      <c r="AA188" s="378">
        <f t="shared" si="149"/>
        <v>1E-3</v>
      </c>
      <c r="AB188" s="378">
        <f t="shared" si="149"/>
        <v>1E-3</v>
      </c>
      <c r="AD188" s="402" t="str">
        <f>MID(D188,13,3)</f>
        <v>LPG</v>
      </c>
    </row>
    <row r="189" spans="1:52" s="83" customFormat="1" x14ac:dyDescent="0.25">
      <c r="A189" s="22"/>
      <c r="B189" s="186" t="str">
        <f t="shared" ref="B189:B199" si="150">B188</f>
        <v>TFLELPG900</v>
      </c>
      <c r="C189" s="186"/>
      <c r="D189" s="187"/>
      <c r="E189" s="186"/>
      <c r="F189" s="170"/>
      <c r="G189" s="173" t="s">
        <v>637</v>
      </c>
      <c r="H189" s="170"/>
      <c r="I189" s="190"/>
      <c r="J189" s="191"/>
      <c r="K189" s="191"/>
      <c r="L189" s="191" t="s">
        <v>1126</v>
      </c>
      <c r="M189" s="191" t="s">
        <v>678</v>
      </c>
      <c r="N189" s="676">
        <f>T_CEFF!H243</f>
        <v>0.48309000000000002</v>
      </c>
      <c r="O189" s="676">
        <f>T_CEFF!I243</f>
        <v>0.48309000000000002</v>
      </c>
      <c r="P189" s="676">
        <f>T_CEFF!J243</f>
        <v>0.48309000000000002</v>
      </c>
      <c r="Q189" s="676">
        <f>T_CEFF!K243</f>
        <v>0.48309000000000002</v>
      </c>
      <c r="R189" s="676">
        <f>T_CEFF!L243</f>
        <v>0.48309000000000002</v>
      </c>
      <c r="S189" s="676">
        <f>T_CEFF!M243</f>
        <v>0.48309000000000002</v>
      </c>
      <c r="T189" s="676">
        <f>T_CEFF!N243</f>
        <v>0.48309000000000002</v>
      </c>
      <c r="U189" s="676">
        <f>T_CEFF!O243</f>
        <v>0.48309000000000002</v>
      </c>
      <c r="V189" s="676">
        <f>T_CEFF!P243</f>
        <v>0.48309000000000002</v>
      </c>
      <c r="W189" s="676">
        <f>T_CEFF!Q243</f>
        <v>0.48309000000000002</v>
      </c>
      <c r="X189" s="676">
        <f>T_CEFF!R243</f>
        <v>0.48309000000000002</v>
      </c>
      <c r="Y189" s="676">
        <f>T_CEFF!S243</f>
        <v>0.48309000000000002</v>
      </c>
      <c r="Z189" s="676">
        <f>T_CEFF!T243</f>
        <v>0.48309000000000002</v>
      </c>
      <c r="AA189" s="676">
        <f>T_CEFF!U243</f>
        <v>0.48309000000000002</v>
      </c>
      <c r="AB189" s="676">
        <f>T_CEFF!V243</f>
        <v>0.48309000000000002</v>
      </c>
      <c r="AC189" s="35"/>
      <c r="AD189" s="66" t="str">
        <f>IF(COUNTIF($AH$4:$AQ$4,AD188)=1,"ok","MISSING")</f>
        <v>ok</v>
      </c>
      <c r="AU189" s="35"/>
      <c r="AV189" s="35"/>
      <c r="AW189" s="35"/>
      <c r="AX189" s="35"/>
      <c r="AY189" s="35"/>
      <c r="AZ189" s="35"/>
    </row>
    <row r="190" spans="1:52" x14ac:dyDescent="0.25">
      <c r="A190" s="22"/>
      <c r="B190" s="186" t="str">
        <f t="shared" si="150"/>
        <v>TFLELPG900</v>
      </c>
      <c r="C190" s="186"/>
      <c r="D190" s="187"/>
      <c r="E190" s="186"/>
      <c r="F190" s="170"/>
      <c r="G190" s="173" t="s">
        <v>640</v>
      </c>
      <c r="H190" s="170"/>
      <c r="I190" s="190"/>
      <c r="J190" s="191"/>
      <c r="K190" s="191"/>
      <c r="L190" s="191" t="s">
        <v>1126</v>
      </c>
      <c r="M190" s="191" t="s">
        <v>678</v>
      </c>
      <c r="N190" s="676">
        <f>T_CEFF!H244</f>
        <v>0.39840999999999999</v>
      </c>
      <c r="O190" s="676">
        <f>T_CEFF!I244</f>
        <v>0.39840999999999999</v>
      </c>
      <c r="P190" s="676">
        <f>T_CEFF!J244</f>
        <v>0.39840999999999999</v>
      </c>
      <c r="Q190" s="676">
        <f>T_CEFF!K244</f>
        <v>0.39840999999999999</v>
      </c>
      <c r="R190" s="676">
        <f>T_CEFF!L244</f>
        <v>0.39840999999999999</v>
      </c>
      <c r="S190" s="676">
        <f>T_CEFF!M244</f>
        <v>0.39840999999999999</v>
      </c>
      <c r="T190" s="676">
        <f>T_CEFF!N244</f>
        <v>0.39840999999999999</v>
      </c>
      <c r="U190" s="676">
        <f>T_CEFF!O244</f>
        <v>0.39840999999999999</v>
      </c>
      <c r="V190" s="676">
        <f>T_CEFF!P244</f>
        <v>0.39840999999999999</v>
      </c>
      <c r="W190" s="676">
        <f>T_CEFF!Q244</f>
        <v>0.39840999999999999</v>
      </c>
      <c r="X190" s="676">
        <f>T_CEFF!R244</f>
        <v>0.39840999999999999</v>
      </c>
      <c r="Y190" s="676">
        <f>T_CEFF!S244</f>
        <v>0.39840999999999999</v>
      </c>
      <c r="Z190" s="676">
        <f>T_CEFF!T244</f>
        <v>0.39840999999999999</v>
      </c>
      <c r="AA190" s="676">
        <f>T_CEFF!U244</f>
        <v>0.39840999999999999</v>
      </c>
      <c r="AB190" s="676">
        <f>T_CEFF!V244</f>
        <v>0.39840999999999999</v>
      </c>
    </row>
    <row r="191" spans="1:52" x14ac:dyDescent="0.25">
      <c r="A191" s="22"/>
      <c r="B191" s="186" t="str">
        <f t="shared" si="150"/>
        <v>TFLELPG900</v>
      </c>
      <c r="C191" s="186"/>
      <c r="D191" s="187"/>
      <c r="E191" s="186"/>
      <c r="F191" s="170"/>
      <c r="G191" s="189"/>
      <c r="H191" s="170"/>
      <c r="I191" s="190"/>
      <c r="J191" s="191"/>
      <c r="K191" s="191" t="s">
        <v>749</v>
      </c>
      <c r="L191" s="191" t="s">
        <v>1128</v>
      </c>
      <c r="M191" s="191" t="s">
        <v>1175</v>
      </c>
      <c r="N191" s="368">
        <f t="shared" ref="N191:AB191" si="151">N$23</f>
        <v>0.76</v>
      </c>
      <c r="O191" s="368">
        <f t="shared" si="151"/>
        <v>0</v>
      </c>
      <c r="P191" s="368">
        <f t="shared" si="151"/>
        <v>0</v>
      </c>
      <c r="Q191" s="368">
        <f t="shared" si="151"/>
        <v>0</v>
      </c>
      <c r="R191" s="368">
        <f t="shared" si="151"/>
        <v>0</v>
      </c>
      <c r="S191" s="368">
        <f t="shared" si="151"/>
        <v>0</v>
      </c>
      <c r="T191" s="368">
        <f t="shared" si="151"/>
        <v>0</v>
      </c>
      <c r="U191" s="368">
        <f t="shared" si="151"/>
        <v>0</v>
      </c>
      <c r="V191" s="368">
        <f t="shared" si="151"/>
        <v>0</v>
      </c>
      <c r="W191" s="368">
        <f t="shared" si="151"/>
        <v>0</v>
      </c>
      <c r="X191" s="368">
        <f t="shared" si="151"/>
        <v>0</v>
      </c>
      <c r="Y191" s="368">
        <f t="shared" si="151"/>
        <v>0</v>
      </c>
      <c r="Z191" s="368">
        <f t="shared" si="151"/>
        <v>0</v>
      </c>
      <c r="AA191" s="368">
        <f t="shared" si="151"/>
        <v>0</v>
      </c>
      <c r="AB191" s="368">
        <f t="shared" si="151"/>
        <v>0</v>
      </c>
    </row>
    <row r="192" spans="1:52" x14ac:dyDescent="0.25">
      <c r="A192" s="22"/>
      <c r="B192" s="186" t="str">
        <f t="shared" si="150"/>
        <v>TFLELPG900</v>
      </c>
      <c r="C192" s="186"/>
      <c r="D192" s="187"/>
      <c r="E192" s="186"/>
      <c r="F192" s="170"/>
      <c r="G192" s="189"/>
      <c r="H192" s="170"/>
      <c r="I192" s="190"/>
      <c r="J192" s="191"/>
      <c r="K192" s="191"/>
      <c r="L192" s="211" t="s">
        <v>1130</v>
      </c>
      <c r="M192" s="191" t="s">
        <v>1131</v>
      </c>
      <c r="N192" s="397">
        <f>LOOKUP($C$188, T_NCAP_AF!$C$140:$C$150, T_NCAP_AF!D$140:D$150)*(1+N79)</f>
        <v>0</v>
      </c>
      <c r="O192" s="397">
        <f>LOOKUP($C$188, T_NCAP_AF!$C$140:$C$150, T_NCAP_AF!E$140:E$150)*(1+O79)</f>
        <v>0</v>
      </c>
      <c r="P192" s="397">
        <f>LOOKUP($C$188, T_NCAP_AF!$C$140:$C$150, T_NCAP_AF!F$140:F$150)*(1+P79)</f>
        <v>0</v>
      </c>
      <c r="Q192" s="397">
        <f>LOOKUP($C$188, T_NCAP_AF!$C$140:$C$150, T_NCAP_AF!G$140:G$150)*(1+Q79)</f>
        <v>0</v>
      </c>
      <c r="R192" s="397">
        <f>LOOKUP($C$188, T_NCAP_AF!$C$140:$C$150, T_NCAP_AF!H$140:H$150)*(1+R79)</f>
        <v>0</v>
      </c>
      <c r="S192" s="397">
        <f>LOOKUP($C$188, T_NCAP_AF!$C$140:$C$150, T_NCAP_AF!I$140:I$150)*(1+S79)</f>
        <v>0</v>
      </c>
      <c r="T192" s="397">
        <f>LOOKUP($C$188, T_NCAP_AF!$C$140:$C$150, T_NCAP_AF!J$140:J$150)*(1+T79)</f>
        <v>0</v>
      </c>
      <c r="U192" s="397">
        <f>LOOKUP($C$188, T_NCAP_AF!$C$140:$C$150, T_NCAP_AF!K$140:K$150)*(1+U79)</f>
        <v>0</v>
      </c>
      <c r="V192" s="397">
        <f>LOOKUP($C$188, T_NCAP_AF!$C$140:$C$150, T_NCAP_AF!L$140:L$150)*(1+V79)</f>
        <v>0</v>
      </c>
      <c r="W192" s="397">
        <f>LOOKUP($C$188, T_NCAP_AF!$C$140:$C$150, T_NCAP_AF!M$140:M$150)*(1+W79)</f>
        <v>0</v>
      </c>
      <c r="X192" s="397">
        <f>LOOKUP($C$188, T_NCAP_AF!$C$140:$C$150, T_NCAP_AF!N$140:N$150)*(1+X79)</f>
        <v>0</v>
      </c>
      <c r="Y192" s="397">
        <f>LOOKUP($C$188, T_NCAP_AF!$C$140:$C$150, T_NCAP_AF!O$140:O$150)*(1+Y79)</f>
        <v>0</v>
      </c>
      <c r="Z192" s="397">
        <f>LOOKUP($C$188, T_NCAP_AF!$C$140:$C$150, T_NCAP_AF!P$140:P$150)*(1+Z79)</f>
        <v>0</v>
      </c>
      <c r="AA192" s="397">
        <f>LOOKUP($C$188, T_NCAP_AF!$C$140:$C$150, T_NCAP_AF!Q$140:Q$150)*(1+AA79)</f>
        <v>0</v>
      </c>
      <c r="AB192" s="397">
        <f>LOOKUP($C$188, T_NCAP_AF!$C$140:$C$150, T_NCAP_AF!R$140:R$150)*(1+AB79)</f>
        <v>0</v>
      </c>
      <c r="AE192" s="572">
        <f>SUM(AF192:AT192)</f>
        <v>0</v>
      </c>
      <c r="AF192" s="85">
        <f t="shared" ref="AF192:AT192" si="152">N191*N192*N193/1000</f>
        <v>0</v>
      </c>
      <c r="AG192" s="85">
        <f t="shared" si="152"/>
        <v>0</v>
      </c>
      <c r="AH192" s="85">
        <f t="shared" si="152"/>
        <v>0</v>
      </c>
      <c r="AI192" s="85">
        <f t="shared" si="152"/>
        <v>0</v>
      </c>
      <c r="AJ192" s="85">
        <f t="shared" si="152"/>
        <v>0</v>
      </c>
      <c r="AK192" s="85">
        <f t="shared" si="152"/>
        <v>0</v>
      </c>
      <c r="AL192" s="85">
        <f t="shared" si="152"/>
        <v>0</v>
      </c>
      <c r="AM192" s="85">
        <f t="shared" si="152"/>
        <v>0</v>
      </c>
      <c r="AN192" s="85">
        <f t="shared" si="152"/>
        <v>0</v>
      </c>
      <c r="AO192" s="85">
        <f t="shared" si="152"/>
        <v>0</v>
      </c>
      <c r="AP192" s="85">
        <f t="shared" si="152"/>
        <v>0</v>
      </c>
      <c r="AQ192" s="85">
        <f t="shared" si="152"/>
        <v>0</v>
      </c>
      <c r="AR192" s="85">
        <f t="shared" si="152"/>
        <v>0</v>
      </c>
      <c r="AS192" s="85">
        <f t="shared" si="152"/>
        <v>0</v>
      </c>
      <c r="AT192" s="85">
        <f t="shared" si="152"/>
        <v>0</v>
      </c>
    </row>
    <row r="193" spans="1:52" x14ac:dyDescent="0.25">
      <c r="A193" s="22"/>
      <c r="B193" s="186" t="str">
        <f t="shared" si="150"/>
        <v>TFLELPG900</v>
      </c>
      <c r="C193" s="186"/>
      <c r="D193" s="187"/>
      <c r="E193" s="186"/>
      <c r="F193" s="170"/>
      <c r="G193" s="189"/>
      <c r="H193" s="170"/>
      <c r="I193" s="190">
        <f>$M$3</f>
        <v>2019</v>
      </c>
      <c r="J193" s="191"/>
      <c r="K193" s="191"/>
      <c r="L193" s="211" t="s">
        <v>1065</v>
      </c>
      <c r="M193" s="191" t="s">
        <v>748</v>
      </c>
      <c r="N193" s="694">
        <f>LOOKUP($C$188, 'T_Stock_TOTAL_&amp;_City'!$C$90:$C$100, 'T_Stock_TOTAL_&amp;_City'!D$90:D$100)*(1+N80)</f>
        <v>0</v>
      </c>
      <c r="O193" s="694">
        <f>LOOKUP($C$188, 'T_Stock_TOTAL_&amp;_City'!$C$90:$C$100, 'T_Stock_TOTAL_&amp;_City'!E$90:E$100)*(1+O80)</f>
        <v>0</v>
      </c>
      <c r="P193" s="694">
        <f>LOOKUP($C$188, 'T_Stock_TOTAL_&amp;_City'!$C$90:$C$100, 'T_Stock_TOTAL_&amp;_City'!F$90:F$100)*(1+P80)</f>
        <v>0</v>
      </c>
      <c r="Q193" s="694">
        <f>LOOKUP($C$188, 'T_Stock_TOTAL_&amp;_City'!$C$90:$C$100, 'T_Stock_TOTAL_&amp;_City'!G$90:G$100)*(1+Q80)</f>
        <v>0</v>
      </c>
      <c r="R193" s="694">
        <f>LOOKUP($C$188, 'T_Stock_TOTAL_&amp;_City'!$C$90:$C$100, 'T_Stock_TOTAL_&amp;_City'!H$90:H$100)*(1+R80)</f>
        <v>0</v>
      </c>
      <c r="S193" s="694">
        <f>LOOKUP($C$188, 'T_Stock_TOTAL_&amp;_City'!$C$90:$C$100, 'T_Stock_TOTAL_&amp;_City'!I$90:I$100)*(1+S80)</f>
        <v>0</v>
      </c>
      <c r="T193" s="694">
        <f>LOOKUP($C$188, 'T_Stock_TOTAL_&amp;_City'!$C$90:$C$100, 'T_Stock_TOTAL_&amp;_City'!J$90:J$100)*(1+T80)</f>
        <v>0</v>
      </c>
      <c r="U193" s="694">
        <f>LOOKUP($C$188, 'T_Stock_TOTAL_&amp;_City'!$C$90:$C$100, 'T_Stock_TOTAL_&amp;_City'!K$90:K$100)*(1+U80)</f>
        <v>0</v>
      </c>
      <c r="V193" s="694">
        <f>LOOKUP($C$188, 'T_Stock_TOTAL_&amp;_City'!$C$90:$C$100, 'T_Stock_TOTAL_&amp;_City'!L$90:L$100)*(1+V80)</f>
        <v>0</v>
      </c>
      <c r="W193" s="694">
        <f>LOOKUP($C$188, 'T_Stock_TOTAL_&amp;_City'!$C$90:$C$100, 'T_Stock_TOTAL_&amp;_City'!M$90:M$100)*(1+W80)</f>
        <v>0</v>
      </c>
      <c r="X193" s="694">
        <f>LOOKUP($C$188, 'T_Stock_TOTAL_&amp;_City'!$C$90:$C$100, 'T_Stock_TOTAL_&amp;_City'!N$90:N$100)*(1+X80)</f>
        <v>0</v>
      </c>
      <c r="Y193" s="694">
        <f>LOOKUP($C$188, 'T_Stock_TOTAL_&amp;_City'!$C$90:$C$100, 'T_Stock_TOTAL_&amp;_City'!O$90:O$100)*(1+Y80)</f>
        <v>0</v>
      </c>
      <c r="Z193" s="694">
        <f>LOOKUP($C$188, 'T_Stock_TOTAL_&amp;_City'!$C$90:$C$100, 'T_Stock_TOTAL_&amp;_City'!P$90:P$100)*(1+Z80)</f>
        <v>0</v>
      </c>
      <c r="AA193" s="694">
        <f>LOOKUP($C$188, 'T_Stock_TOTAL_&amp;_City'!$C$90:$C$100, 'T_Stock_TOTAL_&amp;_City'!Q$90:Q$100)*(1+AA80)</f>
        <v>0</v>
      </c>
      <c r="AB193" s="694">
        <f>LOOKUP($C$188, 'T_Stock_TOTAL_&amp;_City'!$C$90:$C$100, 'T_Stock_TOTAL_&amp;_City'!R$90:R$100)*(1+AB80)</f>
        <v>0</v>
      </c>
    </row>
    <row r="194" spans="1:52" x14ac:dyDescent="0.25">
      <c r="A194" s="22"/>
      <c r="B194" s="186" t="str">
        <f t="shared" si="150"/>
        <v>TFLELPG900</v>
      </c>
      <c r="C194" s="186"/>
      <c r="D194" s="187"/>
      <c r="E194" s="186"/>
      <c r="F194" s="170"/>
      <c r="G194" s="189"/>
      <c r="H194" s="170"/>
      <c r="I194" s="183">
        <f>AF$5</f>
        <v>2016</v>
      </c>
      <c r="J194" s="191"/>
      <c r="K194" s="191"/>
      <c r="L194" s="211" t="s">
        <v>1065</v>
      </c>
      <c r="M194" s="191" t="s">
        <v>748</v>
      </c>
      <c r="N194" s="694">
        <f t="shared" ref="N194:AB194" si="153">N193*LOOKUP($AD188,$AH$4:$AQ$4,$AH$5:$AQ$5)</f>
        <v>0</v>
      </c>
      <c r="O194" s="694">
        <f t="shared" si="153"/>
        <v>0</v>
      </c>
      <c r="P194" s="694">
        <f t="shared" si="153"/>
        <v>0</v>
      </c>
      <c r="Q194" s="694">
        <f t="shared" si="153"/>
        <v>0</v>
      </c>
      <c r="R194" s="694">
        <f t="shared" si="153"/>
        <v>0</v>
      </c>
      <c r="S194" s="694">
        <f t="shared" si="153"/>
        <v>0</v>
      </c>
      <c r="T194" s="694">
        <f t="shared" si="153"/>
        <v>0</v>
      </c>
      <c r="U194" s="694">
        <f t="shared" si="153"/>
        <v>0</v>
      </c>
      <c r="V194" s="694">
        <f t="shared" si="153"/>
        <v>0</v>
      </c>
      <c r="W194" s="694">
        <f t="shared" si="153"/>
        <v>0</v>
      </c>
      <c r="X194" s="694">
        <f t="shared" si="153"/>
        <v>0</v>
      </c>
      <c r="Y194" s="694">
        <f t="shared" si="153"/>
        <v>0</v>
      </c>
      <c r="Z194" s="694">
        <f t="shared" si="153"/>
        <v>0</v>
      </c>
      <c r="AA194" s="694">
        <f t="shared" si="153"/>
        <v>0</v>
      </c>
      <c r="AB194" s="694">
        <f t="shared" si="153"/>
        <v>0</v>
      </c>
    </row>
    <row r="195" spans="1:52" x14ac:dyDescent="0.25">
      <c r="A195" s="22"/>
      <c r="B195" s="186" t="str">
        <f t="shared" si="150"/>
        <v>TFLELPG900</v>
      </c>
      <c r="C195" s="186"/>
      <c r="D195" s="187"/>
      <c r="E195" s="186"/>
      <c r="F195" s="170"/>
      <c r="G195" s="189"/>
      <c r="H195" s="170"/>
      <c r="I195" s="183">
        <f>AF$6</f>
        <v>2020</v>
      </c>
      <c r="J195" s="191"/>
      <c r="K195" s="191"/>
      <c r="L195" s="211" t="s">
        <v>1065</v>
      </c>
      <c r="M195" s="191" t="s">
        <v>748</v>
      </c>
      <c r="N195" s="694">
        <f t="shared" ref="N195:AB195" si="154">N193*LOOKUP($AD188,$AH$4:$AQ$4,$AH$6:$AQ$6)</f>
        <v>0</v>
      </c>
      <c r="O195" s="694">
        <f t="shared" si="154"/>
        <v>0</v>
      </c>
      <c r="P195" s="694">
        <f t="shared" si="154"/>
        <v>0</v>
      </c>
      <c r="Q195" s="694">
        <f t="shared" si="154"/>
        <v>0</v>
      </c>
      <c r="R195" s="694">
        <f t="shared" si="154"/>
        <v>0</v>
      </c>
      <c r="S195" s="694">
        <f t="shared" si="154"/>
        <v>0</v>
      </c>
      <c r="T195" s="694">
        <f t="shared" si="154"/>
        <v>0</v>
      </c>
      <c r="U195" s="694">
        <f t="shared" si="154"/>
        <v>0</v>
      </c>
      <c r="V195" s="694">
        <f t="shared" si="154"/>
        <v>0</v>
      </c>
      <c r="W195" s="694">
        <f t="shared" si="154"/>
        <v>0</v>
      </c>
      <c r="X195" s="694">
        <f t="shared" si="154"/>
        <v>0</v>
      </c>
      <c r="Y195" s="694">
        <f t="shared" si="154"/>
        <v>0</v>
      </c>
      <c r="Z195" s="694">
        <f t="shared" si="154"/>
        <v>0</v>
      </c>
      <c r="AA195" s="694">
        <f t="shared" si="154"/>
        <v>0</v>
      </c>
      <c r="AB195" s="694">
        <f t="shared" si="154"/>
        <v>0</v>
      </c>
    </row>
    <row r="196" spans="1:52" x14ac:dyDescent="0.25">
      <c r="A196" s="22"/>
      <c r="B196" s="186" t="str">
        <f t="shared" si="150"/>
        <v>TFLELPG900</v>
      </c>
      <c r="C196" s="186"/>
      <c r="D196" s="187"/>
      <c r="E196" s="186"/>
      <c r="F196" s="170"/>
      <c r="G196" s="189"/>
      <c r="H196" s="170"/>
      <c r="I196" s="183">
        <f>AF$7</f>
        <v>2025</v>
      </c>
      <c r="J196" s="191"/>
      <c r="K196" s="191"/>
      <c r="L196" s="211" t="s">
        <v>1065</v>
      </c>
      <c r="M196" s="191" t="s">
        <v>748</v>
      </c>
      <c r="N196" s="694">
        <f t="shared" ref="N196:AB196" si="155">N193*LOOKUP($AD188,$AH$4:$AQ$4,$AH$7:$AQ$7)</f>
        <v>0</v>
      </c>
      <c r="O196" s="694">
        <f t="shared" si="155"/>
        <v>0</v>
      </c>
      <c r="P196" s="694">
        <f t="shared" si="155"/>
        <v>0</v>
      </c>
      <c r="Q196" s="694">
        <f t="shared" si="155"/>
        <v>0</v>
      </c>
      <c r="R196" s="694">
        <f t="shared" si="155"/>
        <v>0</v>
      </c>
      <c r="S196" s="694">
        <f t="shared" si="155"/>
        <v>0</v>
      </c>
      <c r="T196" s="694">
        <f t="shared" si="155"/>
        <v>0</v>
      </c>
      <c r="U196" s="694">
        <f t="shared" si="155"/>
        <v>0</v>
      </c>
      <c r="V196" s="694">
        <f t="shared" si="155"/>
        <v>0</v>
      </c>
      <c r="W196" s="694">
        <f t="shared" si="155"/>
        <v>0</v>
      </c>
      <c r="X196" s="694">
        <f t="shared" si="155"/>
        <v>0</v>
      </c>
      <c r="Y196" s="694">
        <f t="shared" si="155"/>
        <v>0</v>
      </c>
      <c r="Z196" s="694">
        <f t="shared" si="155"/>
        <v>0</v>
      </c>
      <c r="AA196" s="694">
        <f t="shared" si="155"/>
        <v>0</v>
      </c>
      <c r="AB196" s="694">
        <f t="shared" si="155"/>
        <v>0</v>
      </c>
    </row>
    <row r="197" spans="1:52" x14ac:dyDescent="0.25">
      <c r="A197" s="22"/>
      <c r="B197" s="186" t="str">
        <f t="shared" si="150"/>
        <v>TFLELPG900</v>
      </c>
      <c r="C197" s="186"/>
      <c r="D197" s="187"/>
      <c r="E197" s="186"/>
      <c r="F197" s="170"/>
      <c r="G197" s="189"/>
      <c r="H197" s="170"/>
      <c r="I197" s="183">
        <f>AF$8</f>
        <v>2030</v>
      </c>
      <c r="J197" s="191"/>
      <c r="K197" s="191"/>
      <c r="L197" s="211" t="s">
        <v>1065</v>
      </c>
      <c r="M197" s="191" t="s">
        <v>748</v>
      </c>
      <c r="N197" s="694">
        <f t="shared" ref="N197:AB197" si="156">N193*LOOKUP($AD188,$AH$4:$AQ$4,$AH$8:$AQ$8)</f>
        <v>0</v>
      </c>
      <c r="O197" s="694">
        <f t="shared" si="156"/>
        <v>0</v>
      </c>
      <c r="P197" s="694">
        <f t="shared" si="156"/>
        <v>0</v>
      </c>
      <c r="Q197" s="694">
        <f t="shared" si="156"/>
        <v>0</v>
      </c>
      <c r="R197" s="694">
        <f t="shared" si="156"/>
        <v>0</v>
      </c>
      <c r="S197" s="694">
        <f t="shared" si="156"/>
        <v>0</v>
      </c>
      <c r="T197" s="694">
        <f t="shared" si="156"/>
        <v>0</v>
      </c>
      <c r="U197" s="694">
        <f t="shared" si="156"/>
        <v>0</v>
      </c>
      <c r="V197" s="694">
        <f t="shared" si="156"/>
        <v>0</v>
      </c>
      <c r="W197" s="694">
        <f t="shared" si="156"/>
        <v>0</v>
      </c>
      <c r="X197" s="694">
        <f t="shared" si="156"/>
        <v>0</v>
      </c>
      <c r="Y197" s="694">
        <f t="shared" si="156"/>
        <v>0</v>
      </c>
      <c r="Z197" s="694">
        <f t="shared" si="156"/>
        <v>0</v>
      </c>
      <c r="AA197" s="694">
        <f t="shared" si="156"/>
        <v>0</v>
      </c>
      <c r="AB197" s="694">
        <f t="shared" si="156"/>
        <v>0</v>
      </c>
    </row>
    <row r="198" spans="1:52" x14ac:dyDescent="0.25">
      <c r="A198" s="22"/>
      <c r="B198" s="186" t="str">
        <f t="shared" si="150"/>
        <v>TFLELPG900</v>
      </c>
      <c r="C198" s="186"/>
      <c r="D198" s="187"/>
      <c r="E198" s="186"/>
      <c r="F198" s="170"/>
      <c r="G198" s="189"/>
      <c r="H198" s="170"/>
      <c r="I198" s="183">
        <f>AF$9</f>
        <v>2040</v>
      </c>
      <c r="J198" s="191"/>
      <c r="K198" s="191"/>
      <c r="L198" s="211" t="s">
        <v>1065</v>
      </c>
      <c r="M198" s="191" t="s">
        <v>748</v>
      </c>
      <c r="N198" s="694">
        <f t="shared" ref="N198:AB198" si="157">N193*LOOKUP($AD188,$AH$4:$AQ$4,$AH$9:$AQ$9)</f>
        <v>0</v>
      </c>
      <c r="O198" s="694">
        <f t="shared" si="157"/>
        <v>0</v>
      </c>
      <c r="P198" s="694">
        <f t="shared" si="157"/>
        <v>0</v>
      </c>
      <c r="Q198" s="694">
        <f t="shared" si="157"/>
        <v>0</v>
      </c>
      <c r="R198" s="694">
        <f t="shared" si="157"/>
        <v>0</v>
      </c>
      <c r="S198" s="694">
        <f t="shared" si="157"/>
        <v>0</v>
      </c>
      <c r="T198" s="694">
        <f t="shared" si="157"/>
        <v>0</v>
      </c>
      <c r="U198" s="694">
        <f t="shared" si="157"/>
        <v>0</v>
      </c>
      <c r="V198" s="694">
        <f t="shared" si="157"/>
        <v>0</v>
      </c>
      <c r="W198" s="694">
        <f t="shared" si="157"/>
        <v>0</v>
      </c>
      <c r="X198" s="694">
        <f t="shared" si="157"/>
        <v>0</v>
      </c>
      <c r="Y198" s="694">
        <f t="shared" si="157"/>
        <v>0</v>
      </c>
      <c r="Z198" s="694">
        <f t="shared" si="157"/>
        <v>0</v>
      </c>
      <c r="AA198" s="694">
        <f t="shared" si="157"/>
        <v>0</v>
      </c>
      <c r="AB198" s="694">
        <f t="shared" si="157"/>
        <v>0</v>
      </c>
    </row>
    <row r="199" spans="1:52" x14ac:dyDescent="0.25">
      <c r="A199" s="22"/>
      <c r="B199" s="193" t="str">
        <f t="shared" si="150"/>
        <v>TFLELPG900</v>
      </c>
      <c r="C199" s="193"/>
      <c r="D199" s="194"/>
      <c r="E199" s="193"/>
      <c r="F199" s="196"/>
      <c r="G199" s="195"/>
      <c r="H199" s="196"/>
      <c r="I199" s="208">
        <f>AF$10</f>
        <v>2050</v>
      </c>
      <c r="J199" s="198"/>
      <c r="K199" s="198"/>
      <c r="L199" s="212" t="s">
        <v>1065</v>
      </c>
      <c r="M199" s="198" t="s">
        <v>748</v>
      </c>
      <c r="N199" s="695">
        <f t="shared" ref="N199:AB199" si="158">N193*LOOKUP($AD188,$AH$4:$AQ$4,$AH$10:$AQ$10)</f>
        <v>0</v>
      </c>
      <c r="O199" s="695">
        <f t="shared" si="158"/>
        <v>0</v>
      </c>
      <c r="P199" s="695">
        <f t="shared" si="158"/>
        <v>0</v>
      </c>
      <c r="Q199" s="695">
        <f t="shared" si="158"/>
        <v>0</v>
      </c>
      <c r="R199" s="695">
        <f t="shared" si="158"/>
        <v>0</v>
      </c>
      <c r="S199" s="695">
        <f t="shared" si="158"/>
        <v>0</v>
      </c>
      <c r="T199" s="695">
        <f t="shared" si="158"/>
        <v>0</v>
      </c>
      <c r="U199" s="695">
        <f t="shared" si="158"/>
        <v>0</v>
      </c>
      <c r="V199" s="695">
        <f t="shared" si="158"/>
        <v>0</v>
      </c>
      <c r="W199" s="695">
        <f t="shared" si="158"/>
        <v>0</v>
      </c>
      <c r="X199" s="695">
        <f t="shared" si="158"/>
        <v>0</v>
      </c>
      <c r="Y199" s="695">
        <f t="shared" si="158"/>
        <v>0</v>
      </c>
      <c r="Z199" s="695">
        <f t="shared" si="158"/>
        <v>0</v>
      </c>
      <c r="AA199" s="695">
        <f t="shared" si="158"/>
        <v>0</v>
      </c>
      <c r="AB199" s="695">
        <f t="shared" si="158"/>
        <v>0</v>
      </c>
    </row>
    <row r="200" spans="1:52" x14ac:dyDescent="0.25">
      <c r="A200" s="82"/>
      <c r="B200" s="178" t="str">
        <f>C200</f>
        <v>TFLEPYD900</v>
      </c>
      <c r="C200" s="178" t="s">
        <v>136</v>
      </c>
      <c r="D200" s="179" t="s">
        <v>823</v>
      </c>
      <c r="E200" s="407" t="s">
        <v>988</v>
      </c>
      <c r="F200" s="182"/>
      <c r="G200" s="181"/>
      <c r="H200" s="182"/>
      <c r="I200" s="183"/>
      <c r="J200" s="184"/>
      <c r="K200" s="184"/>
      <c r="L200" s="203" t="s">
        <v>1107</v>
      </c>
      <c r="M200" s="184" t="s">
        <v>1125</v>
      </c>
      <c r="N200" s="378">
        <v>1E-3</v>
      </c>
      <c r="O200" s="378">
        <f t="shared" ref="O200:AB200" si="159">$N200</f>
        <v>1E-3</v>
      </c>
      <c r="P200" s="378">
        <f t="shared" si="159"/>
        <v>1E-3</v>
      </c>
      <c r="Q200" s="378">
        <f t="shared" si="159"/>
        <v>1E-3</v>
      </c>
      <c r="R200" s="378">
        <f t="shared" si="159"/>
        <v>1E-3</v>
      </c>
      <c r="S200" s="378">
        <f t="shared" si="159"/>
        <v>1E-3</v>
      </c>
      <c r="T200" s="378">
        <f t="shared" si="159"/>
        <v>1E-3</v>
      </c>
      <c r="U200" s="378">
        <f t="shared" si="159"/>
        <v>1E-3</v>
      </c>
      <c r="V200" s="378">
        <f t="shared" si="159"/>
        <v>1E-3</v>
      </c>
      <c r="W200" s="378">
        <f t="shared" si="159"/>
        <v>1E-3</v>
      </c>
      <c r="X200" s="378">
        <f t="shared" si="159"/>
        <v>1E-3</v>
      </c>
      <c r="Y200" s="378">
        <f t="shared" si="159"/>
        <v>1E-3</v>
      </c>
      <c r="Z200" s="378">
        <f t="shared" si="159"/>
        <v>1E-3</v>
      </c>
      <c r="AA200" s="378">
        <f t="shared" si="159"/>
        <v>1E-3</v>
      </c>
      <c r="AB200" s="378">
        <f t="shared" si="159"/>
        <v>1E-3</v>
      </c>
      <c r="AC200" s="83"/>
      <c r="AD200" s="410" t="str">
        <f>MID(D200,13,3)</f>
        <v>Plu</v>
      </c>
      <c r="AU200" s="83"/>
      <c r="AV200" s="83"/>
      <c r="AW200" s="83"/>
      <c r="AX200" s="83"/>
      <c r="AY200" s="83"/>
      <c r="AZ200" s="83"/>
    </row>
    <row r="201" spans="1:52" s="83" customFormat="1" x14ac:dyDescent="0.25">
      <c r="A201" s="82"/>
      <c r="B201" s="178" t="str">
        <f>B200</f>
        <v>TFLEPYD900</v>
      </c>
      <c r="C201" s="178"/>
      <c r="D201" s="179"/>
      <c r="E201" s="407" t="s">
        <v>185</v>
      </c>
      <c r="F201" s="182"/>
      <c r="G201" s="181"/>
      <c r="H201" s="182"/>
      <c r="I201" s="183"/>
      <c r="J201" s="184" t="s">
        <v>1157</v>
      </c>
      <c r="K201" s="184"/>
      <c r="L201" s="203" t="s">
        <v>101</v>
      </c>
      <c r="M201" s="184"/>
      <c r="N201" s="390">
        <f>1-N$28</f>
        <v>0.85</v>
      </c>
      <c r="O201" s="390">
        <f t="shared" ref="O201:AB201" si="160">1-O$28</f>
        <v>0.85</v>
      </c>
      <c r="P201" s="390">
        <f t="shared" si="160"/>
        <v>0.85</v>
      </c>
      <c r="Q201" s="390">
        <f t="shared" si="160"/>
        <v>0.85</v>
      </c>
      <c r="R201" s="390">
        <f t="shared" si="160"/>
        <v>0.85</v>
      </c>
      <c r="S201" s="390">
        <f t="shared" si="160"/>
        <v>0.85</v>
      </c>
      <c r="T201" s="390">
        <f t="shared" si="160"/>
        <v>0.85</v>
      </c>
      <c r="U201" s="390">
        <f t="shared" si="160"/>
        <v>0.85</v>
      </c>
      <c r="V201" s="390">
        <f t="shared" si="160"/>
        <v>0.85</v>
      </c>
      <c r="W201" s="390">
        <f t="shared" si="160"/>
        <v>0.85</v>
      </c>
      <c r="X201" s="390">
        <f t="shared" si="160"/>
        <v>0.85</v>
      </c>
      <c r="Y201" s="390">
        <f t="shared" si="160"/>
        <v>0.85</v>
      </c>
      <c r="Z201" s="390">
        <f t="shared" si="160"/>
        <v>0.85</v>
      </c>
      <c r="AA201" s="390">
        <f t="shared" si="160"/>
        <v>0.85</v>
      </c>
      <c r="AB201" s="390">
        <f t="shared" si="160"/>
        <v>0.85</v>
      </c>
      <c r="AD201" s="66" t="str">
        <f>IF(COUNTIF($AH$4:$AQ$4,AD200)=1,"ok","MISSING")</f>
        <v>ok</v>
      </c>
    </row>
    <row r="202" spans="1:52" s="83" customFormat="1" x14ac:dyDescent="0.25">
      <c r="A202" s="82"/>
      <c r="B202" s="178" t="str">
        <f>B201</f>
        <v>TFLEPYD900</v>
      </c>
      <c r="C202" s="178"/>
      <c r="D202" s="179"/>
      <c r="E202" s="178"/>
      <c r="F202" s="182"/>
      <c r="G202" s="173" t="s">
        <v>637</v>
      </c>
      <c r="H202" s="182"/>
      <c r="I202" s="183"/>
      <c r="J202" s="184"/>
      <c r="K202" s="184"/>
      <c r="L202" s="184" t="s">
        <v>1126</v>
      </c>
      <c r="M202" s="184" t="s">
        <v>678</v>
      </c>
      <c r="N202" s="676">
        <f>T_CEFF!H245</f>
        <v>0.85470000000000002</v>
      </c>
      <c r="O202" s="676">
        <f>T_CEFF!I245</f>
        <v>0.85470000000000002</v>
      </c>
      <c r="P202" s="676">
        <f>T_CEFF!J245</f>
        <v>0.85470000000000002</v>
      </c>
      <c r="Q202" s="676">
        <f>T_CEFF!K245</f>
        <v>0.85470000000000002</v>
      </c>
      <c r="R202" s="676">
        <f>T_CEFF!L245</f>
        <v>0.85470000000000002</v>
      </c>
      <c r="S202" s="676">
        <f>T_CEFF!M245</f>
        <v>0.85470000000000002</v>
      </c>
      <c r="T202" s="676">
        <f>T_CEFF!N245</f>
        <v>0.85470000000000002</v>
      </c>
      <c r="U202" s="676">
        <f>T_CEFF!O245</f>
        <v>0.85470000000000002</v>
      </c>
      <c r="V202" s="676">
        <f>T_CEFF!P245</f>
        <v>0.85470000000000002</v>
      </c>
      <c r="W202" s="676">
        <f>T_CEFF!Q245</f>
        <v>0.85470000000000002</v>
      </c>
      <c r="X202" s="676">
        <f>T_CEFF!R245</f>
        <v>0.85470000000000002</v>
      </c>
      <c r="Y202" s="676">
        <f>T_CEFF!S245</f>
        <v>0.85470000000000002</v>
      </c>
      <c r="Z202" s="676">
        <f>T_CEFF!T245</f>
        <v>0.85470000000000002</v>
      </c>
      <c r="AA202" s="676">
        <f>T_CEFF!U245</f>
        <v>0.85470000000000002</v>
      </c>
      <c r="AB202" s="676">
        <f>T_CEFF!V245</f>
        <v>0.85470000000000002</v>
      </c>
    </row>
    <row r="203" spans="1:52" s="83" customFormat="1" x14ac:dyDescent="0.25">
      <c r="A203" s="82"/>
      <c r="B203" s="178" t="str">
        <f>B202</f>
        <v>TFLEPYD900</v>
      </c>
      <c r="C203" s="178"/>
      <c r="D203" s="179"/>
      <c r="E203" s="178"/>
      <c r="F203" s="182"/>
      <c r="G203" s="173" t="s">
        <v>640</v>
      </c>
      <c r="H203" s="182"/>
      <c r="I203" s="183"/>
      <c r="J203" s="184"/>
      <c r="K203" s="184"/>
      <c r="L203" s="184" t="s">
        <v>1126</v>
      </c>
      <c r="M203" s="184" t="s">
        <v>678</v>
      </c>
      <c r="N203" s="676">
        <f>T_CEFF!H246</f>
        <v>1.0989</v>
      </c>
      <c r="O203" s="676">
        <f>T_CEFF!I246</f>
        <v>1.0989</v>
      </c>
      <c r="P203" s="676">
        <f>T_CEFF!J246</f>
        <v>1.0989</v>
      </c>
      <c r="Q203" s="676">
        <f>T_CEFF!K246</f>
        <v>1.0989</v>
      </c>
      <c r="R203" s="676">
        <f>T_CEFF!L246</f>
        <v>1.0989</v>
      </c>
      <c r="S203" s="676">
        <f>T_CEFF!M246</f>
        <v>1.0989</v>
      </c>
      <c r="T203" s="676">
        <f>T_CEFF!N246</f>
        <v>1.0989</v>
      </c>
      <c r="U203" s="676">
        <f>T_CEFF!O246</f>
        <v>1.0989</v>
      </c>
      <c r="V203" s="676">
        <f>T_CEFF!P246</f>
        <v>1.0989</v>
      </c>
      <c r="W203" s="676">
        <f>T_CEFF!Q246</f>
        <v>1.0989</v>
      </c>
      <c r="X203" s="676">
        <f>T_CEFF!R246</f>
        <v>1.0989</v>
      </c>
      <c r="Y203" s="676">
        <f>T_CEFF!S246</f>
        <v>1.0989</v>
      </c>
      <c r="Z203" s="676">
        <f>T_CEFF!T246</f>
        <v>1.0989</v>
      </c>
      <c r="AA203" s="676">
        <f>T_CEFF!U246</f>
        <v>1.0989</v>
      </c>
      <c r="AB203" s="676">
        <f>T_CEFF!V246</f>
        <v>1.0989</v>
      </c>
    </row>
    <row r="204" spans="1:52" s="83" customFormat="1" x14ac:dyDescent="0.25">
      <c r="A204" s="82"/>
      <c r="B204" s="178" t="str">
        <f t="shared" ref="B204:B212" si="161">B203</f>
        <v>TFLEPYD900</v>
      </c>
      <c r="C204" s="178"/>
      <c r="D204" s="179"/>
      <c r="E204" s="178"/>
      <c r="F204" s="182"/>
      <c r="G204" s="181"/>
      <c r="H204" s="182"/>
      <c r="I204" s="183"/>
      <c r="J204" s="184"/>
      <c r="K204" s="184" t="s">
        <v>749</v>
      </c>
      <c r="L204" s="184" t="s">
        <v>1128</v>
      </c>
      <c r="M204" s="184" t="s">
        <v>1175</v>
      </c>
      <c r="N204" s="388">
        <f t="shared" ref="N204:AB204" si="162">N$23</f>
        <v>0.76</v>
      </c>
      <c r="O204" s="388">
        <f t="shared" si="162"/>
        <v>0</v>
      </c>
      <c r="P204" s="388">
        <f t="shared" si="162"/>
        <v>0</v>
      </c>
      <c r="Q204" s="388">
        <f t="shared" si="162"/>
        <v>0</v>
      </c>
      <c r="R204" s="388">
        <f t="shared" si="162"/>
        <v>0</v>
      </c>
      <c r="S204" s="388">
        <f t="shared" si="162"/>
        <v>0</v>
      </c>
      <c r="T204" s="388">
        <f t="shared" si="162"/>
        <v>0</v>
      </c>
      <c r="U204" s="388">
        <f t="shared" si="162"/>
        <v>0</v>
      </c>
      <c r="V204" s="388">
        <f t="shared" si="162"/>
        <v>0</v>
      </c>
      <c r="W204" s="388">
        <f t="shared" si="162"/>
        <v>0</v>
      </c>
      <c r="X204" s="388">
        <f t="shared" si="162"/>
        <v>0</v>
      </c>
      <c r="Y204" s="388">
        <f t="shared" si="162"/>
        <v>0</v>
      </c>
      <c r="Z204" s="388">
        <f t="shared" si="162"/>
        <v>0</v>
      </c>
      <c r="AA204" s="388">
        <f t="shared" si="162"/>
        <v>0</v>
      </c>
      <c r="AB204" s="388">
        <f t="shared" si="162"/>
        <v>0</v>
      </c>
    </row>
    <row r="205" spans="1:52" s="83" customFormat="1" x14ac:dyDescent="0.25">
      <c r="A205" s="82"/>
      <c r="B205" s="178" t="str">
        <f t="shared" si="161"/>
        <v>TFLEPYD900</v>
      </c>
      <c r="C205" s="178"/>
      <c r="D205" s="179"/>
      <c r="E205" s="178"/>
      <c r="F205" s="182"/>
      <c r="G205" s="181"/>
      <c r="H205" s="182"/>
      <c r="I205" s="183"/>
      <c r="J205" s="184"/>
      <c r="K205" s="184"/>
      <c r="L205" s="203" t="s">
        <v>1130</v>
      </c>
      <c r="M205" s="184" t="s">
        <v>1131</v>
      </c>
      <c r="N205" s="397">
        <f>LOOKUP($C$200, T_NCAP_AF!$C$140:$C$150, T_NCAP_AF!D$140:D$150)*(1+N79)</f>
        <v>0</v>
      </c>
      <c r="O205" s="397">
        <f>LOOKUP($C$200, T_NCAP_AF!$C$140:$C$150, T_NCAP_AF!E$140:E$150)*(1+O79)</f>
        <v>0</v>
      </c>
      <c r="P205" s="397">
        <f>LOOKUP($C$200, T_NCAP_AF!$C$140:$C$150, T_NCAP_AF!F$140:F$150)*(1+P79)</f>
        <v>0</v>
      </c>
      <c r="Q205" s="397">
        <f>LOOKUP($C$200, T_NCAP_AF!$C$140:$C$150, T_NCAP_AF!G$140:G$150)*(1+Q79)</f>
        <v>0</v>
      </c>
      <c r="R205" s="397">
        <f>LOOKUP($C$200, T_NCAP_AF!$C$140:$C$150, T_NCAP_AF!H$140:H$150)*(1+R79)</f>
        <v>0</v>
      </c>
      <c r="S205" s="397">
        <f>LOOKUP($C$200, T_NCAP_AF!$C$140:$C$150, T_NCAP_AF!I$140:I$150)*(1+S79)</f>
        <v>0</v>
      </c>
      <c r="T205" s="397">
        <f>LOOKUP($C$200, T_NCAP_AF!$C$140:$C$150, T_NCAP_AF!J$140:J$150)*(1+T79)</f>
        <v>0</v>
      </c>
      <c r="U205" s="397">
        <f>LOOKUP($C$200, T_NCAP_AF!$C$140:$C$150, T_NCAP_AF!K$140:K$150)*(1+U79)</f>
        <v>0</v>
      </c>
      <c r="V205" s="397">
        <f>LOOKUP($C$200, T_NCAP_AF!$C$140:$C$150, T_NCAP_AF!L$140:L$150)*(1+V79)</f>
        <v>0</v>
      </c>
      <c r="W205" s="397">
        <f>LOOKUP($C$200, T_NCAP_AF!$C$140:$C$150, T_NCAP_AF!M$140:M$150)*(1+W79)</f>
        <v>0</v>
      </c>
      <c r="X205" s="397">
        <f>LOOKUP($C$200, T_NCAP_AF!$C$140:$C$150, T_NCAP_AF!N$140:N$150)*(1+X79)</f>
        <v>0</v>
      </c>
      <c r="Y205" s="397">
        <f>LOOKUP($C$200, T_NCAP_AF!$C$140:$C$150, T_NCAP_AF!O$140:O$150)*(1+Y79)</f>
        <v>0</v>
      </c>
      <c r="Z205" s="397">
        <f>LOOKUP($C$200, T_NCAP_AF!$C$140:$C$150, T_NCAP_AF!P$140:P$150)*(1+Z79)</f>
        <v>0</v>
      </c>
      <c r="AA205" s="397">
        <f>LOOKUP($C$200, T_NCAP_AF!$C$140:$C$150, T_NCAP_AF!Q$140:Q$150)*(1+AA79)</f>
        <v>0</v>
      </c>
      <c r="AB205" s="397">
        <f>LOOKUP($C$200, T_NCAP_AF!$C$140:$C$150, T_NCAP_AF!R$140:R$150)*(1+AB79)</f>
        <v>0</v>
      </c>
      <c r="AE205" s="572">
        <f>SUM(AF205:AT205)</f>
        <v>0</v>
      </c>
      <c r="AF205" s="85">
        <f t="shared" ref="AF205:AT205" si="163">N204*N205*N206/1000</f>
        <v>0</v>
      </c>
      <c r="AG205" s="85">
        <f t="shared" si="163"/>
        <v>0</v>
      </c>
      <c r="AH205" s="85">
        <f t="shared" si="163"/>
        <v>0</v>
      </c>
      <c r="AI205" s="85">
        <f t="shared" si="163"/>
        <v>0</v>
      </c>
      <c r="AJ205" s="85">
        <f t="shared" si="163"/>
        <v>0</v>
      </c>
      <c r="AK205" s="85">
        <f t="shared" si="163"/>
        <v>0</v>
      </c>
      <c r="AL205" s="85">
        <f t="shared" si="163"/>
        <v>0</v>
      </c>
      <c r="AM205" s="85">
        <f t="shared" si="163"/>
        <v>0</v>
      </c>
      <c r="AN205" s="85">
        <f t="shared" si="163"/>
        <v>0</v>
      </c>
      <c r="AO205" s="85">
        <f t="shared" si="163"/>
        <v>0</v>
      </c>
      <c r="AP205" s="85">
        <f t="shared" si="163"/>
        <v>0</v>
      </c>
      <c r="AQ205" s="85">
        <f t="shared" si="163"/>
        <v>0</v>
      </c>
      <c r="AR205" s="85">
        <f t="shared" si="163"/>
        <v>0</v>
      </c>
      <c r="AS205" s="85">
        <f t="shared" si="163"/>
        <v>0</v>
      </c>
      <c r="AT205" s="85">
        <f t="shared" si="163"/>
        <v>0</v>
      </c>
    </row>
    <row r="206" spans="1:52" s="83" customFormat="1" x14ac:dyDescent="0.25">
      <c r="A206" s="82"/>
      <c r="B206" s="178" t="str">
        <f t="shared" si="161"/>
        <v>TFLEPYD900</v>
      </c>
      <c r="C206" s="178"/>
      <c r="D206" s="179"/>
      <c r="E206" s="178"/>
      <c r="F206" s="182"/>
      <c r="G206" s="181"/>
      <c r="H206" s="182"/>
      <c r="I206" s="183">
        <f>$M$3</f>
        <v>2019</v>
      </c>
      <c r="J206" s="184"/>
      <c r="K206" s="184"/>
      <c r="L206" s="203" t="s">
        <v>1065</v>
      </c>
      <c r="M206" s="184" t="s">
        <v>748</v>
      </c>
      <c r="N206" s="694">
        <f>LOOKUP($C$200, 'T_Stock_TOTAL_&amp;_City'!$C$90:$C$100, 'T_Stock_TOTAL_&amp;_City'!D$90:D$100)*(1+N80)</f>
        <v>0</v>
      </c>
      <c r="O206" s="694">
        <f>LOOKUP($C$200, 'T_Stock_TOTAL_&amp;_City'!$C$90:$C$100, 'T_Stock_TOTAL_&amp;_City'!E$90:E$100)*(1+O80)</f>
        <v>0</v>
      </c>
      <c r="P206" s="694">
        <f>LOOKUP($C$200, 'T_Stock_TOTAL_&amp;_City'!$C$90:$C$100, 'T_Stock_TOTAL_&amp;_City'!F$90:F$100)*(1+P80)</f>
        <v>0</v>
      </c>
      <c r="Q206" s="694">
        <f>LOOKUP($C$200, 'T_Stock_TOTAL_&amp;_City'!$C$90:$C$100, 'T_Stock_TOTAL_&amp;_City'!G$90:G$100)*(1+Q80)</f>
        <v>0</v>
      </c>
      <c r="R206" s="694">
        <f>LOOKUP($C$200, 'T_Stock_TOTAL_&amp;_City'!$C$90:$C$100, 'T_Stock_TOTAL_&amp;_City'!H$90:H$100)*(1+R80)</f>
        <v>0</v>
      </c>
      <c r="S206" s="694">
        <f>LOOKUP($C$200, 'T_Stock_TOTAL_&amp;_City'!$C$90:$C$100, 'T_Stock_TOTAL_&amp;_City'!I$90:I$100)*(1+S80)</f>
        <v>0</v>
      </c>
      <c r="T206" s="694">
        <f>LOOKUP($C$200, 'T_Stock_TOTAL_&amp;_City'!$C$90:$C$100, 'T_Stock_TOTAL_&amp;_City'!J$90:J$100)*(1+T80)</f>
        <v>0</v>
      </c>
      <c r="U206" s="694">
        <f>LOOKUP($C$200, 'T_Stock_TOTAL_&amp;_City'!$C$90:$C$100, 'T_Stock_TOTAL_&amp;_City'!K$90:K$100)*(1+U80)</f>
        <v>0</v>
      </c>
      <c r="V206" s="694">
        <f>LOOKUP($C$200, 'T_Stock_TOTAL_&amp;_City'!$C$90:$C$100, 'T_Stock_TOTAL_&amp;_City'!L$90:L$100)*(1+V80)</f>
        <v>0</v>
      </c>
      <c r="W206" s="694">
        <f>LOOKUP($C$200, 'T_Stock_TOTAL_&amp;_City'!$C$90:$C$100, 'T_Stock_TOTAL_&amp;_City'!M$90:M$100)*(1+W80)</f>
        <v>0</v>
      </c>
      <c r="X206" s="694">
        <f>LOOKUP($C$200, 'T_Stock_TOTAL_&amp;_City'!$C$90:$C$100, 'T_Stock_TOTAL_&amp;_City'!N$90:N$100)*(1+X80)</f>
        <v>0</v>
      </c>
      <c r="Y206" s="694">
        <f>LOOKUP($C$200, 'T_Stock_TOTAL_&amp;_City'!$C$90:$C$100, 'T_Stock_TOTAL_&amp;_City'!O$90:O$100)*(1+Y80)</f>
        <v>0</v>
      </c>
      <c r="Z206" s="694">
        <f>LOOKUP($C$200, 'T_Stock_TOTAL_&amp;_City'!$C$90:$C$100, 'T_Stock_TOTAL_&amp;_City'!P$90:P$100)*(1+Z80)</f>
        <v>0</v>
      </c>
      <c r="AA206" s="694">
        <f>LOOKUP($C$200, 'T_Stock_TOTAL_&amp;_City'!$C$90:$C$100, 'T_Stock_TOTAL_&amp;_City'!Q$90:Q$100)*(1+AA80)</f>
        <v>0</v>
      </c>
      <c r="AB206" s="694">
        <f>LOOKUP($C$200, 'T_Stock_TOTAL_&amp;_City'!$C$90:$C$100, 'T_Stock_TOTAL_&amp;_City'!R$90:R$100)*(1+AB80)</f>
        <v>0</v>
      </c>
      <c r="AD206" s="35"/>
    </row>
    <row r="207" spans="1:52" s="83" customFormat="1" x14ac:dyDescent="0.25">
      <c r="A207" s="82"/>
      <c r="B207" s="178" t="str">
        <f t="shared" si="161"/>
        <v>TFLEPYD900</v>
      </c>
      <c r="C207" s="178"/>
      <c r="D207" s="179"/>
      <c r="E207" s="178"/>
      <c r="F207" s="182"/>
      <c r="G207" s="181"/>
      <c r="H207" s="182"/>
      <c r="I207" s="183">
        <f>AF$5</f>
        <v>2016</v>
      </c>
      <c r="J207" s="184"/>
      <c r="K207" s="184"/>
      <c r="L207" s="203" t="s">
        <v>1065</v>
      </c>
      <c r="M207" s="184" t="s">
        <v>748</v>
      </c>
      <c r="N207" s="694">
        <f t="shared" ref="N207:AB207" si="164">N206*LOOKUP($AD200,$AH$4:$AQ$4,$AH$5:$AQ$5)</f>
        <v>0</v>
      </c>
      <c r="O207" s="694">
        <f t="shared" si="164"/>
        <v>0</v>
      </c>
      <c r="P207" s="694">
        <f t="shared" si="164"/>
        <v>0</v>
      </c>
      <c r="Q207" s="694">
        <f t="shared" si="164"/>
        <v>0</v>
      </c>
      <c r="R207" s="694">
        <f t="shared" si="164"/>
        <v>0</v>
      </c>
      <c r="S207" s="694">
        <f t="shared" si="164"/>
        <v>0</v>
      </c>
      <c r="T207" s="694">
        <f t="shared" si="164"/>
        <v>0</v>
      </c>
      <c r="U207" s="694">
        <f t="shared" si="164"/>
        <v>0</v>
      </c>
      <c r="V207" s="694">
        <f t="shared" si="164"/>
        <v>0</v>
      </c>
      <c r="W207" s="694">
        <f t="shared" si="164"/>
        <v>0</v>
      </c>
      <c r="X207" s="694">
        <f t="shared" si="164"/>
        <v>0</v>
      </c>
      <c r="Y207" s="694">
        <f t="shared" si="164"/>
        <v>0</v>
      </c>
      <c r="Z207" s="694">
        <f t="shared" si="164"/>
        <v>0</v>
      </c>
      <c r="AA207" s="694">
        <f t="shared" si="164"/>
        <v>0</v>
      </c>
      <c r="AB207" s="694">
        <f t="shared" si="164"/>
        <v>0</v>
      </c>
      <c r="AD207" s="35"/>
    </row>
    <row r="208" spans="1:52" s="83" customFormat="1" x14ac:dyDescent="0.25">
      <c r="A208" s="82"/>
      <c r="B208" s="178" t="str">
        <f t="shared" si="161"/>
        <v>TFLEPYD900</v>
      </c>
      <c r="C208" s="178"/>
      <c r="D208" s="179"/>
      <c r="E208" s="178"/>
      <c r="F208" s="182"/>
      <c r="G208" s="181"/>
      <c r="H208" s="182"/>
      <c r="I208" s="183">
        <f>AF$6</f>
        <v>2020</v>
      </c>
      <c r="J208" s="184"/>
      <c r="K208" s="184"/>
      <c r="L208" s="203" t="s">
        <v>1065</v>
      </c>
      <c r="M208" s="184" t="s">
        <v>748</v>
      </c>
      <c r="N208" s="694">
        <f t="shared" ref="N208:AB208" si="165">N206*LOOKUP($AD200,$AH$4:$AQ$4,$AH$6:$AQ$6)</f>
        <v>0</v>
      </c>
      <c r="O208" s="694">
        <f t="shared" si="165"/>
        <v>0</v>
      </c>
      <c r="P208" s="694">
        <f t="shared" si="165"/>
        <v>0</v>
      </c>
      <c r="Q208" s="694">
        <f t="shared" si="165"/>
        <v>0</v>
      </c>
      <c r="R208" s="694">
        <f t="shared" si="165"/>
        <v>0</v>
      </c>
      <c r="S208" s="694">
        <f t="shared" si="165"/>
        <v>0</v>
      </c>
      <c r="T208" s="694">
        <f t="shared" si="165"/>
        <v>0</v>
      </c>
      <c r="U208" s="694">
        <f t="shared" si="165"/>
        <v>0</v>
      </c>
      <c r="V208" s="694">
        <f t="shared" si="165"/>
        <v>0</v>
      </c>
      <c r="W208" s="694">
        <f t="shared" si="165"/>
        <v>0</v>
      </c>
      <c r="X208" s="694">
        <f t="shared" si="165"/>
        <v>0</v>
      </c>
      <c r="Y208" s="694">
        <f t="shared" si="165"/>
        <v>0</v>
      </c>
      <c r="Z208" s="694">
        <f t="shared" si="165"/>
        <v>0</v>
      </c>
      <c r="AA208" s="694">
        <f t="shared" si="165"/>
        <v>0</v>
      </c>
      <c r="AB208" s="694">
        <f t="shared" si="165"/>
        <v>0</v>
      </c>
      <c r="AD208" s="35"/>
    </row>
    <row r="209" spans="1:46" s="83" customFormat="1" x14ac:dyDescent="0.25">
      <c r="A209" s="82"/>
      <c r="B209" s="178" t="str">
        <f t="shared" si="161"/>
        <v>TFLEPYD900</v>
      </c>
      <c r="C209" s="178"/>
      <c r="D209" s="179"/>
      <c r="E209" s="178"/>
      <c r="F209" s="182"/>
      <c r="G209" s="181"/>
      <c r="H209" s="182"/>
      <c r="I209" s="183">
        <f>AF$7</f>
        <v>2025</v>
      </c>
      <c r="J209" s="184"/>
      <c r="K209" s="184"/>
      <c r="L209" s="203" t="s">
        <v>1065</v>
      </c>
      <c r="M209" s="184" t="s">
        <v>748</v>
      </c>
      <c r="N209" s="694">
        <f t="shared" ref="N209:AB209" si="166">N206*LOOKUP($AD200,$AH$4:$AQ$4,$AH$7:$AQ$7)</f>
        <v>0</v>
      </c>
      <c r="O209" s="694">
        <f t="shared" si="166"/>
        <v>0</v>
      </c>
      <c r="P209" s="694">
        <f t="shared" si="166"/>
        <v>0</v>
      </c>
      <c r="Q209" s="694">
        <f t="shared" si="166"/>
        <v>0</v>
      </c>
      <c r="R209" s="694">
        <f t="shared" si="166"/>
        <v>0</v>
      </c>
      <c r="S209" s="694">
        <f t="shared" si="166"/>
        <v>0</v>
      </c>
      <c r="T209" s="694">
        <f t="shared" si="166"/>
        <v>0</v>
      </c>
      <c r="U209" s="694">
        <f t="shared" si="166"/>
        <v>0</v>
      </c>
      <c r="V209" s="694">
        <f t="shared" si="166"/>
        <v>0</v>
      </c>
      <c r="W209" s="694">
        <f t="shared" si="166"/>
        <v>0</v>
      </c>
      <c r="X209" s="694">
        <f t="shared" si="166"/>
        <v>0</v>
      </c>
      <c r="Y209" s="694">
        <f t="shared" si="166"/>
        <v>0</v>
      </c>
      <c r="Z209" s="694">
        <f t="shared" si="166"/>
        <v>0</v>
      </c>
      <c r="AA209" s="694">
        <f t="shared" si="166"/>
        <v>0</v>
      </c>
      <c r="AB209" s="694">
        <f t="shared" si="166"/>
        <v>0</v>
      </c>
      <c r="AD209" s="35"/>
    </row>
    <row r="210" spans="1:46" s="83" customFormat="1" x14ac:dyDescent="0.25">
      <c r="A210" s="82"/>
      <c r="B210" s="178" t="str">
        <f t="shared" si="161"/>
        <v>TFLEPYD900</v>
      </c>
      <c r="C210" s="178"/>
      <c r="D210" s="179"/>
      <c r="E210" s="178"/>
      <c r="F210" s="182"/>
      <c r="G210" s="181"/>
      <c r="H210" s="182"/>
      <c r="I210" s="183">
        <f>AF$8</f>
        <v>2030</v>
      </c>
      <c r="J210" s="184"/>
      <c r="K210" s="184"/>
      <c r="L210" s="203" t="s">
        <v>1065</v>
      </c>
      <c r="M210" s="184" t="s">
        <v>748</v>
      </c>
      <c r="N210" s="694">
        <f t="shared" ref="N210:AB210" si="167">N206*LOOKUP($AD200,$AH$4:$AQ$4,$AH$8:$AQ$8)</f>
        <v>0</v>
      </c>
      <c r="O210" s="694">
        <f t="shared" si="167"/>
        <v>0</v>
      </c>
      <c r="P210" s="694">
        <f t="shared" si="167"/>
        <v>0</v>
      </c>
      <c r="Q210" s="694">
        <f t="shared" si="167"/>
        <v>0</v>
      </c>
      <c r="R210" s="694">
        <f t="shared" si="167"/>
        <v>0</v>
      </c>
      <c r="S210" s="694">
        <f t="shared" si="167"/>
        <v>0</v>
      </c>
      <c r="T210" s="694">
        <f t="shared" si="167"/>
        <v>0</v>
      </c>
      <c r="U210" s="694">
        <f t="shared" si="167"/>
        <v>0</v>
      </c>
      <c r="V210" s="694">
        <f t="shared" si="167"/>
        <v>0</v>
      </c>
      <c r="W210" s="694">
        <f t="shared" si="167"/>
        <v>0</v>
      </c>
      <c r="X210" s="694">
        <f t="shared" si="167"/>
        <v>0</v>
      </c>
      <c r="Y210" s="694">
        <f t="shared" si="167"/>
        <v>0</v>
      </c>
      <c r="Z210" s="694">
        <f t="shared" si="167"/>
        <v>0</v>
      </c>
      <c r="AA210" s="694">
        <f t="shared" si="167"/>
        <v>0</v>
      </c>
      <c r="AB210" s="694">
        <f t="shared" si="167"/>
        <v>0</v>
      </c>
      <c r="AD210" s="35"/>
    </row>
    <row r="211" spans="1:46" s="83" customFormat="1" x14ac:dyDescent="0.25">
      <c r="A211" s="82"/>
      <c r="B211" s="178" t="str">
        <f t="shared" si="161"/>
        <v>TFLEPYD900</v>
      </c>
      <c r="C211" s="178"/>
      <c r="D211" s="179"/>
      <c r="E211" s="178"/>
      <c r="F211" s="182"/>
      <c r="G211" s="181"/>
      <c r="H211" s="182"/>
      <c r="I211" s="183">
        <f>AF$9</f>
        <v>2040</v>
      </c>
      <c r="J211" s="184"/>
      <c r="K211" s="184"/>
      <c r="L211" s="203" t="s">
        <v>1065</v>
      </c>
      <c r="M211" s="184" t="s">
        <v>748</v>
      </c>
      <c r="N211" s="694">
        <f t="shared" ref="N211:AB211" si="168">N206*LOOKUP($AD200,$AH$4:$AQ$4,$AH$9:$AQ$9)</f>
        <v>0</v>
      </c>
      <c r="O211" s="694">
        <f t="shared" si="168"/>
        <v>0</v>
      </c>
      <c r="P211" s="694">
        <f t="shared" si="168"/>
        <v>0</v>
      </c>
      <c r="Q211" s="694">
        <f t="shared" si="168"/>
        <v>0</v>
      </c>
      <c r="R211" s="694">
        <f t="shared" si="168"/>
        <v>0</v>
      </c>
      <c r="S211" s="694">
        <f t="shared" si="168"/>
        <v>0</v>
      </c>
      <c r="T211" s="694">
        <f t="shared" si="168"/>
        <v>0</v>
      </c>
      <c r="U211" s="694">
        <f t="shared" si="168"/>
        <v>0</v>
      </c>
      <c r="V211" s="694">
        <f t="shared" si="168"/>
        <v>0</v>
      </c>
      <c r="W211" s="694">
        <f t="shared" si="168"/>
        <v>0</v>
      </c>
      <c r="X211" s="694">
        <f t="shared" si="168"/>
        <v>0</v>
      </c>
      <c r="Y211" s="694">
        <f t="shared" si="168"/>
        <v>0</v>
      </c>
      <c r="Z211" s="694">
        <f t="shared" si="168"/>
        <v>0</v>
      </c>
      <c r="AA211" s="694">
        <f t="shared" si="168"/>
        <v>0</v>
      </c>
      <c r="AB211" s="694">
        <f t="shared" si="168"/>
        <v>0</v>
      </c>
      <c r="AD211" s="35"/>
    </row>
    <row r="212" spans="1:46" s="83" customFormat="1" x14ac:dyDescent="0.25">
      <c r="A212" s="82"/>
      <c r="B212" s="204" t="str">
        <f t="shared" si="161"/>
        <v>TFLEPYD900</v>
      </c>
      <c r="C212" s="204"/>
      <c r="D212" s="205"/>
      <c r="E212" s="204"/>
      <c r="F212" s="206"/>
      <c r="G212" s="207"/>
      <c r="H212" s="206"/>
      <c r="I212" s="208">
        <f>AF$10</f>
        <v>2050</v>
      </c>
      <c r="J212" s="209"/>
      <c r="K212" s="209"/>
      <c r="L212" s="210" t="s">
        <v>1065</v>
      </c>
      <c r="M212" s="209" t="s">
        <v>748</v>
      </c>
      <c r="N212" s="695">
        <f t="shared" ref="N212:AB212" si="169">N206*LOOKUP($AD200,$AH$4:$AQ$4,$AH$10:$AQ$10)</f>
        <v>0</v>
      </c>
      <c r="O212" s="695">
        <f t="shared" si="169"/>
        <v>0</v>
      </c>
      <c r="P212" s="695">
        <f t="shared" si="169"/>
        <v>0</v>
      </c>
      <c r="Q212" s="695">
        <f t="shared" si="169"/>
        <v>0</v>
      </c>
      <c r="R212" s="695">
        <f t="shared" si="169"/>
        <v>0</v>
      </c>
      <c r="S212" s="695">
        <f t="shared" si="169"/>
        <v>0</v>
      </c>
      <c r="T212" s="695">
        <f t="shared" si="169"/>
        <v>0</v>
      </c>
      <c r="U212" s="695">
        <f t="shared" si="169"/>
        <v>0</v>
      </c>
      <c r="V212" s="695">
        <f t="shared" si="169"/>
        <v>0</v>
      </c>
      <c r="W212" s="695">
        <f t="shared" si="169"/>
        <v>0</v>
      </c>
      <c r="X212" s="695">
        <f t="shared" si="169"/>
        <v>0</v>
      </c>
      <c r="Y212" s="695">
        <f t="shared" si="169"/>
        <v>0</v>
      </c>
      <c r="Z212" s="695">
        <f t="shared" si="169"/>
        <v>0</v>
      </c>
      <c r="AA212" s="695">
        <f t="shared" si="169"/>
        <v>0</v>
      </c>
      <c r="AB212" s="695">
        <f t="shared" si="169"/>
        <v>0</v>
      </c>
    </row>
    <row r="213" spans="1:46" s="83" customFormat="1" x14ac:dyDescent="0.25">
      <c r="A213" s="82"/>
      <c r="B213" s="178" t="str">
        <f>C213</f>
        <v>TFLEPYG900</v>
      </c>
      <c r="C213" s="178" t="s">
        <v>137</v>
      </c>
      <c r="D213" s="179" t="s">
        <v>825</v>
      </c>
      <c r="E213" s="407" t="s">
        <v>1014</v>
      </c>
      <c r="F213" s="182"/>
      <c r="G213" s="181"/>
      <c r="H213" s="182"/>
      <c r="I213" s="183"/>
      <c r="J213" s="184"/>
      <c r="K213" s="184"/>
      <c r="L213" s="203" t="s">
        <v>1107</v>
      </c>
      <c r="M213" s="184" t="s">
        <v>1125</v>
      </c>
      <c r="N213" s="378">
        <v>1E-3</v>
      </c>
      <c r="O213" s="378">
        <f t="shared" ref="O213:AB213" si="170">$N213</f>
        <v>1E-3</v>
      </c>
      <c r="P213" s="378">
        <f t="shared" si="170"/>
        <v>1E-3</v>
      </c>
      <c r="Q213" s="378">
        <f t="shared" si="170"/>
        <v>1E-3</v>
      </c>
      <c r="R213" s="378">
        <f t="shared" si="170"/>
        <v>1E-3</v>
      </c>
      <c r="S213" s="378">
        <f t="shared" si="170"/>
        <v>1E-3</v>
      </c>
      <c r="T213" s="378">
        <f t="shared" si="170"/>
        <v>1E-3</v>
      </c>
      <c r="U213" s="378">
        <f t="shared" si="170"/>
        <v>1E-3</v>
      </c>
      <c r="V213" s="378">
        <f t="shared" si="170"/>
        <v>1E-3</v>
      </c>
      <c r="W213" s="378">
        <f t="shared" si="170"/>
        <v>1E-3</v>
      </c>
      <c r="X213" s="378">
        <f t="shared" si="170"/>
        <v>1E-3</v>
      </c>
      <c r="Y213" s="378">
        <f t="shared" si="170"/>
        <v>1E-3</v>
      </c>
      <c r="Z213" s="378">
        <f t="shared" si="170"/>
        <v>1E-3</v>
      </c>
      <c r="AA213" s="378">
        <f t="shared" si="170"/>
        <v>1E-3</v>
      </c>
      <c r="AB213" s="378">
        <f t="shared" si="170"/>
        <v>1E-3</v>
      </c>
      <c r="AD213" s="410" t="str">
        <f>MID(D213,13,3)</f>
        <v>Plu</v>
      </c>
    </row>
    <row r="214" spans="1:46" s="83" customFormat="1" x14ac:dyDescent="0.25">
      <c r="A214" s="82"/>
      <c r="B214" s="178" t="str">
        <f>B213</f>
        <v>TFLEPYG900</v>
      </c>
      <c r="C214" s="178"/>
      <c r="D214" s="179"/>
      <c r="E214" s="407" t="s">
        <v>1012</v>
      </c>
      <c r="F214" s="182"/>
      <c r="G214" s="181"/>
      <c r="H214" s="182"/>
      <c r="I214" s="183"/>
      <c r="J214" s="184" t="s">
        <v>1157</v>
      </c>
      <c r="K214" s="184"/>
      <c r="L214" s="203" t="s">
        <v>101</v>
      </c>
      <c r="M214" s="184"/>
      <c r="N214" s="390">
        <f>N$29</f>
        <v>0.03</v>
      </c>
      <c r="O214" s="390">
        <f t="shared" ref="O214:AB214" si="171">O$29</f>
        <v>0.03</v>
      </c>
      <c r="P214" s="390">
        <f t="shared" si="171"/>
        <v>0.03</v>
      </c>
      <c r="Q214" s="390">
        <f t="shared" si="171"/>
        <v>0.03</v>
      </c>
      <c r="R214" s="390">
        <f t="shared" si="171"/>
        <v>0.03</v>
      </c>
      <c r="S214" s="390">
        <f t="shared" si="171"/>
        <v>0.03</v>
      </c>
      <c r="T214" s="390">
        <f t="shared" si="171"/>
        <v>0.03</v>
      </c>
      <c r="U214" s="390">
        <f t="shared" si="171"/>
        <v>0.03</v>
      </c>
      <c r="V214" s="390">
        <f t="shared" si="171"/>
        <v>0.03</v>
      </c>
      <c r="W214" s="390">
        <f t="shared" si="171"/>
        <v>0.03</v>
      </c>
      <c r="X214" s="390">
        <f t="shared" si="171"/>
        <v>0.03</v>
      </c>
      <c r="Y214" s="390">
        <f t="shared" si="171"/>
        <v>0.03</v>
      </c>
      <c r="Z214" s="390">
        <f t="shared" si="171"/>
        <v>0.03</v>
      </c>
      <c r="AA214" s="390">
        <f t="shared" si="171"/>
        <v>0.03</v>
      </c>
      <c r="AB214" s="390">
        <f t="shared" si="171"/>
        <v>0.03</v>
      </c>
      <c r="AD214" s="66" t="str">
        <f>IF(COUNTIF($AH$4:$AQ$4,AD213)=1,"ok","MISSING")</f>
        <v>ok</v>
      </c>
    </row>
    <row r="215" spans="1:46" s="83" customFormat="1" x14ac:dyDescent="0.25">
      <c r="A215" s="82"/>
      <c r="B215" s="178" t="str">
        <f>B214</f>
        <v>TFLEPYG900</v>
      </c>
      <c r="C215" s="178"/>
      <c r="D215" s="179"/>
      <c r="E215" s="178"/>
      <c r="F215" s="182"/>
      <c r="G215" s="173" t="s">
        <v>637</v>
      </c>
      <c r="H215" s="182"/>
      <c r="I215" s="183"/>
      <c r="J215" s="184"/>
      <c r="K215" s="184"/>
      <c r="L215" s="184" t="s">
        <v>1126</v>
      </c>
      <c r="M215" s="184" t="s">
        <v>678</v>
      </c>
      <c r="N215" s="676">
        <f>T_CEFF!H247</f>
        <v>0.90908999999999995</v>
      </c>
      <c r="O215" s="676">
        <f>T_CEFF!I247</f>
        <v>0.90908999999999995</v>
      </c>
      <c r="P215" s="676">
        <f>T_CEFF!J247</f>
        <v>0.90908999999999995</v>
      </c>
      <c r="Q215" s="676">
        <f>T_CEFF!K247</f>
        <v>0.90908999999999995</v>
      </c>
      <c r="R215" s="676">
        <f>T_CEFF!L247</f>
        <v>0.90908999999999995</v>
      </c>
      <c r="S215" s="676">
        <f>T_CEFF!M247</f>
        <v>0.90908999999999995</v>
      </c>
      <c r="T215" s="676">
        <f>T_CEFF!N247</f>
        <v>0.90908999999999995</v>
      </c>
      <c r="U215" s="676">
        <f>T_CEFF!O247</f>
        <v>0.90908999999999995</v>
      </c>
      <c r="V215" s="676">
        <f>T_CEFF!P247</f>
        <v>0.90908999999999995</v>
      </c>
      <c r="W215" s="676">
        <f>T_CEFF!Q247</f>
        <v>0.90908999999999995</v>
      </c>
      <c r="X215" s="676">
        <f>T_CEFF!R247</f>
        <v>0.90908999999999995</v>
      </c>
      <c r="Y215" s="676">
        <f>T_CEFF!S247</f>
        <v>0.90908999999999995</v>
      </c>
      <c r="Z215" s="676">
        <f>T_CEFF!T247</f>
        <v>0.90908999999999995</v>
      </c>
      <c r="AA215" s="676">
        <f>T_CEFF!U247</f>
        <v>0.90908999999999995</v>
      </c>
      <c r="AB215" s="676">
        <f>T_CEFF!V247</f>
        <v>0.90908999999999995</v>
      </c>
    </row>
    <row r="216" spans="1:46" s="83" customFormat="1" x14ac:dyDescent="0.25">
      <c r="A216" s="82"/>
      <c r="B216" s="178" t="str">
        <f>B215</f>
        <v>TFLEPYG900</v>
      </c>
      <c r="C216" s="178"/>
      <c r="D216" s="179"/>
      <c r="E216" s="178"/>
      <c r="F216" s="182"/>
      <c r="G216" s="173" t="s">
        <v>640</v>
      </c>
      <c r="H216" s="182"/>
      <c r="I216" s="183"/>
      <c r="J216" s="184"/>
      <c r="K216" s="184"/>
      <c r="L216" s="184" t="s">
        <v>1126</v>
      </c>
      <c r="M216" s="184" t="s">
        <v>678</v>
      </c>
      <c r="N216" s="676">
        <f>T_CEFF!H248</f>
        <v>1.0309299999999999</v>
      </c>
      <c r="O216" s="676">
        <f>T_CEFF!I248</f>
        <v>1.0309299999999999</v>
      </c>
      <c r="P216" s="676">
        <f>T_CEFF!J248</f>
        <v>1.0309299999999999</v>
      </c>
      <c r="Q216" s="676">
        <f>T_CEFF!K248</f>
        <v>1.0309299999999999</v>
      </c>
      <c r="R216" s="676">
        <f>T_CEFF!L248</f>
        <v>1.0309299999999999</v>
      </c>
      <c r="S216" s="676">
        <f>T_CEFF!M248</f>
        <v>1.0309299999999999</v>
      </c>
      <c r="T216" s="676">
        <f>T_CEFF!N248</f>
        <v>1.0309299999999999</v>
      </c>
      <c r="U216" s="676">
        <f>T_CEFF!O248</f>
        <v>1.0309299999999999</v>
      </c>
      <c r="V216" s="676">
        <f>T_CEFF!P248</f>
        <v>1.0309299999999999</v>
      </c>
      <c r="W216" s="676">
        <f>T_CEFF!Q248</f>
        <v>1.0309299999999999</v>
      </c>
      <c r="X216" s="676">
        <f>T_CEFF!R248</f>
        <v>1.0309299999999999</v>
      </c>
      <c r="Y216" s="676">
        <f>T_CEFF!S248</f>
        <v>1.0309299999999999</v>
      </c>
      <c r="Z216" s="676">
        <f>T_CEFF!T248</f>
        <v>1.0309299999999999</v>
      </c>
      <c r="AA216" s="676">
        <f>T_CEFF!U248</f>
        <v>1.0309299999999999</v>
      </c>
      <c r="AB216" s="676">
        <f>T_CEFF!V248</f>
        <v>1.0309299999999999</v>
      </c>
    </row>
    <row r="217" spans="1:46" s="83" customFormat="1" x14ac:dyDescent="0.25">
      <c r="A217" s="82"/>
      <c r="B217" s="178" t="str">
        <f t="shared" ref="B217:B225" si="172">B216</f>
        <v>TFLEPYG900</v>
      </c>
      <c r="C217" s="178"/>
      <c r="D217" s="179"/>
      <c r="E217" s="178"/>
      <c r="F217" s="182"/>
      <c r="G217" s="181"/>
      <c r="H217" s="182"/>
      <c r="I217" s="183"/>
      <c r="J217" s="184"/>
      <c r="K217" s="184" t="s">
        <v>749</v>
      </c>
      <c r="L217" s="184" t="s">
        <v>1128</v>
      </c>
      <c r="M217" s="184" t="s">
        <v>1175</v>
      </c>
      <c r="N217" s="388">
        <f t="shared" ref="N217:AB217" si="173">N$23</f>
        <v>0.76</v>
      </c>
      <c r="O217" s="388">
        <f t="shared" si="173"/>
        <v>0</v>
      </c>
      <c r="P217" s="388">
        <f t="shared" si="173"/>
        <v>0</v>
      </c>
      <c r="Q217" s="388">
        <f t="shared" si="173"/>
        <v>0</v>
      </c>
      <c r="R217" s="388">
        <f t="shared" si="173"/>
        <v>0</v>
      </c>
      <c r="S217" s="388">
        <f t="shared" si="173"/>
        <v>0</v>
      </c>
      <c r="T217" s="388">
        <f t="shared" si="173"/>
        <v>0</v>
      </c>
      <c r="U217" s="388">
        <f t="shared" si="173"/>
        <v>0</v>
      </c>
      <c r="V217" s="388">
        <f t="shared" si="173"/>
        <v>0</v>
      </c>
      <c r="W217" s="388">
        <f t="shared" si="173"/>
        <v>0</v>
      </c>
      <c r="X217" s="388">
        <f t="shared" si="173"/>
        <v>0</v>
      </c>
      <c r="Y217" s="388">
        <f t="shared" si="173"/>
        <v>0</v>
      </c>
      <c r="Z217" s="388">
        <f t="shared" si="173"/>
        <v>0</v>
      </c>
      <c r="AA217" s="388">
        <f t="shared" si="173"/>
        <v>0</v>
      </c>
      <c r="AB217" s="388">
        <f t="shared" si="173"/>
        <v>0</v>
      </c>
    </row>
    <row r="218" spans="1:46" s="83" customFormat="1" x14ac:dyDescent="0.25">
      <c r="A218" s="82"/>
      <c r="B218" s="178" t="str">
        <f t="shared" si="172"/>
        <v>TFLEPYG900</v>
      </c>
      <c r="C218" s="178"/>
      <c r="D218" s="179"/>
      <c r="E218" s="178"/>
      <c r="F218" s="182"/>
      <c r="G218" s="181"/>
      <c r="H218" s="182"/>
      <c r="I218" s="183"/>
      <c r="J218" s="184"/>
      <c r="K218" s="184"/>
      <c r="L218" s="203" t="s">
        <v>1130</v>
      </c>
      <c r="M218" s="184" t="s">
        <v>1131</v>
      </c>
      <c r="N218" s="397">
        <f>LOOKUP($C$213, T_NCAP_AF!$C$140:$C$150, T_NCAP_AF!D$140:D$150)*(1+N79)</f>
        <v>0</v>
      </c>
      <c r="O218" s="397">
        <f>LOOKUP($C$213, T_NCAP_AF!$C$140:$C$150, T_NCAP_AF!E$140:E$150)*(1+O79)</f>
        <v>0</v>
      </c>
      <c r="P218" s="397">
        <f>LOOKUP($C$213, T_NCAP_AF!$C$140:$C$150, T_NCAP_AF!F$140:F$150)*(1+P79)</f>
        <v>0</v>
      </c>
      <c r="Q218" s="397">
        <f>LOOKUP($C$213, T_NCAP_AF!$C$140:$C$150, T_NCAP_AF!G$140:G$150)*(1+Q79)</f>
        <v>0</v>
      </c>
      <c r="R218" s="397">
        <f>LOOKUP($C$213, T_NCAP_AF!$C$140:$C$150, T_NCAP_AF!H$140:H$150)*(1+R79)</f>
        <v>0</v>
      </c>
      <c r="S218" s="397">
        <f>LOOKUP($C$213, T_NCAP_AF!$C$140:$C$150, T_NCAP_AF!I$140:I$150)*(1+S79)</f>
        <v>0</v>
      </c>
      <c r="T218" s="397">
        <f>LOOKUP($C$213, T_NCAP_AF!$C$140:$C$150, T_NCAP_AF!J$140:J$150)*(1+T79)</f>
        <v>0</v>
      </c>
      <c r="U218" s="397">
        <f>LOOKUP($C$213, T_NCAP_AF!$C$140:$C$150, T_NCAP_AF!K$140:K$150)*(1+U79)</f>
        <v>0</v>
      </c>
      <c r="V218" s="397">
        <f>LOOKUP($C$213, T_NCAP_AF!$C$140:$C$150, T_NCAP_AF!L$140:L$150)*(1+V79)</f>
        <v>0</v>
      </c>
      <c r="W218" s="397">
        <f>LOOKUP($C$213, T_NCAP_AF!$C$140:$C$150, T_NCAP_AF!M$140:M$150)*(1+W79)</f>
        <v>0</v>
      </c>
      <c r="X218" s="397">
        <f>LOOKUP($C$213, T_NCAP_AF!$C$140:$C$150, T_NCAP_AF!N$140:N$150)*(1+X79)</f>
        <v>0</v>
      </c>
      <c r="Y218" s="397">
        <f>LOOKUP($C$213, T_NCAP_AF!$C$140:$C$150, T_NCAP_AF!O$140:O$150)*(1+Y79)</f>
        <v>0</v>
      </c>
      <c r="Z218" s="397">
        <f>LOOKUP($C$213, T_NCAP_AF!$C$140:$C$150, T_NCAP_AF!P$140:P$150)*(1+Z79)</f>
        <v>0</v>
      </c>
      <c r="AA218" s="397">
        <f>LOOKUP($C$213, T_NCAP_AF!$C$140:$C$150, T_NCAP_AF!Q$140:Q$150)*(1+AA79)</f>
        <v>0</v>
      </c>
      <c r="AB218" s="397">
        <f>LOOKUP($C$213, T_NCAP_AF!$C$140:$C$150, T_NCAP_AF!R$140:R$150)*(1+AB79)</f>
        <v>0</v>
      </c>
      <c r="AE218" s="572">
        <f>SUM(AF218:AT218)</f>
        <v>0</v>
      </c>
      <c r="AF218" s="85">
        <f t="shared" ref="AF218:AT218" si="174">N217*N218*N219/1000</f>
        <v>0</v>
      </c>
      <c r="AG218" s="85">
        <f t="shared" si="174"/>
        <v>0</v>
      </c>
      <c r="AH218" s="85">
        <f t="shared" si="174"/>
        <v>0</v>
      </c>
      <c r="AI218" s="85">
        <f t="shared" si="174"/>
        <v>0</v>
      </c>
      <c r="AJ218" s="85">
        <f t="shared" si="174"/>
        <v>0</v>
      </c>
      <c r="AK218" s="85">
        <f t="shared" si="174"/>
        <v>0</v>
      </c>
      <c r="AL218" s="85">
        <f t="shared" si="174"/>
        <v>0</v>
      </c>
      <c r="AM218" s="85">
        <f t="shared" si="174"/>
        <v>0</v>
      </c>
      <c r="AN218" s="85">
        <f t="shared" si="174"/>
        <v>0</v>
      </c>
      <c r="AO218" s="85">
        <f t="shared" si="174"/>
        <v>0</v>
      </c>
      <c r="AP218" s="85">
        <f t="shared" si="174"/>
        <v>0</v>
      </c>
      <c r="AQ218" s="85">
        <f t="shared" si="174"/>
        <v>0</v>
      </c>
      <c r="AR218" s="85">
        <f t="shared" si="174"/>
        <v>0</v>
      </c>
      <c r="AS218" s="85">
        <f t="shared" si="174"/>
        <v>0</v>
      </c>
      <c r="AT218" s="85">
        <f t="shared" si="174"/>
        <v>0</v>
      </c>
    </row>
    <row r="219" spans="1:46" s="83" customFormat="1" x14ac:dyDescent="0.25">
      <c r="A219" s="82"/>
      <c r="B219" s="178" t="str">
        <f t="shared" si="172"/>
        <v>TFLEPYG900</v>
      </c>
      <c r="C219" s="178"/>
      <c r="D219" s="179"/>
      <c r="E219" s="178"/>
      <c r="F219" s="182"/>
      <c r="G219" s="181"/>
      <c r="H219" s="182"/>
      <c r="I219" s="183">
        <f>$M$3</f>
        <v>2019</v>
      </c>
      <c r="J219" s="184"/>
      <c r="K219" s="184"/>
      <c r="L219" s="203" t="s">
        <v>1065</v>
      </c>
      <c r="M219" s="184" t="s">
        <v>748</v>
      </c>
      <c r="N219" s="694">
        <f>LOOKUP($C$213, 'T_Stock_TOTAL_&amp;_City'!$C$90:$C$100, 'T_Stock_TOTAL_&amp;_City'!D$90:D$100)*(1+N80)</f>
        <v>0</v>
      </c>
      <c r="O219" s="694">
        <f>LOOKUP($C$213, 'T_Stock_TOTAL_&amp;_City'!$C$90:$C$100, 'T_Stock_TOTAL_&amp;_City'!E$90:E$100)*(1+O80)</f>
        <v>0</v>
      </c>
      <c r="P219" s="694">
        <f>LOOKUP($C$213, 'T_Stock_TOTAL_&amp;_City'!$C$90:$C$100, 'T_Stock_TOTAL_&amp;_City'!F$90:F$100)*(1+P80)</f>
        <v>0</v>
      </c>
      <c r="Q219" s="694">
        <f>LOOKUP($C$213, 'T_Stock_TOTAL_&amp;_City'!$C$90:$C$100, 'T_Stock_TOTAL_&amp;_City'!G$90:G$100)*(1+Q80)</f>
        <v>0</v>
      </c>
      <c r="R219" s="694">
        <f>LOOKUP($C$213, 'T_Stock_TOTAL_&amp;_City'!$C$90:$C$100, 'T_Stock_TOTAL_&amp;_City'!H$90:H$100)*(1+R80)</f>
        <v>0</v>
      </c>
      <c r="S219" s="694">
        <f>LOOKUP($C$213, 'T_Stock_TOTAL_&amp;_City'!$C$90:$C$100, 'T_Stock_TOTAL_&amp;_City'!I$90:I$100)*(1+S80)</f>
        <v>0</v>
      </c>
      <c r="T219" s="694">
        <f>LOOKUP($C$213, 'T_Stock_TOTAL_&amp;_City'!$C$90:$C$100, 'T_Stock_TOTAL_&amp;_City'!J$90:J$100)*(1+T80)</f>
        <v>0</v>
      </c>
      <c r="U219" s="694">
        <f>LOOKUP($C$213, 'T_Stock_TOTAL_&amp;_City'!$C$90:$C$100, 'T_Stock_TOTAL_&amp;_City'!K$90:K$100)*(1+U80)</f>
        <v>0</v>
      </c>
      <c r="V219" s="694">
        <f>LOOKUP($C$213, 'T_Stock_TOTAL_&amp;_City'!$C$90:$C$100, 'T_Stock_TOTAL_&amp;_City'!L$90:L$100)*(1+V80)</f>
        <v>0</v>
      </c>
      <c r="W219" s="694">
        <f>LOOKUP($C$213, 'T_Stock_TOTAL_&amp;_City'!$C$90:$C$100, 'T_Stock_TOTAL_&amp;_City'!M$90:M$100)*(1+W80)</f>
        <v>0</v>
      </c>
      <c r="X219" s="694">
        <f>LOOKUP($C$213, 'T_Stock_TOTAL_&amp;_City'!$C$90:$C$100, 'T_Stock_TOTAL_&amp;_City'!N$90:N$100)*(1+X80)</f>
        <v>0</v>
      </c>
      <c r="Y219" s="694">
        <f>LOOKUP($C$213, 'T_Stock_TOTAL_&amp;_City'!$C$90:$C$100, 'T_Stock_TOTAL_&amp;_City'!O$90:O$100)*(1+Y80)</f>
        <v>0</v>
      </c>
      <c r="Z219" s="694">
        <f>LOOKUP($C$213, 'T_Stock_TOTAL_&amp;_City'!$C$90:$C$100, 'T_Stock_TOTAL_&amp;_City'!P$90:P$100)*(1+Z80)</f>
        <v>0</v>
      </c>
      <c r="AA219" s="694">
        <f>LOOKUP($C$213, 'T_Stock_TOTAL_&amp;_City'!$C$90:$C$100, 'T_Stock_TOTAL_&amp;_City'!Q$90:Q$100)*(1+AA80)</f>
        <v>0</v>
      </c>
      <c r="AB219" s="694">
        <f>LOOKUP($C$213, 'T_Stock_TOTAL_&amp;_City'!$C$90:$C$100, 'T_Stock_TOTAL_&amp;_City'!R$90:R$100)*(1+AB80)</f>
        <v>0</v>
      </c>
      <c r="AD219" s="35"/>
    </row>
    <row r="220" spans="1:46" s="83" customFormat="1" x14ac:dyDescent="0.25">
      <c r="A220" s="82"/>
      <c r="B220" s="178" t="str">
        <f t="shared" si="172"/>
        <v>TFLEPYG900</v>
      </c>
      <c r="C220" s="178"/>
      <c r="D220" s="179"/>
      <c r="E220" s="178"/>
      <c r="F220" s="182"/>
      <c r="G220" s="181"/>
      <c r="H220" s="182"/>
      <c r="I220" s="183">
        <f>AF$5</f>
        <v>2016</v>
      </c>
      <c r="J220" s="184"/>
      <c r="K220" s="184"/>
      <c r="L220" s="203" t="s">
        <v>1065</v>
      </c>
      <c r="M220" s="184" t="s">
        <v>748</v>
      </c>
      <c r="N220" s="694">
        <f t="shared" ref="N220:AB220" si="175">N219*LOOKUP($AD213,$AH$4:$AQ$4,$AH$5:$AQ$5)</f>
        <v>0</v>
      </c>
      <c r="O220" s="694">
        <f t="shared" si="175"/>
        <v>0</v>
      </c>
      <c r="P220" s="694">
        <f t="shared" si="175"/>
        <v>0</v>
      </c>
      <c r="Q220" s="694">
        <f t="shared" si="175"/>
        <v>0</v>
      </c>
      <c r="R220" s="694">
        <f t="shared" si="175"/>
        <v>0</v>
      </c>
      <c r="S220" s="694">
        <f t="shared" si="175"/>
        <v>0</v>
      </c>
      <c r="T220" s="694">
        <f t="shared" si="175"/>
        <v>0</v>
      </c>
      <c r="U220" s="694">
        <f t="shared" si="175"/>
        <v>0</v>
      </c>
      <c r="V220" s="694">
        <f t="shared" si="175"/>
        <v>0</v>
      </c>
      <c r="W220" s="694">
        <f t="shared" si="175"/>
        <v>0</v>
      </c>
      <c r="X220" s="694">
        <f t="shared" si="175"/>
        <v>0</v>
      </c>
      <c r="Y220" s="694">
        <f t="shared" si="175"/>
        <v>0</v>
      </c>
      <c r="Z220" s="694">
        <f t="shared" si="175"/>
        <v>0</v>
      </c>
      <c r="AA220" s="694">
        <f t="shared" si="175"/>
        <v>0</v>
      </c>
      <c r="AB220" s="694">
        <f t="shared" si="175"/>
        <v>0</v>
      </c>
      <c r="AD220" s="35"/>
    </row>
    <row r="221" spans="1:46" s="83" customFormat="1" x14ac:dyDescent="0.25">
      <c r="A221" s="82"/>
      <c r="B221" s="178" t="str">
        <f t="shared" si="172"/>
        <v>TFLEPYG900</v>
      </c>
      <c r="C221" s="178"/>
      <c r="D221" s="179"/>
      <c r="E221" s="178"/>
      <c r="F221" s="182"/>
      <c r="G221" s="181"/>
      <c r="H221" s="182"/>
      <c r="I221" s="183">
        <f>AF$6</f>
        <v>2020</v>
      </c>
      <c r="J221" s="184"/>
      <c r="K221" s="184"/>
      <c r="L221" s="203" t="s">
        <v>1065</v>
      </c>
      <c r="M221" s="184" t="s">
        <v>748</v>
      </c>
      <c r="N221" s="694">
        <f t="shared" ref="N221:AB221" si="176">N219*LOOKUP($AD213,$AH$4:$AQ$4,$AH$6:$AQ$6)</f>
        <v>0</v>
      </c>
      <c r="O221" s="694">
        <f t="shared" si="176"/>
        <v>0</v>
      </c>
      <c r="P221" s="694">
        <f t="shared" si="176"/>
        <v>0</v>
      </c>
      <c r="Q221" s="694">
        <f t="shared" si="176"/>
        <v>0</v>
      </c>
      <c r="R221" s="694">
        <f t="shared" si="176"/>
        <v>0</v>
      </c>
      <c r="S221" s="694">
        <f t="shared" si="176"/>
        <v>0</v>
      </c>
      <c r="T221" s="694">
        <f t="shared" si="176"/>
        <v>0</v>
      </c>
      <c r="U221" s="694">
        <f t="shared" si="176"/>
        <v>0</v>
      </c>
      <c r="V221" s="694">
        <f t="shared" si="176"/>
        <v>0</v>
      </c>
      <c r="W221" s="694">
        <f t="shared" si="176"/>
        <v>0</v>
      </c>
      <c r="X221" s="694">
        <f t="shared" si="176"/>
        <v>0</v>
      </c>
      <c r="Y221" s="694">
        <f t="shared" si="176"/>
        <v>0</v>
      </c>
      <c r="Z221" s="694">
        <f t="shared" si="176"/>
        <v>0</v>
      </c>
      <c r="AA221" s="694">
        <f t="shared" si="176"/>
        <v>0</v>
      </c>
      <c r="AB221" s="694">
        <f t="shared" si="176"/>
        <v>0</v>
      </c>
      <c r="AD221" s="35"/>
    </row>
    <row r="222" spans="1:46" s="83" customFormat="1" x14ac:dyDescent="0.25">
      <c r="A222" s="82"/>
      <c r="B222" s="178" t="str">
        <f t="shared" si="172"/>
        <v>TFLEPYG900</v>
      </c>
      <c r="C222" s="178"/>
      <c r="D222" s="179"/>
      <c r="E222" s="178"/>
      <c r="F222" s="182"/>
      <c r="G222" s="181"/>
      <c r="H222" s="182"/>
      <c r="I222" s="183">
        <f>AF$7</f>
        <v>2025</v>
      </c>
      <c r="J222" s="184"/>
      <c r="K222" s="184"/>
      <c r="L222" s="203" t="s">
        <v>1065</v>
      </c>
      <c r="M222" s="184" t="s">
        <v>748</v>
      </c>
      <c r="N222" s="694">
        <f t="shared" ref="N222:AB222" si="177">N219*LOOKUP($AD213,$AH$4:$AQ$4,$AH$7:$AQ$7)</f>
        <v>0</v>
      </c>
      <c r="O222" s="694">
        <f t="shared" si="177"/>
        <v>0</v>
      </c>
      <c r="P222" s="694">
        <f t="shared" si="177"/>
        <v>0</v>
      </c>
      <c r="Q222" s="694">
        <f t="shared" si="177"/>
        <v>0</v>
      </c>
      <c r="R222" s="694">
        <f t="shared" si="177"/>
        <v>0</v>
      </c>
      <c r="S222" s="694">
        <f t="shared" si="177"/>
        <v>0</v>
      </c>
      <c r="T222" s="694">
        <f t="shared" si="177"/>
        <v>0</v>
      </c>
      <c r="U222" s="694">
        <f t="shared" si="177"/>
        <v>0</v>
      </c>
      <c r="V222" s="694">
        <f t="shared" si="177"/>
        <v>0</v>
      </c>
      <c r="W222" s="694">
        <f t="shared" si="177"/>
        <v>0</v>
      </c>
      <c r="X222" s="694">
        <f t="shared" si="177"/>
        <v>0</v>
      </c>
      <c r="Y222" s="694">
        <f t="shared" si="177"/>
        <v>0</v>
      </c>
      <c r="Z222" s="694">
        <f t="shared" si="177"/>
        <v>0</v>
      </c>
      <c r="AA222" s="694">
        <f t="shared" si="177"/>
        <v>0</v>
      </c>
      <c r="AB222" s="694">
        <f t="shared" si="177"/>
        <v>0</v>
      </c>
      <c r="AD222" s="35"/>
    </row>
    <row r="223" spans="1:46" s="83" customFormat="1" x14ac:dyDescent="0.25">
      <c r="A223" s="82"/>
      <c r="B223" s="178" t="str">
        <f t="shared" si="172"/>
        <v>TFLEPYG900</v>
      </c>
      <c r="C223" s="178"/>
      <c r="D223" s="179"/>
      <c r="E223" s="178"/>
      <c r="F223" s="182"/>
      <c r="G223" s="181"/>
      <c r="H223" s="182"/>
      <c r="I223" s="183">
        <f>AF$8</f>
        <v>2030</v>
      </c>
      <c r="J223" s="184"/>
      <c r="K223" s="184"/>
      <c r="L223" s="203" t="s">
        <v>1065</v>
      </c>
      <c r="M223" s="184" t="s">
        <v>748</v>
      </c>
      <c r="N223" s="694">
        <f t="shared" ref="N223:AB223" si="178">N219*LOOKUP($AD213,$AH$4:$AQ$4,$AH$8:$AQ$8)</f>
        <v>0</v>
      </c>
      <c r="O223" s="694">
        <f t="shared" si="178"/>
        <v>0</v>
      </c>
      <c r="P223" s="694">
        <f t="shared" si="178"/>
        <v>0</v>
      </c>
      <c r="Q223" s="694">
        <f t="shared" si="178"/>
        <v>0</v>
      </c>
      <c r="R223" s="694">
        <f t="shared" si="178"/>
        <v>0</v>
      </c>
      <c r="S223" s="694">
        <f t="shared" si="178"/>
        <v>0</v>
      </c>
      <c r="T223" s="694">
        <f t="shared" si="178"/>
        <v>0</v>
      </c>
      <c r="U223" s="694">
        <f t="shared" si="178"/>
        <v>0</v>
      </c>
      <c r="V223" s="694">
        <f t="shared" si="178"/>
        <v>0</v>
      </c>
      <c r="W223" s="694">
        <f t="shared" si="178"/>
        <v>0</v>
      </c>
      <c r="X223" s="694">
        <f t="shared" si="178"/>
        <v>0</v>
      </c>
      <c r="Y223" s="694">
        <f t="shared" si="178"/>
        <v>0</v>
      </c>
      <c r="Z223" s="694">
        <f t="shared" si="178"/>
        <v>0</v>
      </c>
      <c r="AA223" s="694">
        <f t="shared" si="178"/>
        <v>0</v>
      </c>
      <c r="AB223" s="694">
        <f t="shared" si="178"/>
        <v>0</v>
      </c>
      <c r="AD223" s="35"/>
    </row>
    <row r="224" spans="1:46" s="83" customFormat="1" x14ac:dyDescent="0.25">
      <c r="A224" s="82"/>
      <c r="B224" s="178" t="str">
        <f t="shared" si="172"/>
        <v>TFLEPYG900</v>
      </c>
      <c r="C224" s="178"/>
      <c r="D224" s="179"/>
      <c r="E224" s="178"/>
      <c r="F224" s="182"/>
      <c r="G224" s="181"/>
      <c r="H224" s="182"/>
      <c r="I224" s="183">
        <f>AF$9</f>
        <v>2040</v>
      </c>
      <c r="J224" s="184"/>
      <c r="K224" s="184"/>
      <c r="L224" s="203" t="s">
        <v>1065</v>
      </c>
      <c r="M224" s="184" t="s">
        <v>748</v>
      </c>
      <c r="N224" s="694">
        <f t="shared" ref="N224:AB224" si="179">N219*LOOKUP($AD213,$AH$4:$AQ$4,$AH$9:$AQ$9)</f>
        <v>0</v>
      </c>
      <c r="O224" s="694">
        <f t="shared" si="179"/>
        <v>0</v>
      </c>
      <c r="P224" s="694">
        <f t="shared" si="179"/>
        <v>0</v>
      </c>
      <c r="Q224" s="694">
        <f t="shared" si="179"/>
        <v>0</v>
      </c>
      <c r="R224" s="694">
        <f t="shared" si="179"/>
        <v>0</v>
      </c>
      <c r="S224" s="694">
        <f t="shared" si="179"/>
        <v>0</v>
      </c>
      <c r="T224" s="694">
        <f t="shared" si="179"/>
        <v>0</v>
      </c>
      <c r="U224" s="694">
        <f t="shared" si="179"/>
        <v>0</v>
      </c>
      <c r="V224" s="694">
        <f t="shared" si="179"/>
        <v>0</v>
      </c>
      <c r="W224" s="694">
        <f t="shared" si="179"/>
        <v>0</v>
      </c>
      <c r="X224" s="694">
        <f t="shared" si="179"/>
        <v>0</v>
      </c>
      <c r="Y224" s="694">
        <f t="shared" si="179"/>
        <v>0</v>
      </c>
      <c r="Z224" s="694">
        <f t="shared" si="179"/>
        <v>0</v>
      </c>
      <c r="AA224" s="694">
        <f t="shared" si="179"/>
        <v>0</v>
      </c>
      <c r="AB224" s="694">
        <f t="shared" si="179"/>
        <v>0</v>
      </c>
      <c r="AD224" s="35"/>
    </row>
    <row r="225" spans="1:52" s="83" customFormat="1" x14ac:dyDescent="0.25">
      <c r="A225" s="82"/>
      <c r="B225" s="204" t="str">
        <f t="shared" si="172"/>
        <v>TFLEPYG900</v>
      </c>
      <c r="C225" s="204"/>
      <c r="D225" s="205"/>
      <c r="E225" s="204"/>
      <c r="F225" s="206"/>
      <c r="G225" s="207"/>
      <c r="H225" s="206"/>
      <c r="I225" s="208">
        <f>AF$10</f>
        <v>2050</v>
      </c>
      <c r="J225" s="209"/>
      <c r="K225" s="209"/>
      <c r="L225" s="210" t="s">
        <v>1065</v>
      </c>
      <c r="M225" s="209" t="s">
        <v>748</v>
      </c>
      <c r="N225" s="695">
        <f t="shared" ref="N225:AB225" si="180">N219*LOOKUP($AD213,$AH$4:$AQ$4,$AH$10:$AQ$10)</f>
        <v>0</v>
      </c>
      <c r="O225" s="695">
        <f t="shared" si="180"/>
        <v>0</v>
      </c>
      <c r="P225" s="695">
        <f t="shared" si="180"/>
        <v>0</v>
      </c>
      <c r="Q225" s="695">
        <f t="shared" si="180"/>
        <v>0</v>
      </c>
      <c r="R225" s="695">
        <f t="shared" si="180"/>
        <v>0</v>
      </c>
      <c r="S225" s="695">
        <f t="shared" si="180"/>
        <v>0</v>
      </c>
      <c r="T225" s="695">
        <f t="shared" si="180"/>
        <v>0</v>
      </c>
      <c r="U225" s="695">
        <f t="shared" si="180"/>
        <v>0</v>
      </c>
      <c r="V225" s="695">
        <f t="shared" si="180"/>
        <v>0</v>
      </c>
      <c r="W225" s="695">
        <f t="shared" si="180"/>
        <v>0</v>
      </c>
      <c r="X225" s="695">
        <f t="shared" si="180"/>
        <v>0</v>
      </c>
      <c r="Y225" s="695">
        <f t="shared" si="180"/>
        <v>0</v>
      </c>
      <c r="Z225" s="695">
        <f t="shared" si="180"/>
        <v>0</v>
      </c>
      <c r="AA225" s="695">
        <f t="shared" si="180"/>
        <v>0</v>
      </c>
      <c r="AB225" s="695">
        <f t="shared" si="180"/>
        <v>0</v>
      </c>
    </row>
    <row r="226" spans="1:52" s="83" customFormat="1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70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8" spans="1:52" x14ac:dyDescent="0.25">
      <c r="M228" s="473" t="s">
        <v>1152</v>
      </c>
      <c r="N228" s="482">
        <v>0</v>
      </c>
      <c r="O228" s="482">
        <f>N228</f>
        <v>0</v>
      </c>
      <c r="P228" s="482">
        <f>O228</f>
        <v>0</v>
      </c>
      <c r="Q228" s="482">
        <f t="shared" ref="Q228:AB228" si="181">P228</f>
        <v>0</v>
      </c>
      <c r="R228" s="482">
        <f t="shared" si="181"/>
        <v>0</v>
      </c>
      <c r="S228" s="482">
        <f t="shared" si="181"/>
        <v>0</v>
      </c>
      <c r="T228" s="482">
        <f t="shared" si="181"/>
        <v>0</v>
      </c>
      <c r="U228" s="482">
        <f t="shared" si="181"/>
        <v>0</v>
      </c>
      <c r="V228" s="482">
        <f t="shared" si="181"/>
        <v>0</v>
      </c>
      <c r="W228" s="482">
        <f t="shared" si="181"/>
        <v>0</v>
      </c>
      <c r="X228" s="482">
        <f t="shared" si="181"/>
        <v>0</v>
      </c>
      <c r="Y228" s="482">
        <f t="shared" si="181"/>
        <v>0</v>
      </c>
      <c r="Z228" s="482">
        <f t="shared" si="181"/>
        <v>0</v>
      </c>
      <c r="AA228" s="482">
        <f t="shared" si="181"/>
        <v>0</v>
      </c>
      <c r="AB228" s="482">
        <f t="shared" si="181"/>
        <v>0</v>
      </c>
    </row>
    <row r="229" spans="1:52" x14ac:dyDescent="0.25">
      <c r="B229" s="32" t="s">
        <v>1224</v>
      </c>
      <c r="C229" s="88"/>
      <c r="D229" s="26"/>
      <c r="I229" s="36"/>
      <c r="M229" s="473" t="s">
        <v>1154</v>
      </c>
      <c r="N229" s="482">
        <v>0</v>
      </c>
      <c r="O229" s="482">
        <f>N229</f>
        <v>0</v>
      </c>
      <c r="P229" s="482">
        <f t="shared" ref="P229:AB229" si="182">O229</f>
        <v>0</v>
      </c>
      <c r="Q229" s="482">
        <f t="shared" si="182"/>
        <v>0</v>
      </c>
      <c r="R229" s="482">
        <f t="shared" si="182"/>
        <v>0</v>
      </c>
      <c r="S229" s="482">
        <f t="shared" si="182"/>
        <v>0</v>
      </c>
      <c r="T229" s="482">
        <f t="shared" si="182"/>
        <v>0</v>
      </c>
      <c r="U229" s="482">
        <f t="shared" si="182"/>
        <v>0</v>
      </c>
      <c r="V229" s="482">
        <f t="shared" si="182"/>
        <v>0</v>
      </c>
      <c r="W229" s="482">
        <f t="shared" si="182"/>
        <v>0</v>
      </c>
      <c r="X229" s="482">
        <f t="shared" si="182"/>
        <v>0</v>
      </c>
      <c r="Y229" s="482">
        <f t="shared" si="182"/>
        <v>0</v>
      </c>
      <c r="Z229" s="482">
        <f t="shared" si="182"/>
        <v>0</v>
      </c>
      <c r="AA229" s="482">
        <f t="shared" si="182"/>
        <v>0</v>
      </c>
      <c r="AB229" s="482">
        <f t="shared" si="182"/>
        <v>0</v>
      </c>
    </row>
    <row r="230" spans="1:52" x14ac:dyDescent="0.25">
      <c r="I230" s="36"/>
      <c r="M230" s="473"/>
      <c r="N230" s="473"/>
      <c r="O230" s="473"/>
      <c r="P230" s="473"/>
      <c r="Q230" s="473"/>
      <c r="R230" s="473"/>
      <c r="S230" s="473"/>
      <c r="T230" s="473"/>
      <c r="U230" s="473"/>
      <c r="V230" s="473"/>
      <c r="W230" s="473"/>
      <c r="X230" s="473"/>
      <c r="Y230" s="473"/>
      <c r="Z230" s="473"/>
      <c r="AA230" s="473"/>
      <c r="AB230" s="473"/>
      <c r="AC230" s="473"/>
      <c r="AD230" s="473"/>
      <c r="AE230" s="473"/>
    </row>
    <row r="231" spans="1:52" x14ac:dyDescent="0.25">
      <c r="C231" s="50"/>
      <c r="D231" s="50"/>
      <c r="H231" s="41"/>
      <c r="I231" s="51"/>
      <c r="J231" s="41"/>
      <c r="K231" s="41"/>
      <c r="L231" s="40" t="str">
        <f>IF(SUM(N12:AB13)&gt;0,"~FI_T","Not in use")</f>
        <v>Not in use</v>
      </c>
      <c r="M231" s="40"/>
      <c r="R231" s="41"/>
      <c r="W231" s="41"/>
      <c r="AC231" s="41"/>
      <c r="AD231" s="49" t="str">
        <f>CONCATENATE("TEST: ",B229)</f>
        <v>TEST: Base-year: Medium Trucks (MGV) 3.5-16 tons - City's OWN organisation</v>
      </c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</row>
    <row r="232" spans="1:52" s="22" customFormat="1" x14ac:dyDescent="0.25">
      <c r="A232" s="35"/>
      <c r="B232" s="52" t="s">
        <v>1053</v>
      </c>
      <c r="C232" s="26" t="s">
        <v>104</v>
      </c>
      <c r="D232" s="26" t="s">
        <v>1054</v>
      </c>
      <c r="E232" s="26" t="s">
        <v>673</v>
      </c>
      <c r="F232" s="26" t="s">
        <v>1155</v>
      </c>
      <c r="G232" s="26" t="s">
        <v>674</v>
      </c>
      <c r="H232" s="26" t="s">
        <v>1055</v>
      </c>
      <c r="I232" s="53" t="s">
        <v>1056</v>
      </c>
      <c r="J232" s="26" t="s">
        <v>982</v>
      </c>
      <c r="K232" s="42" t="s">
        <v>1123</v>
      </c>
      <c r="L232" s="26" t="s">
        <v>1057</v>
      </c>
      <c r="M232" s="26" t="s">
        <v>1058</v>
      </c>
      <c r="N232" s="26" t="str">
        <f t="shared" ref="N232:AB232" si="183">N$2</f>
        <v>Z01</v>
      </c>
      <c r="O232" s="26" t="str">
        <f t="shared" si="183"/>
        <v>Z02</v>
      </c>
      <c r="P232" s="26" t="str">
        <f t="shared" si="183"/>
        <v>Z03</v>
      </c>
      <c r="Q232" s="26" t="str">
        <f t="shared" si="183"/>
        <v>Z04</v>
      </c>
      <c r="R232" s="26" t="str">
        <f t="shared" si="183"/>
        <v>Z05</v>
      </c>
      <c r="S232" s="26" t="str">
        <f t="shared" si="183"/>
        <v>Z06</v>
      </c>
      <c r="T232" s="26" t="str">
        <f t="shared" si="183"/>
        <v>Z07</v>
      </c>
      <c r="U232" s="26" t="str">
        <f t="shared" si="183"/>
        <v>Z08</v>
      </c>
      <c r="V232" s="26" t="str">
        <f t="shared" si="183"/>
        <v>Z09</v>
      </c>
      <c r="W232" s="26" t="str">
        <f t="shared" si="183"/>
        <v>Z10</v>
      </c>
      <c r="X232" s="26" t="str">
        <f t="shared" si="183"/>
        <v>Z11</v>
      </c>
      <c r="Y232" s="26" t="str">
        <f t="shared" si="183"/>
        <v>Z12</v>
      </c>
      <c r="Z232" s="26" t="str">
        <f t="shared" si="183"/>
        <v>Z13</v>
      </c>
      <c r="AA232" s="26" t="str">
        <f t="shared" si="183"/>
        <v>Z14</v>
      </c>
      <c r="AB232" s="26" t="str">
        <f t="shared" si="183"/>
        <v>Z15</v>
      </c>
      <c r="AC232" s="48"/>
      <c r="AD232" s="43"/>
      <c r="AE232" s="43" t="str">
        <f t="shared" ref="AE232:AT232" si="184">AE83</f>
        <v>TOTAL</v>
      </c>
      <c r="AF232" s="43" t="str">
        <f t="shared" si="184"/>
        <v>Z01</v>
      </c>
      <c r="AG232" s="43" t="str">
        <f t="shared" si="184"/>
        <v>Z02</v>
      </c>
      <c r="AH232" s="43" t="str">
        <f t="shared" si="184"/>
        <v>Z03</v>
      </c>
      <c r="AI232" s="43" t="str">
        <f t="shared" si="184"/>
        <v>Z04</v>
      </c>
      <c r="AJ232" s="43" t="str">
        <f t="shared" si="184"/>
        <v>Z05</v>
      </c>
      <c r="AK232" s="43" t="str">
        <f t="shared" si="184"/>
        <v>Z06</v>
      </c>
      <c r="AL232" s="43" t="str">
        <f t="shared" si="184"/>
        <v>Z07</v>
      </c>
      <c r="AM232" s="43" t="str">
        <f t="shared" si="184"/>
        <v>Z08</v>
      </c>
      <c r="AN232" s="43" t="str">
        <f t="shared" si="184"/>
        <v>Z09</v>
      </c>
      <c r="AO232" s="43" t="str">
        <f t="shared" si="184"/>
        <v>Z10</v>
      </c>
      <c r="AP232" s="43" t="str">
        <f t="shared" si="184"/>
        <v>Z11</v>
      </c>
      <c r="AQ232" s="43" t="str">
        <f t="shared" si="184"/>
        <v>Z12</v>
      </c>
      <c r="AR232" s="43" t="str">
        <f t="shared" si="184"/>
        <v>Z13</v>
      </c>
      <c r="AS232" s="43" t="str">
        <f t="shared" si="184"/>
        <v>Z14</v>
      </c>
      <c r="AT232" s="43" t="str">
        <f t="shared" si="184"/>
        <v>Z15</v>
      </c>
    </row>
    <row r="233" spans="1:52" s="22" customFormat="1" x14ac:dyDescent="0.25">
      <c r="A233" s="35"/>
      <c r="B233" s="176"/>
      <c r="C233" s="176"/>
      <c r="D233" s="176" t="s">
        <v>1062</v>
      </c>
      <c r="E233" s="176"/>
      <c r="F233" s="176"/>
      <c r="G233" s="176"/>
      <c r="H233" s="176"/>
      <c r="I233" s="177"/>
      <c r="J233" s="176"/>
      <c r="K233" s="176"/>
      <c r="L233" s="176"/>
      <c r="M233" s="202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35"/>
      <c r="AD233" s="398" t="s">
        <v>1124</v>
      </c>
      <c r="AE233" s="625" t="str">
        <f>IF(AE234-SUM(N12:AB13)&lt;0,"too small",IF(AE234-SUM(N12:AB13)&gt;0.001,"Too big","ok"))</f>
        <v>ok</v>
      </c>
      <c r="AF233" s="619" t="str">
        <f t="shared" ref="AF233:AT233" si="185">IF(AF234-SUM(N12:N13)&lt;0,"too small",IF(AF234-SUM(N12:N13)&gt;0.001,"Too big","ok"))</f>
        <v>ok</v>
      </c>
      <c r="AG233" s="619" t="str">
        <f t="shared" si="185"/>
        <v>ok</v>
      </c>
      <c r="AH233" s="619" t="str">
        <f t="shared" si="185"/>
        <v>ok</v>
      </c>
      <c r="AI233" s="619" t="str">
        <f t="shared" si="185"/>
        <v>ok</v>
      </c>
      <c r="AJ233" s="619" t="str">
        <f t="shared" si="185"/>
        <v>ok</v>
      </c>
      <c r="AK233" s="619" t="str">
        <f t="shared" si="185"/>
        <v>ok</v>
      </c>
      <c r="AL233" s="619" t="str">
        <f t="shared" si="185"/>
        <v>ok</v>
      </c>
      <c r="AM233" s="619" t="str">
        <f t="shared" si="185"/>
        <v>ok</v>
      </c>
      <c r="AN233" s="619" t="str">
        <f t="shared" si="185"/>
        <v>ok</v>
      </c>
      <c r="AO233" s="619" t="str">
        <f t="shared" si="185"/>
        <v>ok</v>
      </c>
      <c r="AP233" s="619" t="str">
        <f t="shared" si="185"/>
        <v>ok</v>
      </c>
      <c r="AQ233" s="619" t="str">
        <f t="shared" si="185"/>
        <v>ok</v>
      </c>
      <c r="AR233" s="619" t="str">
        <f t="shared" si="185"/>
        <v>ok</v>
      </c>
      <c r="AS233" s="619" t="str">
        <f t="shared" si="185"/>
        <v>ok</v>
      </c>
      <c r="AT233" s="619" t="str">
        <f t="shared" si="185"/>
        <v>ok</v>
      </c>
    </row>
    <row r="234" spans="1:52" s="22" customFormat="1" x14ac:dyDescent="0.25">
      <c r="A234" s="82"/>
      <c r="B234" s="178" t="str">
        <f>C234</f>
        <v>TFMEBDL900</v>
      </c>
      <c r="C234" s="178" t="s">
        <v>139</v>
      </c>
      <c r="D234" s="179" t="s">
        <v>827</v>
      </c>
      <c r="E234" s="407" t="s">
        <v>988</v>
      </c>
      <c r="F234" s="182"/>
      <c r="G234" s="181"/>
      <c r="H234" s="182"/>
      <c r="I234" s="183"/>
      <c r="J234" s="184"/>
      <c r="K234" s="184"/>
      <c r="L234" s="203" t="s">
        <v>1107</v>
      </c>
      <c r="M234" s="184" t="s">
        <v>1125</v>
      </c>
      <c r="N234" s="378">
        <v>1E-3</v>
      </c>
      <c r="O234" s="378">
        <f t="shared" ref="O234:AB234" si="186">$N234</f>
        <v>1E-3</v>
      </c>
      <c r="P234" s="378">
        <f t="shared" si="186"/>
        <v>1E-3</v>
      </c>
      <c r="Q234" s="378">
        <f t="shared" si="186"/>
        <v>1E-3</v>
      </c>
      <c r="R234" s="378">
        <f t="shared" si="186"/>
        <v>1E-3</v>
      </c>
      <c r="S234" s="378">
        <f t="shared" si="186"/>
        <v>1E-3</v>
      </c>
      <c r="T234" s="378">
        <f t="shared" si="186"/>
        <v>1E-3</v>
      </c>
      <c r="U234" s="378">
        <f t="shared" si="186"/>
        <v>1E-3</v>
      </c>
      <c r="V234" s="378">
        <f t="shared" si="186"/>
        <v>1E-3</v>
      </c>
      <c r="W234" s="378">
        <f t="shared" si="186"/>
        <v>1E-3</v>
      </c>
      <c r="X234" s="378">
        <f t="shared" si="186"/>
        <v>1E-3</v>
      </c>
      <c r="Y234" s="378">
        <f t="shared" si="186"/>
        <v>1E-3</v>
      </c>
      <c r="Z234" s="378">
        <f t="shared" si="186"/>
        <v>1E-3</v>
      </c>
      <c r="AA234" s="378">
        <f t="shared" si="186"/>
        <v>1E-3</v>
      </c>
      <c r="AB234" s="378">
        <f t="shared" si="186"/>
        <v>1E-3</v>
      </c>
      <c r="AC234" s="83"/>
      <c r="AD234" s="86" t="str">
        <f>MID(D234,14,3)</f>
        <v>BDL</v>
      </c>
      <c r="AE234" s="572">
        <f>SUM(AF234:AT234)</f>
        <v>0</v>
      </c>
      <c r="AF234" s="329">
        <f t="shared" ref="AF234:AS234" si="187">SUM(AF236:AF365)</f>
        <v>0</v>
      </c>
      <c r="AG234" s="329">
        <f t="shared" si="187"/>
        <v>0</v>
      </c>
      <c r="AH234" s="329">
        <f t="shared" si="187"/>
        <v>0</v>
      </c>
      <c r="AI234" s="329">
        <f t="shared" si="187"/>
        <v>0</v>
      </c>
      <c r="AJ234" s="329">
        <f t="shared" si="187"/>
        <v>0</v>
      </c>
      <c r="AK234" s="329">
        <f t="shared" si="187"/>
        <v>0</v>
      </c>
      <c r="AL234" s="329">
        <f t="shared" si="187"/>
        <v>0</v>
      </c>
      <c r="AM234" s="329">
        <f t="shared" si="187"/>
        <v>0</v>
      </c>
      <c r="AN234" s="329">
        <f t="shared" si="187"/>
        <v>0</v>
      </c>
      <c r="AO234" s="329">
        <f t="shared" si="187"/>
        <v>0</v>
      </c>
      <c r="AP234" s="329">
        <f t="shared" si="187"/>
        <v>0</v>
      </c>
      <c r="AQ234" s="329">
        <f t="shared" si="187"/>
        <v>0</v>
      </c>
      <c r="AR234" s="329">
        <f t="shared" si="187"/>
        <v>0</v>
      </c>
      <c r="AS234" s="329">
        <f t="shared" si="187"/>
        <v>0</v>
      </c>
      <c r="AT234" s="329">
        <f>SUM(AU235:AU365)</f>
        <v>0</v>
      </c>
      <c r="AU234" s="83"/>
      <c r="AV234" s="83"/>
      <c r="AW234" s="83"/>
      <c r="AX234" s="83"/>
      <c r="AY234" s="83"/>
      <c r="AZ234" s="83"/>
    </row>
    <row r="235" spans="1:52" s="83" customFormat="1" x14ac:dyDescent="0.25">
      <c r="B235" s="178" t="str">
        <f>B234</f>
        <v>TFMEBDL900</v>
      </c>
      <c r="C235" s="178"/>
      <c r="D235" s="179"/>
      <c r="E235" s="178"/>
      <c r="F235" s="182"/>
      <c r="G235" s="324" t="s">
        <v>643</v>
      </c>
      <c r="H235" s="182"/>
      <c r="I235" s="183"/>
      <c r="J235" s="184"/>
      <c r="K235" s="184"/>
      <c r="L235" s="184" t="s">
        <v>1126</v>
      </c>
      <c r="M235" s="184" t="s">
        <v>678</v>
      </c>
      <c r="N235" s="676">
        <f>T_CEFF!H249</f>
        <v>0.10185</v>
      </c>
      <c r="O235" s="676">
        <f>T_CEFF!I249</f>
        <v>0.10185</v>
      </c>
      <c r="P235" s="676">
        <f>T_CEFF!J249</f>
        <v>0.10185</v>
      </c>
      <c r="Q235" s="676">
        <f>T_CEFF!K249</f>
        <v>0.10185</v>
      </c>
      <c r="R235" s="676">
        <f>T_CEFF!L249</f>
        <v>0.10185</v>
      </c>
      <c r="S235" s="676">
        <f>T_CEFF!M249</f>
        <v>0.10185</v>
      </c>
      <c r="T235" s="676">
        <f>T_CEFF!N249</f>
        <v>0.10185</v>
      </c>
      <c r="U235" s="676">
        <f>T_CEFF!O249</f>
        <v>0.10185</v>
      </c>
      <c r="V235" s="676">
        <f>T_CEFF!P249</f>
        <v>0.10185</v>
      </c>
      <c r="W235" s="676">
        <f>T_CEFF!Q249</f>
        <v>0.10185</v>
      </c>
      <c r="X235" s="676">
        <f>T_CEFF!R249</f>
        <v>0.10185</v>
      </c>
      <c r="Y235" s="676">
        <f>T_CEFF!S249</f>
        <v>0.10185</v>
      </c>
      <c r="Z235" s="676">
        <f>T_CEFF!T249</f>
        <v>0.10185</v>
      </c>
      <c r="AA235" s="676">
        <f>T_CEFF!U249</f>
        <v>0.10185</v>
      </c>
      <c r="AB235" s="676">
        <f>T_CEFF!V249</f>
        <v>0.10185</v>
      </c>
      <c r="AD235" s="66" t="str">
        <f>IF(COUNTIF($AH$4:$AQ$4,AD234)=1,"ok","MISSING")</f>
        <v>ok</v>
      </c>
      <c r="AF235" s="333"/>
    </row>
    <row r="236" spans="1:52" s="83" customFormat="1" x14ac:dyDescent="0.25">
      <c r="B236" s="178" t="str">
        <f t="shared" ref="B236:B245" si="188">B235</f>
        <v>TFMEBDL900</v>
      </c>
      <c r="C236" s="178"/>
      <c r="D236" s="179"/>
      <c r="E236" s="178"/>
      <c r="F236" s="182"/>
      <c r="G236" s="324" t="s">
        <v>646</v>
      </c>
      <c r="H236" s="182"/>
      <c r="I236" s="183"/>
      <c r="J236" s="184"/>
      <c r="K236" s="184"/>
      <c r="L236" s="184" t="s">
        <v>1126</v>
      </c>
      <c r="M236" s="184" t="s">
        <v>678</v>
      </c>
      <c r="N236" s="676">
        <f>T_CEFF!H250</f>
        <v>8.1479999999999997E-2</v>
      </c>
      <c r="O236" s="676">
        <f>T_CEFF!I250</f>
        <v>8.1479999999999997E-2</v>
      </c>
      <c r="P236" s="676">
        <f>T_CEFF!J250</f>
        <v>8.1479999999999997E-2</v>
      </c>
      <c r="Q236" s="676">
        <f>T_CEFF!K250</f>
        <v>8.1479999999999997E-2</v>
      </c>
      <c r="R236" s="676">
        <f>T_CEFF!L250</f>
        <v>8.1479999999999997E-2</v>
      </c>
      <c r="S236" s="676">
        <f>T_CEFF!M250</f>
        <v>8.1479999999999997E-2</v>
      </c>
      <c r="T236" s="676">
        <f>T_CEFF!N250</f>
        <v>8.1479999999999997E-2</v>
      </c>
      <c r="U236" s="676">
        <f>T_CEFF!O250</f>
        <v>8.1479999999999997E-2</v>
      </c>
      <c r="V236" s="676">
        <f>T_CEFF!P250</f>
        <v>8.1479999999999997E-2</v>
      </c>
      <c r="W236" s="676">
        <f>T_CEFF!Q250</f>
        <v>8.1479999999999997E-2</v>
      </c>
      <c r="X236" s="676">
        <f>T_CEFF!R250</f>
        <v>8.1479999999999997E-2</v>
      </c>
      <c r="Y236" s="676">
        <f>T_CEFF!S250</f>
        <v>8.1479999999999997E-2</v>
      </c>
      <c r="Z236" s="676">
        <f>T_CEFF!T250</f>
        <v>8.1479999999999997E-2</v>
      </c>
      <c r="AA236" s="676">
        <f>T_CEFF!U250</f>
        <v>8.1479999999999997E-2</v>
      </c>
      <c r="AB236" s="676">
        <f>T_CEFF!V250</f>
        <v>8.1479999999999997E-2</v>
      </c>
    </row>
    <row r="237" spans="1:52" s="83" customFormat="1" x14ac:dyDescent="0.25">
      <c r="B237" s="178" t="str">
        <f>B236</f>
        <v>TFMEBDL900</v>
      </c>
      <c r="C237" s="178"/>
      <c r="D237" s="179"/>
      <c r="E237" s="178"/>
      <c r="F237" s="182"/>
      <c r="G237" s="181"/>
      <c r="H237" s="182"/>
      <c r="I237" s="183"/>
      <c r="J237" s="184"/>
      <c r="K237" s="184" t="s">
        <v>749</v>
      </c>
      <c r="L237" s="184" t="s">
        <v>1128</v>
      </c>
      <c r="M237" s="184" t="s">
        <v>1175</v>
      </c>
      <c r="N237" s="388">
        <f>N$24</f>
        <v>0</v>
      </c>
      <c r="O237" s="388">
        <f t="shared" ref="O237:AB237" si="189">O$24</f>
        <v>0</v>
      </c>
      <c r="P237" s="388">
        <f t="shared" si="189"/>
        <v>0</v>
      </c>
      <c r="Q237" s="388">
        <f t="shared" si="189"/>
        <v>0</v>
      </c>
      <c r="R237" s="388">
        <f t="shared" si="189"/>
        <v>0</v>
      </c>
      <c r="S237" s="388">
        <f t="shared" si="189"/>
        <v>0</v>
      </c>
      <c r="T237" s="388">
        <f t="shared" si="189"/>
        <v>0</v>
      </c>
      <c r="U237" s="388">
        <f t="shared" si="189"/>
        <v>0</v>
      </c>
      <c r="V237" s="388">
        <f t="shared" si="189"/>
        <v>0</v>
      </c>
      <c r="W237" s="388">
        <f t="shared" si="189"/>
        <v>0</v>
      </c>
      <c r="X237" s="388">
        <f t="shared" si="189"/>
        <v>0</v>
      </c>
      <c r="Y237" s="388">
        <f t="shared" si="189"/>
        <v>0</v>
      </c>
      <c r="Z237" s="388">
        <f t="shared" si="189"/>
        <v>0</v>
      </c>
      <c r="AA237" s="388">
        <f t="shared" si="189"/>
        <v>0</v>
      </c>
      <c r="AB237" s="388">
        <f t="shared" si="189"/>
        <v>0</v>
      </c>
    </row>
    <row r="238" spans="1:52" s="83" customFormat="1" x14ac:dyDescent="0.25">
      <c r="B238" s="178" t="str">
        <f t="shared" si="188"/>
        <v>TFMEBDL900</v>
      </c>
      <c r="C238" s="178"/>
      <c r="D238" s="179"/>
      <c r="E238" s="178"/>
      <c r="F238" s="182"/>
      <c r="G238" s="181"/>
      <c r="H238" s="182"/>
      <c r="I238" s="183"/>
      <c r="J238" s="184"/>
      <c r="K238" s="184"/>
      <c r="L238" s="203" t="s">
        <v>1130</v>
      </c>
      <c r="M238" s="184" t="s">
        <v>1131</v>
      </c>
      <c r="N238" s="397">
        <f>LOOKUP($C$234, T_NCAP_AF!$C$170:$C$180, T_NCAP_AF!D$170:D$180)*(1+N228)</f>
        <v>0</v>
      </c>
      <c r="O238" s="397">
        <f>LOOKUP($C$234, T_NCAP_AF!$C$170:$C$180, T_NCAP_AF!E$170:E$180)*(1+O228)</f>
        <v>0</v>
      </c>
      <c r="P238" s="397">
        <f>LOOKUP($C$234, T_NCAP_AF!$C$170:$C$180, T_NCAP_AF!F$170:F$180)*(1+P228)</f>
        <v>0</v>
      </c>
      <c r="Q238" s="397">
        <f>LOOKUP($C$234, T_NCAP_AF!$C$170:$C$180, T_NCAP_AF!G$170:G$180)*(1+Q228)</f>
        <v>0</v>
      </c>
      <c r="R238" s="397">
        <f>LOOKUP($C$234, T_NCAP_AF!$C$170:$C$180, T_NCAP_AF!H$170:H$180)*(1+R228)</f>
        <v>0</v>
      </c>
      <c r="S238" s="397">
        <f>LOOKUP($C$234, T_NCAP_AF!$C$170:$C$180, T_NCAP_AF!I$170:I$180)*(1+S228)</f>
        <v>0</v>
      </c>
      <c r="T238" s="397">
        <f>LOOKUP($C$234, T_NCAP_AF!$C$170:$C$180, T_NCAP_AF!J$170:J$180)*(1+T228)</f>
        <v>0</v>
      </c>
      <c r="U238" s="397">
        <f>LOOKUP($C$234, T_NCAP_AF!$C$170:$C$180, T_NCAP_AF!K$170:K$180)*(1+U228)</f>
        <v>0</v>
      </c>
      <c r="V238" s="397">
        <f>LOOKUP($C$234, T_NCAP_AF!$C$170:$C$180, T_NCAP_AF!L$170:L$180)*(1+V228)</f>
        <v>0</v>
      </c>
      <c r="W238" s="397">
        <f>LOOKUP($C$234, T_NCAP_AF!$C$170:$C$180, T_NCAP_AF!M$170:M$180)*(1+W228)</f>
        <v>0</v>
      </c>
      <c r="X238" s="397">
        <f>LOOKUP($C$234, T_NCAP_AF!$C$170:$C$180, T_NCAP_AF!N$170:N$180)*(1+X228)</f>
        <v>0</v>
      </c>
      <c r="Y238" s="397">
        <f>LOOKUP($C$234, T_NCAP_AF!$C$170:$C$180, T_NCAP_AF!O$170:O$180)*(1+Y228)</f>
        <v>0</v>
      </c>
      <c r="Z238" s="397">
        <f>LOOKUP($C$234, T_NCAP_AF!$C$170:$C$180, T_NCAP_AF!P$170:P$180)*(1+Z228)</f>
        <v>0</v>
      </c>
      <c r="AA238" s="397">
        <f>LOOKUP($C$234, T_NCAP_AF!$C$170:$C$180, T_NCAP_AF!Q$170:Q$180)*(1+AA228)</f>
        <v>0</v>
      </c>
      <c r="AB238" s="397">
        <f>LOOKUP($C$234, T_NCAP_AF!$C$170:$C$180, T_NCAP_AF!R$170:R$180)*(1+AB228)</f>
        <v>0</v>
      </c>
      <c r="AE238" s="572">
        <f>SUM(AF238:AT238)</f>
        <v>0</v>
      </c>
      <c r="AF238" s="85">
        <f t="shared" ref="AF238:AT238" si="190">N237*N238*N239/1000</f>
        <v>0</v>
      </c>
      <c r="AG238" s="85">
        <f t="shared" si="190"/>
        <v>0</v>
      </c>
      <c r="AH238" s="85">
        <f t="shared" si="190"/>
        <v>0</v>
      </c>
      <c r="AI238" s="85">
        <f t="shared" si="190"/>
        <v>0</v>
      </c>
      <c r="AJ238" s="85">
        <f t="shared" si="190"/>
        <v>0</v>
      </c>
      <c r="AK238" s="85">
        <f t="shared" si="190"/>
        <v>0</v>
      </c>
      <c r="AL238" s="85">
        <f t="shared" si="190"/>
        <v>0</v>
      </c>
      <c r="AM238" s="85">
        <f t="shared" si="190"/>
        <v>0</v>
      </c>
      <c r="AN238" s="85">
        <f t="shared" si="190"/>
        <v>0</v>
      </c>
      <c r="AO238" s="85">
        <f t="shared" si="190"/>
        <v>0</v>
      </c>
      <c r="AP238" s="85">
        <f t="shared" si="190"/>
        <v>0</v>
      </c>
      <c r="AQ238" s="85">
        <f t="shared" si="190"/>
        <v>0</v>
      </c>
      <c r="AR238" s="85">
        <f t="shared" si="190"/>
        <v>0</v>
      </c>
      <c r="AS238" s="85">
        <f t="shared" si="190"/>
        <v>0</v>
      </c>
      <c r="AT238" s="85">
        <f t="shared" si="190"/>
        <v>0</v>
      </c>
    </row>
    <row r="239" spans="1:52" s="83" customFormat="1" x14ac:dyDescent="0.25">
      <c r="B239" s="178" t="str">
        <f>B238</f>
        <v>TFMEBDL900</v>
      </c>
      <c r="C239" s="178"/>
      <c r="D239" s="179"/>
      <c r="E239" s="178"/>
      <c r="F239" s="182"/>
      <c r="G239" s="181"/>
      <c r="H239" s="182"/>
      <c r="I239" s="183">
        <f>$M$3</f>
        <v>2019</v>
      </c>
      <c r="J239" s="184"/>
      <c r="K239" s="184"/>
      <c r="L239" s="203" t="s">
        <v>1065</v>
      </c>
      <c r="M239" s="184" t="s">
        <v>748</v>
      </c>
      <c r="N239" s="694">
        <f>LOOKUP($C$234, 'T_Stock_TOTAL_&amp;_City'!$C$106:$C$116, 'T_Stock_TOTAL_&amp;_City'!D$106:D$116)*(1+N229)</f>
        <v>0</v>
      </c>
      <c r="O239" s="694">
        <f>LOOKUP($C$234, 'T_Stock_TOTAL_&amp;_City'!$C$106:$C$116, 'T_Stock_TOTAL_&amp;_City'!E$106:E$116)*(1+O229)</f>
        <v>0</v>
      </c>
      <c r="P239" s="694">
        <f>LOOKUP($C$234, 'T_Stock_TOTAL_&amp;_City'!$C$106:$C$116, 'T_Stock_TOTAL_&amp;_City'!F$106:F$116)*(1+P229)</f>
        <v>0</v>
      </c>
      <c r="Q239" s="694">
        <f>LOOKUP($C$234, 'T_Stock_TOTAL_&amp;_City'!$C$106:$C$116, 'T_Stock_TOTAL_&amp;_City'!G$106:G$116)*(1+Q229)</f>
        <v>0</v>
      </c>
      <c r="R239" s="694">
        <f>LOOKUP($C$234, 'T_Stock_TOTAL_&amp;_City'!$C$106:$C$116, 'T_Stock_TOTAL_&amp;_City'!H$106:H$116)*(1+R229)</f>
        <v>0</v>
      </c>
      <c r="S239" s="694">
        <f>LOOKUP($C$234, 'T_Stock_TOTAL_&amp;_City'!$C$106:$C$116, 'T_Stock_TOTAL_&amp;_City'!I$106:I$116)*(1+S229)</f>
        <v>0</v>
      </c>
      <c r="T239" s="694">
        <f>LOOKUP($C$234, 'T_Stock_TOTAL_&amp;_City'!$C$106:$C$116, 'T_Stock_TOTAL_&amp;_City'!J$106:J$116)*(1+T229)</f>
        <v>0</v>
      </c>
      <c r="U239" s="694">
        <f>LOOKUP($C$234, 'T_Stock_TOTAL_&amp;_City'!$C$106:$C$116, 'T_Stock_TOTAL_&amp;_City'!K$106:K$116)*(1+U229)</f>
        <v>0</v>
      </c>
      <c r="V239" s="694">
        <f>LOOKUP($C$234, 'T_Stock_TOTAL_&amp;_City'!$C$106:$C$116, 'T_Stock_TOTAL_&amp;_City'!L$106:L$116)*(1+V229)</f>
        <v>0</v>
      </c>
      <c r="W239" s="694">
        <f>LOOKUP($C$234, 'T_Stock_TOTAL_&amp;_City'!$C$106:$C$116, 'T_Stock_TOTAL_&amp;_City'!M$106:M$116)*(1+W229)</f>
        <v>0</v>
      </c>
      <c r="X239" s="694">
        <f>LOOKUP($C$234, 'T_Stock_TOTAL_&amp;_City'!$C$106:$C$116, 'T_Stock_TOTAL_&amp;_City'!N$106:N$116)*(1+X229)</f>
        <v>0</v>
      </c>
      <c r="Y239" s="694">
        <f>LOOKUP($C$234, 'T_Stock_TOTAL_&amp;_City'!$C$106:$C$116, 'T_Stock_TOTAL_&amp;_City'!O$106:O$116)*(1+Y229)</f>
        <v>0</v>
      </c>
      <c r="Z239" s="694">
        <f>LOOKUP($C$234, 'T_Stock_TOTAL_&amp;_City'!$C$106:$C$116, 'T_Stock_TOTAL_&amp;_City'!P$106:P$116)*(1+Z229)</f>
        <v>0</v>
      </c>
      <c r="AA239" s="694">
        <f>LOOKUP($C$234, 'T_Stock_TOTAL_&amp;_City'!$C$106:$C$116, 'T_Stock_TOTAL_&amp;_City'!Q$106:Q$116)*(1+AA229)</f>
        <v>0</v>
      </c>
      <c r="AB239" s="694">
        <f>LOOKUP($C$234, 'T_Stock_TOTAL_&amp;_City'!$C$106:$C$116, 'T_Stock_TOTAL_&amp;_City'!R$106:R$116)*(1+AB229)</f>
        <v>0</v>
      </c>
    </row>
    <row r="240" spans="1:52" s="83" customFormat="1" x14ac:dyDescent="0.25">
      <c r="B240" s="178" t="str">
        <f t="shared" si="188"/>
        <v>TFMEBDL900</v>
      </c>
      <c r="C240" s="178"/>
      <c r="D240" s="179"/>
      <c r="E240" s="178"/>
      <c r="F240" s="182"/>
      <c r="G240" s="181"/>
      <c r="H240" s="182"/>
      <c r="I240" s="183">
        <f>AF$5</f>
        <v>2016</v>
      </c>
      <c r="J240" s="184"/>
      <c r="K240" s="184"/>
      <c r="L240" s="203" t="s">
        <v>1065</v>
      </c>
      <c r="M240" s="184" t="s">
        <v>748</v>
      </c>
      <c r="N240" s="694">
        <f t="shared" ref="N240:AB240" si="191">N239*LOOKUP($AD234,$AH$4:$AQ$4,$AH$5:$AQ$5)</f>
        <v>0</v>
      </c>
      <c r="O240" s="694">
        <f t="shared" si="191"/>
        <v>0</v>
      </c>
      <c r="P240" s="694">
        <f t="shared" si="191"/>
        <v>0</v>
      </c>
      <c r="Q240" s="694">
        <f t="shared" si="191"/>
        <v>0</v>
      </c>
      <c r="R240" s="694">
        <f t="shared" si="191"/>
        <v>0</v>
      </c>
      <c r="S240" s="694">
        <f t="shared" si="191"/>
        <v>0</v>
      </c>
      <c r="T240" s="694">
        <f t="shared" si="191"/>
        <v>0</v>
      </c>
      <c r="U240" s="694">
        <f t="shared" si="191"/>
        <v>0</v>
      </c>
      <c r="V240" s="694">
        <f t="shared" si="191"/>
        <v>0</v>
      </c>
      <c r="W240" s="694">
        <f t="shared" si="191"/>
        <v>0</v>
      </c>
      <c r="X240" s="694">
        <f t="shared" si="191"/>
        <v>0</v>
      </c>
      <c r="Y240" s="694">
        <f t="shared" si="191"/>
        <v>0</v>
      </c>
      <c r="Z240" s="694">
        <f t="shared" si="191"/>
        <v>0</v>
      </c>
      <c r="AA240" s="694">
        <f t="shared" si="191"/>
        <v>0</v>
      </c>
      <c r="AB240" s="694">
        <f t="shared" si="191"/>
        <v>0</v>
      </c>
    </row>
    <row r="241" spans="1:46" s="83" customFormat="1" x14ac:dyDescent="0.25">
      <c r="B241" s="178" t="str">
        <f t="shared" si="188"/>
        <v>TFMEBDL900</v>
      </c>
      <c r="C241" s="178"/>
      <c r="D241" s="179"/>
      <c r="E241" s="178"/>
      <c r="F241" s="182"/>
      <c r="G241" s="181"/>
      <c r="H241" s="182"/>
      <c r="I241" s="183">
        <f>AF$6</f>
        <v>2020</v>
      </c>
      <c r="J241" s="184"/>
      <c r="K241" s="184"/>
      <c r="L241" s="203" t="s">
        <v>1065</v>
      </c>
      <c r="M241" s="184" t="s">
        <v>748</v>
      </c>
      <c r="N241" s="694">
        <f t="shared" ref="N241:AB241" si="192">N239*LOOKUP($AD234,$AH$4:$AQ$4,$AH$6:$AQ$6)</f>
        <v>0</v>
      </c>
      <c r="O241" s="694">
        <f t="shared" si="192"/>
        <v>0</v>
      </c>
      <c r="P241" s="694">
        <f t="shared" si="192"/>
        <v>0</v>
      </c>
      <c r="Q241" s="694">
        <f t="shared" si="192"/>
        <v>0</v>
      </c>
      <c r="R241" s="694">
        <f t="shared" si="192"/>
        <v>0</v>
      </c>
      <c r="S241" s="694">
        <f t="shared" si="192"/>
        <v>0</v>
      </c>
      <c r="T241" s="694">
        <f t="shared" si="192"/>
        <v>0</v>
      </c>
      <c r="U241" s="694">
        <f t="shared" si="192"/>
        <v>0</v>
      </c>
      <c r="V241" s="694">
        <f t="shared" si="192"/>
        <v>0</v>
      </c>
      <c r="W241" s="694">
        <f t="shared" si="192"/>
        <v>0</v>
      </c>
      <c r="X241" s="694">
        <f t="shared" si="192"/>
        <v>0</v>
      </c>
      <c r="Y241" s="694">
        <f t="shared" si="192"/>
        <v>0</v>
      </c>
      <c r="Z241" s="694">
        <f t="shared" si="192"/>
        <v>0</v>
      </c>
      <c r="AA241" s="694">
        <f t="shared" si="192"/>
        <v>0</v>
      </c>
      <c r="AB241" s="694">
        <f t="shared" si="192"/>
        <v>0</v>
      </c>
    </row>
    <row r="242" spans="1:46" s="83" customFormat="1" x14ac:dyDescent="0.25">
      <c r="B242" s="178" t="str">
        <f t="shared" si="188"/>
        <v>TFMEBDL900</v>
      </c>
      <c r="C242" s="178"/>
      <c r="D242" s="179"/>
      <c r="E242" s="178"/>
      <c r="F242" s="182"/>
      <c r="G242" s="181"/>
      <c r="H242" s="182"/>
      <c r="I242" s="183">
        <f>AF$7</f>
        <v>2025</v>
      </c>
      <c r="J242" s="184"/>
      <c r="K242" s="184"/>
      <c r="L242" s="203" t="s">
        <v>1065</v>
      </c>
      <c r="M242" s="184" t="s">
        <v>748</v>
      </c>
      <c r="N242" s="694">
        <f t="shared" ref="N242:AB242" si="193">N239*LOOKUP($AD234,$AH$4:$AQ$4,$AH$7:$AQ$7)</f>
        <v>0</v>
      </c>
      <c r="O242" s="694">
        <f t="shared" si="193"/>
        <v>0</v>
      </c>
      <c r="P242" s="694">
        <f t="shared" si="193"/>
        <v>0</v>
      </c>
      <c r="Q242" s="694">
        <f t="shared" si="193"/>
        <v>0</v>
      </c>
      <c r="R242" s="694">
        <f t="shared" si="193"/>
        <v>0</v>
      </c>
      <c r="S242" s="694">
        <f t="shared" si="193"/>
        <v>0</v>
      </c>
      <c r="T242" s="694">
        <f t="shared" si="193"/>
        <v>0</v>
      </c>
      <c r="U242" s="694">
        <f t="shared" si="193"/>
        <v>0</v>
      </c>
      <c r="V242" s="694">
        <f t="shared" si="193"/>
        <v>0</v>
      </c>
      <c r="W242" s="694">
        <f t="shared" si="193"/>
        <v>0</v>
      </c>
      <c r="X242" s="694">
        <f t="shared" si="193"/>
        <v>0</v>
      </c>
      <c r="Y242" s="694">
        <f t="shared" si="193"/>
        <v>0</v>
      </c>
      <c r="Z242" s="694">
        <f t="shared" si="193"/>
        <v>0</v>
      </c>
      <c r="AA242" s="694">
        <f t="shared" si="193"/>
        <v>0</v>
      </c>
      <c r="AB242" s="694">
        <f t="shared" si="193"/>
        <v>0</v>
      </c>
    </row>
    <row r="243" spans="1:46" s="83" customFormat="1" x14ac:dyDescent="0.25">
      <c r="B243" s="178" t="str">
        <f t="shared" si="188"/>
        <v>TFMEBDL900</v>
      </c>
      <c r="C243" s="178"/>
      <c r="D243" s="179"/>
      <c r="E243" s="178"/>
      <c r="F243" s="182"/>
      <c r="G243" s="181"/>
      <c r="H243" s="182"/>
      <c r="I243" s="183">
        <f>AF$8</f>
        <v>2030</v>
      </c>
      <c r="J243" s="184"/>
      <c r="K243" s="184"/>
      <c r="L243" s="203" t="s">
        <v>1065</v>
      </c>
      <c r="M243" s="184" t="s">
        <v>748</v>
      </c>
      <c r="N243" s="694">
        <f t="shared" ref="N243:AB243" si="194">N239*LOOKUP($AD234,$AH$4:$AQ$4,$AH$8:$AQ$8)</f>
        <v>0</v>
      </c>
      <c r="O243" s="694">
        <f t="shared" si="194"/>
        <v>0</v>
      </c>
      <c r="P243" s="694">
        <f t="shared" si="194"/>
        <v>0</v>
      </c>
      <c r="Q243" s="694">
        <f t="shared" si="194"/>
        <v>0</v>
      </c>
      <c r="R243" s="694">
        <f t="shared" si="194"/>
        <v>0</v>
      </c>
      <c r="S243" s="694">
        <f t="shared" si="194"/>
        <v>0</v>
      </c>
      <c r="T243" s="694">
        <f t="shared" si="194"/>
        <v>0</v>
      </c>
      <c r="U243" s="694">
        <f t="shared" si="194"/>
        <v>0</v>
      </c>
      <c r="V243" s="694">
        <f t="shared" si="194"/>
        <v>0</v>
      </c>
      <c r="W243" s="694">
        <f t="shared" si="194"/>
        <v>0</v>
      </c>
      <c r="X243" s="694">
        <f t="shared" si="194"/>
        <v>0</v>
      </c>
      <c r="Y243" s="694">
        <f t="shared" si="194"/>
        <v>0</v>
      </c>
      <c r="Z243" s="694">
        <f t="shared" si="194"/>
        <v>0</v>
      </c>
      <c r="AA243" s="694">
        <f t="shared" si="194"/>
        <v>0</v>
      </c>
      <c r="AB243" s="694">
        <f t="shared" si="194"/>
        <v>0</v>
      </c>
    </row>
    <row r="244" spans="1:46" s="83" customFormat="1" x14ac:dyDescent="0.25">
      <c r="B244" s="178" t="str">
        <f t="shared" si="188"/>
        <v>TFMEBDL900</v>
      </c>
      <c r="C244" s="178"/>
      <c r="D244" s="179"/>
      <c r="E244" s="178"/>
      <c r="F244" s="182"/>
      <c r="G244" s="181"/>
      <c r="H244" s="182"/>
      <c r="I244" s="183">
        <f>AF$9</f>
        <v>2040</v>
      </c>
      <c r="J244" s="184"/>
      <c r="K244" s="184"/>
      <c r="L244" s="203" t="s">
        <v>1065</v>
      </c>
      <c r="M244" s="184" t="s">
        <v>748</v>
      </c>
      <c r="N244" s="694">
        <f t="shared" ref="N244:AB244" si="195">N239*LOOKUP($AD234,$AH$4:$AQ$4,$AH$9:$AQ$9)</f>
        <v>0</v>
      </c>
      <c r="O244" s="694">
        <f t="shared" si="195"/>
        <v>0</v>
      </c>
      <c r="P244" s="694">
        <f t="shared" si="195"/>
        <v>0</v>
      </c>
      <c r="Q244" s="694">
        <f t="shared" si="195"/>
        <v>0</v>
      </c>
      <c r="R244" s="694">
        <f t="shared" si="195"/>
        <v>0</v>
      </c>
      <c r="S244" s="694">
        <f t="shared" si="195"/>
        <v>0</v>
      </c>
      <c r="T244" s="694">
        <f t="shared" si="195"/>
        <v>0</v>
      </c>
      <c r="U244" s="694">
        <f t="shared" si="195"/>
        <v>0</v>
      </c>
      <c r="V244" s="694">
        <f t="shared" si="195"/>
        <v>0</v>
      </c>
      <c r="W244" s="694">
        <f t="shared" si="195"/>
        <v>0</v>
      </c>
      <c r="X244" s="694">
        <f t="shared" si="195"/>
        <v>0</v>
      </c>
      <c r="Y244" s="694">
        <f t="shared" si="195"/>
        <v>0</v>
      </c>
      <c r="Z244" s="694">
        <f t="shared" si="195"/>
        <v>0</v>
      </c>
      <c r="AA244" s="694">
        <f t="shared" si="195"/>
        <v>0</v>
      </c>
      <c r="AB244" s="694">
        <f t="shared" si="195"/>
        <v>0</v>
      </c>
    </row>
    <row r="245" spans="1:46" s="83" customFormat="1" x14ac:dyDescent="0.25">
      <c r="B245" s="204" t="str">
        <f t="shared" si="188"/>
        <v>TFMEBDL900</v>
      </c>
      <c r="C245" s="204"/>
      <c r="D245" s="205"/>
      <c r="E245" s="204"/>
      <c r="F245" s="206"/>
      <c r="G245" s="207"/>
      <c r="H245" s="206"/>
      <c r="I245" s="208">
        <f>AF$10</f>
        <v>2050</v>
      </c>
      <c r="J245" s="209"/>
      <c r="K245" s="209"/>
      <c r="L245" s="210" t="s">
        <v>1065</v>
      </c>
      <c r="M245" s="209" t="s">
        <v>748</v>
      </c>
      <c r="N245" s="695">
        <f t="shared" ref="N245:AB245" si="196">N239*LOOKUP($AD234,$AH$4:$AQ$4,$AH$10:$AQ$10)</f>
        <v>0</v>
      </c>
      <c r="O245" s="695">
        <f t="shared" si="196"/>
        <v>0</v>
      </c>
      <c r="P245" s="695">
        <f t="shared" si="196"/>
        <v>0</v>
      </c>
      <c r="Q245" s="695">
        <f t="shared" si="196"/>
        <v>0</v>
      </c>
      <c r="R245" s="695">
        <f t="shared" si="196"/>
        <v>0</v>
      </c>
      <c r="S245" s="695">
        <f t="shared" si="196"/>
        <v>0</v>
      </c>
      <c r="T245" s="695">
        <f t="shared" si="196"/>
        <v>0</v>
      </c>
      <c r="U245" s="695">
        <f t="shared" si="196"/>
        <v>0</v>
      </c>
      <c r="V245" s="695">
        <f t="shared" si="196"/>
        <v>0</v>
      </c>
      <c r="W245" s="695">
        <f t="shared" si="196"/>
        <v>0</v>
      </c>
      <c r="X245" s="695">
        <f t="shared" si="196"/>
        <v>0</v>
      </c>
      <c r="Y245" s="695">
        <f t="shared" si="196"/>
        <v>0</v>
      </c>
      <c r="Z245" s="695">
        <f t="shared" si="196"/>
        <v>0</v>
      </c>
      <c r="AA245" s="695">
        <f t="shared" si="196"/>
        <v>0</v>
      </c>
      <c r="AB245" s="695">
        <f t="shared" si="196"/>
        <v>0</v>
      </c>
      <c r="AD245" s="409"/>
    </row>
    <row r="246" spans="1:46" s="83" customFormat="1" x14ac:dyDescent="0.25">
      <c r="A246" s="82"/>
      <c r="B246" s="178" t="str">
        <f>C246</f>
        <v>TFMEDST900</v>
      </c>
      <c r="C246" s="178" t="s">
        <v>140</v>
      </c>
      <c r="D246" s="179" t="s">
        <v>829</v>
      </c>
      <c r="E246" s="180" t="s">
        <v>185</v>
      </c>
      <c r="F246" s="182"/>
      <c r="G246" s="181"/>
      <c r="H246" s="182"/>
      <c r="I246" s="183"/>
      <c r="J246" s="184"/>
      <c r="K246" s="184"/>
      <c r="L246" s="203" t="s">
        <v>1107</v>
      </c>
      <c r="M246" s="184" t="s">
        <v>1125</v>
      </c>
      <c r="N246" s="378">
        <v>1E-3</v>
      </c>
      <c r="O246" s="378">
        <f t="shared" ref="O246:AB246" si="197">$N246</f>
        <v>1E-3</v>
      </c>
      <c r="P246" s="378">
        <f t="shared" si="197"/>
        <v>1E-3</v>
      </c>
      <c r="Q246" s="378">
        <f t="shared" si="197"/>
        <v>1E-3</v>
      </c>
      <c r="R246" s="378">
        <f t="shared" si="197"/>
        <v>1E-3</v>
      </c>
      <c r="S246" s="378">
        <f t="shared" si="197"/>
        <v>1E-3</v>
      </c>
      <c r="T246" s="378">
        <f t="shared" si="197"/>
        <v>1E-3</v>
      </c>
      <c r="U246" s="378">
        <f t="shared" si="197"/>
        <v>1E-3</v>
      </c>
      <c r="V246" s="378">
        <f t="shared" si="197"/>
        <v>1E-3</v>
      </c>
      <c r="W246" s="378">
        <f t="shared" si="197"/>
        <v>1E-3</v>
      </c>
      <c r="X246" s="378">
        <f t="shared" si="197"/>
        <v>1E-3</v>
      </c>
      <c r="Y246" s="378">
        <f t="shared" si="197"/>
        <v>1E-3</v>
      </c>
      <c r="Z246" s="378">
        <f t="shared" si="197"/>
        <v>1E-3</v>
      </c>
      <c r="AA246" s="378">
        <f t="shared" si="197"/>
        <v>1E-3</v>
      </c>
      <c r="AB246" s="378">
        <f t="shared" si="197"/>
        <v>1E-3</v>
      </c>
      <c r="AD246" s="86" t="str">
        <f>MID(D246,14,3)</f>
        <v>DST</v>
      </c>
    </row>
    <row r="247" spans="1:46" s="83" customFormat="1" x14ac:dyDescent="0.25">
      <c r="A247" s="82"/>
      <c r="B247" s="178" t="str">
        <f>B246</f>
        <v>TFMEDST900</v>
      </c>
      <c r="C247" s="178"/>
      <c r="D247" s="179"/>
      <c r="E247" s="407" t="s">
        <v>988</v>
      </c>
      <c r="F247" s="182"/>
      <c r="G247" s="181"/>
      <c r="H247" s="182"/>
      <c r="I247" s="183"/>
      <c r="J247" s="184" t="s">
        <v>1223</v>
      </c>
      <c r="K247" s="184"/>
      <c r="L247" s="203" t="s">
        <v>101</v>
      </c>
      <c r="M247" s="184"/>
      <c r="N247" s="390">
        <f>N$28</f>
        <v>0.15</v>
      </c>
      <c r="O247" s="390">
        <f t="shared" ref="O247:AB247" si="198">O$28</f>
        <v>0.15</v>
      </c>
      <c r="P247" s="390">
        <f t="shared" si="198"/>
        <v>0.15</v>
      </c>
      <c r="Q247" s="390">
        <f t="shared" si="198"/>
        <v>0.15</v>
      </c>
      <c r="R247" s="390">
        <f t="shared" si="198"/>
        <v>0.15</v>
      </c>
      <c r="S247" s="390">
        <f t="shared" si="198"/>
        <v>0.15</v>
      </c>
      <c r="T247" s="390">
        <f t="shared" si="198"/>
        <v>0.15</v>
      </c>
      <c r="U247" s="390">
        <f t="shared" si="198"/>
        <v>0.15</v>
      </c>
      <c r="V247" s="390">
        <f t="shared" si="198"/>
        <v>0.15</v>
      </c>
      <c r="W247" s="390">
        <f t="shared" si="198"/>
        <v>0.15</v>
      </c>
      <c r="X247" s="390">
        <f t="shared" si="198"/>
        <v>0.15</v>
      </c>
      <c r="Y247" s="390">
        <f t="shared" si="198"/>
        <v>0.15</v>
      </c>
      <c r="Z247" s="390">
        <f t="shared" si="198"/>
        <v>0.15</v>
      </c>
      <c r="AA247" s="390">
        <f t="shared" si="198"/>
        <v>0.15</v>
      </c>
      <c r="AB247" s="390">
        <f t="shared" si="198"/>
        <v>0.15</v>
      </c>
      <c r="AD247" s="66" t="str">
        <f>IF(COUNTIF($AH$4:$AQ$4,AD246)=1,"ok","MISSING")</f>
        <v>ok</v>
      </c>
      <c r="AF247" s="333"/>
    </row>
    <row r="248" spans="1:46" s="83" customFormat="1" x14ac:dyDescent="0.25">
      <c r="B248" s="178" t="str">
        <f t="shared" ref="B248:B258" si="199">B247</f>
        <v>TFMEDST900</v>
      </c>
      <c r="C248" s="178"/>
      <c r="D248" s="179"/>
      <c r="E248" s="178"/>
      <c r="F248" s="182"/>
      <c r="G248" s="324" t="s">
        <v>643</v>
      </c>
      <c r="H248" s="182"/>
      <c r="I248" s="183"/>
      <c r="J248" s="184"/>
      <c r="K248" s="184"/>
      <c r="L248" s="184" t="s">
        <v>1126</v>
      </c>
      <c r="M248" s="184" t="s">
        <v>678</v>
      </c>
      <c r="N248" s="676">
        <f>T_CEFF!H251</f>
        <v>0.10185</v>
      </c>
      <c r="O248" s="676">
        <f>T_CEFF!I251</f>
        <v>0.10185</v>
      </c>
      <c r="P248" s="676">
        <f>T_CEFF!J251</f>
        <v>0.10185</v>
      </c>
      <c r="Q248" s="676">
        <f>T_CEFF!K251</f>
        <v>0.10185</v>
      </c>
      <c r="R248" s="676">
        <f>T_CEFF!L251</f>
        <v>0.10185</v>
      </c>
      <c r="S248" s="676">
        <f>T_CEFF!M251</f>
        <v>0.10185</v>
      </c>
      <c r="T248" s="676">
        <f>T_CEFF!N251</f>
        <v>0.10185</v>
      </c>
      <c r="U248" s="676">
        <f>T_CEFF!O251</f>
        <v>0.10185</v>
      </c>
      <c r="V248" s="676">
        <f>T_CEFF!P251</f>
        <v>0.10185</v>
      </c>
      <c r="W248" s="676">
        <f>T_CEFF!Q251</f>
        <v>0.10185</v>
      </c>
      <c r="X248" s="676">
        <f>T_CEFF!R251</f>
        <v>0.10185</v>
      </c>
      <c r="Y248" s="676">
        <f>T_CEFF!S251</f>
        <v>0.10185</v>
      </c>
      <c r="Z248" s="676">
        <f>T_CEFF!T251</f>
        <v>0.10185</v>
      </c>
      <c r="AA248" s="676">
        <f>T_CEFF!U251</f>
        <v>0.10185</v>
      </c>
      <c r="AB248" s="676">
        <f>T_CEFF!V251</f>
        <v>0.10185</v>
      </c>
    </row>
    <row r="249" spans="1:46" s="83" customFormat="1" x14ac:dyDescent="0.25">
      <c r="B249" s="178" t="str">
        <f t="shared" si="199"/>
        <v>TFMEDST900</v>
      </c>
      <c r="C249" s="178"/>
      <c r="D249" s="179"/>
      <c r="E249" s="178"/>
      <c r="F249" s="182"/>
      <c r="G249" s="324" t="s">
        <v>646</v>
      </c>
      <c r="H249" s="182"/>
      <c r="I249" s="183"/>
      <c r="J249" s="184"/>
      <c r="K249" s="184"/>
      <c r="L249" s="184" t="s">
        <v>1126</v>
      </c>
      <c r="M249" s="184" t="s">
        <v>678</v>
      </c>
      <c r="N249" s="676">
        <f>T_CEFF!H252</f>
        <v>8.1479999999999997E-2</v>
      </c>
      <c r="O249" s="676">
        <f>T_CEFF!I252</f>
        <v>8.1479999999999997E-2</v>
      </c>
      <c r="P249" s="676">
        <f>T_CEFF!J252</f>
        <v>8.1479999999999997E-2</v>
      </c>
      <c r="Q249" s="676">
        <f>T_CEFF!K252</f>
        <v>8.1479999999999997E-2</v>
      </c>
      <c r="R249" s="676">
        <f>T_CEFF!L252</f>
        <v>8.1479999999999997E-2</v>
      </c>
      <c r="S249" s="676">
        <f>T_CEFF!M252</f>
        <v>8.1479999999999997E-2</v>
      </c>
      <c r="T249" s="676">
        <f>T_CEFF!N252</f>
        <v>8.1479999999999997E-2</v>
      </c>
      <c r="U249" s="676">
        <f>T_CEFF!O252</f>
        <v>8.1479999999999997E-2</v>
      </c>
      <c r="V249" s="676">
        <f>T_CEFF!P252</f>
        <v>8.1479999999999997E-2</v>
      </c>
      <c r="W249" s="676">
        <f>T_CEFF!Q252</f>
        <v>8.1479999999999997E-2</v>
      </c>
      <c r="X249" s="676">
        <f>T_CEFF!R252</f>
        <v>8.1479999999999997E-2</v>
      </c>
      <c r="Y249" s="676">
        <f>T_CEFF!S252</f>
        <v>8.1479999999999997E-2</v>
      </c>
      <c r="Z249" s="676">
        <f>T_CEFF!T252</f>
        <v>8.1479999999999997E-2</v>
      </c>
      <c r="AA249" s="676">
        <f>T_CEFF!U252</f>
        <v>8.1479999999999997E-2</v>
      </c>
      <c r="AB249" s="676">
        <f>T_CEFF!V252</f>
        <v>8.1479999999999997E-2</v>
      </c>
    </row>
    <row r="250" spans="1:46" s="83" customFormat="1" x14ac:dyDescent="0.25">
      <c r="B250" s="178" t="str">
        <f>B249</f>
        <v>TFMEDST900</v>
      </c>
      <c r="C250" s="178"/>
      <c r="D250" s="179"/>
      <c r="E250" s="178"/>
      <c r="F250" s="182"/>
      <c r="G250" s="181"/>
      <c r="H250" s="182"/>
      <c r="I250" s="183"/>
      <c r="J250" s="184"/>
      <c r="K250" s="184" t="s">
        <v>749</v>
      </c>
      <c r="L250" s="184" t="s">
        <v>1128</v>
      </c>
      <c r="M250" s="184" t="s">
        <v>1175</v>
      </c>
      <c r="N250" s="388">
        <f>N$24</f>
        <v>0</v>
      </c>
      <c r="O250" s="388">
        <f t="shared" ref="O250:AB250" si="200">O$24</f>
        <v>0</v>
      </c>
      <c r="P250" s="388">
        <f t="shared" si="200"/>
        <v>0</v>
      </c>
      <c r="Q250" s="388">
        <f t="shared" si="200"/>
        <v>0</v>
      </c>
      <c r="R250" s="388">
        <f t="shared" si="200"/>
        <v>0</v>
      </c>
      <c r="S250" s="388">
        <f t="shared" si="200"/>
        <v>0</v>
      </c>
      <c r="T250" s="388">
        <f t="shared" si="200"/>
        <v>0</v>
      </c>
      <c r="U250" s="388">
        <f t="shared" si="200"/>
        <v>0</v>
      </c>
      <c r="V250" s="388">
        <f t="shared" si="200"/>
        <v>0</v>
      </c>
      <c r="W250" s="388">
        <f t="shared" si="200"/>
        <v>0</v>
      </c>
      <c r="X250" s="388">
        <f t="shared" si="200"/>
        <v>0</v>
      </c>
      <c r="Y250" s="388">
        <f t="shared" si="200"/>
        <v>0</v>
      </c>
      <c r="Z250" s="388">
        <f t="shared" si="200"/>
        <v>0</v>
      </c>
      <c r="AA250" s="388">
        <f t="shared" si="200"/>
        <v>0</v>
      </c>
      <c r="AB250" s="388">
        <f t="shared" si="200"/>
        <v>0</v>
      </c>
    </row>
    <row r="251" spans="1:46" s="83" customFormat="1" x14ac:dyDescent="0.25">
      <c r="B251" s="178" t="str">
        <f t="shared" si="199"/>
        <v>TFMEDST900</v>
      </c>
      <c r="C251" s="178"/>
      <c r="D251" s="179"/>
      <c r="E251" s="178"/>
      <c r="F251" s="182"/>
      <c r="G251" s="181"/>
      <c r="H251" s="182"/>
      <c r="I251" s="183"/>
      <c r="J251" s="184"/>
      <c r="K251" s="184"/>
      <c r="L251" s="203" t="s">
        <v>1130</v>
      </c>
      <c r="M251" s="184" t="s">
        <v>1131</v>
      </c>
      <c r="N251" s="397">
        <f>LOOKUP($C$246, T_NCAP_AF!$C$170:$C$180, T_NCAP_AF!D$170:D$180)*(1+N228)</f>
        <v>0</v>
      </c>
      <c r="O251" s="397">
        <f>LOOKUP($C$246, T_NCAP_AF!$C$170:$C$180, T_NCAP_AF!E$170:E$180)*(1+O228)</f>
        <v>0</v>
      </c>
      <c r="P251" s="397">
        <f>LOOKUP($C$246, T_NCAP_AF!$C$170:$C$180, T_NCAP_AF!F$170:F$180)*(1+P228)</f>
        <v>0</v>
      </c>
      <c r="Q251" s="397">
        <f>LOOKUP($C$246, T_NCAP_AF!$C$170:$C$180, T_NCAP_AF!G$170:G$180)*(1+Q228)</f>
        <v>0</v>
      </c>
      <c r="R251" s="397">
        <f>LOOKUP($C$246, T_NCAP_AF!$C$170:$C$180, T_NCAP_AF!H$170:H$180)*(1+R228)</f>
        <v>0</v>
      </c>
      <c r="S251" s="397">
        <f>LOOKUP($C$246, T_NCAP_AF!$C$170:$C$180, T_NCAP_AF!I$170:I$180)*(1+S228)</f>
        <v>0</v>
      </c>
      <c r="T251" s="397">
        <f>LOOKUP($C$246, T_NCAP_AF!$C$170:$C$180, T_NCAP_AF!J$170:J$180)*(1+T228)</f>
        <v>0</v>
      </c>
      <c r="U251" s="397">
        <f>LOOKUP($C$246, T_NCAP_AF!$C$170:$C$180, T_NCAP_AF!K$170:K$180)*(1+U228)</f>
        <v>0</v>
      </c>
      <c r="V251" s="397">
        <f>LOOKUP($C$246, T_NCAP_AF!$C$170:$C$180, T_NCAP_AF!L$170:L$180)*(1+V228)</f>
        <v>0</v>
      </c>
      <c r="W251" s="397">
        <f>LOOKUP($C$246, T_NCAP_AF!$C$170:$C$180, T_NCAP_AF!M$170:M$180)*(1+W228)</f>
        <v>0</v>
      </c>
      <c r="X251" s="397">
        <f>LOOKUP($C$246, T_NCAP_AF!$C$170:$C$180, T_NCAP_AF!N$170:N$180)*(1+X228)</f>
        <v>0</v>
      </c>
      <c r="Y251" s="397">
        <f>LOOKUP($C$246, T_NCAP_AF!$C$170:$C$180, T_NCAP_AF!O$170:O$180)*(1+Y228)</f>
        <v>0</v>
      </c>
      <c r="Z251" s="397">
        <f>LOOKUP($C$246, T_NCAP_AF!$C$170:$C$180, T_NCAP_AF!P$170:P$180)*(1+Z228)</f>
        <v>0</v>
      </c>
      <c r="AA251" s="397">
        <f>LOOKUP($C$246, T_NCAP_AF!$C$170:$C$180, T_NCAP_AF!Q$170:Q$180)*(1+AA228)</f>
        <v>0</v>
      </c>
      <c r="AB251" s="397">
        <f>LOOKUP($C$246, T_NCAP_AF!$C$170:$C$180, T_NCAP_AF!R$170:R$180)*(1+AB228)</f>
        <v>0</v>
      </c>
      <c r="AE251" s="572">
        <f>SUM(AF251:AT251)</f>
        <v>0</v>
      </c>
      <c r="AF251" s="85">
        <f t="shared" ref="AF251:AT251" si="201">N250*N251*N252/1000</f>
        <v>0</v>
      </c>
      <c r="AG251" s="85">
        <f t="shared" si="201"/>
        <v>0</v>
      </c>
      <c r="AH251" s="85">
        <f t="shared" si="201"/>
        <v>0</v>
      </c>
      <c r="AI251" s="85">
        <f t="shared" si="201"/>
        <v>0</v>
      </c>
      <c r="AJ251" s="85">
        <f t="shared" si="201"/>
        <v>0</v>
      </c>
      <c r="AK251" s="85">
        <f t="shared" si="201"/>
        <v>0</v>
      </c>
      <c r="AL251" s="85">
        <f t="shared" si="201"/>
        <v>0</v>
      </c>
      <c r="AM251" s="85">
        <f t="shared" si="201"/>
        <v>0</v>
      </c>
      <c r="AN251" s="85">
        <f t="shared" si="201"/>
        <v>0</v>
      </c>
      <c r="AO251" s="85">
        <f t="shared" si="201"/>
        <v>0</v>
      </c>
      <c r="AP251" s="85">
        <f t="shared" si="201"/>
        <v>0</v>
      </c>
      <c r="AQ251" s="85">
        <f t="shared" si="201"/>
        <v>0</v>
      </c>
      <c r="AR251" s="85">
        <f t="shared" si="201"/>
        <v>0</v>
      </c>
      <c r="AS251" s="85">
        <f t="shared" si="201"/>
        <v>0</v>
      </c>
      <c r="AT251" s="85">
        <f t="shared" si="201"/>
        <v>0</v>
      </c>
    </row>
    <row r="252" spans="1:46" s="83" customFormat="1" x14ac:dyDescent="0.25">
      <c r="B252" s="178" t="str">
        <f>B251</f>
        <v>TFMEDST900</v>
      </c>
      <c r="C252" s="178"/>
      <c r="D252" s="179"/>
      <c r="E252" s="178"/>
      <c r="F252" s="182"/>
      <c r="G252" s="181"/>
      <c r="H252" s="182"/>
      <c r="I252" s="183">
        <f>$M$3</f>
        <v>2019</v>
      </c>
      <c r="J252" s="184"/>
      <c r="K252" s="184"/>
      <c r="L252" s="203" t="s">
        <v>1065</v>
      </c>
      <c r="M252" s="184" t="s">
        <v>748</v>
      </c>
      <c r="N252" s="694">
        <f>LOOKUP($C$246, 'T_Stock_TOTAL_&amp;_City'!$C$106:$C$116, 'T_Stock_TOTAL_&amp;_City'!D$106:D$116)*(1+N229)</f>
        <v>0</v>
      </c>
      <c r="O252" s="694">
        <f>LOOKUP($C$246, 'T_Stock_TOTAL_&amp;_City'!$C$106:$C$116, 'T_Stock_TOTAL_&amp;_City'!E$106:E$116)*(1+O229)</f>
        <v>0</v>
      </c>
      <c r="P252" s="694">
        <f>LOOKUP($C$246, 'T_Stock_TOTAL_&amp;_City'!$C$106:$C$116, 'T_Stock_TOTAL_&amp;_City'!F$106:F$116)*(1+P229)</f>
        <v>0</v>
      </c>
      <c r="Q252" s="694">
        <f>LOOKUP($C$246, 'T_Stock_TOTAL_&amp;_City'!$C$106:$C$116, 'T_Stock_TOTAL_&amp;_City'!G$106:G$116)*(1+Q229)</f>
        <v>0</v>
      </c>
      <c r="R252" s="694">
        <f>LOOKUP($C$246, 'T_Stock_TOTAL_&amp;_City'!$C$106:$C$116, 'T_Stock_TOTAL_&amp;_City'!H$106:H$116)*(1+R229)</f>
        <v>0</v>
      </c>
      <c r="S252" s="694">
        <f>LOOKUP($C$246, 'T_Stock_TOTAL_&amp;_City'!$C$106:$C$116, 'T_Stock_TOTAL_&amp;_City'!I$106:I$116)*(1+S229)</f>
        <v>0</v>
      </c>
      <c r="T252" s="694">
        <f>LOOKUP($C$246, 'T_Stock_TOTAL_&amp;_City'!$C$106:$C$116, 'T_Stock_TOTAL_&amp;_City'!J$106:J$116)*(1+T229)</f>
        <v>0</v>
      </c>
      <c r="U252" s="694">
        <f>LOOKUP($C$246, 'T_Stock_TOTAL_&amp;_City'!$C$106:$C$116, 'T_Stock_TOTAL_&amp;_City'!K$106:K$116)*(1+U229)</f>
        <v>0</v>
      </c>
      <c r="V252" s="694">
        <f>LOOKUP($C$246, 'T_Stock_TOTAL_&amp;_City'!$C$106:$C$116, 'T_Stock_TOTAL_&amp;_City'!L$106:L$116)*(1+V229)</f>
        <v>0</v>
      </c>
      <c r="W252" s="694">
        <f>LOOKUP($C$246, 'T_Stock_TOTAL_&amp;_City'!$C$106:$C$116, 'T_Stock_TOTAL_&amp;_City'!M$106:M$116)*(1+W229)</f>
        <v>0</v>
      </c>
      <c r="X252" s="694">
        <f>LOOKUP($C$246, 'T_Stock_TOTAL_&amp;_City'!$C$106:$C$116, 'T_Stock_TOTAL_&amp;_City'!N$106:N$116)*(1+X229)</f>
        <v>0</v>
      </c>
      <c r="Y252" s="694">
        <f>LOOKUP($C$246, 'T_Stock_TOTAL_&amp;_City'!$C$106:$C$116, 'T_Stock_TOTAL_&amp;_City'!O$106:O$116)*(1+Y229)</f>
        <v>0</v>
      </c>
      <c r="Z252" s="694">
        <f>LOOKUP($C$246, 'T_Stock_TOTAL_&amp;_City'!$C$106:$C$116, 'T_Stock_TOTAL_&amp;_City'!P$106:P$116)*(1+Z229)</f>
        <v>0</v>
      </c>
      <c r="AA252" s="694">
        <f>LOOKUP($C$246, 'T_Stock_TOTAL_&amp;_City'!$C$106:$C$116, 'T_Stock_TOTAL_&amp;_City'!Q$106:Q$116)*(1+AA229)</f>
        <v>0</v>
      </c>
      <c r="AB252" s="694">
        <f>LOOKUP($C$246, 'T_Stock_TOTAL_&amp;_City'!$C$106:$C$116, 'T_Stock_TOTAL_&amp;_City'!R$106:R$116)*(1+AB229)</f>
        <v>0</v>
      </c>
    </row>
    <row r="253" spans="1:46" s="83" customFormat="1" x14ac:dyDescent="0.25">
      <c r="B253" s="178" t="str">
        <f t="shared" si="199"/>
        <v>TFMEDST900</v>
      </c>
      <c r="C253" s="178"/>
      <c r="D253" s="179"/>
      <c r="E253" s="178"/>
      <c r="F253" s="182"/>
      <c r="G253" s="181"/>
      <c r="H253" s="182"/>
      <c r="I253" s="183">
        <f>AF$5</f>
        <v>2016</v>
      </c>
      <c r="J253" s="184"/>
      <c r="K253" s="184"/>
      <c r="L253" s="203" t="s">
        <v>1065</v>
      </c>
      <c r="M253" s="184" t="s">
        <v>748</v>
      </c>
      <c r="N253" s="694">
        <f t="shared" ref="N253:AB253" si="202">N252*LOOKUP($AD246,$AH$4:$AQ$4,$AH$5:$AQ$5)</f>
        <v>0</v>
      </c>
      <c r="O253" s="694">
        <f t="shared" si="202"/>
        <v>0</v>
      </c>
      <c r="P253" s="694">
        <f t="shared" si="202"/>
        <v>0</v>
      </c>
      <c r="Q253" s="694">
        <f t="shared" si="202"/>
        <v>0</v>
      </c>
      <c r="R253" s="694">
        <f t="shared" si="202"/>
        <v>0</v>
      </c>
      <c r="S253" s="694">
        <f t="shared" si="202"/>
        <v>0</v>
      </c>
      <c r="T253" s="694">
        <f t="shared" si="202"/>
        <v>0</v>
      </c>
      <c r="U253" s="694">
        <f t="shared" si="202"/>
        <v>0</v>
      </c>
      <c r="V253" s="694">
        <f t="shared" si="202"/>
        <v>0</v>
      </c>
      <c r="W253" s="694">
        <f t="shared" si="202"/>
        <v>0</v>
      </c>
      <c r="X253" s="694">
        <f t="shared" si="202"/>
        <v>0</v>
      </c>
      <c r="Y253" s="694">
        <f t="shared" si="202"/>
        <v>0</v>
      </c>
      <c r="Z253" s="694">
        <f t="shared" si="202"/>
        <v>0</v>
      </c>
      <c r="AA253" s="694">
        <f t="shared" si="202"/>
        <v>0</v>
      </c>
      <c r="AB253" s="694">
        <f t="shared" si="202"/>
        <v>0</v>
      </c>
    </row>
    <row r="254" spans="1:46" s="83" customFormat="1" x14ac:dyDescent="0.25">
      <c r="B254" s="178" t="str">
        <f t="shared" si="199"/>
        <v>TFMEDST900</v>
      </c>
      <c r="C254" s="178"/>
      <c r="D254" s="179"/>
      <c r="E254" s="178"/>
      <c r="F254" s="182"/>
      <c r="G254" s="181"/>
      <c r="H254" s="182"/>
      <c r="I254" s="183">
        <f>AF$6</f>
        <v>2020</v>
      </c>
      <c r="J254" s="184"/>
      <c r="K254" s="184"/>
      <c r="L254" s="203" t="s">
        <v>1065</v>
      </c>
      <c r="M254" s="184" t="s">
        <v>748</v>
      </c>
      <c r="N254" s="694">
        <f t="shared" ref="N254:AB254" si="203">N252*LOOKUP($AD246,$AH$4:$AQ$4,$AH$6:$AQ$6)</f>
        <v>0</v>
      </c>
      <c r="O254" s="694">
        <f t="shared" si="203"/>
        <v>0</v>
      </c>
      <c r="P254" s="694">
        <f t="shared" si="203"/>
        <v>0</v>
      </c>
      <c r="Q254" s="694">
        <f t="shared" si="203"/>
        <v>0</v>
      </c>
      <c r="R254" s="694">
        <f t="shared" si="203"/>
        <v>0</v>
      </c>
      <c r="S254" s="694">
        <f t="shared" si="203"/>
        <v>0</v>
      </c>
      <c r="T254" s="694">
        <f t="shared" si="203"/>
        <v>0</v>
      </c>
      <c r="U254" s="694">
        <f t="shared" si="203"/>
        <v>0</v>
      </c>
      <c r="V254" s="694">
        <f t="shared" si="203"/>
        <v>0</v>
      </c>
      <c r="W254" s="694">
        <f t="shared" si="203"/>
        <v>0</v>
      </c>
      <c r="X254" s="694">
        <f t="shared" si="203"/>
        <v>0</v>
      </c>
      <c r="Y254" s="694">
        <f t="shared" si="203"/>
        <v>0</v>
      </c>
      <c r="Z254" s="694">
        <f t="shared" si="203"/>
        <v>0</v>
      </c>
      <c r="AA254" s="694">
        <f t="shared" si="203"/>
        <v>0</v>
      </c>
      <c r="AB254" s="694">
        <f t="shared" si="203"/>
        <v>0</v>
      </c>
    </row>
    <row r="255" spans="1:46" s="83" customFormat="1" x14ac:dyDescent="0.25">
      <c r="B255" s="178" t="str">
        <f t="shared" si="199"/>
        <v>TFMEDST900</v>
      </c>
      <c r="C255" s="178"/>
      <c r="D255" s="179"/>
      <c r="E255" s="178"/>
      <c r="F255" s="182"/>
      <c r="G255" s="181"/>
      <c r="H255" s="182"/>
      <c r="I255" s="183">
        <f>AF$7</f>
        <v>2025</v>
      </c>
      <c r="J255" s="184"/>
      <c r="K255" s="184"/>
      <c r="L255" s="203" t="s">
        <v>1065</v>
      </c>
      <c r="M255" s="184" t="s">
        <v>748</v>
      </c>
      <c r="N255" s="694">
        <f t="shared" ref="N255:AB255" si="204">N252*LOOKUP($AD246,$AH$4:$AQ$4,$AH$7:$AQ$7)</f>
        <v>0</v>
      </c>
      <c r="O255" s="694">
        <f t="shared" si="204"/>
        <v>0</v>
      </c>
      <c r="P255" s="694">
        <f t="shared" si="204"/>
        <v>0</v>
      </c>
      <c r="Q255" s="694">
        <f t="shared" si="204"/>
        <v>0</v>
      </c>
      <c r="R255" s="694">
        <f t="shared" si="204"/>
        <v>0</v>
      </c>
      <c r="S255" s="694">
        <f t="shared" si="204"/>
        <v>0</v>
      </c>
      <c r="T255" s="694">
        <f t="shared" si="204"/>
        <v>0</v>
      </c>
      <c r="U255" s="694">
        <f t="shared" si="204"/>
        <v>0</v>
      </c>
      <c r="V255" s="694">
        <f t="shared" si="204"/>
        <v>0</v>
      </c>
      <c r="W255" s="694">
        <f t="shared" si="204"/>
        <v>0</v>
      </c>
      <c r="X255" s="694">
        <f t="shared" si="204"/>
        <v>0</v>
      </c>
      <c r="Y255" s="694">
        <f t="shared" si="204"/>
        <v>0</v>
      </c>
      <c r="Z255" s="694">
        <f t="shared" si="204"/>
        <v>0</v>
      </c>
      <c r="AA255" s="694">
        <f t="shared" si="204"/>
        <v>0</v>
      </c>
      <c r="AB255" s="694">
        <f t="shared" si="204"/>
        <v>0</v>
      </c>
    </row>
    <row r="256" spans="1:46" s="83" customFormat="1" x14ac:dyDescent="0.25">
      <c r="B256" s="178" t="str">
        <f t="shared" si="199"/>
        <v>TFMEDST900</v>
      </c>
      <c r="C256" s="178"/>
      <c r="D256" s="179"/>
      <c r="E256" s="178"/>
      <c r="F256" s="182"/>
      <c r="G256" s="181"/>
      <c r="H256" s="182"/>
      <c r="I256" s="183">
        <f>AF$8</f>
        <v>2030</v>
      </c>
      <c r="J256" s="184"/>
      <c r="K256" s="184"/>
      <c r="L256" s="203" t="s">
        <v>1065</v>
      </c>
      <c r="M256" s="184" t="s">
        <v>748</v>
      </c>
      <c r="N256" s="694">
        <f t="shared" ref="N256:AB256" si="205">N252*LOOKUP($AD246,$AH$4:$AQ$4,$AH$8:$AQ$8)</f>
        <v>0</v>
      </c>
      <c r="O256" s="694">
        <f t="shared" si="205"/>
        <v>0</v>
      </c>
      <c r="P256" s="694">
        <f t="shared" si="205"/>
        <v>0</v>
      </c>
      <c r="Q256" s="694">
        <f t="shared" si="205"/>
        <v>0</v>
      </c>
      <c r="R256" s="694">
        <f t="shared" si="205"/>
        <v>0</v>
      </c>
      <c r="S256" s="694">
        <f t="shared" si="205"/>
        <v>0</v>
      </c>
      <c r="T256" s="694">
        <f t="shared" si="205"/>
        <v>0</v>
      </c>
      <c r="U256" s="694">
        <f t="shared" si="205"/>
        <v>0</v>
      </c>
      <c r="V256" s="694">
        <f t="shared" si="205"/>
        <v>0</v>
      </c>
      <c r="W256" s="694">
        <f t="shared" si="205"/>
        <v>0</v>
      </c>
      <c r="X256" s="694">
        <f t="shared" si="205"/>
        <v>0</v>
      </c>
      <c r="Y256" s="694">
        <f t="shared" si="205"/>
        <v>0</v>
      </c>
      <c r="Z256" s="694">
        <f t="shared" si="205"/>
        <v>0</v>
      </c>
      <c r="AA256" s="694">
        <f t="shared" si="205"/>
        <v>0</v>
      </c>
      <c r="AB256" s="694">
        <f t="shared" si="205"/>
        <v>0</v>
      </c>
    </row>
    <row r="257" spans="1:46" s="83" customFormat="1" x14ac:dyDescent="0.25">
      <c r="B257" s="178" t="str">
        <f t="shared" si="199"/>
        <v>TFMEDST900</v>
      </c>
      <c r="C257" s="178"/>
      <c r="D257" s="179"/>
      <c r="E257" s="178"/>
      <c r="F257" s="182"/>
      <c r="G257" s="181"/>
      <c r="H257" s="182"/>
      <c r="I257" s="183">
        <f>AF$9</f>
        <v>2040</v>
      </c>
      <c r="J257" s="184"/>
      <c r="K257" s="184"/>
      <c r="L257" s="203" t="s">
        <v>1065</v>
      </c>
      <c r="M257" s="184" t="s">
        <v>748</v>
      </c>
      <c r="N257" s="694">
        <f t="shared" ref="N257:AB257" si="206">N252*LOOKUP($AD246,$AH$4:$AQ$4,$AH$9:$AQ$9)</f>
        <v>0</v>
      </c>
      <c r="O257" s="694">
        <f t="shared" si="206"/>
        <v>0</v>
      </c>
      <c r="P257" s="694">
        <f t="shared" si="206"/>
        <v>0</v>
      </c>
      <c r="Q257" s="694">
        <f t="shared" si="206"/>
        <v>0</v>
      </c>
      <c r="R257" s="694">
        <f t="shared" si="206"/>
        <v>0</v>
      </c>
      <c r="S257" s="694">
        <f t="shared" si="206"/>
        <v>0</v>
      </c>
      <c r="T257" s="694">
        <f t="shared" si="206"/>
        <v>0</v>
      </c>
      <c r="U257" s="694">
        <f t="shared" si="206"/>
        <v>0</v>
      </c>
      <c r="V257" s="694">
        <f t="shared" si="206"/>
        <v>0</v>
      </c>
      <c r="W257" s="694">
        <f t="shared" si="206"/>
        <v>0</v>
      </c>
      <c r="X257" s="694">
        <f t="shared" si="206"/>
        <v>0</v>
      </c>
      <c r="Y257" s="694">
        <f t="shared" si="206"/>
        <v>0</v>
      </c>
      <c r="Z257" s="694">
        <f t="shared" si="206"/>
        <v>0</v>
      </c>
      <c r="AA257" s="694">
        <f t="shared" si="206"/>
        <v>0</v>
      </c>
      <c r="AB257" s="694">
        <f t="shared" si="206"/>
        <v>0</v>
      </c>
    </row>
    <row r="258" spans="1:46" s="83" customFormat="1" x14ac:dyDescent="0.25">
      <c r="B258" s="204" t="str">
        <f t="shared" si="199"/>
        <v>TFMEDST900</v>
      </c>
      <c r="C258" s="204"/>
      <c r="D258" s="205"/>
      <c r="E258" s="204"/>
      <c r="F258" s="206"/>
      <c r="G258" s="207"/>
      <c r="H258" s="206"/>
      <c r="I258" s="208">
        <f>AF$10</f>
        <v>2050</v>
      </c>
      <c r="J258" s="209"/>
      <c r="K258" s="209"/>
      <c r="L258" s="210" t="s">
        <v>1065</v>
      </c>
      <c r="M258" s="209" t="s">
        <v>748</v>
      </c>
      <c r="N258" s="695">
        <f t="shared" ref="N258:AB258" si="207">N252*LOOKUP($AD246,$AH$4:$AQ$4,$AH$10:$AQ$10)</f>
        <v>0</v>
      </c>
      <c r="O258" s="695">
        <f t="shared" si="207"/>
        <v>0</v>
      </c>
      <c r="P258" s="695">
        <f t="shared" si="207"/>
        <v>0</v>
      </c>
      <c r="Q258" s="695">
        <f t="shared" si="207"/>
        <v>0</v>
      </c>
      <c r="R258" s="695">
        <f t="shared" si="207"/>
        <v>0</v>
      </c>
      <c r="S258" s="695">
        <f t="shared" si="207"/>
        <v>0</v>
      </c>
      <c r="T258" s="695">
        <f t="shared" si="207"/>
        <v>0</v>
      </c>
      <c r="U258" s="695">
        <f t="shared" si="207"/>
        <v>0</v>
      </c>
      <c r="V258" s="695">
        <f t="shared" si="207"/>
        <v>0</v>
      </c>
      <c r="W258" s="695">
        <f t="shared" si="207"/>
        <v>0</v>
      </c>
      <c r="X258" s="695">
        <f t="shared" si="207"/>
        <v>0</v>
      </c>
      <c r="Y258" s="695">
        <f t="shared" si="207"/>
        <v>0</v>
      </c>
      <c r="Z258" s="695">
        <f t="shared" si="207"/>
        <v>0</v>
      </c>
      <c r="AA258" s="695">
        <f t="shared" si="207"/>
        <v>0</v>
      </c>
      <c r="AB258" s="695">
        <f t="shared" si="207"/>
        <v>0</v>
      </c>
    </row>
    <row r="259" spans="1:46" s="83" customFormat="1" x14ac:dyDescent="0.25">
      <c r="A259" s="82"/>
      <c r="B259" s="178" t="str">
        <f>C259</f>
        <v>TFMEELC900</v>
      </c>
      <c r="C259" s="178" t="s">
        <v>141</v>
      </c>
      <c r="D259" s="179" t="s">
        <v>831</v>
      </c>
      <c r="E259" s="180" t="s">
        <v>683</v>
      </c>
      <c r="F259" s="182"/>
      <c r="G259" s="181"/>
      <c r="H259" s="182"/>
      <c r="I259" s="183"/>
      <c r="J259" s="184"/>
      <c r="K259" s="184"/>
      <c r="L259" s="203" t="s">
        <v>1107</v>
      </c>
      <c r="M259" s="184" t="s">
        <v>1125</v>
      </c>
      <c r="N259" s="378">
        <v>1E-3</v>
      </c>
      <c r="O259" s="378">
        <f t="shared" ref="O259:AB259" si="208">$N259</f>
        <v>1E-3</v>
      </c>
      <c r="P259" s="378">
        <f t="shared" si="208"/>
        <v>1E-3</v>
      </c>
      <c r="Q259" s="378">
        <f t="shared" si="208"/>
        <v>1E-3</v>
      </c>
      <c r="R259" s="378">
        <f t="shared" si="208"/>
        <v>1E-3</v>
      </c>
      <c r="S259" s="378">
        <f t="shared" si="208"/>
        <v>1E-3</v>
      </c>
      <c r="T259" s="378">
        <f t="shared" si="208"/>
        <v>1E-3</v>
      </c>
      <c r="U259" s="378">
        <f t="shared" si="208"/>
        <v>1E-3</v>
      </c>
      <c r="V259" s="378">
        <f t="shared" si="208"/>
        <v>1E-3</v>
      </c>
      <c r="W259" s="378">
        <f t="shared" si="208"/>
        <v>1E-3</v>
      </c>
      <c r="X259" s="378">
        <f t="shared" si="208"/>
        <v>1E-3</v>
      </c>
      <c r="Y259" s="378">
        <f t="shared" si="208"/>
        <v>1E-3</v>
      </c>
      <c r="Z259" s="378">
        <f t="shared" si="208"/>
        <v>1E-3</v>
      </c>
      <c r="AA259" s="378">
        <f t="shared" si="208"/>
        <v>1E-3</v>
      </c>
      <c r="AB259" s="378">
        <f t="shared" si="208"/>
        <v>1E-3</v>
      </c>
      <c r="AD259" s="410" t="str">
        <f>MID(D259,14,3)</f>
        <v>ELC</v>
      </c>
    </row>
    <row r="260" spans="1:46" s="83" customFormat="1" x14ac:dyDescent="0.25">
      <c r="A260" s="82"/>
      <c r="B260" s="178" t="str">
        <f>B259</f>
        <v>TFMEELC900</v>
      </c>
      <c r="C260" s="178"/>
      <c r="D260" s="179"/>
      <c r="E260" s="178"/>
      <c r="F260" s="182"/>
      <c r="G260" s="324" t="s">
        <v>643</v>
      </c>
      <c r="H260" s="182"/>
      <c r="I260" s="183"/>
      <c r="J260" s="184"/>
      <c r="K260" s="184"/>
      <c r="L260" s="184" t="s">
        <v>1126</v>
      </c>
      <c r="M260" s="184" t="s">
        <v>678</v>
      </c>
      <c r="N260" s="676">
        <f>T_CEFF!H253</f>
        <v>2.5773199999999998</v>
      </c>
      <c r="O260" s="676">
        <f>T_CEFF!I253</f>
        <v>2.5773199999999998</v>
      </c>
      <c r="P260" s="676">
        <f>T_CEFF!J253</f>
        <v>2.5773199999999998</v>
      </c>
      <c r="Q260" s="676">
        <f>T_CEFF!K253</f>
        <v>2.5773199999999998</v>
      </c>
      <c r="R260" s="676">
        <f>T_CEFF!L253</f>
        <v>2.5773199999999998</v>
      </c>
      <c r="S260" s="676">
        <f>T_CEFF!M253</f>
        <v>2.5773199999999998</v>
      </c>
      <c r="T260" s="676">
        <f>T_CEFF!N253</f>
        <v>2.5773199999999998</v>
      </c>
      <c r="U260" s="676">
        <f>T_CEFF!O253</f>
        <v>2.5773199999999998</v>
      </c>
      <c r="V260" s="676">
        <f>T_CEFF!P253</f>
        <v>2.5773199999999998</v>
      </c>
      <c r="W260" s="676">
        <f>T_CEFF!Q253</f>
        <v>2.5773199999999998</v>
      </c>
      <c r="X260" s="676">
        <f>T_CEFF!R253</f>
        <v>2.5773199999999998</v>
      </c>
      <c r="Y260" s="676">
        <f>T_CEFF!S253</f>
        <v>2.5773199999999998</v>
      </c>
      <c r="Z260" s="676">
        <f>T_CEFF!T253</f>
        <v>2.5773199999999998</v>
      </c>
      <c r="AA260" s="676">
        <f>T_CEFF!U253</f>
        <v>2.5773199999999998</v>
      </c>
      <c r="AB260" s="676">
        <f>T_CEFF!V253</f>
        <v>2.5773199999999998</v>
      </c>
      <c r="AD260" s="66" t="str">
        <f>IF(COUNTIF($AH$4:$AQ$4,AD259)=1,"ok","MISSING")</f>
        <v>ok</v>
      </c>
    </row>
    <row r="261" spans="1:46" s="83" customFormat="1" x14ac:dyDescent="0.25">
      <c r="A261" s="82"/>
      <c r="B261" s="178" t="str">
        <f t="shared" ref="B261:B270" si="209">B260</f>
        <v>TFMEELC900</v>
      </c>
      <c r="C261" s="178"/>
      <c r="D261" s="179"/>
      <c r="E261" s="178"/>
      <c r="F261" s="182"/>
      <c r="G261" s="324" t="s">
        <v>646</v>
      </c>
      <c r="H261" s="182"/>
      <c r="I261" s="183"/>
      <c r="J261" s="184"/>
      <c r="K261" s="184"/>
      <c r="L261" s="184" t="s">
        <v>1126</v>
      </c>
      <c r="M261" s="184" t="s">
        <v>678</v>
      </c>
      <c r="N261" s="676">
        <f>T_CEFF!H254</f>
        <v>0.22</v>
      </c>
      <c r="O261" s="676">
        <f>T_CEFF!I254</f>
        <v>0.22</v>
      </c>
      <c r="P261" s="676">
        <f>T_CEFF!J254</f>
        <v>0.22</v>
      </c>
      <c r="Q261" s="676">
        <f>T_CEFF!K254</f>
        <v>0.22</v>
      </c>
      <c r="R261" s="676">
        <f>T_CEFF!L254</f>
        <v>0.22</v>
      </c>
      <c r="S261" s="676">
        <f>T_CEFF!M254</f>
        <v>0.22</v>
      </c>
      <c r="T261" s="676">
        <f>T_CEFF!N254</f>
        <v>0.22</v>
      </c>
      <c r="U261" s="676">
        <f>T_CEFF!O254</f>
        <v>0.22</v>
      </c>
      <c r="V261" s="676">
        <f>T_CEFF!P254</f>
        <v>0.22</v>
      </c>
      <c r="W261" s="676">
        <f>T_CEFF!Q254</f>
        <v>0.22</v>
      </c>
      <c r="X261" s="676">
        <f>T_CEFF!R254</f>
        <v>0.22</v>
      </c>
      <c r="Y261" s="676">
        <f>T_CEFF!S254</f>
        <v>0.22</v>
      </c>
      <c r="Z261" s="676">
        <f>T_CEFF!T254</f>
        <v>0.22</v>
      </c>
      <c r="AA261" s="676">
        <f>T_CEFF!U254</f>
        <v>0.22</v>
      </c>
      <c r="AB261" s="676">
        <f>T_CEFF!V254</f>
        <v>0.22</v>
      </c>
    </row>
    <row r="262" spans="1:46" s="83" customFormat="1" x14ac:dyDescent="0.25">
      <c r="A262" s="82"/>
      <c r="B262" s="178" t="str">
        <f>B261</f>
        <v>TFMEELC900</v>
      </c>
      <c r="C262" s="178"/>
      <c r="D262" s="179"/>
      <c r="E262" s="178"/>
      <c r="F262" s="182"/>
      <c r="G262" s="181"/>
      <c r="H262" s="182"/>
      <c r="I262" s="183"/>
      <c r="J262" s="184"/>
      <c r="K262" s="184" t="s">
        <v>749</v>
      </c>
      <c r="L262" s="184" t="s">
        <v>1128</v>
      </c>
      <c r="M262" s="184" t="s">
        <v>1175</v>
      </c>
      <c r="N262" s="388">
        <f>N$24</f>
        <v>0</v>
      </c>
      <c r="O262" s="388">
        <f t="shared" ref="O262:AB262" si="210">O$24</f>
        <v>0</v>
      </c>
      <c r="P262" s="388">
        <f t="shared" si="210"/>
        <v>0</v>
      </c>
      <c r="Q262" s="388">
        <f t="shared" si="210"/>
        <v>0</v>
      </c>
      <c r="R262" s="388">
        <f t="shared" si="210"/>
        <v>0</v>
      </c>
      <c r="S262" s="388">
        <f t="shared" si="210"/>
        <v>0</v>
      </c>
      <c r="T262" s="388">
        <f t="shared" si="210"/>
        <v>0</v>
      </c>
      <c r="U262" s="388">
        <f t="shared" si="210"/>
        <v>0</v>
      </c>
      <c r="V262" s="388">
        <f t="shared" si="210"/>
        <v>0</v>
      </c>
      <c r="W262" s="388">
        <f t="shared" si="210"/>
        <v>0</v>
      </c>
      <c r="X262" s="388">
        <f t="shared" si="210"/>
        <v>0</v>
      </c>
      <c r="Y262" s="388">
        <f t="shared" si="210"/>
        <v>0</v>
      </c>
      <c r="Z262" s="388">
        <f t="shared" si="210"/>
        <v>0</v>
      </c>
      <c r="AA262" s="388">
        <f t="shared" si="210"/>
        <v>0</v>
      </c>
      <c r="AB262" s="388">
        <f t="shared" si="210"/>
        <v>0</v>
      </c>
    </row>
    <row r="263" spans="1:46" s="83" customFormat="1" x14ac:dyDescent="0.25">
      <c r="A263" s="82"/>
      <c r="B263" s="178" t="str">
        <f t="shared" si="209"/>
        <v>TFMEELC900</v>
      </c>
      <c r="C263" s="178"/>
      <c r="D263" s="179"/>
      <c r="E263" s="178"/>
      <c r="F263" s="182"/>
      <c r="G263" s="181"/>
      <c r="H263" s="182"/>
      <c r="I263" s="183"/>
      <c r="J263" s="184"/>
      <c r="K263" s="184"/>
      <c r="L263" s="203" t="s">
        <v>1130</v>
      </c>
      <c r="M263" s="184" t="s">
        <v>1131</v>
      </c>
      <c r="N263" s="397">
        <f>LOOKUP($C$259, T_NCAP_AF!$C$170:$C$180, T_NCAP_AF!D$170:D$180)*(1+N228)</f>
        <v>0</v>
      </c>
      <c r="O263" s="397">
        <f>LOOKUP($C$259, T_NCAP_AF!$C$170:$C$180, T_NCAP_AF!E$170:E$180)*(1+O228)</f>
        <v>0</v>
      </c>
      <c r="P263" s="397">
        <f>LOOKUP($C$259, T_NCAP_AF!$C$170:$C$180, T_NCAP_AF!F$170:F$180)*(1+P228)</f>
        <v>0</v>
      </c>
      <c r="Q263" s="397">
        <f>LOOKUP($C$259, T_NCAP_AF!$C$170:$C$180, T_NCAP_AF!G$170:G$180)*(1+Q228)</f>
        <v>0</v>
      </c>
      <c r="R263" s="397">
        <f>LOOKUP($C$259, T_NCAP_AF!$C$170:$C$180, T_NCAP_AF!H$170:H$180)*(1+R228)</f>
        <v>0</v>
      </c>
      <c r="S263" s="397">
        <f>LOOKUP($C$259, T_NCAP_AF!$C$170:$C$180, T_NCAP_AF!I$170:I$180)*(1+S228)</f>
        <v>0</v>
      </c>
      <c r="T263" s="397">
        <f>LOOKUP($C$259, T_NCAP_AF!$C$170:$C$180, T_NCAP_AF!J$170:J$180)*(1+T228)</f>
        <v>0</v>
      </c>
      <c r="U263" s="397">
        <f>LOOKUP($C$259, T_NCAP_AF!$C$170:$C$180, T_NCAP_AF!K$170:K$180)*(1+U228)</f>
        <v>0</v>
      </c>
      <c r="V263" s="397">
        <f>LOOKUP($C$259, T_NCAP_AF!$C$170:$C$180, T_NCAP_AF!L$170:L$180)*(1+V228)</f>
        <v>0</v>
      </c>
      <c r="W263" s="397">
        <f>LOOKUP($C$259, T_NCAP_AF!$C$170:$C$180, T_NCAP_AF!M$170:M$180)*(1+W228)</f>
        <v>0</v>
      </c>
      <c r="X263" s="397">
        <f>LOOKUP($C$259, T_NCAP_AF!$C$170:$C$180, T_NCAP_AF!N$170:N$180)*(1+X228)</f>
        <v>0</v>
      </c>
      <c r="Y263" s="397">
        <f>LOOKUP($C$259, T_NCAP_AF!$C$170:$C$180, T_NCAP_AF!O$170:O$180)*(1+Y228)</f>
        <v>0</v>
      </c>
      <c r="Z263" s="397">
        <f>LOOKUP($C$259, T_NCAP_AF!$C$170:$C$180, T_NCAP_AF!P$170:P$180)*(1+Z228)</f>
        <v>0</v>
      </c>
      <c r="AA263" s="397">
        <f>LOOKUP($C$259, T_NCAP_AF!$C$170:$C$180, T_NCAP_AF!Q$170:Q$180)*(1+AA228)</f>
        <v>0</v>
      </c>
      <c r="AB263" s="397">
        <f>LOOKUP($C$259, T_NCAP_AF!$C$170:$C$180, T_NCAP_AF!R$170:R$180)*(1+AB228)</f>
        <v>0</v>
      </c>
      <c r="AE263" s="572">
        <f>SUM(AF263:AT263)</f>
        <v>0</v>
      </c>
      <c r="AF263" s="85">
        <f t="shared" ref="AF263:AT263" si="211">N262*N263*N264/1000</f>
        <v>0</v>
      </c>
      <c r="AG263" s="85">
        <f t="shared" si="211"/>
        <v>0</v>
      </c>
      <c r="AH263" s="85">
        <f t="shared" si="211"/>
        <v>0</v>
      </c>
      <c r="AI263" s="85">
        <f t="shared" si="211"/>
        <v>0</v>
      </c>
      <c r="AJ263" s="85">
        <f t="shared" si="211"/>
        <v>0</v>
      </c>
      <c r="AK263" s="85">
        <f t="shared" si="211"/>
        <v>0</v>
      </c>
      <c r="AL263" s="85">
        <f t="shared" si="211"/>
        <v>0</v>
      </c>
      <c r="AM263" s="85">
        <f t="shared" si="211"/>
        <v>0</v>
      </c>
      <c r="AN263" s="85">
        <f t="shared" si="211"/>
        <v>0</v>
      </c>
      <c r="AO263" s="85">
        <f t="shared" si="211"/>
        <v>0</v>
      </c>
      <c r="AP263" s="85">
        <f t="shared" si="211"/>
        <v>0</v>
      </c>
      <c r="AQ263" s="85">
        <f t="shared" si="211"/>
        <v>0</v>
      </c>
      <c r="AR263" s="85">
        <f t="shared" si="211"/>
        <v>0</v>
      </c>
      <c r="AS263" s="85">
        <f t="shared" si="211"/>
        <v>0</v>
      </c>
      <c r="AT263" s="85">
        <f t="shared" si="211"/>
        <v>0</v>
      </c>
    </row>
    <row r="264" spans="1:46" s="83" customFormat="1" x14ac:dyDescent="0.25">
      <c r="A264" s="82"/>
      <c r="B264" s="178" t="str">
        <f>B263</f>
        <v>TFMEELC900</v>
      </c>
      <c r="C264" s="178"/>
      <c r="D264" s="179"/>
      <c r="E264" s="178"/>
      <c r="F264" s="182"/>
      <c r="G264" s="181"/>
      <c r="H264" s="182"/>
      <c r="I264" s="183">
        <f>$M$3</f>
        <v>2019</v>
      </c>
      <c r="J264" s="184"/>
      <c r="K264" s="184"/>
      <c r="L264" s="203" t="s">
        <v>1065</v>
      </c>
      <c r="M264" s="184" t="s">
        <v>748</v>
      </c>
      <c r="N264" s="694">
        <f>LOOKUP($C$259, 'T_Stock_TOTAL_&amp;_City'!$C$106:$C$116, 'T_Stock_TOTAL_&amp;_City'!D$106:D$116)*(1+N229)</f>
        <v>0</v>
      </c>
      <c r="O264" s="694">
        <f>LOOKUP($C$259, 'T_Stock_TOTAL_&amp;_City'!$C$106:$C$116, 'T_Stock_TOTAL_&amp;_City'!E$106:E$116)*(1+O229)</f>
        <v>0</v>
      </c>
      <c r="P264" s="694">
        <f>LOOKUP($C$259, 'T_Stock_TOTAL_&amp;_City'!$C$106:$C$116, 'T_Stock_TOTAL_&amp;_City'!F$106:F$116)*(1+P229)</f>
        <v>0</v>
      </c>
      <c r="Q264" s="694">
        <f>LOOKUP($C$259, 'T_Stock_TOTAL_&amp;_City'!$C$106:$C$116, 'T_Stock_TOTAL_&amp;_City'!G$106:G$116)*(1+Q229)</f>
        <v>0</v>
      </c>
      <c r="R264" s="694">
        <f>LOOKUP($C$259, 'T_Stock_TOTAL_&amp;_City'!$C$106:$C$116, 'T_Stock_TOTAL_&amp;_City'!H$106:H$116)*(1+R229)</f>
        <v>0</v>
      </c>
      <c r="S264" s="694">
        <f>LOOKUP($C$259, 'T_Stock_TOTAL_&amp;_City'!$C$106:$C$116, 'T_Stock_TOTAL_&amp;_City'!I$106:I$116)*(1+S229)</f>
        <v>0</v>
      </c>
      <c r="T264" s="694">
        <f>LOOKUP($C$259, 'T_Stock_TOTAL_&amp;_City'!$C$106:$C$116, 'T_Stock_TOTAL_&amp;_City'!J$106:J$116)*(1+T229)</f>
        <v>0</v>
      </c>
      <c r="U264" s="694">
        <f>LOOKUP($C$259, 'T_Stock_TOTAL_&amp;_City'!$C$106:$C$116, 'T_Stock_TOTAL_&amp;_City'!K$106:K$116)*(1+U229)</f>
        <v>0</v>
      </c>
      <c r="V264" s="694">
        <f>LOOKUP($C$259, 'T_Stock_TOTAL_&amp;_City'!$C$106:$C$116, 'T_Stock_TOTAL_&amp;_City'!L$106:L$116)*(1+V229)</f>
        <v>0</v>
      </c>
      <c r="W264" s="694">
        <f>LOOKUP($C$259, 'T_Stock_TOTAL_&amp;_City'!$C$106:$C$116, 'T_Stock_TOTAL_&amp;_City'!M$106:M$116)*(1+W229)</f>
        <v>0</v>
      </c>
      <c r="X264" s="694">
        <f>LOOKUP($C$259, 'T_Stock_TOTAL_&amp;_City'!$C$106:$C$116, 'T_Stock_TOTAL_&amp;_City'!N$106:N$116)*(1+X229)</f>
        <v>0</v>
      </c>
      <c r="Y264" s="694">
        <f>LOOKUP($C$259, 'T_Stock_TOTAL_&amp;_City'!$C$106:$C$116, 'T_Stock_TOTAL_&amp;_City'!O$106:O$116)*(1+Y229)</f>
        <v>0</v>
      </c>
      <c r="Z264" s="694">
        <f>LOOKUP($C$259, 'T_Stock_TOTAL_&amp;_City'!$C$106:$C$116, 'T_Stock_TOTAL_&amp;_City'!P$106:P$116)*(1+Z229)</f>
        <v>0</v>
      </c>
      <c r="AA264" s="694">
        <f>LOOKUP($C$259, 'T_Stock_TOTAL_&amp;_City'!$C$106:$C$116, 'T_Stock_TOTAL_&amp;_City'!Q$106:Q$116)*(1+AA229)</f>
        <v>0</v>
      </c>
      <c r="AB264" s="694">
        <f>LOOKUP($C$259, 'T_Stock_TOTAL_&amp;_City'!$C$106:$C$116, 'T_Stock_TOTAL_&amp;_City'!R$106:R$116)*(1+AB229)</f>
        <v>0</v>
      </c>
    </row>
    <row r="265" spans="1:46" s="83" customFormat="1" x14ac:dyDescent="0.25">
      <c r="A265" s="82"/>
      <c r="B265" s="178" t="str">
        <f t="shared" si="209"/>
        <v>TFMEELC900</v>
      </c>
      <c r="C265" s="178"/>
      <c r="D265" s="179"/>
      <c r="E265" s="178"/>
      <c r="F265" s="182"/>
      <c r="G265" s="181"/>
      <c r="H265" s="182"/>
      <c r="I265" s="183">
        <f>AF$5</f>
        <v>2016</v>
      </c>
      <c r="J265" s="184"/>
      <c r="K265" s="184"/>
      <c r="L265" s="203" t="s">
        <v>1065</v>
      </c>
      <c r="M265" s="184" t="s">
        <v>748</v>
      </c>
      <c r="N265" s="694">
        <f t="shared" ref="N265:AB265" si="212">N264*LOOKUP($AD259,$AH$4:$AQ$4,$AH$5:$AQ$5)</f>
        <v>0</v>
      </c>
      <c r="O265" s="694">
        <f t="shared" si="212"/>
        <v>0</v>
      </c>
      <c r="P265" s="694">
        <f t="shared" si="212"/>
        <v>0</v>
      </c>
      <c r="Q265" s="694">
        <f t="shared" si="212"/>
        <v>0</v>
      </c>
      <c r="R265" s="694">
        <f t="shared" si="212"/>
        <v>0</v>
      </c>
      <c r="S265" s="694">
        <f t="shared" si="212"/>
        <v>0</v>
      </c>
      <c r="T265" s="694">
        <f t="shared" si="212"/>
        <v>0</v>
      </c>
      <c r="U265" s="694">
        <f t="shared" si="212"/>
        <v>0</v>
      </c>
      <c r="V265" s="694">
        <f t="shared" si="212"/>
        <v>0</v>
      </c>
      <c r="W265" s="694">
        <f t="shared" si="212"/>
        <v>0</v>
      </c>
      <c r="X265" s="694">
        <f t="shared" si="212"/>
        <v>0</v>
      </c>
      <c r="Y265" s="694">
        <f t="shared" si="212"/>
        <v>0</v>
      </c>
      <c r="Z265" s="694">
        <f t="shared" si="212"/>
        <v>0</v>
      </c>
      <c r="AA265" s="694">
        <f t="shared" si="212"/>
        <v>0</v>
      </c>
      <c r="AB265" s="694">
        <f t="shared" si="212"/>
        <v>0</v>
      </c>
    </row>
    <row r="266" spans="1:46" s="83" customFormat="1" x14ac:dyDescent="0.25">
      <c r="A266" s="82"/>
      <c r="B266" s="178" t="str">
        <f t="shared" si="209"/>
        <v>TFMEELC900</v>
      </c>
      <c r="C266" s="178"/>
      <c r="D266" s="179"/>
      <c r="E266" s="178"/>
      <c r="F266" s="182"/>
      <c r="G266" s="181"/>
      <c r="H266" s="182"/>
      <c r="I266" s="183">
        <f>AF$6</f>
        <v>2020</v>
      </c>
      <c r="J266" s="184"/>
      <c r="K266" s="184"/>
      <c r="L266" s="203" t="s">
        <v>1065</v>
      </c>
      <c r="M266" s="184" t="s">
        <v>748</v>
      </c>
      <c r="N266" s="694">
        <f t="shared" ref="N266:AB266" si="213">N264*LOOKUP($AD259,$AH$4:$AQ$4,$AH$6:$AQ$6)</f>
        <v>0</v>
      </c>
      <c r="O266" s="694">
        <f t="shared" si="213"/>
        <v>0</v>
      </c>
      <c r="P266" s="694">
        <f t="shared" si="213"/>
        <v>0</v>
      </c>
      <c r="Q266" s="694">
        <f t="shared" si="213"/>
        <v>0</v>
      </c>
      <c r="R266" s="694">
        <f t="shared" si="213"/>
        <v>0</v>
      </c>
      <c r="S266" s="694">
        <f t="shared" si="213"/>
        <v>0</v>
      </c>
      <c r="T266" s="694">
        <f t="shared" si="213"/>
        <v>0</v>
      </c>
      <c r="U266" s="694">
        <f t="shared" si="213"/>
        <v>0</v>
      </c>
      <c r="V266" s="694">
        <f t="shared" si="213"/>
        <v>0</v>
      </c>
      <c r="W266" s="694">
        <f t="shared" si="213"/>
        <v>0</v>
      </c>
      <c r="X266" s="694">
        <f t="shared" si="213"/>
        <v>0</v>
      </c>
      <c r="Y266" s="694">
        <f t="shared" si="213"/>
        <v>0</v>
      </c>
      <c r="Z266" s="694">
        <f t="shared" si="213"/>
        <v>0</v>
      </c>
      <c r="AA266" s="694">
        <f t="shared" si="213"/>
        <v>0</v>
      </c>
      <c r="AB266" s="694">
        <f t="shared" si="213"/>
        <v>0</v>
      </c>
    </row>
    <row r="267" spans="1:46" s="83" customFormat="1" x14ac:dyDescent="0.25">
      <c r="A267" s="82"/>
      <c r="B267" s="178" t="str">
        <f t="shared" si="209"/>
        <v>TFMEELC900</v>
      </c>
      <c r="C267" s="178"/>
      <c r="D267" s="179"/>
      <c r="E267" s="178"/>
      <c r="F267" s="182"/>
      <c r="G267" s="181"/>
      <c r="H267" s="182"/>
      <c r="I267" s="183">
        <f>AF$7</f>
        <v>2025</v>
      </c>
      <c r="J267" s="184"/>
      <c r="K267" s="184"/>
      <c r="L267" s="203" t="s">
        <v>1065</v>
      </c>
      <c r="M267" s="184" t="s">
        <v>748</v>
      </c>
      <c r="N267" s="694">
        <f t="shared" ref="N267:AB267" si="214">N264*LOOKUP($AD259,$AH$4:$AQ$4,$AH$7:$AQ$7)</f>
        <v>0</v>
      </c>
      <c r="O267" s="694">
        <f t="shared" si="214"/>
        <v>0</v>
      </c>
      <c r="P267" s="694">
        <f t="shared" si="214"/>
        <v>0</v>
      </c>
      <c r="Q267" s="694">
        <f t="shared" si="214"/>
        <v>0</v>
      </c>
      <c r="R267" s="694">
        <f t="shared" si="214"/>
        <v>0</v>
      </c>
      <c r="S267" s="694">
        <f t="shared" si="214"/>
        <v>0</v>
      </c>
      <c r="T267" s="694">
        <f t="shared" si="214"/>
        <v>0</v>
      </c>
      <c r="U267" s="694">
        <f t="shared" si="214"/>
        <v>0</v>
      </c>
      <c r="V267" s="694">
        <f t="shared" si="214"/>
        <v>0</v>
      </c>
      <c r="W267" s="694">
        <f t="shared" si="214"/>
        <v>0</v>
      </c>
      <c r="X267" s="694">
        <f t="shared" si="214"/>
        <v>0</v>
      </c>
      <c r="Y267" s="694">
        <f t="shared" si="214"/>
        <v>0</v>
      </c>
      <c r="Z267" s="694">
        <f t="shared" si="214"/>
        <v>0</v>
      </c>
      <c r="AA267" s="694">
        <f t="shared" si="214"/>
        <v>0</v>
      </c>
      <c r="AB267" s="694">
        <f t="shared" si="214"/>
        <v>0</v>
      </c>
    </row>
    <row r="268" spans="1:46" s="83" customFormat="1" x14ac:dyDescent="0.25">
      <c r="A268" s="82"/>
      <c r="B268" s="178" t="str">
        <f t="shared" si="209"/>
        <v>TFMEELC900</v>
      </c>
      <c r="C268" s="178"/>
      <c r="D268" s="179"/>
      <c r="E268" s="178"/>
      <c r="F268" s="182"/>
      <c r="G268" s="181"/>
      <c r="H268" s="182"/>
      <c r="I268" s="183">
        <f>AF$8</f>
        <v>2030</v>
      </c>
      <c r="J268" s="184"/>
      <c r="K268" s="184"/>
      <c r="L268" s="203" t="s">
        <v>1065</v>
      </c>
      <c r="M268" s="184" t="s">
        <v>748</v>
      </c>
      <c r="N268" s="694">
        <f t="shared" ref="N268:AB268" si="215">N264*LOOKUP($AD259,$AH$4:$AQ$4,$AH$8:$AQ$8)</f>
        <v>0</v>
      </c>
      <c r="O268" s="694">
        <f t="shared" si="215"/>
        <v>0</v>
      </c>
      <c r="P268" s="694">
        <f t="shared" si="215"/>
        <v>0</v>
      </c>
      <c r="Q268" s="694">
        <f t="shared" si="215"/>
        <v>0</v>
      </c>
      <c r="R268" s="694">
        <f t="shared" si="215"/>
        <v>0</v>
      </c>
      <c r="S268" s="694">
        <f t="shared" si="215"/>
        <v>0</v>
      </c>
      <c r="T268" s="694">
        <f t="shared" si="215"/>
        <v>0</v>
      </c>
      <c r="U268" s="694">
        <f t="shared" si="215"/>
        <v>0</v>
      </c>
      <c r="V268" s="694">
        <f t="shared" si="215"/>
        <v>0</v>
      </c>
      <c r="W268" s="694">
        <f t="shared" si="215"/>
        <v>0</v>
      </c>
      <c r="X268" s="694">
        <f t="shared" si="215"/>
        <v>0</v>
      </c>
      <c r="Y268" s="694">
        <f t="shared" si="215"/>
        <v>0</v>
      </c>
      <c r="Z268" s="694">
        <f t="shared" si="215"/>
        <v>0</v>
      </c>
      <c r="AA268" s="694">
        <f t="shared" si="215"/>
        <v>0</v>
      </c>
      <c r="AB268" s="694">
        <f t="shared" si="215"/>
        <v>0</v>
      </c>
    </row>
    <row r="269" spans="1:46" s="83" customFormat="1" x14ac:dyDescent="0.25">
      <c r="A269" s="82"/>
      <c r="B269" s="178" t="str">
        <f t="shared" si="209"/>
        <v>TFMEELC900</v>
      </c>
      <c r="C269" s="178"/>
      <c r="D269" s="179"/>
      <c r="E269" s="178"/>
      <c r="F269" s="182"/>
      <c r="G269" s="181"/>
      <c r="H269" s="182"/>
      <c r="I269" s="183">
        <f>AF$9</f>
        <v>2040</v>
      </c>
      <c r="J269" s="184"/>
      <c r="K269" s="184"/>
      <c r="L269" s="203" t="s">
        <v>1065</v>
      </c>
      <c r="M269" s="184" t="s">
        <v>748</v>
      </c>
      <c r="N269" s="694">
        <f t="shared" ref="N269:AB269" si="216">N264*LOOKUP($AD259,$AH$4:$AQ$4,$AH$9:$AQ$9)</f>
        <v>0</v>
      </c>
      <c r="O269" s="694">
        <f t="shared" si="216"/>
        <v>0</v>
      </c>
      <c r="P269" s="694">
        <f t="shared" si="216"/>
        <v>0</v>
      </c>
      <c r="Q269" s="694">
        <f t="shared" si="216"/>
        <v>0</v>
      </c>
      <c r="R269" s="694">
        <f t="shared" si="216"/>
        <v>0</v>
      </c>
      <c r="S269" s="694">
        <f t="shared" si="216"/>
        <v>0</v>
      </c>
      <c r="T269" s="694">
        <f t="shared" si="216"/>
        <v>0</v>
      </c>
      <c r="U269" s="694">
        <f t="shared" si="216"/>
        <v>0</v>
      </c>
      <c r="V269" s="694">
        <f t="shared" si="216"/>
        <v>0</v>
      </c>
      <c r="W269" s="694">
        <f t="shared" si="216"/>
        <v>0</v>
      </c>
      <c r="X269" s="694">
        <f t="shared" si="216"/>
        <v>0</v>
      </c>
      <c r="Y269" s="694">
        <f t="shared" si="216"/>
        <v>0</v>
      </c>
      <c r="Z269" s="694">
        <f t="shared" si="216"/>
        <v>0</v>
      </c>
      <c r="AA269" s="694">
        <f t="shared" si="216"/>
        <v>0</v>
      </c>
      <c r="AB269" s="694">
        <f t="shared" si="216"/>
        <v>0</v>
      </c>
    </row>
    <row r="270" spans="1:46" s="83" customFormat="1" x14ac:dyDescent="0.25">
      <c r="A270" s="82"/>
      <c r="B270" s="204" t="str">
        <f t="shared" si="209"/>
        <v>TFMEELC900</v>
      </c>
      <c r="C270" s="204"/>
      <c r="D270" s="205"/>
      <c r="E270" s="204"/>
      <c r="F270" s="206"/>
      <c r="G270" s="207"/>
      <c r="H270" s="206"/>
      <c r="I270" s="208">
        <f>AF$10</f>
        <v>2050</v>
      </c>
      <c r="J270" s="209"/>
      <c r="K270" s="209"/>
      <c r="L270" s="210" t="s">
        <v>1065</v>
      </c>
      <c r="M270" s="209" t="s">
        <v>748</v>
      </c>
      <c r="N270" s="695">
        <f t="shared" ref="N270:AB270" si="217">N264*LOOKUP($AD259,$AH$4:$AQ$4,$AH$10:$AQ$10)</f>
        <v>0</v>
      </c>
      <c r="O270" s="695">
        <f t="shared" si="217"/>
        <v>0</v>
      </c>
      <c r="P270" s="695">
        <f t="shared" si="217"/>
        <v>0</v>
      </c>
      <c r="Q270" s="695">
        <f t="shared" si="217"/>
        <v>0</v>
      </c>
      <c r="R270" s="695">
        <f t="shared" si="217"/>
        <v>0</v>
      </c>
      <c r="S270" s="695">
        <f t="shared" si="217"/>
        <v>0</v>
      </c>
      <c r="T270" s="695">
        <f t="shared" si="217"/>
        <v>0</v>
      </c>
      <c r="U270" s="695">
        <f t="shared" si="217"/>
        <v>0</v>
      </c>
      <c r="V270" s="695">
        <f t="shared" si="217"/>
        <v>0</v>
      </c>
      <c r="W270" s="695">
        <f t="shared" si="217"/>
        <v>0</v>
      </c>
      <c r="X270" s="695">
        <f t="shared" si="217"/>
        <v>0</v>
      </c>
      <c r="Y270" s="695">
        <f t="shared" si="217"/>
        <v>0</v>
      </c>
      <c r="Z270" s="695">
        <f t="shared" si="217"/>
        <v>0</v>
      </c>
      <c r="AA270" s="695">
        <f t="shared" si="217"/>
        <v>0</v>
      </c>
      <c r="AB270" s="695">
        <f t="shared" si="217"/>
        <v>0</v>
      </c>
    </row>
    <row r="271" spans="1:46" s="83" customFormat="1" x14ac:dyDescent="0.25">
      <c r="A271" s="82"/>
      <c r="B271" s="178" t="str">
        <f>C271</f>
        <v>TFMEETH900</v>
      </c>
      <c r="C271" s="178" t="s">
        <v>142</v>
      </c>
      <c r="D271" s="179" t="s">
        <v>833</v>
      </c>
      <c r="E271" s="180" t="s">
        <v>1010</v>
      </c>
      <c r="F271" s="182"/>
      <c r="G271" s="181"/>
      <c r="H271" s="182"/>
      <c r="I271" s="183"/>
      <c r="J271" s="184"/>
      <c r="K271" s="184"/>
      <c r="L271" s="203" t="s">
        <v>1107</v>
      </c>
      <c r="M271" s="184" t="s">
        <v>1125</v>
      </c>
      <c r="N271" s="378">
        <v>1E-3</v>
      </c>
      <c r="O271" s="378">
        <f t="shared" ref="O271:AB271" si="218">$N271</f>
        <v>1E-3</v>
      </c>
      <c r="P271" s="378">
        <f t="shared" si="218"/>
        <v>1E-3</v>
      </c>
      <c r="Q271" s="378">
        <f t="shared" si="218"/>
        <v>1E-3</v>
      </c>
      <c r="R271" s="378">
        <f t="shared" si="218"/>
        <v>1E-3</v>
      </c>
      <c r="S271" s="378">
        <f t="shared" si="218"/>
        <v>1E-3</v>
      </c>
      <c r="T271" s="378">
        <f t="shared" si="218"/>
        <v>1E-3</v>
      </c>
      <c r="U271" s="378">
        <f t="shared" si="218"/>
        <v>1E-3</v>
      </c>
      <c r="V271" s="378">
        <f t="shared" si="218"/>
        <v>1E-3</v>
      </c>
      <c r="W271" s="378">
        <f t="shared" si="218"/>
        <v>1E-3</v>
      </c>
      <c r="X271" s="378">
        <f t="shared" si="218"/>
        <v>1E-3</v>
      </c>
      <c r="Y271" s="378">
        <f t="shared" si="218"/>
        <v>1E-3</v>
      </c>
      <c r="Z271" s="378">
        <f t="shared" si="218"/>
        <v>1E-3</v>
      </c>
      <c r="AA271" s="378">
        <f t="shared" si="218"/>
        <v>1E-3</v>
      </c>
      <c r="AB271" s="378">
        <f t="shared" si="218"/>
        <v>1E-3</v>
      </c>
      <c r="AD271" s="410" t="str">
        <f>MID(D271,14,3)</f>
        <v>ETH</v>
      </c>
    </row>
    <row r="272" spans="1:46" s="83" customFormat="1" x14ac:dyDescent="0.25">
      <c r="A272" s="82"/>
      <c r="B272" s="178" t="str">
        <f>B271</f>
        <v>TFMEETH900</v>
      </c>
      <c r="C272" s="178"/>
      <c r="D272" s="179"/>
      <c r="E272" s="178"/>
      <c r="F272" s="182"/>
      <c r="G272" s="324" t="s">
        <v>643</v>
      </c>
      <c r="H272" s="182"/>
      <c r="I272" s="183"/>
      <c r="J272" s="184"/>
      <c r="K272" s="184"/>
      <c r="L272" s="184" t="s">
        <v>1126</v>
      </c>
      <c r="M272" s="184" t="s">
        <v>678</v>
      </c>
      <c r="N272" s="676">
        <f>T_CEFF!H255</f>
        <v>9.2439999999999994E-2</v>
      </c>
      <c r="O272" s="676">
        <f>T_CEFF!I255</f>
        <v>9.2439999999999994E-2</v>
      </c>
      <c r="P272" s="676">
        <f>T_CEFF!J255</f>
        <v>9.2439999999999994E-2</v>
      </c>
      <c r="Q272" s="676">
        <f>T_CEFF!K255</f>
        <v>9.2439999999999994E-2</v>
      </c>
      <c r="R272" s="676">
        <f>T_CEFF!L255</f>
        <v>9.2439999999999994E-2</v>
      </c>
      <c r="S272" s="676">
        <f>T_CEFF!M255</f>
        <v>9.2439999999999994E-2</v>
      </c>
      <c r="T272" s="676">
        <f>T_CEFF!N255</f>
        <v>9.2439999999999994E-2</v>
      </c>
      <c r="U272" s="676">
        <f>T_CEFF!O255</f>
        <v>9.2439999999999994E-2</v>
      </c>
      <c r="V272" s="676">
        <f>T_CEFF!P255</f>
        <v>9.2439999999999994E-2</v>
      </c>
      <c r="W272" s="676">
        <f>T_CEFF!Q255</f>
        <v>9.2439999999999994E-2</v>
      </c>
      <c r="X272" s="676">
        <f>T_CEFF!R255</f>
        <v>9.2439999999999994E-2</v>
      </c>
      <c r="Y272" s="676">
        <f>T_CEFF!S255</f>
        <v>9.2439999999999994E-2</v>
      </c>
      <c r="Z272" s="676">
        <f>T_CEFF!T255</f>
        <v>9.2439999999999994E-2</v>
      </c>
      <c r="AA272" s="676">
        <f>T_CEFF!U255</f>
        <v>9.2439999999999994E-2</v>
      </c>
      <c r="AB272" s="676">
        <f>T_CEFF!V255</f>
        <v>9.2439999999999994E-2</v>
      </c>
    </row>
    <row r="273" spans="1:46" s="83" customFormat="1" x14ac:dyDescent="0.25">
      <c r="A273" s="82"/>
      <c r="B273" s="178" t="str">
        <f t="shared" ref="B273:B282" si="219">B272</f>
        <v>TFMEETH900</v>
      </c>
      <c r="C273" s="178"/>
      <c r="D273" s="179"/>
      <c r="E273" s="178"/>
      <c r="F273" s="182"/>
      <c r="G273" s="324" t="s">
        <v>646</v>
      </c>
      <c r="H273" s="182"/>
      <c r="I273" s="183"/>
      <c r="J273" s="184"/>
      <c r="K273" s="184"/>
      <c r="L273" s="184" t="s">
        <v>1126</v>
      </c>
      <c r="M273" s="184" t="s">
        <v>678</v>
      </c>
      <c r="N273" s="676">
        <f>T_CEFF!H256</f>
        <v>7.3950000000000002E-2</v>
      </c>
      <c r="O273" s="676">
        <f>T_CEFF!I256</f>
        <v>7.3950000000000002E-2</v>
      </c>
      <c r="P273" s="676">
        <f>T_CEFF!J256</f>
        <v>7.3950000000000002E-2</v>
      </c>
      <c r="Q273" s="676">
        <f>T_CEFF!K256</f>
        <v>7.3950000000000002E-2</v>
      </c>
      <c r="R273" s="676">
        <f>T_CEFF!L256</f>
        <v>7.3950000000000002E-2</v>
      </c>
      <c r="S273" s="676">
        <f>T_CEFF!M256</f>
        <v>7.3950000000000002E-2</v>
      </c>
      <c r="T273" s="676">
        <f>T_CEFF!N256</f>
        <v>7.3950000000000002E-2</v>
      </c>
      <c r="U273" s="676">
        <f>T_CEFF!O256</f>
        <v>7.3950000000000002E-2</v>
      </c>
      <c r="V273" s="676">
        <f>T_CEFF!P256</f>
        <v>7.3950000000000002E-2</v>
      </c>
      <c r="W273" s="676">
        <f>T_CEFF!Q256</f>
        <v>7.3950000000000002E-2</v>
      </c>
      <c r="X273" s="676">
        <f>T_CEFF!R256</f>
        <v>7.3950000000000002E-2</v>
      </c>
      <c r="Y273" s="676">
        <f>T_CEFF!S256</f>
        <v>7.3950000000000002E-2</v>
      </c>
      <c r="Z273" s="676">
        <f>T_CEFF!T256</f>
        <v>7.3950000000000002E-2</v>
      </c>
      <c r="AA273" s="676">
        <f>T_CEFF!U256</f>
        <v>7.3950000000000002E-2</v>
      </c>
      <c r="AB273" s="676">
        <f>T_CEFF!V256</f>
        <v>7.3950000000000002E-2</v>
      </c>
    </row>
    <row r="274" spans="1:46" s="83" customFormat="1" x14ac:dyDescent="0.25">
      <c r="A274" s="82"/>
      <c r="B274" s="178" t="str">
        <f>B273</f>
        <v>TFMEETH900</v>
      </c>
      <c r="C274" s="178"/>
      <c r="D274" s="179"/>
      <c r="E274" s="178"/>
      <c r="F274" s="182"/>
      <c r="G274" s="181"/>
      <c r="H274" s="182"/>
      <c r="I274" s="183"/>
      <c r="J274" s="184"/>
      <c r="K274" s="184" t="s">
        <v>749</v>
      </c>
      <c r="L274" s="184" t="s">
        <v>1128</v>
      </c>
      <c r="M274" s="184" t="s">
        <v>1175</v>
      </c>
      <c r="N274" s="388">
        <f>N$24</f>
        <v>0</v>
      </c>
      <c r="O274" s="388">
        <f t="shared" ref="O274:AB274" si="220">O$24</f>
        <v>0</v>
      </c>
      <c r="P274" s="388">
        <f t="shared" si="220"/>
        <v>0</v>
      </c>
      <c r="Q274" s="388">
        <f t="shared" si="220"/>
        <v>0</v>
      </c>
      <c r="R274" s="388">
        <f t="shared" si="220"/>
        <v>0</v>
      </c>
      <c r="S274" s="388">
        <f t="shared" si="220"/>
        <v>0</v>
      </c>
      <c r="T274" s="388">
        <f t="shared" si="220"/>
        <v>0</v>
      </c>
      <c r="U274" s="388">
        <f t="shared" si="220"/>
        <v>0</v>
      </c>
      <c r="V274" s="388">
        <f t="shared" si="220"/>
        <v>0</v>
      </c>
      <c r="W274" s="388">
        <f t="shared" si="220"/>
        <v>0</v>
      </c>
      <c r="X274" s="388">
        <f t="shared" si="220"/>
        <v>0</v>
      </c>
      <c r="Y274" s="388">
        <f t="shared" si="220"/>
        <v>0</v>
      </c>
      <c r="Z274" s="388">
        <f t="shared" si="220"/>
        <v>0</v>
      </c>
      <c r="AA274" s="388">
        <f t="shared" si="220"/>
        <v>0</v>
      </c>
      <c r="AB274" s="388">
        <f t="shared" si="220"/>
        <v>0</v>
      </c>
    </row>
    <row r="275" spans="1:46" s="83" customFormat="1" x14ac:dyDescent="0.25">
      <c r="A275" s="82"/>
      <c r="B275" s="178" t="str">
        <f t="shared" si="219"/>
        <v>TFMEETH900</v>
      </c>
      <c r="C275" s="178"/>
      <c r="D275" s="179"/>
      <c r="E275" s="178"/>
      <c r="F275" s="182"/>
      <c r="G275" s="181"/>
      <c r="H275" s="182"/>
      <c r="I275" s="183"/>
      <c r="J275" s="184"/>
      <c r="K275" s="184"/>
      <c r="L275" s="203" t="s">
        <v>1130</v>
      </c>
      <c r="M275" s="184" t="s">
        <v>1131</v>
      </c>
      <c r="N275" s="397">
        <f>LOOKUP($C$271, T_NCAP_AF!$C$170:$C$180, T_NCAP_AF!D$170:D$180)*(1+N228)</f>
        <v>0</v>
      </c>
      <c r="O275" s="397">
        <f>LOOKUP($C$271, T_NCAP_AF!$C$170:$C$180, T_NCAP_AF!E$170:E$180)*(1+O228)</f>
        <v>0</v>
      </c>
      <c r="P275" s="397">
        <f>LOOKUP($C$271, T_NCAP_AF!$C$170:$C$180, T_NCAP_AF!F$170:F$180)*(1+P228)</f>
        <v>0</v>
      </c>
      <c r="Q275" s="397">
        <f>LOOKUP($C$271, T_NCAP_AF!$C$170:$C$180, T_NCAP_AF!G$170:G$180)*(1+Q228)</f>
        <v>0</v>
      </c>
      <c r="R275" s="397">
        <f>LOOKUP($C$271, T_NCAP_AF!$C$170:$C$180, T_NCAP_AF!H$170:H$180)*(1+R228)</f>
        <v>0</v>
      </c>
      <c r="S275" s="397">
        <f>LOOKUP($C$271, T_NCAP_AF!$C$170:$C$180, T_NCAP_AF!I$170:I$180)*(1+S228)</f>
        <v>0</v>
      </c>
      <c r="T275" s="397">
        <f>LOOKUP($C$271, T_NCAP_AF!$C$170:$C$180, T_NCAP_AF!J$170:J$180)*(1+T228)</f>
        <v>0</v>
      </c>
      <c r="U275" s="397">
        <f>LOOKUP($C$271, T_NCAP_AF!$C$170:$C$180, T_NCAP_AF!K$170:K$180)*(1+U228)</f>
        <v>0</v>
      </c>
      <c r="V275" s="397">
        <f>LOOKUP($C$271, T_NCAP_AF!$C$170:$C$180, T_NCAP_AF!L$170:L$180)*(1+V228)</f>
        <v>0</v>
      </c>
      <c r="W275" s="397">
        <f>LOOKUP($C$271, T_NCAP_AF!$C$170:$C$180, T_NCAP_AF!M$170:M$180)*(1+W228)</f>
        <v>0</v>
      </c>
      <c r="X275" s="397">
        <f>LOOKUP($C$271, T_NCAP_AF!$C$170:$C$180, T_NCAP_AF!N$170:N$180)*(1+X228)</f>
        <v>0</v>
      </c>
      <c r="Y275" s="397">
        <f>LOOKUP($C$271, T_NCAP_AF!$C$170:$C$180, T_NCAP_AF!O$170:O$180)*(1+Y228)</f>
        <v>0</v>
      </c>
      <c r="Z275" s="397">
        <f>LOOKUP($C$271, T_NCAP_AF!$C$170:$C$180, T_NCAP_AF!P$170:P$180)*(1+Z228)</f>
        <v>0</v>
      </c>
      <c r="AA275" s="397">
        <f>LOOKUP($C$271, T_NCAP_AF!$C$170:$C$180, T_NCAP_AF!Q$170:Q$180)*(1+AA228)</f>
        <v>0</v>
      </c>
      <c r="AB275" s="397">
        <f>LOOKUP($C$271, T_NCAP_AF!$C$170:$C$180, T_NCAP_AF!R$170:R$180)*(1+AB228)</f>
        <v>0</v>
      </c>
      <c r="AE275" s="572">
        <f>SUM(AF275:AT275)</f>
        <v>0</v>
      </c>
      <c r="AF275" s="85">
        <f t="shared" ref="AF275:AT275" si="221">N274*N275*N276/1000</f>
        <v>0</v>
      </c>
      <c r="AG275" s="85">
        <f t="shared" si="221"/>
        <v>0</v>
      </c>
      <c r="AH275" s="85">
        <f t="shared" si="221"/>
        <v>0</v>
      </c>
      <c r="AI275" s="85">
        <f t="shared" si="221"/>
        <v>0</v>
      </c>
      <c r="AJ275" s="85">
        <f t="shared" si="221"/>
        <v>0</v>
      </c>
      <c r="AK275" s="85">
        <f t="shared" si="221"/>
        <v>0</v>
      </c>
      <c r="AL275" s="85">
        <f t="shared" si="221"/>
        <v>0</v>
      </c>
      <c r="AM275" s="85">
        <f t="shared" si="221"/>
        <v>0</v>
      </c>
      <c r="AN275" s="85">
        <f t="shared" si="221"/>
        <v>0</v>
      </c>
      <c r="AO275" s="85">
        <f t="shared" si="221"/>
        <v>0</v>
      </c>
      <c r="AP275" s="85">
        <f t="shared" si="221"/>
        <v>0</v>
      </c>
      <c r="AQ275" s="85">
        <f t="shared" si="221"/>
        <v>0</v>
      </c>
      <c r="AR275" s="85">
        <f t="shared" si="221"/>
        <v>0</v>
      </c>
      <c r="AS275" s="85">
        <f t="shared" si="221"/>
        <v>0</v>
      </c>
      <c r="AT275" s="85">
        <f t="shared" si="221"/>
        <v>0</v>
      </c>
    </row>
    <row r="276" spans="1:46" s="83" customFormat="1" x14ac:dyDescent="0.25">
      <c r="A276" s="82"/>
      <c r="B276" s="178" t="str">
        <f>B275</f>
        <v>TFMEETH900</v>
      </c>
      <c r="C276" s="178"/>
      <c r="D276" s="179"/>
      <c r="E276" s="178"/>
      <c r="F276" s="182"/>
      <c r="G276" s="181"/>
      <c r="H276" s="182"/>
      <c r="I276" s="183">
        <f>$M$3</f>
        <v>2019</v>
      </c>
      <c r="J276" s="184"/>
      <c r="K276" s="184"/>
      <c r="L276" s="203" t="s">
        <v>1065</v>
      </c>
      <c r="M276" s="184" t="s">
        <v>748</v>
      </c>
      <c r="N276" s="694">
        <f>LOOKUP($C$271, 'T_Stock_TOTAL_&amp;_City'!$C$106:$C$116, 'T_Stock_TOTAL_&amp;_City'!D$106:D$116)*(1+N229)</f>
        <v>0</v>
      </c>
      <c r="O276" s="694">
        <f>LOOKUP($C$271, 'T_Stock_TOTAL_&amp;_City'!$C$106:$C$116, 'T_Stock_TOTAL_&amp;_City'!E$106:E$116)*(1+O229)</f>
        <v>0</v>
      </c>
      <c r="P276" s="694">
        <f>LOOKUP($C$271, 'T_Stock_TOTAL_&amp;_City'!$C$106:$C$116, 'T_Stock_TOTAL_&amp;_City'!F$106:F$116)*(1+P229)</f>
        <v>0</v>
      </c>
      <c r="Q276" s="694">
        <f>LOOKUP($C$271, 'T_Stock_TOTAL_&amp;_City'!$C$106:$C$116, 'T_Stock_TOTAL_&amp;_City'!G$106:G$116)*(1+Q229)</f>
        <v>0</v>
      </c>
      <c r="R276" s="694">
        <f>LOOKUP($C$271, 'T_Stock_TOTAL_&amp;_City'!$C$106:$C$116, 'T_Stock_TOTAL_&amp;_City'!H$106:H$116)*(1+R229)</f>
        <v>0</v>
      </c>
      <c r="S276" s="694">
        <f>LOOKUP($C$271, 'T_Stock_TOTAL_&amp;_City'!$C$106:$C$116, 'T_Stock_TOTAL_&amp;_City'!I$106:I$116)*(1+S229)</f>
        <v>0</v>
      </c>
      <c r="T276" s="694">
        <f>LOOKUP($C$271, 'T_Stock_TOTAL_&amp;_City'!$C$106:$C$116, 'T_Stock_TOTAL_&amp;_City'!J$106:J$116)*(1+T229)</f>
        <v>0</v>
      </c>
      <c r="U276" s="694">
        <f>LOOKUP($C$271, 'T_Stock_TOTAL_&amp;_City'!$C$106:$C$116, 'T_Stock_TOTAL_&amp;_City'!K$106:K$116)*(1+U229)</f>
        <v>0</v>
      </c>
      <c r="V276" s="694">
        <f>LOOKUP($C$271, 'T_Stock_TOTAL_&amp;_City'!$C$106:$C$116, 'T_Stock_TOTAL_&amp;_City'!L$106:L$116)*(1+V229)</f>
        <v>0</v>
      </c>
      <c r="W276" s="694">
        <f>LOOKUP($C$271, 'T_Stock_TOTAL_&amp;_City'!$C$106:$C$116, 'T_Stock_TOTAL_&amp;_City'!M$106:M$116)*(1+W229)</f>
        <v>0</v>
      </c>
      <c r="X276" s="694">
        <f>LOOKUP($C$271, 'T_Stock_TOTAL_&amp;_City'!$C$106:$C$116, 'T_Stock_TOTAL_&amp;_City'!N$106:N$116)*(1+X229)</f>
        <v>0</v>
      </c>
      <c r="Y276" s="694">
        <f>LOOKUP($C$271, 'T_Stock_TOTAL_&amp;_City'!$C$106:$C$116, 'T_Stock_TOTAL_&amp;_City'!O$106:O$116)*(1+Y229)</f>
        <v>0</v>
      </c>
      <c r="Z276" s="694">
        <f>LOOKUP($C$271, 'T_Stock_TOTAL_&amp;_City'!$C$106:$C$116, 'T_Stock_TOTAL_&amp;_City'!P$106:P$116)*(1+Z229)</f>
        <v>0</v>
      </c>
      <c r="AA276" s="694">
        <f>LOOKUP($C$271, 'T_Stock_TOTAL_&amp;_City'!$C$106:$C$116, 'T_Stock_TOTAL_&amp;_City'!Q$106:Q$116)*(1+AA229)</f>
        <v>0</v>
      </c>
      <c r="AB276" s="694">
        <f>LOOKUP($C$271, 'T_Stock_TOTAL_&amp;_City'!$C$106:$C$116, 'T_Stock_TOTAL_&amp;_City'!R$106:R$116)*(1+AB229)</f>
        <v>0</v>
      </c>
    </row>
    <row r="277" spans="1:46" s="83" customFormat="1" x14ac:dyDescent="0.25">
      <c r="A277" s="82"/>
      <c r="B277" s="178" t="str">
        <f t="shared" si="219"/>
        <v>TFMEETH900</v>
      </c>
      <c r="C277" s="178"/>
      <c r="D277" s="179"/>
      <c r="E277" s="178"/>
      <c r="F277" s="182"/>
      <c r="G277" s="181"/>
      <c r="H277" s="182"/>
      <c r="I277" s="183">
        <f>AF$5</f>
        <v>2016</v>
      </c>
      <c r="J277" s="184"/>
      <c r="K277" s="184"/>
      <c r="L277" s="203" t="s">
        <v>1065</v>
      </c>
      <c r="M277" s="184" t="s">
        <v>748</v>
      </c>
      <c r="N277" s="694">
        <f t="shared" ref="N277:AB277" si="222">N276*LOOKUP($AD271,$AH$4:$AQ$4,$AH$5:$AQ$5)</f>
        <v>0</v>
      </c>
      <c r="O277" s="694">
        <f t="shared" si="222"/>
        <v>0</v>
      </c>
      <c r="P277" s="694">
        <f t="shared" si="222"/>
        <v>0</v>
      </c>
      <c r="Q277" s="694">
        <f t="shared" si="222"/>
        <v>0</v>
      </c>
      <c r="R277" s="694">
        <f t="shared" si="222"/>
        <v>0</v>
      </c>
      <c r="S277" s="694">
        <f t="shared" si="222"/>
        <v>0</v>
      </c>
      <c r="T277" s="694">
        <f t="shared" si="222"/>
        <v>0</v>
      </c>
      <c r="U277" s="694">
        <f t="shared" si="222"/>
        <v>0</v>
      </c>
      <c r="V277" s="694">
        <f t="shared" si="222"/>
        <v>0</v>
      </c>
      <c r="W277" s="694">
        <f t="shared" si="222"/>
        <v>0</v>
      </c>
      <c r="X277" s="694">
        <f t="shared" si="222"/>
        <v>0</v>
      </c>
      <c r="Y277" s="694">
        <f t="shared" si="222"/>
        <v>0</v>
      </c>
      <c r="Z277" s="694">
        <f t="shared" si="222"/>
        <v>0</v>
      </c>
      <c r="AA277" s="694">
        <f t="shared" si="222"/>
        <v>0</v>
      </c>
      <c r="AB277" s="694">
        <f t="shared" si="222"/>
        <v>0</v>
      </c>
    </row>
    <row r="278" spans="1:46" s="83" customFormat="1" x14ac:dyDescent="0.25">
      <c r="A278" s="82"/>
      <c r="B278" s="178" t="str">
        <f t="shared" si="219"/>
        <v>TFMEETH900</v>
      </c>
      <c r="C278" s="178"/>
      <c r="D278" s="179"/>
      <c r="E278" s="178"/>
      <c r="F278" s="182"/>
      <c r="G278" s="181"/>
      <c r="H278" s="182"/>
      <c r="I278" s="183">
        <f>AF$6</f>
        <v>2020</v>
      </c>
      <c r="J278" s="184"/>
      <c r="K278" s="184"/>
      <c r="L278" s="203" t="s">
        <v>1065</v>
      </c>
      <c r="M278" s="184" t="s">
        <v>748</v>
      </c>
      <c r="N278" s="694">
        <f t="shared" ref="N278:AB278" si="223">N276*LOOKUP($AD271,$AH$4:$AQ$4,$AH$6:$AQ$6)</f>
        <v>0</v>
      </c>
      <c r="O278" s="694">
        <f t="shared" si="223"/>
        <v>0</v>
      </c>
      <c r="P278" s="694">
        <f t="shared" si="223"/>
        <v>0</v>
      </c>
      <c r="Q278" s="694">
        <f t="shared" si="223"/>
        <v>0</v>
      </c>
      <c r="R278" s="694">
        <f t="shared" si="223"/>
        <v>0</v>
      </c>
      <c r="S278" s="694">
        <f t="shared" si="223"/>
        <v>0</v>
      </c>
      <c r="T278" s="694">
        <f t="shared" si="223"/>
        <v>0</v>
      </c>
      <c r="U278" s="694">
        <f t="shared" si="223"/>
        <v>0</v>
      </c>
      <c r="V278" s="694">
        <f t="shared" si="223"/>
        <v>0</v>
      </c>
      <c r="W278" s="694">
        <f t="shared" si="223"/>
        <v>0</v>
      </c>
      <c r="X278" s="694">
        <f t="shared" si="223"/>
        <v>0</v>
      </c>
      <c r="Y278" s="694">
        <f t="shared" si="223"/>
        <v>0</v>
      </c>
      <c r="Z278" s="694">
        <f t="shared" si="223"/>
        <v>0</v>
      </c>
      <c r="AA278" s="694">
        <f t="shared" si="223"/>
        <v>0</v>
      </c>
      <c r="AB278" s="694">
        <f t="shared" si="223"/>
        <v>0</v>
      </c>
    </row>
    <row r="279" spans="1:46" s="83" customFormat="1" x14ac:dyDescent="0.25">
      <c r="A279" s="82"/>
      <c r="B279" s="178" t="str">
        <f t="shared" si="219"/>
        <v>TFMEETH900</v>
      </c>
      <c r="C279" s="178"/>
      <c r="D279" s="179"/>
      <c r="E279" s="178"/>
      <c r="F279" s="182"/>
      <c r="G279" s="181"/>
      <c r="H279" s="182"/>
      <c r="I279" s="183">
        <f>AF$7</f>
        <v>2025</v>
      </c>
      <c r="J279" s="184"/>
      <c r="K279" s="184"/>
      <c r="L279" s="203" t="s">
        <v>1065</v>
      </c>
      <c r="M279" s="184" t="s">
        <v>748</v>
      </c>
      <c r="N279" s="694">
        <f t="shared" ref="N279:AB279" si="224">N276*LOOKUP($AD271,$AH$4:$AQ$4,$AH$7:$AQ$7)</f>
        <v>0</v>
      </c>
      <c r="O279" s="694">
        <f t="shared" si="224"/>
        <v>0</v>
      </c>
      <c r="P279" s="694">
        <f t="shared" si="224"/>
        <v>0</v>
      </c>
      <c r="Q279" s="694">
        <f t="shared" si="224"/>
        <v>0</v>
      </c>
      <c r="R279" s="694">
        <f t="shared" si="224"/>
        <v>0</v>
      </c>
      <c r="S279" s="694">
        <f t="shared" si="224"/>
        <v>0</v>
      </c>
      <c r="T279" s="694">
        <f t="shared" si="224"/>
        <v>0</v>
      </c>
      <c r="U279" s="694">
        <f t="shared" si="224"/>
        <v>0</v>
      </c>
      <c r="V279" s="694">
        <f t="shared" si="224"/>
        <v>0</v>
      </c>
      <c r="W279" s="694">
        <f t="shared" si="224"/>
        <v>0</v>
      </c>
      <c r="X279" s="694">
        <f t="shared" si="224"/>
        <v>0</v>
      </c>
      <c r="Y279" s="694">
        <f t="shared" si="224"/>
        <v>0</v>
      </c>
      <c r="Z279" s="694">
        <f t="shared" si="224"/>
        <v>0</v>
      </c>
      <c r="AA279" s="694">
        <f t="shared" si="224"/>
        <v>0</v>
      </c>
      <c r="AB279" s="694">
        <f t="shared" si="224"/>
        <v>0</v>
      </c>
    </row>
    <row r="280" spans="1:46" s="83" customFormat="1" x14ac:dyDescent="0.25">
      <c r="A280" s="82"/>
      <c r="B280" s="178" t="str">
        <f t="shared" si="219"/>
        <v>TFMEETH900</v>
      </c>
      <c r="C280" s="178"/>
      <c r="D280" s="179"/>
      <c r="E280" s="178"/>
      <c r="F280" s="182"/>
      <c r="G280" s="181"/>
      <c r="H280" s="182"/>
      <c r="I280" s="183">
        <f>AF$8</f>
        <v>2030</v>
      </c>
      <c r="J280" s="184"/>
      <c r="K280" s="184"/>
      <c r="L280" s="203" t="s">
        <v>1065</v>
      </c>
      <c r="M280" s="184" t="s">
        <v>748</v>
      </c>
      <c r="N280" s="694">
        <f t="shared" ref="N280:AB280" si="225">N276*LOOKUP($AD271,$AH$4:$AQ$4,$AH$8:$AQ$8)</f>
        <v>0</v>
      </c>
      <c r="O280" s="694">
        <f t="shared" si="225"/>
        <v>0</v>
      </c>
      <c r="P280" s="694">
        <f t="shared" si="225"/>
        <v>0</v>
      </c>
      <c r="Q280" s="694">
        <f t="shared" si="225"/>
        <v>0</v>
      </c>
      <c r="R280" s="694">
        <f t="shared" si="225"/>
        <v>0</v>
      </c>
      <c r="S280" s="694">
        <f t="shared" si="225"/>
        <v>0</v>
      </c>
      <c r="T280" s="694">
        <f t="shared" si="225"/>
        <v>0</v>
      </c>
      <c r="U280" s="694">
        <f t="shared" si="225"/>
        <v>0</v>
      </c>
      <c r="V280" s="694">
        <f t="shared" si="225"/>
        <v>0</v>
      </c>
      <c r="W280" s="694">
        <f t="shared" si="225"/>
        <v>0</v>
      </c>
      <c r="X280" s="694">
        <f t="shared" si="225"/>
        <v>0</v>
      </c>
      <c r="Y280" s="694">
        <f t="shared" si="225"/>
        <v>0</v>
      </c>
      <c r="Z280" s="694">
        <f t="shared" si="225"/>
        <v>0</v>
      </c>
      <c r="AA280" s="694">
        <f t="shared" si="225"/>
        <v>0</v>
      </c>
      <c r="AB280" s="694">
        <f t="shared" si="225"/>
        <v>0</v>
      </c>
    </row>
    <row r="281" spans="1:46" s="83" customFormat="1" x14ac:dyDescent="0.25">
      <c r="A281" s="82"/>
      <c r="B281" s="178" t="str">
        <f t="shared" si="219"/>
        <v>TFMEETH900</v>
      </c>
      <c r="C281" s="178"/>
      <c r="D281" s="179"/>
      <c r="E281" s="178"/>
      <c r="F281" s="182"/>
      <c r="G281" s="181"/>
      <c r="H281" s="182"/>
      <c r="I281" s="183">
        <f>AF$9</f>
        <v>2040</v>
      </c>
      <c r="J281" s="184"/>
      <c r="K281" s="184"/>
      <c r="L281" s="203" t="s">
        <v>1065</v>
      </c>
      <c r="M281" s="184" t="s">
        <v>748</v>
      </c>
      <c r="N281" s="694">
        <f t="shared" ref="N281:AB281" si="226">N276*LOOKUP($AD271,$AH$4:$AQ$4,$AH$9:$AQ$9)</f>
        <v>0</v>
      </c>
      <c r="O281" s="694">
        <f t="shared" si="226"/>
        <v>0</v>
      </c>
      <c r="P281" s="694">
        <f t="shared" si="226"/>
        <v>0</v>
      </c>
      <c r="Q281" s="694">
        <f t="shared" si="226"/>
        <v>0</v>
      </c>
      <c r="R281" s="694">
        <f t="shared" si="226"/>
        <v>0</v>
      </c>
      <c r="S281" s="694">
        <f t="shared" si="226"/>
        <v>0</v>
      </c>
      <c r="T281" s="694">
        <f t="shared" si="226"/>
        <v>0</v>
      </c>
      <c r="U281" s="694">
        <f t="shared" si="226"/>
        <v>0</v>
      </c>
      <c r="V281" s="694">
        <f t="shared" si="226"/>
        <v>0</v>
      </c>
      <c r="W281" s="694">
        <f t="shared" si="226"/>
        <v>0</v>
      </c>
      <c r="X281" s="694">
        <f t="shared" si="226"/>
        <v>0</v>
      </c>
      <c r="Y281" s="694">
        <f t="shared" si="226"/>
        <v>0</v>
      </c>
      <c r="Z281" s="694">
        <f t="shared" si="226"/>
        <v>0</v>
      </c>
      <c r="AA281" s="694">
        <f t="shared" si="226"/>
        <v>0</v>
      </c>
      <c r="AB281" s="694">
        <f t="shared" si="226"/>
        <v>0</v>
      </c>
    </row>
    <row r="282" spans="1:46" s="83" customFormat="1" x14ac:dyDescent="0.25">
      <c r="A282" s="82"/>
      <c r="B282" s="204" t="str">
        <f t="shared" si="219"/>
        <v>TFMEETH900</v>
      </c>
      <c r="C282" s="204"/>
      <c r="D282" s="205"/>
      <c r="E282" s="204"/>
      <c r="F282" s="206"/>
      <c r="G282" s="207"/>
      <c r="H282" s="206"/>
      <c r="I282" s="208">
        <f>AF$10</f>
        <v>2050</v>
      </c>
      <c r="J282" s="209"/>
      <c r="K282" s="209"/>
      <c r="L282" s="210" t="s">
        <v>1065</v>
      </c>
      <c r="M282" s="209" t="s">
        <v>748</v>
      </c>
      <c r="N282" s="695">
        <f t="shared" ref="N282:AB282" si="227">N276*LOOKUP($AD271,$AH$4:$AQ$4,$AH$10:$AQ$10)</f>
        <v>0</v>
      </c>
      <c r="O282" s="695">
        <f t="shared" si="227"/>
        <v>0</v>
      </c>
      <c r="P282" s="695">
        <f t="shared" si="227"/>
        <v>0</v>
      </c>
      <c r="Q282" s="695">
        <f t="shared" si="227"/>
        <v>0</v>
      </c>
      <c r="R282" s="695">
        <f t="shared" si="227"/>
        <v>0</v>
      </c>
      <c r="S282" s="695">
        <f t="shared" si="227"/>
        <v>0</v>
      </c>
      <c r="T282" s="695">
        <f t="shared" si="227"/>
        <v>0</v>
      </c>
      <c r="U282" s="695">
        <f t="shared" si="227"/>
        <v>0</v>
      </c>
      <c r="V282" s="695">
        <f t="shared" si="227"/>
        <v>0</v>
      </c>
      <c r="W282" s="695">
        <f t="shared" si="227"/>
        <v>0</v>
      </c>
      <c r="X282" s="695">
        <f t="shared" si="227"/>
        <v>0</v>
      </c>
      <c r="Y282" s="695">
        <f t="shared" si="227"/>
        <v>0</v>
      </c>
      <c r="Z282" s="695">
        <f t="shared" si="227"/>
        <v>0</v>
      </c>
      <c r="AA282" s="695">
        <f t="shared" si="227"/>
        <v>0</v>
      </c>
      <c r="AB282" s="695">
        <f t="shared" si="227"/>
        <v>0</v>
      </c>
    </row>
    <row r="283" spans="1:46" s="83" customFormat="1" x14ac:dyDescent="0.25">
      <c r="A283" s="82"/>
      <c r="B283" s="178" t="str">
        <f>C283</f>
        <v>TFMEGAS900</v>
      </c>
      <c r="C283" s="178" t="s">
        <v>143</v>
      </c>
      <c r="D283" s="179" t="s">
        <v>835</v>
      </c>
      <c r="E283" s="180" t="s">
        <v>1039</v>
      </c>
      <c r="F283" s="182"/>
      <c r="G283" s="181"/>
      <c r="H283" s="182"/>
      <c r="I283" s="183"/>
      <c r="J283" s="184"/>
      <c r="K283" s="184"/>
      <c r="L283" s="203" t="s">
        <v>1107</v>
      </c>
      <c r="M283" s="184" t="s">
        <v>1125</v>
      </c>
      <c r="N283" s="378">
        <v>1E-3</v>
      </c>
      <c r="O283" s="378">
        <f t="shared" ref="O283:AB284" si="228">$N283</f>
        <v>1E-3</v>
      </c>
      <c r="P283" s="378">
        <f t="shared" si="228"/>
        <v>1E-3</v>
      </c>
      <c r="Q283" s="378">
        <f t="shared" si="228"/>
        <v>1E-3</v>
      </c>
      <c r="R283" s="378">
        <f t="shared" si="228"/>
        <v>1E-3</v>
      </c>
      <c r="S283" s="378">
        <f t="shared" si="228"/>
        <v>1E-3</v>
      </c>
      <c r="T283" s="378">
        <f t="shared" si="228"/>
        <v>1E-3</v>
      </c>
      <c r="U283" s="378">
        <f t="shared" si="228"/>
        <v>1E-3</v>
      </c>
      <c r="V283" s="378">
        <f t="shared" si="228"/>
        <v>1E-3</v>
      </c>
      <c r="W283" s="378">
        <f t="shared" si="228"/>
        <v>1E-3</v>
      </c>
      <c r="X283" s="378">
        <f t="shared" si="228"/>
        <v>1E-3</v>
      </c>
      <c r="Y283" s="378">
        <f t="shared" si="228"/>
        <v>1E-3</v>
      </c>
      <c r="Z283" s="378">
        <f t="shared" si="228"/>
        <v>1E-3</v>
      </c>
      <c r="AA283" s="378">
        <f t="shared" si="228"/>
        <v>1E-3</v>
      </c>
      <c r="AB283" s="378">
        <f t="shared" si="228"/>
        <v>1E-3</v>
      </c>
      <c r="AD283" s="410" t="str">
        <f>MID(D283,14,3)</f>
        <v>GAS</v>
      </c>
    </row>
    <row r="284" spans="1:46" s="83" customFormat="1" x14ac:dyDescent="0.25">
      <c r="A284" s="82"/>
      <c r="B284" s="178" t="str">
        <f>B283</f>
        <v>TFMEGAS900</v>
      </c>
      <c r="C284" s="178"/>
      <c r="D284" s="179"/>
      <c r="E284" s="180" t="s">
        <v>994</v>
      </c>
      <c r="F284" s="182"/>
      <c r="G284" s="180"/>
      <c r="H284" s="182"/>
      <c r="I284" s="183"/>
      <c r="J284" s="184" t="s">
        <v>1223</v>
      </c>
      <c r="K284" s="184"/>
      <c r="L284" s="203" t="s">
        <v>101</v>
      </c>
      <c r="M284" s="184"/>
      <c r="N284" s="388">
        <v>0.8</v>
      </c>
      <c r="O284" s="388">
        <f t="shared" si="228"/>
        <v>0.8</v>
      </c>
      <c r="P284" s="388">
        <f t="shared" si="228"/>
        <v>0.8</v>
      </c>
      <c r="Q284" s="388">
        <f t="shared" si="228"/>
        <v>0.8</v>
      </c>
      <c r="R284" s="388">
        <f t="shared" si="228"/>
        <v>0.8</v>
      </c>
      <c r="S284" s="388">
        <f t="shared" si="228"/>
        <v>0.8</v>
      </c>
      <c r="T284" s="388">
        <f t="shared" si="228"/>
        <v>0.8</v>
      </c>
      <c r="U284" s="388">
        <f t="shared" si="228"/>
        <v>0.8</v>
      </c>
      <c r="V284" s="388">
        <f t="shared" si="228"/>
        <v>0.8</v>
      </c>
      <c r="W284" s="388">
        <f t="shared" si="228"/>
        <v>0.8</v>
      </c>
      <c r="X284" s="388">
        <f t="shared" si="228"/>
        <v>0.8</v>
      </c>
      <c r="Y284" s="388">
        <f t="shared" si="228"/>
        <v>0.8</v>
      </c>
      <c r="Z284" s="388">
        <f t="shared" si="228"/>
        <v>0.8</v>
      </c>
      <c r="AA284" s="388">
        <f t="shared" si="228"/>
        <v>0.8</v>
      </c>
      <c r="AB284" s="388">
        <f t="shared" si="228"/>
        <v>0.8</v>
      </c>
      <c r="AD284" s="66" t="str">
        <f>IF(COUNTIF($AH$4:$AQ$4,AD283)=1,"ok","MISSING")</f>
        <v>ok</v>
      </c>
    </row>
    <row r="285" spans="1:46" s="83" customFormat="1" x14ac:dyDescent="0.25">
      <c r="A285" s="82"/>
      <c r="B285" s="178" t="str">
        <f>B284</f>
        <v>TFMEGAS900</v>
      </c>
      <c r="C285" s="178"/>
      <c r="D285" s="179"/>
      <c r="E285" s="178"/>
      <c r="F285" s="182"/>
      <c r="G285" s="324" t="s">
        <v>643</v>
      </c>
      <c r="H285" s="182"/>
      <c r="I285" s="183"/>
      <c r="J285" s="184"/>
      <c r="K285" s="184"/>
      <c r="L285" s="184" t="s">
        <v>1126</v>
      </c>
      <c r="M285" s="184" t="s">
        <v>678</v>
      </c>
      <c r="N285" s="676">
        <f>T_CEFF!H257</f>
        <v>8.4620000000000001E-2</v>
      </c>
      <c r="O285" s="676">
        <f>T_CEFF!I257</f>
        <v>8.4620000000000001E-2</v>
      </c>
      <c r="P285" s="676">
        <f>T_CEFF!J257</f>
        <v>8.4620000000000001E-2</v>
      </c>
      <c r="Q285" s="676">
        <f>T_CEFF!K257</f>
        <v>8.4620000000000001E-2</v>
      </c>
      <c r="R285" s="676">
        <f>T_CEFF!L257</f>
        <v>8.4620000000000001E-2</v>
      </c>
      <c r="S285" s="676">
        <f>T_CEFF!M257</f>
        <v>8.4620000000000001E-2</v>
      </c>
      <c r="T285" s="676">
        <f>T_CEFF!N257</f>
        <v>8.4620000000000001E-2</v>
      </c>
      <c r="U285" s="676">
        <f>T_CEFF!O257</f>
        <v>8.4620000000000001E-2</v>
      </c>
      <c r="V285" s="676">
        <f>T_CEFF!P257</f>
        <v>8.4620000000000001E-2</v>
      </c>
      <c r="W285" s="676">
        <f>T_CEFF!Q257</f>
        <v>8.4620000000000001E-2</v>
      </c>
      <c r="X285" s="676">
        <f>T_CEFF!R257</f>
        <v>8.4620000000000001E-2</v>
      </c>
      <c r="Y285" s="676">
        <f>T_CEFF!S257</f>
        <v>8.4620000000000001E-2</v>
      </c>
      <c r="Z285" s="676">
        <f>T_CEFF!T257</f>
        <v>8.4620000000000001E-2</v>
      </c>
      <c r="AA285" s="676">
        <f>T_CEFF!U257</f>
        <v>8.4620000000000001E-2</v>
      </c>
      <c r="AB285" s="676">
        <f>T_CEFF!V257</f>
        <v>8.4620000000000001E-2</v>
      </c>
    </row>
    <row r="286" spans="1:46" s="83" customFormat="1" x14ac:dyDescent="0.25">
      <c r="A286" s="82"/>
      <c r="B286" s="178" t="str">
        <f t="shared" ref="B286:B295" si="229">B285</f>
        <v>TFMEGAS900</v>
      </c>
      <c r="C286" s="178"/>
      <c r="D286" s="179"/>
      <c r="E286" s="178"/>
      <c r="F286" s="182"/>
      <c r="G286" s="324" t="s">
        <v>646</v>
      </c>
      <c r="H286" s="182"/>
      <c r="I286" s="183"/>
      <c r="J286" s="184"/>
      <c r="K286" s="184"/>
      <c r="L286" s="184" t="s">
        <v>1126</v>
      </c>
      <c r="M286" s="184" t="s">
        <v>678</v>
      </c>
      <c r="N286" s="676">
        <f>T_CEFF!H258</f>
        <v>6.769E-2</v>
      </c>
      <c r="O286" s="676">
        <f>T_CEFF!I258</f>
        <v>6.769E-2</v>
      </c>
      <c r="P286" s="676">
        <f>T_CEFF!J258</f>
        <v>6.769E-2</v>
      </c>
      <c r="Q286" s="676">
        <f>T_CEFF!K258</f>
        <v>6.769E-2</v>
      </c>
      <c r="R286" s="676">
        <f>T_CEFF!L258</f>
        <v>6.769E-2</v>
      </c>
      <c r="S286" s="676">
        <f>T_CEFF!M258</f>
        <v>6.769E-2</v>
      </c>
      <c r="T286" s="676">
        <f>T_CEFF!N258</f>
        <v>6.769E-2</v>
      </c>
      <c r="U286" s="676">
        <f>T_CEFF!O258</f>
        <v>6.769E-2</v>
      </c>
      <c r="V286" s="676">
        <f>T_CEFF!P258</f>
        <v>6.769E-2</v>
      </c>
      <c r="W286" s="676">
        <f>T_CEFF!Q258</f>
        <v>6.769E-2</v>
      </c>
      <c r="X286" s="676">
        <f>T_CEFF!R258</f>
        <v>6.769E-2</v>
      </c>
      <c r="Y286" s="676">
        <f>T_CEFF!S258</f>
        <v>6.769E-2</v>
      </c>
      <c r="Z286" s="676">
        <f>T_CEFF!T258</f>
        <v>6.769E-2</v>
      </c>
      <c r="AA286" s="676">
        <f>T_CEFF!U258</f>
        <v>6.769E-2</v>
      </c>
      <c r="AB286" s="676">
        <f>T_CEFF!V258</f>
        <v>6.769E-2</v>
      </c>
    </row>
    <row r="287" spans="1:46" s="83" customFormat="1" x14ac:dyDescent="0.25">
      <c r="A287" s="82"/>
      <c r="B287" s="178" t="str">
        <f t="shared" si="229"/>
        <v>TFMEGAS900</v>
      </c>
      <c r="C287" s="178"/>
      <c r="D287" s="179"/>
      <c r="E287" s="178"/>
      <c r="F287" s="182"/>
      <c r="G287" s="181"/>
      <c r="H287" s="182"/>
      <c r="I287" s="183"/>
      <c r="J287" s="184"/>
      <c r="K287" s="184" t="s">
        <v>749</v>
      </c>
      <c r="L287" s="184" t="s">
        <v>1128</v>
      </c>
      <c r="M287" s="184" t="s">
        <v>1175</v>
      </c>
      <c r="N287" s="388">
        <f>N$24</f>
        <v>0</v>
      </c>
      <c r="O287" s="388">
        <f t="shared" ref="O287:AB287" si="230">O$24</f>
        <v>0</v>
      </c>
      <c r="P287" s="388">
        <f t="shared" si="230"/>
        <v>0</v>
      </c>
      <c r="Q287" s="388">
        <f t="shared" si="230"/>
        <v>0</v>
      </c>
      <c r="R287" s="388">
        <f t="shared" si="230"/>
        <v>0</v>
      </c>
      <c r="S287" s="388">
        <f t="shared" si="230"/>
        <v>0</v>
      </c>
      <c r="T287" s="388">
        <f t="shared" si="230"/>
        <v>0</v>
      </c>
      <c r="U287" s="388">
        <f t="shared" si="230"/>
        <v>0</v>
      </c>
      <c r="V287" s="388">
        <f t="shared" si="230"/>
        <v>0</v>
      </c>
      <c r="W287" s="388">
        <f t="shared" si="230"/>
        <v>0</v>
      </c>
      <c r="X287" s="388">
        <f t="shared" si="230"/>
        <v>0</v>
      </c>
      <c r="Y287" s="388">
        <f t="shared" si="230"/>
        <v>0</v>
      </c>
      <c r="Z287" s="388">
        <f t="shared" si="230"/>
        <v>0</v>
      </c>
      <c r="AA287" s="388">
        <f t="shared" si="230"/>
        <v>0</v>
      </c>
      <c r="AB287" s="388">
        <f t="shared" si="230"/>
        <v>0</v>
      </c>
    </row>
    <row r="288" spans="1:46" s="83" customFormat="1" x14ac:dyDescent="0.25">
      <c r="A288" s="82"/>
      <c r="B288" s="178" t="str">
        <f t="shared" si="229"/>
        <v>TFMEGAS900</v>
      </c>
      <c r="C288" s="178"/>
      <c r="D288" s="179"/>
      <c r="E288" s="178"/>
      <c r="F288" s="182"/>
      <c r="G288" s="181"/>
      <c r="H288" s="182"/>
      <c r="I288" s="183"/>
      <c r="J288" s="184"/>
      <c r="K288" s="184"/>
      <c r="L288" s="203" t="s">
        <v>1130</v>
      </c>
      <c r="M288" s="184" t="s">
        <v>1131</v>
      </c>
      <c r="N288" s="397">
        <f>LOOKUP($C$283, T_NCAP_AF!$C$170:$C$180, T_NCAP_AF!D$170:D$180)*(1+N228)</f>
        <v>0</v>
      </c>
      <c r="O288" s="397">
        <f>LOOKUP($C$283, T_NCAP_AF!$C$170:$C$180, T_NCAP_AF!E$170:E$180)*(1+O228)</f>
        <v>0</v>
      </c>
      <c r="P288" s="397">
        <f>LOOKUP($C$283, T_NCAP_AF!$C$170:$C$180, T_NCAP_AF!F$170:F$180)*(1+P228)</f>
        <v>0</v>
      </c>
      <c r="Q288" s="397">
        <f>LOOKUP($C$283, T_NCAP_AF!$C$170:$C$180, T_NCAP_AF!G$170:G$180)*(1+Q228)</f>
        <v>0</v>
      </c>
      <c r="R288" s="397">
        <f>LOOKUP($C$283, T_NCAP_AF!$C$170:$C$180, T_NCAP_AF!H$170:H$180)*(1+R228)</f>
        <v>0</v>
      </c>
      <c r="S288" s="397">
        <f>LOOKUP($C$283, T_NCAP_AF!$C$170:$C$180, T_NCAP_AF!I$170:I$180)*(1+S228)</f>
        <v>0</v>
      </c>
      <c r="T288" s="397">
        <f>LOOKUP($C$283, T_NCAP_AF!$C$170:$C$180, T_NCAP_AF!J$170:J$180)*(1+T228)</f>
        <v>0</v>
      </c>
      <c r="U288" s="397">
        <f>LOOKUP($C$283, T_NCAP_AF!$C$170:$C$180, T_NCAP_AF!K$170:K$180)*(1+U228)</f>
        <v>0</v>
      </c>
      <c r="V288" s="397">
        <f>LOOKUP($C$283, T_NCAP_AF!$C$170:$C$180, T_NCAP_AF!L$170:L$180)*(1+V228)</f>
        <v>0</v>
      </c>
      <c r="W288" s="397">
        <f>LOOKUP($C$283, T_NCAP_AF!$C$170:$C$180, T_NCAP_AF!M$170:M$180)*(1+W228)</f>
        <v>0</v>
      </c>
      <c r="X288" s="397">
        <f>LOOKUP($C$283, T_NCAP_AF!$C$170:$C$180, T_NCAP_AF!N$170:N$180)*(1+X228)</f>
        <v>0</v>
      </c>
      <c r="Y288" s="397">
        <f>LOOKUP($C$283, T_NCAP_AF!$C$170:$C$180, T_NCAP_AF!O$170:O$180)*(1+Y228)</f>
        <v>0</v>
      </c>
      <c r="Z288" s="397">
        <f>LOOKUP($C$283, T_NCAP_AF!$C$170:$C$180, T_NCAP_AF!P$170:P$180)*(1+Z228)</f>
        <v>0</v>
      </c>
      <c r="AA288" s="397">
        <f>LOOKUP($C$283, T_NCAP_AF!$C$170:$C$180, T_NCAP_AF!Q$170:Q$180)*(1+AA228)</f>
        <v>0</v>
      </c>
      <c r="AB288" s="397">
        <f>LOOKUP($C$283, T_NCAP_AF!$C$170:$C$180, T_NCAP_AF!R$170:R$180)*(1+AB228)</f>
        <v>0</v>
      </c>
      <c r="AE288" s="572">
        <f>SUM(AF288:AT288)</f>
        <v>0</v>
      </c>
      <c r="AF288" s="85">
        <f t="shared" ref="AF288:AT288" si="231">N287*N288*N289/1000</f>
        <v>0</v>
      </c>
      <c r="AG288" s="85">
        <f t="shared" si="231"/>
        <v>0</v>
      </c>
      <c r="AH288" s="85">
        <f t="shared" si="231"/>
        <v>0</v>
      </c>
      <c r="AI288" s="85">
        <f t="shared" si="231"/>
        <v>0</v>
      </c>
      <c r="AJ288" s="85">
        <f t="shared" si="231"/>
        <v>0</v>
      </c>
      <c r="AK288" s="85">
        <f t="shared" si="231"/>
        <v>0</v>
      </c>
      <c r="AL288" s="85">
        <f t="shared" si="231"/>
        <v>0</v>
      </c>
      <c r="AM288" s="85">
        <f t="shared" si="231"/>
        <v>0</v>
      </c>
      <c r="AN288" s="85">
        <f t="shared" si="231"/>
        <v>0</v>
      </c>
      <c r="AO288" s="85">
        <f t="shared" si="231"/>
        <v>0</v>
      </c>
      <c r="AP288" s="85">
        <f t="shared" si="231"/>
        <v>0</v>
      </c>
      <c r="AQ288" s="85">
        <f t="shared" si="231"/>
        <v>0</v>
      </c>
      <c r="AR288" s="85">
        <f t="shared" si="231"/>
        <v>0</v>
      </c>
      <c r="AS288" s="85">
        <f t="shared" si="231"/>
        <v>0</v>
      </c>
      <c r="AT288" s="85">
        <f t="shared" si="231"/>
        <v>0</v>
      </c>
    </row>
    <row r="289" spans="1:46" s="83" customFormat="1" x14ac:dyDescent="0.25">
      <c r="A289" s="82"/>
      <c r="B289" s="178" t="str">
        <f t="shared" si="229"/>
        <v>TFMEGAS900</v>
      </c>
      <c r="C289" s="178"/>
      <c r="D289" s="179"/>
      <c r="E289" s="178"/>
      <c r="F289" s="182"/>
      <c r="G289" s="181"/>
      <c r="H289" s="182"/>
      <c r="I289" s="183">
        <f>$M$3</f>
        <v>2019</v>
      </c>
      <c r="J289" s="184"/>
      <c r="K289" s="184"/>
      <c r="L289" s="203" t="s">
        <v>1065</v>
      </c>
      <c r="M289" s="184" t="s">
        <v>748</v>
      </c>
      <c r="N289" s="694">
        <f>LOOKUP($C$283, 'T_Stock_TOTAL_&amp;_City'!$C$106:$C$116, 'T_Stock_TOTAL_&amp;_City'!D$106:D$116)*(1+N229)</f>
        <v>0</v>
      </c>
      <c r="O289" s="694">
        <f>LOOKUP($C$283, 'T_Stock_TOTAL_&amp;_City'!$C$106:$C$116, 'T_Stock_TOTAL_&amp;_City'!E$106:E$116)*(1+O229)</f>
        <v>0</v>
      </c>
      <c r="P289" s="694">
        <f>LOOKUP($C$283, 'T_Stock_TOTAL_&amp;_City'!$C$106:$C$116, 'T_Stock_TOTAL_&amp;_City'!F$106:F$116)*(1+P229)</f>
        <v>0</v>
      </c>
      <c r="Q289" s="694">
        <f>LOOKUP($C$283, 'T_Stock_TOTAL_&amp;_City'!$C$106:$C$116, 'T_Stock_TOTAL_&amp;_City'!G$106:G$116)*(1+Q229)</f>
        <v>0</v>
      </c>
      <c r="R289" s="694">
        <f>LOOKUP($C$283, 'T_Stock_TOTAL_&amp;_City'!$C$106:$C$116, 'T_Stock_TOTAL_&amp;_City'!H$106:H$116)*(1+R229)</f>
        <v>0</v>
      </c>
      <c r="S289" s="694">
        <f>LOOKUP($C$283, 'T_Stock_TOTAL_&amp;_City'!$C$106:$C$116, 'T_Stock_TOTAL_&amp;_City'!I$106:I$116)*(1+S229)</f>
        <v>0</v>
      </c>
      <c r="T289" s="694">
        <f>LOOKUP($C$283, 'T_Stock_TOTAL_&amp;_City'!$C$106:$C$116, 'T_Stock_TOTAL_&amp;_City'!J$106:J$116)*(1+T229)</f>
        <v>0</v>
      </c>
      <c r="U289" s="694">
        <f>LOOKUP($C$283, 'T_Stock_TOTAL_&amp;_City'!$C$106:$C$116, 'T_Stock_TOTAL_&amp;_City'!K$106:K$116)*(1+U229)</f>
        <v>0</v>
      </c>
      <c r="V289" s="694">
        <f>LOOKUP($C$283, 'T_Stock_TOTAL_&amp;_City'!$C$106:$C$116, 'T_Stock_TOTAL_&amp;_City'!L$106:L$116)*(1+V229)</f>
        <v>0</v>
      </c>
      <c r="W289" s="694">
        <f>LOOKUP($C$283, 'T_Stock_TOTAL_&amp;_City'!$C$106:$C$116, 'T_Stock_TOTAL_&amp;_City'!M$106:M$116)*(1+W229)</f>
        <v>0</v>
      </c>
      <c r="X289" s="694">
        <f>LOOKUP($C$283, 'T_Stock_TOTAL_&amp;_City'!$C$106:$C$116, 'T_Stock_TOTAL_&amp;_City'!N$106:N$116)*(1+X229)</f>
        <v>0</v>
      </c>
      <c r="Y289" s="694">
        <f>LOOKUP($C$283, 'T_Stock_TOTAL_&amp;_City'!$C$106:$C$116, 'T_Stock_TOTAL_&amp;_City'!O$106:O$116)*(1+Y229)</f>
        <v>0</v>
      </c>
      <c r="Z289" s="694">
        <f>LOOKUP($C$283, 'T_Stock_TOTAL_&amp;_City'!$C$106:$C$116, 'T_Stock_TOTAL_&amp;_City'!P$106:P$116)*(1+Z229)</f>
        <v>0</v>
      </c>
      <c r="AA289" s="694">
        <f>LOOKUP($C$283, 'T_Stock_TOTAL_&amp;_City'!$C$106:$C$116, 'T_Stock_TOTAL_&amp;_City'!Q$106:Q$116)*(1+AA229)</f>
        <v>0</v>
      </c>
      <c r="AB289" s="694">
        <f>LOOKUP($C$283, 'T_Stock_TOTAL_&amp;_City'!$C$106:$C$116, 'T_Stock_TOTAL_&amp;_City'!R$106:R$116)*(1+AB229)</f>
        <v>0</v>
      </c>
    </row>
    <row r="290" spans="1:46" s="83" customFormat="1" x14ac:dyDescent="0.25">
      <c r="A290" s="82"/>
      <c r="B290" s="178" t="str">
        <f t="shared" si="229"/>
        <v>TFMEGAS900</v>
      </c>
      <c r="C290" s="178"/>
      <c r="D290" s="179"/>
      <c r="E290" s="178"/>
      <c r="F290" s="182"/>
      <c r="G290" s="181"/>
      <c r="H290" s="182"/>
      <c r="I290" s="183">
        <f>AF$5</f>
        <v>2016</v>
      </c>
      <c r="J290" s="184"/>
      <c r="K290" s="184"/>
      <c r="L290" s="203" t="s">
        <v>1065</v>
      </c>
      <c r="M290" s="184" t="s">
        <v>748</v>
      </c>
      <c r="N290" s="694">
        <f t="shared" ref="N290:AB290" si="232">N289*LOOKUP($AD283,$AH$4:$AQ$4,$AH$5:$AQ$5)</f>
        <v>0</v>
      </c>
      <c r="O290" s="694">
        <f t="shared" si="232"/>
        <v>0</v>
      </c>
      <c r="P290" s="694">
        <f t="shared" si="232"/>
        <v>0</v>
      </c>
      <c r="Q290" s="694">
        <f t="shared" si="232"/>
        <v>0</v>
      </c>
      <c r="R290" s="694">
        <f t="shared" si="232"/>
        <v>0</v>
      </c>
      <c r="S290" s="694">
        <f t="shared" si="232"/>
        <v>0</v>
      </c>
      <c r="T290" s="694">
        <f t="shared" si="232"/>
        <v>0</v>
      </c>
      <c r="U290" s="694">
        <f t="shared" si="232"/>
        <v>0</v>
      </c>
      <c r="V290" s="694">
        <f t="shared" si="232"/>
        <v>0</v>
      </c>
      <c r="W290" s="694">
        <f t="shared" si="232"/>
        <v>0</v>
      </c>
      <c r="X290" s="694">
        <f t="shared" si="232"/>
        <v>0</v>
      </c>
      <c r="Y290" s="694">
        <f t="shared" si="232"/>
        <v>0</v>
      </c>
      <c r="Z290" s="694">
        <f t="shared" si="232"/>
        <v>0</v>
      </c>
      <c r="AA290" s="694">
        <f t="shared" si="232"/>
        <v>0</v>
      </c>
      <c r="AB290" s="694">
        <f t="shared" si="232"/>
        <v>0</v>
      </c>
    </row>
    <row r="291" spans="1:46" s="83" customFormat="1" x14ac:dyDescent="0.25">
      <c r="A291" s="82"/>
      <c r="B291" s="178" t="str">
        <f t="shared" si="229"/>
        <v>TFMEGAS900</v>
      </c>
      <c r="C291" s="178"/>
      <c r="D291" s="179"/>
      <c r="E291" s="178"/>
      <c r="F291" s="182"/>
      <c r="G291" s="181"/>
      <c r="H291" s="182"/>
      <c r="I291" s="183">
        <f>AF$6</f>
        <v>2020</v>
      </c>
      <c r="J291" s="184"/>
      <c r="K291" s="184"/>
      <c r="L291" s="203" t="s">
        <v>1065</v>
      </c>
      <c r="M291" s="184" t="s">
        <v>748</v>
      </c>
      <c r="N291" s="694">
        <f t="shared" ref="N291:AB291" si="233">N289*LOOKUP($AD283,$AH$4:$AQ$4,$AH$6:$AQ$6)</f>
        <v>0</v>
      </c>
      <c r="O291" s="694">
        <f t="shared" si="233"/>
        <v>0</v>
      </c>
      <c r="P291" s="694">
        <f t="shared" si="233"/>
        <v>0</v>
      </c>
      <c r="Q291" s="694">
        <f t="shared" si="233"/>
        <v>0</v>
      </c>
      <c r="R291" s="694">
        <f t="shared" si="233"/>
        <v>0</v>
      </c>
      <c r="S291" s="694">
        <f t="shared" si="233"/>
        <v>0</v>
      </c>
      <c r="T291" s="694">
        <f t="shared" si="233"/>
        <v>0</v>
      </c>
      <c r="U291" s="694">
        <f t="shared" si="233"/>
        <v>0</v>
      </c>
      <c r="V291" s="694">
        <f t="shared" si="233"/>
        <v>0</v>
      </c>
      <c r="W291" s="694">
        <f t="shared" si="233"/>
        <v>0</v>
      </c>
      <c r="X291" s="694">
        <f t="shared" si="233"/>
        <v>0</v>
      </c>
      <c r="Y291" s="694">
        <f t="shared" si="233"/>
        <v>0</v>
      </c>
      <c r="Z291" s="694">
        <f t="shared" si="233"/>
        <v>0</v>
      </c>
      <c r="AA291" s="694">
        <f t="shared" si="233"/>
        <v>0</v>
      </c>
      <c r="AB291" s="694">
        <f t="shared" si="233"/>
        <v>0</v>
      </c>
    </row>
    <row r="292" spans="1:46" s="83" customFormat="1" x14ac:dyDescent="0.25">
      <c r="A292" s="82"/>
      <c r="B292" s="178" t="str">
        <f t="shared" si="229"/>
        <v>TFMEGAS900</v>
      </c>
      <c r="C292" s="178"/>
      <c r="D292" s="179"/>
      <c r="E292" s="178"/>
      <c r="F292" s="182"/>
      <c r="G292" s="181"/>
      <c r="H292" s="182"/>
      <c r="I292" s="183">
        <f>AF$7</f>
        <v>2025</v>
      </c>
      <c r="J292" s="184"/>
      <c r="K292" s="184"/>
      <c r="L292" s="203" t="s">
        <v>1065</v>
      </c>
      <c r="M292" s="184" t="s">
        <v>748</v>
      </c>
      <c r="N292" s="694">
        <f t="shared" ref="N292:AB292" si="234">N289*LOOKUP($AD283,$AH$4:$AQ$4,$AH$7:$AQ$7)</f>
        <v>0</v>
      </c>
      <c r="O292" s="694">
        <f t="shared" si="234"/>
        <v>0</v>
      </c>
      <c r="P292" s="694">
        <f t="shared" si="234"/>
        <v>0</v>
      </c>
      <c r="Q292" s="694">
        <f t="shared" si="234"/>
        <v>0</v>
      </c>
      <c r="R292" s="694">
        <f t="shared" si="234"/>
        <v>0</v>
      </c>
      <c r="S292" s="694">
        <f t="shared" si="234"/>
        <v>0</v>
      </c>
      <c r="T292" s="694">
        <f t="shared" si="234"/>
        <v>0</v>
      </c>
      <c r="U292" s="694">
        <f t="shared" si="234"/>
        <v>0</v>
      </c>
      <c r="V292" s="694">
        <f t="shared" si="234"/>
        <v>0</v>
      </c>
      <c r="W292" s="694">
        <f t="shared" si="234"/>
        <v>0</v>
      </c>
      <c r="X292" s="694">
        <f t="shared" si="234"/>
        <v>0</v>
      </c>
      <c r="Y292" s="694">
        <f t="shared" si="234"/>
        <v>0</v>
      </c>
      <c r="Z292" s="694">
        <f t="shared" si="234"/>
        <v>0</v>
      </c>
      <c r="AA292" s="694">
        <f t="shared" si="234"/>
        <v>0</v>
      </c>
      <c r="AB292" s="694">
        <f t="shared" si="234"/>
        <v>0</v>
      </c>
    </row>
    <row r="293" spans="1:46" s="83" customFormat="1" x14ac:dyDescent="0.25">
      <c r="A293" s="82"/>
      <c r="B293" s="178" t="str">
        <f t="shared" si="229"/>
        <v>TFMEGAS900</v>
      </c>
      <c r="C293" s="178"/>
      <c r="D293" s="179"/>
      <c r="E293" s="178"/>
      <c r="F293" s="182"/>
      <c r="G293" s="181"/>
      <c r="H293" s="182"/>
      <c r="I293" s="183">
        <f>AF$8</f>
        <v>2030</v>
      </c>
      <c r="J293" s="184"/>
      <c r="K293" s="184"/>
      <c r="L293" s="203" t="s">
        <v>1065</v>
      </c>
      <c r="M293" s="184" t="s">
        <v>748</v>
      </c>
      <c r="N293" s="694">
        <f t="shared" ref="N293:AB293" si="235">N289*LOOKUP($AD283,$AH$4:$AQ$4,$AH$8:$AQ$8)</f>
        <v>0</v>
      </c>
      <c r="O293" s="694">
        <f t="shared" si="235"/>
        <v>0</v>
      </c>
      <c r="P293" s="694">
        <f t="shared" si="235"/>
        <v>0</v>
      </c>
      <c r="Q293" s="694">
        <f t="shared" si="235"/>
        <v>0</v>
      </c>
      <c r="R293" s="694">
        <f t="shared" si="235"/>
        <v>0</v>
      </c>
      <c r="S293" s="694">
        <f t="shared" si="235"/>
        <v>0</v>
      </c>
      <c r="T293" s="694">
        <f t="shared" si="235"/>
        <v>0</v>
      </c>
      <c r="U293" s="694">
        <f t="shared" si="235"/>
        <v>0</v>
      </c>
      <c r="V293" s="694">
        <f t="shared" si="235"/>
        <v>0</v>
      </c>
      <c r="W293" s="694">
        <f t="shared" si="235"/>
        <v>0</v>
      </c>
      <c r="X293" s="694">
        <f t="shared" si="235"/>
        <v>0</v>
      </c>
      <c r="Y293" s="694">
        <f t="shared" si="235"/>
        <v>0</v>
      </c>
      <c r="Z293" s="694">
        <f t="shared" si="235"/>
        <v>0</v>
      </c>
      <c r="AA293" s="694">
        <f t="shared" si="235"/>
        <v>0</v>
      </c>
      <c r="AB293" s="694">
        <f t="shared" si="235"/>
        <v>0</v>
      </c>
    </row>
    <row r="294" spans="1:46" s="83" customFormat="1" x14ac:dyDescent="0.25">
      <c r="A294" s="82"/>
      <c r="B294" s="178" t="str">
        <f t="shared" si="229"/>
        <v>TFMEGAS900</v>
      </c>
      <c r="C294" s="178"/>
      <c r="D294" s="179"/>
      <c r="E294" s="178"/>
      <c r="F294" s="182"/>
      <c r="G294" s="181"/>
      <c r="H294" s="182"/>
      <c r="I294" s="183">
        <f>AF$9</f>
        <v>2040</v>
      </c>
      <c r="J294" s="184"/>
      <c r="K294" s="184"/>
      <c r="L294" s="203" t="s">
        <v>1065</v>
      </c>
      <c r="M294" s="184" t="s">
        <v>748</v>
      </c>
      <c r="N294" s="694">
        <f t="shared" ref="N294:AB294" si="236">N289*LOOKUP($AD283,$AH$4:$AQ$4,$AH$9:$AQ$9)</f>
        <v>0</v>
      </c>
      <c r="O294" s="694">
        <f t="shared" si="236"/>
        <v>0</v>
      </c>
      <c r="P294" s="694">
        <f t="shared" si="236"/>
        <v>0</v>
      </c>
      <c r="Q294" s="694">
        <f t="shared" si="236"/>
        <v>0</v>
      </c>
      <c r="R294" s="694">
        <f t="shared" si="236"/>
        <v>0</v>
      </c>
      <c r="S294" s="694">
        <f t="shared" si="236"/>
        <v>0</v>
      </c>
      <c r="T294" s="694">
        <f t="shared" si="236"/>
        <v>0</v>
      </c>
      <c r="U294" s="694">
        <f t="shared" si="236"/>
        <v>0</v>
      </c>
      <c r="V294" s="694">
        <f t="shared" si="236"/>
        <v>0</v>
      </c>
      <c r="W294" s="694">
        <f t="shared" si="236"/>
        <v>0</v>
      </c>
      <c r="X294" s="694">
        <f t="shared" si="236"/>
        <v>0</v>
      </c>
      <c r="Y294" s="694">
        <f t="shared" si="236"/>
        <v>0</v>
      </c>
      <c r="Z294" s="694">
        <f t="shared" si="236"/>
        <v>0</v>
      </c>
      <c r="AA294" s="694">
        <f t="shared" si="236"/>
        <v>0</v>
      </c>
      <c r="AB294" s="694">
        <f t="shared" si="236"/>
        <v>0</v>
      </c>
    </row>
    <row r="295" spans="1:46" s="83" customFormat="1" x14ac:dyDescent="0.25">
      <c r="A295" s="82"/>
      <c r="B295" s="204" t="str">
        <f t="shared" si="229"/>
        <v>TFMEGAS900</v>
      </c>
      <c r="C295" s="204"/>
      <c r="D295" s="205"/>
      <c r="E295" s="204"/>
      <c r="F295" s="206"/>
      <c r="G295" s="207"/>
      <c r="H295" s="206"/>
      <c r="I295" s="208">
        <f>AF$10</f>
        <v>2050</v>
      </c>
      <c r="J295" s="209"/>
      <c r="K295" s="209"/>
      <c r="L295" s="210" t="s">
        <v>1065</v>
      </c>
      <c r="M295" s="209" t="s">
        <v>748</v>
      </c>
      <c r="N295" s="695">
        <f t="shared" ref="N295:AB295" si="237">N289*LOOKUP($AD283,$AH$4:$AQ$4,$AH$10:$AQ$10)</f>
        <v>0</v>
      </c>
      <c r="O295" s="695">
        <f t="shared" si="237"/>
        <v>0</v>
      </c>
      <c r="P295" s="695">
        <f t="shared" si="237"/>
        <v>0</v>
      </c>
      <c r="Q295" s="695">
        <f t="shared" si="237"/>
        <v>0</v>
      </c>
      <c r="R295" s="695">
        <f t="shared" si="237"/>
        <v>0</v>
      </c>
      <c r="S295" s="695">
        <f t="shared" si="237"/>
        <v>0</v>
      </c>
      <c r="T295" s="695">
        <f t="shared" si="237"/>
        <v>0</v>
      </c>
      <c r="U295" s="695">
        <f t="shared" si="237"/>
        <v>0</v>
      </c>
      <c r="V295" s="695">
        <f t="shared" si="237"/>
        <v>0</v>
      </c>
      <c r="W295" s="695">
        <f t="shared" si="237"/>
        <v>0</v>
      </c>
      <c r="X295" s="695">
        <f t="shared" si="237"/>
        <v>0</v>
      </c>
      <c r="Y295" s="695">
        <f t="shared" si="237"/>
        <v>0</v>
      </c>
      <c r="Z295" s="695">
        <f t="shared" si="237"/>
        <v>0</v>
      </c>
      <c r="AA295" s="695">
        <f t="shared" si="237"/>
        <v>0</v>
      </c>
      <c r="AB295" s="695">
        <f t="shared" si="237"/>
        <v>0</v>
      </c>
    </row>
    <row r="296" spans="1:46" s="83" customFormat="1" x14ac:dyDescent="0.25">
      <c r="A296" s="82"/>
      <c r="B296" s="178" t="str">
        <f>C296</f>
        <v>TFMEGSL900</v>
      </c>
      <c r="C296" s="178" t="s">
        <v>144</v>
      </c>
      <c r="D296" s="179" t="s">
        <v>837</v>
      </c>
      <c r="E296" s="407" t="s">
        <v>1014</v>
      </c>
      <c r="F296" s="182"/>
      <c r="G296" s="181"/>
      <c r="H296" s="182"/>
      <c r="I296" s="183"/>
      <c r="J296" s="184"/>
      <c r="K296" s="184"/>
      <c r="L296" s="203" t="s">
        <v>1107</v>
      </c>
      <c r="M296" s="184" t="s">
        <v>1125</v>
      </c>
      <c r="N296" s="378">
        <v>1E-3</v>
      </c>
      <c r="O296" s="378">
        <f t="shared" ref="O296:AB296" si="238">$N296</f>
        <v>1E-3</v>
      </c>
      <c r="P296" s="378">
        <f t="shared" si="238"/>
        <v>1E-3</v>
      </c>
      <c r="Q296" s="378">
        <f t="shared" si="238"/>
        <v>1E-3</v>
      </c>
      <c r="R296" s="378">
        <f t="shared" si="238"/>
        <v>1E-3</v>
      </c>
      <c r="S296" s="378">
        <f t="shared" si="238"/>
        <v>1E-3</v>
      </c>
      <c r="T296" s="378">
        <f t="shared" si="238"/>
        <v>1E-3</v>
      </c>
      <c r="U296" s="378">
        <f t="shared" si="238"/>
        <v>1E-3</v>
      </c>
      <c r="V296" s="378">
        <f t="shared" si="238"/>
        <v>1E-3</v>
      </c>
      <c r="W296" s="378">
        <f t="shared" si="238"/>
        <v>1E-3</v>
      </c>
      <c r="X296" s="378">
        <f t="shared" si="238"/>
        <v>1E-3</v>
      </c>
      <c r="Y296" s="378">
        <f t="shared" si="238"/>
        <v>1E-3</v>
      </c>
      <c r="Z296" s="378">
        <f t="shared" si="238"/>
        <v>1E-3</v>
      </c>
      <c r="AA296" s="378">
        <f t="shared" si="238"/>
        <v>1E-3</v>
      </c>
      <c r="AB296" s="378">
        <f t="shared" si="238"/>
        <v>1E-3</v>
      </c>
      <c r="AD296" s="410" t="str">
        <f>MID(D296,14,3)</f>
        <v>GSL</v>
      </c>
    </row>
    <row r="297" spans="1:46" s="83" customFormat="1" x14ac:dyDescent="0.25">
      <c r="A297" s="82"/>
      <c r="B297" s="178" t="str">
        <f>B296</f>
        <v>TFMEGSL900</v>
      </c>
      <c r="C297" s="178"/>
      <c r="D297" s="179"/>
      <c r="E297" s="407" t="s">
        <v>1012</v>
      </c>
      <c r="F297" s="182"/>
      <c r="G297" s="181"/>
      <c r="H297" s="182"/>
      <c r="I297" s="183"/>
      <c r="J297" s="184" t="s">
        <v>1157</v>
      </c>
      <c r="K297" s="184"/>
      <c r="L297" s="203" t="s">
        <v>101</v>
      </c>
      <c r="M297" s="184"/>
      <c r="N297" s="390">
        <f>N$29</f>
        <v>0.03</v>
      </c>
      <c r="O297" s="390">
        <f t="shared" ref="O297:AB297" si="239">O$29</f>
        <v>0.03</v>
      </c>
      <c r="P297" s="390">
        <f t="shared" si="239"/>
        <v>0.03</v>
      </c>
      <c r="Q297" s="390">
        <f t="shared" si="239"/>
        <v>0.03</v>
      </c>
      <c r="R297" s="390">
        <f t="shared" si="239"/>
        <v>0.03</v>
      </c>
      <c r="S297" s="390">
        <f t="shared" si="239"/>
        <v>0.03</v>
      </c>
      <c r="T297" s="390">
        <f t="shared" si="239"/>
        <v>0.03</v>
      </c>
      <c r="U297" s="390">
        <f t="shared" si="239"/>
        <v>0.03</v>
      </c>
      <c r="V297" s="390">
        <f t="shared" si="239"/>
        <v>0.03</v>
      </c>
      <c r="W297" s="390">
        <f t="shared" si="239"/>
        <v>0.03</v>
      </c>
      <c r="X297" s="390">
        <f t="shared" si="239"/>
        <v>0.03</v>
      </c>
      <c r="Y297" s="390">
        <f t="shared" si="239"/>
        <v>0.03</v>
      </c>
      <c r="Z297" s="390">
        <f t="shared" si="239"/>
        <v>0.03</v>
      </c>
      <c r="AA297" s="390">
        <f t="shared" si="239"/>
        <v>0.03</v>
      </c>
      <c r="AB297" s="390">
        <f t="shared" si="239"/>
        <v>0.03</v>
      </c>
      <c r="AD297" s="66" t="str">
        <f>IF(COUNTIF($AH$4:$AQ$4,AD296)=1,"ok","MISSING")</f>
        <v>ok</v>
      </c>
    </row>
    <row r="298" spans="1:46" s="83" customFormat="1" x14ac:dyDescent="0.25">
      <c r="A298" s="82"/>
      <c r="B298" s="178" t="str">
        <f>B297</f>
        <v>TFMEGSL900</v>
      </c>
      <c r="C298" s="178"/>
      <c r="D298" s="179"/>
      <c r="E298" s="178"/>
      <c r="F298" s="182"/>
      <c r="G298" s="324" t="s">
        <v>643</v>
      </c>
      <c r="H298" s="182"/>
      <c r="I298" s="183"/>
      <c r="J298" s="184"/>
      <c r="K298" s="184"/>
      <c r="L298" s="184" t="s">
        <v>1126</v>
      </c>
      <c r="M298" s="184" t="s">
        <v>678</v>
      </c>
      <c r="N298" s="676">
        <f>T_CEFF!H259</f>
        <v>9.2439999999999994E-2</v>
      </c>
      <c r="O298" s="676">
        <f>T_CEFF!I259</f>
        <v>9.2439999999999994E-2</v>
      </c>
      <c r="P298" s="676">
        <f>T_CEFF!J259</f>
        <v>9.2439999999999994E-2</v>
      </c>
      <c r="Q298" s="676">
        <f>T_CEFF!K259</f>
        <v>9.2439999999999994E-2</v>
      </c>
      <c r="R298" s="676">
        <f>T_CEFF!L259</f>
        <v>9.2439999999999994E-2</v>
      </c>
      <c r="S298" s="676">
        <f>T_CEFF!M259</f>
        <v>9.2439999999999994E-2</v>
      </c>
      <c r="T298" s="676">
        <f>T_CEFF!N259</f>
        <v>9.2439999999999994E-2</v>
      </c>
      <c r="U298" s="676">
        <f>T_CEFF!O259</f>
        <v>9.2439999999999994E-2</v>
      </c>
      <c r="V298" s="676">
        <f>T_CEFF!P259</f>
        <v>9.2439999999999994E-2</v>
      </c>
      <c r="W298" s="676">
        <f>T_CEFF!Q259</f>
        <v>9.2439999999999994E-2</v>
      </c>
      <c r="X298" s="676">
        <f>T_CEFF!R259</f>
        <v>9.2439999999999994E-2</v>
      </c>
      <c r="Y298" s="676">
        <f>T_CEFF!S259</f>
        <v>9.2439999999999994E-2</v>
      </c>
      <c r="Z298" s="676">
        <f>T_CEFF!T259</f>
        <v>9.2439999999999994E-2</v>
      </c>
      <c r="AA298" s="676">
        <f>T_CEFF!U259</f>
        <v>9.2439999999999994E-2</v>
      </c>
      <c r="AB298" s="676">
        <f>T_CEFF!V259</f>
        <v>9.2439999999999994E-2</v>
      </c>
    </row>
    <row r="299" spans="1:46" s="83" customFormat="1" x14ac:dyDescent="0.25">
      <c r="A299" s="82"/>
      <c r="B299" s="178" t="str">
        <f>B298</f>
        <v>TFMEGSL900</v>
      </c>
      <c r="C299" s="178"/>
      <c r="D299" s="179"/>
      <c r="E299" s="178"/>
      <c r="F299" s="182"/>
      <c r="G299" s="324" t="s">
        <v>646</v>
      </c>
      <c r="H299" s="182"/>
      <c r="I299" s="183"/>
      <c r="J299" s="184"/>
      <c r="K299" s="184"/>
      <c r="L299" s="184" t="s">
        <v>1126</v>
      </c>
      <c r="M299" s="184" t="s">
        <v>678</v>
      </c>
      <c r="N299" s="676">
        <f>T_CEFF!H260</f>
        <v>7.3950000000000002E-2</v>
      </c>
      <c r="O299" s="676">
        <f>T_CEFF!I260</f>
        <v>7.3950000000000002E-2</v>
      </c>
      <c r="P299" s="676">
        <f>T_CEFF!J260</f>
        <v>7.3950000000000002E-2</v>
      </c>
      <c r="Q299" s="676">
        <f>T_CEFF!K260</f>
        <v>7.3950000000000002E-2</v>
      </c>
      <c r="R299" s="676">
        <f>T_CEFF!L260</f>
        <v>7.3950000000000002E-2</v>
      </c>
      <c r="S299" s="676">
        <f>T_CEFF!M260</f>
        <v>7.3950000000000002E-2</v>
      </c>
      <c r="T299" s="676">
        <f>T_CEFF!N260</f>
        <v>7.3950000000000002E-2</v>
      </c>
      <c r="U299" s="676">
        <f>T_CEFF!O260</f>
        <v>7.3950000000000002E-2</v>
      </c>
      <c r="V299" s="676">
        <f>T_CEFF!P260</f>
        <v>7.3950000000000002E-2</v>
      </c>
      <c r="W299" s="676">
        <f>T_CEFF!Q260</f>
        <v>7.3950000000000002E-2</v>
      </c>
      <c r="X299" s="676">
        <f>T_CEFF!R260</f>
        <v>7.3950000000000002E-2</v>
      </c>
      <c r="Y299" s="676">
        <f>T_CEFF!S260</f>
        <v>7.3950000000000002E-2</v>
      </c>
      <c r="Z299" s="676">
        <f>T_CEFF!T260</f>
        <v>7.3950000000000002E-2</v>
      </c>
      <c r="AA299" s="676">
        <f>T_CEFF!U260</f>
        <v>7.3950000000000002E-2</v>
      </c>
      <c r="AB299" s="676">
        <f>T_CEFF!V260</f>
        <v>7.3950000000000002E-2</v>
      </c>
    </row>
    <row r="300" spans="1:46" s="83" customFormat="1" x14ac:dyDescent="0.25">
      <c r="A300" s="82"/>
      <c r="B300" s="178" t="str">
        <f t="shared" ref="B300:B308" si="240">B299</f>
        <v>TFMEGSL900</v>
      </c>
      <c r="C300" s="178"/>
      <c r="D300" s="179"/>
      <c r="E300" s="178"/>
      <c r="F300" s="182"/>
      <c r="G300" s="181"/>
      <c r="H300" s="182"/>
      <c r="I300" s="183"/>
      <c r="J300" s="184"/>
      <c r="K300" s="184" t="s">
        <v>749</v>
      </c>
      <c r="L300" s="184" t="s">
        <v>1128</v>
      </c>
      <c r="M300" s="184" t="s">
        <v>1175</v>
      </c>
      <c r="N300" s="388">
        <f>N$24</f>
        <v>0</v>
      </c>
      <c r="O300" s="388">
        <f t="shared" ref="O300:AB300" si="241">O$24</f>
        <v>0</v>
      </c>
      <c r="P300" s="388">
        <f t="shared" si="241"/>
        <v>0</v>
      </c>
      <c r="Q300" s="388">
        <f t="shared" si="241"/>
        <v>0</v>
      </c>
      <c r="R300" s="388">
        <f t="shared" si="241"/>
        <v>0</v>
      </c>
      <c r="S300" s="388">
        <f t="shared" si="241"/>
        <v>0</v>
      </c>
      <c r="T300" s="388">
        <f t="shared" si="241"/>
        <v>0</v>
      </c>
      <c r="U300" s="388">
        <f t="shared" si="241"/>
        <v>0</v>
      </c>
      <c r="V300" s="388">
        <f t="shared" si="241"/>
        <v>0</v>
      </c>
      <c r="W300" s="388">
        <f t="shared" si="241"/>
        <v>0</v>
      </c>
      <c r="X300" s="388">
        <f t="shared" si="241"/>
        <v>0</v>
      </c>
      <c r="Y300" s="388">
        <f t="shared" si="241"/>
        <v>0</v>
      </c>
      <c r="Z300" s="388">
        <f t="shared" si="241"/>
        <v>0</v>
      </c>
      <c r="AA300" s="388">
        <f t="shared" si="241"/>
        <v>0</v>
      </c>
      <c r="AB300" s="388">
        <f t="shared" si="241"/>
        <v>0</v>
      </c>
    </row>
    <row r="301" spans="1:46" s="83" customFormat="1" x14ac:dyDescent="0.25">
      <c r="A301" s="82"/>
      <c r="B301" s="178" t="str">
        <f t="shared" si="240"/>
        <v>TFMEGSL900</v>
      </c>
      <c r="C301" s="178"/>
      <c r="D301" s="179"/>
      <c r="E301" s="178"/>
      <c r="F301" s="182"/>
      <c r="G301" s="181"/>
      <c r="H301" s="182"/>
      <c r="I301" s="183"/>
      <c r="J301" s="184"/>
      <c r="K301" s="184"/>
      <c r="L301" s="203" t="s">
        <v>1130</v>
      </c>
      <c r="M301" s="184" t="s">
        <v>1131</v>
      </c>
      <c r="N301" s="397">
        <f>LOOKUP($C$296, T_NCAP_AF!$C$170:$C$180, T_NCAP_AF!D$170:D$180)*(1+N228)</f>
        <v>0</v>
      </c>
      <c r="O301" s="397">
        <f>LOOKUP($C$296, T_NCAP_AF!$C$170:$C$180, T_NCAP_AF!E$170:E$180)*(1+O228)</f>
        <v>0</v>
      </c>
      <c r="P301" s="397">
        <f>LOOKUP($C$296, T_NCAP_AF!$C$170:$C$180, T_NCAP_AF!F$170:F$180)*(1+P228)</f>
        <v>0</v>
      </c>
      <c r="Q301" s="397">
        <f>LOOKUP($C$296, T_NCAP_AF!$C$170:$C$180, T_NCAP_AF!G$170:G$180)*(1+Q228)</f>
        <v>0</v>
      </c>
      <c r="R301" s="397">
        <f>LOOKUP($C$296, T_NCAP_AF!$C$170:$C$180, T_NCAP_AF!H$170:H$180)*(1+R228)</f>
        <v>0</v>
      </c>
      <c r="S301" s="397">
        <f>LOOKUP($C$296, T_NCAP_AF!$C$170:$C$180, T_NCAP_AF!I$170:I$180)*(1+S228)</f>
        <v>0</v>
      </c>
      <c r="T301" s="397">
        <f>LOOKUP($C$296, T_NCAP_AF!$C$170:$C$180, T_NCAP_AF!J$170:J$180)*(1+T228)</f>
        <v>0</v>
      </c>
      <c r="U301" s="397">
        <f>LOOKUP($C$296, T_NCAP_AF!$C$170:$C$180, T_NCAP_AF!K$170:K$180)*(1+U228)</f>
        <v>0</v>
      </c>
      <c r="V301" s="397">
        <f>LOOKUP($C$296, T_NCAP_AF!$C$170:$C$180, T_NCAP_AF!L$170:L$180)*(1+V228)</f>
        <v>0</v>
      </c>
      <c r="W301" s="397">
        <f>LOOKUP($C$296, T_NCAP_AF!$C$170:$C$180, T_NCAP_AF!M$170:M$180)*(1+W228)</f>
        <v>0</v>
      </c>
      <c r="X301" s="397">
        <f>LOOKUP($C$296, T_NCAP_AF!$C$170:$C$180, T_NCAP_AF!N$170:N$180)*(1+X228)</f>
        <v>0</v>
      </c>
      <c r="Y301" s="397">
        <f>LOOKUP($C$296, T_NCAP_AF!$C$170:$C$180, T_NCAP_AF!O$170:O$180)*(1+Y228)</f>
        <v>0</v>
      </c>
      <c r="Z301" s="397">
        <f>LOOKUP($C$296, T_NCAP_AF!$C$170:$C$180, T_NCAP_AF!P$170:P$180)*(1+Z228)</f>
        <v>0</v>
      </c>
      <c r="AA301" s="397">
        <f>LOOKUP($C$296, T_NCAP_AF!$C$170:$C$180, T_NCAP_AF!Q$170:Q$180)*(1+AA228)</f>
        <v>0</v>
      </c>
      <c r="AB301" s="397">
        <f>LOOKUP($C$296, T_NCAP_AF!$C$170:$C$180, T_NCAP_AF!R$170:R$180)*(1+AB228)</f>
        <v>0</v>
      </c>
      <c r="AE301" s="572">
        <f>SUM(AF301:AT301)</f>
        <v>0</v>
      </c>
      <c r="AF301" s="85">
        <f t="shared" ref="AF301:AT301" si="242">N300*N301*N302/1000</f>
        <v>0</v>
      </c>
      <c r="AG301" s="85">
        <f t="shared" si="242"/>
        <v>0</v>
      </c>
      <c r="AH301" s="85">
        <f t="shared" si="242"/>
        <v>0</v>
      </c>
      <c r="AI301" s="85">
        <f t="shared" si="242"/>
        <v>0</v>
      </c>
      <c r="AJ301" s="85">
        <f t="shared" si="242"/>
        <v>0</v>
      </c>
      <c r="AK301" s="85">
        <f t="shared" si="242"/>
        <v>0</v>
      </c>
      <c r="AL301" s="85">
        <f t="shared" si="242"/>
        <v>0</v>
      </c>
      <c r="AM301" s="85">
        <f t="shared" si="242"/>
        <v>0</v>
      </c>
      <c r="AN301" s="85">
        <f t="shared" si="242"/>
        <v>0</v>
      </c>
      <c r="AO301" s="85">
        <f t="shared" si="242"/>
        <v>0</v>
      </c>
      <c r="AP301" s="85">
        <f t="shared" si="242"/>
        <v>0</v>
      </c>
      <c r="AQ301" s="85">
        <f t="shared" si="242"/>
        <v>0</v>
      </c>
      <c r="AR301" s="85">
        <f t="shared" si="242"/>
        <v>0</v>
      </c>
      <c r="AS301" s="85">
        <f t="shared" si="242"/>
        <v>0</v>
      </c>
      <c r="AT301" s="85">
        <f t="shared" si="242"/>
        <v>0</v>
      </c>
    </row>
    <row r="302" spans="1:46" s="83" customFormat="1" x14ac:dyDescent="0.25">
      <c r="A302" s="82"/>
      <c r="B302" s="178" t="str">
        <f t="shared" si="240"/>
        <v>TFMEGSL900</v>
      </c>
      <c r="C302" s="178"/>
      <c r="D302" s="179"/>
      <c r="E302" s="178"/>
      <c r="F302" s="182"/>
      <c r="G302" s="181"/>
      <c r="H302" s="182"/>
      <c r="I302" s="183">
        <f>$M$3</f>
        <v>2019</v>
      </c>
      <c r="J302" s="184"/>
      <c r="K302" s="184"/>
      <c r="L302" s="203" t="s">
        <v>1065</v>
      </c>
      <c r="M302" s="184" t="s">
        <v>748</v>
      </c>
      <c r="N302" s="694">
        <f>LOOKUP($C$296, 'T_Stock_TOTAL_&amp;_City'!$C$106:$C$116, 'T_Stock_TOTAL_&amp;_City'!D$106:D$116)*(1+N229)</f>
        <v>0</v>
      </c>
      <c r="O302" s="694">
        <f>LOOKUP($C$296, 'T_Stock_TOTAL_&amp;_City'!$C$106:$C$116, 'T_Stock_TOTAL_&amp;_City'!E$106:E$116)*(1+O229)</f>
        <v>0</v>
      </c>
      <c r="P302" s="694">
        <f>LOOKUP($C$296, 'T_Stock_TOTAL_&amp;_City'!$C$106:$C$116, 'T_Stock_TOTAL_&amp;_City'!F$106:F$116)*(1+P229)</f>
        <v>0</v>
      </c>
      <c r="Q302" s="694">
        <f>LOOKUP($C$296, 'T_Stock_TOTAL_&amp;_City'!$C$106:$C$116, 'T_Stock_TOTAL_&amp;_City'!G$106:G$116)*(1+Q229)</f>
        <v>0</v>
      </c>
      <c r="R302" s="694">
        <f>LOOKUP($C$296, 'T_Stock_TOTAL_&amp;_City'!$C$106:$C$116, 'T_Stock_TOTAL_&amp;_City'!H$106:H$116)*(1+R229)</f>
        <v>0</v>
      </c>
      <c r="S302" s="694">
        <f>LOOKUP($C$296, 'T_Stock_TOTAL_&amp;_City'!$C$106:$C$116, 'T_Stock_TOTAL_&amp;_City'!I$106:I$116)*(1+S229)</f>
        <v>0</v>
      </c>
      <c r="T302" s="694">
        <f>LOOKUP($C$296, 'T_Stock_TOTAL_&amp;_City'!$C$106:$C$116, 'T_Stock_TOTAL_&amp;_City'!J$106:J$116)*(1+T229)</f>
        <v>0</v>
      </c>
      <c r="U302" s="694">
        <f>LOOKUP($C$296, 'T_Stock_TOTAL_&amp;_City'!$C$106:$C$116, 'T_Stock_TOTAL_&amp;_City'!K$106:K$116)*(1+U229)</f>
        <v>0</v>
      </c>
      <c r="V302" s="694">
        <f>LOOKUP($C$296, 'T_Stock_TOTAL_&amp;_City'!$C$106:$C$116, 'T_Stock_TOTAL_&amp;_City'!L$106:L$116)*(1+V229)</f>
        <v>0</v>
      </c>
      <c r="W302" s="694">
        <f>LOOKUP($C$296, 'T_Stock_TOTAL_&amp;_City'!$C$106:$C$116, 'T_Stock_TOTAL_&amp;_City'!M$106:M$116)*(1+W229)</f>
        <v>0</v>
      </c>
      <c r="X302" s="694">
        <f>LOOKUP($C$296, 'T_Stock_TOTAL_&amp;_City'!$C$106:$C$116, 'T_Stock_TOTAL_&amp;_City'!N$106:N$116)*(1+X229)</f>
        <v>0</v>
      </c>
      <c r="Y302" s="694">
        <f>LOOKUP($C$296, 'T_Stock_TOTAL_&amp;_City'!$C$106:$C$116, 'T_Stock_TOTAL_&amp;_City'!O$106:O$116)*(1+Y229)</f>
        <v>0</v>
      </c>
      <c r="Z302" s="694">
        <f>LOOKUP($C$296, 'T_Stock_TOTAL_&amp;_City'!$C$106:$C$116, 'T_Stock_TOTAL_&amp;_City'!P$106:P$116)*(1+Z229)</f>
        <v>0</v>
      </c>
      <c r="AA302" s="694">
        <f>LOOKUP($C$296, 'T_Stock_TOTAL_&amp;_City'!$C$106:$C$116, 'T_Stock_TOTAL_&amp;_City'!Q$106:Q$116)*(1+AA229)</f>
        <v>0</v>
      </c>
      <c r="AB302" s="694">
        <f>LOOKUP($C$296, 'T_Stock_TOTAL_&amp;_City'!$C$106:$C$116, 'T_Stock_TOTAL_&amp;_City'!R$106:R$116)*(1+AB229)</f>
        <v>0</v>
      </c>
    </row>
    <row r="303" spans="1:46" s="83" customFormat="1" x14ac:dyDescent="0.25">
      <c r="A303" s="82"/>
      <c r="B303" s="178" t="str">
        <f t="shared" si="240"/>
        <v>TFMEGSL900</v>
      </c>
      <c r="C303" s="178"/>
      <c r="D303" s="179"/>
      <c r="E303" s="178"/>
      <c r="F303" s="182"/>
      <c r="G303" s="181"/>
      <c r="H303" s="182"/>
      <c r="I303" s="183">
        <f>AF$5</f>
        <v>2016</v>
      </c>
      <c r="J303" s="184"/>
      <c r="K303" s="184"/>
      <c r="L303" s="203" t="s">
        <v>1065</v>
      </c>
      <c r="M303" s="184" t="s">
        <v>748</v>
      </c>
      <c r="N303" s="694">
        <f t="shared" ref="N303:AB303" si="243">N302*LOOKUP($AD296,$AH$4:$AQ$4,$AH$5:$AQ$5)</f>
        <v>0</v>
      </c>
      <c r="O303" s="694">
        <f t="shared" si="243"/>
        <v>0</v>
      </c>
      <c r="P303" s="694">
        <f t="shared" si="243"/>
        <v>0</v>
      </c>
      <c r="Q303" s="694">
        <f t="shared" si="243"/>
        <v>0</v>
      </c>
      <c r="R303" s="694">
        <f t="shared" si="243"/>
        <v>0</v>
      </c>
      <c r="S303" s="694">
        <f t="shared" si="243"/>
        <v>0</v>
      </c>
      <c r="T303" s="694">
        <f t="shared" si="243"/>
        <v>0</v>
      </c>
      <c r="U303" s="694">
        <f t="shared" si="243"/>
        <v>0</v>
      </c>
      <c r="V303" s="694">
        <f t="shared" si="243"/>
        <v>0</v>
      </c>
      <c r="W303" s="694">
        <f t="shared" si="243"/>
        <v>0</v>
      </c>
      <c r="X303" s="694">
        <f t="shared" si="243"/>
        <v>0</v>
      </c>
      <c r="Y303" s="694">
        <f t="shared" si="243"/>
        <v>0</v>
      </c>
      <c r="Z303" s="694">
        <f t="shared" si="243"/>
        <v>0</v>
      </c>
      <c r="AA303" s="694">
        <f t="shared" si="243"/>
        <v>0</v>
      </c>
      <c r="AB303" s="694">
        <f t="shared" si="243"/>
        <v>0</v>
      </c>
    </row>
    <row r="304" spans="1:46" s="83" customFormat="1" x14ac:dyDescent="0.25">
      <c r="A304" s="82"/>
      <c r="B304" s="178" t="str">
        <f t="shared" si="240"/>
        <v>TFMEGSL900</v>
      </c>
      <c r="C304" s="178"/>
      <c r="D304" s="179"/>
      <c r="E304" s="178"/>
      <c r="F304" s="182"/>
      <c r="G304" s="181"/>
      <c r="H304" s="182"/>
      <c r="I304" s="183">
        <f>AF$6</f>
        <v>2020</v>
      </c>
      <c r="J304" s="184"/>
      <c r="K304" s="184"/>
      <c r="L304" s="203" t="s">
        <v>1065</v>
      </c>
      <c r="M304" s="184" t="s">
        <v>748</v>
      </c>
      <c r="N304" s="694">
        <f t="shared" ref="N304:AB304" si="244">N302*LOOKUP($AD296,$AH$4:$AQ$4,$AH$6:$AQ$6)</f>
        <v>0</v>
      </c>
      <c r="O304" s="694">
        <f t="shared" si="244"/>
        <v>0</v>
      </c>
      <c r="P304" s="694">
        <f t="shared" si="244"/>
        <v>0</v>
      </c>
      <c r="Q304" s="694">
        <f t="shared" si="244"/>
        <v>0</v>
      </c>
      <c r="R304" s="694">
        <f t="shared" si="244"/>
        <v>0</v>
      </c>
      <c r="S304" s="694">
        <f t="shared" si="244"/>
        <v>0</v>
      </c>
      <c r="T304" s="694">
        <f t="shared" si="244"/>
        <v>0</v>
      </c>
      <c r="U304" s="694">
        <f t="shared" si="244"/>
        <v>0</v>
      </c>
      <c r="V304" s="694">
        <f t="shared" si="244"/>
        <v>0</v>
      </c>
      <c r="W304" s="694">
        <f t="shared" si="244"/>
        <v>0</v>
      </c>
      <c r="X304" s="694">
        <f t="shared" si="244"/>
        <v>0</v>
      </c>
      <c r="Y304" s="694">
        <f t="shared" si="244"/>
        <v>0</v>
      </c>
      <c r="Z304" s="694">
        <f t="shared" si="244"/>
        <v>0</v>
      </c>
      <c r="AA304" s="694">
        <f t="shared" si="244"/>
        <v>0</v>
      </c>
      <c r="AB304" s="694">
        <f t="shared" si="244"/>
        <v>0</v>
      </c>
    </row>
    <row r="305" spans="1:46" s="83" customFormat="1" x14ac:dyDescent="0.25">
      <c r="A305" s="82"/>
      <c r="B305" s="178" t="str">
        <f t="shared" si="240"/>
        <v>TFMEGSL900</v>
      </c>
      <c r="C305" s="178"/>
      <c r="D305" s="179"/>
      <c r="E305" s="178"/>
      <c r="F305" s="182"/>
      <c r="G305" s="181"/>
      <c r="H305" s="182"/>
      <c r="I305" s="183">
        <f>AF$7</f>
        <v>2025</v>
      </c>
      <c r="J305" s="184"/>
      <c r="K305" s="184"/>
      <c r="L305" s="203" t="s">
        <v>1065</v>
      </c>
      <c r="M305" s="184" t="s">
        <v>748</v>
      </c>
      <c r="N305" s="694">
        <f t="shared" ref="N305:AB305" si="245">N302*LOOKUP($AD296,$AH$4:$AQ$4,$AH$7:$AQ$7)</f>
        <v>0</v>
      </c>
      <c r="O305" s="694">
        <f t="shared" si="245"/>
        <v>0</v>
      </c>
      <c r="P305" s="694">
        <f t="shared" si="245"/>
        <v>0</v>
      </c>
      <c r="Q305" s="694">
        <f t="shared" si="245"/>
        <v>0</v>
      </c>
      <c r="R305" s="694">
        <f t="shared" si="245"/>
        <v>0</v>
      </c>
      <c r="S305" s="694">
        <f t="shared" si="245"/>
        <v>0</v>
      </c>
      <c r="T305" s="694">
        <f t="shared" si="245"/>
        <v>0</v>
      </c>
      <c r="U305" s="694">
        <f t="shared" si="245"/>
        <v>0</v>
      </c>
      <c r="V305" s="694">
        <f t="shared" si="245"/>
        <v>0</v>
      </c>
      <c r="W305" s="694">
        <f t="shared" si="245"/>
        <v>0</v>
      </c>
      <c r="X305" s="694">
        <f t="shared" si="245"/>
        <v>0</v>
      </c>
      <c r="Y305" s="694">
        <f t="shared" si="245"/>
        <v>0</v>
      </c>
      <c r="Z305" s="694">
        <f t="shared" si="245"/>
        <v>0</v>
      </c>
      <c r="AA305" s="694">
        <f t="shared" si="245"/>
        <v>0</v>
      </c>
      <c r="AB305" s="694">
        <f t="shared" si="245"/>
        <v>0</v>
      </c>
    </row>
    <row r="306" spans="1:46" s="83" customFormat="1" x14ac:dyDescent="0.25">
      <c r="A306" s="82"/>
      <c r="B306" s="178" t="str">
        <f t="shared" si="240"/>
        <v>TFMEGSL900</v>
      </c>
      <c r="C306" s="178"/>
      <c r="D306" s="179"/>
      <c r="E306" s="178"/>
      <c r="F306" s="182"/>
      <c r="G306" s="181"/>
      <c r="H306" s="182"/>
      <c r="I306" s="183">
        <f>AF$8</f>
        <v>2030</v>
      </c>
      <c r="J306" s="184"/>
      <c r="K306" s="184"/>
      <c r="L306" s="203" t="s">
        <v>1065</v>
      </c>
      <c r="M306" s="184" t="s">
        <v>748</v>
      </c>
      <c r="N306" s="694">
        <f t="shared" ref="N306:AB306" si="246">N302*LOOKUP($AD296,$AH$4:$AQ$4,$AH$8:$AQ$8)</f>
        <v>0</v>
      </c>
      <c r="O306" s="694">
        <f t="shared" si="246"/>
        <v>0</v>
      </c>
      <c r="P306" s="694">
        <f t="shared" si="246"/>
        <v>0</v>
      </c>
      <c r="Q306" s="694">
        <f t="shared" si="246"/>
        <v>0</v>
      </c>
      <c r="R306" s="694">
        <f t="shared" si="246"/>
        <v>0</v>
      </c>
      <c r="S306" s="694">
        <f t="shared" si="246"/>
        <v>0</v>
      </c>
      <c r="T306" s="694">
        <f t="shared" si="246"/>
        <v>0</v>
      </c>
      <c r="U306" s="694">
        <f t="shared" si="246"/>
        <v>0</v>
      </c>
      <c r="V306" s="694">
        <f t="shared" si="246"/>
        <v>0</v>
      </c>
      <c r="W306" s="694">
        <f t="shared" si="246"/>
        <v>0</v>
      </c>
      <c r="X306" s="694">
        <f t="shared" si="246"/>
        <v>0</v>
      </c>
      <c r="Y306" s="694">
        <f t="shared" si="246"/>
        <v>0</v>
      </c>
      <c r="Z306" s="694">
        <f t="shared" si="246"/>
        <v>0</v>
      </c>
      <c r="AA306" s="694">
        <f t="shared" si="246"/>
        <v>0</v>
      </c>
      <c r="AB306" s="694">
        <f t="shared" si="246"/>
        <v>0</v>
      </c>
    </row>
    <row r="307" spans="1:46" s="83" customFormat="1" x14ac:dyDescent="0.25">
      <c r="A307" s="82"/>
      <c r="B307" s="178" t="str">
        <f t="shared" si="240"/>
        <v>TFMEGSL900</v>
      </c>
      <c r="C307" s="178"/>
      <c r="D307" s="179"/>
      <c r="E307" s="178"/>
      <c r="F307" s="182"/>
      <c r="G307" s="181"/>
      <c r="H307" s="182"/>
      <c r="I307" s="183">
        <f>AF$9</f>
        <v>2040</v>
      </c>
      <c r="J307" s="184"/>
      <c r="K307" s="184"/>
      <c r="L307" s="203" t="s">
        <v>1065</v>
      </c>
      <c r="M307" s="184" t="s">
        <v>748</v>
      </c>
      <c r="N307" s="694">
        <f t="shared" ref="N307:AB307" si="247">N302*LOOKUP($AD296,$AH$4:$AQ$4,$AH$9:$AQ$9)</f>
        <v>0</v>
      </c>
      <c r="O307" s="694">
        <f t="shared" si="247"/>
        <v>0</v>
      </c>
      <c r="P307" s="694">
        <f t="shared" si="247"/>
        <v>0</v>
      </c>
      <c r="Q307" s="694">
        <f t="shared" si="247"/>
        <v>0</v>
      </c>
      <c r="R307" s="694">
        <f t="shared" si="247"/>
        <v>0</v>
      </c>
      <c r="S307" s="694">
        <f t="shared" si="247"/>
        <v>0</v>
      </c>
      <c r="T307" s="694">
        <f t="shared" si="247"/>
        <v>0</v>
      </c>
      <c r="U307" s="694">
        <f t="shared" si="247"/>
        <v>0</v>
      </c>
      <c r="V307" s="694">
        <f t="shared" si="247"/>
        <v>0</v>
      </c>
      <c r="W307" s="694">
        <f t="shared" si="247"/>
        <v>0</v>
      </c>
      <c r="X307" s="694">
        <f t="shared" si="247"/>
        <v>0</v>
      </c>
      <c r="Y307" s="694">
        <f t="shared" si="247"/>
        <v>0</v>
      </c>
      <c r="Z307" s="694">
        <f t="shared" si="247"/>
        <v>0</v>
      </c>
      <c r="AA307" s="694">
        <f t="shared" si="247"/>
        <v>0</v>
      </c>
      <c r="AB307" s="694">
        <f t="shared" si="247"/>
        <v>0</v>
      </c>
    </row>
    <row r="308" spans="1:46" s="83" customFormat="1" x14ac:dyDescent="0.25">
      <c r="A308" s="82"/>
      <c r="B308" s="204" t="str">
        <f t="shared" si="240"/>
        <v>TFMEGSL900</v>
      </c>
      <c r="C308" s="204"/>
      <c r="D308" s="205"/>
      <c r="E308" s="204"/>
      <c r="F308" s="206"/>
      <c r="G308" s="207"/>
      <c r="H308" s="206"/>
      <c r="I308" s="208">
        <f>AF$10</f>
        <v>2050</v>
      </c>
      <c r="J308" s="209"/>
      <c r="K308" s="209"/>
      <c r="L308" s="210" t="s">
        <v>1065</v>
      </c>
      <c r="M308" s="209" t="s">
        <v>748</v>
      </c>
      <c r="N308" s="695">
        <f t="shared" ref="N308:AB308" si="248">N302*LOOKUP($AD296,$AH$4:$AQ$4,$AH$10:$AQ$10)</f>
        <v>0</v>
      </c>
      <c r="O308" s="695">
        <f t="shared" si="248"/>
        <v>0</v>
      </c>
      <c r="P308" s="695">
        <f t="shared" si="248"/>
        <v>0</v>
      </c>
      <c r="Q308" s="695">
        <f t="shared" si="248"/>
        <v>0</v>
      </c>
      <c r="R308" s="695">
        <f t="shared" si="248"/>
        <v>0</v>
      </c>
      <c r="S308" s="695">
        <f t="shared" si="248"/>
        <v>0</v>
      </c>
      <c r="T308" s="695">
        <f t="shared" si="248"/>
        <v>0</v>
      </c>
      <c r="U308" s="695">
        <f t="shared" si="248"/>
        <v>0</v>
      </c>
      <c r="V308" s="695">
        <f t="shared" si="248"/>
        <v>0</v>
      </c>
      <c r="W308" s="695">
        <f t="shared" si="248"/>
        <v>0</v>
      </c>
      <c r="X308" s="695">
        <f t="shared" si="248"/>
        <v>0</v>
      </c>
      <c r="Y308" s="695">
        <f t="shared" si="248"/>
        <v>0</v>
      </c>
      <c r="Z308" s="695">
        <f t="shared" si="248"/>
        <v>0</v>
      </c>
      <c r="AA308" s="695">
        <f t="shared" si="248"/>
        <v>0</v>
      </c>
      <c r="AB308" s="695">
        <f t="shared" si="248"/>
        <v>0</v>
      </c>
    </row>
    <row r="309" spans="1:46" s="83" customFormat="1" x14ac:dyDescent="0.25">
      <c r="A309" s="82"/>
      <c r="B309" s="178" t="str">
        <f>C309</f>
        <v>TFMEHYD900</v>
      </c>
      <c r="C309" s="178" t="s">
        <v>145</v>
      </c>
      <c r="D309" s="179" t="s">
        <v>839</v>
      </c>
      <c r="E309" s="180" t="s">
        <v>185</v>
      </c>
      <c r="F309" s="182"/>
      <c r="G309" s="181"/>
      <c r="H309" s="182"/>
      <c r="I309" s="183"/>
      <c r="J309" s="184"/>
      <c r="K309" s="184"/>
      <c r="L309" s="203" t="s">
        <v>1107</v>
      </c>
      <c r="M309" s="184" t="s">
        <v>1125</v>
      </c>
      <c r="N309" s="378">
        <v>1E-3</v>
      </c>
      <c r="O309" s="378">
        <f t="shared" ref="O309:AB309" si="249">$N309</f>
        <v>1E-3</v>
      </c>
      <c r="P309" s="378">
        <f t="shared" si="249"/>
        <v>1E-3</v>
      </c>
      <c r="Q309" s="378">
        <f t="shared" si="249"/>
        <v>1E-3</v>
      </c>
      <c r="R309" s="378">
        <f t="shared" si="249"/>
        <v>1E-3</v>
      </c>
      <c r="S309" s="378">
        <f t="shared" si="249"/>
        <v>1E-3</v>
      </c>
      <c r="T309" s="378">
        <f t="shared" si="249"/>
        <v>1E-3</v>
      </c>
      <c r="U309" s="378">
        <f t="shared" si="249"/>
        <v>1E-3</v>
      </c>
      <c r="V309" s="378">
        <f t="shared" si="249"/>
        <v>1E-3</v>
      </c>
      <c r="W309" s="378">
        <f t="shared" si="249"/>
        <v>1E-3</v>
      </c>
      <c r="X309" s="378">
        <f t="shared" si="249"/>
        <v>1E-3</v>
      </c>
      <c r="Y309" s="378">
        <f t="shared" si="249"/>
        <v>1E-3</v>
      </c>
      <c r="Z309" s="378">
        <f t="shared" si="249"/>
        <v>1E-3</v>
      </c>
      <c r="AA309" s="378">
        <f t="shared" si="249"/>
        <v>1E-3</v>
      </c>
      <c r="AB309" s="378">
        <f t="shared" si="249"/>
        <v>1E-3</v>
      </c>
      <c r="AD309" s="410" t="str">
        <f>MID(D309,14,3)</f>
        <v>Hyb</v>
      </c>
    </row>
    <row r="310" spans="1:46" s="83" customFormat="1" x14ac:dyDescent="0.25">
      <c r="A310" s="82"/>
      <c r="B310" s="178" t="str">
        <f>B309</f>
        <v>TFMEHYD900</v>
      </c>
      <c r="C310" s="178"/>
      <c r="D310" s="179"/>
      <c r="E310" s="407" t="s">
        <v>988</v>
      </c>
      <c r="F310" s="182"/>
      <c r="G310" s="181"/>
      <c r="H310" s="182"/>
      <c r="I310" s="183"/>
      <c r="J310" s="184" t="s">
        <v>1223</v>
      </c>
      <c r="K310" s="184"/>
      <c r="L310" s="203" t="s">
        <v>101</v>
      </c>
      <c r="M310" s="184"/>
      <c r="N310" s="390">
        <f t="shared" ref="N310:AB310" si="250">N$28</f>
        <v>0.15</v>
      </c>
      <c r="O310" s="390">
        <f t="shared" si="250"/>
        <v>0.15</v>
      </c>
      <c r="P310" s="390">
        <f t="shared" si="250"/>
        <v>0.15</v>
      </c>
      <c r="Q310" s="390">
        <f t="shared" si="250"/>
        <v>0.15</v>
      </c>
      <c r="R310" s="390">
        <f t="shared" si="250"/>
        <v>0.15</v>
      </c>
      <c r="S310" s="390">
        <f t="shared" si="250"/>
        <v>0.15</v>
      </c>
      <c r="T310" s="390">
        <f t="shared" si="250"/>
        <v>0.15</v>
      </c>
      <c r="U310" s="390">
        <f t="shared" si="250"/>
        <v>0.15</v>
      </c>
      <c r="V310" s="390">
        <f t="shared" si="250"/>
        <v>0.15</v>
      </c>
      <c r="W310" s="390">
        <f t="shared" si="250"/>
        <v>0.15</v>
      </c>
      <c r="X310" s="390">
        <f t="shared" si="250"/>
        <v>0.15</v>
      </c>
      <c r="Y310" s="390">
        <f t="shared" si="250"/>
        <v>0.15</v>
      </c>
      <c r="Z310" s="390">
        <f t="shared" si="250"/>
        <v>0.15</v>
      </c>
      <c r="AA310" s="390">
        <f t="shared" si="250"/>
        <v>0.15</v>
      </c>
      <c r="AB310" s="390">
        <f t="shared" si="250"/>
        <v>0.15</v>
      </c>
      <c r="AD310" s="66" t="str">
        <f>IF(COUNTIF($AH$4:$AQ$4,AD309)=1,"ok","MISSING")</f>
        <v>ok</v>
      </c>
      <c r="AF310" s="333"/>
    </row>
    <row r="311" spans="1:46" s="83" customFormat="1" x14ac:dyDescent="0.25">
      <c r="B311" s="178" t="str">
        <f t="shared" ref="B311:B321" si="251">B310</f>
        <v>TFMEHYD900</v>
      </c>
      <c r="C311" s="178"/>
      <c r="D311" s="179"/>
      <c r="E311" s="178"/>
      <c r="F311" s="182"/>
      <c r="G311" s="324" t="s">
        <v>643</v>
      </c>
      <c r="H311" s="182"/>
      <c r="I311" s="183"/>
      <c r="J311" s="184"/>
      <c r="K311" s="184"/>
      <c r="L311" s="184" t="s">
        <v>1126</v>
      </c>
      <c r="M311" s="184" t="s">
        <v>678</v>
      </c>
      <c r="N311" s="676">
        <f>T_CEFF!H261</f>
        <v>0.1134</v>
      </c>
      <c r="O311" s="676">
        <f>T_CEFF!I261</f>
        <v>0.1134</v>
      </c>
      <c r="P311" s="676">
        <f>T_CEFF!J261</f>
        <v>0.1134</v>
      </c>
      <c r="Q311" s="676">
        <f>T_CEFF!K261</f>
        <v>0.1134</v>
      </c>
      <c r="R311" s="676">
        <f>T_CEFF!L261</f>
        <v>0.1134</v>
      </c>
      <c r="S311" s="676">
        <f>T_CEFF!M261</f>
        <v>0.1134</v>
      </c>
      <c r="T311" s="676">
        <f>T_CEFF!N261</f>
        <v>0.1134</v>
      </c>
      <c r="U311" s="676">
        <f>T_CEFF!O261</f>
        <v>0.1134</v>
      </c>
      <c r="V311" s="676">
        <f>T_CEFF!P261</f>
        <v>0.1134</v>
      </c>
      <c r="W311" s="676">
        <f>T_CEFF!Q261</f>
        <v>0.1134</v>
      </c>
      <c r="X311" s="676">
        <f>T_CEFF!R261</f>
        <v>0.1134</v>
      </c>
      <c r="Y311" s="676">
        <f>T_CEFF!S261</f>
        <v>0.1134</v>
      </c>
      <c r="Z311" s="676">
        <f>T_CEFF!T261</f>
        <v>0.1134</v>
      </c>
      <c r="AA311" s="676">
        <f>T_CEFF!U261</f>
        <v>0.1134</v>
      </c>
      <c r="AB311" s="676">
        <f>T_CEFF!V261</f>
        <v>0.1134</v>
      </c>
    </row>
    <row r="312" spans="1:46" s="83" customFormat="1" x14ac:dyDescent="0.25">
      <c r="B312" s="178" t="str">
        <f t="shared" si="251"/>
        <v>TFMEHYD900</v>
      </c>
      <c r="C312" s="178"/>
      <c r="D312" s="179"/>
      <c r="E312" s="178"/>
      <c r="F312" s="182"/>
      <c r="G312" s="324" t="s">
        <v>646</v>
      </c>
      <c r="H312" s="182"/>
      <c r="I312" s="183"/>
      <c r="J312" s="184"/>
      <c r="K312" s="184"/>
      <c r="L312" s="184" t="s">
        <v>1126</v>
      </c>
      <c r="M312" s="184" t="s">
        <v>678</v>
      </c>
      <c r="N312" s="676">
        <f>T_CEFF!H262</f>
        <v>9.0719999999999995E-2</v>
      </c>
      <c r="O312" s="676">
        <f>T_CEFF!I262</f>
        <v>9.0719999999999995E-2</v>
      </c>
      <c r="P312" s="676">
        <f>T_CEFF!J262</f>
        <v>9.0719999999999995E-2</v>
      </c>
      <c r="Q312" s="676">
        <f>T_CEFF!K262</f>
        <v>9.0719999999999995E-2</v>
      </c>
      <c r="R312" s="676">
        <f>T_CEFF!L262</f>
        <v>9.0719999999999995E-2</v>
      </c>
      <c r="S312" s="676">
        <f>T_CEFF!M262</f>
        <v>9.0719999999999995E-2</v>
      </c>
      <c r="T312" s="676">
        <f>T_CEFF!N262</f>
        <v>9.0719999999999995E-2</v>
      </c>
      <c r="U312" s="676">
        <f>T_CEFF!O262</f>
        <v>9.0719999999999995E-2</v>
      </c>
      <c r="V312" s="676">
        <f>T_CEFF!P262</f>
        <v>9.0719999999999995E-2</v>
      </c>
      <c r="W312" s="676">
        <f>T_CEFF!Q262</f>
        <v>9.0719999999999995E-2</v>
      </c>
      <c r="X312" s="676">
        <f>T_CEFF!R262</f>
        <v>9.0719999999999995E-2</v>
      </c>
      <c r="Y312" s="676">
        <f>T_CEFF!S262</f>
        <v>9.0719999999999995E-2</v>
      </c>
      <c r="Z312" s="676">
        <f>T_CEFF!T262</f>
        <v>9.0719999999999995E-2</v>
      </c>
      <c r="AA312" s="676">
        <f>T_CEFF!U262</f>
        <v>9.0719999999999995E-2</v>
      </c>
      <c r="AB312" s="676">
        <f>T_CEFF!V262</f>
        <v>9.0719999999999995E-2</v>
      </c>
    </row>
    <row r="313" spans="1:46" s="83" customFormat="1" x14ac:dyDescent="0.25">
      <c r="B313" s="178" t="str">
        <f>B312</f>
        <v>TFMEHYD900</v>
      </c>
      <c r="C313" s="178"/>
      <c r="D313" s="179"/>
      <c r="E313" s="178"/>
      <c r="F313" s="182"/>
      <c r="G313" s="181"/>
      <c r="H313" s="182"/>
      <c r="I313" s="183"/>
      <c r="J313" s="184"/>
      <c r="K313" s="184" t="s">
        <v>749</v>
      </c>
      <c r="L313" s="184" t="s">
        <v>1128</v>
      </c>
      <c r="M313" s="184" t="s">
        <v>1175</v>
      </c>
      <c r="N313" s="388">
        <f>N$24</f>
        <v>0</v>
      </c>
      <c r="O313" s="388">
        <f t="shared" ref="O313:AB313" si="252">O$24</f>
        <v>0</v>
      </c>
      <c r="P313" s="388">
        <f t="shared" si="252"/>
        <v>0</v>
      </c>
      <c r="Q313" s="388">
        <f t="shared" si="252"/>
        <v>0</v>
      </c>
      <c r="R313" s="388">
        <f t="shared" si="252"/>
        <v>0</v>
      </c>
      <c r="S313" s="388">
        <f t="shared" si="252"/>
        <v>0</v>
      </c>
      <c r="T313" s="388">
        <f t="shared" si="252"/>
        <v>0</v>
      </c>
      <c r="U313" s="388">
        <f t="shared" si="252"/>
        <v>0</v>
      </c>
      <c r="V313" s="388">
        <f t="shared" si="252"/>
        <v>0</v>
      </c>
      <c r="W313" s="388">
        <f t="shared" si="252"/>
        <v>0</v>
      </c>
      <c r="X313" s="388">
        <f t="shared" si="252"/>
        <v>0</v>
      </c>
      <c r="Y313" s="388">
        <f t="shared" si="252"/>
        <v>0</v>
      </c>
      <c r="Z313" s="388">
        <f t="shared" si="252"/>
        <v>0</v>
      </c>
      <c r="AA313" s="388">
        <f t="shared" si="252"/>
        <v>0</v>
      </c>
      <c r="AB313" s="388">
        <f t="shared" si="252"/>
        <v>0</v>
      </c>
    </row>
    <row r="314" spans="1:46" s="83" customFormat="1" x14ac:dyDescent="0.25">
      <c r="B314" s="178" t="str">
        <f t="shared" si="251"/>
        <v>TFMEHYD900</v>
      </c>
      <c r="C314" s="178"/>
      <c r="D314" s="179"/>
      <c r="E314" s="178"/>
      <c r="F314" s="182"/>
      <c r="G314" s="181"/>
      <c r="H314" s="182"/>
      <c r="I314" s="183"/>
      <c r="J314" s="184"/>
      <c r="K314" s="184"/>
      <c r="L314" s="203" t="s">
        <v>1130</v>
      </c>
      <c r="M314" s="184" t="s">
        <v>1131</v>
      </c>
      <c r="N314" s="397">
        <f>LOOKUP($C$309, T_NCAP_AF!$C$170:$C$180, T_NCAP_AF!D$170:D$180)*(1+N228)</f>
        <v>0</v>
      </c>
      <c r="O314" s="397">
        <f>LOOKUP($C$309, T_NCAP_AF!$C$170:$C$180, T_NCAP_AF!E$170:E$180)*(1+O228)</f>
        <v>0</v>
      </c>
      <c r="P314" s="397">
        <f>LOOKUP($C$309, T_NCAP_AF!$C$170:$C$180, T_NCAP_AF!F$170:F$180)*(1+P228)</f>
        <v>0</v>
      </c>
      <c r="Q314" s="397">
        <f>LOOKUP($C$309, T_NCAP_AF!$C$170:$C$180, T_NCAP_AF!G$170:G$180)*(1+Q228)</f>
        <v>0</v>
      </c>
      <c r="R314" s="397">
        <f>LOOKUP($C$309, T_NCAP_AF!$C$170:$C$180, T_NCAP_AF!H$170:H$180)*(1+R228)</f>
        <v>0</v>
      </c>
      <c r="S314" s="397">
        <f>LOOKUP($C$309, T_NCAP_AF!$C$170:$C$180, T_NCAP_AF!I$170:I$180)*(1+S228)</f>
        <v>0</v>
      </c>
      <c r="T314" s="397">
        <f>LOOKUP($C$309, T_NCAP_AF!$C$170:$C$180, T_NCAP_AF!J$170:J$180)*(1+T228)</f>
        <v>0</v>
      </c>
      <c r="U314" s="397">
        <f>LOOKUP($C$309, T_NCAP_AF!$C$170:$C$180, T_NCAP_AF!K$170:K$180)*(1+U228)</f>
        <v>0</v>
      </c>
      <c r="V314" s="397">
        <f>LOOKUP($C$309, T_NCAP_AF!$C$170:$C$180, T_NCAP_AF!L$170:L$180)*(1+V228)</f>
        <v>0</v>
      </c>
      <c r="W314" s="397">
        <f>LOOKUP($C$309, T_NCAP_AF!$C$170:$C$180, T_NCAP_AF!M$170:M$180)*(1+W228)</f>
        <v>0</v>
      </c>
      <c r="X314" s="397">
        <f>LOOKUP($C$309, T_NCAP_AF!$C$170:$C$180, T_NCAP_AF!N$170:N$180)*(1+X228)</f>
        <v>0</v>
      </c>
      <c r="Y314" s="397">
        <f>LOOKUP($C$309, T_NCAP_AF!$C$170:$C$180, T_NCAP_AF!O$170:O$180)*(1+Y228)</f>
        <v>0</v>
      </c>
      <c r="Z314" s="397">
        <f>LOOKUP($C$309, T_NCAP_AF!$C$170:$C$180, T_NCAP_AF!P$170:P$180)*(1+Z228)</f>
        <v>0</v>
      </c>
      <c r="AA314" s="397">
        <f>LOOKUP($C$309, T_NCAP_AF!$C$170:$C$180, T_NCAP_AF!Q$170:Q$180)*(1+AA228)</f>
        <v>0</v>
      </c>
      <c r="AB314" s="397">
        <f>LOOKUP($C$309, T_NCAP_AF!$C$170:$C$180, T_NCAP_AF!R$170:R$180)*(1+AB228)</f>
        <v>0</v>
      </c>
      <c r="AE314" s="572">
        <f>SUM(AF314:AT314)</f>
        <v>0</v>
      </c>
      <c r="AF314" s="85">
        <f t="shared" ref="AF314:AT314" si="253">N313*N314*N315/1000</f>
        <v>0</v>
      </c>
      <c r="AG314" s="85">
        <f t="shared" si="253"/>
        <v>0</v>
      </c>
      <c r="AH314" s="85">
        <f t="shared" si="253"/>
        <v>0</v>
      </c>
      <c r="AI314" s="85">
        <f t="shared" si="253"/>
        <v>0</v>
      </c>
      <c r="AJ314" s="85">
        <f t="shared" si="253"/>
        <v>0</v>
      </c>
      <c r="AK314" s="85">
        <f t="shared" si="253"/>
        <v>0</v>
      </c>
      <c r="AL314" s="85">
        <f t="shared" si="253"/>
        <v>0</v>
      </c>
      <c r="AM314" s="85">
        <f t="shared" si="253"/>
        <v>0</v>
      </c>
      <c r="AN314" s="85">
        <f t="shared" si="253"/>
        <v>0</v>
      </c>
      <c r="AO314" s="85">
        <f t="shared" si="253"/>
        <v>0</v>
      </c>
      <c r="AP314" s="85">
        <f t="shared" si="253"/>
        <v>0</v>
      </c>
      <c r="AQ314" s="85">
        <f t="shared" si="253"/>
        <v>0</v>
      </c>
      <c r="AR314" s="85">
        <f t="shared" si="253"/>
        <v>0</v>
      </c>
      <c r="AS314" s="85">
        <f t="shared" si="253"/>
        <v>0</v>
      </c>
      <c r="AT314" s="85">
        <f t="shared" si="253"/>
        <v>0</v>
      </c>
    </row>
    <row r="315" spans="1:46" s="83" customFormat="1" x14ac:dyDescent="0.25">
      <c r="B315" s="178" t="str">
        <f>B314</f>
        <v>TFMEHYD900</v>
      </c>
      <c r="C315" s="178"/>
      <c r="D315" s="179"/>
      <c r="E315" s="178"/>
      <c r="F315" s="182"/>
      <c r="G315" s="181"/>
      <c r="H315" s="182"/>
      <c r="I315" s="183">
        <f>$M$3</f>
        <v>2019</v>
      </c>
      <c r="J315" s="184"/>
      <c r="K315" s="184"/>
      <c r="L315" s="203" t="s">
        <v>1065</v>
      </c>
      <c r="M315" s="184" t="s">
        <v>748</v>
      </c>
      <c r="N315" s="694">
        <f>LOOKUP($C$309, 'T_Stock_TOTAL_&amp;_City'!$C$106:$C$116, 'T_Stock_TOTAL_&amp;_City'!D$106:D$116)*(1+N229)</f>
        <v>0</v>
      </c>
      <c r="O315" s="694">
        <f>LOOKUP($C$309, 'T_Stock_TOTAL_&amp;_City'!$C$106:$C$116, 'T_Stock_TOTAL_&amp;_City'!E$106:E$116)*(1+O229)</f>
        <v>0</v>
      </c>
      <c r="P315" s="694">
        <f>LOOKUP($C$309, 'T_Stock_TOTAL_&amp;_City'!$C$106:$C$116, 'T_Stock_TOTAL_&amp;_City'!F$106:F$116)*(1+P229)</f>
        <v>0</v>
      </c>
      <c r="Q315" s="694">
        <f>LOOKUP($C$309, 'T_Stock_TOTAL_&amp;_City'!$C$106:$C$116, 'T_Stock_TOTAL_&amp;_City'!G$106:G$116)*(1+Q229)</f>
        <v>0</v>
      </c>
      <c r="R315" s="694">
        <f>LOOKUP($C$309, 'T_Stock_TOTAL_&amp;_City'!$C$106:$C$116, 'T_Stock_TOTAL_&amp;_City'!H$106:H$116)*(1+R229)</f>
        <v>0</v>
      </c>
      <c r="S315" s="694">
        <f>LOOKUP($C$309, 'T_Stock_TOTAL_&amp;_City'!$C$106:$C$116, 'T_Stock_TOTAL_&amp;_City'!I$106:I$116)*(1+S229)</f>
        <v>0</v>
      </c>
      <c r="T315" s="694">
        <f>LOOKUP($C$309, 'T_Stock_TOTAL_&amp;_City'!$C$106:$C$116, 'T_Stock_TOTAL_&amp;_City'!J$106:J$116)*(1+T229)</f>
        <v>0</v>
      </c>
      <c r="U315" s="694">
        <f>LOOKUP($C$309, 'T_Stock_TOTAL_&amp;_City'!$C$106:$C$116, 'T_Stock_TOTAL_&amp;_City'!K$106:K$116)*(1+U229)</f>
        <v>0</v>
      </c>
      <c r="V315" s="694">
        <f>LOOKUP($C$309, 'T_Stock_TOTAL_&amp;_City'!$C$106:$C$116, 'T_Stock_TOTAL_&amp;_City'!L$106:L$116)*(1+V229)</f>
        <v>0</v>
      </c>
      <c r="W315" s="694">
        <f>LOOKUP($C$309, 'T_Stock_TOTAL_&amp;_City'!$C$106:$C$116, 'T_Stock_TOTAL_&amp;_City'!M$106:M$116)*(1+W229)</f>
        <v>0</v>
      </c>
      <c r="X315" s="694">
        <f>LOOKUP($C$309, 'T_Stock_TOTAL_&amp;_City'!$C$106:$C$116, 'T_Stock_TOTAL_&amp;_City'!N$106:N$116)*(1+X229)</f>
        <v>0</v>
      </c>
      <c r="Y315" s="694">
        <f>LOOKUP($C$309, 'T_Stock_TOTAL_&amp;_City'!$C$106:$C$116, 'T_Stock_TOTAL_&amp;_City'!O$106:O$116)*(1+Y229)</f>
        <v>0</v>
      </c>
      <c r="Z315" s="694">
        <f>LOOKUP($C$309, 'T_Stock_TOTAL_&amp;_City'!$C$106:$C$116, 'T_Stock_TOTAL_&amp;_City'!P$106:P$116)*(1+Z229)</f>
        <v>0</v>
      </c>
      <c r="AA315" s="694">
        <f>LOOKUP($C$309, 'T_Stock_TOTAL_&amp;_City'!$C$106:$C$116, 'T_Stock_TOTAL_&amp;_City'!Q$106:Q$116)*(1+AA229)</f>
        <v>0</v>
      </c>
      <c r="AB315" s="694">
        <f>LOOKUP($C$309, 'T_Stock_TOTAL_&amp;_City'!$C$106:$C$116, 'T_Stock_TOTAL_&amp;_City'!R$106:R$116)*(1+AB229)</f>
        <v>0</v>
      </c>
    </row>
    <row r="316" spans="1:46" s="83" customFormat="1" x14ac:dyDescent="0.25">
      <c r="B316" s="178" t="str">
        <f t="shared" si="251"/>
        <v>TFMEHYD900</v>
      </c>
      <c r="C316" s="178"/>
      <c r="D316" s="179"/>
      <c r="E316" s="178"/>
      <c r="F316" s="182"/>
      <c r="G316" s="181"/>
      <c r="H316" s="182"/>
      <c r="I316" s="183">
        <f>AF$5</f>
        <v>2016</v>
      </c>
      <c r="J316" s="184"/>
      <c r="K316" s="184"/>
      <c r="L316" s="203" t="s">
        <v>1065</v>
      </c>
      <c r="M316" s="184" t="s">
        <v>748</v>
      </c>
      <c r="N316" s="694">
        <f t="shared" ref="N316:AB316" si="254">N315*LOOKUP($AD309,$AH$4:$AQ$4,$AH$5:$AQ$5)</f>
        <v>0</v>
      </c>
      <c r="O316" s="694">
        <f t="shared" si="254"/>
        <v>0</v>
      </c>
      <c r="P316" s="694">
        <f t="shared" si="254"/>
        <v>0</v>
      </c>
      <c r="Q316" s="694">
        <f t="shared" si="254"/>
        <v>0</v>
      </c>
      <c r="R316" s="694">
        <f t="shared" si="254"/>
        <v>0</v>
      </c>
      <c r="S316" s="694">
        <f t="shared" si="254"/>
        <v>0</v>
      </c>
      <c r="T316" s="694">
        <f t="shared" si="254"/>
        <v>0</v>
      </c>
      <c r="U316" s="694">
        <f t="shared" si="254"/>
        <v>0</v>
      </c>
      <c r="V316" s="694">
        <f t="shared" si="254"/>
        <v>0</v>
      </c>
      <c r="W316" s="694">
        <f t="shared" si="254"/>
        <v>0</v>
      </c>
      <c r="X316" s="694">
        <f t="shared" si="254"/>
        <v>0</v>
      </c>
      <c r="Y316" s="694">
        <f t="shared" si="254"/>
        <v>0</v>
      </c>
      <c r="Z316" s="694">
        <f t="shared" si="254"/>
        <v>0</v>
      </c>
      <c r="AA316" s="694">
        <f t="shared" si="254"/>
        <v>0</v>
      </c>
      <c r="AB316" s="694">
        <f t="shared" si="254"/>
        <v>0</v>
      </c>
    </row>
    <row r="317" spans="1:46" s="83" customFormat="1" x14ac:dyDescent="0.25">
      <c r="B317" s="178" t="str">
        <f t="shared" si="251"/>
        <v>TFMEHYD900</v>
      </c>
      <c r="C317" s="178"/>
      <c r="D317" s="179"/>
      <c r="E317" s="178"/>
      <c r="F317" s="182"/>
      <c r="G317" s="181"/>
      <c r="H317" s="182"/>
      <c r="I317" s="183">
        <f>AF$6</f>
        <v>2020</v>
      </c>
      <c r="J317" s="184"/>
      <c r="K317" s="184"/>
      <c r="L317" s="203" t="s">
        <v>1065</v>
      </c>
      <c r="M317" s="184" t="s">
        <v>748</v>
      </c>
      <c r="N317" s="694">
        <f t="shared" ref="N317:AB317" si="255">N315*LOOKUP($AD309,$AH$4:$AQ$4,$AH$6:$AQ$6)</f>
        <v>0</v>
      </c>
      <c r="O317" s="694">
        <f t="shared" si="255"/>
        <v>0</v>
      </c>
      <c r="P317" s="694">
        <f t="shared" si="255"/>
        <v>0</v>
      </c>
      <c r="Q317" s="694">
        <f t="shared" si="255"/>
        <v>0</v>
      </c>
      <c r="R317" s="694">
        <f t="shared" si="255"/>
        <v>0</v>
      </c>
      <c r="S317" s="694">
        <f t="shared" si="255"/>
        <v>0</v>
      </c>
      <c r="T317" s="694">
        <f t="shared" si="255"/>
        <v>0</v>
      </c>
      <c r="U317" s="694">
        <f t="shared" si="255"/>
        <v>0</v>
      </c>
      <c r="V317" s="694">
        <f t="shared" si="255"/>
        <v>0</v>
      </c>
      <c r="W317" s="694">
        <f t="shared" si="255"/>
        <v>0</v>
      </c>
      <c r="X317" s="694">
        <f t="shared" si="255"/>
        <v>0</v>
      </c>
      <c r="Y317" s="694">
        <f t="shared" si="255"/>
        <v>0</v>
      </c>
      <c r="Z317" s="694">
        <f t="shared" si="255"/>
        <v>0</v>
      </c>
      <c r="AA317" s="694">
        <f t="shared" si="255"/>
        <v>0</v>
      </c>
      <c r="AB317" s="694">
        <f t="shared" si="255"/>
        <v>0</v>
      </c>
    </row>
    <row r="318" spans="1:46" s="83" customFormat="1" x14ac:dyDescent="0.25">
      <c r="B318" s="178" t="str">
        <f t="shared" si="251"/>
        <v>TFMEHYD900</v>
      </c>
      <c r="C318" s="178"/>
      <c r="D318" s="179"/>
      <c r="E318" s="178"/>
      <c r="F318" s="182"/>
      <c r="G318" s="181"/>
      <c r="H318" s="182"/>
      <c r="I318" s="183">
        <f>AF$7</f>
        <v>2025</v>
      </c>
      <c r="J318" s="184"/>
      <c r="K318" s="184"/>
      <c r="L318" s="203" t="s">
        <v>1065</v>
      </c>
      <c r="M318" s="184" t="s">
        <v>748</v>
      </c>
      <c r="N318" s="694">
        <f t="shared" ref="N318:AB318" si="256">N315*LOOKUP($AD309,$AH$4:$AQ$4,$AH$7:$AQ$7)</f>
        <v>0</v>
      </c>
      <c r="O318" s="694">
        <f t="shared" si="256"/>
        <v>0</v>
      </c>
      <c r="P318" s="694">
        <f t="shared" si="256"/>
        <v>0</v>
      </c>
      <c r="Q318" s="694">
        <f t="shared" si="256"/>
        <v>0</v>
      </c>
      <c r="R318" s="694">
        <f t="shared" si="256"/>
        <v>0</v>
      </c>
      <c r="S318" s="694">
        <f t="shared" si="256"/>
        <v>0</v>
      </c>
      <c r="T318" s="694">
        <f t="shared" si="256"/>
        <v>0</v>
      </c>
      <c r="U318" s="694">
        <f t="shared" si="256"/>
        <v>0</v>
      </c>
      <c r="V318" s="694">
        <f t="shared" si="256"/>
        <v>0</v>
      </c>
      <c r="W318" s="694">
        <f t="shared" si="256"/>
        <v>0</v>
      </c>
      <c r="X318" s="694">
        <f t="shared" si="256"/>
        <v>0</v>
      </c>
      <c r="Y318" s="694">
        <f t="shared" si="256"/>
        <v>0</v>
      </c>
      <c r="Z318" s="694">
        <f t="shared" si="256"/>
        <v>0</v>
      </c>
      <c r="AA318" s="694">
        <f t="shared" si="256"/>
        <v>0</v>
      </c>
      <c r="AB318" s="694">
        <f t="shared" si="256"/>
        <v>0</v>
      </c>
    </row>
    <row r="319" spans="1:46" s="83" customFormat="1" x14ac:dyDescent="0.25">
      <c r="B319" s="178" t="str">
        <f t="shared" si="251"/>
        <v>TFMEHYD900</v>
      </c>
      <c r="C319" s="178"/>
      <c r="D319" s="179"/>
      <c r="E319" s="178"/>
      <c r="F319" s="182"/>
      <c r="G319" s="181"/>
      <c r="H319" s="182"/>
      <c r="I319" s="183">
        <f>AF$8</f>
        <v>2030</v>
      </c>
      <c r="J319" s="184"/>
      <c r="K319" s="184"/>
      <c r="L319" s="203" t="s">
        <v>1065</v>
      </c>
      <c r="M319" s="184" t="s">
        <v>748</v>
      </c>
      <c r="N319" s="694">
        <f t="shared" ref="N319:AB319" si="257">N315*LOOKUP($AD309,$AH$4:$AQ$4,$AH$8:$AQ$8)</f>
        <v>0</v>
      </c>
      <c r="O319" s="694">
        <f t="shared" si="257"/>
        <v>0</v>
      </c>
      <c r="P319" s="694">
        <f t="shared" si="257"/>
        <v>0</v>
      </c>
      <c r="Q319" s="694">
        <f t="shared" si="257"/>
        <v>0</v>
      </c>
      <c r="R319" s="694">
        <f t="shared" si="257"/>
        <v>0</v>
      </c>
      <c r="S319" s="694">
        <f t="shared" si="257"/>
        <v>0</v>
      </c>
      <c r="T319" s="694">
        <f t="shared" si="257"/>
        <v>0</v>
      </c>
      <c r="U319" s="694">
        <f t="shared" si="257"/>
        <v>0</v>
      </c>
      <c r="V319" s="694">
        <f t="shared" si="257"/>
        <v>0</v>
      </c>
      <c r="W319" s="694">
        <f t="shared" si="257"/>
        <v>0</v>
      </c>
      <c r="X319" s="694">
        <f t="shared" si="257"/>
        <v>0</v>
      </c>
      <c r="Y319" s="694">
        <f t="shared" si="257"/>
        <v>0</v>
      </c>
      <c r="Z319" s="694">
        <f t="shared" si="257"/>
        <v>0</v>
      </c>
      <c r="AA319" s="694">
        <f t="shared" si="257"/>
        <v>0</v>
      </c>
      <c r="AB319" s="694">
        <f t="shared" si="257"/>
        <v>0</v>
      </c>
    </row>
    <row r="320" spans="1:46" s="83" customFormat="1" x14ac:dyDescent="0.25">
      <c r="B320" s="178" t="str">
        <f t="shared" si="251"/>
        <v>TFMEHYD900</v>
      </c>
      <c r="C320" s="178"/>
      <c r="D320" s="179"/>
      <c r="E320" s="178"/>
      <c r="F320" s="182"/>
      <c r="G320" s="181"/>
      <c r="H320" s="182"/>
      <c r="I320" s="183">
        <f>AF$9</f>
        <v>2040</v>
      </c>
      <c r="J320" s="184"/>
      <c r="K320" s="184"/>
      <c r="L320" s="203" t="s">
        <v>1065</v>
      </c>
      <c r="M320" s="184" t="s">
        <v>748</v>
      </c>
      <c r="N320" s="694">
        <f t="shared" ref="N320:AB320" si="258">N315*LOOKUP($AD309,$AH$4:$AQ$4,$AH$9:$AQ$9)</f>
        <v>0</v>
      </c>
      <c r="O320" s="694">
        <f t="shared" si="258"/>
        <v>0</v>
      </c>
      <c r="P320" s="694">
        <f t="shared" si="258"/>
        <v>0</v>
      </c>
      <c r="Q320" s="694">
        <f t="shared" si="258"/>
        <v>0</v>
      </c>
      <c r="R320" s="694">
        <f t="shared" si="258"/>
        <v>0</v>
      </c>
      <c r="S320" s="694">
        <f t="shared" si="258"/>
        <v>0</v>
      </c>
      <c r="T320" s="694">
        <f t="shared" si="258"/>
        <v>0</v>
      </c>
      <c r="U320" s="694">
        <f t="shared" si="258"/>
        <v>0</v>
      </c>
      <c r="V320" s="694">
        <f t="shared" si="258"/>
        <v>0</v>
      </c>
      <c r="W320" s="694">
        <f t="shared" si="258"/>
        <v>0</v>
      </c>
      <c r="X320" s="694">
        <f t="shared" si="258"/>
        <v>0</v>
      </c>
      <c r="Y320" s="694">
        <f t="shared" si="258"/>
        <v>0</v>
      </c>
      <c r="Z320" s="694">
        <f t="shared" si="258"/>
        <v>0</v>
      </c>
      <c r="AA320" s="694">
        <f t="shared" si="258"/>
        <v>0</v>
      </c>
      <c r="AB320" s="694">
        <f t="shared" si="258"/>
        <v>0</v>
      </c>
    </row>
    <row r="321" spans="1:52" s="83" customFormat="1" x14ac:dyDescent="0.25">
      <c r="B321" s="204" t="str">
        <f t="shared" si="251"/>
        <v>TFMEHYD900</v>
      </c>
      <c r="C321" s="204"/>
      <c r="D321" s="205"/>
      <c r="E321" s="204"/>
      <c r="F321" s="206"/>
      <c r="G321" s="207"/>
      <c r="H321" s="206"/>
      <c r="I321" s="208">
        <f>AF$10</f>
        <v>2050</v>
      </c>
      <c r="J321" s="209"/>
      <c r="K321" s="209"/>
      <c r="L321" s="210" t="s">
        <v>1065</v>
      </c>
      <c r="M321" s="209" t="s">
        <v>748</v>
      </c>
      <c r="N321" s="695">
        <f t="shared" ref="N321:AB321" si="259">N315*LOOKUP($AD309,$AH$4:$AQ$4,$AH$10:$AQ$10)</f>
        <v>0</v>
      </c>
      <c r="O321" s="695">
        <f t="shared" si="259"/>
        <v>0</v>
      </c>
      <c r="P321" s="695">
        <f t="shared" si="259"/>
        <v>0</v>
      </c>
      <c r="Q321" s="695">
        <f t="shared" si="259"/>
        <v>0</v>
      </c>
      <c r="R321" s="695">
        <f t="shared" si="259"/>
        <v>0</v>
      </c>
      <c r="S321" s="695">
        <f t="shared" si="259"/>
        <v>0</v>
      </c>
      <c r="T321" s="695">
        <f t="shared" si="259"/>
        <v>0</v>
      </c>
      <c r="U321" s="695">
        <f t="shared" si="259"/>
        <v>0</v>
      </c>
      <c r="V321" s="695">
        <f t="shared" si="259"/>
        <v>0</v>
      </c>
      <c r="W321" s="695">
        <f t="shared" si="259"/>
        <v>0</v>
      </c>
      <c r="X321" s="695">
        <f t="shared" si="259"/>
        <v>0</v>
      </c>
      <c r="Y321" s="695">
        <f t="shared" si="259"/>
        <v>0</v>
      </c>
      <c r="Z321" s="695">
        <f t="shared" si="259"/>
        <v>0</v>
      </c>
      <c r="AA321" s="695">
        <f t="shared" si="259"/>
        <v>0</v>
      </c>
      <c r="AB321" s="695">
        <f t="shared" si="259"/>
        <v>0</v>
      </c>
    </row>
    <row r="322" spans="1:52" s="83" customFormat="1" x14ac:dyDescent="0.25">
      <c r="A322" s="82"/>
      <c r="B322" s="178" t="str">
        <f>C322</f>
        <v>TFMEHYG900</v>
      </c>
      <c r="C322" s="178" t="s">
        <v>146</v>
      </c>
      <c r="D322" s="179" t="s">
        <v>841</v>
      </c>
      <c r="E322" s="407" t="s">
        <v>1014</v>
      </c>
      <c r="F322" s="182"/>
      <c r="G322" s="181"/>
      <c r="H322" s="182"/>
      <c r="I322" s="183"/>
      <c r="J322" s="184"/>
      <c r="K322" s="184"/>
      <c r="L322" s="203" t="s">
        <v>1107</v>
      </c>
      <c r="M322" s="184" t="s">
        <v>1125</v>
      </c>
      <c r="N322" s="378">
        <v>1E-3</v>
      </c>
      <c r="O322" s="378">
        <f t="shared" ref="O322:AB322" si="260">$N322</f>
        <v>1E-3</v>
      </c>
      <c r="P322" s="378">
        <f t="shared" si="260"/>
        <v>1E-3</v>
      </c>
      <c r="Q322" s="378">
        <f t="shared" si="260"/>
        <v>1E-3</v>
      </c>
      <c r="R322" s="378">
        <f t="shared" si="260"/>
        <v>1E-3</v>
      </c>
      <c r="S322" s="378">
        <f t="shared" si="260"/>
        <v>1E-3</v>
      </c>
      <c r="T322" s="378">
        <f t="shared" si="260"/>
        <v>1E-3</v>
      </c>
      <c r="U322" s="378">
        <f t="shared" si="260"/>
        <v>1E-3</v>
      </c>
      <c r="V322" s="378">
        <f t="shared" si="260"/>
        <v>1E-3</v>
      </c>
      <c r="W322" s="378">
        <f t="shared" si="260"/>
        <v>1E-3</v>
      </c>
      <c r="X322" s="378">
        <f t="shared" si="260"/>
        <v>1E-3</v>
      </c>
      <c r="Y322" s="378">
        <f t="shared" si="260"/>
        <v>1E-3</v>
      </c>
      <c r="Z322" s="378">
        <f t="shared" si="260"/>
        <v>1E-3</v>
      </c>
      <c r="AA322" s="378">
        <f t="shared" si="260"/>
        <v>1E-3</v>
      </c>
      <c r="AB322" s="378">
        <f t="shared" si="260"/>
        <v>1E-3</v>
      </c>
      <c r="AD322" s="410" t="str">
        <f>MID(D322,14,3)</f>
        <v>Hyb</v>
      </c>
    </row>
    <row r="323" spans="1:52" s="83" customFormat="1" x14ac:dyDescent="0.25">
      <c r="A323" s="82"/>
      <c r="B323" s="178" t="str">
        <f>B322</f>
        <v>TFMEHYG900</v>
      </c>
      <c r="C323" s="178"/>
      <c r="D323" s="179"/>
      <c r="E323" s="407" t="s">
        <v>1012</v>
      </c>
      <c r="F323" s="182"/>
      <c r="G323" s="181"/>
      <c r="H323" s="182"/>
      <c r="I323" s="183"/>
      <c r="J323" s="184" t="s">
        <v>1157</v>
      </c>
      <c r="K323" s="184"/>
      <c r="L323" s="203" t="s">
        <v>101</v>
      </c>
      <c r="M323" s="184"/>
      <c r="N323" s="390">
        <f>N$29</f>
        <v>0.03</v>
      </c>
      <c r="O323" s="390">
        <f t="shared" ref="O323:AB323" si="261">O$29</f>
        <v>0.03</v>
      </c>
      <c r="P323" s="390">
        <f t="shared" si="261"/>
        <v>0.03</v>
      </c>
      <c r="Q323" s="390">
        <f t="shared" si="261"/>
        <v>0.03</v>
      </c>
      <c r="R323" s="390">
        <f t="shared" si="261"/>
        <v>0.03</v>
      </c>
      <c r="S323" s="390">
        <f t="shared" si="261"/>
        <v>0.03</v>
      </c>
      <c r="T323" s="390">
        <f t="shared" si="261"/>
        <v>0.03</v>
      </c>
      <c r="U323" s="390">
        <f t="shared" si="261"/>
        <v>0.03</v>
      </c>
      <c r="V323" s="390">
        <f t="shared" si="261"/>
        <v>0.03</v>
      </c>
      <c r="W323" s="390">
        <f t="shared" si="261"/>
        <v>0.03</v>
      </c>
      <c r="X323" s="390">
        <f t="shared" si="261"/>
        <v>0.03</v>
      </c>
      <c r="Y323" s="390">
        <f t="shared" si="261"/>
        <v>0.03</v>
      </c>
      <c r="Z323" s="390">
        <f t="shared" si="261"/>
        <v>0.03</v>
      </c>
      <c r="AA323" s="390">
        <f t="shared" si="261"/>
        <v>0.03</v>
      </c>
      <c r="AB323" s="390">
        <f t="shared" si="261"/>
        <v>0.03</v>
      </c>
      <c r="AD323" s="66" t="str">
        <f>IF(COUNTIF($AH$4:$AQ$4,AD322)=1,"ok","MISSING")</f>
        <v>ok</v>
      </c>
      <c r="AF323" s="333"/>
    </row>
    <row r="324" spans="1:52" s="83" customFormat="1" x14ac:dyDescent="0.25">
      <c r="B324" s="178" t="str">
        <f t="shared" ref="B324:B334" si="262">B323</f>
        <v>TFMEHYG900</v>
      </c>
      <c r="C324" s="178"/>
      <c r="D324" s="179"/>
      <c r="E324" s="178"/>
      <c r="F324" s="182"/>
      <c r="G324" s="324" t="s">
        <v>643</v>
      </c>
      <c r="H324" s="182"/>
      <c r="I324" s="183"/>
      <c r="J324" s="184"/>
      <c r="K324" s="184"/>
      <c r="L324" s="184" t="s">
        <v>1126</v>
      </c>
      <c r="M324" s="184" t="s">
        <v>678</v>
      </c>
      <c r="N324" s="676">
        <f>T_CEFF!H263</f>
        <v>0.11579</v>
      </c>
      <c r="O324" s="676">
        <f>T_CEFF!I263</f>
        <v>0.11579</v>
      </c>
      <c r="P324" s="676">
        <f>T_CEFF!J263</f>
        <v>0.11579</v>
      </c>
      <c r="Q324" s="676">
        <f>T_CEFF!K263</f>
        <v>0.11579</v>
      </c>
      <c r="R324" s="676">
        <f>T_CEFF!L263</f>
        <v>0.11579</v>
      </c>
      <c r="S324" s="676">
        <f>T_CEFF!M263</f>
        <v>0.11579</v>
      </c>
      <c r="T324" s="676">
        <f>T_CEFF!N263</f>
        <v>0.11579</v>
      </c>
      <c r="U324" s="676">
        <f>T_CEFF!O263</f>
        <v>0.11579</v>
      </c>
      <c r="V324" s="676">
        <f>T_CEFF!P263</f>
        <v>0.11579</v>
      </c>
      <c r="W324" s="676">
        <f>T_CEFF!Q263</f>
        <v>0.11579</v>
      </c>
      <c r="X324" s="676">
        <f>T_CEFF!R263</f>
        <v>0.11579</v>
      </c>
      <c r="Y324" s="676">
        <f>T_CEFF!S263</f>
        <v>0.11579</v>
      </c>
      <c r="Z324" s="676">
        <f>T_CEFF!T263</f>
        <v>0.11579</v>
      </c>
      <c r="AA324" s="676">
        <f>T_CEFF!U263</f>
        <v>0.11579</v>
      </c>
      <c r="AB324" s="676">
        <f>T_CEFF!V263</f>
        <v>0.11579</v>
      </c>
    </row>
    <row r="325" spans="1:52" s="83" customFormat="1" x14ac:dyDescent="0.25">
      <c r="B325" s="178" t="str">
        <f t="shared" si="262"/>
        <v>TFMEHYG900</v>
      </c>
      <c r="C325" s="178"/>
      <c r="D325" s="179"/>
      <c r="E325" s="178"/>
      <c r="F325" s="182"/>
      <c r="G325" s="324" t="s">
        <v>646</v>
      </c>
      <c r="H325" s="182"/>
      <c r="I325" s="183"/>
      <c r="J325" s="184"/>
      <c r="K325" s="184"/>
      <c r="L325" s="184" t="s">
        <v>1126</v>
      </c>
      <c r="M325" s="184" t="s">
        <v>678</v>
      </c>
      <c r="N325" s="676">
        <f>T_CEFF!H264</f>
        <v>9.2630000000000004E-2</v>
      </c>
      <c r="O325" s="676">
        <f>T_CEFF!I264</f>
        <v>9.2630000000000004E-2</v>
      </c>
      <c r="P325" s="676">
        <f>T_CEFF!J264</f>
        <v>9.2630000000000004E-2</v>
      </c>
      <c r="Q325" s="676">
        <f>T_CEFF!K264</f>
        <v>9.2630000000000004E-2</v>
      </c>
      <c r="R325" s="676">
        <f>T_CEFF!L264</f>
        <v>9.2630000000000004E-2</v>
      </c>
      <c r="S325" s="676">
        <f>T_CEFF!M264</f>
        <v>9.2630000000000004E-2</v>
      </c>
      <c r="T325" s="676">
        <f>T_CEFF!N264</f>
        <v>9.2630000000000004E-2</v>
      </c>
      <c r="U325" s="676">
        <f>T_CEFF!O264</f>
        <v>9.2630000000000004E-2</v>
      </c>
      <c r="V325" s="676">
        <f>T_CEFF!P264</f>
        <v>9.2630000000000004E-2</v>
      </c>
      <c r="W325" s="676">
        <f>T_CEFF!Q264</f>
        <v>9.2630000000000004E-2</v>
      </c>
      <c r="X325" s="676">
        <f>T_CEFF!R264</f>
        <v>9.2630000000000004E-2</v>
      </c>
      <c r="Y325" s="676">
        <f>T_CEFF!S264</f>
        <v>9.2630000000000004E-2</v>
      </c>
      <c r="Z325" s="676">
        <f>T_CEFF!T264</f>
        <v>9.2630000000000004E-2</v>
      </c>
      <c r="AA325" s="676">
        <f>T_CEFF!U264</f>
        <v>9.2630000000000004E-2</v>
      </c>
      <c r="AB325" s="676">
        <f>T_CEFF!V264</f>
        <v>9.2630000000000004E-2</v>
      </c>
    </row>
    <row r="326" spans="1:52" s="83" customFormat="1" x14ac:dyDescent="0.25">
      <c r="B326" s="178" t="str">
        <f>B325</f>
        <v>TFMEHYG900</v>
      </c>
      <c r="C326" s="178"/>
      <c r="D326" s="179"/>
      <c r="E326" s="178"/>
      <c r="F326" s="182"/>
      <c r="G326" s="181"/>
      <c r="H326" s="182"/>
      <c r="I326" s="183"/>
      <c r="J326" s="184"/>
      <c r="K326" s="184" t="s">
        <v>749</v>
      </c>
      <c r="L326" s="184" t="s">
        <v>1128</v>
      </c>
      <c r="M326" s="184" t="s">
        <v>1175</v>
      </c>
      <c r="N326" s="388">
        <f>N$24</f>
        <v>0</v>
      </c>
      <c r="O326" s="388">
        <f t="shared" ref="O326:AB326" si="263">O$24</f>
        <v>0</v>
      </c>
      <c r="P326" s="388">
        <f t="shared" si="263"/>
        <v>0</v>
      </c>
      <c r="Q326" s="388">
        <f t="shared" si="263"/>
        <v>0</v>
      </c>
      <c r="R326" s="388">
        <f t="shared" si="263"/>
        <v>0</v>
      </c>
      <c r="S326" s="388">
        <f t="shared" si="263"/>
        <v>0</v>
      </c>
      <c r="T326" s="388">
        <f t="shared" si="263"/>
        <v>0</v>
      </c>
      <c r="U326" s="388">
        <f t="shared" si="263"/>
        <v>0</v>
      </c>
      <c r="V326" s="388">
        <f t="shared" si="263"/>
        <v>0</v>
      </c>
      <c r="W326" s="388">
        <f t="shared" si="263"/>
        <v>0</v>
      </c>
      <c r="X326" s="388">
        <f t="shared" si="263"/>
        <v>0</v>
      </c>
      <c r="Y326" s="388">
        <f t="shared" si="263"/>
        <v>0</v>
      </c>
      <c r="Z326" s="388">
        <f t="shared" si="263"/>
        <v>0</v>
      </c>
      <c r="AA326" s="388">
        <f t="shared" si="263"/>
        <v>0</v>
      </c>
      <c r="AB326" s="388">
        <f t="shared" si="263"/>
        <v>0</v>
      </c>
    </row>
    <row r="327" spans="1:52" s="83" customFormat="1" x14ac:dyDescent="0.25">
      <c r="B327" s="178" t="str">
        <f t="shared" si="262"/>
        <v>TFMEHYG900</v>
      </c>
      <c r="C327" s="178"/>
      <c r="D327" s="179"/>
      <c r="E327" s="178"/>
      <c r="F327" s="182"/>
      <c r="G327" s="181"/>
      <c r="H327" s="182"/>
      <c r="I327" s="183"/>
      <c r="J327" s="184"/>
      <c r="K327" s="184"/>
      <c r="L327" s="203" t="s">
        <v>1130</v>
      </c>
      <c r="M327" s="184" t="s">
        <v>1131</v>
      </c>
      <c r="N327" s="397">
        <f>LOOKUP($C$322, T_NCAP_AF!$C$170:$C$180, T_NCAP_AF!D$170:D$180)*(1+N228)</f>
        <v>0</v>
      </c>
      <c r="O327" s="397">
        <f>LOOKUP($C$322, T_NCAP_AF!$C$170:$C$180, T_NCAP_AF!E$170:E$180)*(1+O228)</f>
        <v>0</v>
      </c>
      <c r="P327" s="397">
        <f>LOOKUP($C$322, T_NCAP_AF!$C$170:$C$180, T_NCAP_AF!F$170:F$180)*(1+P228)</f>
        <v>0</v>
      </c>
      <c r="Q327" s="397">
        <f>LOOKUP($C$322, T_NCAP_AF!$C$170:$C$180, T_NCAP_AF!G$170:G$180)*(1+Q228)</f>
        <v>0</v>
      </c>
      <c r="R327" s="397">
        <f>LOOKUP($C$322, T_NCAP_AF!$C$170:$C$180, T_NCAP_AF!H$170:H$180)*(1+R228)</f>
        <v>0</v>
      </c>
      <c r="S327" s="397">
        <f>LOOKUP($C$322, T_NCAP_AF!$C$170:$C$180, T_NCAP_AF!I$170:I$180)*(1+S228)</f>
        <v>0</v>
      </c>
      <c r="T327" s="397">
        <f>LOOKUP($C$322, T_NCAP_AF!$C$170:$C$180, T_NCAP_AF!J$170:J$180)*(1+T228)</f>
        <v>0</v>
      </c>
      <c r="U327" s="397">
        <f>LOOKUP($C$322, T_NCAP_AF!$C$170:$C$180, T_NCAP_AF!K$170:K$180)*(1+U228)</f>
        <v>0</v>
      </c>
      <c r="V327" s="397">
        <f>LOOKUP($C$322, T_NCAP_AF!$C$170:$C$180, T_NCAP_AF!L$170:L$180)*(1+V228)</f>
        <v>0</v>
      </c>
      <c r="W327" s="397">
        <f>LOOKUP($C$322, T_NCAP_AF!$C$170:$C$180, T_NCAP_AF!M$170:M$180)*(1+W228)</f>
        <v>0</v>
      </c>
      <c r="X327" s="397">
        <f>LOOKUP($C$322, T_NCAP_AF!$C$170:$C$180, T_NCAP_AF!N$170:N$180)*(1+X228)</f>
        <v>0</v>
      </c>
      <c r="Y327" s="397">
        <f>LOOKUP($C$322, T_NCAP_AF!$C$170:$C$180, T_NCAP_AF!O$170:O$180)*(1+Y228)</f>
        <v>0</v>
      </c>
      <c r="Z327" s="397">
        <f>LOOKUP($C$322, T_NCAP_AF!$C$170:$C$180, T_NCAP_AF!P$170:P$180)*(1+Z228)</f>
        <v>0</v>
      </c>
      <c r="AA327" s="397">
        <f>LOOKUP($C$322, T_NCAP_AF!$C$170:$C$180, T_NCAP_AF!Q$170:Q$180)*(1+AA228)</f>
        <v>0</v>
      </c>
      <c r="AB327" s="397">
        <f>LOOKUP($C$322, T_NCAP_AF!$C$170:$C$180, T_NCAP_AF!R$170:R$180)*(1+AB228)</f>
        <v>0</v>
      </c>
      <c r="AE327" s="572">
        <f>SUM(AF327:AT327)</f>
        <v>0</v>
      </c>
      <c r="AF327" s="85">
        <f t="shared" ref="AF327:AT327" si="264">N326*N327*N328/1000</f>
        <v>0</v>
      </c>
      <c r="AG327" s="85">
        <f t="shared" si="264"/>
        <v>0</v>
      </c>
      <c r="AH327" s="85">
        <f t="shared" si="264"/>
        <v>0</v>
      </c>
      <c r="AI327" s="85">
        <f t="shared" si="264"/>
        <v>0</v>
      </c>
      <c r="AJ327" s="85">
        <f t="shared" si="264"/>
        <v>0</v>
      </c>
      <c r="AK327" s="85">
        <f t="shared" si="264"/>
        <v>0</v>
      </c>
      <c r="AL327" s="85">
        <f t="shared" si="264"/>
        <v>0</v>
      </c>
      <c r="AM327" s="85">
        <f t="shared" si="264"/>
        <v>0</v>
      </c>
      <c r="AN327" s="85">
        <f t="shared" si="264"/>
        <v>0</v>
      </c>
      <c r="AO327" s="85">
        <f t="shared" si="264"/>
        <v>0</v>
      </c>
      <c r="AP327" s="85">
        <f t="shared" si="264"/>
        <v>0</v>
      </c>
      <c r="AQ327" s="85">
        <f t="shared" si="264"/>
        <v>0</v>
      </c>
      <c r="AR327" s="85">
        <f t="shared" si="264"/>
        <v>0</v>
      </c>
      <c r="AS327" s="85">
        <f t="shared" si="264"/>
        <v>0</v>
      </c>
      <c r="AT327" s="85">
        <f t="shared" si="264"/>
        <v>0</v>
      </c>
    </row>
    <row r="328" spans="1:52" s="83" customFormat="1" x14ac:dyDescent="0.25">
      <c r="B328" s="178" t="str">
        <f>B327</f>
        <v>TFMEHYG900</v>
      </c>
      <c r="C328" s="178"/>
      <c r="D328" s="179"/>
      <c r="E328" s="178"/>
      <c r="F328" s="182"/>
      <c r="G328" s="181"/>
      <c r="H328" s="182"/>
      <c r="I328" s="183">
        <f>$M$3</f>
        <v>2019</v>
      </c>
      <c r="J328" s="184"/>
      <c r="K328" s="184"/>
      <c r="L328" s="203" t="s">
        <v>1065</v>
      </c>
      <c r="M328" s="184" t="s">
        <v>748</v>
      </c>
      <c r="N328" s="694">
        <f>LOOKUP($C$322, 'T_Stock_TOTAL_&amp;_City'!$C$106:$C$116, 'T_Stock_TOTAL_&amp;_City'!D$106:D$116)*(1+N229)</f>
        <v>0</v>
      </c>
      <c r="O328" s="694">
        <f>LOOKUP($C$322, 'T_Stock_TOTAL_&amp;_City'!$C$106:$C$116, 'T_Stock_TOTAL_&amp;_City'!E$106:E$116)*(1+O229)</f>
        <v>0</v>
      </c>
      <c r="P328" s="694">
        <f>LOOKUP($C$322, 'T_Stock_TOTAL_&amp;_City'!$C$106:$C$116, 'T_Stock_TOTAL_&amp;_City'!F$106:F$116)*(1+P229)</f>
        <v>0</v>
      </c>
      <c r="Q328" s="694">
        <f>LOOKUP($C$322, 'T_Stock_TOTAL_&amp;_City'!$C$106:$C$116, 'T_Stock_TOTAL_&amp;_City'!G$106:G$116)*(1+Q229)</f>
        <v>0</v>
      </c>
      <c r="R328" s="694">
        <f>LOOKUP($C$322, 'T_Stock_TOTAL_&amp;_City'!$C$106:$C$116, 'T_Stock_TOTAL_&amp;_City'!H$106:H$116)*(1+R229)</f>
        <v>0</v>
      </c>
      <c r="S328" s="694">
        <f>LOOKUP($C$322, 'T_Stock_TOTAL_&amp;_City'!$C$106:$C$116, 'T_Stock_TOTAL_&amp;_City'!I$106:I$116)*(1+S229)</f>
        <v>0</v>
      </c>
      <c r="T328" s="694">
        <f>LOOKUP($C$322, 'T_Stock_TOTAL_&amp;_City'!$C$106:$C$116, 'T_Stock_TOTAL_&amp;_City'!J$106:J$116)*(1+T229)</f>
        <v>0</v>
      </c>
      <c r="U328" s="694">
        <f>LOOKUP($C$322, 'T_Stock_TOTAL_&amp;_City'!$C$106:$C$116, 'T_Stock_TOTAL_&amp;_City'!K$106:K$116)*(1+U229)</f>
        <v>0</v>
      </c>
      <c r="V328" s="694">
        <f>LOOKUP($C$322, 'T_Stock_TOTAL_&amp;_City'!$C$106:$C$116, 'T_Stock_TOTAL_&amp;_City'!L$106:L$116)*(1+V229)</f>
        <v>0</v>
      </c>
      <c r="W328" s="694">
        <f>LOOKUP($C$322, 'T_Stock_TOTAL_&amp;_City'!$C$106:$C$116, 'T_Stock_TOTAL_&amp;_City'!M$106:M$116)*(1+W229)</f>
        <v>0</v>
      </c>
      <c r="X328" s="694">
        <f>LOOKUP($C$322, 'T_Stock_TOTAL_&amp;_City'!$C$106:$C$116, 'T_Stock_TOTAL_&amp;_City'!N$106:N$116)*(1+X229)</f>
        <v>0</v>
      </c>
      <c r="Y328" s="694">
        <f>LOOKUP($C$322, 'T_Stock_TOTAL_&amp;_City'!$C$106:$C$116, 'T_Stock_TOTAL_&amp;_City'!O$106:O$116)*(1+Y229)</f>
        <v>0</v>
      </c>
      <c r="Z328" s="694">
        <f>LOOKUP($C$322, 'T_Stock_TOTAL_&amp;_City'!$C$106:$C$116, 'T_Stock_TOTAL_&amp;_City'!P$106:P$116)*(1+Z229)</f>
        <v>0</v>
      </c>
      <c r="AA328" s="694">
        <f>LOOKUP($C$322, 'T_Stock_TOTAL_&amp;_City'!$C$106:$C$116, 'T_Stock_TOTAL_&amp;_City'!Q$106:Q$116)*(1+AA229)</f>
        <v>0</v>
      </c>
      <c r="AB328" s="694">
        <f>LOOKUP($C$322, 'T_Stock_TOTAL_&amp;_City'!$C$106:$C$116, 'T_Stock_TOTAL_&amp;_City'!R$106:R$116)*(1+AB229)</f>
        <v>0</v>
      </c>
    </row>
    <row r="329" spans="1:52" s="83" customFormat="1" x14ac:dyDescent="0.25">
      <c r="B329" s="178" t="str">
        <f t="shared" si="262"/>
        <v>TFMEHYG900</v>
      </c>
      <c r="C329" s="178"/>
      <c r="D329" s="179"/>
      <c r="E329" s="178"/>
      <c r="F329" s="182"/>
      <c r="G329" s="181"/>
      <c r="H329" s="182"/>
      <c r="I329" s="183">
        <f>AF$5</f>
        <v>2016</v>
      </c>
      <c r="J329" s="184"/>
      <c r="K329" s="184"/>
      <c r="L329" s="203" t="s">
        <v>1065</v>
      </c>
      <c r="M329" s="184" t="s">
        <v>748</v>
      </c>
      <c r="N329" s="694">
        <f t="shared" ref="N329:AB329" si="265">N328*LOOKUP($AD322,$AH$4:$AQ$4,$AH$5:$AQ$5)</f>
        <v>0</v>
      </c>
      <c r="O329" s="694">
        <f t="shared" si="265"/>
        <v>0</v>
      </c>
      <c r="P329" s="694">
        <f t="shared" si="265"/>
        <v>0</v>
      </c>
      <c r="Q329" s="694">
        <f t="shared" si="265"/>
        <v>0</v>
      </c>
      <c r="R329" s="694">
        <f t="shared" si="265"/>
        <v>0</v>
      </c>
      <c r="S329" s="694">
        <f t="shared" si="265"/>
        <v>0</v>
      </c>
      <c r="T329" s="694">
        <f t="shared" si="265"/>
        <v>0</v>
      </c>
      <c r="U329" s="694">
        <f t="shared" si="265"/>
        <v>0</v>
      </c>
      <c r="V329" s="694">
        <f t="shared" si="265"/>
        <v>0</v>
      </c>
      <c r="W329" s="694">
        <f t="shared" si="265"/>
        <v>0</v>
      </c>
      <c r="X329" s="694">
        <f t="shared" si="265"/>
        <v>0</v>
      </c>
      <c r="Y329" s="694">
        <f t="shared" si="265"/>
        <v>0</v>
      </c>
      <c r="Z329" s="694">
        <f t="shared" si="265"/>
        <v>0</v>
      </c>
      <c r="AA329" s="694">
        <f t="shared" si="265"/>
        <v>0</v>
      </c>
      <c r="AB329" s="694">
        <f t="shared" si="265"/>
        <v>0</v>
      </c>
    </row>
    <row r="330" spans="1:52" s="83" customFormat="1" x14ac:dyDescent="0.25">
      <c r="B330" s="178" t="str">
        <f t="shared" si="262"/>
        <v>TFMEHYG900</v>
      </c>
      <c r="C330" s="178"/>
      <c r="D330" s="179"/>
      <c r="E330" s="178"/>
      <c r="F330" s="182"/>
      <c r="G330" s="181"/>
      <c r="H330" s="182"/>
      <c r="I330" s="183">
        <f>AF$6</f>
        <v>2020</v>
      </c>
      <c r="J330" s="184"/>
      <c r="K330" s="184"/>
      <c r="L330" s="203" t="s">
        <v>1065</v>
      </c>
      <c r="M330" s="184" t="s">
        <v>748</v>
      </c>
      <c r="N330" s="694">
        <f t="shared" ref="N330:AB330" si="266">N328*LOOKUP($AD322,$AH$4:$AQ$4,$AH$6:$AQ$6)</f>
        <v>0</v>
      </c>
      <c r="O330" s="694">
        <f t="shared" si="266"/>
        <v>0</v>
      </c>
      <c r="P330" s="694">
        <f t="shared" si="266"/>
        <v>0</v>
      </c>
      <c r="Q330" s="694">
        <f t="shared" si="266"/>
        <v>0</v>
      </c>
      <c r="R330" s="694">
        <f t="shared" si="266"/>
        <v>0</v>
      </c>
      <c r="S330" s="694">
        <f t="shared" si="266"/>
        <v>0</v>
      </c>
      <c r="T330" s="694">
        <f t="shared" si="266"/>
        <v>0</v>
      </c>
      <c r="U330" s="694">
        <f t="shared" si="266"/>
        <v>0</v>
      </c>
      <c r="V330" s="694">
        <f t="shared" si="266"/>
        <v>0</v>
      </c>
      <c r="W330" s="694">
        <f t="shared" si="266"/>
        <v>0</v>
      </c>
      <c r="X330" s="694">
        <f t="shared" si="266"/>
        <v>0</v>
      </c>
      <c r="Y330" s="694">
        <f t="shared" si="266"/>
        <v>0</v>
      </c>
      <c r="Z330" s="694">
        <f t="shared" si="266"/>
        <v>0</v>
      </c>
      <c r="AA330" s="694">
        <f t="shared" si="266"/>
        <v>0</v>
      </c>
      <c r="AB330" s="694">
        <f t="shared" si="266"/>
        <v>0</v>
      </c>
    </row>
    <row r="331" spans="1:52" s="83" customFormat="1" x14ac:dyDescent="0.25">
      <c r="B331" s="178" t="str">
        <f t="shared" si="262"/>
        <v>TFMEHYG900</v>
      </c>
      <c r="C331" s="178"/>
      <c r="D331" s="179"/>
      <c r="E331" s="178"/>
      <c r="F331" s="182"/>
      <c r="G331" s="181"/>
      <c r="H331" s="182"/>
      <c r="I331" s="183">
        <f>AF$7</f>
        <v>2025</v>
      </c>
      <c r="J331" s="184"/>
      <c r="K331" s="184"/>
      <c r="L331" s="203" t="s">
        <v>1065</v>
      </c>
      <c r="M331" s="184" t="s">
        <v>748</v>
      </c>
      <c r="N331" s="694">
        <f t="shared" ref="N331:AB331" si="267">N328*LOOKUP($AD322,$AH$4:$AQ$4,$AH$7:$AQ$7)</f>
        <v>0</v>
      </c>
      <c r="O331" s="694">
        <f t="shared" si="267"/>
        <v>0</v>
      </c>
      <c r="P331" s="694">
        <f t="shared" si="267"/>
        <v>0</v>
      </c>
      <c r="Q331" s="694">
        <f t="shared" si="267"/>
        <v>0</v>
      </c>
      <c r="R331" s="694">
        <f t="shared" si="267"/>
        <v>0</v>
      </c>
      <c r="S331" s="694">
        <f t="shared" si="267"/>
        <v>0</v>
      </c>
      <c r="T331" s="694">
        <f t="shared" si="267"/>
        <v>0</v>
      </c>
      <c r="U331" s="694">
        <f t="shared" si="267"/>
        <v>0</v>
      </c>
      <c r="V331" s="694">
        <f t="shared" si="267"/>
        <v>0</v>
      </c>
      <c r="W331" s="694">
        <f t="shared" si="267"/>
        <v>0</v>
      </c>
      <c r="X331" s="694">
        <f t="shared" si="267"/>
        <v>0</v>
      </c>
      <c r="Y331" s="694">
        <f t="shared" si="267"/>
        <v>0</v>
      </c>
      <c r="Z331" s="694">
        <f t="shared" si="267"/>
        <v>0</v>
      </c>
      <c r="AA331" s="694">
        <f t="shared" si="267"/>
        <v>0</v>
      </c>
      <c r="AB331" s="694">
        <f t="shared" si="267"/>
        <v>0</v>
      </c>
    </row>
    <row r="332" spans="1:52" s="83" customFormat="1" x14ac:dyDescent="0.25">
      <c r="B332" s="178" t="str">
        <f t="shared" si="262"/>
        <v>TFMEHYG900</v>
      </c>
      <c r="C332" s="178"/>
      <c r="D332" s="179"/>
      <c r="E332" s="178"/>
      <c r="F332" s="182"/>
      <c r="G332" s="181"/>
      <c r="H332" s="182"/>
      <c r="I332" s="183">
        <f>AF$8</f>
        <v>2030</v>
      </c>
      <c r="J332" s="184"/>
      <c r="K332" s="184"/>
      <c r="L332" s="203" t="s">
        <v>1065</v>
      </c>
      <c r="M332" s="184" t="s">
        <v>748</v>
      </c>
      <c r="N332" s="694">
        <f t="shared" ref="N332:AB332" si="268">N328*LOOKUP($AD322,$AH$4:$AQ$4,$AH$8:$AQ$8)</f>
        <v>0</v>
      </c>
      <c r="O332" s="694">
        <f t="shared" si="268"/>
        <v>0</v>
      </c>
      <c r="P332" s="694">
        <f t="shared" si="268"/>
        <v>0</v>
      </c>
      <c r="Q332" s="694">
        <f t="shared" si="268"/>
        <v>0</v>
      </c>
      <c r="R332" s="694">
        <f t="shared" si="268"/>
        <v>0</v>
      </c>
      <c r="S332" s="694">
        <f t="shared" si="268"/>
        <v>0</v>
      </c>
      <c r="T332" s="694">
        <f t="shared" si="268"/>
        <v>0</v>
      </c>
      <c r="U332" s="694">
        <f t="shared" si="268"/>
        <v>0</v>
      </c>
      <c r="V332" s="694">
        <f t="shared" si="268"/>
        <v>0</v>
      </c>
      <c r="W332" s="694">
        <f t="shared" si="268"/>
        <v>0</v>
      </c>
      <c r="X332" s="694">
        <f t="shared" si="268"/>
        <v>0</v>
      </c>
      <c r="Y332" s="694">
        <f t="shared" si="268"/>
        <v>0</v>
      </c>
      <c r="Z332" s="694">
        <f t="shared" si="268"/>
        <v>0</v>
      </c>
      <c r="AA332" s="694">
        <f t="shared" si="268"/>
        <v>0</v>
      </c>
      <c r="AB332" s="694">
        <f t="shared" si="268"/>
        <v>0</v>
      </c>
    </row>
    <row r="333" spans="1:52" s="83" customFormat="1" x14ac:dyDescent="0.25">
      <c r="B333" s="178" t="str">
        <f t="shared" si="262"/>
        <v>TFMEHYG900</v>
      </c>
      <c r="C333" s="178"/>
      <c r="D333" s="179"/>
      <c r="E333" s="178"/>
      <c r="F333" s="182"/>
      <c r="G333" s="181"/>
      <c r="H333" s="182"/>
      <c r="I333" s="183">
        <f>AF$9</f>
        <v>2040</v>
      </c>
      <c r="J333" s="184"/>
      <c r="K333" s="184"/>
      <c r="L333" s="203" t="s">
        <v>1065</v>
      </c>
      <c r="M333" s="184" t="s">
        <v>748</v>
      </c>
      <c r="N333" s="694">
        <f t="shared" ref="N333:AB333" si="269">N328*LOOKUP($AD322,$AH$4:$AQ$4,$AH$9:$AQ$9)</f>
        <v>0</v>
      </c>
      <c r="O333" s="694">
        <f t="shared" si="269"/>
        <v>0</v>
      </c>
      <c r="P333" s="694">
        <f t="shared" si="269"/>
        <v>0</v>
      </c>
      <c r="Q333" s="694">
        <f t="shared" si="269"/>
        <v>0</v>
      </c>
      <c r="R333" s="694">
        <f t="shared" si="269"/>
        <v>0</v>
      </c>
      <c r="S333" s="694">
        <f t="shared" si="269"/>
        <v>0</v>
      </c>
      <c r="T333" s="694">
        <f t="shared" si="269"/>
        <v>0</v>
      </c>
      <c r="U333" s="694">
        <f t="shared" si="269"/>
        <v>0</v>
      </c>
      <c r="V333" s="694">
        <f t="shared" si="269"/>
        <v>0</v>
      </c>
      <c r="W333" s="694">
        <f t="shared" si="269"/>
        <v>0</v>
      </c>
      <c r="X333" s="694">
        <f t="shared" si="269"/>
        <v>0</v>
      </c>
      <c r="Y333" s="694">
        <f t="shared" si="269"/>
        <v>0</v>
      </c>
      <c r="Z333" s="694">
        <f t="shared" si="269"/>
        <v>0</v>
      </c>
      <c r="AA333" s="694">
        <f t="shared" si="269"/>
        <v>0</v>
      </c>
      <c r="AB333" s="694">
        <f t="shared" si="269"/>
        <v>0</v>
      </c>
    </row>
    <row r="334" spans="1:52" s="83" customFormat="1" x14ac:dyDescent="0.25">
      <c r="B334" s="204" t="str">
        <f t="shared" si="262"/>
        <v>TFMEHYG900</v>
      </c>
      <c r="C334" s="204"/>
      <c r="D334" s="205"/>
      <c r="E334" s="204"/>
      <c r="F334" s="206"/>
      <c r="G334" s="207"/>
      <c r="H334" s="206"/>
      <c r="I334" s="208">
        <f>AF$10</f>
        <v>2050</v>
      </c>
      <c r="J334" s="209"/>
      <c r="K334" s="209"/>
      <c r="L334" s="210" t="s">
        <v>1065</v>
      </c>
      <c r="M334" s="209" t="s">
        <v>748</v>
      </c>
      <c r="N334" s="695">
        <f t="shared" ref="N334:AB334" si="270">N328*LOOKUP($AD322,$AH$4:$AQ$4,$AH$10:$AQ$10)</f>
        <v>0</v>
      </c>
      <c r="O334" s="695">
        <f t="shared" si="270"/>
        <v>0</v>
      </c>
      <c r="P334" s="695">
        <f t="shared" si="270"/>
        <v>0</v>
      </c>
      <c r="Q334" s="695">
        <f t="shared" si="270"/>
        <v>0</v>
      </c>
      <c r="R334" s="695">
        <f t="shared" si="270"/>
        <v>0</v>
      </c>
      <c r="S334" s="695">
        <f t="shared" si="270"/>
        <v>0</v>
      </c>
      <c r="T334" s="695">
        <f t="shared" si="270"/>
        <v>0</v>
      </c>
      <c r="U334" s="695">
        <f t="shared" si="270"/>
        <v>0</v>
      </c>
      <c r="V334" s="695">
        <f t="shared" si="270"/>
        <v>0</v>
      </c>
      <c r="W334" s="695">
        <f t="shared" si="270"/>
        <v>0</v>
      </c>
      <c r="X334" s="695">
        <f t="shared" si="270"/>
        <v>0</v>
      </c>
      <c r="Y334" s="695">
        <f t="shared" si="270"/>
        <v>0</v>
      </c>
      <c r="Z334" s="695">
        <f t="shared" si="270"/>
        <v>0</v>
      </c>
      <c r="AA334" s="695">
        <f t="shared" si="270"/>
        <v>0</v>
      </c>
      <c r="AB334" s="695">
        <f t="shared" si="270"/>
        <v>0</v>
      </c>
    </row>
    <row r="335" spans="1:52" s="83" customFormat="1" x14ac:dyDescent="0.25">
      <c r="A335" s="82"/>
      <c r="B335" s="178" t="str">
        <f>C335</f>
        <v>TFMELPG900</v>
      </c>
      <c r="C335" s="178" t="s">
        <v>147</v>
      </c>
      <c r="D335" s="179" t="s">
        <v>843</v>
      </c>
      <c r="E335" s="180" t="s">
        <v>1033</v>
      </c>
      <c r="F335" s="182"/>
      <c r="G335" s="181"/>
      <c r="H335" s="182"/>
      <c r="I335" s="183"/>
      <c r="J335" s="184"/>
      <c r="K335" s="184"/>
      <c r="L335" s="203" t="s">
        <v>1107</v>
      </c>
      <c r="M335" s="184" t="s">
        <v>1125</v>
      </c>
      <c r="N335" s="378">
        <v>1E-3</v>
      </c>
      <c r="O335" s="378">
        <f t="shared" ref="O335:AB335" si="271">$N335</f>
        <v>1E-3</v>
      </c>
      <c r="P335" s="378">
        <f t="shared" si="271"/>
        <v>1E-3</v>
      </c>
      <c r="Q335" s="378">
        <f t="shared" si="271"/>
        <v>1E-3</v>
      </c>
      <c r="R335" s="378">
        <f t="shared" si="271"/>
        <v>1E-3</v>
      </c>
      <c r="S335" s="378">
        <f t="shared" si="271"/>
        <v>1E-3</v>
      </c>
      <c r="T335" s="378">
        <f t="shared" si="271"/>
        <v>1E-3</v>
      </c>
      <c r="U335" s="378">
        <f t="shared" si="271"/>
        <v>1E-3</v>
      </c>
      <c r="V335" s="378">
        <f t="shared" si="271"/>
        <v>1E-3</v>
      </c>
      <c r="W335" s="378">
        <f t="shared" si="271"/>
        <v>1E-3</v>
      </c>
      <c r="X335" s="378">
        <f t="shared" si="271"/>
        <v>1E-3</v>
      </c>
      <c r="Y335" s="378">
        <f t="shared" si="271"/>
        <v>1E-3</v>
      </c>
      <c r="Z335" s="378">
        <f t="shared" si="271"/>
        <v>1E-3</v>
      </c>
      <c r="AA335" s="378">
        <f t="shared" si="271"/>
        <v>1E-3</v>
      </c>
      <c r="AB335" s="378">
        <f t="shared" si="271"/>
        <v>1E-3</v>
      </c>
      <c r="AD335" s="402" t="str">
        <f>MID(D335,14,3)</f>
        <v>LPG</v>
      </c>
    </row>
    <row r="336" spans="1:52" s="83" customFormat="1" x14ac:dyDescent="0.25">
      <c r="A336" s="22"/>
      <c r="B336" s="186" t="str">
        <f t="shared" ref="B336:B346" si="272">B335</f>
        <v>TFMELPG900</v>
      </c>
      <c r="C336" s="186"/>
      <c r="D336" s="187"/>
      <c r="E336" s="186"/>
      <c r="F336" s="170"/>
      <c r="G336" s="324" t="s">
        <v>643</v>
      </c>
      <c r="H336" s="170"/>
      <c r="I336" s="190"/>
      <c r="J336" s="191"/>
      <c r="K336" s="191"/>
      <c r="L336" s="191" t="s">
        <v>1126</v>
      </c>
      <c r="M336" s="191" t="s">
        <v>678</v>
      </c>
      <c r="N336" s="676">
        <f>T_CEFF!H265</f>
        <v>9.2439999999999994E-2</v>
      </c>
      <c r="O336" s="676">
        <f>T_CEFF!I265</f>
        <v>9.2439999999999994E-2</v>
      </c>
      <c r="P336" s="676">
        <f>T_CEFF!J265</f>
        <v>9.2439999999999994E-2</v>
      </c>
      <c r="Q336" s="676">
        <f>T_CEFF!K265</f>
        <v>9.2439999999999994E-2</v>
      </c>
      <c r="R336" s="676">
        <f>T_CEFF!L265</f>
        <v>9.2439999999999994E-2</v>
      </c>
      <c r="S336" s="676">
        <f>T_CEFF!M265</f>
        <v>9.2439999999999994E-2</v>
      </c>
      <c r="T336" s="676">
        <f>T_CEFF!N265</f>
        <v>9.2439999999999994E-2</v>
      </c>
      <c r="U336" s="676">
        <f>T_CEFF!O265</f>
        <v>9.2439999999999994E-2</v>
      </c>
      <c r="V336" s="676">
        <f>T_CEFF!P265</f>
        <v>9.2439999999999994E-2</v>
      </c>
      <c r="W336" s="676">
        <f>T_CEFF!Q265</f>
        <v>9.2439999999999994E-2</v>
      </c>
      <c r="X336" s="676">
        <f>T_CEFF!R265</f>
        <v>9.2439999999999994E-2</v>
      </c>
      <c r="Y336" s="676">
        <f>T_CEFF!S265</f>
        <v>9.2439999999999994E-2</v>
      </c>
      <c r="Z336" s="676">
        <f>T_CEFF!T265</f>
        <v>9.2439999999999994E-2</v>
      </c>
      <c r="AA336" s="676">
        <f>T_CEFF!U265</f>
        <v>9.2439999999999994E-2</v>
      </c>
      <c r="AB336" s="676">
        <f>T_CEFF!V265</f>
        <v>9.2439999999999994E-2</v>
      </c>
      <c r="AC336" s="35"/>
      <c r="AD336" s="66" t="str">
        <f>IF(COUNTIF($AH$4:$AQ$4,AD335)=1,"ok","MISSING")</f>
        <v>ok</v>
      </c>
      <c r="AU336" s="35"/>
      <c r="AV336" s="35"/>
      <c r="AW336" s="35"/>
      <c r="AX336" s="35"/>
      <c r="AY336" s="35"/>
      <c r="AZ336" s="35"/>
    </row>
    <row r="337" spans="1:52" x14ac:dyDescent="0.25">
      <c r="A337" s="22"/>
      <c r="B337" s="186" t="str">
        <f t="shared" si="272"/>
        <v>TFMELPG900</v>
      </c>
      <c r="C337" s="186"/>
      <c r="D337" s="187"/>
      <c r="E337" s="186"/>
      <c r="F337" s="170"/>
      <c r="G337" s="324" t="s">
        <v>646</v>
      </c>
      <c r="H337" s="170"/>
      <c r="I337" s="190"/>
      <c r="J337" s="191"/>
      <c r="K337" s="191"/>
      <c r="L337" s="191" t="s">
        <v>1126</v>
      </c>
      <c r="M337" s="191" t="s">
        <v>678</v>
      </c>
      <c r="N337" s="676">
        <f>T_CEFF!H266</f>
        <v>7.3950000000000002E-2</v>
      </c>
      <c r="O337" s="676">
        <f>T_CEFF!I266</f>
        <v>7.3950000000000002E-2</v>
      </c>
      <c r="P337" s="676">
        <f>T_CEFF!J266</f>
        <v>7.3950000000000002E-2</v>
      </c>
      <c r="Q337" s="676">
        <f>T_CEFF!K266</f>
        <v>7.3950000000000002E-2</v>
      </c>
      <c r="R337" s="676">
        <f>T_CEFF!L266</f>
        <v>7.3950000000000002E-2</v>
      </c>
      <c r="S337" s="676">
        <f>T_CEFF!M266</f>
        <v>7.3950000000000002E-2</v>
      </c>
      <c r="T337" s="676">
        <f>T_CEFF!N266</f>
        <v>7.3950000000000002E-2</v>
      </c>
      <c r="U337" s="676">
        <f>T_CEFF!O266</f>
        <v>7.3950000000000002E-2</v>
      </c>
      <c r="V337" s="676">
        <f>T_CEFF!P266</f>
        <v>7.3950000000000002E-2</v>
      </c>
      <c r="W337" s="676">
        <f>T_CEFF!Q266</f>
        <v>7.3950000000000002E-2</v>
      </c>
      <c r="X337" s="676">
        <f>T_CEFF!R266</f>
        <v>7.3950000000000002E-2</v>
      </c>
      <c r="Y337" s="676">
        <f>T_CEFF!S266</f>
        <v>7.3950000000000002E-2</v>
      </c>
      <c r="Z337" s="676">
        <f>T_CEFF!T266</f>
        <v>7.3950000000000002E-2</v>
      </c>
      <c r="AA337" s="676">
        <f>T_CEFF!U266</f>
        <v>7.3950000000000002E-2</v>
      </c>
      <c r="AB337" s="676">
        <f>T_CEFF!V266</f>
        <v>7.3950000000000002E-2</v>
      </c>
    </row>
    <row r="338" spans="1:52" x14ac:dyDescent="0.25">
      <c r="A338" s="22"/>
      <c r="B338" s="186" t="str">
        <f t="shared" si="272"/>
        <v>TFMELPG900</v>
      </c>
      <c r="C338" s="186"/>
      <c r="D338" s="187"/>
      <c r="E338" s="186"/>
      <c r="F338" s="170"/>
      <c r="G338" s="189"/>
      <c r="H338" s="170"/>
      <c r="I338" s="190"/>
      <c r="J338" s="191"/>
      <c r="K338" s="191" t="s">
        <v>749</v>
      </c>
      <c r="L338" s="191" t="s">
        <v>1128</v>
      </c>
      <c r="M338" s="191" t="s">
        <v>1175</v>
      </c>
      <c r="N338" s="388">
        <f>N$24</f>
        <v>0</v>
      </c>
      <c r="O338" s="388">
        <f t="shared" ref="O338:AB338" si="273">O$24</f>
        <v>0</v>
      </c>
      <c r="P338" s="388">
        <f t="shared" si="273"/>
        <v>0</v>
      </c>
      <c r="Q338" s="388">
        <f t="shared" si="273"/>
        <v>0</v>
      </c>
      <c r="R338" s="388">
        <f t="shared" si="273"/>
        <v>0</v>
      </c>
      <c r="S338" s="388">
        <f t="shared" si="273"/>
        <v>0</v>
      </c>
      <c r="T338" s="388">
        <f t="shared" si="273"/>
        <v>0</v>
      </c>
      <c r="U338" s="388">
        <f t="shared" si="273"/>
        <v>0</v>
      </c>
      <c r="V338" s="388">
        <f t="shared" si="273"/>
        <v>0</v>
      </c>
      <c r="W338" s="388">
        <f t="shared" si="273"/>
        <v>0</v>
      </c>
      <c r="X338" s="388">
        <f t="shared" si="273"/>
        <v>0</v>
      </c>
      <c r="Y338" s="388">
        <f t="shared" si="273"/>
        <v>0</v>
      </c>
      <c r="Z338" s="388">
        <f t="shared" si="273"/>
        <v>0</v>
      </c>
      <c r="AA338" s="388">
        <f t="shared" si="273"/>
        <v>0</v>
      </c>
      <c r="AB338" s="388">
        <f t="shared" si="273"/>
        <v>0</v>
      </c>
    </row>
    <row r="339" spans="1:52" x14ac:dyDescent="0.25">
      <c r="A339" s="22"/>
      <c r="B339" s="186" t="str">
        <f t="shared" si="272"/>
        <v>TFMELPG900</v>
      </c>
      <c r="C339" s="186"/>
      <c r="D339" s="187"/>
      <c r="E339" s="186"/>
      <c r="F339" s="170"/>
      <c r="G339" s="189"/>
      <c r="H339" s="170"/>
      <c r="I339" s="190"/>
      <c r="J339" s="191"/>
      <c r="K339" s="191"/>
      <c r="L339" s="211" t="s">
        <v>1130</v>
      </c>
      <c r="M339" s="191" t="s">
        <v>1131</v>
      </c>
      <c r="N339" s="397">
        <f>LOOKUP($C$335, T_NCAP_AF!$C$170:$C$180, T_NCAP_AF!D$170:D$180)*(1+N228)</f>
        <v>0</v>
      </c>
      <c r="O339" s="397">
        <f>LOOKUP($C$335, T_NCAP_AF!$C$170:$C$180, T_NCAP_AF!E$170:E$180)*(1+O228)</f>
        <v>0</v>
      </c>
      <c r="P339" s="397">
        <f>LOOKUP($C$335, T_NCAP_AF!$C$170:$C$180, T_NCAP_AF!F$170:F$180)*(1+P228)</f>
        <v>0</v>
      </c>
      <c r="Q339" s="397">
        <f>LOOKUP($C$335, T_NCAP_AF!$C$170:$C$180, T_NCAP_AF!G$170:G$180)*(1+Q228)</f>
        <v>0</v>
      </c>
      <c r="R339" s="397">
        <f>LOOKUP($C$335, T_NCAP_AF!$C$170:$C$180, T_NCAP_AF!H$170:H$180)*(1+R228)</f>
        <v>0</v>
      </c>
      <c r="S339" s="397">
        <f>LOOKUP($C$335, T_NCAP_AF!$C$170:$C$180, T_NCAP_AF!I$170:I$180)*(1+S228)</f>
        <v>0</v>
      </c>
      <c r="T339" s="397">
        <f>LOOKUP($C$335, T_NCAP_AF!$C$170:$C$180, T_NCAP_AF!J$170:J$180)*(1+T228)</f>
        <v>0</v>
      </c>
      <c r="U339" s="397">
        <f>LOOKUP($C$335, T_NCAP_AF!$C$170:$C$180, T_NCAP_AF!K$170:K$180)*(1+U228)</f>
        <v>0</v>
      </c>
      <c r="V339" s="397">
        <f>LOOKUP($C$335, T_NCAP_AF!$C$170:$C$180, T_NCAP_AF!L$170:L$180)*(1+V228)</f>
        <v>0</v>
      </c>
      <c r="W339" s="397">
        <f>LOOKUP($C$335, T_NCAP_AF!$C$170:$C$180, T_NCAP_AF!M$170:M$180)*(1+W228)</f>
        <v>0</v>
      </c>
      <c r="X339" s="397">
        <f>LOOKUP($C$335, T_NCAP_AF!$C$170:$C$180, T_NCAP_AF!N$170:N$180)*(1+X228)</f>
        <v>0</v>
      </c>
      <c r="Y339" s="397">
        <f>LOOKUP($C$335, T_NCAP_AF!$C$170:$C$180, T_NCAP_AF!O$170:O$180)*(1+Y228)</f>
        <v>0</v>
      </c>
      <c r="Z339" s="397">
        <f>LOOKUP($C$335, T_NCAP_AF!$C$170:$C$180, T_NCAP_AF!P$170:P$180)*(1+Z228)</f>
        <v>0</v>
      </c>
      <c r="AA339" s="397">
        <f>LOOKUP($C$335, T_NCAP_AF!$C$170:$C$180, T_NCAP_AF!Q$170:Q$180)*(1+AA228)</f>
        <v>0</v>
      </c>
      <c r="AB339" s="397">
        <f>LOOKUP($C$335, T_NCAP_AF!$C$170:$C$180, T_NCAP_AF!R$170:R$180)*(1+AB228)</f>
        <v>0</v>
      </c>
      <c r="AE339" s="572">
        <f>SUM(AF339:AT339)</f>
        <v>0</v>
      </c>
      <c r="AF339" s="85">
        <f t="shared" ref="AF339:AT339" si="274">N338*N339*N340/1000</f>
        <v>0</v>
      </c>
      <c r="AG339" s="85">
        <f t="shared" si="274"/>
        <v>0</v>
      </c>
      <c r="AH339" s="85">
        <f t="shared" si="274"/>
        <v>0</v>
      </c>
      <c r="AI339" s="85">
        <f t="shared" si="274"/>
        <v>0</v>
      </c>
      <c r="AJ339" s="85">
        <f t="shared" si="274"/>
        <v>0</v>
      </c>
      <c r="AK339" s="85">
        <f t="shared" si="274"/>
        <v>0</v>
      </c>
      <c r="AL339" s="85">
        <f t="shared" si="274"/>
        <v>0</v>
      </c>
      <c r="AM339" s="85">
        <f t="shared" si="274"/>
        <v>0</v>
      </c>
      <c r="AN339" s="85">
        <f t="shared" si="274"/>
        <v>0</v>
      </c>
      <c r="AO339" s="85">
        <f t="shared" si="274"/>
        <v>0</v>
      </c>
      <c r="AP339" s="85">
        <f t="shared" si="274"/>
        <v>0</v>
      </c>
      <c r="AQ339" s="85">
        <f t="shared" si="274"/>
        <v>0</v>
      </c>
      <c r="AR339" s="85">
        <f t="shared" si="274"/>
        <v>0</v>
      </c>
      <c r="AS339" s="85">
        <f t="shared" si="274"/>
        <v>0</v>
      </c>
      <c r="AT339" s="85">
        <f t="shared" si="274"/>
        <v>0</v>
      </c>
    </row>
    <row r="340" spans="1:52" x14ac:dyDescent="0.25">
      <c r="A340" s="22"/>
      <c r="B340" s="186" t="str">
        <f t="shared" si="272"/>
        <v>TFMELPG900</v>
      </c>
      <c r="C340" s="186"/>
      <c r="D340" s="187"/>
      <c r="E340" s="186"/>
      <c r="F340" s="170"/>
      <c r="G340" s="189"/>
      <c r="H340" s="170"/>
      <c r="I340" s="190">
        <f>$M$3</f>
        <v>2019</v>
      </c>
      <c r="J340" s="191"/>
      <c r="K340" s="191"/>
      <c r="L340" s="211" t="s">
        <v>1065</v>
      </c>
      <c r="M340" s="191" t="s">
        <v>748</v>
      </c>
      <c r="N340" s="694">
        <f>LOOKUP($C$335, 'T_Stock_TOTAL_&amp;_City'!$C$106:$C$116, 'T_Stock_TOTAL_&amp;_City'!D$106:D$116)*(1+N229)</f>
        <v>0</v>
      </c>
      <c r="O340" s="694">
        <f>LOOKUP($C$335, 'T_Stock_TOTAL_&amp;_City'!$C$106:$C$116, 'T_Stock_TOTAL_&amp;_City'!E$106:E$116)*(1+O229)</f>
        <v>0</v>
      </c>
      <c r="P340" s="694">
        <f>LOOKUP($C$335, 'T_Stock_TOTAL_&amp;_City'!$C$106:$C$116, 'T_Stock_TOTAL_&amp;_City'!F$106:F$116)*(1+P229)</f>
        <v>0</v>
      </c>
      <c r="Q340" s="694">
        <f>LOOKUP($C$335, 'T_Stock_TOTAL_&amp;_City'!$C$106:$C$116, 'T_Stock_TOTAL_&amp;_City'!G$106:G$116)*(1+Q229)</f>
        <v>0</v>
      </c>
      <c r="R340" s="694">
        <f>LOOKUP($C$335, 'T_Stock_TOTAL_&amp;_City'!$C$106:$C$116, 'T_Stock_TOTAL_&amp;_City'!H$106:H$116)*(1+R229)</f>
        <v>0</v>
      </c>
      <c r="S340" s="694">
        <f>LOOKUP($C$335, 'T_Stock_TOTAL_&amp;_City'!$C$106:$C$116, 'T_Stock_TOTAL_&amp;_City'!I$106:I$116)*(1+S229)</f>
        <v>0</v>
      </c>
      <c r="T340" s="694">
        <f>LOOKUP($C$335, 'T_Stock_TOTAL_&amp;_City'!$C$106:$C$116, 'T_Stock_TOTAL_&amp;_City'!J$106:J$116)*(1+T229)</f>
        <v>0</v>
      </c>
      <c r="U340" s="694">
        <f>LOOKUP($C$335, 'T_Stock_TOTAL_&amp;_City'!$C$106:$C$116, 'T_Stock_TOTAL_&amp;_City'!K$106:K$116)*(1+U229)</f>
        <v>0</v>
      </c>
      <c r="V340" s="694">
        <f>LOOKUP($C$335, 'T_Stock_TOTAL_&amp;_City'!$C$106:$C$116, 'T_Stock_TOTAL_&amp;_City'!L$106:L$116)*(1+V229)</f>
        <v>0</v>
      </c>
      <c r="W340" s="694">
        <f>LOOKUP($C$335, 'T_Stock_TOTAL_&amp;_City'!$C$106:$C$116, 'T_Stock_TOTAL_&amp;_City'!M$106:M$116)*(1+W229)</f>
        <v>0</v>
      </c>
      <c r="X340" s="694">
        <f>LOOKUP($C$335, 'T_Stock_TOTAL_&amp;_City'!$C$106:$C$116, 'T_Stock_TOTAL_&amp;_City'!N$106:N$116)*(1+X229)</f>
        <v>0</v>
      </c>
      <c r="Y340" s="694">
        <f>LOOKUP($C$335, 'T_Stock_TOTAL_&amp;_City'!$C$106:$C$116, 'T_Stock_TOTAL_&amp;_City'!O$106:O$116)*(1+Y229)</f>
        <v>0</v>
      </c>
      <c r="Z340" s="694">
        <f>LOOKUP($C$335, 'T_Stock_TOTAL_&amp;_City'!$C$106:$C$116, 'T_Stock_TOTAL_&amp;_City'!P$106:P$116)*(1+Z229)</f>
        <v>0</v>
      </c>
      <c r="AA340" s="694">
        <f>LOOKUP($C$335, 'T_Stock_TOTAL_&amp;_City'!$C$106:$C$116, 'T_Stock_TOTAL_&amp;_City'!Q$106:Q$116)*(1+AA229)</f>
        <v>0</v>
      </c>
      <c r="AB340" s="694">
        <f>LOOKUP($C$335, 'T_Stock_TOTAL_&amp;_City'!$C$106:$C$116, 'T_Stock_TOTAL_&amp;_City'!R$106:R$116)*(1+AB229)</f>
        <v>0</v>
      </c>
    </row>
    <row r="341" spans="1:52" x14ac:dyDescent="0.25">
      <c r="A341" s="22"/>
      <c r="B341" s="186" t="str">
        <f t="shared" si="272"/>
        <v>TFMELPG900</v>
      </c>
      <c r="C341" s="186"/>
      <c r="D341" s="187"/>
      <c r="E341" s="186"/>
      <c r="F341" s="170"/>
      <c r="G341" s="189"/>
      <c r="H341" s="170"/>
      <c r="I341" s="183">
        <f>AF$5</f>
        <v>2016</v>
      </c>
      <c r="J341" s="191"/>
      <c r="K341" s="191"/>
      <c r="L341" s="211" t="s">
        <v>1065</v>
      </c>
      <c r="M341" s="191" t="s">
        <v>748</v>
      </c>
      <c r="N341" s="694">
        <f t="shared" ref="N341:AB341" si="275">N340*LOOKUP($AD335,$AH$4:$AQ$4,$AH$5:$AQ$5)</f>
        <v>0</v>
      </c>
      <c r="O341" s="694">
        <f t="shared" si="275"/>
        <v>0</v>
      </c>
      <c r="P341" s="694">
        <f t="shared" si="275"/>
        <v>0</v>
      </c>
      <c r="Q341" s="694">
        <f t="shared" si="275"/>
        <v>0</v>
      </c>
      <c r="R341" s="694">
        <f t="shared" si="275"/>
        <v>0</v>
      </c>
      <c r="S341" s="694">
        <f t="shared" si="275"/>
        <v>0</v>
      </c>
      <c r="T341" s="694">
        <f t="shared" si="275"/>
        <v>0</v>
      </c>
      <c r="U341" s="694">
        <f t="shared" si="275"/>
        <v>0</v>
      </c>
      <c r="V341" s="694">
        <f t="shared" si="275"/>
        <v>0</v>
      </c>
      <c r="W341" s="694">
        <f t="shared" si="275"/>
        <v>0</v>
      </c>
      <c r="X341" s="694">
        <f t="shared" si="275"/>
        <v>0</v>
      </c>
      <c r="Y341" s="694">
        <f t="shared" si="275"/>
        <v>0</v>
      </c>
      <c r="Z341" s="694">
        <f t="shared" si="275"/>
        <v>0</v>
      </c>
      <c r="AA341" s="694">
        <f t="shared" si="275"/>
        <v>0</v>
      </c>
      <c r="AB341" s="694">
        <f t="shared" si="275"/>
        <v>0</v>
      </c>
    </row>
    <row r="342" spans="1:52" x14ac:dyDescent="0.25">
      <c r="A342" s="22"/>
      <c r="B342" s="186" t="str">
        <f t="shared" si="272"/>
        <v>TFMELPG900</v>
      </c>
      <c r="C342" s="186"/>
      <c r="D342" s="187"/>
      <c r="E342" s="186"/>
      <c r="F342" s="170"/>
      <c r="G342" s="189"/>
      <c r="H342" s="170"/>
      <c r="I342" s="183">
        <f>AF$6</f>
        <v>2020</v>
      </c>
      <c r="J342" s="191"/>
      <c r="K342" s="191"/>
      <c r="L342" s="211" t="s">
        <v>1065</v>
      </c>
      <c r="M342" s="191" t="s">
        <v>748</v>
      </c>
      <c r="N342" s="694">
        <f t="shared" ref="N342:AB342" si="276">N340*LOOKUP($AD335,$AH$4:$AQ$4,$AH$6:$AQ$6)</f>
        <v>0</v>
      </c>
      <c r="O342" s="694">
        <f t="shared" si="276"/>
        <v>0</v>
      </c>
      <c r="P342" s="694">
        <f t="shared" si="276"/>
        <v>0</v>
      </c>
      <c r="Q342" s="694">
        <f t="shared" si="276"/>
        <v>0</v>
      </c>
      <c r="R342" s="694">
        <f t="shared" si="276"/>
        <v>0</v>
      </c>
      <c r="S342" s="694">
        <f t="shared" si="276"/>
        <v>0</v>
      </c>
      <c r="T342" s="694">
        <f t="shared" si="276"/>
        <v>0</v>
      </c>
      <c r="U342" s="694">
        <f t="shared" si="276"/>
        <v>0</v>
      </c>
      <c r="V342" s="694">
        <f t="shared" si="276"/>
        <v>0</v>
      </c>
      <c r="W342" s="694">
        <f t="shared" si="276"/>
        <v>0</v>
      </c>
      <c r="X342" s="694">
        <f t="shared" si="276"/>
        <v>0</v>
      </c>
      <c r="Y342" s="694">
        <f t="shared" si="276"/>
        <v>0</v>
      </c>
      <c r="Z342" s="694">
        <f t="shared" si="276"/>
        <v>0</v>
      </c>
      <c r="AA342" s="694">
        <f t="shared" si="276"/>
        <v>0</v>
      </c>
      <c r="AB342" s="694">
        <f t="shared" si="276"/>
        <v>0</v>
      </c>
    </row>
    <row r="343" spans="1:52" x14ac:dyDescent="0.25">
      <c r="A343" s="22"/>
      <c r="B343" s="186" t="str">
        <f t="shared" si="272"/>
        <v>TFMELPG900</v>
      </c>
      <c r="C343" s="186"/>
      <c r="D343" s="187"/>
      <c r="E343" s="186"/>
      <c r="F343" s="170"/>
      <c r="G343" s="189"/>
      <c r="H343" s="170"/>
      <c r="I343" s="183">
        <f>AF$7</f>
        <v>2025</v>
      </c>
      <c r="J343" s="191"/>
      <c r="K343" s="191"/>
      <c r="L343" s="211" t="s">
        <v>1065</v>
      </c>
      <c r="M343" s="191" t="s">
        <v>748</v>
      </c>
      <c r="N343" s="694">
        <f t="shared" ref="N343:AB343" si="277">N340*LOOKUP($AD335,$AH$4:$AQ$4,$AH$7:$AQ$7)</f>
        <v>0</v>
      </c>
      <c r="O343" s="694">
        <f t="shared" si="277"/>
        <v>0</v>
      </c>
      <c r="P343" s="694">
        <f t="shared" si="277"/>
        <v>0</v>
      </c>
      <c r="Q343" s="694">
        <f t="shared" si="277"/>
        <v>0</v>
      </c>
      <c r="R343" s="694">
        <f t="shared" si="277"/>
        <v>0</v>
      </c>
      <c r="S343" s="694">
        <f t="shared" si="277"/>
        <v>0</v>
      </c>
      <c r="T343" s="694">
        <f t="shared" si="277"/>
        <v>0</v>
      </c>
      <c r="U343" s="694">
        <f t="shared" si="277"/>
        <v>0</v>
      </c>
      <c r="V343" s="694">
        <f t="shared" si="277"/>
        <v>0</v>
      </c>
      <c r="W343" s="694">
        <f t="shared" si="277"/>
        <v>0</v>
      </c>
      <c r="X343" s="694">
        <f t="shared" si="277"/>
        <v>0</v>
      </c>
      <c r="Y343" s="694">
        <f t="shared" si="277"/>
        <v>0</v>
      </c>
      <c r="Z343" s="694">
        <f t="shared" si="277"/>
        <v>0</v>
      </c>
      <c r="AA343" s="694">
        <f t="shared" si="277"/>
        <v>0</v>
      </c>
      <c r="AB343" s="694">
        <f t="shared" si="277"/>
        <v>0</v>
      </c>
    </row>
    <row r="344" spans="1:52" x14ac:dyDescent="0.25">
      <c r="A344" s="22"/>
      <c r="B344" s="186" t="str">
        <f t="shared" si="272"/>
        <v>TFMELPG900</v>
      </c>
      <c r="C344" s="186"/>
      <c r="D344" s="187"/>
      <c r="E344" s="186"/>
      <c r="F344" s="170"/>
      <c r="G344" s="189"/>
      <c r="H344" s="170"/>
      <c r="I344" s="183">
        <f>AF$8</f>
        <v>2030</v>
      </c>
      <c r="J344" s="191"/>
      <c r="K344" s="191"/>
      <c r="L344" s="211" t="s">
        <v>1065</v>
      </c>
      <c r="M344" s="191" t="s">
        <v>748</v>
      </c>
      <c r="N344" s="694">
        <f t="shared" ref="N344:AB344" si="278">N340*LOOKUP($AD335,$AH$4:$AQ$4,$AH$8:$AQ$8)</f>
        <v>0</v>
      </c>
      <c r="O344" s="694">
        <f t="shared" si="278"/>
        <v>0</v>
      </c>
      <c r="P344" s="694">
        <f t="shared" si="278"/>
        <v>0</v>
      </c>
      <c r="Q344" s="694">
        <f t="shared" si="278"/>
        <v>0</v>
      </c>
      <c r="R344" s="694">
        <f t="shared" si="278"/>
        <v>0</v>
      </c>
      <c r="S344" s="694">
        <f t="shared" si="278"/>
        <v>0</v>
      </c>
      <c r="T344" s="694">
        <f t="shared" si="278"/>
        <v>0</v>
      </c>
      <c r="U344" s="694">
        <f t="shared" si="278"/>
        <v>0</v>
      </c>
      <c r="V344" s="694">
        <f t="shared" si="278"/>
        <v>0</v>
      </c>
      <c r="W344" s="694">
        <f t="shared" si="278"/>
        <v>0</v>
      </c>
      <c r="X344" s="694">
        <f t="shared" si="278"/>
        <v>0</v>
      </c>
      <c r="Y344" s="694">
        <f t="shared" si="278"/>
        <v>0</v>
      </c>
      <c r="Z344" s="694">
        <f t="shared" si="278"/>
        <v>0</v>
      </c>
      <c r="AA344" s="694">
        <f t="shared" si="278"/>
        <v>0</v>
      </c>
      <c r="AB344" s="694">
        <f t="shared" si="278"/>
        <v>0</v>
      </c>
    </row>
    <row r="345" spans="1:52" x14ac:dyDescent="0.25">
      <c r="A345" s="22"/>
      <c r="B345" s="186" t="str">
        <f t="shared" si="272"/>
        <v>TFMELPG900</v>
      </c>
      <c r="C345" s="186"/>
      <c r="D345" s="187"/>
      <c r="E345" s="186"/>
      <c r="F345" s="170"/>
      <c r="G345" s="189"/>
      <c r="H345" s="170"/>
      <c r="I345" s="183">
        <f>AF$9</f>
        <v>2040</v>
      </c>
      <c r="J345" s="191"/>
      <c r="K345" s="191"/>
      <c r="L345" s="211" t="s">
        <v>1065</v>
      </c>
      <c r="M345" s="191" t="s">
        <v>748</v>
      </c>
      <c r="N345" s="694">
        <f t="shared" ref="N345:AB345" si="279">N340*LOOKUP($AD335,$AH$4:$AQ$4,$AH$9:$AQ$9)</f>
        <v>0</v>
      </c>
      <c r="O345" s="694">
        <f t="shared" si="279"/>
        <v>0</v>
      </c>
      <c r="P345" s="694">
        <f t="shared" si="279"/>
        <v>0</v>
      </c>
      <c r="Q345" s="694">
        <f t="shared" si="279"/>
        <v>0</v>
      </c>
      <c r="R345" s="694">
        <f t="shared" si="279"/>
        <v>0</v>
      </c>
      <c r="S345" s="694">
        <f t="shared" si="279"/>
        <v>0</v>
      </c>
      <c r="T345" s="694">
        <f t="shared" si="279"/>
        <v>0</v>
      </c>
      <c r="U345" s="694">
        <f t="shared" si="279"/>
        <v>0</v>
      </c>
      <c r="V345" s="694">
        <f t="shared" si="279"/>
        <v>0</v>
      </c>
      <c r="W345" s="694">
        <f t="shared" si="279"/>
        <v>0</v>
      </c>
      <c r="X345" s="694">
        <f t="shared" si="279"/>
        <v>0</v>
      </c>
      <c r="Y345" s="694">
        <f t="shared" si="279"/>
        <v>0</v>
      </c>
      <c r="Z345" s="694">
        <f t="shared" si="279"/>
        <v>0</v>
      </c>
      <c r="AA345" s="694">
        <f t="shared" si="279"/>
        <v>0</v>
      </c>
      <c r="AB345" s="694">
        <f t="shared" si="279"/>
        <v>0</v>
      </c>
    </row>
    <row r="346" spans="1:52" x14ac:dyDescent="0.25">
      <c r="A346" s="22"/>
      <c r="B346" s="193" t="str">
        <f t="shared" si="272"/>
        <v>TFMELPG900</v>
      </c>
      <c r="C346" s="193"/>
      <c r="D346" s="194"/>
      <c r="E346" s="193"/>
      <c r="F346" s="196"/>
      <c r="G346" s="195"/>
      <c r="H346" s="196"/>
      <c r="I346" s="208">
        <f>AF$10</f>
        <v>2050</v>
      </c>
      <c r="J346" s="198"/>
      <c r="K346" s="198"/>
      <c r="L346" s="212" t="s">
        <v>1065</v>
      </c>
      <c r="M346" s="198" t="s">
        <v>748</v>
      </c>
      <c r="N346" s="695">
        <f t="shared" ref="N346:AB346" si="280">N340*LOOKUP($AD335,$AH$4:$AQ$4,$AH$10:$AQ$10)</f>
        <v>0</v>
      </c>
      <c r="O346" s="695">
        <f t="shared" si="280"/>
        <v>0</v>
      </c>
      <c r="P346" s="695">
        <f t="shared" si="280"/>
        <v>0</v>
      </c>
      <c r="Q346" s="695">
        <f t="shared" si="280"/>
        <v>0</v>
      </c>
      <c r="R346" s="695">
        <f t="shared" si="280"/>
        <v>0</v>
      </c>
      <c r="S346" s="695">
        <f t="shared" si="280"/>
        <v>0</v>
      </c>
      <c r="T346" s="695">
        <f t="shared" si="280"/>
        <v>0</v>
      </c>
      <c r="U346" s="695">
        <f t="shared" si="280"/>
        <v>0</v>
      </c>
      <c r="V346" s="695">
        <f t="shared" si="280"/>
        <v>0</v>
      </c>
      <c r="W346" s="695">
        <f t="shared" si="280"/>
        <v>0</v>
      </c>
      <c r="X346" s="695">
        <f t="shared" si="280"/>
        <v>0</v>
      </c>
      <c r="Y346" s="695">
        <f t="shared" si="280"/>
        <v>0</v>
      </c>
      <c r="Z346" s="695">
        <f t="shared" si="280"/>
        <v>0</v>
      </c>
      <c r="AA346" s="695">
        <f t="shared" si="280"/>
        <v>0</v>
      </c>
      <c r="AB346" s="695">
        <f t="shared" si="280"/>
        <v>0</v>
      </c>
    </row>
    <row r="347" spans="1:52" x14ac:dyDescent="0.25">
      <c r="A347" s="82"/>
      <c r="B347" s="178" t="str">
        <f>C347</f>
        <v>TFMEPYD900</v>
      </c>
      <c r="C347" s="178" t="s">
        <v>148</v>
      </c>
      <c r="D347" s="179" t="s">
        <v>845</v>
      </c>
      <c r="E347" s="180" t="s">
        <v>185</v>
      </c>
      <c r="F347" s="182"/>
      <c r="G347" s="181"/>
      <c r="H347" s="182"/>
      <c r="I347" s="183"/>
      <c r="J347" s="184"/>
      <c r="K347" s="184"/>
      <c r="L347" s="203" t="s">
        <v>1107</v>
      </c>
      <c r="M347" s="184" t="s">
        <v>1125</v>
      </c>
      <c r="N347" s="378">
        <v>1E-3</v>
      </c>
      <c r="O347" s="378">
        <f t="shared" ref="O347:AB347" si="281">$N347</f>
        <v>1E-3</v>
      </c>
      <c r="P347" s="378">
        <f t="shared" si="281"/>
        <v>1E-3</v>
      </c>
      <c r="Q347" s="378">
        <f t="shared" si="281"/>
        <v>1E-3</v>
      </c>
      <c r="R347" s="378">
        <f t="shared" si="281"/>
        <v>1E-3</v>
      </c>
      <c r="S347" s="378">
        <f t="shared" si="281"/>
        <v>1E-3</v>
      </c>
      <c r="T347" s="378">
        <f t="shared" si="281"/>
        <v>1E-3</v>
      </c>
      <c r="U347" s="378">
        <f t="shared" si="281"/>
        <v>1E-3</v>
      </c>
      <c r="V347" s="378">
        <f t="shared" si="281"/>
        <v>1E-3</v>
      </c>
      <c r="W347" s="378">
        <f t="shared" si="281"/>
        <v>1E-3</v>
      </c>
      <c r="X347" s="378">
        <f t="shared" si="281"/>
        <v>1E-3</v>
      </c>
      <c r="Y347" s="378">
        <f t="shared" si="281"/>
        <v>1E-3</v>
      </c>
      <c r="Z347" s="378">
        <f t="shared" si="281"/>
        <v>1E-3</v>
      </c>
      <c r="AA347" s="378">
        <f t="shared" si="281"/>
        <v>1E-3</v>
      </c>
      <c r="AB347" s="378">
        <f t="shared" si="281"/>
        <v>1E-3</v>
      </c>
      <c r="AC347" s="83"/>
      <c r="AD347" s="410" t="str">
        <f>MID(D347,14,3)</f>
        <v>Plu</v>
      </c>
      <c r="AU347" s="83"/>
      <c r="AV347" s="83"/>
      <c r="AW347" s="83"/>
      <c r="AX347" s="83"/>
      <c r="AY347" s="83"/>
      <c r="AZ347" s="83"/>
    </row>
    <row r="348" spans="1:52" s="83" customFormat="1" x14ac:dyDescent="0.25">
      <c r="A348" s="82"/>
      <c r="B348" s="178" t="str">
        <f>B347</f>
        <v>TFMEPYD900</v>
      </c>
      <c r="C348" s="178"/>
      <c r="D348" s="179"/>
      <c r="E348" s="407" t="s">
        <v>988</v>
      </c>
      <c r="F348" s="182"/>
      <c r="G348" s="181"/>
      <c r="H348" s="182"/>
      <c r="I348" s="183"/>
      <c r="J348" s="184" t="s">
        <v>1223</v>
      </c>
      <c r="K348" s="184"/>
      <c r="L348" s="203" t="s">
        <v>101</v>
      </c>
      <c r="M348" s="184"/>
      <c r="N348" s="390">
        <f>N$28</f>
        <v>0.15</v>
      </c>
      <c r="O348" s="390">
        <f t="shared" ref="O348:AB348" si="282">O$28</f>
        <v>0.15</v>
      </c>
      <c r="P348" s="390">
        <f t="shared" si="282"/>
        <v>0.15</v>
      </c>
      <c r="Q348" s="390">
        <f t="shared" si="282"/>
        <v>0.15</v>
      </c>
      <c r="R348" s="390">
        <f t="shared" si="282"/>
        <v>0.15</v>
      </c>
      <c r="S348" s="390">
        <f t="shared" si="282"/>
        <v>0.15</v>
      </c>
      <c r="T348" s="390">
        <f t="shared" si="282"/>
        <v>0.15</v>
      </c>
      <c r="U348" s="390">
        <f t="shared" si="282"/>
        <v>0.15</v>
      </c>
      <c r="V348" s="390">
        <f t="shared" si="282"/>
        <v>0.15</v>
      </c>
      <c r="W348" s="390">
        <f t="shared" si="282"/>
        <v>0.15</v>
      </c>
      <c r="X348" s="390">
        <f t="shared" si="282"/>
        <v>0.15</v>
      </c>
      <c r="Y348" s="390">
        <f t="shared" si="282"/>
        <v>0.15</v>
      </c>
      <c r="Z348" s="390">
        <f t="shared" si="282"/>
        <v>0.15</v>
      </c>
      <c r="AA348" s="390">
        <f t="shared" si="282"/>
        <v>0.15</v>
      </c>
      <c r="AB348" s="390">
        <f t="shared" si="282"/>
        <v>0.15</v>
      </c>
      <c r="AD348" s="66" t="str">
        <f>IF(COUNTIF($AH$4:$AQ$4,AD347)=1,"ok","MISSING")</f>
        <v>ok</v>
      </c>
      <c r="AF348" s="333"/>
    </row>
    <row r="349" spans="1:52" s="83" customFormat="1" x14ac:dyDescent="0.25">
      <c r="B349" s="178" t="str">
        <f t="shared" ref="B349:B359" si="283">B348</f>
        <v>TFMEPYD900</v>
      </c>
      <c r="C349" s="178"/>
      <c r="D349" s="179"/>
      <c r="E349" s="178"/>
      <c r="F349" s="182"/>
      <c r="G349" s="324" t="s">
        <v>643</v>
      </c>
      <c r="H349" s="182"/>
      <c r="I349" s="183"/>
      <c r="J349" s="184"/>
      <c r="K349" s="184"/>
      <c r="L349" s="184" t="s">
        <v>1126</v>
      </c>
      <c r="M349" s="184" t="s">
        <v>678</v>
      </c>
      <c r="N349" s="676">
        <f>T_CEFF!H267</f>
        <v>0.11937</v>
      </c>
      <c r="O349" s="676">
        <f>T_CEFF!I267</f>
        <v>0.11937</v>
      </c>
      <c r="P349" s="676">
        <f>T_CEFF!J267</f>
        <v>0.11937</v>
      </c>
      <c r="Q349" s="676">
        <f>T_CEFF!K267</f>
        <v>0.11937</v>
      </c>
      <c r="R349" s="676">
        <f>T_CEFF!L267</f>
        <v>0.11937</v>
      </c>
      <c r="S349" s="676">
        <f>T_CEFF!M267</f>
        <v>0.11937</v>
      </c>
      <c r="T349" s="676">
        <f>T_CEFF!N267</f>
        <v>0.11937</v>
      </c>
      <c r="U349" s="676">
        <f>T_CEFF!O267</f>
        <v>0.11937</v>
      </c>
      <c r="V349" s="676">
        <f>T_CEFF!P267</f>
        <v>0.11937</v>
      </c>
      <c r="W349" s="676">
        <f>T_CEFF!Q267</f>
        <v>0.11937</v>
      </c>
      <c r="X349" s="676">
        <f>T_CEFF!R267</f>
        <v>0.11937</v>
      </c>
      <c r="Y349" s="676">
        <f>T_CEFF!S267</f>
        <v>0.11937</v>
      </c>
      <c r="Z349" s="676">
        <f>T_CEFF!T267</f>
        <v>0.11937</v>
      </c>
      <c r="AA349" s="676">
        <f>T_CEFF!U267</f>
        <v>0.11937</v>
      </c>
      <c r="AB349" s="676">
        <f>T_CEFF!V267</f>
        <v>0.11937</v>
      </c>
    </row>
    <row r="350" spans="1:52" s="83" customFormat="1" x14ac:dyDescent="0.25">
      <c r="B350" s="178" t="str">
        <f t="shared" si="283"/>
        <v>TFMEPYD900</v>
      </c>
      <c r="C350" s="178"/>
      <c r="D350" s="179"/>
      <c r="E350" s="178"/>
      <c r="F350" s="182"/>
      <c r="G350" s="324" t="s">
        <v>646</v>
      </c>
      <c r="H350" s="182"/>
      <c r="I350" s="183"/>
      <c r="J350" s="184"/>
      <c r="K350" s="184"/>
      <c r="L350" s="184" t="s">
        <v>1126</v>
      </c>
      <c r="M350" s="184" t="s">
        <v>678</v>
      </c>
      <c r="N350" s="676">
        <f>T_CEFF!H268</f>
        <v>9.5500000000000002E-2</v>
      </c>
      <c r="O350" s="676">
        <f>T_CEFF!I268</f>
        <v>9.5500000000000002E-2</v>
      </c>
      <c r="P350" s="676">
        <f>T_CEFF!J268</f>
        <v>9.5500000000000002E-2</v>
      </c>
      <c r="Q350" s="676">
        <f>T_CEFF!K268</f>
        <v>9.5500000000000002E-2</v>
      </c>
      <c r="R350" s="676">
        <f>T_CEFF!L268</f>
        <v>9.5500000000000002E-2</v>
      </c>
      <c r="S350" s="676">
        <f>T_CEFF!M268</f>
        <v>9.5500000000000002E-2</v>
      </c>
      <c r="T350" s="676">
        <f>T_CEFF!N268</f>
        <v>9.5500000000000002E-2</v>
      </c>
      <c r="U350" s="676">
        <f>T_CEFF!O268</f>
        <v>9.5500000000000002E-2</v>
      </c>
      <c r="V350" s="676">
        <f>T_CEFF!P268</f>
        <v>9.5500000000000002E-2</v>
      </c>
      <c r="W350" s="676">
        <f>T_CEFF!Q268</f>
        <v>9.5500000000000002E-2</v>
      </c>
      <c r="X350" s="676">
        <f>T_CEFF!R268</f>
        <v>9.5500000000000002E-2</v>
      </c>
      <c r="Y350" s="676">
        <f>T_CEFF!S268</f>
        <v>9.5500000000000002E-2</v>
      </c>
      <c r="Z350" s="676">
        <f>T_CEFF!T268</f>
        <v>9.5500000000000002E-2</v>
      </c>
      <c r="AA350" s="676">
        <f>T_CEFF!U268</f>
        <v>9.5500000000000002E-2</v>
      </c>
      <c r="AB350" s="676">
        <f>T_CEFF!V268</f>
        <v>9.5500000000000002E-2</v>
      </c>
    </row>
    <row r="351" spans="1:52" s="83" customFormat="1" x14ac:dyDescent="0.25">
      <c r="B351" s="178" t="str">
        <f>B350</f>
        <v>TFMEPYD900</v>
      </c>
      <c r="C351" s="178"/>
      <c r="D351" s="179"/>
      <c r="E351" s="178"/>
      <c r="F351" s="182"/>
      <c r="G351" s="181"/>
      <c r="H351" s="182"/>
      <c r="I351" s="183"/>
      <c r="J351" s="184"/>
      <c r="K351" s="184" t="s">
        <v>749</v>
      </c>
      <c r="L351" s="184" t="s">
        <v>1128</v>
      </c>
      <c r="M351" s="184" t="s">
        <v>1175</v>
      </c>
      <c r="N351" s="388">
        <f>N$24</f>
        <v>0</v>
      </c>
      <c r="O351" s="388">
        <f t="shared" ref="O351:AB351" si="284">O$24</f>
        <v>0</v>
      </c>
      <c r="P351" s="388">
        <f t="shared" si="284"/>
        <v>0</v>
      </c>
      <c r="Q351" s="388">
        <f t="shared" si="284"/>
        <v>0</v>
      </c>
      <c r="R351" s="388">
        <f t="shared" si="284"/>
        <v>0</v>
      </c>
      <c r="S351" s="388">
        <f t="shared" si="284"/>
        <v>0</v>
      </c>
      <c r="T351" s="388">
        <f t="shared" si="284"/>
        <v>0</v>
      </c>
      <c r="U351" s="388">
        <f t="shared" si="284"/>
        <v>0</v>
      </c>
      <c r="V351" s="388">
        <f t="shared" si="284"/>
        <v>0</v>
      </c>
      <c r="W351" s="388">
        <f t="shared" si="284"/>
        <v>0</v>
      </c>
      <c r="X351" s="388">
        <f t="shared" si="284"/>
        <v>0</v>
      </c>
      <c r="Y351" s="388">
        <f t="shared" si="284"/>
        <v>0</v>
      </c>
      <c r="Z351" s="388">
        <f t="shared" si="284"/>
        <v>0</v>
      </c>
      <c r="AA351" s="388">
        <f t="shared" si="284"/>
        <v>0</v>
      </c>
      <c r="AB351" s="388">
        <f t="shared" si="284"/>
        <v>0</v>
      </c>
    </row>
    <row r="352" spans="1:52" s="83" customFormat="1" x14ac:dyDescent="0.25">
      <c r="B352" s="178" t="str">
        <f t="shared" si="283"/>
        <v>TFMEPYD900</v>
      </c>
      <c r="C352" s="178"/>
      <c r="D352" s="179"/>
      <c r="E352" s="178"/>
      <c r="F352" s="182"/>
      <c r="G352" s="181"/>
      <c r="H352" s="182"/>
      <c r="I352" s="183"/>
      <c r="J352" s="184"/>
      <c r="K352" s="184"/>
      <c r="L352" s="203" t="s">
        <v>1130</v>
      </c>
      <c r="M352" s="184" t="s">
        <v>1131</v>
      </c>
      <c r="N352" s="397">
        <f>LOOKUP($C$347, T_NCAP_AF!$C$170:$C$180, T_NCAP_AF!D$170:D$180)*(1+N228)</f>
        <v>0</v>
      </c>
      <c r="O352" s="397">
        <f>LOOKUP($C$347, T_NCAP_AF!$C$170:$C$180, T_NCAP_AF!E$170:E$180)*(1+O228)</f>
        <v>0</v>
      </c>
      <c r="P352" s="397">
        <f>LOOKUP($C$347, T_NCAP_AF!$C$170:$C$180, T_NCAP_AF!F$170:F$180)*(1+P228)</f>
        <v>0</v>
      </c>
      <c r="Q352" s="397">
        <f>LOOKUP($C$347, T_NCAP_AF!$C$170:$C$180, T_NCAP_AF!G$170:G$180)*(1+Q228)</f>
        <v>0</v>
      </c>
      <c r="R352" s="397">
        <f>LOOKUP($C$347, T_NCAP_AF!$C$170:$C$180, T_NCAP_AF!H$170:H$180)*(1+R228)</f>
        <v>0</v>
      </c>
      <c r="S352" s="397">
        <f>LOOKUP($C$347, T_NCAP_AF!$C$170:$C$180, T_NCAP_AF!I$170:I$180)*(1+S228)</f>
        <v>0</v>
      </c>
      <c r="T352" s="397">
        <f>LOOKUP($C$347, T_NCAP_AF!$C$170:$C$180, T_NCAP_AF!J$170:J$180)*(1+T228)</f>
        <v>0</v>
      </c>
      <c r="U352" s="397">
        <f>LOOKUP($C$347, T_NCAP_AF!$C$170:$C$180, T_NCAP_AF!K$170:K$180)*(1+U228)</f>
        <v>0</v>
      </c>
      <c r="V352" s="397">
        <f>LOOKUP($C$347, T_NCAP_AF!$C$170:$C$180, T_NCAP_AF!L$170:L$180)*(1+V228)</f>
        <v>0</v>
      </c>
      <c r="W352" s="397">
        <f>LOOKUP($C$347, T_NCAP_AF!$C$170:$C$180, T_NCAP_AF!M$170:M$180)*(1+W228)</f>
        <v>0</v>
      </c>
      <c r="X352" s="397">
        <f>LOOKUP($C$347, T_NCAP_AF!$C$170:$C$180, T_NCAP_AF!N$170:N$180)*(1+X228)</f>
        <v>0</v>
      </c>
      <c r="Y352" s="397">
        <f>LOOKUP($C$347, T_NCAP_AF!$C$170:$C$180, T_NCAP_AF!O$170:O$180)*(1+Y228)</f>
        <v>0</v>
      </c>
      <c r="Z352" s="397">
        <f>LOOKUP($C$347, T_NCAP_AF!$C$170:$C$180, T_NCAP_AF!P$170:P$180)*(1+Z228)</f>
        <v>0</v>
      </c>
      <c r="AA352" s="397">
        <f>LOOKUP($C$347, T_NCAP_AF!$C$170:$C$180, T_NCAP_AF!Q$170:Q$180)*(1+AA228)</f>
        <v>0</v>
      </c>
      <c r="AB352" s="397">
        <f>LOOKUP($C$347, T_NCAP_AF!$C$170:$C$180, T_NCAP_AF!R$170:R$180)*(1+AB228)</f>
        <v>0</v>
      </c>
      <c r="AE352" s="572">
        <f>SUM(AF352:AT352)</f>
        <v>0</v>
      </c>
      <c r="AF352" s="85">
        <f t="shared" ref="AF352:AT352" si="285">N351*N352*N353/1000</f>
        <v>0</v>
      </c>
      <c r="AG352" s="85">
        <f t="shared" si="285"/>
        <v>0</v>
      </c>
      <c r="AH352" s="85">
        <f t="shared" si="285"/>
        <v>0</v>
      </c>
      <c r="AI352" s="85">
        <f t="shared" si="285"/>
        <v>0</v>
      </c>
      <c r="AJ352" s="85">
        <f t="shared" si="285"/>
        <v>0</v>
      </c>
      <c r="AK352" s="85">
        <f t="shared" si="285"/>
        <v>0</v>
      </c>
      <c r="AL352" s="85">
        <f t="shared" si="285"/>
        <v>0</v>
      </c>
      <c r="AM352" s="85">
        <f t="shared" si="285"/>
        <v>0</v>
      </c>
      <c r="AN352" s="85">
        <f t="shared" si="285"/>
        <v>0</v>
      </c>
      <c r="AO352" s="85">
        <f t="shared" si="285"/>
        <v>0</v>
      </c>
      <c r="AP352" s="85">
        <f t="shared" si="285"/>
        <v>0</v>
      </c>
      <c r="AQ352" s="85">
        <f t="shared" si="285"/>
        <v>0</v>
      </c>
      <c r="AR352" s="85">
        <f t="shared" si="285"/>
        <v>0</v>
      </c>
      <c r="AS352" s="85">
        <f t="shared" si="285"/>
        <v>0</v>
      </c>
      <c r="AT352" s="85">
        <f t="shared" si="285"/>
        <v>0</v>
      </c>
    </row>
    <row r="353" spans="1:46" s="83" customFormat="1" x14ac:dyDescent="0.25">
      <c r="B353" s="178" t="str">
        <f>B352</f>
        <v>TFMEPYD900</v>
      </c>
      <c r="C353" s="178"/>
      <c r="D353" s="179"/>
      <c r="E353" s="178"/>
      <c r="F353" s="182"/>
      <c r="G353" s="181"/>
      <c r="H353" s="182"/>
      <c r="I353" s="183">
        <f>$M$3</f>
        <v>2019</v>
      </c>
      <c r="J353" s="184"/>
      <c r="K353" s="184"/>
      <c r="L353" s="203" t="s">
        <v>1065</v>
      </c>
      <c r="M353" s="184" t="s">
        <v>748</v>
      </c>
      <c r="N353" s="694">
        <f>LOOKUP($C$347, 'T_Stock_TOTAL_&amp;_City'!$C$106:$C$116, 'T_Stock_TOTAL_&amp;_City'!D$106:D$116)*(1+N229)</f>
        <v>0</v>
      </c>
      <c r="O353" s="694">
        <f>LOOKUP($C$347, 'T_Stock_TOTAL_&amp;_City'!$C$106:$C$116, 'T_Stock_TOTAL_&amp;_City'!E$106:E$116)*(1+O229)</f>
        <v>0</v>
      </c>
      <c r="P353" s="694">
        <f>LOOKUP($C$347, 'T_Stock_TOTAL_&amp;_City'!$C$106:$C$116, 'T_Stock_TOTAL_&amp;_City'!F$106:F$116)*(1+P229)</f>
        <v>0</v>
      </c>
      <c r="Q353" s="694">
        <f>LOOKUP($C$347, 'T_Stock_TOTAL_&amp;_City'!$C$106:$C$116, 'T_Stock_TOTAL_&amp;_City'!G$106:G$116)*(1+Q229)</f>
        <v>0</v>
      </c>
      <c r="R353" s="694">
        <f>LOOKUP($C$347, 'T_Stock_TOTAL_&amp;_City'!$C$106:$C$116, 'T_Stock_TOTAL_&amp;_City'!H$106:H$116)*(1+R229)</f>
        <v>0</v>
      </c>
      <c r="S353" s="694">
        <f>LOOKUP($C$347, 'T_Stock_TOTAL_&amp;_City'!$C$106:$C$116, 'T_Stock_TOTAL_&amp;_City'!I$106:I$116)*(1+S229)</f>
        <v>0</v>
      </c>
      <c r="T353" s="694">
        <f>LOOKUP($C$347, 'T_Stock_TOTAL_&amp;_City'!$C$106:$C$116, 'T_Stock_TOTAL_&amp;_City'!J$106:J$116)*(1+T229)</f>
        <v>0</v>
      </c>
      <c r="U353" s="694">
        <f>LOOKUP($C$347, 'T_Stock_TOTAL_&amp;_City'!$C$106:$C$116, 'T_Stock_TOTAL_&amp;_City'!K$106:K$116)*(1+U229)</f>
        <v>0</v>
      </c>
      <c r="V353" s="694">
        <f>LOOKUP($C$347, 'T_Stock_TOTAL_&amp;_City'!$C$106:$C$116, 'T_Stock_TOTAL_&amp;_City'!L$106:L$116)*(1+V229)</f>
        <v>0</v>
      </c>
      <c r="W353" s="694">
        <f>LOOKUP($C$347, 'T_Stock_TOTAL_&amp;_City'!$C$106:$C$116, 'T_Stock_TOTAL_&amp;_City'!M$106:M$116)*(1+W229)</f>
        <v>0</v>
      </c>
      <c r="X353" s="694">
        <f>LOOKUP($C$347, 'T_Stock_TOTAL_&amp;_City'!$C$106:$C$116, 'T_Stock_TOTAL_&amp;_City'!N$106:N$116)*(1+X229)</f>
        <v>0</v>
      </c>
      <c r="Y353" s="694">
        <f>LOOKUP($C$347, 'T_Stock_TOTAL_&amp;_City'!$C$106:$C$116, 'T_Stock_TOTAL_&amp;_City'!O$106:O$116)*(1+Y229)</f>
        <v>0</v>
      </c>
      <c r="Z353" s="694">
        <f>LOOKUP($C$347, 'T_Stock_TOTAL_&amp;_City'!$C$106:$C$116, 'T_Stock_TOTAL_&amp;_City'!P$106:P$116)*(1+Z229)</f>
        <v>0</v>
      </c>
      <c r="AA353" s="694">
        <f>LOOKUP($C$347, 'T_Stock_TOTAL_&amp;_City'!$C$106:$C$116, 'T_Stock_TOTAL_&amp;_City'!Q$106:Q$116)*(1+AA229)</f>
        <v>0</v>
      </c>
      <c r="AB353" s="694">
        <f>LOOKUP($C$347, 'T_Stock_TOTAL_&amp;_City'!$C$106:$C$116, 'T_Stock_TOTAL_&amp;_City'!R$106:R$116)*(1+AB229)</f>
        <v>0</v>
      </c>
    </row>
    <row r="354" spans="1:46" s="83" customFormat="1" x14ac:dyDescent="0.25">
      <c r="B354" s="178" t="str">
        <f t="shared" si="283"/>
        <v>TFMEPYD900</v>
      </c>
      <c r="C354" s="178"/>
      <c r="D354" s="179"/>
      <c r="E354" s="178"/>
      <c r="F354" s="182"/>
      <c r="G354" s="181"/>
      <c r="H354" s="182"/>
      <c r="I354" s="183">
        <f>AF$5</f>
        <v>2016</v>
      </c>
      <c r="J354" s="184"/>
      <c r="K354" s="184"/>
      <c r="L354" s="203" t="s">
        <v>1065</v>
      </c>
      <c r="M354" s="184" t="s">
        <v>748</v>
      </c>
      <c r="N354" s="694">
        <f t="shared" ref="N354:AB354" si="286">N353*LOOKUP($AD347,$AH$4:$AQ$4,$AH$5:$AQ$5)</f>
        <v>0</v>
      </c>
      <c r="O354" s="694">
        <f t="shared" si="286"/>
        <v>0</v>
      </c>
      <c r="P354" s="694">
        <f t="shared" si="286"/>
        <v>0</v>
      </c>
      <c r="Q354" s="694">
        <f t="shared" si="286"/>
        <v>0</v>
      </c>
      <c r="R354" s="694">
        <f t="shared" si="286"/>
        <v>0</v>
      </c>
      <c r="S354" s="694">
        <f t="shared" si="286"/>
        <v>0</v>
      </c>
      <c r="T354" s="694">
        <f t="shared" si="286"/>
        <v>0</v>
      </c>
      <c r="U354" s="694">
        <f t="shared" si="286"/>
        <v>0</v>
      </c>
      <c r="V354" s="694">
        <f t="shared" si="286"/>
        <v>0</v>
      </c>
      <c r="W354" s="694">
        <f t="shared" si="286"/>
        <v>0</v>
      </c>
      <c r="X354" s="694">
        <f t="shared" si="286"/>
        <v>0</v>
      </c>
      <c r="Y354" s="694">
        <f t="shared" si="286"/>
        <v>0</v>
      </c>
      <c r="Z354" s="694">
        <f t="shared" si="286"/>
        <v>0</v>
      </c>
      <c r="AA354" s="694">
        <f t="shared" si="286"/>
        <v>0</v>
      </c>
      <c r="AB354" s="694">
        <f t="shared" si="286"/>
        <v>0</v>
      </c>
    </row>
    <row r="355" spans="1:46" s="83" customFormat="1" x14ac:dyDescent="0.25">
      <c r="B355" s="178" t="str">
        <f t="shared" si="283"/>
        <v>TFMEPYD900</v>
      </c>
      <c r="C355" s="178"/>
      <c r="D355" s="179"/>
      <c r="E355" s="178"/>
      <c r="F355" s="182"/>
      <c r="G355" s="181"/>
      <c r="H355" s="182"/>
      <c r="I355" s="183">
        <f>AF$6</f>
        <v>2020</v>
      </c>
      <c r="J355" s="184"/>
      <c r="K355" s="184"/>
      <c r="L355" s="203" t="s">
        <v>1065</v>
      </c>
      <c r="M355" s="184" t="s">
        <v>748</v>
      </c>
      <c r="N355" s="694">
        <f t="shared" ref="N355:AB355" si="287">N353*LOOKUP($AD347,$AH$4:$AQ$4,$AH$6:$AQ$6)</f>
        <v>0</v>
      </c>
      <c r="O355" s="694">
        <f t="shared" si="287"/>
        <v>0</v>
      </c>
      <c r="P355" s="694">
        <f t="shared" si="287"/>
        <v>0</v>
      </c>
      <c r="Q355" s="694">
        <f t="shared" si="287"/>
        <v>0</v>
      </c>
      <c r="R355" s="694">
        <f t="shared" si="287"/>
        <v>0</v>
      </c>
      <c r="S355" s="694">
        <f t="shared" si="287"/>
        <v>0</v>
      </c>
      <c r="T355" s="694">
        <f t="shared" si="287"/>
        <v>0</v>
      </c>
      <c r="U355" s="694">
        <f t="shared" si="287"/>
        <v>0</v>
      </c>
      <c r="V355" s="694">
        <f t="shared" si="287"/>
        <v>0</v>
      </c>
      <c r="W355" s="694">
        <f t="shared" si="287"/>
        <v>0</v>
      </c>
      <c r="X355" s="694">
        <f t="shared" si="287"/>
        <v>0</v>
      </c>
      <c r="Y355" s="694">
        <f t="shared" si="287"/>
        <v>0</v>
      </c>
      <c r="Z355" s="694">
        <f t="shared" si="287"/>
        <v>0</v>
      </c>
      <c r="AA355" s="694">
        <f t="shared" si="287"/>
        <v>0</v>
      </c>
      <c r="AB355" s="694">
        <f t="shared" si="287"/>
        <v>0</v>
      </c>
    </row>
    <row r="356" spans="1:46" s="83" customFormat="1" x14ac:dyDescent="0.25">
      <c r="B356" s="178" t="str">
        <f t="shared" si="283"/>
        <v>TFMEPYD900</v>
      </c>
      <c r="C356" s="178"/>
      <c r="D356" s="179"/>
      <c r="E356" s="178"/>
      <c r="F356" s="182"/>
      <c r="G356" s="181"/>
      <c r="H356" s="182"/>
      <c r="I356" s="183">
        <f>AF$7</f>
        <v>2025</v>
      </c>
      <c r="J356" s="184"/>
      <c r="K356" s="184"/>
      <c r="L356" s="203" t="s">
        <v>1065</v>
      </c>
      <c r="M356" s="184" t="s">
        <v>748</v>
      </c>
      <c r="N356" s="694">
        <f t="shared" ref="N356:AB356" si="288">N353*LOOKUP($AD347,$AH$4:$AQ$4,$AH$7:$AQ$7)</f>
        <v>0</v>
      </c>
      <c r="O356" s="694">
        <f t="shared" si="288"/>
        <v>0</v>
      </c>
      <c r="P356" s="694">
        <f t="shared" si="288"/>
        <v>0</v>
      </c>
      <c r="Q356" s="694">
        <f t="shared" si="288"/>
        <v>0</v>
      </c>
      <c r="R356" s="694">
        <f t="shared" si="288"/>
        <v>0</v>
      </c>
      <c r="S356" s="694">
        <f t="shared" si="288"/>
        <v>0</v>
      </c>
      <c r="T356" s="694">
        <f t="shared" si="288"/>
        <v>0</v>
      </c>
      <c r="U356" s="694">
        <f t="shared" si="288"/>
        <v>0</v>
      </c>
      <c r="V356" s="694">
        <f t="shared" si="288"/>
        <v>0</v>
      </c>
      <c r="W356" s="694">
        <f t="shared" si="288"/>
        <v>0</v>
      </c>
      <c r="X356" s="694">
        <f t="shared" si="288"/>
        <v>0</v>
      </c>
      <c r="Y356" s="694">
        <f t="shared" si="288"/>
        <v>0</v>
      </c>
      <c r="Z356" s="694">
        <f t="shared" si="288"/>
        <v>0</v>
      </c>
      <c r="AA356" s="694">
        <f t="shared" si="288"/>
        <v>0</v>
      </c>
      <c r="AB356" s="694">
        <f t="shared" si="288"/>
        <v>0</v>
      </c>
    </row>
    <row r="357" spans="1:46" s="83" customFormat="1" x14ac:dyDescent="0.25">
      <c r="B357" s="178" t="str">
        <f t="shared" si="283"/>
        <v>TFMEPYD900</v>
      </c>
      <c r="C357" s="178"/>
      <c r="D357" s="179"/>
      <c r="E357" s="178"/>
      <c r="F357" s="182"/>
      <c r="G357" s="181"/>
      <c r="H357" s="182"/>
      <c r="I357" s="183">
        <f>AF$8</f>
        <v>2030</v>
      </c>
      <c r="J357" s="184"/>
      <c r="K357" s="184"/>
      <c r="L357" s="203" t="s">
        <v>1065</v>
      </c>
      <c r="M357" s="184" t="s">
        <v>748</v>
      </c>
      <c r="N357" s="694">
        <f t="shared" ref="N357:AB357" si="289">N353*LOOKUP($AD347,$AH$4:$AQ$4,$AH$8:$AQ$8)</f>
        <v>0</v>
      </c>
      <c r="O357" s="694">
        <f t="shared" si="289"/>
        <v>0</v>
      </c>
      <c r="P357" s="694">
        <f t="shared" si="289"/>
        <v>0</v>
      </c>
      <c r="Q357" s="694">
        <f t="shared" si="289"/>
        <v>0</v>
      </c>
      <c r="R357" s="694">
        <f t="shared" si="289"/>
        <v>0</v>
      </c>
      <c r="S357" s="694">
        <f t="shared" si="289"/>
        <v>0</v>
      </c>
      <c r="T357" s="694">
        <f t="shared" si="289"/>
        <v>0</v>
      </c>
      <c r="U357" s="694">
        <f t="shared" si="289"/>
        <v>0</v>
      </c>
      <c r="V357" s="694">
        <f t="shared" si="289"/>
        <v>0</v>
      </c>
      <c r="W357" s="694">
        <f t="shared" si="289"/>
        <v>0</v>
      </c>
      <c r="X357" s="694">
        <f t="shared" si="289"/>
        <v>0</v>
      </c>
      <c r="Y357" s="694">
        <f t="shared" si="289"/>
        <v>0</v>
      </c>
      <c r="Z357" s="694">
        <f t="shared" si="289"/>
        <v>0</v>
      </c>
      <c r="AA357" s="694">
        <f t="shared" si="289"/>
        <v>0</v>
      </c>
      <c r="AB357" s="694">
        <f t="shared" si="289"/>
        <v>0</v>
      </c>
    </row>
    <row r="358" spans="1:46" s="83" customFormat="1" x14ac:dyDescent="0.25">
      <c r="B358" s="178" t="str">
        <f t="shared" si="283"/>
        <v>TFMEPYD900</v>
      </c>
      <c r="C358" s="178"/>
      <c r="D358" s="179"/>
      <c r="E358" s="178"/>
      <c r="F358" s="182"/>
      <c r="G358" s="181"/>
      <c r="H358" s="182"/>
      <c r="I358" s="183">
        <f>AF$9</f>
        <v>2040</v>
      </c>
      <c r="J358" s="184"/>
      <c r="K358" s="184"/>
      <c r="L358" s="203" t="s">
        <v>1065</v>
      </c>
      <c r="M358" s="184" t="s">
        <v>748</v>
      </c>
      <c r="N358" s="694">
        <f t="shared" ref="N358:AB358" si="290">N353*LOOKUP($AD347,$AH$4:$AQ$4,$AH$9:$AQ$9)</f>
        <v>0</v>
      </c>
      <c r="O358" s="694">
        <f t="shared" si="290"/>
        <v>0</v>
      </c>
      <c r="P358" s="694">
        <f t="shared" si="290"/>
        <v>0</v>
      </c>
      <c r="Q358" s="694">
        <f t="shared" si="290"/>
        <v>0</v>
      </c>
      <c r="R358" s="694">
        <f t="shared" si="290"/>
        <v>0</v>
      </c>
      <c r="S358" s="694">
        <f t="shared" si="290"/>
        <v>0</v>
      </c>
      <c r="T358" s="694">
        <f t="shared" si="290"/>
        <v>0</v>
      </c>
      <c r="U358" s="694">
        <f t="shared" si="290"/>
        <v>0</v>
      </c>
      <c r="V358" s="694">
        <f t="shared" si="290"/>
        <v>0</v>
      </c>
      <c r="W358" s="694">
        <f t="shared" si="290"/>
        <v>0</v>
      </c>
      <c r="X358" s="694">
        <f t="shared" si="290"/>
        <v>0</v>
      </c>
      <c r="Y358" s="694">
        <f t="shared" si="290"/>
        <v>0</v>
      </c>
      <c r="Z358" s="694">
        <f t="shared" si="290"/>
        <v>0</v>
      </c>
      <c r="AA358" s="694">
        <f t="shared" si="290"/>
        <v>0</v>
      </c>
      <c r="AB358" s="694">
        <f t="shared" si="290"/>
        <v>0</v>
      </c>
    </row>
    <row r="359" spans="1:46" s="83" customFormat="1" x14ac:dyDescent="0.25">
      <c r="B359" s="204" t="str">
        <f t="shared" si="283"/>
        <v>TFMEPYD900</v>
      </c>
      <c r="C359" s="204"/>
      <c r="D359" s="205"/>
      <c r="E359" s="204"/>
      <c r="F359" s="206"/>
      <c r="G359" s="207"/>
      <c r="H359" s="206"/>
      <c r="I359" s="208">
        <f>AF$10</f>
        <v>2050</v>
      </c>
      <c r="J359" s="209"/>
      <c r="K359" s="209"/>
      <c r="L359" s="210" t="s">
        <v>1065</v>
      </c>
      <c r="M359" s="209" t="s">
        <v>748</v>
      </c>
      <c r="N359" s="695">
        <f t="shared" ref="N359:AB359" si="291">N353*LOOKUP($AD347,$AH$4:$AQ$4,$AH$10:$AQ$10)</f>
        <v>0</v>
      </c>
      <c r="O359" s="695">
        <f t="shared" si="291"/>
        <v>0</v>
      </c>
      <c r="P359" s="695">
        <f t="shared" si="291"/>
        <v>0</v>
      </c>
      <c r="Q359" s="695">
        <f t="shared" si="291"/>
        <v>0</v>
      </c>
      <c r="R359" s="695">
        <f t="shared" si="291"/>
        <v>0</v>
      </c>
      <c r="S359" s="695">
        <f t="shared" si="291"/>
        <v>0</v>
      </c>
      <c r="T359" s="695">
        <f t="shared" si="291"/>
        <v>0</v>
      </c>
      <c r="U359" s="695">
        <f t="shared" si="291"/>
        <v>0</v>
      </c>
      <c r="V359" s="695">
        <f t="shared" si="291"/>
        <v>0</v>
      </c>
      <c r="W359" s="695">
        <f t="shared" si="291"/>
        <v>0</v>
      </c>
      <c r="X359" s="695">
        <f t="shared" si="291"/>
        <v>0</v>
      </c>
      <c r="Y359" s="695">
        <f t="shared" si="291"/>
        <v>0</v>
      </c>
      <c r="Z359" s="695">
        <f t="shared" si="291"/>
        <v>0</v>
      </c>
      <c r="AA359" s="695">
        <f t="shared" si="291"/>
        <v>0</v>
      </c>
      <c r="AB359" s="695">
        <f t="shared" si="291"/>
        <v>0</v>
      </c>
    </row>
    <row r="360" spans="1:46" s="83" customFormat="1" x14ac:dyDescent="0.25">
      <c r="A360" s="82"/>
      <c r="B360" s="178" t="str">
        <f>C360</f>
        <v>TFMEPYG900</v>
      </c>
      <c r="C360" s="178" t="s">
        <v>149</v>
      </c>
      <c r="D360" s="179" t="s">
        <v>847</v>
      </c>
      <c r="E360" s="407" t="s">
        <v>1014</v>
      </c>
      <c r="F360" s="182"/>
      <c r="G360" s="181"/>
      <c r="H360" s="182"/>
      <c r="I360" s="183"/>
      <c r="J360" s="184"/>
      <c r="K360" s="184"/>
      <c r="L360" s="203" t="s">
        <v>1107</v>
      </c>
      <c r="M360" s="184" t="s">
        <v>1125</v>
      </c>
      <c r="N360" s="378">
        <v>1E-3</v>
      </c>
      <c r="O360" s="378">
        <f t="shared" ref="O360:AB360" si="292">$N360</f>
        <v>1E-3</v>
      </c>
      <c r="P360" s="378">
        <f t="shared" si="292"/>
        <v>1E-3</v>
      </c>
      <c r="Q360" s="378">
        <f t="shared" si="292"/>
        <v>1E-3</v>
      </c>
      <c r="R360" s="378">
        <f t="shared" si="292"/>
        <v>1E-3</v>
      </c>
      <c r="S360" s="378">
        <f t="shared" si="292"/>
        <v>1E-3</v>
      </c>
      <c r="T360" s="378">
        <f t="shared" si="292"/>
        <v>1E-3</v>
      </c>
      <c r="U360" s="378">
        <f t="shared" si="292"/>
        <v>1E-3</v>
      </c>
      <c r="V360" s="378">
        <f t="shared" si="292"/>
        <v>1E-3</v>
      </c>
      <c r="W360" s="378">
        <f t="shared" si="292"/>
        <v>1E-3</v>
      </c>
      <c r="X360" s="378">
        <f t="shared" si="292"/>
        <v>1E-3</v>
      </c>
      <c r="Y360" s="378">
        <f t="shared" si="292"/>
        <v>1E-3</v>
      </c>
      <c r="Z360" s="378">
        <f t="shared" si="292"/>
        <v>1E-3</v>
      </c>
      <c r="AA360" s="378">
        <f t="shared" si="292"/>
        <v>1E-3</v>
      </c>
      <c r="AB360" s="378">
        <f t="shared" si="292"/>
        <v>1E-3</v>
      </c>
      <c r="AD360" s="410" t="str">
        <f>MID(D360,14,3)</f>
        <v>Plu</v>
      </c>
    </row>
    <row r="361" spans="1:46" s="83" customFormat="1" x14ac:dyDescent="0.25">
      <c r="A361" s="82"/>
      <c r="B361" s="178" t="str">
        <f>B360</f>
        <v>TFMEPYG900</v>
      </c>
      <c r="C361" s="178"/>
      <c r="D361" s="179"/>
      <c r="E361" s="407" t="s">
        <v>1012</v>
      </c>
      <c r="F361" s="182"/>
      <c r="G361" s="181"/>
      <c r="H361" s="182"/>
      <c r="I361" s="183"/>
      <c r="J361" s="184" t="s">
        <v>1157</v>
      </c>
      <c r="K361" s="184"/>
      <c r="L361" s="203" t="s">
        <v>101</v>
      </c>
      <c r="M361" s="184"/>
      <c r="N361" s="390">
        <f>N$29</f>
        <v>0.03</v>
      </c>
      <c r="O361" s="390">
        <f t="shared" ref="O361:AB361" si="293">O$29</f>
        <v>0.03</v>
      </c>
      <c r="P361" s="390">
        <f t="shared" si="293"/>
        <v>0.03</v>
      </c>
      <c r="Q361" s="390">
        <f t="shared" si="293"/>
        <v>0.03</v>
      </c>
      <c r="R361" s="390">
        <f t="shared" si="293"/>
        <v>0.03</v>
      </c>
      <c r="S361" s="390">
        <f t="shared" si="293"/>
        <v>0.03</v>
      </c>
      <c r="T361" s="390">
        <f t="shared" si="293"/>
        <v>0.03</v>
      </c>
      <c r="U361" s="390">
        <f t="shared" si="293"/>
        <v>0.03</v>
      </c>
      <c r="V361" s="390">
        <f t="shared" si="293"/>
        <v>0.03</v>
      </c>
      <c r="W361" s="390">
        <f t="shared" si="293"/>
        <v>0.03</v>
      </c>
      <c r="X361" s="390">
        <f t="shared" si="293"/>
        <v>0.03</v>
      </c>
      <c r="Y361" s="390">
        <f t="shared" si="293"/>
        <v>0.03</v>
      </c>
      <c r="Z361" s="390">
        <f t="shared" si="293"/>
        <v>0.03</v>
      </c>
      <c r="AA361" s="390">
        <f t="shared" si="293"/>
        <v>0.03</v>
      </c>
      <c r="AB361" s="390">
        <f t="shared" si="293"/>
        <v>0.03</v>
      </c>
      <c r="AD361" s="66" t="str">
        <f>IF(COUNTIF($AH$4:$AQ$4,AD360)=1,"ok","MISSING")</f>
        <v>ok</v>
      </c>
      <c r="AF361" s="333"/>
    </row>
    <row r="362" spans="1:46" s="83" customFormat="1" x14ac:dyDescent="0.25">
      <c r="B362" s="178" t="str">
        <f t="shared" ref="B362:B372" si="294">B361</f>
        <v>TFMEPYG900</v>
      </c>
      <c r="C362" s="178"/>
      <c r="D362" s="179"/>
      <c r="E362" s="178"/>
      <c r="F362" s="182"/>
      <c r="G362" s="324" t="s">
        <v>643</v>
      </c>
      <c r="H362" s="182"/>
      <c r="I362" s="183"/>
      <c r="J362" s="184"/>
      <c r="K362" s="184"/>
      <c r="L362" s="184" t="s">
        <v>1126</v>
      </c>
      <c r="M362" s="184" t="s">
        <v>678</v>
      </c>
      <c r="N362" s="677">
        <f>T_CEFF!H269</f>
        <v>90.909090000000006</v>
      </c>
      <c r="O362" s="677">
        <f>T_CEFF!I269</f>
        <v>90.909090000000006</v>
      </c>
      <c r="P362" s="677">
        <f>T_CEFF!J269</f>
        <v>90.909090000000006</v>
      </c>
      <c r="Q362" s="677">
        <f>T_CEFF!K269</f>
        <v>90.909090000000006</v>
      </c>
      <c r="R362" s="677">
        <f>T_CEFF!L269</f>
        <v>90.909090000000006</v>
      </c>
      <c r="S362" s="677">
        <f>T_CEFF!M269</f>
        <v>90.909090000000006</v>
      </c>
      <c r="T362" s="677">
        <f>T_CEFF!N269</f>
        <v>90.909090000000006</v>
      </c>
      <c r="U362" s="677">
        <f>T_CEFF!O269</f>
        <v>90.909090000000006</v>
      </c>
      <c r="V362" s="677">
        <f>T_CEFF!P269</f>
        <v>90.909090000000006</v>
      </c>
      <c r="W362" s="677">
        <f>T_CEFF!Q269</f>
        <v>90.909090000000006</v>
      </c>
      <c r="X362" s="677">
        <f>T_CEFF!R269</f>
        <v>90.909090000000006</v>
      </c>
      <c r="Y362" s="677">
        <f>T_CEFF!S269</f>
        <v>90.909090000000006</v>
      </c>
      <c r="Z362" s="677">
        <f>T_CEFF!T269</f>
        <v>90.909090000000006</v>
      </c>
      <c r="AA362" s="677">
        <f>T_CEFF!U269</f>
        <v>90.909090000000006</v>
      </c>
      <c r="AB362" s="677">
        <f>T_CEFF!V269</f>
        <v>90.909090000000006</v>
      </c>
    </row>
    <row r="363" spans="1:46" s="83" customFormat="1" x14ac:dyDescent="0.25">
      <c r="B363" s="178" t="str">
        <f t="shared" si="294"/>
        <v>TFMEPYG900</v>
      </c>
      <c r="C363" s="178"/>
      <c r="D363" s="179"/>
      <c r="E363" s="178"/>
      <c r="F363" s="182"/>
      <c r="G363" s="324" t="s">
        <v>646</v>
      </c>
      <c r="H363" s="182"/>
      <c r="I363" s="183"/>
      <c r="J363" s="184"/>
      <c r="K363" s="184"/>
      <c r="L363" s="184" t="s">
        <v>1126</v>
      </c>
      <c r="M363" s="184" t="s">
        <v>678</v>
      </c>
      <c r="N363" s="677">
        <f>T_CEFF!H270</f>
        <v>90.909090000000006</v>
      </c>
      <c r="O363" s="677">
        <f>T_CEFF!I270</f>
        <v>90.909090000000006</v>
      </c>
      <c r="P363" s="677">
        <f>T_CEFF!J270</f>
        <v>90.909090000000006</v>
      </c>
      <c r="Q363" s="677">
        <f>T_CEFF!K270</f>
        <v>90.909090000000006</v>
      </c>
      <c r="R363" s="677">
        <f>T_CEFF!L270</f>
        <v>90.909090000000006</v>
      </c>
      <c r="S363" s="677">
        <f>T_CEFF!M270</f>
        <v>90.909090000000006</v>
      </c>
      <c r="T363" s="677">
        <f>T_CEFF!N270</f>
        <v>90.909090000000006</v>
      </c>
      <c r="U363" s="677">
        <f>T_CEFF!O270</f>
        <v>90.909090000000006</v>
      </c>
      <c r="V363" s="677">
        <f>T_CEFF!P270</f>
        <v>90.909090000000006</v>
      </c>
      <c r="W363" s="677">
        <f>T_CEFF!Q270</f>
        <v>90.909090000000006</v>
      </c>
      <c r="X363" s="677">
        <f>T_CEFF!R270</f>
        <v>90.909090000000006</v>
      </c>
      <c r="Y363" s="677">
        <f>T_CEFF!S270</f>
        <v>90.909090000000006</v>
      </c>
      <c r="Z363" s="677">
        <f>T_CEFF!T270</f>
        <v>90.909090000000006</v>
      </c>
      <c r="AA363" s="677">
        <f>T_CEFF!U270</f>
        <v>90.909090000000006</v>
      </c>
      <c r="AB363" s="677">
        <f>T_CEFF!V270</f>
        <v>90.909090000000006</v>
      </c>
    </row>
    <row r="364" spans="1:46" s="83" customFormat="1" x14ac:dyDescent="0.25">
      <c r="B364" s="178" t="str">
        <f>B363</f>
        <v>TFMEPYG900</v>
      </c>
      <c r="C364" s="178"/>
      <c r="D364" s="179"/>
      <c r="E364" s="178"/>
      <c r="F364" s="182"/>
      <c r="G364" s="181"/>
      <c r="H364" s="182"/>
      <c r="I364" s="183"/>
      <c r="J364" s="184"/>
      <c r="K364" s="184" t="s">
        <v>749</v>
      </c>
      <c r="L364" s="184" t="s">
        <v>1128</v>
      </c>
      <c r="M364" s="184" t="s">
        <v>1175</v>
      </c>
      <c r="N364" s="388">
        <f>N$24</f>
        <v>0</v>
      </c>
      <c r="O364" s="388">
        <f t="shared" ref="O364:AB364" si="295">O$24</f>
        <v>0</v>
      </c>
      <c r="P364" s="388">
        <f t="shared" si="295"/>
        <v>0</v>
      </c>
      <c r="Q364" s="388">
        <f t="shared" si="295"/>
        <v>0</v>
      </c>
      <c r="R364" s="388">
        <f t="shared" si="295"/>
        <v>0</v>
      </c>
      <c r="S364" s="388">
        <f t="shared" si="295"/>
        <v>0</v>
      </c>
      <c r="T364" s="388">
        <f t="shared" si="295"/>
        <v>0</v>
      </c>
      <c r="U364" s="388">
        <f t="shared" si="295"/>
        <v>0</v>
      </c>
      <c r="V364" s="388">
        <f t="shared" si="295"/>
        <v>0</v>
      </c>
      <c r="W364" s="388">
        <f t="shared" si="295"/>
        <v>0</v>
      </c>
      <c r="X364" s="388">
        <f t="shared" si="295"/>
        <v>0</v>
      </c>
      <c r="Y364" s="388">
        <f t="shared" si="295"/>
        <v>0</v>
      </c>
      <c r="Z364" s="388">
        <f t="shared" si="295"/>
        <v>0</v>
      </c>
      <c r="AA364" s="388">
        <f t="shared" si="295"/>
        <v>0</v>
      </c>
      <c r="AB364" s="388">
        <f t="shared" si="295"/>
        <v>0</v>
      </c>
    </row>
    <row r="365" spans="1:46" s="83" customFormat="1" x14ac:dyDescent="0.25">
      <c r="B365" s="178" t="str">
        <f t="shared" si="294"/>
        <v>TFMEPYG900</v>
      </c>
      <c r="C365" s="178"/>
      <c r="D365" s="179"/>
      <c r="E365" s="178"/>
      <c r="F365" s="182"/>
      <c r="G365" s="181"/>
      <c r="H365" s="182"/>
      <c r="I365" s="183"/>
      <c r="J365" s="184"/>
      <c r="K365" s="184"/>
      <c r="L365" s="203" t="s">
        <v>1130</v>
      </c>
      <c r="M365" s="184" t="s">
        <v>1131</v>
      </c>
      <c r="N365" s="397">
        <f>LOOKUP($C$360, T_NCAP_AF!$C$170:$C$180, T_NCAP_AF!D$170:D$180)*(1+N228)</f>
        <v>0</v>
      </c>
      <c r="O365" s="397">
        <f>LOOKUP($C$360, T_NCAP_AF!$C$170:$C$180, T_NCAP_AF!E$170:E$180)*(1+O228)</f>
        <v>0</v>
      </c>
      <c r="P365" s="397">
        <f>LOOKUP($C$360, T_NCAP_AF!$C$170:$C$180, T_NCAP_AF!F$170:F$180)*(1+P228)</f>
        <v>0</v>
      </c>
      <c r="Q365" s="397">
        <f>LOOKUP($C$360, T_NCAP_AF!$C$170:$C$180, T_NCAP_AF!G$170:G$180)*(1+Q228)</f>
        <v>0</v>
      </c>
      <c r="R365" s="397">
        <f>LOOKUP($C$360, T_NCAP_AF!$C$170:$C$180, T_NCAP_AF!H$170:H$180)*(1+R228)</f>
        <v>0</v>
      </c>
      <c r="S365" s="397">
        <f>LOOKUP($C$360, T_NCAP_AF!$C$170:$C$180, T_NCAP_AF!I$170:I$180)*(1+S228)</f>
        <v>0</v>
      </c>
      <c r="T365" s="397">
        <f>LOOKUP($C$360, T_NCAP_AF!$C$170:$C$180, T_NCAP_AF!J$170:J$180)*(1+T228)</f>
        <v>0</v>
      </c>
      <c r="U365" s="397">
        <f>LOOKUP($C$360, T_NCAP_AF!$C$170:$C$180, T_NCAP_AF!K$170:K$180)*(1+U228)</f>
        <v>0</v>
      </c>
      <c r="V365" s="397">
        <f>LOOKUP($C$360, T_NCAP_AF!$C$170:$C$180, T_NCAP_AF!L$170:L$180)*(1+V228)</f>
        <v>0</v>
      </c>
      <c r="W365" s="397">
        <f>LOOKUP($C$360, T_NCAP_AF!$C$170:$C$180, T_NCAP_AF!M$170:M$180)*(1+W228)</f>
        <v>0</v>
      </c>
      <c r="X365" s="397">
        <f>LOOKUP($C$360, T_NCAP_AF!$C$170:$C$180, T_NCAP_AF!N$170:N$180)*(1+X228)</f>
        <v>0</v>
      </c>
      <c r="Y365" s="397">
        <f>LOOKUP($C$360, T_NCAP_AF!$C$170:$C$180, T_NCAP_AF!O$170:O$180)*(1+Y228)</f>
        <v>0</v>
      </c>
      <c r="Z365" s="397">
        <f>LOOKUP($C$360, T_NCAP_AF!$C$170:$C$180, T_NCAP_AF!P$170:P$180)*(1+Z228)</f>
        <v>0</v>
      </c>
      <c r="AA365" s="397">
        <f>LOOKUP($C$360, T_NCAP_AF!$C$170:$C$180, T_NCAP_AF!Q$170:Q$180)*(1+AA228)</f>
        <v>0</v>
      </c>
      <c r="AB365" s="397">
        <f>LOOKUP($C$360, T_NCAP_AF!$C$170:$C$180, T_NCAP_AF!R$170:R$180)*(1+AB228)</f>
        <v>0</v>
      </c>
      <c r="AE365" s="572">
        <f>SUM(AF365:AT365)</f>
        <v>0</v>
      </c>
      <c r="AF365" s="85">
        <f t="shared" ref="AF365:AT365" si="296">N364*N365*N366/1000</f>
        <v>0</v>
      </c>
      <c r="AG365" s="85">
        <f t="shared" si="296"/>
        <v>0</v>
      </c>
      <c r="AH365" s="85">
        <f t="shared" si="296"/>
        <v>0</v>
      </c>
      <c r="AI365" s="85">
        <f t="shared" si="296"/>
        <v>0</v>
      </c>
      <c r="AJ365" s="85">
        <f t="shared" si="296"/>
        <v>0</v>
      </c>
      <c r="AK365" s="85">
        <f t="shared" si="296"/>
        <v>0</v>
      </c>
      <c r="AL365" s="85">
        <f t="shared" si="296"/>
        <v>0</v>
      </c>
      <c r="AM365" s="85">
        <f t="shared" si="296"/>
        <v>0</v>
      </c>
      <c r="AN365" s="85">
        <f t="shared" si="296"/>
        <v>0</v>
      </c>
      <c r="AO365" s="85">
        <f t="shared" si="296"/>
        <v>0</v>
      </c>
      <c r="AP365" s="85">
        <f t="shared" si="296"/>
        <v>0</v>
      </c>
      <c r="AQ365" s="85">
        <f t="shared" si="296"/>
        <v>0</v>
      </c>
      <c r="AR365" s="85">
        <f t="shared" si="296"/>
        <v>0</v>
      </c>
      <c r="AS365" s="85">
        <f t="shared" si="296"/>
        <v>0</v>
      </c>
      <c r="AT365" s="85">
        <f t="shared" si="296"/>
        <v>0</v>
      </c>
    </row>
    <row r="366" spans="1:46" s="83" customFormat="1" x14ac:dyDescent="0.25">
      <c r="B366" s="178" t="str">
        <f>B365</f>
        <v>TFMEPYG900</v>
      </c>
      <c r="C366" s="178"/>
      <c r="D366" s="179"/>
      <c r="E366" s="178"/>
      <c r="F366" s="182"/>
      <c r="G366" s="181"/>
      <c r="H366" s="182"/>
      <c r="I366" s="183">
        <f>$M$3</f>
        <v>2019</v>
      </c>
      <c r="J366" s="184"/>
      <c r="K366" s="184"/>
      <c r="L366" s="203" t="s">
        <v>1065</v>
      </c>
      <c r="M366" s="184" t="s">
        <v>748</v>
      </c>
      <c r="N366" s="694">
        <f>LOOKUP($C$360, 'T_Stock_TOTAL_&amp;_City'!$C$106:$C$116, 'T_Stock_TOTAL_&amp;_City'!D$106:D$116)*(1+N229)</f>
        <v>0</v>
      </c>
      <c r="O366" s="694">
        <f>LOOKUP($C$360, 'T_Stock_TOTAL_&amp;_City'!$C$106:$C$116, 'T_Stock_TOTAL_&amp;_City'!E$106:E$116)*(1+O229)</f>
        <v>0</v>
      </c>
      <c r="P366" s="694">
        <f>LOOKUP($C$360, 'T_Stock_TOTAL_&amp;_City'!$C$106:$C$116, 'T_Stock_TOTAL_&amp;_City'!F$106:F$116)*(1+P229)</f>
        <v>0</v>
      </c>
      <c r="Q366" s="694">
        <f>LOOKUP($C$360, 'T_Stock_TOTAL_&amp;_City'!$C$106:$C$116, 'T_Stock_TOTAL_&amp;_City'!G$106:G$116)*(1+Q229)</f>
        <v>0</v>
      </c>
      <c r="R366" s="694">
        <f>LOOKUP($C$360, 'T_Stock_TOTAL_&amp;_City'!$C$106:$C$116, 'T_Stock_TOTAL_&amp;_City'!H$106:H$116)*(1+R229)</f>
        <v>0</v>
      </c>
      <c r="S366" s="694">
        <f>LOOKUP($C$360, 'T_Stock_TOTAL_&amp;_City'!$C$106:$C$116, 'T_Stock_TOTAL_&amp;_City'!I$106:I$116)*(1+S229)</f>
        <v>0</v>
      </c>
      <c r="T366" s="694">
        <f>LOOKUP($C$360, 'T_Stock_TOTAL_&amp;_City'!$C$106:$C$116, 'T_Stock_TOTAL_&amp;_City'!J$106:J$116)*(1+T229)</f>
        <v>0</v>
      </c>
      <c r="U366" s="694">
        <f>LOOKUP($C$360, 'T_Stock_TOTAL_&amp;_City'!$C$106:$C$116, 'T_Stock_TOTAL_&amp;_City'!K$106:K$116)*(1+U229)</f>
        <v>0</v>
      </c>
      <c r="V366" s="694">
        <f>LOOKUP($C$360, 'T_Stock_TOTAL_&amp;_City'!$C$106:$C$116, 'T_Stock_TOTAL_&amp;_City'!L$106:L$116)*(1+V229)</f>
        <v>0</v>
      </c>
      <c r="W366" s="694">
        <f>LOOKUP($C$360, 'T_Stock_TOTAL_&amp;_City'!$C$106:$C$116, 'T_Stock_TOTAL_&amp;_City'!M$106:M$116)*(1+W229)</f>
        <v>0</v>
      </c>
      <c r="X366" s="694">
        <f>LOOKUP($C$360, 'T_Stock_TOTAL_&amp;_City'!$C$106:$C$116, 'T_Stock_TOTAL_&amp;_City'!N$106:N$116)*(1+X229)</f>
        <v>0</v>
      </c>
      <c r="Y366" s="694">
        <f>LOOKUP($C$360, 'T_Stock_TOTAL_&amp;_City'!$C$106:$C$116, 'T_Stock_TOTAL_&amp;_City'!O$106:O$116)*(1+Y229)</f>
        <v>0</v>
      </c>
      <c r="Z366" s="694">
        <f>LOOKUP($C$360, 'T_Stock_TOTAL_&amp;_City'!$C$106:$C$116, 'T_Stock_TOTAL_&amp;_City'!P$106:P$116)*(1+Z229)</f>
        <v>0</v>
      </c>
      <c r="AA366" s="694">
        <f>LOOKUP($C$360, 'T_Stock_TOTAL_&amp;_City'!$C$106:$C$116, 'T_Stock_TOTAL_&amp;_City'!Q$106:Q$116)*(1+AA229)</f>
        <v>0</v>
      </c>
      <c r="AB366" s="694">
        <f>LOOKUP($C$360, 'T_Stock_TOTAL_&amp;_City'!$C$106:$C$116, 'T_Stock_TOTAL_&amp;_City'!R$106:R$116)*(1+AB229)</f>
        <v>0</v>
      </c>
    </row>
    <row r="367" spans="1:46" s="83" customFormat="1" x14ac:dyDescent="0.25">
      <c r="B367" s="178" t="str">
        <f t="shared" si="294"/>
        <v>TFMEPYG900</v>
      </c>
      <c r="C367" s="178"/>
      <c r="D367" s="179"/>
      <c r="E367" s="178"/>
      <c r="F367" s="182"/>
      <c r="G367" s="181"/>
      <c r="H367" s="182"/>
      <c r="I367" s="183">
        <f>AF$5</f>
        <v>2016</v>
      </c>
      <c r="J367" s="184"/>
      <c r="K367" s="184"/>
      <c r="L367" s="203" t="s">
        <v>1065</v>
      </c>
      <c r="M367" s="184" t="s">
        <v>748</v>
      </c>
      <c r="N367" s="694">
        <f t="shared" ref="N367:AB367" si="297">N366*LOOKUP($AD360,$AH$4:$AQ$4,$AH$5:$AQ$5)</f>
        <v>0</v>
      </c>
      <c r="O367" s="694">
        <f t="shared" si="297"/>
        <v>0</v>
      </c>
      <c r="P367" s="694">
        <f t="shared" si="297"/>
        <v>0</v>
      </c>
      <c r="Q367" s="694">
        <f t="shared" si="297"/>
        <v>0</v>
      </c>
      <c r="R367" s="694">
        <f t="shared" si="297"/>
        <v>0</v>
      </c>
      <c r="S367" s="694">
        <f t="shared" si="297"/>
        <v>0</v>
      </c>
      <c r="T367" s="694">
        <f t="shared" si="297"/>
        <v>0</v>
      </c>
      <c r="U367" s="694">
        <f t="shared" si="297"/>
        <v>0</v>
      </c>
      <c r="V367" s="694">
        <f t="shared" si="297"/>
        <v>0</v>
      </c>
      <c r="W367" s="694">
        <f t="shared" si="297"/>
        <v>0</v>
      </c>
      <c r="X367" s="694">
        <f t="shared" si="297"/>
        <v>0</v>
      </c>
      <c r="Y367" s="694">
        <f t="shared" si="297"/>
        <v>0</v>
      </c>
      <c r="Z367" s="694">
        <f t="shared" si="297"/>
        <v>0</v>
      </c>
      <c r="AA367" s="694">
        <f t="shared" si="297"/>
        <v>0</v>
      </c>
      <c r="AB367" s="694">
        <f t="shared" si="297"/>
        <v>0</v>
      </c>
    </row>
    <row r="368" spans="1:46" s="83" customFormat="1" x14ac:dyDescent="0.25">
      <c r="B368" s="178" t="str">
        <f t="shared" si="294"/>
        <v>TFMEPYG900</v>
      </c>
      <c r="C368" s="178"/>
      <c r="D368" s="179"/>
      <c r="E368" s="178"/>
      <c r="F368" s="182"/>
      <c r="G368" s="181"/>
      <c r="H368" s="182"/>
      <c r="I368" s="183">
        <f>AF$6</f>
        <v>2020</v>
      </c>
      <c r="J368" s="184"/>
      <c r="K368" s="184"/>
      <c r="L368" s="203" t="s">
        <v>1065</v>
      </c>
      <c r="M368" s="184" t="s">
        <v>748</v>
      </c>
      <c r="N368" s="694">
        <f t="shared" ref="N368:AB368" si="298">N366*LOOKUP($AD360,$AH$4:$AQ$4,$AH$6:$AQ$6)</f>
        <v>0</v>
      </c>
      <c r="O368" s="694">
        <f t="shared" si="298"/>
        <v>0</v>
      </c>
      <c r="P368" s="694">
        <f t="shared" si="298"/>
        <v>0</v>
      </c>
      <c r="Q368" s="694">
        <f t="shared" si="298"/>
        <v>0</v>
      </c>
      <c r="R368" s="694">
        <f t="shared" si="298"/>
        <v>0</v>
      </c>
      <c r="S368" s="694">
        <f t="shared" si="298"/>
        <v>0</v>
      </c>
      <c r="T368" s="694">
        <f t="shared" si="298"/>
        <v>0</v>
      </c>
      <c r="U368" s="694">
        <f t="shared" si="298"/>
        <v>0</v>
      </c>
      <c r="V368" s="694">
        <f t="shared" si="298"/>
        <v>0</v>
      </c>
      <c r="W368" s="694">
        <f t="shared" si="298"/>
        <v>0</v>
      </c>
      <c r="X368" s="694">
        <f t="shared" si="298"/>
        <v>0</v>
      </c>
      <c r="Y368" s="694">
        <f t="shared" si="298"/>
        <v>0</v>
      </c>
      <c r="Z368" s="694">
        <f t="shared" si="298"/>
        <v>0</v>
      </c>
      <c r="AA368" s="694">
        <f t="shared" si="298"/>
        <v>0</v>
      </c>
      <c r="AB368" s="694">
        <f t="shared" si="298"/>
        <v>0</v>
      </c>
    </row>
    <row r="369" spans="1:52" s="83" customFormat="1" x14ac:dyDescent="0.25">
      <c r="B369" s="178" t="str">
        <f t="shared" si="294"/>
        <v>TFMEPYG900</v>
      </c>
      <c r="C369" s="178"/>
      <c r="D369" s="179"/>
      <c r="E369" s="178"/>
      <c r="F369" s="182"/>
      <c r="G369" s="181"/>
      <c r="H369" s="182"/>
      <c r="I369" s="183">
        <f>AF$7</f>
        <v>2025</v>
      </c>
      <c r="J369" s="184"/>
      <c r="K369" s="184"/>
      <c r="L369" s="203" t="s">
        <v>1065</v>
      </c>
      <c r="M369" s="184" t="s">
        <v>748</v>
      </c>
      <c r="N369" s="694">
        <f t="shared" ref="N369:AB369" si="299">N366*LOOKUP($AD360,$AH$4:$AQ$4,$AH$7:$AQ$7)</f>
        <v>0</v>
      </c>
      <c r="O369" s="694">
        <f t="shared" si="299"/>
        <v>0</v>
      </c>
      <c r="P369" s="694">
        <f t="shared" si="299"/>
        <v>0</v>
      </c>
      <c r="Q369" s="694">
        <f t="shared" si="299"/>
        <v>0</v>
      </c>
      <c r="R369" s="694">
        <f t="shared" si="299"/>
        <v>0</v>
      </c>
      <c r="S369" s="694">
        <f t="shared" si="299"/>
        <v>0</v>
      </c>
      <c r="T369" s="694">
        <f t="shared" si="299"/>
        <v>0</v>
      </c>
      <c r="U369" s="694">
        <f t="shared" si="299"/>
        <v>0</v>
      </c>
      <c r="V369" s="694">
        <f t="shared" si="299"/>
        <v>0</v>
      </c>
      <c r="W369" s="694">
        <f t="shared" si="299"/>
        <v>0</v>
      </c>
      <c r="X369" s="694">
        <f t="shared" si="299"/>
        <v>0</v>
      </c>
      <c r="Y369" s="694">
        <f t="shared" si="299"/>
        <v>0</v>
      </c>
      <c r="Z369" s="694">
        <f t="shared" si="299"/>
        <v>0</v>
      </c>
      <c r="AA369" s="694">
        <f t="shared" si="299"/>
        <v>0</v>
      </c>
      <c r="AB369" s="694">
        <f t="shared" si="299"/>
        <v>0</v>
      </c>
    </row>
    <row r="370" spans="1:52" s="83" customFormat="1" x14ac:dyDescent="0.25">
      <c r="B370" s="178" t="str">
        <f t="shared" si="294"/>
        <v>TFMEPYG900</v>
      </c>
      <c r="C370" s="178"/>
      <c r="D370" s="179"/>
      <c r="E370" s="178"/>
      <c r="F370" s="182"/>
      <c r="G370" s="181"/>
      <c r="H370" s="182"/>
      <c r="I370" s="183">
        <f>AF$8</f>
        <v>2030</v>
      </c>
      <c r="J370" s="184"/>
      <c r="K370" s="184"/>
      <c r="L370" s="203" t="s">
        <v>1065</v>
      </c>
      <c r="M370" s="184" t="s">
        <v>748</v>
      </c>
      <c r="N370" s="694">
        <f t="shared" ref="N370:AB370" si="300">N366*LOOKUP($AD360,$AH$4:$AQ$4,$AH$8:$AQ$8)</f>
        <v>0</v>
      </c>
      <c r="O370" s="694">
        <f t="shared" si="300"/>
        <v>0</v>
      </c>
      <c r="P370" s="694">
        <f t="shared" si="300"/>
        <v>0</v>
      </c>
      <c r="Q370" s="694">
        <f t="shared" si="300"/>
        <v>0</v>
      </c>
      <c r="R370" s="694">
        <f t="shared" si="300"/>
        <v>0</v>
      </c>
      <c r="S370" s="694">
        <f t="shared" si="300"/>
        <v>0</v>
      </c>
      <c r="T370" s="694">
        <f t="shared" si="300"/>
        <v>0</v>
      </c>
      <c r="U370" s="694">
        <f t="shared" si="300"/>
        <v>0</v>
      </c>
      <c r="V370" s="694">
        <f t="shared" si="300"/>
        <v>0</v>
      </c>
      <c r="W370" s="694">
        <f t="shared" si="300"/>
        <v>0</v>
      </c>
      <c r="X370" s="694">
        <f t="shared" si="300"/>
        <v>0</v>
      </c>
      <c r="Y370" s="694">
        <f t="shared" si="300"/>
        <v>0</v>
      </c>
      <c r="Z370" s="694">
        <f t="shared" si="300"/>
        <v>0</v>
      </c>
      <c r="AA370" s="694">
        <f t="shared" si="300"/>
        <v>0</v>
      </c>
      <c r="AB370" s="694">
        <f t="shared" si="300"/>
        <v>0</v>
      </c>
    </row>
    <row r="371" spans="1:52" s="83" customFormat="1" x14ac:dyDescent="0.25">
      <c r="B371" s="178" t="str">
        <f t="shared" si="294"/>
        <v>TFMEPYG900</v>
      </c>
      <c r="C371" s="178"/>
      <c r="D371" s="179"/>
      <c r="E371" s="178"/>
      <c r="F371" s="182"/>
      <c r="G371" s="181"/>
      <c r="H371" s="182"/>
      <c r="I371" s="183">
        <f>AF$9</f>
        <v>2040</v>
      </c>
      <c r="J371" s="184"/>
      <c r="K371" s="184"/>
      <c r="L371" s="203" t="s">
        <v>1065</v>
      </c>
      <c r="M371" s="184" t="s">
        <v>748</v>
      </c>
      <c r="N371" s="694">
        <f t="shared" ref="N371:AB371" si="301">N366*LOOKUP($AD360,$AH$4:$AQ$4,$AH$9:$AQ$9)</f>
        <v>0</v>
      </c>
      <c r="O371" s="694">
        <f t="shared" si="301"/>
        <v>0</v>
      </c>
      <c r="P371" s="694">
        <f t="shared" si="301"/>
        <v>0</v>
      </c>
      <c r="Q371" s="694">
        <f t="shared" si="301"/>
        <v>0</v>
      </c>
      <c r="R371" s="694">
        <f t="shared" si="301"/>
        <v>0</v>
      </c>
      <c r="S371" s="694">
        <f t="shared" si="301"/>
        <v>0</v>
      </c>
      <c r="T371" s="694">
        <f t="shared" si="301"/>
        <v>0</v>
      </c>
      <c r="U371" s="694">
        <f t="shared" si="301"/>
        <v>0</v>
      </c>
      <c r="V371" s="694">
        <f t="shared" si="301"/>
        <v>0</v>
      </c>
      <c r="W371" s="694">
        <f t="shared" si="301"/>
        <v>0</v>
      </c>
      <c r="X371" s="694">
        <f t="shared" si="301"/>
        <v>0</v>
      </c>
      <c r="Y371" s="694">
        <f t="shared" si="301"/>
        <v>0</v>
      </c>
      <c r="Z371" s="694">
        <f t="shared" si="301"/>
        <v>0</v>
      </c>
      <c r="AA371" s="694">
        <f t="shared" si="301"/>
        <v>0</v>
      </c>
      <c r="AB371" s="694">
        <f t="shared" si="301"/>
        <v>0</v>
      </c>
    </row>
    <row r="372" spans="1:52" s="83" customFormat="1" x14ac:dyDescent="0.25">
      <c r="B372" s="204" t="str">
        <f t="shared" si="294"/>
        <v>TFMEPYG900</v>
      </c>
      <c r="C372" s="204"/>
      <c r="D372" s="205"/>
      <c r="E372" s="204"/>
      <c r="F372" s="206"/>
      <c r="G372" s="207"/>
      <c r="H372" s="206"/>
      <c r="I372" s="208">
        <f>AF$10</f>
        <v>2050</v>
      </c>
      <c r="J372" s="209"/>
      <c r="K372" s="209"/>
      <c r="L372" s="210" t="s">
        <v>1065</v>
      </c>
      <c r="M372" s="209" t="s">
        <v>748</v>
      </c>
      <c r="N372" s="695">
        <f t="shared" ref="N372:AB372" si="302">N366*LOOKUP($AD360,$AH$4:$AQ$4,$AH$10:$AQ$10)</f>
        <v>0</v>
      </c>
      <c r="O372" s="695">
        <f t="shared" si="302"/>
        <v>0</v>
      </c>
      <c r="P372" s="695">
        <f t="shared" si="302"/>
        <v>0</v>
      </c>
      <c r="Q372" s="695">
        <f t="shared" si="302"/>
        <v>0</v>
      </c>
      <c r="R372" s="695">
        <f t="shared" si="302"/>
        <v>0</v>
      </c>
      <c r="S372" s="695">
        <f t="shared" si="302"/>
        <v>0</v>
      </c>
      <c r="T372" s="695">
        <f t="shared" si="302"/>
        <v>0</v>
      </c>
      <c r="U372" s="695">
        <f t="shared" si="302"/>
        <v>0</v>
      </c>
      <c r="V372" s="695">
        <f t="shared" si="302"/>
        <v>0</v>
      </c>
      <c r="W372" s="695">
        <f t="shared" si="302"/>
        <v>0</v>
      </c>
      <c r="X372" s="695">
        <f t="shared" si="302"/>
        <v>0</v>
      </c>
      <c r="Y372" s="695">
        <f t="shared" si="302"/>
        <v>0</v>
      </c>
      <c r="Z372" s="695">
        <f t="shared" si="302"/>
        <v>0</v>
      </c>
      <c r="AA372" s="695">
        <f t="shared" si="302"/>
        <v>0</v>
      </c>
      <c r="AB372" s="695">
        <f t="shared" si="302"/>
        <v>0</v>
      </c>
    </row>
    <row r="373" spans="1:52" s="83" customFormat="1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70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5" spans="1:52" x14ac:dyDescent="0.25">
      <c r="B375" s="556" t="s">
        <v>1133</v>
      </c>
      <c r="D375" s="44"/>
      <c r="M375" s="473" t="s">
        <v>1152</v>
      </c>
      <c r="N375" s="482">
        <v>0</v>
      </c>
      <c r="O375" s="482">
        <f>N375</f>
        <v>0</v>
      </c>
      <c r="P375" s="482">
        <f>O375</f>
        <v>0</v>
      </c>
      <c r="Q375" s="482">
        <f t="shared" ref="Q375:AB375" si="303">P375</f>
        <v>0</v>
      </c>
      <c r="R375" s="482">
        <f t="shared" si="303"/>
        <v>0</v>
      </c>
      <c r="S375" s="482">
        <f t="shared" si="303"/>
        <v>0</v>
      </c>
      <c r="T375" s="482">
        <f t="shared" si="303"/>
        <v>0</v>
      </c>
      <c r="U375" s="482">
        <f t="shared" si="303"/>
        <v>0</v>
      </c>
      <c r="V375" s="482">
        <f t="shared" si="303"/>
        <v>0</v>
      </c>
      <c r="W375" s="482">
        <f t="shared" si="303"/>
        <v>0</v>
      </c>
      <c r="X375" s="482">
        <f t="shared" si="303"/>
        <v>0</v>
      </c>
      <c r="Y375" s="482">
        <f t="shared" si="303"/>
        <v>0</v>
      </c>
      <c r="Z375" s="482">
        <f t="shared" si="303"/>
        <v>0</v>
      </c>
      <c r="AA375" s="482">
        <f t="shared" si="303"/>
        <v>0</v>
      </c>
      <c r="AB375" s="482">
        <f t="shared" si="303"/>
        <v>0</v>
      </c>
    </row>
    <row r="376" spans="1:52" x14ac:dyDescent="0.25">
      <c r="B376" s="32" t="s">
        <v>1225</v>
      </c>
      <c r="C376" s="26"/>
      <c r="D376" s="26"/>
      <c r="I376" s="36"/>
      <c r="M376" s="473" t="s">
        <v>1154</v>
      </c>
      <c r="N376" s="482">
        <v>0</v>
      </c>
      <c r="O376" s="482">
        <f>N376</f>
        <v>0</v>
      </c>
      <c r="P376" s="482">
        <f t="shared" ref="P376:AB376" si="304">O376</f>
        <v>0</v>
      </c>
      <c r="Q376" s="482">
        <f t="shared" si="304"/>
        <v>0</v>
      </c>
      <c r="R376" s="482">
        <f t="shared" si="304"/>
        <v>0</v>
      </c>
      <c r="S376" s="482">
        <f t="shared" si="304"/>
        <v>0</v>
      </c>
      <c r="T376" s="482">
        <f t="shared" si="304"/>
        <v>0</v>
      </c>
      <c r="U376" s="482">
        <f t="shared" si="304"/>
        <v>0</v>
      </c>
      <c r="V376" s="482">
        <f t="shared" si="304"/>
        <v>0</v>
      </c>
      <c r="W376" s="482">
        <f t="shared" si="304"/>
        <v>0</v>
      </c>
      <c r="X376" s="482">
        <f t="shared" si="304"/>
        <v>0</v>
      </c>
      <c r="Y376" s="482">
        <f t="shared" si="304"/>
        <v>0</v>
      </c>
      <c r="Z376" s="482">
        <f t="shared" si="304"/>
        <v>0</v>
      </c>
      <c r="AA376" s="482">
        <f t="shared" si="304"/>
        <v>0</v>
      </c>
      <c r="AB376" s="482">
        <f t="shared" si="304"/>
        <v>0</v>
      </c>
    </row>
    <row r="377" spans="1:52" x14ac:dyDescent="0.25">
      <c r="M377" s="35"/>
    </row>
    <row r="378" spans="1:52" x14ac:dyDescent="0.25">
      <c r="C378" s="50"/>
      <c r="D378" s="50"/>
      <c r="H378" s="41"/>
      <c r="I378" s="51"/>
      <c r="J378" s="41"/>
      <c r="K378" s="41"/>
      <c r="L378" s="40" t="str">
        <f>IF(SUM(N14:AB15)&gt;0,"~FI_T","Not in use")</f>
        <v>Not in use</v>
      </c>
      <c r="M378" s="40"/>
      <c r="R378" s="41"/>
      <c r="W378" s="41"/>
      <c r="AC378" s="41"/>
      <c r="AD378" s="49" t="str">
        <f>CONCATENATE("TEST: ",B376)</f>
        <v>TEST: Base-year: Heavy Trucks (HGV) &gt;16 tons - City's OWN organisation</v>
      </c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</row>
    <row r="379" spans="1:52" s="22" customFormat="1" x14ac:dyDescent="0.25">
      <c r="A379" s="35"/>
      <c r="B379" s="52" t="s">
        <v>1053</v>
      </c>
      <c r="C379" s="26" t="s">
        <v>104</v>
      </c>
      <c r="D379" s="26" t="s">
        <v>1054</v>
      </c>
      <c r="E379" s="26" t="s">
        <v>673</v>
      </c>
      <c r="F379" s="26" t="s">
        <v>1155</v>
      </c>
      <c r="G379" s="26" t="s">
        <v>674</v>
      </c>
      <c r="H379" s="26" t="s">
        <v>1055</v>
      </c>
      <c r="I379" s="53" t="s">
        <v>1056</v>
      </c>
      <c r="J379" s="26" t="s">
        <v>982</v>
      </c>
      <c r="K379" s="42" t="s">
        <v>1123</v>
      </c>
      <c r="L379" s="26" t="s">
        <v>1057</v>
      </c>
      <c r="M379" s="26" t="s">
        <v>1058</v>
      </c>
      <c r="N379" s="26" t="str">
        <f t="shared" ref="N379:AB379" si="305">N$2</f>
        <v>Z01</v>
      </c>
      <c r="O379" s="26" t="str">
        <f t="shared" si="305"/>
        <v>Z02</v>
      </c>
      <c r="P379" s="26" t="str">
        <f t="shared" si="305"/>
        <v>Z03</v>
      </c>
      <c r="Q379" s="26" t="str">
        <f t="shared" si="305"/>
        <v>Z04</v>
      </c>
      <c r="R379" s="26" t="str">
        <f t="shared" si="305"/>
        <v>Z05</v>
      </c>
      <c r="S379" s="26" t="str">
        <f t="shared" si="305"/>
        <v>Z06</v>
      </c>
      <c r="T379" s="26" t="str">
        <f t="shared" si="305"/>
        <v>Z07</v>
      </c>
      <c r="U379" s="26" t="str">
        <f t="shared" si="305"/>
        <v>Z08</v>
      </c>
      <c r="V379" s="26" t="str">
        <f t="shared" si="305"/>
        <v>Z09</v>
      </c>
      <c r="W379" s="26" t="str">
        <f t="shared" si="305"/>
        <v>Z10</v>
      </c>
      <c r="X379" s="26" t="str">
        <f t="shared" si="305"/>
        <v>Z11</v>
      </c>
      <c r="Y379" s="26" t="str">
        <f t="shared" si="305"/>
        <v>Z12</v>
      </c>
      <c r="Z379" s="26" t="str">
        <f t="shared" si="305"/>
        <v>Z13</v>
      </c>
      <c r="AA379" s="26" t="str">
        <f t="shared" si="305"/>
        <v>Z14</v>
      </c>
      <c r="AB379" s="26" t="str">
        <f t="shared" si="305"/>
        <v>Z15</v>
      </c>
      <c r="AC379" s="48"/>
      <c r="AD379" s="43"/>
      <c r="AE379" s="43" t="s">
        <v>421</v>
      </c>
      <c r="AF379" s="43" t="str">
        <f t="shared" ref="AF379:AT379" si="306">N379</f>
        <v>Z01</v>
      </c>
      <c r="AG379" s="43" t="str">
        <f t="shared" si="306"/>
        <v>Z02</v>
      </c>
      <c r="AH379" s="43" t="str">
        <f t="shared" si="306"/>
        <v>Z03</v>
      </c>
      <c r="AI379" s="43" t="str">
        <f t="shared" si="306"/>
        <v>Z04</v>
      </c>
      <c r="AJ379" s="43" t="str">
        <f t="shared" si="306"/>
        <v>Z05</v>
      </c>
      <c r="AK379" s="43" t="str">
        <f t="shared" si="306"/>
        <v>Z06</v>
      </c>
      <c r="AL379" s="43" t="str">
        <f t="shared" si="306"/>
        <v>Z07</v>
      </c>
      <c r="AM379" s="43" t="str">
        <f t="shared" si="306"/>
        <v>Z08</v>
      </c>
      <c r="AN379" s="43" t="str">
        <f t="shared" si="306"/>
        <v>Z09</v>
      </c>
      <c r="AO379" s="43" t="str">
        <f t="shared" si="306"/>
        <v>Z10</v>
      </c>
      <c r="AP379" s="43" t="str">
        <f t="shared" si="306"/>
        <v>Z11</v>
      </c>
      <c r="AQ379" s="43" t="str">
        <f t="shared" si="306"/>
        <v>Z12</v>
      </c>
      <c r="AR379" s="43" t="str">
        <f t="shared" si="306"/>
        <v>Z13</v>
      </c>
      <c r="AS379" s="43" t="str">
        <f t="shared" si="306"/>
        <v>Z14</v>
      </c>
      <c r="AT379" s="43" t="str">
        <f t="shared" si="306"/>
        <v>Z15</v>
      </c>
    </row>
    <row r="380" spans="1:52" s="22" customFormat="1" x14ac:dyDescent="0.25">
      <c r="A380" s="35"/>
      <c r="B380" s="176"/>
      <c r="C380" s="176"/>
      <c r="D380" s="176" t="s">
        <v>1062</v>
      </c>
      <c r="E380" s="176"/>
      <c r="F380" s="176"/>
      <c r="G380" s="176"/>
      <c r="H380" s="176"/>
      <c r="I380" s="177"/>
      <c r="J380" s="176"/>
      <c r="K380" s="176"/>
      <c r="L380" s="176"/>
      <c r="M380" s="202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35"/>
      <c r="AD380" s="398" t="s">
        <v>1124</v>
      </c>
      <c r="AE380" s="625" t="str">
        <f>IF(AE381-SUM(N14:AB15)&lt;0,"too small",IF(AE381-SUM(N14:AB15)&gt;0.001,"Too big","ok"))</f>
        <v>ok</v>
      </c>
      <c r="AF380" s="619" t="str">
        <f t="shared" ref="AF380:AT380" si="307">IF(AF381-SUM(N14:N15)&lt;0,"too small",IF(AF381-SUM(N14:N15)&gt;0.001,"Too big","ok"))</f>
        <v>ok</v>
      </c>
      <c r="AG380" s="619" t="str">
        <f t="shared" si="307"/>
        <v>ok</v>
      </c>
      <c r="AH380" s="619" t="str">
        <f t="shared" si="307"/>
        <v>ok</v>
      </c>
      <c r="AI380" s="619" t="str">
        <f t="shared" si="307"/>
        <v>ok</v>
      </c>
      <c r="AJ380" s="619" t="str">
        <f t="shared" si="307"/>
        <v>ok</v>
      </c>
      <c r="AK380" s="619" t="str">
        <f t="shared" si="307"/>
        <v>ok</v>
      </c>
      <c r="AL380" s="619" t="str">
        <f t="shared" si="307"/>
        <v>ok</v>
      </c>
      <c r="AM380" s="619" t="str">
        <f t="shared" si="307"/>
        <v>ok</v>
      </c>
      <c r="AN380" s="619" t="str">
        <f t="shared" si="307"/>
        <v>ok</v>
      </c>
      <c r="AO380" s="619" t="str">
        <f t="shared" si="307"/>
        <v>ok</v>
      </c>
      <c r="AP380" s="619" t="str">
        <f t="shared" si="307"/>
        <v>ok</v>
      </c>
      <c r="AQ380" s="619" t="str">
        <f t="shared" si="307"/>
        <v>ok</v>
      </c>
      <c r="AR380" s="619" t="str">
        <f t="shared" si="307"/>
        <v>ok</v>
      </c>
      <c r="AS380" s="619" t="str">
        <f t="shared" si="307"/>
        <v>ok</v>
      </c>
      <c r="AT380" s="619" t="str">
        <f t="shared" si="307"/>
        <v>ok</v>
      </c>
    </row>
    <row r="381" spans="1:52" s="22" customFormat="1" x14ac:dyDescent="0.25">
      <c r="A381" s="82"/>
      <c r="B381" s="178" t="str">
        <f>C381</f>
        <v>TFREBDL900</v>
      </c>
      <c r="C381" s="178" t="s">
        <v>151</v>
      </c>
      <c r="D381" s="179" t="s">
        <v>849</v>
      </c>
      <c r="E381" s="407" t="s">
        <v>988</v>
      </c>
      <c r="F381" s="182"/>
      <c r="G381" s="181"/>
      <c r="H381" s="182"/>
      <c r="I381" s="183"/>
      <c r="J381" s="184"/>
      <c r="K381" s="184"/>
      <c r="L381" s="203" t="s">
        <v>1107</v>
      </c>
      <c r="M381" s="184" t="s">
        <v>1125</v>
      </c>
      <c r="N381" s="378">
        <v>1E-3</v>
      </c>
      <c r="O381" s="378">
        <f t="shared" ref="O381:AB381" si="308">$N381</f>
        <v>1E-3</v>
      </c>
      <c r="P381" s="378">
        <f t="shared" si="308"/>
        <v>1E-3</v>
      </c>
      <c r="Q381" s="378">
        <f t="shared" si="308"/>
        <v>1E-3</v>
      </c>
      <c r="R381" s="378">
        <f t="shared" si="308"/>
        <v>1E-3</v>
      </c>
      <c r="S381" s="378">
        <f t="shared" si="308"/>
        <v>1E-3</v>
      </c>
      <c r="T381" s="378">
        <f t="shared" si="308"/>
        <v>1E-3</v>
      </c>
      <c r="U381" s="378">
        <f t="shared" si="308"/>
        <v>1E-3</v>
      </c>
      <c r="V381" s="378">
        <f t="shared" si="308"/>
        <v>1E-3</v>
      </c>
      <c r="W381" s="378">
        <f t="shared" si="308"/>
        <v>1E-3</v>
      </c>
      <c r="X381" s="378">
        <f t="shared" si="308"/>
        <v>1E-3</v>
      </c>
      <c r="Y381" s="378">
        <f t="shared" si="308"/>
        <v>1E-3</v>
      </c>
      <c r="Z381" s="378">
        <f t="shared" si="308"/>
        <v>1E-3</v>
      </c>
      <c r="AA381" s="378">
        <f t="shared" si="308"/>
        <v>1E-3</v>
      </c>
      <c r="AB381" s="378">
        <f t="shared" si="308"/>
        <v>1E-3</v>
      </c>
      <c r="AC381" s="83"/>
      <c r="AD381" s="56" t="str">
        <f>MID(D381,13,3)</f>
        <v>BDL</v>
      </c>
      <c r="AE381" s="93">
        <f>SUM(AF381:AT381)</f>
        <v>0</v>
      </c>
      <c r="AF381" s="586">
        <f t="shared" ref="AF381:AT381" si="309">SUM(AF385:AF512)</f>
        <v>0</v>
      </c>
      <c r="AG381" s="586">
        <f t="shared" si="309"/>
        <v>0</v>
      </c>
      <c r="AH381" s="586">
        <f t="shared" si="309"/>
        <v>0</v>
      </c>
      <c r="AI381" s="586">
        <f t="shared" si="309"/>
        <v>0</v>
      </c>
      <c r="AJ381" s="586">
        <f t="shared" si="309"/>
        <v>0</v>
      </c>
      <c r="AK381" s="586">
        <f t="shared" si="309"/>
        <v>0</v>
      </c>
      <c r="AL381" s="586">
        <f t="shared" si="309"/>
        <v>0</v>
      </c>
      <c r="AM381" s="586">
        <f t="shared" si="309"/>
        <v>0</v>
      </c>
      <c r="AN381" s="586">
        <f t="shared" si="309"/>
        <v>0</v>
      </c>
      <c r="AO381" s="586">
        <f t="shared" si="309"/>
        <v>0</v>
      </c>
      <c r="AP381" s="586">
        <f t="shared" si="309"/>
        <v>0</v>
      </c>
      <c r="AQ381" s="586">
        <f t="shared" si="309"/>
        <v>0</v>
      </c>
      <c r="AR381" s="586">
        <f t="shared" si="309"/>
        <v>0</v>
      </c>
      <c r="AS381" s="586">
        <f t="shared" si="309"/>
        <v>0</v>
      </c>
      <c r="AT381" s="586">
        <f t="shared" si="309"/>
        <v>0</v>
      </c>
      <c r="AU381" s="83"/>
      <c r="AV381" s="83"/>
      <c r="AW381" s="83"/>
      <c r="AX381" s="83"/>
      <c r="AY381" s="83"/>
      <c r="AZ381" s="83"/>
    </row>
    <row r="382" spans="1:52" s="83" customFormat="1" x14ac:dyDescent="0.25">
      <c r="A382" s="35"/>
      <c r="B382" s="186" t="str">
        <f>B381</f>
        <v>TFREBDL900</v>
      </c>
      <c r="C382" s="186"/>
      <c r="D382" s="187"/>
      <c r="E382" s="186"/>
      <c r="F382" s="170"/>
      <c r="G382" s="173" t="s">
        <v>649</v>
      </c>
      <c r="H382" s="170"/>
      <c r="I382" s="190"/>
      <c r="J382" s="191"/>
      <c r="K382" s="191"/>
      <c r="L382" s="191" t="s">
        <v>1126</v>
      </c>
      <c r="M382" s="191" t="s">
        <v>678</v>
      </c>
      <c r="N382" s="377">
        <f>T_CEFF!H208</f>
        <v>6.4000000000000001E-2</v>
      </c>
      <c r="O382" s="377">
        <f>T_CEFF!I208</f>
        <v>6.4000000000000001E-2</v>
      </c>
      <c r="P382" s="377">
        <f>T_CEFF!J208</f>
        <v>6.4000000000000001E-2</v>
      </c>
      <c r="Q382" s="377">
        <f>T_CEFF!K208</f>
        <v>6.4000000000000001E-2</v>
      </c>
      <c r="R382" s="377">
        <f>T_CEFF!L208</f>
        <v>6.4000000000000001E-2</v>
      </c>
      <c r="S382" s="377">
        <f>T_CEFF!M208</f>
        <v>6.4000000000000001E-2</v>
      </c>
      <c r="T382" s="377">
        <f>T_CEFF!N208</f>
        <v>6.4000000000000001E-2</v>
      </c>
      <c r="U382" s="377">
        <f>T_CEFF!O208</f>
        <v>6.4000000000000001E-2</v>
      </c>
      <c r="V382" s="377">
        <f>T_CEFF!P208</f>
        <v>6.4000000000000001E-2</v>
      </c>
      <c r="W382" s="377">
        <f>T_CEFF!Q208</f>
        <v>6.4000000000000001E-2</v>
      </c>
      <c r="X382" s="377">
        <f>T_CEFF!R208</f>
        <v>6.4000000000000001E-2</v>
      </c>
      <c r="Y382" s="377">
        <f>T_CEFF!S208</f>
        <v>6.4000000000000001E-2</v>
      </c>
      <c r="Z382" s="377">
        <f>T_CEFF!T208</f>
        <v>6.4000000000000001E-2</v>
      </c>
      <c r="AA382" s="377">
        <f>T_CEFF!U208</f>
        <v>6.4000000000000001E-2</v>
      </c>
      <c r="AB382" s="377">
        <f>T_CEFF!V208</f>
        <v>6.4000000000000001E-2</v>
      </c>
      <c r="AC382" s="35"/>
      <c r="AD382" s="66" t="str">
        <f>IF(COUNTIF($AH$4:$AQ$4,AD381)=1,"ok","MISSING")</f>
        <v>ok</v>
      </c>
      <c r="AF382" s="89"/>
      <c r="AU382" s="35"/>
      <c r="AV382" s="35"/>
      <c r="AW382" s="35"/>
      <c r="AX382" s="35"/>
      <c r="AY382" s="35"/>
      <c r="AZ382" s="35"/>
    </row>
    <row r="383" spans="1:52" x14ac:dyDescent="0.25">
      <c r="B383" s="186" t="str">
        <f t="shared" ref="B383:B392" si="310">B382</f>
        <v>TFREBDL900</v>
      </c>
      <c r="C383" s="186"/>
      <c r="D383" s="187"/>
      <c r="E383" s="186"/>
      <c r="F383" s="170"/>
      <c r="G383" s="173" t="s">
        <v>652</v>
      </c>
      <c r="H383" s="170"/>
      <c r="I383" s="190"/>
      <c r="J383" s="191"/>
      <c r="K383" s="191"/>
      <c r="L383" s="191" t="s">
        <v>1126</v>
      </c>
      <c r="M383" s="191" t="s">
        <v>678</v>
      </c>
      <c r="N383" s="377">
        <f>T_CEFF!H209</f>
        <v>5.1200000000000002E-2</v>
      </c>
      <c r="O383" s="377">
        <f>T_CEFF!I209</f>
        <v>5.1200000000000002E-2</v>
      </c>
      <c r="P383" s="377">
        <f>T_CEFF!J209</f>
        <v>5.1200000000000002E-2</v>
      </c>
      <c r="Q383" s="377">
        <f>T_CEFF!K209</f>
        <v>5.1200000000000002E-2</v>
      </c>
      <c r="R383" s="377">
        <f>T_CEFF!L209</f>
        <v>5.1200000000000002E-2</v>
      </c>
      <c r="S383" s="377">
        <f>T_CEFF!M209</f>
        <v>5.1200000000000002E-2</v>
      </c>
      <c r="T383" s="377">
        <f>T_CEFF!N209</f>
        <v>5.1200000000000002E-2</v>
      </c>
      <c r="U383" s="377">
        <f>T_CEFF!O209</f>
        <v>5.1200000000000002E-2</v>
      </c>
      <c r="V383" s="377">
        <f>T_CEFF!P209</f>
        <v>5.1200000000000002E-2</v>
      </c>
      <c r="W383" s="377">
        <f>T_CEFF!Q209</f>
        <v>5.1200000000000002E-2</v>
      </c>
      <c r="X383" s="377">
        <f>T_CEFF!R209</f>
        <v>5.1200000000000002E-2</v>
      </c>
      <c r="Y383" s="377">
        <f>T_CEFF!S209</f>
        <v>5.1200000000000002E-2</v>
      </c>
      <c r="Z383" s="377">
        <f>T_CEFF!T209</f>
        <v>5.1200000000000002E-2</v>
      </c>
      <c r="AA383" s="377">
        <f>T_CEFF!U209</f>
        <v>5.1200000000000002E-2</v>
      </c>
      <c r="AB383" s="377">
        <f>T_CEFF!V209</f>
        <v>5.1200000000000002E-2</v>
      </c>
    </row>
    <row r="384" spans="1:52" x14ac:dyDescent="0.25">
      <c r="B384" s="186" t="str">
        <f t="shared" si="310"/>
        <v>TFREBDL900</v>
      </c>
      <c r="C384" s="186"/>
      <c r="D384" s="187"/>
      <c r="E384" s="186"/>
      <c r="F384" s="170"/>
      <c r="G384" s="189"/>
      <c r="H384" s="170"/>
      <c r="I384" s="190"/>
      <c r="J384" s="191"/>
      <c r="K384" s="191" t="s">
        <v>749</v>
      </c>
      <c r="L384" s="191" t="s">
        <v>1128</v>
      </c>
      <c r="M384" s="191" t="s">
        <v>1175</v>
      </c>
      <c r="N384" s="368">
        <f t="shared" ref="N384:AB384" si="311">N$25</f>
        <v>0</v>
      </c>
      <c r="O384" s="368">
        <f t="shared" si="311"/>
        <v>0</v>
      </c>
      <c r="P384" s="368">
        <f t="shared" si="311"/>
        <v>0</v>
      </c>
      <c r="Q384" s="368">
        <f t="shared" si="311"/>
        <v>0</v>
      </c>
      <c r="R384" s="368">
        <f t="shared" si="311"/>
        <v>0</v>
      </c>
      <c r="S384" s="368">
        <f t="shared" si="311"/>
        <v>0</v>
      </c>
      <c r="T384" s="368">
        <f t="shared" si="311"/>
        <v>0</v>
      </c>
      <c r="U384" s="368">
        <f t="shared" si="311"/>
        <v>0</v>
      </c>
      <c r="V384" s="368">
        <f t="shared" si="311"/>
        <v>0</v>
      </c>
      <c r="W384" s="368">
        <f t="shared" si="311"/>
        <v>0</v>
      </c>
      <c r="X384" s="368">
        <f t="shared" si="311"/>
        <v>0</v>
      </c>
      <c r="Y384" s="368">
        <f t="shared" si="311"/>
        <v>0</v>
      </c>
      <c r="Z384" s="368">
        <f t="shared" si="311"/>
        <v>0</v>
      </c>
      <c r="AA384" s="368">
        <f t="shared" si="311"/>
        <v>0</v>
      </c>
      <c r="AB384" s="368">
        <f t="shared" si="311"/>
        <v>0</v>
      </c>
    </row>
    <row r="385" spans="1:52" x14ac:dyDescent="0.25">
      <c r="B385" s="186" t="str">
        <f t="shared" si="310"/>
        <v>TFREBDL900</v>
      </c>
      <c r="C385" s="186"/>
      <c r="D385" s="187"/>
      <c r="E385" s="186"/>
      <c r="F385" s="170"/>
      <c r="G385" s="189"/>
      <c r="H385" s="170"/>
      <c r="I385" s="190"/>
      <c r="J385" s="191"/>
      <c r="K385" s="191"/>
      <c r="L385" s="211" t="s">
        <v>1130</v>
      </c>
      <c r="M385" s="191" t="s">
        <v>1131</v>
      </c>
      <c r="N385" s="369">
        <f>LOOKUP($C$381, T_NCAP_AF!$C$200:$C$210, T_NCAP_AF!D$200:D$210)*(1+N375)</f>
        <v>0</v>
      </c>
      <c r="O385" s="369">
        <f>LOOKUP($C$381, T_NCAP_AF!$C$200:$C$210, T_NCAP_AF!E$200:E$210)*(1+O375)</f>
        <v>0</v>
      </c>
      <c r="P385" s="369">
        <f>LOOKUP($C$381, T_NCAP_AF!$C$200:$C$210, T_NCAP_AF!F$200:F$210)*(1+P375)</f>
        <v>0</v>
      </c>
      <c r="Q385" s="369">
        <f>LOOKUP($C$381, T_NCAP_AF!$C$200:$C$210, T_NCAP_AF!G$200:G$210)*(1+Q375)</f>
        <v>0</v>
      </c>
      <c r="R385" s="369">
        <f>LOOKUP($C$381, T_NCAP_AF!$C$200:$C$210, T_NCAP_AF!H$200:H$210)*(1+R375)</f>
        <v>0</v>
      </c>
      <c r="S385" s="369">
        <f>LOOKUP($C$381, T_NCAP_AF!$C$200:$C$210, T_NCAP_AF!I$200:I$210)*(1+S375)</f>
        <v>0</v>
      </c>
      <c r="T385" s="369">
        <f>LOOKUP($C$381, T_NCAP_AF!$C$200:$C$210, T_NCAP_AF!J$200:J$210)*(1+T375)</f>
        <v>0</v>
      </c>
      <c r="U385" s="369">
        <f>LOOKUP($C$381, T_NCAP_AF!$C$200:$C$210, T_NCAP_AF!K$200:K$210)*(1+U375)</f>
        <v>0</v>
      </c>
      <c r="V385" s="369">
        <f>LOOKUP($C$381, T_NCAP_AF!$C$200:$C$210, T_NCAP_AF!L$200:L$210)*(1+V375)</f>
        <v>0</v>
      </c>
      <c r="W385" s="369">
        <f>LOOKUP($C$381, T_NCAP_AF!$C$200:$C$210, T_NCAP_AF!M$200:M$210)*(1+W375)</f>
        <v>0</v>
      </c>
      <c r="X385" s="369">
        <f>LOOKUP($C$381, T_NCAP_AF!$C$200:$C$210, T_NCAP_AF!N$200:N$210)*(1+X375)</f>
        <v>0</v>
      </c>
      <c r="Y385" s="369">
        <f>LOOKUP($C$381, T_NCAP_AF!$C$200:$C$210, T_NCAP_AF!O$200:O$210)*(1+Y375)</f>
        <v>0</v>
      </c>
      <c r="Z385" s="369">
        <f>LOOKUP($C$381, T_NCAP_AF!$C$200:$C$210, T_NCAP_AF!P$200:P$210)*(1+Z375)</f>
        <v>0</v>
      </c>
      <c r="AA385" s="369">
        <f>LOOKUP($C$381, T_NCAP_AF!$C$200:$C$210, T_NCAP_AF!Q$200:Q$210)*(1+AA375)</f>
        <v>0</v>
      </c>
      <c r="AB385" s="369">
        <f>LOOKUP($C$381, T_NCAP_AF!$C$200:$C$210, T_NCAP_AF!R$200:R$210)*(1+AB375)</f>
        <v>0</v>
      </c>
      <c r="AE385" s="572">
        <f>SUM(AF385:AT385)</f>
        <v>0</v>
      </c>
      <c r="AF385" s="85">
        <f t="shared" ref="AF385:AT385" si="312">N384*N385*N386/1000</f>
        <v>0</v>
      </c>
      <c r="AG385" s="85">
        <f t="shared" si="312"/>
        <v>0</v>
      </c>
      <c r="AH385" s="85">
        <f t="shared" si="312"/>
        <v>0</v>
      </c>
      <c r="AI385" s="85">
        <f t="shared" si="312"/>
        <v>0</v>
      </c>
      <c r="AJ385" s="85">
        <f t="shared" si="312"/>
        <v>0</v>
      </c>
      <c r="AK385" s="85">
        <f t="shared" si="312"/>
        <v>0</v>
      </c>
      <c r="AL385" s="85">
        <f t="shared" si="312"/>
        <v>0</v>
      </c>
      <c r="AM385" s="85">
        <f t="shared" si="312"/>
        <v>0</v>
      </c>
      <c r="AN385" s="85">
        <f t="shared" si="312"/>
        <v>0</v>
      </c>
      <c r="AO385" s="85">
        <f t="shared" si="312"/>
        <v>0</v>
      </c>
      <c r="AP385" s="85">
        <f t="shared" si="312"/>
        <v>0</v>
      </c>
      <c r="AQ385" s="85">
        <f t="shared" si="312"/>
        <v>0</v>
      </c>
      <c r="AR385" s="85">
        <f t="shared" si="312"/>
        <v>0</v>
      </c>
      <c r="AS385" s="85">
        <f t="shared" si="312"/>
        <v>0</v>
      </c>
      <c r="AT385" s="85">
        <f t="shared" si="312"/>
        <v>0</v>
      </c>
    </row>
    <row r="386" spans="1:52" x14ac:dyDescent="0.25">
      <c r="B386" s="186" t="str">
        <f t="shared" si="310"/>
        <v>TFREBDL900</v>
      </c>
      <c r="C386" s="186"/>
      <c r="D386" s="187"/>
      <c r="E386" s="186"/>
      <c r="F386" s="170"/>
      <c r="G386" s="189"/>
      <c r="H386" s="170"/>
      <c r="I386" s="190">
        <f>$M$3</f>
        <v>2019</v>
      </c>
      <c r="J386" s="191"/>
      <c r="K386" s="191"/>
      <c r="L386" s="211" t="s">
        <v>1065</v>
      </c>
      <c r="M386" s="191" t="s">
        <v>748</v>
      </c>
      <c r="N386" s="694">
        <f>LOOKUP($C$381, 'T_Stock_TOTAL_&amp;_City'!$C$122:$C$133,'T_Stock_TOTAL_&amp;_City'!D$122:D$133)*(1+N376)</f>
        <v>0</v>
      </c>
      <c r="O386" s="694">
        <f>LOOKUP($C$381, 'T_Stock_TOTAL_&amp;_City'!$C$122:$C$133,'T_Stock_TOTAL_&amp;_City'!E$122:E$133)*(1+O376)</f>
        <v>0</v>
      </c>
      <c r="P386" s="694">
        <f>LOOKUP($C$381, 'T_Stock_TOTAL_&amp;_City'!$C$122:$C$133,'T_Stock_TOTAL_&amp;_City'!F$122:F$133)*(1+P376)</f>
        <v>0</v>
      </c>
      <c r="Q386" s="694">
        <f>LOOKUP($C$381, 'T_Stock_TOTAL_&amp;_City'!$C$122:$C$133,'T_Stock_TOTAL_&amp;_City'!G$122:G$133)*(1+Q376)</f>
        <v>0</v>
      </c>
      <c r="R386" s="694">
        <f>LOOKUP($C$381, 'T_Stock_TOTAL_&amp;_City'!$C$122:$C$133,'T_Stock_TOTAL_&amp;_City'!H$122:H$133)*(1+R376)</f>
        <v>0</v>
      </c>
      <c r="S386" s="694">
        <f>LOOKUP($C$381, 'T_Stock_TOTAL_&amp;_City'!$C$122:$C$133,'T_Stock_TOTAL_&amp;_City'!I$122:I$133)*(1+S376)</f>
        <v>0</v>
      </c>
      <c r="T386" s="694">
        <f>LOOKUP($C$381, 'T_Stock_TOTAL_&amp;_City'!$C$122:$C$133,'T_Stock_TOTAL_&amp;_City'!J$122:J$133)*(1+T376)</f>
        <v>0</v>
      </c>
      <c r="U386" s="694">
        <f>LOOKUP($C$381, 'T_Stock_TOTAL_&amp;_City'!$C$122:$C$133,'T_Stock_TOTAL_&amp;_City'!K$122:K$133)*(1+U376)</f>
        <v>0</v>
      </c>
      <c r="V386" s="694">
        <f>LOOKUP($C$381, 'T_Stock_TOTAL_&amp;_City'!$C$122:$C$133,'T_Stock_TOTAL_&amp;_City'!L$122:L$133)*(1+V376)</f>
        <v>0</v>
      </c>
      <c r="W386" s="694">
        <f>LOOKUP($C$381, 'T_Stock_TOTAL_&amp;_City'!$C$122:$C$133,'T_Stock_TOTAL_&amp;_City'!M$122:M$133)*(1+W376)</f>
        <v>0</v>
      </c>
      <c r="X386" s="694">
        <f>LOOKUP($C$381, 'T_Stock_TOTAL_&amp;_City'!$C$122:$C$133,'T_Stock_TOTAL_&amp;_City'!N$122:N$133)*(1+X376)</f>
        <v>0</v>
      </c>
      <c r="Y386" s="694">
        <f>LOOKUP($C$381, 'T_Stock_TOTAL_&amp;_City'!$C$122:$C$133,'T_Stock_TOTAL_&amp;_City'!O$122:O$133)*(1+Y376)</f>
        <v>0</v>
      </c>
      <c r="Z386" s="694">
        <f>LOOKUP($C$381, 'T_Stock_TOTAL_&amp;_City'!$C$122:$C$133,'T_Stock_TOTAL_&amp;_City'!P$122:P$133)*(1+Z376)</f>
        <v>0</v>
      </c>
      <c r="AA386" s="694">
        <f>LOOKUP($C$381, 'T_Stock_TOTAL_&amp;_City'!$C$122:$C$133,'T_Stock_TOTAL_&amp;_City'!Q$122:Q$133)*(1+AA376)</f>
        <v>0</v>
      </c>
      <c r="AB386" s="694">
        <f>LOOKUP($C$381, 'T_Stock_TOTAL_&amp;_City'!$C$122:$C$133,'T_Stock_TOTAL_&amp;_City'!R$122:R$133)*(1+AB376)</f>
        <v>0</v>
      </c>
    </row>
    <row r="387" spans="1:52" x14ac:dyDescent="0.25">
      <c r="B387" s="186" t="str">
        <f t="shared" si="310"/>
        <v>TFREBDL900</v>
      </c>
      <c r="C387" s="186"/>
      <c r="D387" s="187"/>
      <c r="E387" s="186"/>
      <c r="F387" s="170"/>
      <c r="G387" s="189"/>
      <c r="H387" s="170"/>
      <c r="I387" s="183">
        <f>AF$5</f>
        <v>2016</v>
      </c>
      <c r="J387" s="191"/>
      <c r="K387" s="191"/>
      <c r="L387" s="211" t="s">
        <v>1065</v>
      </c>
      <c r="M387" s="191" t="s">
        <v>748</v>
      </c>
      <c r="N387" s="694">
        <f t="shared" ref="N387:AB387" si="313">N386*LOOKUP($AD381,$AH$4:$AQ$4,$AH$5:$AQ$5)</f>
        <v>0</v>
      </c>
      <c r="O387" s="694">
        <f t="shared" si="313"/>
        <v>0</v>
      </c>
      <c r="P387" s="694">
        <f t="shared" si="313"/>
        <v>0</v>
      </c>
      <c r="Q387" s="694">
        <f t="shared" si="313"/>
        <v>0</v>
      </c>
      <c r="R387" s="694">
        <f t="shared" si="313"/>
        <v>0</v>
      </c>
      <c r="S387" s="694">
        <f t="shared" si="313"/>
        <v>0</v>
      </c>
      <c r="T387" s="694">
        <f t="shared" si="313"/>
        <v>0</v>
      </c>
      <c r="U387" s="694">
        <f t="shared" si="313"/>
        <v>0</v>
      </c>
      <c r="V387" s="694">
        <f t="shared" si="313"/>
        <v>0</v>
      </c>
      <c r="W387" s="694">
        <f t="shared" si="313"/>
        <v>0</v>
      </c>
      <c r="X387" s="694">
        <f t="shared" si="313"/>
        <v>0</v>
      </c>
      <c r="Y387" s="694">
        <f t="shared" si="313"/>
        <v>0</v>
      </c>
      <c r="Z387" s="694">
        <f t="shared" si="313"/>
        <v>0</v>
      </c>
      <c r="AA387" s="694">
        <f t="shared" si="313"/>
        <v>0</v>
      </c>
      <c r="AB387" s="694">
        <f t="shared" si="313"/>
        <v>0</v>
      </c>
    </row>
    <row r="388" spans="1:52" x14ac:dyDescent="0.25">
      <c r="B388" s="186" t="str">
        <f t="shared" si="310"/>
        <v>TFREBDL900</v>
      </c>
      <c r="C388" s="186"/>
      <c r="D388" s="187"/>
      <c r="E388" s="186"/>
      <c r="F388" s="170"/>
      <c r="G388" s="189"/>
      <c r="H388" s="170"/>
      <c r="I388" s="183">
        <f>AF$6</f>
        <v>2020</v>
      </c>
      <c r="J388" s="191"/>
      <c r="K388" s="191"/>
      <c r="L388" s="211" t="s">
        <v>1065</v>
      </c>
      <c r="M388" s="191" t="s">
        <v>748</v>
      </c>
      <c r="N388" s="694">
        <f t="shared" ref="N388:AB388" si="314">N386*LOOKUP($AD381,$AH$4:$AQ$4,$AH$6:$AQ$6)</f>
        <v>0</v>
      </c>
      <c r="O388" s="694">
        <f t="shared" si="314"/>
        <v>0</v>
      </c>
      <c r="P388" s="694">
        <f t="shared" si="314"/>
        <v>0</v>
      </c>
      <c r="Q388" s="694">
        <f t="shared" si="314"/>
        <v>0</v>
      </c>
      <c r="R388" s="694">
        <f t="shared" si="314"/>
        <v>0</v>
      </c>
      <c r="S388" s="694">
        <f t="shared" si="314"/>
        <v>0</v>
      </c>
      <c r="T388" s="694">
        <f t="shared" si="314"/>
        <v>0</v>
      </c>
      <c r="U388" s="694">
        <f t="shared" si="314"/>
        <v>0</v>
      </c>
      <c r="V388" s="694">
        <f t="shared" si="314"/>
        <v>0</v>
      </c>
      <c r="W388" s="694">
        <f t="shared" si="314"/>
        <v>0</v>
      </c>
      <c r="X388" s="694">
        <f t="shared" si="314"/>
        <v>0</v>
      </c>
      <c r="Y388" s="694">
        <f t="shared" si="314"/>
        <v>0</v>
      </c>
      <c r="Z388" s="694">
        <f t="shared" si="314"/>
        <v>0</v>
      </c>
      <c r="AA388" s="694">
        <f t="shared" si="314"/>
        <v>0</v>
      </c>
      <c r="AB388" s="694">
        <f t="shared" si="314"/>
        <v>0</v>
      </c>
    </row>
    <row r="389" spans="1:52" x14ac:dyDescent="0.25">
      <c r="B389" s="186" t="str">
        <f t="shared" si="310"/>
        <v>TFREBDL900</v>
      </c>
      <c r="C389" s="186"/>
      <c r="D389" s="187"/>
      <c r="E389" s="186"/>
      <c r="F389" s="170"/>
      <c r="G389" s="189"/>
      <c r="H389" s="170"/>
      <c r="I389" s="183">
        <f>AF$7</f>
        <v>2025</v>
      </c>
      <c r="J389" s="191"/>
      <c r="K389" s="191"/>
      <c r="L389" s="211" t="s">
        <v>1065</v>
      </c>
      <c r="M389" s="191" t="s">
        <v>748</v>
      </c>
      <c r="N389" s="694">
        <f t="shared" ref="N389:AB389" si="315">N386*LOOKUP($AD381,$AH$4:$AQ$4,$AH$7:$AQ$7)</f>
        <v>0</v>
      </c>
      <c r="O389" s="694">
        <f t="shared" si="315"/>
        <v>0</v>
      </c>
      <c r="P389" s="694">
        <f t="shared" si="315"/>
        <v>0</v>
      </c>
      <c r="Q389" s="694">
        <f t="shared" si="315"/>
        <v>0</v>
      </c>
      <c r="R389" s="694">
        <f t="shared" si="315"/>
        <v>0</v>
      </c>
      <c r="S389" s="694">
        <f t="shared" si="315"/>
        <v>0</v>
      </c>
      <c r="T389" s="694">
        <f t="shared" si="315"/>
        <v>0</v>
      </c>
      <c r="U389" s="694">
        <f t="shared" si="315"/>
        <v>0</v>
      </c>
      <c r="V389" s="694">
        <f t="shared" si="315"/>
        <v>0</v>
      </c>
      <c r="W389" s="694">
        <f t="shared" si="315"/>
        <v>0</v>
      </c>
      <c r="X389" s="694">
        <f t="shared" si="315"/>
        <v>0</v>
      </c>
      <c r="Y389" s="694">
        <f t="shared" si="315"/>
        <v>0</v>
      </c>
      <c r="Z389" s="694">
        <f t="shared" si="315"/>
        <v>0</v>
      </c>
      <c r="AA389" s="694">
        <f t="shared" si="315"/>
        <v>0</v>
      </c>
      <c r="AB389" s="694">
        <f t="shared" si="315"/>
        <v>0</v>
      </c>
    </row>
    <row r="390" spans="1:52" x14ac:dyDescent="0.25">
      <c r="B390" s="186" t="str">
        <f t="shared" si="310"/>
        <v>TFREBDL900</v>
      </c>
      <c r="C390" s="186"/>
      <c r="D390" s="187"/>
      <c r="E390" s="186"/>
      <c r="F390" s="170"/>
      <c r="G390" s="189"/>
      <c r="H390" s="170"/>
      <c r="I390" s="183">
        <f>AF$8</f>
        <v>2030</v>
      </c>
      <c r="J390" s="191"/>
      <c r="K390" s="191"/>
      <c r="L390" s="211" t="s">
        <v>1065</v>
      </c>
      <c r="M390" s="191" t="s">
        <v>748</v>
      </c>
      <c r="N390" s="694">
        <f t="shared" ref="N390:AB390" si="316">N386*LOOKUP($AD381,$AH$4:$AQ$4,$AH$8:$AQ$8)</f>
        <v>0</v>
      </c>
      <c r="O390" s="694">
        <f t="shared" si="316"/>
        <v>0</v>
      </c>
      <c r="P390" s="694">
        <f t="shared" si="316"/>
        <v>0</v>
      </c>
      <c r="Q390" s="694">
        <f t="shared" si="316"/>
        <v>0</v>
      </c>
      <c r="R390" s="694">
        <f t="shared" si="316"/>
        <v>0</v>
      </c>
      <c r="S390" s="694">
        <f t="shared" si="316"/>
        <v>0</v>
      </c>
      <c r="T390" s="694">
        <f t="shared" si="316"/>
        <v>0</v>
      </c>
      <c r="U390" s="694">
        <f t="shared" si="316"/>
        <v>0</v>
      </c>
      <c r="V390" s="694">
        <f t="shared" si="316"/>
        <v>0</v>
      </c>
      <c r="W390" s="694">
        <f t="shared" si="316"/>
        <v>0</v>
      </c>
      <c r="X390" s="694">
        <f t="shared" si="316"/>
        <v>0</v>
      </c>
      <c r="Y390" s="694">
        <f t="shared" si="316"/>
        <v>0</v>
      </c>
      <c r="Z390" s="694">
        <f t="shared" si="316"/>
        <v>0</v>
      </c>
      <c r="AA390" s="694">
        <f t="shared" si="316"/>
        <v>0</v>
      </c>
      <c r="AB390" s="694">
        <f t="shared" si="316"/>
        <v>0</v>
      </c>
    </row>
    <row r="391" spans="1:52" x14ac:dyDescent="0.25">
      <c r="B391" s="186" t="str">
        <f t="shared" si="310"/>
        <v>TFREBDL900</v>
      </c>
      <c r="C391" s="186"/>
      <c r="D391" s="187"/>
      <c r="E391" s="186"/>
      <c r="F391" s="170"/>
      <c r="G391" s="189"/>
      <c r="H391" s="170"/>
      <c r="I391" s="183">
        <f>AF$9</f>
        <v>2040</v>
      </c>
      <c r="J391" s="191"/>
      <c r="K391" s="191"/>
      <c r="L391" s="211" t="s">
        <v>1065</v>
      </c>
      <c r="M391" s="191" t="s">
        <v>748</v>
      </c>
      <c r="N391" s="694">
        <f t="shared" ref="N391:AB391" si="317">N386*LOOKUP($AD381,$AH$4:$AQ$4,$AH$9:$AQ$9)</f>
        <v>0</v>
      </c>
      <c r="O391" s="694">
        <f t="shared" si="317"/>
        <v>0</v>
      </c>
      <c r="P391" s="694">
        <f t="shared" si="317"/>
        <v>0</v>
      </c>
      <c r="Q391" s="694">
        <f t="shared" si="317"/>
        <v>0</v>
      </c>
      <c r="R391" s="694">
        <f t="shared" si="317"/>
        <v>0</v>
      </c>
      <c r="S391" s="694">
        <f t="shared" si="317"/>
        <v>0</v>
      </c>
      <c r="T391" s="694">
        <f t="shared" si="317"/>
        <v>0</v>
      </c>
      <c r="U391" s="694">
        <f t="shared" si="317"/>
        <v>0</v>
      </c>
      <c r="V391" s="694">
        <f t="shared" si="317"/>
        <v>0</v>
      </c>
      <c r="W391" s="694">
        <f t="shared" si="317"/>
        <v>0</v>
      </c>
      <c r="X391" s="694">
        <f t="shared" si="317"/>
        <v>0</v>
      </c>
      <c r="Y391" s="694">
        <f t="shared" si="317"/>
        <v>0</v>
      </c>
      <c r="Z391" s="694">
        <f t="shared" si="317"/>
        <v>0</v>
      </c>
      <c r="AA391" s="694">
        <f t="shared" si="317"/>
        <v>0</v>
      </c>
      <c r="AB391" s="694">
        <f t="shared" si="317"/>
        <v>0</v>
      </c>
    </row>
    <row r="392" spans="1:52" x14ac:dyDescent="0.25">
      <c r="B392" s="193" t="str">
        <f t="shared" si="310"/>
        <v>TFREBDL900</v>
      </c>
      <c r="C392" s="193"/>
      <c r="D392" s="194"/>
      <c r="E392" s="193"/>
      <c r="F392" s="196"/>
      <c r="G392" s="195"/>
      <c r="H392" s="196"/>
      <c r="I392" s="208">
        <f>AF$10</f>
        <v>2050</v>
      </c>
      <c r="J392" s="198"/>
      <c r="K392" s="198"/>
      <c r="L392" s="212" t="s">
        <v>1065</v>
      </c>
      <c r="M392" s="198" t="s">
        <v>748</v>
      </c>
      <c r="N392" s="695">
        <f t="shared" ref="N392:AB392" si="318">N386*LOOKUP($AD381,$AH$4:$AQ$4,$AH$10:$AQ$10)</f>
        <v>0</v>
      </c>
      <c r="O392" s="695">
        <f t="shared" si="318"/>
        <v>0</v>
      </c>
      <c r="P392" s="695">
        <f t="shared" si="318"/>
        <v>0</v>
      </c>
      <c r="Q392" s="695">
        <f t="shared" si="318"/>
        <v>0</v>
      </c>
      <c r="R392" s="695">
        <f t="shared" si="318"/>
        <v>0</v>
      </c>
      <c r="S392" s="695">
        <f t="shared" si="318"/>
        <v>0</v>
      </c>
      <c r="T392" s="695">
        <f t="shared" si="318"/>
        <v>0</v>
      </c>
      <c r="U392" s="695">
        <f t="shared" si="318"/>
        <v>0</v>
      </c>
      <c r="V392" s="695">
        <f t="shared" si="318"/>
        <v>0</v>
      </c>
      <c r="W392" s="695">
        <f t="shared" si="318"/>
        <v>0</v>
      </c>
      <c r="X392" s="695">
        <f t="shared" si="318"/>
        <v>0</v>
      </c>
      <c r="Y392" s="695">
        <f t="shared" si="318"/>
        <v>0</v>
      </c>
      <c r="Z392" s="695">
        <f t="shared" si="318"/>
        <v>0</v>
      </c>
      <c r="AA392" s="695">
        <f t="shared" si="318"/>
        <v>0</v>
      </c>
      <c r="AB392" s="695">
        <f t="shared" si="318"/>
        <v>0</v>
      </c>
      <c r="AD392" s="400"/>
    </row>
    <row r="393" spans="1:52" x14ac:dyDescent="0.25">
      <c r="A393" s="82"/>
      <c r="B393" s="178" t="str">
        <f>C393</f>
        <v>TFREDST900</v>
      </c>
      <c r="C393" s="178" t="s">
        <v>152</v>
      </c>
      <c r="D393" s="179" t="s">
        <v>851</v>
      </c>
      <c r="E393" s="180" t="s">
        <v>185</v>
      </c>
      <c r="F393" s="182"/>
      <c r="G393" s="181"/>
      <c r="H393" s="182"/>
      <c r="I393" s="183"/>
      <c r="J393" s="184"/>
      <c r="K393" s="184"/>
      <c r="L393" s="203" t="s">
        <v>1107</v>
      </c>
      <c r="M393" s="184" t="s">
        <v>1125</v>
      </c>
      <c r="N393" s="378">
        <v>1E-3</v>
      </c>
      <c r="O393" s="378">
        <f t="shared" ref="O393:AB393" si="319">$N393</f>
        <v>1E-3</v>
      </c>
      <c r="P393" s="378">
        <f t="shared" si="319"/>
        <v>1E-3</v>
      </c>
      <c r="Q393" s="378">
        <f t="shared" si="319"/>
        <v>1E-3</v>
      </c>
      <c r="R393" s="378">
        <f t="shared" si="319"/>
        <v>1E-3</v>
      </c>
      <c r="S393" s="378">
        <f t="shared" si="319"/>
        <v>1E-3</v>
      </c>
      <c r="T393" s="378">
        <f t="shared" si="319"/>
        <v>1E-3</v>
      </c>
      <c r="U393" s="378">
        <f t="shared" si="319"/>
        <v>1E-3</v>
      </c>
      <c r="V393" s="378">
        <f t="shared" si="319"/>
        <v>1E-3</v>
      </c>
      <c r="W393" s="378">
        <f t="shared" si="319"/>
        <v>1E-3</v>
      </c>
      <c r="X393" s="378">
        <f t="shared" si="319"/>
        <v>1E-3</v>
      </c>
      <c r="Y393" s="378">
        <f t="shared" si="319"/>
        <v>1E-3</v>
      </c>
      <c r="Z393" s="378">
        <f t="shared" si="319"/>
        <v>1E-3</v>
      </c>
      <c r="AA393" s="378">
        <f t="shared" si="319"/>
        <v>1E-3</v>
      </c>
      <c r="AB393" s="378">
        <f t="shared" si="319"/>
        <v>1E-3</v>
      </c>
      <c r="AC393" s="83"/>
      <c r="AD393" s="56" t="str">
        <f>MID(D393,13,3)</f>
        <v>DST</v>
      </c>
      <c r="AU393" s="83"/>
      <c r="AV393" s="83"/>
      <c r="AW393" s="83"/>
      <c r="AX393" s="83"/>
      <c r="AY393" s="83"/>
      <c r="AZ393" s="83"/>
    </row>
    <row r="394" spans="1:52" s="83" customFormat="1" x14ac:dyDescent="0.25">
      <c r="A394" s="22"/>
      <c r="B394" s="186" t="str">
        <f>B393</f>
        <v>TFREDST900</v>
      </c>
      <c r="C394" s="186"/>
      <c r="D394" s="187"/>
      <c r="E394" s="258" t="s">
        <v>988</v>
      </c>
      <c r="F394" s="170"/>
      <c r="G394" s="189"/>
      <c r="H394" s="170"/>
      <c r="I394" s="190"/>
      <c r="J394" s="191" t="s">
        <v>1223</v>
      </c>
      <c r="K394" s="191"/>
      <c r="L394" s="211" t="s">
        <v>101</v>
      </c>
      <c r="M394" s="191"/>
      <c r="N394" s="377">
        <f>N$28</f>
        <v>0.15</v>
      </c>
      <c r="O394" s="377">
        <f t="shared" ref="O394:AB394" si="320">O$28</f>
        <v>0.15</v>
      </c>
      <c r="P394" s="377">
        <f t="shared" si="320"/>
        <v>0.15</v>
      </c>
      <c r="Q394" s="377">
        <f t="shared" si="320"/>
        <v>0.15</v>
      </c>
      <c r="R394" s="377">
        <f t="shared" si="320"/>
        <v>0.15</v>
      </c>
      <c r="S394" s="377">
        <f t="shared" si="320"/>
        <v>0.15</v>
      </c>
      <c r="T394" s="377">
        <f t="shared" si="320"/>
        <v>0.15</v>
      </c>
      <c r="U394" s="377">
        <f t="shared" si="320"/>
        <v>0.15</v>
      </c>
      <c r="V394" s="377">
        <f t="shared" si="320"/>
        <v>0.15</v>
      </c>
      <c r="W394" s="377">
        <f t="shared" si="320"/>
        <v>0.15</v>
      </c>
      <c r="X394" s="377">
        <f t="shared" si="320"/>
        <v>0.15</v>
      </c>
      <c r="Y394" s="377">
        <f t="shared" si="320"/>
        <v>0.15</v>
      </c>
      <c r="Z394" s="377">
        <f t="shared" si="320"/>
        <v>0.15</v>
      </c>
      <c r="AA394" s="377">
        <f t="shared" si="320"/>
        <v>0.15</v>
      </c>
      <c r="AB394" s="377">
        <f t="shared" si="320"/>
        <v>0.15</v>
      </c>
      <c r="AC394" s="35"/>
      <c r="AD394" s="66" t="str">
        <f>IF(COUNTIF($AH$4:$AQ$4,AD393)=1,"ok","MISSING")</f>
        <v>ok</v>
      </c>
      <c r="AF394" s="89"/>
      <c r="AU394" s="35"/>
      <c r="AV394" s="35"/>
      <c r="AW394" s="35"/>
      <c r="AX394" s="35"/>
      <c r="AY394" s="35"/>
      <c r="AZ394" s="35"/>
    </row>
    <row r="395" spans="1:52" x14ac:dyDescent="0.25">
      <c r="B395" s="186" t="str">
        <f>B394</f>
        <v>TFREDST900</v>
      </c>
      <c r="C395" s="186"/>
      <c r="D395" s="187"/>
      <c r="E395" s="186"/>
      <c r="F395" s="170"/>
      <c r="G395" s="173" t="s">
        <v>649</v>
      </c>
      <c r="H395" s="170"/>
      <c r="I395" s="190"/>
      <c r="J395" s="191"/>
      <c r="K395" s="191"/>
      <c r="L395" s="191" t="s">
        <v>1126</v>
      </c>
      <c r="M395" s="191" t="s">
        <v>678</v>
      </c>
      <c r="N395" s="377">
        <f>T_CEFF!H210</f>
        <v>5.7140000000000003E-2</v>
      </c>
      <c r="O395" s="377">
        <f>T_CEFF!I210</f>
        <v>5.7140000000000003E-2</v>
      </c>
      <c r="P395" s="377">
        <f>T_CEFF!J210</f>
        <v>5.7140000000000003E-2</v>
      </c>
      <c r="Q395" s="377">
        <f>T_CEFF!K210</f>
        <v>5.7140000000000003E-2</v>
      </c>
      <c r="R395" s="377">
        <f>T_CEFF!L210</f>
        <v>5.7140000000000003E-2</v>
      </c>
      <c r="S395" s="377">
        <f>T_CEFF!M210</f>
        <v>5.7140000000000003E-2</v>
      </c>
      <c r="T395" s="377">
        <f>T_CEFF!N210</f>
        <v>5.7140000000000003E-2</v>
      </c>
      <c r="U395" s="377">
        <f>T_CEFF!O210</f>
        <v>5.7140000000000003E-2</v>
      </c>
      <c r="V395" s="377">
        <f>T_CEFF!P210</f>
        <v>5.7140000000000003E-2</v>
      </c>
      <c r="W395" s="377">
        <f>T_CEFF!Q210</f>
        <v>5.7140000000000003E-2</v>
      </c>
      <c r="X395" s="377">
        <f>T_CEFF!R210</f>
        <v>5.7140000000000003E-2</v>
      </c>
      <c r="Y395" s="377">
        <f>T_CEFF!S210</f>
        <v>5.7140000000000003E-2</v>
      </c>
      <c r="Z395" s="377">
        <f>T_CEFF!T210</f>
        <v>5.7140000000000003E-2</v>
      </c>
      <c r="AA395" s="377">
        <f>T_CEFF!U210</f>
        <v>5.7140000000000003E-2</v>
      </c>
      <c r="AB395" s="377">
        <f>T_CEFF!V210</f>
        <v>5.7140000000000003E-2</v>
      </c>
    </row>
    <row r="396" spans="1:52" x14ac:dyDescent="0.25">
      <c r="B396" s="186" t="str">
        <f t="shared" ref="B396:B405" si="321">B395</f>
        <v>TFREDST900</v>
      </c>
      <c r="C396" s="186"/>
      <c r="D396" s="187"/>
      <c r="E396" s="186"/>
      <c r="F396" s="170"/>
      <c r="G396" s="173" t="s">
        <v>652</v>
      </c>
      <c r="H396" s="170"/>
      <c r="I396" s="190"/>
      <c r="J396" s="191"/>
      <c r="K396" s="191"/>
      <c r="L396" s="191" t="s">
        <v>1126</v>
      </c>
      <c r="M396" s="191" t="s">
        <v>678</v>
      </c>
      <c r="N396" s="377">
        <f>T_CEFF!H211</f>
        <v>4.5710000000000001E-2</v>
      </c>
      <c r="O396" s="377">
        <f>T_CEFF!I211</f>
        <v>4.5710000000000001E-2</v>
      </c>
      <c r="P396" s="377">
        <f>T_CEFF!J211</f>
        <v>4.5710000000000001E-2</v>
      </c>
      <c r="Q396" s="377">
        <f>T_CEFF!K211</f>
        <v>4.5710000000000001E-2</v>
      </c>
      <c r="R396" s="377">
        <f>T_CEFF!L211</f>
        <v>4.5710000000000001E-2</v>
      </c>
      <c r="S396" s="377">
        <f>T_CEFF!M211</f>
        <v>4.5710000000000001E-2</v>
      </c>
      <c r="T396" s="377">
        <f>T_CEFF!N211</f>
        <v>4.5710000000000001E-2</v>
      </c>
      <c r="U396" s="377">
        <f>T_CEFF!O211</f>
        <v>4.5710000000000001E-2</v>
      </c>
      <c r="V396" s="377">
        <f>T_CEFF!P211</f>
        <v>4.5710000000000001E-2</v>
      </c>
      <c r="W396" s="377">
        <f>T_CEFF!Q211</f>
        <v>4.5710000000000001E-2</v>
      </c>
      <c r="X396" s="377">
        <f>T_CEFF!R211</f>
        <v>4.5710000000000001E-2</v>
      </c>
      <c r="Y396" s="377">
        <f>T_CEFF!S211</f>
        <v>4.5710000000000001E-2</v>
      </c>
      <c r="Z396" s="377">
        <f>T_CEFF!T211</f>
        <v>4.5710000000000001E-2</v>
      </c>
      <c r="AA396" s="377">
        <f>T_CEFF!U211</f>
        <v>4.5710000000000001E-2</v>
      </c>
      <c r="AB396" s="377">
        <f>T_CEFF!V211</f>
        <v>4.5710000000000001E-2</v>
      </c>
    </row>
    <row r="397" spans="1:52" x14ac:dyDescent="0.25">
      <c r="B397" s="186" t="str">
        <f t="shared" si="321"/>
        <v>TFREDST900</v>
      </c>
      <c r="C397" s="186"/>
      <c r="D397" s="187"/>
      <c r="E397" s="186"/>
      <c r="F397" s="170"/>
      <c r="G397" s="189"/>
      <c r="H397" s="170"/>
      <c r="I397" s="190"/>
      <c r="J397" s="191"/>
      <c r="K397" s="191" t="s">
        <v>749</v>
      </c>
      <c r="L397" s="191" t="s">
        <v>1128</v>
      </c>
      <c r="M397" s="191" t="s">
        <v>1175</v>
      </c>
      <c r="N397" s="368">
        <f t="shared" ref="N397:AB397" si="322">N$25</f>
        <v>0</v>
      </c>
      <c r="O397" s="368">
        <f t="shared" si="322"/>
        <v>0</v>
      </c>
      <c r="P397" s="368">
        <f t="shared" si="322"/>
        <v>0</v>
      </c>
      <c r="Q397" s="368">
        <f t="shared" si="322"/>
        <v>0</v>
      </c>
      <c r="R397" s="368">
        <f t="shared" si="322"/>
        <v>0</v>
      </c>
      <c r="S397" s="368">
        <f t="shared" si="322"/>
        <v>0</v>
      </c>
      <c r="T397" s="368">
        <f t="shared" si="322"/>
        <v>0</v>
      </c>
      <c r="U397" s="368">
        <f t="shared" si="322"/>
        <v>0</v>
      </c>
      <c r="V397" s="368">
        <f t="shared" si="322"/>
        <v>0</v>
      </c>
      <c r="W397" s="368">
        <f t="shared" si="322"/>
        <v>0</v>
      </c>
      <c r="X397" s="368">
        <f t="shared" si="322"/>
        <v>0</v>
      </c>
      <c r="Y397" s="368">
        <f t="shared" si="322"/>
        <v>0</v>
      </c>
      <c r="Z397" s="368">
        <f t="shared" si="322"/>
        <v>0</v>
      </c>
      <c r="AA397" s="368">
        <f t="shared" si="322"/>
        <v>0</v>
      </c>
      <c r="AB397" s="368">
        <f t="shared" si="322"/>
        <v>0</v>
      </c>
    </row>
    <row r="398" spans="1:52" x14ac:dyDescent="0.25">
      <c r="B398" s="186" t="str">
        <f t="shared" si="321"/>
        <v>TFREDST900</v>
      </c>
      <c r="C398" s="186"/>
      <c r="D398" s="187"/>
      <c r="E398" s="186"/>
      <c r="F398" s="170"/>
      <c r="G398" s="189"/>
      <c r="H398" s="170"/>
      <c r="I398" s="190"/>
      <c r="J398" s="191"/>
      <c r="K398" s="191"/>
      <c r="L398" s="211" t="s">
        <v>1130</v>
      </c>
      <c r="M398" s="191" t="s">
        <v>1131</v>
      </c>
      <c r="N398" s="369">
        <f>LOOKUP($C$393, T_NCAP_AF!$C$200:$C$210, T_NCAP_AF!D$200:D$210)*(1+N375)</f>
        <v>0</v>
      </c>
      <c r="O398" s="369">
        <f>LOOKUP($C$393, T_NCAP_AF!$C$200:$C$210, T_NCAP_AF!E$200:E$210)*(1+O375)</f>
        <v>0</v>
      </c>
      <c r="P398" s="369">
        <f>LOOKUP($C$393, T_NCAP_AF!$C$200:$C$210, T_NCAP_AF!F$200:F$210)*(1+P375)</f>
        <v>0</v>
      </c>
      <c r="Q398" s="369">
        <f>LOOKUP($C$393, T_NCAP_AF!$C$200:$C$210, T_NCAP_AF!G$200:G$210)*(1+Q375)</f>
        <v>0</v>
      </c>
      <c r="R398" s="369">
        <f>LOOKUP($C$393, T_NCAP_AF!$C$200:$C$210, T_NCAP_AF!H$200:H$210)*(1+R375)</f>
        <v>0</v>
      </c>
      <c r="S398" s="369">
        <f>LOOKUP($C$393, T_NCAP_AF!$C$200:$C$210, T_NCAP_AF!I$200:I$210)*(1+S375)</f>
        <v>0</v>
      </c>
      <c r="T398" s="369">
        <f>LOOKUP($C$393, T_NCAP_AF!$C$200:$C$210, T_NCAP_AF!J$200:J$210)*(1+T375)</f>
        <v>0</v>
      </c>
      <c r="U398" s="369">
        <f>LOOKUP($C$393, T_NCAP_AF!$C$200:$C$210, T_NCAP_AF!K$200:K$210)*(1+U375)</f>
        <v>0</v>
      </c>
      <c r="V398" s="369">
        <f>LOOKUP($C$393, T_NCAP_AF!$C$200:$C$210, T_NCAP_AF!L$200:L$210)*(1+V375)</f>
        <v>0</v>
      </c>
      <c r="W398" s="369">
        <f>LOOKUP($C$393, T_NCAP_AF!$C$200:$C$210, T_NCAP_AF!M$200:M$210)*(1+W375)</f>
        <v>0</v>
      </c>
      <c r="X398" s="369">
        <f>LOOKUP($C$393, T_NCAP_AF!$C$200:$C$210, T_NCAP_AF!N$200:N$210)*(1+X375)</f>
        <v>0</v>
      </c>
      <c r="Y398" s="369">
        <f>LOOKUP($C$393, T_NCAP_AF!$C$200:$C$210, T_NCAP_AF!O$200:O$210)*(1+Y375)</f>
        <v>0</v>
      </c>
      <c r="Z398" s="369">
        <f>LOOKUP($C$393, T_NCAP_AF!$C$200:$C$210, T_NCAP_AF!P$200:P$210)*(1+Z375)</f>
        <v>0</v>
      </c>
      <c r="AA398" s="369">
        <f>LOOKUP($C$393, T_NCAP_AF!$C$200:$C$210, T_NCAP_AF!Q$200:Q$210)*(1+AA375)</f>
        <v>0</v>
      </c>
      <c r="AB398" s="369">
        <f>LOOKUP($C$393, T_NCAP_AF!$C$200:$C$210, T_NCAP_AF!R$200:R$210)*(1+AB375)</f>
        <v>0</v>
      </c>
      <c r="AE398" s="572">
        <f>SUM(AF398:AT398)</f>
        <v>0</v>
      </c>
      <c r="AF398" s="85">
        <f t="shared" ref="AF398:AT398" si="323">N397*N398*N399/1000</f>
        <v>0</v>
      </c>
      <c r="AG398" s="85">
        <f t="shared" si="323"/>
        <v>0</v>
      </c>
      <c r="AH398" s="85">
        <f t="shared" si="323"/>
        <v>0</v>
      </c>
      <c r="AI398" s="85">
        <f t="shared" si="323"/>
        <v>0</v>
      </c>
      <c r="AJ398" s="85">
        <f t="shared" si="323"/>
        <v>0</v>
      </c>
      <c r="AK398" s="85">
        <f t="shared" si="323"/>
        <v>0</v>
      </c>
      <c r="AL398" s="85">
        <f t="shared" si="323"/>
        <v>0</v>
      </c>
      <c r="AM398" s="85">
        <f t="shared" si="323"/>
        <v>0</v>
      </c>
      <c r="AN398" s="85">
        <f t="shared" si="323"/>
        <v>0</v>
      </c>
      <c r="AO398" s="85">
        <f t="shared" si="323"/>
        <v>0</v>
      </c>
      <c r="AP398" s="85">
        <f t="shared" si="323"/>
        <v>0</v>
      </c>
      <c r="AQ398" s="85">
        <f t="shared" si="323"/>
        <v>0</v>
      </c>
      <c r="AR398" s="85">
        <f t="shared" si="323"/>
        <v>0</v>
      </c>
      <c r="AS398" s="85">
        <f t="shared" si="323"/>
        <v>0</v>
      </c>
      <c r="AT398" s="85">
        <f t="shared" si="323"/>
        <v>0</v>
      </c>
    </row>
    <row r="399" spans="1:52" x14ac:dyDescent="0.25">
      <c r="B399" s="186" t="str">
        <f t="shared" si="321"/>
        <v>TFREDST900</v>
      </c>
      <c r="C399" s="186"/>
      <c r="D399" s="187"/>
      <c r="E399" s="186"/>
      <c r="F399" s="170"/>
      <c r="G399" s="189"/>
      <c r="H399" s="170"/>
      <c r="I399" s="190">
        <f>$M$3</f>
        <v>2019</v>
      </c>
      <c r="J399" s="191"/>
      <c r="K399" s="191"/>
      <c r="L399" s="211" t="s">
        <v>1065</v>
      </c>
      <c r="M399" s="191" t="s">
        <v>748</v>
      </c>
      <c r="N399" s="694">
        <f>LOOKUP($C$393, 'T_Stock_TOTAL_&amp;_City'!$C$122:$C$133,'T_Stock_TOTAL_&amp;_City'!D$122:D$133)*(1+N376)</f>
        <v>0</v>
      </c>
      <c r="O399" s="694">
        <f>LOOKUP($C$393, 'T_Stock_TOTAL_&amp;_City'!$C$122:$C$133,'T_Stock_TOTAL_&amp;_City'!E$122:E$133)*(1+O376)</f>
        <v>0</v>
      </c>
      <c r="P399" s="694">
        <f>LOOKUP($C$393, 'T_Stock_TOTAL_&amp;_City'!$C$122:$C$133,'T_Stock_TOTAL_&amp;_City'!F$122:F$133)*(1+P376)</f>
        <v>0</v>
      </c>
      <c r="Q399" s="694">
        <f>LOOKUP($C$393, 'T_Stock_TOTAL_&amp;_City'!$C$122:$C$133,'T_Stock_TOTAL_&amp;_City'!G$122:G$133)*(1+Q376)</f>
        <v>0</v>
      </c>
      <c r="R399" s="694">
        <f>LOOKUP($C$393, 'T_Stock_TOTAL_&amp;_City'!$C$122:$C$133,'T_Stock_TOTAL_&amp;_City'!H$122:H$133)*(1+R376)</f>
        <v>0</v>
      </c>
      <c r="S399" s="694">
        <f>LOOKUP($C$393, 'T_Stock_TOTAL_&amp;_City'!$C$122:$C$133,'T_Stock_TOTAL_&amp;_City'!I$122:I$133)*(1+S376)</f>
        <v>0</v>
      </c>
      <c r="T399" s="694">
        <f>LOOKUP($C$393, 'T_Stock_TOTAL_&amp;_City'!$C$122:$C$133,'T_Stock_TOTAL_&amp;_City'!J$122:J$133)*(1+T376)</f>
        <v>0</v>
      </c>
      <c r="U399" s="694">
        <f>LOOKUP($C$393, 'T_Stock_TOTAL_&amp;_City'!$C$122:$C$133,'T_Stock_TOTAL_&amp;_City'!K$122:K$133)*(1+U376)</f>
        <v>0</v>
      </c>
      <c r="V399" s="694">
        <f>LOOKUP($C$393, 'T_Stock_TOTAL_&amp;_City'!$C$122:$C$133,'T_Stock_TOTAL_&amp;_City'!L$122:L$133)*(1+V376)</f>
        <v>0</v>
      </c>
      <c r="W399" s="694">
        <f>LOOKUP($C$393, 'T_Stock_TOTAL_&amp;_City'!$C$122:$C$133,'T_Stock_TOTAL_&amp;_City'!M$122:M$133)*(1+W376)</f>
        <v>0</v>
      </c>
      <c r="X399" s="694">
        <f>LOOKUP($C$393, 'T_Stock_TOTAL_&amp;_City'!$C$122:$C$133,'T_Stock_TOTAL_&amp;_City'!N$122:N$133)*(1+X376)</f>
        <v>0</v>
      </c>
      <c r="Y399" s="694">
        <f>LOOKUP($C$393, 'T_Stock_TOTAL_&amp;_City'!$C$122:$C$133,'T_Stock_TOTAL_&amp;_City'!O$122:O$133)*(1+Y376)</f>
        <v>0</v>
      </c>
      <c r="Z399" s="694">
        <f>LOOKUP($C$393, 'T_Stock_TOTAL_&amp;_City'!$C$122:$C$133,'T_Stock_TOTAL_&amp;_City'!P$122:P$133)*(1+Z376)</f>
        <v>0</v>
      </c>
      <c r="AA399" s="694">
        <f>LOOKUP($C$393, 'T_Stock_TOTAL_&amp;_City'!$C$122:$C$133,'T_Stock_TOTAL_&amp;_City'!Q$122:Q$133)*(1+AA376)</f>
        <v>0</v>
      </c>
      <c r="AB399" s="694">
        <f>LOOKUP($C$393, 'T_Stock_TOTAL_&amp;_City'!$C$122:$C$133,'T_Stock_TOTAL_&amp;_City'!R$122:R$133)*(1+AB376)</f>
        <v>0</v>
      </c>
    </row>
    <row r="400" spans="1:52" x14ac:dyDescent="0.25">
      <c r="B400" s="186" t="str">
        <f t="shared" si="321"/>
        <v>TFREDST900</v>
      </c>
      <c r="C400" s="186"/>
      <c r="D400" s="187"/>
      <c r="E400" s="186"/>
      <c r="F400" s="170"/>
      <c r="G400" s="189"/>
      <c r="H400" s="170"/>
      <c r="I400" s="183">
        <f>AF$5</f>
        <v>2016</v>
      </c>
      <c r="J400" s="191"/>
      <c r="K400" s="191"/>
      <c r="L400" s="211" t="s">
        <v>1065</v>
      </c>
      <c r="M400" s="191" t="s">
        <v>748</v>
      </c>
      <c r="N400" s="694">
        <f t="shared" ref="N400:AB400" si="324">N399*LOOKUP($AD393,$AH$4:$AQ$4,$AH$5:$AQ$5)</f>
        <v>0</v>
      </c>
      <c r="O400" s="694">
        <f t="shared" si="324"/>
        <v>0</v>
      </c>
      <c r="P400" s="694">
        <f t="shared" si="324"/>
        <v>0</v>
      </c>
      <c r="Q400" s="694">
        <f t="shared" si="324"/>
        <v>0</v>
      </c>
      <c r="R400" s="694">
        <f t="shared" si="324"/>
        <v>0</v>
      </c>
      <c r="S400" s="694">
        <f t="shared" si="324"/>
        <v>0</v>
      </c>
      <c r="T400" s="694">
        <f t="shared" si="324"/>
        <v>0</v>
      </c>
      <c r="U400" s="694">
        <f t="shared" si="324"/>
        <v>0</v>
      </c>
      <c r="V400" s="694">
        <f t="shared" si="324"/>
        <v>0</v>
      </c>
      <c r="W400" s="694">
        <f t="shared" si="324"/>
        <v>0</v>
      </c>
      <c r="X400" s="694">
        <f t="shared" si="324"/>
        <v>0</v>
      </c>
      <c r="Y400" s="694">
        <f t="shared" si="324"/>
        <v>0</v>
      </c>
      <c r="Z400" s="694">
        <f t="shared" si="324"/>
        <v>0</v>
      </c>
      <c r="AA400" s="694">
        <f t="shared" si="324"/>
        <v>0</v>
      </c>
      <c r="AB400" s="694">
        <f t="shared" si="324"/>
        <v>0</v>
      </c>
    </row>
    <row r="401" spans="1:52" x14ac:dyDescent="0.25">
      <c r="B401" s="186" t="str">
        <f t="shared" si="321"/>
        <v>TFREDST900</v>
      </c>
      <c r="C401" s="186"/>
      <c r="D401" s="187"/>
      <c r="E401" s="186"/>
      <c r="F401" s="170"/>
      <c r="G401" s="189"/>
      <c r="H401" s="170"/>
      <c r="I401" s="183">
        <f>AF$6</f>
        <v>2020</v>
      </c>
      <c r="J401" s="191"/>
      <c r="K401" s="191"/>
      <c r="L401" s="211" t="s">
        <v>1065</v>
      </c>
      <c r="M401" s="191" t="s">
        <v>748</v>
      </c>
      <c r="N401" s="694">
        <f t="shared" ref="N401:AB401" si="325">N399*LOOKUP($AD393,$AH$4:$AQ$4,$AH$6:$AQ$6)</f>
        <v>0</v>
      </c>
      <c r="O401" s="694">
        <f t="shared" si="325"/>
        <v>0</v>
      </c>
      <c r="P401" s="694">
        <f t="shared" si="325"/>
        <v>0</v>
      </c>
      <c r="Q401" s="694">
        <f t="shared" si="325"/>
        <v>0</v>
      </c>
      <c r="R401" s="694">
        <f t="shared" si="325"/>
        <v>0</v>
      </c>
      <c r="S401" s="694">
        <f t="shared" si="325"/>
        <v>0</v>
      </c>
      <c r="T401" s="694">
        <f t="shared" si="325"/>
        <v>0</v>
      </c>
      <c r="U401" s="694">
        <f t="shared" si="325"/>
        <v>0</v>
      </c>
      <c r="V401" s="694">
        <f t="shared" si="325"/>
        <v>0</v>
      </c>
      <c r="W401" s="694">
        <f t="shared" si="325"/>
        <v>0</v>
      </c>
      <c r="X401" s="694">
        <f t="shared" si="325"/>
        <v>0</v>
      </c>
      <c r="Y401" s="694">
        <f t="shared" si="325"/>
        <v>0</v>
      </c>
      <c r="Z401" s="694">
        <f t="shared" si="325"/>
        <v>0</v>
      </c>
      <c r="AA401" s="694">
        <f t="shared" si="325"/>
        <v>0</v>
      </c>
      <c r="AB401" s="694">
        <f t="shared" si="325"/>
        <v>0</v>
      </c>
    </row>
    <row r="402" spans="1:52" x14ac:dyDescent="0.25">
      <c r="B402" s="186" t="str">
        <f t="shared" si="321"/>
        <v>TFREDST900</v>
      </c>
      <c r="C402" s="186"/>
      <c r="D402" s="187"/>
      <c r="E402" s="186"/>
      <c r="F402" s="170"/>
      <c r="G402" s="189"/>
      <c r="H402" s="170"/>
      <c r="I402" s="183">
        <f>AF$7</f>
        <v>2025</v>
      </c>
      <c r="J402" s="191"/>
      <c r="K402" s="191"/>
      <c r="L402" s="211" t="s">
        <v>1065</v>
      </c>
      <c r="M402" s="191" t="s">
        <v>748</v>
      </c>
      <c r="N402" s="694">
        <f t="shared" ref="N402:AB402" si="326">N399*LOOKUP($AD393,$AH$4:$AQ$4,$AH$7:$AQ$7)</f>
        <v>0</v>
      </c>
      <c r="O402" s="694">
        <f t="shared" si="326"/>
        <v>0</v>
      </c>
      <c r="P402" s="694">
        <f t="shared" si="326"/>
        <v>0</v>
      </c>
      <c r="Q402" s="694">
        <f t="shared" si="326"/>
        <v>0</v>
      </c>
      <c r="R402" s="694">
        <f t="shared" si="326"/>
        <v>0</v>
      </c>
      <c r="S402" s="694">
        <f t="shared" si="326"/>
        <v>0</v>
      </c>
      <c r="T402" s="694">
        <f t="shared" si="326"/>
        <v>0</v>
      </c>
      <c r="U402" s="694">
        <f t="shared" si="326"/>
        <v>0</v>
      </c>
      <c r="V402" s="694">
        <f t="shared" si="326"/>
        <v>0</v>
      </c>
      <c r="W402" s="694">
        <f t="shared" si="326"/>
        <v>0</v>
      </c>
      <c r="X402" s="694">
        <f t="shared" si="326"/>
        <v>0</v>
      </c>
      <c r="Y402" s="694">
        <f t="shared" si="326"/>
        <v>0</v>
      </c>
      <c r="Z402" s="694">
        <f t="shared" si="326"/>
        <v>0</v>
      </c>
      <c r="AA402" s="694">
        <f t="shared" si="326"/>
        <v>0</v>
      </c>
      <c r="AB402" s="694">
        <f t="shared" si="326"/>
        <v>0</v>
      </c>
    </row>
    <row r="403" spans="1:52" x14ac:dyDescent="0.25">
      <c r="B403" s="186" t="str">
        <f t="shared" si="321"/>
        <v>TFREDST900</v>
      </c>
      <c r="C403" s="186"/>
      <c r="D403" s="187"/>
      <c r="E403" s="186"/>
      <c r="F403" s="170"/>
      <c r="G403" s="189"/>
      <c r="H403" s="170"/>
      <c r="I403" s="183">
        <f>AF$8</f>
        <v>2030</v>
      </c>
      <c r="J403" s="191"/>
      <c r="K403" s="191"/>
      <c r="L403" s="211" t="s">
        <v>1065</v>
      </c>
      <c r="M403" s="191" t="s">
        <v>748</v>
      </c>
      <c r="N403" s="694">
        <f t="shared" ref="N403:AB403" si="327">N399*LOOKUP($AD393,$AH$4:$AQ$4,$AH$8:$AQ$8)</f>
        <v>0</v>
      </c>
      <c r="O403" s="694">
        <f t="shared" si="327"/>
        <v>0</v>
      </c>
      <c r="P403" s="694">
        <f t="shared" si="327"/>
        <v>0</v>
      </c>
      <c r="Q403" s="694">
        <f t="shared" si="327"/>
        <v>0</v>
      </c>
      <c r="R403" s="694">
        <f t="shared" si="327"/>
        <v>0</v>
      </c>
      <c r="S403" s="694">
        <f t="shared" si="327"/>
        <v>0</v>
      </c>
      <c r="T403" s="694">
        <f t="shared" si="327"/>
        <v>0</v>
      </c>
      <c r="U403" s="694">
        <f t="shared" si="327"/>
        <v>0</v>
      </c>
      <c r="V403" s="694">
        <f t="shared" si="327"/>
        <v>0</v>
      </c>
      <c r="W403" s="694">
        <f t="shared" si="327"/>
        <v>0</v>
      </c>
      <c r="X403" s="694">
        <f t="shared" si="327"/>
        <v>0</v>
      </c>
      <c r="Y403" s="694">
        <f t="shared" si="327"/>
        <v>0</v>
      </c>
      <c r="Z403" s="694">
        <f t="shared" si="327"/>
        <v>0</v>
      </c>
      <c r="AA403" s="694">
        <f t="shared" si="327"/>
        <v>0</v>
      </c>
      <c r="AB403" s="694">
        <f t="shared" si="327"/>
        <v>0</v>
      </c>
    </row>
    <row r="404" spans="1:52" x14ac:dyDescent="0.25">
      <c r="B404" s="186" t="str">
        <f t="shared" si="321"/>
        <v>TFREDST900</v>
      </c>
      <c r="C404" s="186"/>
      <c r="D404" s="187"/>
      <c r="E404" s="186"/>
      <c r="F404" s="170"/>
      <c r="G404" s="189"/>
      <c r="H404" s="170"/>
      <c r="I404" s="183">
        <f>AF$9</f>
        <v>2040</v>
      </c>
      <c r="J404" s="191"/>
      <c r="K404" s="191"/>
      <c r="L404" s="211" t="s">
        <v>1065</v>
      </c>
      <c r="M404" s="191" t="s">
        <v>748</v>
      </c>
      <c r="N404" s="694">
        <f t="shared" ref="N404:AB404" si="328">N399*LOOKUP($AD393,$AH$4:$AQ$4,$AH$9:$AQ$9)</f>
        <v>0</v>
      </c>
      <c r="O404" s="694">
        <f t="shared" si="328"/>
        <v>0</v>
      </c>
      <c r="P404" s="694">
        <f t="shared" si="328"/>
        <v>0</v>
      </c>
      <c r="Q404" s="694">
        <f t="shared" si="328"/>
        <v>0</v>
      </c>
      <c r="R404" s="694">
        <f t="shared" si="328"/>
        <v>0</v>
      </c>
      <c r="S404" s="694">
        <f t="shared" si="328"/>
        <v>0</v>
      </c>
      <c r="T404" s="694">
        <f t="shared" si="328"/>
        <v>0</v>
      </c>
      <c r="U404" s="694">
        <f t="shared" si="328"/>
        <v>0</v>
      </c>
      <c r="V404" s="694">
        <f t="shared" si="328"/>
        <v>0</v>
      </c>
      <c r="W404" s="694">
        <f t="shared" si="328"/>
        <v>0</v>
      </c>
      <c r="X404" s="694">
        <f t="shared" si="328"/>
        <v>0</v>
      </c>
      <c r="Y404" s="694">
        <f t="shared" si="328"/>
        <v>0</v>
      </c>
      <c r="Z404" s="694">
        <f t="shared" si="328"/>
        <v>0</v>
      </c>
      <c r="AA404" s="694">
        <f t="shared" si="328"/>
        <v>0</v>
      </c>
      <c r="AB404" s="694">
        <f t="shared" si="328"/>
        <v>0</v>
      </c>
    </row>
    <row r="405" spans="1:52" x14ac:dyDescent="0.25">
      <c r="B405" s="193" t="str">
        <f t="shared" si="321"/>
        <v>TFREDST900</v>
      </c>
      <c r="C405" s="193"/>
      <c r="D405" s="194"/>
      <c r="E405" s="193"/>
      <c r="F405" s="196"/>
      <c r="G405" s="195"/>
      <c r="H405" s="196"/>
      <c r="I405" s="208">
        <f>AF$10</f>
        <v>2050</v>
      </c>
      <c r="J405" s="198"/>
      <c r="K405" s="198"/>
      <c r="L405" s="212" t="s">
        <v>1065</v>
      </c>
      <c r="M405" s="198" t="s">
        <v>748</v>
      </c>
      <c r="N405" s="695">
        <f t="shared" ref="N405:AB405" si="329">N399*LOOKUP($AD393,$AH$4:$AQ$4,$AH$10:$AQ$10)</f>
        <v>0</v>
      </c>
      <c r="O405" s="695">
        <f t="shared" si="329"/>
        <v>0</v>
      </c>
      <c r="P405" s="695">
        <f t="shared" si="329"/>
        <v>0</v>
      </c>
      <c r="Q405" s="695">
        <f t="shared" si="329"/>
        <v>0</v>
      </c>
      <c r="R405" s="695">
        <f t="shared" si="329"/>
        <v>0</v>
      </c>
      <c r="S405" s="695">
        <f t="shared" si="329"/>
        <v>0</v>
      </c>
      <c r="T405" s="695">
        <f t="shared" si="329"/>
        <v>0</v>
      </c>
      <c r="U405" s="695">
        <f t="shared" si="329"/>
        <v>0</v>
      </c>
      <c r="V405" s="695">
        <f t="shared" si="329"/>
        <v>0</v>
      </c>
      <c r="W405" s="695">
        <f t="shared" si="329"/>
        <v>0</v>
      </c>
      <c r="X405" s="695">
        <f t="shared" si="329"/>
        <v>0</v>
      </c>
      <c r="Y405" s="695">
        <f t="shared" si="329"/>
        <v>0</v>
      </c>
      <c r="Z405" s="695">
        <f t="shared" si="329"/>
        <v>0</v>
      </c>
      <c r="AA405" s="695">
        <f t="shared" si="329"/>
        <v>0</v>
      </c>
      <c r="AB405" s="695">
        <f t="shared" si="329"/>
        <v>0</v>
      </c>
      <c r="AD405" s="400"/>
    </row>
    <row r="406" spans="1:52" x14ac:dyDescent="0.25">
      <c r="A406" s="82"/>
      <c r="B406" s="178" t="str">
        <f>C406</f>
        <v>TFREELC900</v>
      </c>
      <c r="C406" s="178" t="s">
        <v>153</v>
      </c>
      <c r="D406" s="179" t="s">
        <v>853</v>
      </c>
      <c r="E406" s="407" t="s">
        <v>683</v>
      </c>
      <c r="F406" s="182"/>
      <c r="G406" s="181"/>
      <c r="H406" s="182"/>
      <c r="I406" s="183"/>
      <c r="J406" s="184"/>
      <c r="K406" s="184"/>
      <c r="L406" s="203" t="s">
        <v>1107</v>
      </c>
      <c r="M406" s="184" t="s">
        <v>1125</v>
      </c>
      <c r="N406" s="378">
        <v>1E-3</v>
      </c>
      <c r="O406" s="378">
        <f t="shared" ref="O406:AB406" si="330">$N406</f>
        <v>1E-3</v>
      </c>
      <c r="P406" s="378">
        <f t="shared" si="330"/>
        <v>1E-3</v>
      </c>
      <c r="Q406" s="378">
        <f t="shared" si="330"/>
        <v>1E-3</v>
      </c>
      <c r="R406" s="378">
        <f t="shared" si="330"/>
        <v>1E-3</v>
      </c>
      <c r="S406" s="378">
        <f t="shared" si="330"/>
        <v>1E-3</v>
      </c>
      <c r="T406" s="378">
        <f t="shared" si="330"/>
        <v>1E-3</v>
      </c>
      <c r="U406" s="378">
        <f t="shared" si="330"/>
        <v>1E-3</v>
      </c>
      <c r="V406" s="378">
        <f t="shared" si="330"/>
        <v>1E-3</v>
      </c>
      <c r="W406" s="378">
        <f t="shared" si="330"/>
        <v>1E-3</v>
      </c>
      <c r="X406" s="378">
        <f t="shared" si="330"/>
        <v>1E-3</v>
      </c>
      <c r="Y406" s="378">
        <f t="shared" si="330"/>
        <v>1E-3</v>
      </c>
      <c r="Z406" s="378">
        <f t="shared" si="330"/>
        <v>1E-3</v>
      </c>
      <c r="AA406" s="378">
        <f t="shared" si="330"/>
        <v>1E-3</v>
      </c>
      <c r="AB406" s="378">
        <f t="shared" si="330"/>
        <v>1E-3</v>
      </c>
      <c r="AC406" s="83"/>
      <c r="AD406" s="56" t="str">
        <f>MID(D406,13,3)</f>
        <v>ELC</v>
      </c>
      <c r="AU406" s="83"/>
      <c r="AV406" s="83"/>
      <c r="AW406" s="83"/>
      <c r="AX406" s="83"/>
      <c r="AY406" s="83"/>
      <c r="AZ406" s="83"/>
    </row>
    <row r="407" spans="1:52" s="83" customFormat="1" x14ac:dyDescent="0.25">
      <c r="A407" s="35"/>
      <c r="B407" s="186" t="str">
        <f>B406</f>
        <v>TFREELC900</v>
      </c>
      <c r="C407" s="186"/>
      <c r="D407" s="187"/>
      <c r="E407" s="186"/>
      <c r="F407" s="170"/>
      <c r="G407" s="173" t="s">
        <v>649</v>
      </c>
      <c r="H407" s="170"/>
      <c r="I407" s="190"/>
      <c r="J407" s="191"/>
      <c r="K407" s="191"/>
      <c r="L407" s="191" t="s">
        <v>1126</v>
      </c>
      <c r="M407" s="191" t="s">
        <v>678</v>
      </c>
      <c r="N407" s="377">
        <f>T_CEFF!H212</f>
        <v>6.7229999999999998E-2</v>
      </c>
      <c r="O407" s="377">
        <f>T_CEFF!I212</f>
        <v>6.7229999999999998E-2</v>
      </c>
      <c r="P407" s="377">
        <f>T_CEFF!J212</f>
        <v>6.7229999999999998E-2</v>
      </c>
      <c r="Q407" s="377">
        <f>T_CEFF!K212</f>
        <v>6.7229999999999998E-2</v>
      </c>
      <c r="R407" s="377">
        <f>T_CEFF!L212</f>
        <v>6.7229999999999998E-2</v>
      </c>
      <c r="S407" s="377">
        <f>T_CEFF!M212</f>
        <v>6.7229999999999998E-2</v>
      </c>
      <c r="T407" s="377">
        <f>T_CEFF!N212</f>
        <v>6.7229999999999998E-2</v>
      </c>
      <c r="U407" s="377">
        <f>T_CEFF!O212</f>
        <v>6.7229999999999998E-2</v>
      </c>
      <c r="V407" s="377">
        <f>T_CEFF!P212</f>
        <v>6.7229999999999998E-2</v>
      </c>
      <c r="W407" s="377">
        <f>T_CEFF!Q212</f>
        <v>6.7229999999999998E-2</v>
      </c>
      <c r="X407" s="377">
        <f>T_CEFF!R212</f>
        <v>6.7229999999999998E-2</v>
      </c>
      <c r="Y407" s="377">
        <f>T_CEFF!S212</f>
        <v>6.7229999999999998E-2</v>
      </c>
      <c r="Z407" s="377">
        <f>T_CEFF!T212</f>
        <v>6.7229999999999998E-2</v>
      </c>
      <c r="AA407" s="377">
        <f>T_CEFF!U212</f>
        <v>6.7229999999999998E-2</v>
      </c>
      <c r="AB407" s="377">
        <f>T_CEFF!V212</f>
        <v>6.7229999999999998E-2</v>
      </c>
      <c r="AC407" s="35"/>
      <c r="AD407" s="66" t="str">
        <f>IF(COUNTIF($AH$4:$AQ$4,AD406)=1,"ok","MISSING")</f>
        <v>ok</v>
      </c>
      <c r="AF407" s="89"/>
      <c r="AU407" s="35"/>
      <c r="AV407" s="35"/>
      <c r="AW407" s="35"/>
      <c r="AX407" s="35"/>
      <c r="AY407" s="35"/>
      <c r="AZ407" s="35"/>
    </row>
    <row r="408" spans="1:52" x14ac:dyDescent="0.25">
      <c r="B408" s="186" t="str">
        <f t="shared" ref="B408:B417" si="331">B407</f>
        <v>TFREELC900</v>
      </c>
      <c r="C408" s="186"/>
      <c r="D408" s="187"/>
      <c r="E408" s="186"/>
      <c r="F408" s="170"/>
      <c r="G408" s="173" t="s">
        <v>652</v>
      </c>
      <c r="H408" s="170"/>
      <c r="I408" s="190"/>
      <c r="J408" s="191"/>
      <c r="K408" s="191"/>
      <c r="L408" s="191" t="s">
        <v>1126</v>
      </c>
      <c r="M408" s="191" t="s">
        <v>678</v>
      </c>
      <c r="N408" s="377">
        <f>T_CEFF!H213</f>
        <v>5.3780000000000001E-2</v>
      </c>
      <c r="O408" s="377">
        <f>T_CEFF!I213</f>
        <v>5.3780000000000001E-2</v>
      </c>
      <c r="P408" s="377">
        <f>T_CEFF!J213</f>
        <v>5.3780000000000001E-2</v>
      </c>
      <c r="Q408" s="377">
        <f>T_CEFF!K213</f>
        <v>5.3780000000000001E-2</v>
      </c>
      <c r="R408" s="377">
        <f>T_CEFF!L213</f>
        <v>5.3780000000000001E-2</v>
      </c>
      <c r="S408" s="377">
        <f>T_CEFF!M213</f>
        <v>5.3780000000000001E-2</v>
      </c>
      <c r="T408" s="377">
        <f>T_CEFF!N213</f>
        <v>5.3780000000000001E-2</v>
      </c>
      <c r="U408" s="377">
        <f>T_CEFF!O213</f>
        <v>5.3780000000000001E-2</v>
      </c>
      <c r="V408" s="377">
        <f>T_CEFF!P213</f>
        <v>5.3780000000000001E-2</v>
      </c>
      <c r="W408" s="377">
        <f>T_CEFF!Q213</f>
        <v>5.3780000000000001E-2</v>
      </c>
      <c r="X408" s="377">
        <f>T_CEFF!R213</f>
        <v>5.3780000000000001E-2</v>
      </c>
      <c r="Y408" s="377">
        <f>T_CEFF!S213</f>
        <v>5.3780000000000001E-2</v>
      </c>
      <c r="Z408" s="377">
        <f>T_CEFF!T213</f>
        <v>5.3780000000000001E-2</v>
      </c>
      <c r="AA408" s="377">
        <f>T_CEFF!U213</f>
        <v>5.3780000000000001E-2</v>
      </c>
      <c r="AB408" s="377">
        <f>T_CEFF!V213</f>
        <v>5.3780000000000001E-2</v>
      </c>
    </row>
    <row r="409" spans="1:52" x14ac:dyDescent="0.25">
      <c r="B409" s="186" t="str">
        <f t="shared" si="331"/>
        <v>TFREELC900</v>
      </c>
      <c r="C409" s="186"/>
      <c r="D409" s="187"/>
      <c r="E409" s="186"/>
      <c r="F409" s="170"/>
      <c r="G409" s="189"/>
      <c r="H409" s="170"/>
      <c r="I409" s="190"/>
      <c r="J409" s="191"/>
      <c r="K409" s="191" t="s">
        <v>749</v>
      </c>
      <c r="L409" s="191" t="s">
        <v>1128</v>
      </c>
      <c r="M409" s="191" t="s">
        <v>1175</v>
      </c>
      <c r="N409" s="368">
        <f t="shared" ref="N409:AB409" si="332">N$25</f>
        <v>0</v>
      </c>
      <c r="O409" s="368">
        <f t="shared" si="332"/>
        <v>0</v>
      </c>
      <c r="P409" s="368">
        <f t="shared" si="332"/>
        <v>0</v>
      </c>
      <c r="Q409" s="368">
        <f t="shared" si="332"/>
        <v>0</v>
      </c>
      <c r="R409" s="368">
        <f t="shared" si="332"/>
        <v>0</v>
      </c>
      <c r="S409" s="368">
        <f t="shared" si="332"/>
        <v>0</v>
      </c>
      <c r="T409" s="368">
        <f t="shared" si="332"/>
        <v>0</v>
      </c>
      <c r="U409" s="368">
        <f t="shared" si="332"/>
        <v>0</v>
      </c>
      <c r="V409" s="368">
        <f t="shared" si="332"/>
        <v>0</v>
      </c>
      <c r="W409" s="368">
        <f t="shared" si="332"/>
        <v>0</v>
      </c>
      <c r="X409" s="368">
        <f t="shared" si="332"/>
        <v>0</v>
      </c>
      <c r="Y409" s="368">
        <f t="shared" si="332"/>
        <v>0</v>
      </c>
      <c r="Z409" s="368">
        <f t="shared" si="332"/>
        <v>0</v>
      </c>
      <c r="AA409" s="368">
        <f t="shared" si="332"/>
        <v>0</v>
      </c>
      <c r="AB409" s="368">
        <f t="shared" si="332"/>
        <v>0</v>
      </c>
    </row>
    <row r="410" spans="1:52" x14ac:dyDescent="0.25">
      <c r="B410" s="186" t="str">
        <f t="shared" si="331"/>
        <v>TFREELC900</v>
      </c>
      <c r="C410" s="186"/>
      <c r="D410" s="187"/>
      <c r="E410" s="186"/>
      <c r="F410" s="170"/>
      <c r="G410" s="189"/>
      <c r="H410" s="170"/>
      <c r="I410" s="190"/>
      <c r="J410" s="191"/>
      <c r="K410" s="191"/>
      <c r="L410" s="211" t="s">
        <v>1130</v>
      </c>
      <c r="M410" s="191" t="s">
        <v>1131</v>
      </c>
      <c r="N410" s="369">
        <f>LOOKUP($C$406, T_NCAP_AF!$C$200:$C$210, T_NCAP_AF!D$200:D$210)*(1+N375)</f>
        <v>0</v>
      </c>
      <c r="O410" s="369">
        <f>LOOKUP($C$406, T_NCAP_AF!$C$200:$C$210, T_NCAP_AF!E$200:E$210)*(1+O375)</f>
        <v>0</v>
      </c>
      <c r="P410" s="369">
        <f>LOOKUP($C$406, T_NCAP_AF!$C$200:$C$210, T_NCAP_AF!F$200:F$210)*(1+P375)</f>
        <v>0</v>
      </c>
      <c r="Q410" s="369">
        <f>LOOKUP($C$406, T_NCAP_AF!$C$200:$C$210, T_NCAP_AF!G$200:G$210)*(1+Q375)</f>
        <v>0</v>
      </c>
      <c r="R410" s="369">
        <f>LOOKUP($C$406, T_NCAP_AF!$C$200:$C$210, T_NCAP_AF!H$200:H$210)*(1+R375)</f>
        <v>0</v>
      </c>
      <c r="S410" s="369">
        <f>LOOKUP($C$406, T_NCAP_AF!$C$200:$C$210, T_NCAP_AF!I$200:I$210)*(1+S375)</f>
        <v>0</v>
      </c>
      <c r="T410" s="369">
        <f>LOOKUP($C$406, T_NCAP_AF!$C$200:$C$210, T_NCAP_AF!J$200:J$210)*(1+T375)</f>
        <v>0</v>
      </c>
      <c r="U410" s="369">
        <f>LOOKUP($C$406, T_NCAP_AF!$C$200:$C$210, T_NCAP_AF!K$200:K$210)*(1+U375)</f>
        <v>0</v>
      </c>
      <c r="V410" s="369">
        <f>LOOKUP($C$406, T_NCAP_AF!$C$200:$C$210, T_NCAP_AF!L$200:L$210)*(1+V375)</f>
        <v>0</v>
      </c>
      <c r="W410" s="369">
        <f>LOOKUP($C$406, T_NCAP_AF!$C$200:$C$210, T_NCAP_AF!M$200:M$210)*(1+W375)</f>
        <v>0</v>
      </c>
      <c r="X410" s="369">
        <f>LOOKUP($C$406, T_NCAP_AF!$C$200:$C$210, T_NCAP_AF!N$200:N$210)*(1+X375)</f>
        <v>0</v>
      </c>
      <c r="Y410" s="369">
        <f>LOOKUP($C$406, T_NCAP_AF!$C$200:$C$210, T_NCAP_AF!O$200:O$210)*(1+Y375)</f>
        <v>0</v>
      </c>
      <c r="Z410" s="369">
        <f>LOOKUP($C$406, T_NCAP_AF!$C$200:$C$210, T_NCAP_AF!P$200:P$210)*(1+Z375)</f>
        <v>0</v>
      </c>
      <c r="AA410" s="369">
        <f>LOOKUP($C$406, T_NCAP_AF!$C$200:$C$210, T_NCAP_AF!Q$200:Q$210)*(1+AA375)</f>
        <v>0</v>
      </c>
      <c r="AB410" s="369">
        <f>LOOKUP($C$406, T_NCAP_AF!$C$200:$C$210, T_NCAP_AF!R$200:R$210)*(1+AB375)</f>
        <v>0</v>
      </c>
      <c r="AE410" s="572">
        <f>SUM(AF410:AT410)</f>
        <v>0</v>
      </c>
      <c r="AF410" s="85">
        <f t="shared" ref="AF410:AT410" si="333">N409*N410*N411/1000</f>
        <v>0</v>
      </c>
      <c r="AG410" s="85">
        <f t="shared" si="333"/>
        <v>0</v>
      </c>
      <c r="AH410" s="85">
        <f t="shared" si="333"/>
        <v>0</v>
      </c>
      <c r="AI410" s="85">
        <f t="shared" si="333"/>
        <v>0</v>
      </c>
      <c r="AJ410" s="85">
        <f t="shared" si="333"/>
        <v>0</v>
      </c>
      <c r="AK410" s="85">
        <f t="shared" si="333"/>
        <v>0</v>
      </c>
      <c r="AL410" s="85">
        <f t="shared" si="333"/>
        <v>0</v>
      </c>
      <c r="AM410" s="85">
        <f t="shared" si="333"/>
        <v>0</v>
      </c>
      <c r="AN410" s="85">
        <f t="shared" si="333"/>
        <v>0</v>
      </c>
      <c r="AO410" s="85">
        <f t="shared" si="333"/>
        <v>0</v>
      </c>
      <c r="AP410" s="85">
        <f t="shared" si="333"/>
        <v>0</v>
      </c>
      <c r="AQ410" s="85">
        <f t="shared" si="333"/>
        <v>0</v>
      </c>
      <c r="AR410" s="85">
        <f t="shared" si="333"/>
        <v>0</v>
      </c>
      <c r="AS410" s="85">
        <f t="shared" si="333"/>
        <v>0</v>
      </c>
      <c r="AT410" s="85">
        <f t="shared" si="333"/>
        <v>0</v>
      </c>
    </row>
    <row r="411" spans="1:52" x14ac:dyDescent="0.25">
      <c r="B411" s="186" t="str">
        <f t="shared" si="331"/>
        <v>TFREELC900</v>
      </c>
      <c r="C411" s="186"/>
      <c r="D411" s="187"/>
      <c r="E411" s="186"/>
      <c r="F411" s="170"/>
      <c r="G411" s="189"/>
      <c r="H411" s="170"/>
      <c r="I411" s="190">
        <f>$M$3</f>
        <v>2019</v>
      </c>
      <c r="J411" s="191"/>
      <c r="K411" s="191"/>
      <c r="L411" s="211" t="s">
        <v>1065</v>
      </c>
      <c r="M411" s="191" t="s">
        <v>748</v>
      </c>
      <c r="N411" s="694">
        <f>LOOKUP($C$406, 'T_Stock_TOTAL_&amp;_City'!$C$122:$C$133,'T_Stock_TOTAL_&amp;_City'!D$122:D$133)*(1+N$376)</f>
        <v>0</v>
      </c>
      <c r="O411" s="694">
        <f>LOOKUP($C$406, 'T_Stock_TOTAL_&amp;_City'!$C$122:$C$133,'T_Stock_TOTAL_&amp;_City'!E$122:E$133)*(1+O376)</f>
        <v>0</v>
      </c>
      <c r="P411" s="694">
        <f>LOOKUP($C$406, 'T_Stock_TOTAL_&amp;_City'!$C$122:$C$133,'T_Stock_TOTAL_&amp;_City'!F$122:F$133)*(1+P376)</f>
        <v>0</v>
      </c>
      <c r="Q411" s="694">
        <f>LOOKUP($C$406, 'T_Stock_TOTAL_&amp;_City'!$C$122:$C$133,'T_Stock_TOTAL_&amp;_City'!G$122:G$133)*(1+Q376)</f>
        <v>0</v>
      </c>
      <c r="R411" s="694">
        <f>LOOKUP($C$406, 'T_Stock_TOTAL_&amp;_City'!$C$122:$C$133,'T_Stock_TOTAL_&amp;_City'!H$122:H$133)*(1+R376)</f>
        <v>0</v>
      </c>
      <c r="S411" s="694">
        <f>LOOKUP($C$406, 'T_Stock_TOTAL_&amp;_City'!$C$122:$C$133,'T_Stock_TOTAL_&amp;_City'!I$122:I$133)*(1+S376)</f>
        <v>0</v>
      </c>
      <c r="T411" s="694">
        <f>LOOKUP($C$406, 'T_Stock_TOTAL_&amp;_City'!$C$122:$C$133,'T_Stock_TOTAL_&amp;_City'!J$122:J$133)*(1+T376)</f>
        <v>0</v>
      </c>
      <c r="U411" s="694">
        <f>LOOKUP($C$406, 'T_Stock_TOTAL_&amp;_City'!$C$122:$C$133,'T_Stock_TOTAL_&amp;_City'!K$122:K$133)*(1+U376)</f>
        <v>0</v>
      </c>
      <c r="V411" s="694">
        <f>LOOKUP($C$406, 'T_Stock_TOTAL_&amp;_City'!$C$122:$C$133,'T_Stock_TOTAL_&amp;_City'!L$122:L$133)*(1+V376)</f>
        <v>0</v>
      </c>
      <c r="W411" s="694">
        <f>LOOKUP($C$406, 'T_Stock_TOTAL_&amp;_City'!$C$122:$C$133,'T_Stock_TOTAL_&amp;_City'!M$122:M$133)*(1+W376)</f>
        <v>0</v>
      </c>
      <c r="X411" s="694">
        <f>LOOKUP($C$406, 'T_Stock_TOTAL_&amp;_City'!$C$122:$C$133,'T_Stock_TOTAL_&amp;_City'!N$122:N$133)*(1+X376)</f>
        <v>0</v>
      </c>
      <c r="Y411" s="694">
        <f>LOOKUP($C$406, 'T_Stock_TOTAL_&amp;_City'!$C$122:$C$133,'T_Stock_TOTAL_&amp;_City'!O$122:O$133)*(1+Y376)</f>
        <v>0</v>
      </c>
      <c r="Z411" s="694">
        <f>LOOKUP($C$406, 'T_Stock_TOTAL_&amp;_City'!$C$122:$C$133,'T_Stock_TOTAL_&amp;_City'!P$122:P$133)*(1+Z376)</f>
        <v>0</v>
      </c>
      <c r="AA411" s="694">
        <f>LOOKUP($C$406, 'T_Stock_TOTAL_&amp;_City'!$C$122:$C$133,'T_Stock_TOTAL_&amp;_City'!Q$122:Q$133)*(1+AA376)</f>
        <v>0</v>
      </c>
      <c r="AB411" s="694">
        <f>LOOKUP($C$406, 'T_Stock_TOTAL_&amp;_City'!$C$122:$C$133,'T_Stock_TOTAL_&amp;_City'!R$122:R$133)*(1+AB376)</f>
        <v>0</v>
      </c>
    </row>
    <row r="412" spans="1:52" x14ac:dyDescent="0.25">
      <c r="B412" s="186" t="str">
        <f t="shared" si="331"/>
        <v>TFREELC900</v>
      </c>
      <c r="C412" s="186"/>
      <c r="D412" s="187"/>
      <c r="E412" s="186"/>
      <c r="F412" s="170"/>
      <c r="G412" s="189"/>
      <c r="H412" s="170"/>
      <c r="I412" s="183">
        <f>AF$5</f>
        <v>2016</v>
      </c>
      <c r="J412" s="191"/>
      <c r="K412" s="191"/>
      <c r="L412" s="211" t="s">
        <v>1065</v>
      </c>
      <c r="M412" s="191" t="s">
        <v>748</v>
      </c>
      <c r="N412" s="694">
        <f t="shared" ref="N412:AB412" si="334">N411*LOOKUP($AD406,$AH$4:$AQ$4,$AH$5:$AQ$5)</f>
        <v>0</v>
      </c>
      <c r="O412" s="694">
        <f t="shared" si="334"/>
        <v>0</v>
      </c>
      <c r="P412" s="694">
        <f t="shared" si="334"/>
        <v>0</v>
      </c>
      <c r="Q412" s="694">
        <f t="shared" si="334"/>
        <v>0</v>
      </c>
      <c r="R412" s="694">
        <f t="shared" si="334"/>
        <v>0</v>
      </c>
      <c r="S412" s="694">
        <f t="shared" si="334"/>
        <v>0</v>
      </c>
      <c r="T412" s="694">
        <f t="shared" si="334"/>
        <v>0</v>
      </c>
      <c r="U412" s="694">
        <f t="shared" si="334"/>
        <v>0</v>
      </c>
      <c r="V412" s="694">
        <f t="shared" si="334"/>
        <v>0</v>
      </c>
      <c r="W412" s="694">
        <f t="shared" si="334"/>
        <v>0</v>
      </c>
      <c r="X412" s="694">
        <f t="shared" si="334"/>
        <v>0</v>
      </c>
      <c r="Y412" s="694">
        <f t="shared" si="334"/>
        <v>0</v>
      </c>
      <c r="Z412" s="694">
        <f t="shared" si="334"/>
        <v>0</v>
      </c>
      <c r="AA412" s="694">
        <f t="shared" si="334"/>
        <v>0</v>
      </c>
      <c r="AB412" s="694">
        <f t="shared" si="334"/>
        <v>0</v>
      </c>
    </row>
    <row r="413" spans="1:52" x14ac:dyDescent="0.25">
      <c r="B413" s="186" t="str">
        <f t="shared" si="331"/>
        <v>TFREELC900</v>
      </c>
      <c r="C413" s="186"/>
      <c r="D413" s="187"/>
      <c r="E413" s="186"/>
      <c r="F413" s="170"/>
      <c r="G413" s="189"/>
      <c r="H413" s="170"/>
      <c r="I413" s="183">
        <f>AF$6</f>
        <v>2020</v>
      </c>
      <c r="J413" s="191"/>
      <c r="K413" s="191"/>
      <c r="L413" s="211" t="s">
        <v>1065</v>
      </c>
      <c r="M413" s="191" t="s">
        <v>748</v>
      </c>
      <c r="N413" s="694">
        <f t="shared" ref="N413:AB413" si="335">N411*LOOKUP($AD406,$AH$4:$AQ$4,$AH$6:$AQ$6)</f>
        <v>0</v>
      </c>
      <c r="O413" s="694">
        <f t="shared" si="335"/>
        <v>0</v>
      </c>
      <c r="P413" s="694">
        <f t="shared" si="335"/>
        <v>0</v>
      </c>
      <c r="Q413" s="694">
        <f t="shared" si="335"/>
        <v>0</v>
      </c>
      <c r="R413" s="694">
        <f t="shared" si="335"/>
        <v>0</v>
      </c>
      <c r="S413" s="694">
        <f t="shared" si="335"/>
        <v>0</v>
      </c>
      <c r="T413" s="694">
        <f t="shared" si="335"/>
        <v>0</v>
      </c>
      <c r="U413" s="694">
        <f t="shared" si="335"/>
        <v>0</v>
      </c>
      <c r="V413" s="694">
        <f t="shared" si="335"/>
        <v>0</v>
      </c>
      <c r="W413" s="694">
        <f t="shared" si="335"/>
        <v>0</v>
      </c>
      <c r="X413" s="694">
        <f t="shared" si="335"/>
        <v>0</v>
      </c>
      <c r="Y413" s="694">
        <f t="shared" si="335"/>
        <v>0</v>
      </c>
      <c r="Z413" s="694">
        <f t="shared" si="335"/>
        <v>0</v>
      </c>
      <c r="AA413" s="694">
        <f t="shared" si="335"/>
        <v>0</v>
      </c>
      <c r="AB413" s="694">
        <f t="shared" si="335"/>
        <v>0</v>
      </c>
    </row>
    <row r="414" spans="1:52" x14ac:dyDescent="0.25">
      <c r="B414" s="186" t="str">
        <f t="shared" si="331"/>
        <v>TFREELC900</v>
      </c>
      <c r="C414" s="186"/>
      <c r="D414" s="187"/>
      <c r="E414" s="186"/>
      <c r="F414" s="170"/>
      <c r="G414" s="189"/>
      <c r="H414" s="170"/>
      <c r="I414" s="183">
        <f>AF$7</f>
        <v>2025</v>
      </c>
      <c r="J414" s="191"/>
      <c r="K414" s="191"/>
      <c r="L414" s="211" t="s">
        <v>1065</v>
      </c>
      <c r="M414" s="191" t="s">
        <v>748</v>
      </c>
      <c r="N414" s="694">
        <f t="shared" ref="N414:AB414" si="336">N411*LOOKUP($AD406,$AH$4:$AQ$4,$AH$7:$AQ$7)</f>
        <v>0</v>
      </c>
      <c r="O414" s="694">
        <f t="shared" si="336"/>
        <v>0</v>
      </c>
      <c r="P414" s="694">
        <f t="shared" si="336"/>
        <v>0</v>
      </c>
      <c r="Q414" s="694">
        <f t="shared" si="336"/>
        <v>0</v>
      </c>
      <c r="R414" s="694">
        <f t="shared" si="336"/>
        <v>0</v>
      </c>
      <c r="S414" s="694">
        <f t="shared" si="336"/>
        <v>0</v>
      </c>
      <c r="T414" s="694">
        <f t="shared" si="336"/>
        <v>0</v>
      </c>
      <c r="U414" s="694">
        <f t="shared" si="336"/>
        <v>0</v>
      </c>
      <c r="V414" s="694">
        <f t="shared" si="336"/>
        <v>0</v>
      </c>
      <c r="W414" s="694">
        <f t="shared" si="336"/>
        <v>0</v>
      </c>
      <c r="X414" s="694">
        <f t="shared" si="336"/>
        <v>0</v>
      </c>
      <c r="Y414" s="694">
        <f t="shared" si="336"/>
        <v>0</v>
      </c>
      <c r="Z414" s="694">
        <f t="shared" si="336"/>
        <v>0</v>
      </c>
      <c r="AA414" s="694">
        <f t="shared" si="336"/>
        <v>0</v>
      </c>
      <c r="AB414" s="694">
        <f t="shared" si="336"/>
        <v>0</v>
      </c>
    </row>
    <row r="415" spans="1:52" x14ac:dyDescent="0.25">
      <c r="B415" s="186" t="str">
        <f t="shared" si="331"/>
        <v>TFREELC900</v>
      </c>
      <c r="C415" s="186"/>
      <c r="D415" s="187"/>
      <c r="E415" s="186"/>
      <c r="F415" s="170"/>
      <c r="G415" s="189"/>
      <c r="H415" s="170"/>
      <c r="I415" s="183">
        <f>AF$8</f>
        <v>2030</v>
      </c>
      <c r="J415" s="191"/>
      <c r="K415" s="191"/>
      <c r="L415" s="211" t="s">
        <v>1065</v>
      </c>
      <c r="M415" s="191" t="s">
        <v>748</v>
      </c>
      <c r="N415" s="694">
        <f t="shared" ref="N415:AB415" si="337">N411*LOOKUP($AD406,$AH$4:$AQ$4,$AH$8:$AQ$8)</f>
        <v>0</v>
      </c>
      <c r="O415" s="694">
        <f t="shared" si="337"/>
        <v>0</v>
      </c>
      <c r="P415" s="694">
        <f t="shared" si="337"/>
        <v>0</v>
      </c>
      <c r="Q415" s="694">
        <f t="shared" si="337"/>
        <v>0</v>
      </c>
      <c r="R415" s="694">
        <f t="shared" si="337"/>
        <v>0</v>
      </c>
      <c r="S415" s="694">
        <f t="shared" si="337"/>
        <v>0</v>
      </c>
      <c r="T415" s="694">
        <f t="shared" si="337"/>
        <v>0</v>
      </c>
      <c r="U415" s="694">
        <f t="shared" si="337"/>
        <v>0</v>
      </c>
      <c r="V415" s="694">
        <f t="shared" si="337"/>
        <v>0</v>
      </c>
      <c r="W415" s="694">
        <f t="shared" si="337"/>
        <v>0</v>
      </c>
      <c r="X415" s="694">
        <f t="shared" si="337"/>
        <v>0</v>
      </c>
      <c r="Y415" s="694">
        <f t="shared" si="337"/>
        <v>0</v>
      </c>
      <c r="Z415" s="694">
        <f t="shared" si="337"/>
        <v>0</v>
      </c>
      <c r="AA415" s="694">
        <f t="shared" si="337"/>
        <v>0</v>
      </c>
      <c r="AB415" s="694">
        <f t="shared" si="337"/>
        <v>0</v>
      </c>
    </row>
    <row r="416" spans="1:52" x14ac:dyDescent="0.25">
      <c r="B416" s="186" t="str">
        <f t="shared" si="331"/>
        <v>TFREELC900</v>
      </c>
      <c r="C416" s="186"/>
      <c r="D416" s="187"/>
      <c r="E416" s="186"/>
      <c r="F416" s="170"/>
      <c r="G416" s="189"/>
      <c r="H416" s="170"/>
      <c r="I416" s="183">
        <f>AF$9</f>
        <v>2040</v>
      </c>
      <c r="J416" s="191"/>
      <c r="K416" s="191"/>
      <c r="L416" s="211" t="s">
        <v>1065</v>
      </c>
      <c r="M416" s="191" t="s">
        <v>748</v>
      </c>
      <c r="N416" s="694">
        <f t="shared" ref="N416:AB416" si="338">N411*LOOKUP($AD406,$AH$4:$AQ$4,$AH$9:$AQ$9)</f>
        <v>0</v>
      </c>
      <c r="O416" s="694">
        <f t="shared" si="338"/>
        <v>0</v>
      </c>
      <c r="P416" s="694">
        <f t="shared" si="338"/>
        <v>0</v>
      </c>
      <c r="Q416" s="694">
        <f t="shared" si="338"/>
        <v>0</v>
      </c>
      <c r="R416" s="694">
        <f t="shared" si="338"/>
        <v>0</v>
      </c>
      <c r="S416" s="694">
        <f t="shared" si="338"/>
        <v>0</v>
      </c>
      <c r="T416" s="694">
        <f t="shared" si="338"/>
        <v>0</v>
      </c>
      <c r="U416" s="694">
        <f t="shared" si="338"/>
        <v>0</v>
      </c>
      <c r="V416" s="694">
        <f t="shared" si="338"/>
        <v>0</v>
      </c>
      <c r="W416" s="694">
        <f t="shared" si="338"/>
        <v>0</v>
      </c>
      <c r="X416" s="694">
        <f t="shared" si="338"/>
        <v>0</v>
      </c>
      <c r="Y416" s="694">
        <f t="shared" si="338"/>
        <v>0</v>
      </c>
      <c r="Z416" s="694">
        <f t="shared" si="338"/>
        <v>0</v>
      </c>
      <c r="AA416" s="694">
        <f t="shared" si="338"/>
        <v>0</v>
      </c>
      <c r="AB416" s="694">
        <f t="shared" si="338"/>
        <v>0</v>
      </c>
    </row>
    <row r="417" spans="1:52" x14ac:dyDescent="0.25">
      <c r="B417" s="193" t="str">
        <f t="shared" si="331"/>
        <v>TFREELC900</v>
      </c>
      <c r="C417" s="193"/>
      <c r="D417" s="194"/>
      <c r="E417" s="193"/>
      <c r="F417" s="196"/>
      <c r="G417" s="195"/>
      <c r="H417" s="196"/>
      <c r="I417" s="208">
        <f>AF$10</f>
        <v>2050</v>
      </c>
      <c r="J417" s="198"/>
      <c r="K417" s="198"/>
      <c r="L417" s="212" t="s">
        <v>1065</v>
      </c>
      <c r="M417" s="198" t="s">
        <v>748</v>
      </c>
      <c r="N417" s="695">
        <f t="shared" ref="N417:AB417" si="339">N411*LOOKUP($AD406,$AH$4:$AQ$4,$AH$10:$AQ$10)</f>
        <v>0</v>
      </c>
      <c r="O417" s="695">
        <f t="shared" si="339"/>
        <v>0</v>
      </c>
      <c r="P417" s="695">
        <f t="shared" si="339"/>
        <v>0</v>
      </c>
      <c r="Q417" s="695">
        <f t="shared" si="339"/>
        <v>0</v>
      </c>
      <c r="R417" s="695">
        <f t="shared" si="339"/>
        <v>0</v>
      </c>
      <c r="S417" s="695">
        <f t="shared" si="339"/>
        <v>0</v>
      </c>
      <c r="T417" s="695">
        <f t="shared" si="339"/>
        <v>0</v>
      </c>
      <c r="U417" s="695">
        <f t="shared" si="339"/>
        <v>0</v>
      </c>
      <c r="V417" s="695">
        <f t="shared" si="339"/>
        <v>0</v>
      </c>
      <c r="W417" s="695">
        <f t="shared" si="339"/>
        <v>0</v>
      </c>
      <c r="X417" s="695">
        <f t="shared" si="339"/>
        <v>0</v>
      </c>
      <c r="Y417" s="695">
        <f t="shared" si="339"/>
        <v>0</v>
      </c>
      <c r="Z417" s="695">
        <f t="shared" si="339"/>
        <v>0</v>
      </c>
      <c r="AA417" s="695">
        <f t="shared" si="339"/>
        <v>0</v>
      </c>
      <c r="AB417" s="695">
        <f t="shared" si="339"/>
        <v>0</v>
      </c>
    </row>
    <row r="418" spans="1:52" x14ac:dyDescent="0.25">
      <c r="A418" s="82"/>
      <c r="B418" s="178" t="str">
        <f>C418</f>
        <v>TFREETH900</v>
      </c>
      <c r="C418" s="178" t="s">
        <v>154</v>
      </c>
      <c r="D418" s="179" t="s">
        <v>855</v>
      </c>
      <c r="E418" s="180" t="s">
        <v>1010</v>
      </c>
      <c r="F418" s="182"/>
      <c r="G418" s="181"/>
      <c r="H418" s="182"/>
      <c r="I418" s="183"/>
      <c r="J418" s="184"/>
      <c r="K418" s="184"/>
      <c r="L418" s="203" t="s">
        <v>1107</v>
      </c>
      <c r="M418" s="184" t="s">
        <v>1125</v>
      </c>
      <c r="N418" s="378">
        <v>1E-3</v>
      </c>
      <c r="O418" s="378">
        <f t="shared" ref="O418:AB418" si="340">$N418</f>
        <v>1E-3</v>
      </c>
      <c r="P418" s="378">
        <f t="shared" si="340"/>
        <v>1E-3</v>
      </c>
      <c r="Q418" s="378">
        <f t="shared" si="340"/>
        <v>1E-3</v>
      </c>
      <c r="R418" s="378">
        <f t="shared" si="340"/>
        <v>1E-3</v>
      </c>
      <c r="S418" s="378">
        <f t="shared" si="340"/>
        <v>1E-3</v>
      </c>
      <c r="T418" s="378">
        <f t="shared" si="340"/>
        <v>1E-3</v>
      </c>
      <c r="U418" s="378">
        <f t="shared" si="340"/>
        <v>1E-3</v>
      </c>
      <c r="V418" s="378">
        <f t="shared" si="340"/>
        <v>1E-3</v>
      </c>
      <c r="W418" s="378">
        <f t="shared" si="340"/>
        <v>1E-3</v>
      </c>
      <c r="X418" s="378">
        <f t="shared" si="340"/>
        <v>1E-3</v>
      </c>
      <c r="Y418" s="378">
        <f t="shared" si="340"/>
        <v>1E-3</v>
      </c>
      <c r="Z418" s="378">
        <f t="shared" si="340"/>
        <v>1E-3</v>
      </c>
      <c r="AA418" s="378">
        <f t="shared" si="340"/>
        <v>1E-3</v>
      </c>
      <c r="AB418" s="378">
        <f t="shared" si="340"/>
        <v>1E-3</v>
      </c>
      <c r="AC418" s="83"/>
      <c r="AD418" s="402" t="str">
        <f>MID(D418,13,3)</f>
        <v>ETH</v>
      </c>
      <c r="AU418" s="83"/>
      <c r="AV418" s="83"/>
      <c r="AW418" s="83"/>
      <c r="AX418" s="83"/>
      <c r="AY418" s="83"/>
      <c r="AZ418" s="83"/>
    </row>
    <row r="419" spans="1:52" s="83" customFormat="1" x14ac:dyDescent="0.25">
      <c r="A419" s="22"/>
      <c r="B419" s="186" t="str">
        <f>B418</f>
        <v>TFREETH900</v>
      </c>
      <c r="C419" s="186"/>
      <c r="D419" s="187"/>
      <c r="E419" s="186"/>
      <c r="F419" s="170"/>
      <c r="G419" s="173" t="s">
        <v>649</v>
      </c>
      <c r="H419" s="170"/>
      <c r="I419" s="190"/>
      <c r="J419" s="191"/>
      <c r="K419" s="191"/>
      <c r="L419" s="191" t="s">
        <v>1126</v>
      </c>
      <c r="M419" s="191" t="s">
        <v>678</v>
      </c>
      <c r="N419" s="377">
        <f>T_CEFF!H214</f>
        <v>7.1110000000000007E-2</v>
      </c>
      <c r="O419" s="377">
        <f>T_CEFF!I214</f>
        <v>7.1110000000000007E-2</v>
      </c>
      <c r="P419" s="377">
        <f>T_CEFF!J214</f>
        <v>7.1110000000000007E-2</v>
      </c>
      <c r="Q419" s="377">
        <f>T_CEFF!K214</f>
        <v>7.1110000000000007E-2</v>
      </c>
      <c r="R419" s="377">
        <f>T_CEFF!L214</f>
        <v>7.1110000000000007E-2</v>
      </c>
      <c r="S419" s="377">
        <f>T_CEFF!M214</f>
        <v>7.1110000000000007E-2</v>
      </c>
      <c r="T419" s="377">
        <f>T_CEFF!N214</f>
        <v>7.1110000000000007E-2</v>
      </c>
      <c r="U419" s="377">
        <f>T_CEFF!O214</f>
        <v>7.1110000000000007E-2</v>
      </c>
      <c r="V419" s="377">
        <f>T_CEFF!P214</f>
        <v>7.1110000000000007E-2</v>
      </c>
      <c r="W419" s="377">
        <f>T_CEFF!Q214</f>
        <v>7.1110000000000007E-2</v>
      </c>
      <c r="X419" s="377">
        <f>T_CEFF!R214</f>
        <v>7.1110000000000007E-2</v>
      </c>
      <c r="Y419" s="377">
        <f>T_CEFF!S214</f>
        <v>7.1110000000000007E-2</v>
      </c>
      <c r="Z419" s="377">
        <f>T_CEFF!T214</f>
        <v>7.1110000000000007E-2</v>
      </c>
      <c r="AA419" s="377">
        <f>T_CEFF!U214</f>
        <v>7.1110000000000007E-2</v>
      </c>
      <c r="AB419" s="377">
        <f>T_CEFF!V214</f>
        <v>7.1110000000000007E-2</v>
      </c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spans="1:52" x14ac:dyDescent="0.25">
      <c r="A420" s="22"/>
      <c r="B420" s="186" t="str">
        <f t="shared" ref="B420:B429" si="341">B419</f>
        <v>TFREETH900</v>
      </c>
      <c r="C420" s="186"/>
      <c r="D420" s="187"/>
      <c r="E420" s="186"/>
      <c r="F420" s="170"/>
      <c r="G420" s="173" t="s">
        <v>652</v>
      </c>
      <c r="H420" s="170"/>
      <c r="I420" s="190"/>
      <c r="J420" s="191"/>
      <c r="K420" s="191"/>
      <c r="L420" s="191" t="s">
        <v>1126</v>
      </c>
      <c r="M420" s="191" t="s">
        <v>678</v>
      </c>
      <c r="N420" s="377">
        <f>T_CEFF!H215</f>
        <v>5.6890000000000003E-2</v>
      </c>
      <c r="O420" s="377">
        <f>T_CEFF!I215</f>
        <v>5.6890000000000003E-2</v>
      </c>
      <c r="P420" s="377">
        <f>T_CEFF!J215</f>
        <v>5.6890000000000003E-2</v>
      </c>
      <c r="Q420" s="377">
        <f>T_CEFF!K215</f>
        <v>5.6890000000000003E-2</v>
      </c>
      <c r="R420" s="377">
        <f>T_CEFF!L215</f>
        <v>5.6890000000000003E-2</v>
      </c>
      <c r="S420" s="377">
        <f>T_CEFF!M215</f>
        <v>5.6890000000000003E-2</v>
      </c>
      <c r="T420" s="377">
        <f>T_CEFF!N215</f>
        <v>5.6890000000000003E-2</v>
      </c>
      <c r="U420" s="377">
        <f>T_CEFF!O215</f>
        <v>5.6890000000000003E-2</v>
      </c>
      <c r="V420" s="377">
        <f>T_CEFF!P215</f>
        <v>5.6890000000000003E-2</v>
      </c>
      <c r="W420" s="377">
        <f>T_CEFF!Q215</f>
        <v>5.6890000000000003E-2</v>
      </c>
      <c r="X420" s="377">
        <f>T_CEFF!R215</f>
        <v>5.6890000000000003E-2</v>
      </c>
      <c r="Y420" s="377">
        <f>T_CEFF!S215</f>
        <v>5.6890000000000003E-2</v>
      </c>
      <c r="Z420" s="377">
        <f>T_CEFF!T215</f>
        <v>5.6890000000000003E-2</v>
      </c>
      <c r="AA420" s="377">
        <f>T_CEFF!U215</f>
        <v>5.6890000000000003E-2</v>
      </c>
      <c r="AB420" s="377">
        <f>T_CEFF!V215</f>
        <v>5.6890000000000003E-2</v>
      </c>
    </row>
    <row r="421" spans="1:52" x14ac:dyDescent="0.25">
      <c r="A421" s="22"/>
      <c r="B421" s="186" t="str">
        <f>B420</f>
        <v>TFREETH900</v>
      </c>
      <c r="C421" s="186"/>
      <c r="D421" s="187"/>
      <c r="E421" s="186"/>
      <c r="F421" s="170"/>
      <c r="G421" s="189"/>
      <c r="H421" s="170"/>
      <c r="I421" s="190"/>
      <c r="J421" s="191"/>
      <c r="K421" s="191" t="s">
        <v>749</v>
      </c>
      <c r="L421" s="191" t="s">
        <v>1128</v>
      </c>
      <c r="M421" s="191" t="s">
        <v>1175</v>
      </c>
      <c r="N421" s="368">
        <f t="shared" ref="N421:AB421" si="342">N$25</f>
        <v>0</v>
      </c>
      <c r="O421" s="368">
        <f t="shared" si="342"/>
        <v>0</v>
      </c>
      <c r="P421" s="368">
        <f t="shared" si="342"/>
        <v>0</v>
      </c>
      <c r="Q421" s="368">
        <f t="shared" si="342"/>
        <v>0</v>
      </c>
      <c r="R421" s="368">
        <f t="shared" si="342"/>
        <v>0</v>
      </c>
      <c r="S421" s="368">
        <f t="shared" si="342"/>
        <v>0</v>
      </c>
      <c r="T421" s="368">
        <f t="shared" si="342"/>
        <v>0</v>
      </c>
      <c r="U421" s="368">
        <f t="shared" si="342"/>
        <v>0</v>
      </c>
      <c r="V421" s="368">
        <f t="shared" si="342"/>
        <v>0</v>
      </c>
      <c r="W421" s="368">
        <f t="shared" si="342"/>
        <v>0</v>
      </c>
      <c r="X421" s="368">
        <f t="shared" si="342"/>
        <v>0</v>
      </c>
      <c r="Y421" s="368">
        <f t="shared" si="342"/>
        <v>0</v>
      </c>
      <c r="Z421" s="368">
        <f t="shared" si="342"/>
        <v>0</v>
      </c>
      <c r="AA421" s="368">
        <f t="shared" si="342"/>
        <v>0</v>
      </c>
      <c r="AB421" s="368">
        <f t="shared" si="342"/>
        <v>0</v>
      </c>
    </row>
    <row r="422" spans="1:52" x14ac:dyDescent="0.25">
      <c r="A422" s="22"/>
      <c r="B422" s="186" t="str">
        <f t="shared" si="341"/>
        <v>TFREETH900</v>
      </c>
      <c r="C422" s="186"/>
      <c r="D422" s="187"/>
      <c r="E422" s="186"/>
      <c r="F422" s="170"/>
      <c r="G422" s="189"/>
      <c r="H422" s="170"/>
      <c r="I422" s="190"/>
      <c r="J422" s="191"/>
      <c r="K422" s="191"/>
      <c r="L422" s="211" t="s">
        <v>1130</v>
      </c>
      <c r="M422" s="191" t="s">
        <v>1131</v>
      </c>
      <c r="N422" s="369">
        <f>LOOKUP($C$418, T_NCAP_AF!$C$185:$C$195, T_NCAP_AF!D$185:D$195)*(1+N375)</f>
        <v>22.84</v>
      </c>
      <c r="O422" s="369">
        <f>LOOKUP($C$418, T_NCAP_AF!$C$185:$C$195, T_NCAP_AF!E$185:E$195)*(1+O375)</f>
        <v>0</v>
      </c>
      <c r="P422" s="369">
        <f>LOOKUP($C$418, T_NCAP_AF!$C$185:$C$195, T_NCAP_AF!F$185:F$195)*(1+P375)</f>
        <v>0</v>
      </c>
      <c r="Q422" s="369">
        <f>LOOKUP($C$418, T_NCAP_AF!$C$185:$C$195, T_NCAP_AF!G$185:G$195)*(1+Q375)</f>
        <v>0</v>
      </c>
      <c r="R422" s="369">
        <f>LOOKUP($C$418, T_NCAP_AF!$C$185:$C$195, T_NCAP_AF!H$185:H$195)*(1+R375)</f>
        <v>0</v>
      </c>
      <c r="S422" s="369">
        <f>LOOKUP($C$418, T_NCAP_AF!$C$185:$C$195, T_NCAP_AF!I$185:I$195)*(1+S375)</f>
        <v>0</v>
      </c>
      <c r="T422" s="369">
        <f>LOOKUP($C$418, T_NCAP_AF!$C$185:$C$195, T_NCAP_AF!J$185:J$195)*(1+T375)</f>
        <v>0</v>
      </c>
      <c r="U422" s="369">
        <f>LOOKUP($C$418, T_NCAP_AF!$C$185:$C$195, T_NCAP_AF!K$185:K$195)*(1+U375)</f>
        <v>0</v>
      </c>
      <c r="V422" s="369">
        <f>LOOKUP($C$418, T_NCAP_AF!$C$185:$C$195, T_NCAP_AF!L$185:L$195)*(1+V375)</f>
        <v>0</v>
      </c>
      <c r="W422" s="369">
        <f>LOOKUP($C$418, T_NCAP_AF!$C$185:$C$195, T_NCAP_AF!M$185:M$195)*(1+W375)</f>
        <v>0</v>
      </c>
      <c r="X422" s="369">
        <f>LOOKUP($C$418, T_NCAP_AF!$C$185:$C$195, T_NCAP_AF!N$185:N$195)*(1+X375)</f>
        <v>0</v>
      </c>
      <c r="Y422" s="369">
        <f>LOOKUP($C$418, T_NCAP_AF!$C$185:$C$195, T_NCAP_AF!O$185:O$195)*(1+Y375)</f>
        <v>0</v>
      </c>
      <c r="Z422" s="369">
        <f>LOOKUP($C$418, T_NCAP_AF!$C$185:$C$195, T_NCAP_AF!P$185:P$195)*(1+Z375)</f>
        <v>0</v>
      </c>
      <c r="AA422" s="369">
        <f>LOOKUP($C$418, T_NCAP_AF!$C$185:$C$195, T_NCAP_AF!Q$185:Q$195)*(1+AA375)</f>
        <v>0</v>
      </c>
      <c r="AB422" s="369">
        <f>LOOKUP($C$418, T_NCAP_AF!$C$185:$C$195, T_NCAP_AF!R$185:R$195)*(1+AB375)</f>
        <v>0</v>
      </c>
      <c r="AE422" s="572">
        <f>SUM(AF422:AT422)</f>
        <v>0</v>
      </c>
      <c r="AF422" s="85">
        <f t="shared" ref="AF422:AT422" si="343">N421*N422*N423/1000</f>
        <v>0</v>
      </c>
      <c r="AG422" s="85">
        <f t="shared" si="343"/>
        <v>0</v>
      </c>
      <c r="AH422" s="85">
        <f t="shared" si="343"/>
        <v>0</v>
      </c>
      <c r="AI422" s="85">
        <f t="shared" si="343"/>
        <v>0</v>
      </c>
      <c r="AJ422" s="85">
        <f t="shared" si="343"/>
        <v>0</v>
      </c>
      <c r="AK422" s="85">
        <f t="shared" si="343"/>
        <v>0</v>
      </c>
      <c r="AL422" s="85">
        <f t="shared" si="343"/>
        <v>0</v>
      </c>
      <c r="AM422" s="85">
        <f t="shared" si="343"/>
        <v>0</v>
      </c>
      <c r="AN422" s="85">
        <f t="shared" si="343"/>
        <v>0</v>
      </c>
      <c r="AO422" s="85">
        <f t="shared" si="343"/>
        <v>0</v>
      </c>
      <c r="AP422" s="85">
        <f t="shared" si="343"/>
        <v>0</v>
      </c>
      <c r="AQ422" s="85">
        <f t="shared" si="343"/>
        <v>0</v>
      </c>
      <c r="AR422" s="85">
        <f t="shared" si="343"/>
        <v>0</v>
      </c>
      <c r="AS422" s="85">
        <f t="shared" si="343"/>
        <v>0</v>
      </c>
      <c r="AT422" s="85">
        <f t="shared" si="343"/>
        <v>0</v>
      </c>
    </row>
    <row r="423" spans="1:52" x14ac:dyDescent="0.25">
      <c r="A423" s="22"/>
      <c r="B423" s="186" t="str">
        <f>B422</f>
        <v>TFREETH900</v>
      </c>
      <c r="C423" s="186"/>
      <c r="D423" s="187"/>
      <c r="E423" s="186"/>
      <c r="F423" s="170"/>
      <c r="G423" s="189"/>
      <c r="H423" s="170"/>
      <c r="I423" s="190">
        <f>$M$3</f>
        <v>2019</v>
      </c>
      <c r="J423" s="191"/>
      <c r="K423" s="191"/>
      <c r="L423" s="211" t="s">
        <v>1065</v>
      </c>
      <c r="M423" s="191" t="s">
        <v>748</v>
      </c>
      <c r="N423" s="694">
        <f>LOOKUP($C$418, 'T_Stock_TOTAL_&amp;_City'!$C$122:$C$133,'T_Stock_TOTAL_&amp;_City'!D$122:D$133)*(1+N$376)</f>
        <v>0</v>
      </c>
      <c r="O423" s="694">
        <f>LOOKUP($C$418, 'T_Stock_TOTAL_&amp;_City'!$C$122:$C$133,'T_Stock_TOTAL_&amp;_City'!E$122:E$133)*(1+O$376)</f>
        <v>0</v>
      </c>
      <c r="P423" s="694">
        <f>LOOKUP($C$418, 'T_Stock_TOTAL_&amp;_City'!$C$122:$C$133,'T_Stock_TOTAL_&amp;_City'!F$122:F$133)*(1+P$376)</f>
        <v>0</v>
      </c>
      <c r="Q423" s="694">
        <f>LOOKUP($C$418, 'T_Stock_TOTAL_&amp;_City'!$C$122:$C$133,'T_Stock_TOTAL_&amp;_City'!G$122:G$133)*(1+Q$376)</f>
        <v>0</v>
      </c>
      <c r="R423" s="694">
        <f>LOOKUP($C$418, 'T_Stock_TOTAL_&amp;_City'!$C$122:$C$133,'T_Stock_TOTAL_&amp;_City'!H$122:H$133)*(1+R$376)</f>
        <v>0</v>
      </c>
      <c r="S423" s="694">
        <f>LOOKUP($C$418, 'T_Stock_TOTAL_&amp;_City'!$C$122:$C$133,'T_Stock_TOTAL_&amp;_City'!I$122:I$133)*(1+S$376)</f>
        <v>0</v>
      </c>
      <c r="T423" s="694">
        <f>LOOKUP($C$418, 'T_Stock_TOTAL_&amp;_City'!$C$122:$C$133,'T_Stock_TOTAL_&amp;_City'!J$122:J$133)*(1+T$376)</f>
        <v>0</v>
      </c>
      <c r="U423" s="694">
        <f>LOOKUP($C$418, 'T_Stock_TOTAL_&amp;_City'!$C$122:$C$133,'T_Stock_TOTAL_&amp;_City'!K$122:K$133)*(1+U$376)</f>
        <v>0</v>
      </c>
      <c r="V423" s="694">
        <f>LOOKUP($C$418, 'T_Stock_TOTAL_&amp;_City'!$C$122:$C$133,'T_Stock_TOTAL_&amp;_City'!L$122:L$133)*(1+V$376)</f>
        <v>0</v>
      </c>
      <c r="W423" s="694">
        <f>LOOKUP($C$418, 'T_Stock_TOTAL_&amp;_City'!$C$122:$C$133,'T_Stock_TOTAL_&amp;_City'!M$122:M$133)*(1+W$376)</f>
        <v>0</v>
      </c>
      <c r="X423" s="694">
        <f>LOOKUP($C$418, 'T_Stock_TOTAL_&amp;_City'!$C$122:$C$133,'T_Stock_TOTAL_&amp;_City'!N$122:N$133)*(1+X$376)</f>
        <v>0</v>
      </c>
      <c r="Y423" s="694">
        <f>LOOKUP($C$418, 'T_Stock_TOTAL_&amp;_City'!$C$122:$C$133,'T_Stock_TOTAL_&amp;_City'!O$122:O$133)*(1+Y$376)</f>
        <v>0</v>
      </c>
      <c r="Z423" s="694">
        <f>LOOKUP($C$418, 'T_Stock_TOTAL_&amp;_City'!$C$122:$C$133,'T_Stock_TOTAL_&amp;_City'!P$122:P$133)*(1+Z$376)</f>
        <v>0</v>
      </c>
      <c r="AA423" s="694">
        <f>LOOKUP($C$418, 'T_Stock_TOTAL_&amp;_City'!$C$122:$C$133,'T_Stock_TOTAL_&amp;_City'!Q$122:Q$133)*(1+AA$376)</f>
        <v>0</v>
      </c>
      <c r="AB423" s="694">
        <f>LOOKUP($C$418, 'T_Stock_TOTAL_&amp;_City'!$C$122:$C$133,'T_Stock_TOTAL_&amp;_City'!R$122:R$133)*(1+AB$376)</f>
        <v>0</v>
      </c>
    </row>
    <row r="424" spans="1:52" x14ac:dyDescent="0.25">
      <c r="A424" s="22"/>
      <c r="B424" s="186" t="str">
        <f t="shared" si="341"/>
        <v>TFREETH900</v>
      </c>
      <c r="C424" s="186"/>
      <c r="D424" s="187"/>
      <c r="E424" s="186"/>
      <c r="F424" s="170"/>
      <c r="G424" s="189"/>
      <c r="H424" s="170"/>
      <c r="I424" s="183">
        <f>AF$5</f>
        <v>2016</v>
      </c>
      <c r="J424" s="191"/>
      <c r="K424" s="191"/>
      <c r="L424" s="211" t="s">
        <v>1065</v>
      </c>
      <c r="M424" s="191" t="s">
        <v>748</v>
      </c>
      <c r="N424" s="694">
        <f t="shared" ref="N424:AB424" si="344">N423*LOOKUP($AD418,$AH$4:$AQ$4,$AH$5:$AQ$5)</f>
        <v>0</v>
      </c>
      <c r="O424" s="694">
        <f t="shared" si="344"/>
        <v>0</v>
      </c>
      <c r="P424" s="694">
        <f t="shared" si="344"/>
        <v>0</v>
      </c>
      <c r="Q424" s="694">
        <f t="shared" si="344"/>
        <v>0</v>
      </c>
      <c r="R424" s="694">
        <f t="shared" si="344"/>
        <v>0</v>
      </c>
      <c r="S424" s="694">
        <f t="shared" si="344"/>
        <v>0</v>
      </c>
      <c r="T424" s="694">
        <f t="shared" si="344"/>
        <v>0</v>
      </c>
      <c r="U424" s="694">
        <f t="shared" si="344"/>
        <v>0</v>
      </c>
      <c r="V424" s="694">
        <f t="shared" si="344"/>
        <v>0</v>
      </c>
      <c r="W424" s="694">
        <f t="shared" si="344"/>
        <v>0</v>
      </c>
      <c r="X424" s="694">
        <f t="shared" si="344"/>
        <v>0</v>
      </c>
      <c r="Y424" s="694">
        <f t="shared" si="344"/>
        <v>0</v>
      </c>
      <c r="Z424" s="694">
        <f t="shared" si="344"/>
        <v>0</v>
      </c>
      <c r="AA424" s="694">
        <f t="shared" si="344"/>
        <v>0</v>
      </c>
      <c r="AB424" s="694">
        <f t="shared" si="344"/>
        <v>0</v>
      </c>
    </row>
    <row r="425" spans="1:52" x14ac:dyDescent="0.25">
      <c r="A425" s="22"/>
      <c r="B425" s="186" t="str">
        <f t="shared" si="341"/>
        <v>TFREETH900</v>
      </c>
      <c r="C425" s="186"/>
      <c r="D425" s="187"/>
      <c r="E425" s="186"/>
      <c r="F425" s="170"/>
      <c r="G425" s="189"/>
      <c r="H425" s="170"/>
      <c r="I425" s="183">
        <f>AF$6</f>
        <v>2020</v>
      </c>
      <c r="J425" s="191"/>
      <c r="K425" s="191"/>
      <c r="L425" s="211" t="s">
        <v>1065</v>
      </c>
      <c r="M425" s="191" t="s">
        <v>748</v>
      </c>
      <c r="N425" s="694">
        <f t="shared" ref="N425:AB425" si="345">N423*LOOKUP($AD418,$AH$4:$AQ$4,$AH$6:$AQ$6)</f>
        <v>0</v>
      </c>
      <c r="O425" s="694">
        <f t="shared" si="345"/>
        <v>0</v>
      </c>
      <c r="P425" s="694">
        <f t="shared" si="345"/>
        <v>0</v>
      </c>
      <c r="Q425" s="694">
        <f t="shared" si="345"/>
        <v>0</v>
      </c>
      <c r="R425" s="694">
        <f t="shared" si="345"/>
        <v>0</v>
      </c>
      <c r="S425" s="694">
        <f t="shared" si="345"/>
        <v>0</v>
      </c>
      <c r="T425" s="694">
        <f t="shared" si="345"/>
        <v>0</v>
      </c>
      <c r="U425" s="694">
        <f t="shared" si="345"/>
        <v>0</v>
      </c>
      <c r="V425" s="694">
        <f t="shared" si="345"/>
        <v>0</v>
      </c>
      <c r="W425" s="694">
        <f t="shared" si="345"/>
        <v>0</v>
      </c>
      <c r="X425" s="694">
        <f t="shared" si="345"/>
        <v>0</v>
      </c>
      <c r="Y425" s="694">
        <f t="shared" si="345"/>
        <v>0</v>
      </c>
      <c r="Z425" s="694">
        <f t="shared" si="345"/>
        <v>0</v>
      </c>
      <c r="AA425" s="694">
        <f t="shared" si="345"/>
        <v>0</v>
      </c>
      <c r="AB425" s="694">
        <f t="shared" si="345"/>
        <v>0</v>
      </c>
    </row>
    <row r="426" spans="1:52" x14ac:dyDescent="0.25">
      <c r="A426" s="22"/>
      <c r="B426" s="186" t="str">
        <f t="shared" si="341"/>
        <v>TFREETH900</v>
      </c>
      <c r="C426" s="186"/>
      <c r="D426" s="186"/>
      <c r="E426" s="186"/>
      <c r="F426" s="170"/>
      <c r="G426" s="189"/>
      <c r="H426" s="170"/>
      <c r="I426" s="183">
        <f>AF$7</f>
        <v>2025</v>
      </c>
      <c r="J426" s="191"/>
      <c r="K426" s="191"/>
      <c r="L426" s="211" t="s">
        <v>1065</v>
      </c>
      <c r="M426" s="191" t="s">
        <v>748</v>
      </c>
      <c r="N426" s="694">
        <f t="shared" ref="N426:AB426" si="346">N423*LOOKUP($AD418,$AH$4:$AQ$4,$AH$7:$AQ$7)</f>
        <v>0</v>
      </c>
      <c r="O426" s="694">
        <f t="shared" si="346"/>
        <v>0</v>
      </c>
      <c r="P426" s="694">
        <f t="shared" si="346"/>
        <v>0</v>
      </c>
      <c r="Q426" s="694">
        <f t="shared" si="346"/>
        <v>0</v>
      </c>
      <c r="R426" s="694">
        <f t="shared" si="346"/>
        <v>0</v>
      </c>
      <c r="S426" s="694">
        <f t="shared" si="346"/>
        <v>0</v>
      </c>
      <c r="T426" s="694">
        <f t="shared" si="346"/>
        <v>0</v>
      </c>
      <c r="U426" s="694">
        <f t="shared" si="346"/>
        <v>0</v>
      </c>
      <c r="V426" s="694">
        <f t="shared" si="346"/>
        <v>0</v>
      </c>
      <c r="W426" s="694">
        <f t="shared" si="346"/>
        <v>0</v>
      </c>
      <c r="X426" s="694">
        <f t="shared" si="346"/>
        <v>0</v>
      </c>
      <c r="Y426" s="694">
        <f t="shared" si="346"/>
        <v>0</v>
      </c>
      <c r="Z426" s="694">
        <f t="shared" si="346"/>
        <v>0</v>
      </c>
      <c r="AA426" s="694">
        <f t="shared" si="346"/>
        <v>0</v>
      </c>
      <c r="AB426" s="694">
        <f t="shared" si="346"/>
        <v>0</v>
      </c>
    </row>
    <row r="427" spans="1:52" x14ac:dyDescent="0.25">
      <c r="A427" s="22"/>
      <c r="B427" s="186" t="str">
        <f t="shared" si="341"/>
        <v>TFREETH900</v>
      </c>
      <c r="C427" s="186"/>
      <c r="D427" s="186"/>
      <c r="E427" s="186"/>
      <c r="F427" s="170"/>
      <c r="G427" s="189"/>
      <c r="H427" s="170"/>
      <c r="I427" s="183">
        <f>AF$8</f>
        <v>2030</v>
      </c>
      <c r="J427" s="191"/>
      <c r="K427" s="191"/>
      <c r="L427" s="211" t="s">
        <v>1065</v>
      </c>
      <c r="M427" s="191" t="s">
        <v>748</v>
      </c>
      <c r="N427" s="694">
        <f t="shared" ref="N427:AB427" si="347">N423*LOOKUP($AD418,$AH$4:$AQ$4,$AH$8:$AQ$8)</f>
        <v>0</v>
      </c>
      <c r="O427" s="694">
        <f t="shared" si="347"/>
        <v>0</v>
      </c>
      <c r="P427" s="694">
        <f t="shared" si="347"/>
        <v>0</v>
      </c>
      <c r="Q427" s="694">
        <f t="shared" si="347"/>
        <v>0</v>
      </c>
      <c r="R427" s="694">
        <f t="shared" si="347"/>
        <v>0</v>
      </c>
      <c r="S427" s="694">
        <f t="shared" si="347"/>
        <v>0</v>
      </c>
      <c r="T427" s="694">
        <f t="shared" si="347"/>
        <v>0</v>
      </c>
      <c r="U427" s="694">
        <f t="shared" si="347"/>
        <v>0</v>
      </c>
      <c r="V427" s="694">
        <f t="shared" si="347"/>
        <v>0</v>
      </c>
      <c r="W427" s="694">
        <f t="shared" si="347"/>
        <v>0</v>
      </c>
      <c r="X427" s="694">
        <f t="shared" si="347"/>
        <v>0</v>
      </c>
      <c r="Y427" s="694">
        <f t="shared" si="347"/>
        <v>0</v>
      </c>
      <c r="Z427" s="694">
        <f t="shared" si="347"/>
        <v>0</v>
      </c>
      <c r="AA427" s="694">
        <f t="shared" si="347"/>
        <v>0</v>
      </c>
      <c r="AB427" s="694">
        <f t="shared" si="347"/>
        <v>0</v>
      </c>
    </row>
    <row r="428" spans="1:52" x14ac:dyDescent="0.25">
      <c r="A428" s="22"/>
      <c r="B428" s="186" t="str">
        <f t="shared" si="341"/>
        <v>TFREETH900</v>
      </c>
      <c r="C428" s="186"/>
      <c r="D428" s="186"/>
      <c r="E428" s="186"/>
      <c r="F428" s="170"/>
      <c r="G428" s="189"/>
      <c r="H428" s="170"/>
      <c r="I428" s="183">
        <f>AF$9</f>
        <v>2040</v>
      </c>
      <c r="J428" s="191"/>
      <c r="K428" s="191"/>
      <c r="L428" s="211" t="s">
        <v>1065</v>
      </c>
      <c r="M428" s="191" t="s">
        <v>748</v>
      </c>
      <c r="N428" s="694">
        <f t="shared" ref="N428:AB428" si="348">N423*LOOKUP($AD418,$AH$4:$AQ$4,$AH$9:$AQ$9)</f>
        <v>0</v>
      </c>
      <c r="O428" s="694">
        <f t="shared" si="348"/>
        <v>0</v>
      </c>
      <c r="P428" s="694">
        <f t="shared" si="348"/>
        <v>0</v>
      </c>
      <c r="Q428" s="694">
        <f t="shared" si="348"/>
        <v>0</v>
      </c>
      <c r="R428" s="694">
        <f t="shared" si="348"/>
        <v>0</v>
      </c>
      <c r="S428" s="694">
        <f t="shared" si="348"/>
        <v>0</v>
      </c>
      <c r="T428" s="694">
        <f t="shared" si="348"/>
        <v>0</v>
      </c>
      <c r="U428" s="694">
        <f t="shared" si="348"/>
        <v>0</v>
      </c>
      <c r="V428" s="694">
        <f t="shared" si="348"/>
        <v>0</v>
      </c>
      <c r="W428" s="694">
        <f t="shared" si="348"/>
        <v>0</v>
      </c>
      <c r="X428" s="694">
        <f t="shared" si="348"/>
        <v>0</v>
      </c>
      <c r="Y428" s="694">
        <f t="shared" si="348"/>
        <v>0</v>
      </c>
      <c r="Z428" s="694">
        <f t="shared" si="348"/>
        <v>0</v>
      </c>
      <c r="AA428" s="694">
        <f t="shared" si="348"/>
        <v>0</v>
      </c>
      <c r="AB428" s="694">
        <f t="shared" si="348"/>
        <v>0</v>
      </c>
    </row>
    <row r="429" spans="1:52" x14ac:dyDescent="0.25">
      <c r="A429" s="22"/>
      <c r="B429" s="193" t="str">
        <f t="shared" si="341"/>
        <v>TFREETH900</v>
      </c>
      <c r="C429" s="193"/>
      <c r="D429" s="193"/>
      <c r="E429" s="193"/>
      <c r="F429" s="196"/>
      <c r="G429" s="195"/>
      <c r="H429" s="196"/>
      <c r="I429" s="208">
        <f>AF$10</f>
        <v>2050</v>
      </c>
      <c r="J429" s="198"/>
      <c r="K429" s="198"/>
      <c r="L429" s="212" t="s">
        <v>1065</v>
      </c>
      <c r="M429" s="198" t="s">
        <v>748</v>
      </c>
      <c r="N429" s="695">
        <f t="shared" ref="N429:AB429" si="349">N423*LOOKUP($AD418,$AH$4:$AQ$4,$AH$10:$AQ$10)</f>
        <v>0</v>
      </c>
      <c r="O429" s="695">
        <f t="shared" si="349"/>
        <v>0</v>
      </c>
      <c r="P429" s="695">
        <f t="shared" si="349"/>
        <v>0</v>
      </c>
      <c r="Q429" s="695">
        <f t="shared" si="349"/>
        <v>0</v>
      </c>
      <c r="R429" s="695">
        <f t="shared" si="349"/>
        <v>0</v>
      </c>
      <c r="S429" s="695">
        <f t="shared" si="349"/>
        <v>0</v>
      </c>
      <c r="T429" s="695">
        <f t="shared" si="349"/>
        <v>0</v>
      </c>
      <c r="U429" s="695">
        <f t="shared" si="349"/>
        <v>0</v>
      </c>
      <c r="V429" s="695">
        <f t="shared" si="349"/>
        <v>0</v>
      </c>
      <c r="W429" s="695">
        <f t="shared" si="349"/>
        <v>0</v>
      </c>
      <c r="X429" s="695">
        <f t="shared" si="349"/>
        <v>0</v>
      </c>
      <c r="Y429" s="695">
        <f t="shared" si="349"/>
        <v>0</v>
      </c>
      <c r="Z429" s="695">
        <f t="shared" si="349"/>
        <v>0</v>
      </c>
      <c r="AA429" s="695">
        <f t="shared" si="349"/>
        <v>0</v>
      </c>
      <c r="AB429" s="695">
        <f t="shared" si="349"/>
        <v>0</v>
      </c>
    </row>
    <row r="430" spans="1:52" x14ac:dyDescent="0.25">
      <c r="A430" s="82"/>
      <c r="B430" s="178" t="str">
        <f>C430</f>
        <v>TFREGAS900</v>
      </c>
      <c r="C430" s="178" t="s">
        <v>155</v>
      </c>
      <c r="D430" s="179" t="s">
        <v>857</v>
      </c>
      <c r="E430" s="180" t="s">
        <v>1039</v>
      </c>
      <c r="F430" s="182"/>
      <c r="G430" s="181"/>
      <c r="H430" s="182"/>
      <c r="I430" s="183"/>
      <c r="J430" s="184"/>
      <c r="K430" s="184"/>
      <c r="L430" s="203" t="s">
        <v>1107</v>
      </c>
      <c r="M430" s="184" t="s">
        <v>1125</v>
      </c>
      <c r="N430" s="378">
        <v>1E-3</v>
      </c>
      <c r="O430" s="378">
        <f t="shared" ref="O430:AB431" si="350">$N430</f>
        <v>1E-3</v>
      </c>
      <c r="P430" s="378">
        <f t="shared" si="350"/>
        <v>1E-3</v>
      </c>
      <c r="Q430" s="378">
        <f t="shared" si="350"/>
        <v>1E-3</v>
      </c>
      <c r="R430" s="378">
        <f t="shared" si="350"/>
        <v>1E-3</v>
      </c>
      <c r="S430" s="378">
        <f t="shared" si="350"/>
        <v>1E-3</v>
      </c>
      <c r="T430" s="378">
        <f t="shared" si="350"/>
        <v>1E-3</v>
      </c>
      <c r="U430" s="378">
        <f t="shared" si="350"/>
        <v>1E-3</v>
      </c>
      <c r="V430" s="378">
        <f t="shared" si="350"/>
        <v>1E-3</v>
      </c>
      <c r="W430" s="378">
        <f t="shared" si="350"/>
        <v>1E-3</v>
      </c>
      <c r="X430" s="378">
        <f t="shared" si="350"/>
        <v>1E-3</v>
      </c>
      <c r="Y430" s="378">
        <f t="shared" si="350"/>
        <v>1E-3</v>
      </c>
      <c r="Z430" s="378">
        <f t="shared" si="350"/>
        <v>1E-3</v>
      </c>
      <c r="AA430" s="378">
        <f t="shared" si="350"/>
        <v>1E-3</v>
      </c>
      <c r="AB430" s="378">
        <f t="shared" si="350"/>
        <v>1E-3</v>
      </c>
      <c r="AC430" s="83"/>
      <c r="AD430" s="402" t="str">
        <f>MID(D430,13,3)</f>
        <v>GAS</v>
      </c>
      <c r="AU430" s="83"/>
      <c r="AV430" s="83"/>
      <c r="AW430" s="83"/>
      <c r="AX430" s="83"/>
      <c r="AY430" s="83"/>
      <c r="AZ430" s="83"/>
    </row>
    <row r="431" spans="1:52" s="83" customFormat="1" x14ac:dyDescent="0.25">
      <c r="A431" s="22"/>
      <c r="B431" s="186" t="str">
        <f>B430</f>
        <v>TFREGAS900</v>
      </c>
      <c r="C431" s="186"/>
      <c r="D431" s="187"/>
      <c r="E431" s="188" t="s">
        <v>994</v>
      </c>
      <c r="F431" s="170"/>
      <c r="G431" s="188"/>
      <c r="H431" s="170"/>
      <c r="I431" s="190"/>
      <c r="J431" s="191" t="s">
        <v>1223</v>
      </c>
      <c r="K431" s="191"/>
      <c r="L431" s="211" t="s">
        <v>101</v>
      </c>
      <c r="M431" s="191"/>
      <c r="N431" s="368">
        <v>0.8</v>
      </c>
      <c r="O431" s="368">
        <f t="shared" si="350"/>
        <v>0.8</v>
      </c>
      <c r="P431" s="368">
        <f t="shared" si="350"/>
        <v>0.8</v>
      </c>
      <c r="Q431" s="368">
        <f t="shared" si="350"/>
        <v>0.8</v>
      </c>
      <c r="R431" s="368">
        <f t="shared" si="350"/>
        <v>0.8</v>
      </c>
      <c r="S431" s="368">
        <f t="shared" si="350"/>
        <v>0.8</v>
      </c>
      <c r="T431" s="368">
        <f t="shared" si="350"/>
        <v>0.8</v>
      </c>
      <c r="U431" s="368">
        <f t="shared" si="350"/>
        <v>0.8</v>
      </c>
      <c r="V431" s="368">
        <f t="shared" si="350"/>
        <v>0.8</v>
      </c>
      <c r="W431" s="368">
        <f t="shared" si="350"/>
        <v>0.8</v>
      </c>
      <c r="X431" s="368">
        <f t="shared" si="350"/>
        <v>0.8</v>
      </c>
      <c r="Y431" s="368">
        <f t="shared" si="350"/>
        <v>0.8</v>
      </c>
      <c r="Z431" s="368">
        <f t="shared" si="350"/>
        <v>0.8</v>
      </c>
      <c r="AA431" s="368">
        <f t="shared" si="350"/>
        <v>0.8</v>
      </c>
      <c r="AB431" s="368">
        <f t="shared" si="350"/>
        <v>0.8</v>
      </c>
      <c r="AC431" s="35"/>
      <c r="AD431" s="66" t="str">
        <f>IF(COUNTIF($AH$4:$AQ$4,AD430)=1,"ok","MISSING")</f>
        <v>ok</v>
      </c>
      <c r="AU431" s="35"/>
      <c r="AV431" s="35"/>
      <c r="AW431" s="35"/>
      <c r="AX431" s="35"/>
      <c r="AY431" s="35"/>
      <c r="AZ431" s="35"/>
    </row>
    <row r="432" spans="1:52" x14ac:dyDescent="0.25">
      <c r="A432" s="22"/>
      <c r="B432" s="186" t="str">
        <f>B431</f>
        <v>TFREGAS900</v>
      </c>
      <c r="C432" s="186"/>
      <c r="D432" s="187"/>
      <c r="E432" s="186"/>
      <c r="F432" s="170"/>
      <c r="G432" s="173" t="s">
        <v>649</v>
      </c>
      <c r="H432" s="170"/>
      <c r="I432" s="190"/>
      <c r="J432" s="191"/>
      <c r="K432" s="191"/>
      <c r="L432" s="191" t="s">
        <v>1126</v>
      </c>
      <c r="M432" s="191" t="s">
        <v>678</v>
      </c>
      <c r="N432" s="377">
        <f>T_CEFF!H216</f>
        <v>8.4209999999999993E-2</v>
      </c>
      <c r="O432" s="377">
        <f>T_CEFF!I216</f>
        <v>8.4209999999999993E-2</v>
      </c>
      <c r="P432" s="377">
        <f>T_CEFF!J216</f>
        <v>8.4209999999999993E-2</v>
      </c>
      <c r="Q432" s="377">
        <f>T_CEFF!K216</f>
        <v>8.4209999999999993E-2</v>
      </c>
      <c r="R432" s="377">
        <f>T_CEFF!L216</f>
        <v>8.4209999999999993E-2</v>
      </c>
      <c r="S432" s="377">
        <f>T_CEFF!M216</f>
        <v>8.4209999999999993E-2</v>
      </c>
      <c r="T432" s="377">
        <f>T_CEFF!N216</f>
        <v>8.4209999999999993E-2</v>
      </c>
      <c r="U432" s="377">
        <f>T_CEFF!O216</f>
        <v>8.4209999999999993E-2</v>
      </c>
      <c r="V432" s="377">
        <f>T_CEFF!P216</f>
        <v>8.4209999999999993E-2</v>
      </c>
      <c r="W432" s="377">
        <f>T_CEFF!Q216</f>
        <v>8.4209999999999993E-2</v>
      </c>
      <c r="X432" s="377">
        <f>T_CEFF!R216</f>
        <v>8.4209999999999993E-2</v>
      </c>
      <c r="Y432" s="377">
        <f>T_CEFF!S216</f>
        <v>8.4209999999999993E-2</v>
      </c>
      <c r="Z432" s="377">
        <f>T_CEFF!T216</f>
        <v>8.4209999999999993E-2</v>
      </c>
      <c r="AA432" s="377">
        <f>T_CEFF!U216</f>
        <v>8.4209999999999993E-2</v>
      </c>
      <c r="AB432" s="377">
        <f>T_CEFF!V216</f>
        <v>8.4209999999999993E-2</v>
      </c>
    </row>
    <row r="433" spans="1:52" x14ac:dyDescent="0.25">
      <c r="A433" s="22"/>
      <c r="B433" s="186" t="str">
        <f t="shared" ref="B433:B442" si="351">B432</f>
        <v>TFREGAS900</v>
      </c>
      <c r="C433" s="186"/>
      <c r="D433" s="187"/>
      <c r="E433" s="186"/>
      <c r="F433" s="170"/>
      <c r="G433" s="173" t="s">
        <v>652</v>
      </c>
      <c r="H433" s="170"/>
      <c r="I433" s="190"/>
      <c r="J433" s="191"/>
      <c r="K433" s="191"/>
      <c r="L433" s="191" t="s">
        <v>1126</v>
      </c>
      <c r="M433" s="191" t="s">
        <v>678</v>
      </c>
      <c r="N433" s="377">
        <f>T_CEFF!H217</f>
        <v>6.7369999999999999E-2</v>
      </c>
      <c r="O433" s="377">
        <f>T_CEFF!I217</f>
        <v>6.7369999999999999E-2</v>
      </c>
      <c r="P433" s="377">
        <f>T_CEFF!J217</f>
        <v>6.7369999999999999E-2</v>
      </c>
      <c r="Q433" s="377">
        <f>T_CEFF!K217</f>
        <v>6.7369999999999999E-2</v>
      </c>
      <c r="R433" s="377">
        <f>T_CEFF!L217</f>
        <v>6.7369999999999999E-2</v>
      </c>
      <c r="S433" s="377">
        <f>T_CEFF!M217</f>
        <v>6.7369999999999999E-2</v>
      </c>
      <c r="T433" s="377">
        <f>T_CEFF!N217</f>
        <v>6.7369999999999999E-2</v>
      </c>
      <c r="U433" s="377">
        <f>T_CEFF!O217</f>
        <v>6.7369999999999999E-2</v>
      </c>
      <c r="V433" s="377">
        <f>T_CEFF!P217</f>
        <v>6.7369999999999999E-2</v>
      </c>
      <c r="W433" s="377">
        <f>T_CEFF!Q217</f>
        <v>6.7369999999999999E-2</v>
      </c>
      <c r="X433" s="377">
        <f>T_CEFF!R217</f>
        <v>6.7369999999999999E-2</v>
      </c>
      <c r="Y433" s="377">
        <f>T_CEFF!S217</f>
        <v>6.7369999999999999E-2</v>
      </c>
      <c r="Z433" s="377">
        <f>T_CEFF!T217</f>
        <v>6.7369999999999999E-2</v>
      </c>
      <c r="AA433" s="377">
        <f>T_CEFF!U217</f>
        <v>6.7369999999999999E-2</v>
      </c>
      <c r="AB433" s="377">
        <f>T_CEFF!V217</f>
        <v>6.7369999999999999E-2</v>
      </c>
    </row>
    <row r="434" spans="1:52" x14ac:dyDescent="0.25">
      <c r="A434" s="22"/>
      <c r="B434" s="186" t="str">
        <f t="shared" si="351"/>
        <v>TFREGAS900</v>
      </c>
      <c r="C434" s="186"/>
      <c r="D434" s="187"/>
      <c r="E434" s="186"/>
      <c r="F434" s="170"/>
      <c r="G434" s="189"/>
      <c r="H434" s="170"/>
      <c r="I434" s="190"/>
      <c r="J434" s="191"/>
      <c r="K434" s="191" t="s">
        <v>749</v>
      </c>
      <c r="L434" s="191" t="s">
        <v>1128</v>
      </c>
      <c r="M434" s="191" t="s">
        <v>1175</v>
      </c>
      <c r="N434" s="368">
        <f t="shared" ref="N434:AB434" si="352">N$25</f>
        <v>0</v>
      </c>
      <c r="O434" s="368">
        <f t="shared" si="352"/>
        <v>0</v>
      </c>
      <c r="P434" s="368">
        <f t="shared" si="352"/>
        <v>0</v>
      </c>
      <c r="Q434" s="368">
        <f t="shared" si="352"/>
        <v>0</v>
      </c>
      <c r="R434" s="368">
        <f t="shared" si="352"/>
        <v>0</v>
      </c>
      <c r="S434" s="368">
        <f t="shared" si="352"/>
        <v>0</v>
      </c>
      <c r="T434" s="368">
        <f t="shared" si="352"/>
        <v>0</v>
      </c>
      <c r="U434" s="368">
        <f t="shared" si="352"/>
        <v>0</v>
      </c>
      <c r="V434" s="368">
        <f t="shared" si="352"/>
        <v>0</v>
      </c>
      <c r="W434" s="368">
        <f t="shared" si="352"/>
        <v>0</v>
      </c>
      <c r="X434" s="368">
        <f t="shared" si="352"/>
        <v>0</v>
      </c>
      <c r="Y434" s="368">
        <f t="shared" si="352"/>
        <v>0</v>
      </c>
      <c r="Z434" s="368">
        <f t="shared" si="352"/>
        <v>0</v>
      </c>
      <c r="AA434" s="368">
        <f t="shared" si="352"/>
        <v>0</v>
      </c>
      <c r="AB434" s="368">
        <f t="shared" si="352"/>
        <v>0</v>
      </c>
    </row>
    <row r="435" spans="1:52" x14ac:dyDescent="0.25">
      <c r="A435" s="22"/>
      <c r="B435" s="186" t="str">
        <f t="shared" si="351"/>
        <v>TFREGAS900</v>
      </c>
      <c r="C435" s="186"/>
      <c r="D435" s="187"/>
      <c r="E435" s="186"/>
      <c r="F435" s="170"/>
      <c r="G435" s="189"/>
      <c r="H435" s="170"/>
      <c r="I435" s="190"/>
      <c r="J435" s="191"/>
      <c r="K435" s="191"/>
      <c r="L435" s="211" t="s">
        <v>1130</v>
      </c>
      <c r="M435" s="191" t="s">
        <v>1131</v>
      </c>
      <c r="N435" s="369">
        <f>LOOKUP($C$430, T_NCAP_AF!$C$185:$C$195, T_NCAP_AF!D$185:D$195)*(1+N375)</f>
        <v>22.84</v>
      </c>
      <c r="O435" s="369">
        <f>LOOKUP($C$430, T_NCAP_AF!$C$185:$C$195, T_NCAP_AF!E$185:E$195)*(1+O375)</f>
        <v>0</v>
      </c>
      <c r="P435" s="369">
        <f>LOOKUP($C$430, T_NCAP_AF!$C$185:$C$195, T_NCAP_AF!F$185:F$195)*(1+P375)</f>
        <v>0</v>
      </c>
      <c r="Q435" s="369">
        <f>LOOKUP($C$430, T_NCAP_AF!$C$185:$C$195, T_NCAP_AF!G$185:G$195)*(1+Q375)</f>
        <v>0</v>
      </c>
      <c r="R435" s="369">
        <f>LOOKUP($C$430, T_NCAP_AF!$C$185:$C$195, T_NCAP_AF!H$185:H$195)*(1+R375)</f>
        <v>0</v>
      </c>
      <c r="S435" s="369">
        <f>LOOKUP($C$430, T_NCAP_AF!$C$185:$C$195, T_NCAP_AF!I$185:I$195)*(1+S375)</f>
        <v>0</v>
      </c>
      <c r="T435" s="369">
        <f>LOOKUP($C$430, T_NCAP_AF!$C$185:$C$195, T_NCAP_AF!J$185:J$195)*(1+T375)</f>
        <v>0</v>
      </c>
      <c r="U435" s="369">
        <f>LOOKUP($C$430, T_NCAP_AF!$C$185:$C$195, T_NCAP_AF!K$185:K$195)*(1+U375)</f>
        <v>0</v>
      </c>
      <c r="V435" s="369">
        <f>LOOKUP($C$430, T_NCAP_AF!$C$185:$C$195, T_NCAP_AF!L$185:L$195)*(1+V375)</f>
        <v>0</v>
      </c>
      <c r="W435" s="369">
        <f>LOOKUP($C$430, T_NCAP_AF!$C$185:$C$195, T_NCAP_AF!M$185:M$195)*(1+W375)</f>
        <v>0</v>
      </c>
      <c r="X435" s="369">
        <f>LOOKUP($C$430, T_NCAP_AF!$C$185:$C$195, T_NCAP_AF!N$185:N$195)*(1+X375)</f>
        <v>0</v>
      </c>
      <c r="Y435" s="369">
        <f>LOOKUP($C$430, T_NCAP_AF!$C$185:$C$195, T_NCAP_AF!O$185:O$195)*(1+Y375)</f>
        <v>0</v>
      </c>
      <c r="Z435" s="369">
        <f>LOOKUP($C$430, T_NCAP_AF!$C$185:$C$195, T_NCAP_AF!P$185:P$195)*(1+Z375)</f>
        <v>0</v>
      </c>
      <c r="AA435" s="369">
        <f>LOOKUP($C$430, T_NCAP_AF!$C$185:$C$195, T_NCAP_AF!Q$185:Q$195)*(1+AA375)</f>
        <v>0</v>
      </c>
      <c r="AB435" s="369">
        <f>LOOKUP($C$430, T_NCAP_AF!$C$185:$C$195, T_NCAP_AF!R$185:R$195)*(1+AB375)</f>
        <v>0</v>
      </c>
      <c r="AE435" s="572">
        <f>SUM(AF435:AT435)</f>
        <v>0</v>
      </c>
      <c r="AF435" s="85">
        <f t="shared" ref="AF435:AT435" si="353">N434*N435*N436/1000</f>
        <v>0</v>
      </c>
      <c r="AG435" s="85">
        <f t="shared" si="353"/>
        <v>0</v>
      </c>
      <c r="AH435" s="85">
        <f t="shared" si="353"/>
        <v>0</v>
      </c>
      <c r="AI435" s="85">
        <f t="shared" si="353"/>
        <v>0</v>
      </c>
      <c r="AJ435" s="85">
        <f t="shared" si="353"/>
        <v>0</v>
      </c>
      <c r="AK435" s="85">
        <f t="shared" si="353"/>
        <v>0</v>
      </c>
      <c r="AL435" s="85">
        <f t="shared" si="353"/>
        <v>0</v>
      </c>
      <c r="AM435" s="85">
        <f t="shared" si="353"/>
        <v>0</v>
      </c>
      <c r="AN435" s="85">
        <f t="shared" si="353"/>
        <v>0</v>
      </c>
      <c r="AO435" s="85">
        <f t="shared" si="353"/>
        <v>0</v>
      </c>
      <c r="AP435" s="85">
        <f t="shared" si="353"/>
        <v>0</v>
      </c>
      <c r="AQ435" s="85">
        <f t="shared" si="353"/>
        <v>0</v>
      </c>
      <c r="AR435" s="85">
        <f t="shared" si="353"/>
        <v>0</v>
      </c>
      <c r="AS435" s="85">
        <f t="shared" si="353"/>
        <v>0</v>
      </c>
      <c r="AT435" s="85">
        <f t="shared" si="353"/>
        <v>0</v>
      </c>
    </row>
    <row r="436" spans="1:52" x14ac:dyDescent="0.25">
      <c r="A436" s="22"/>
      <c r="B436" s="186" t="str">
        <f t="shared" si="351"/>
        <v>TFREGAS900</v>
      </c>
      <c r="C436" s="186"/>
      <c r="D436" s="187"/>
      <c r="E436" s="186"/>
      <c r="F436" s="170"/>
      <c r="G436" s="189"/>
      <c r="H436" s="170"/>
      <c r="I436" s="190">
        <f>$M$3</f>
        <v>2019</v>
      </c>
      <c r="J436" s="191"/>
      <c r="K436" s="191"/>
      <c r="L436" s="211" t="s">
        <v>1065</v>
      </c>
      <c r="M436" s="191" t="s">
        <v>748</v>
      </c>
      <c r="N436" s="694">
        <f>LOOKUP($C$430, 'T_Stock_TOTAL_&amp;_City'!$C$122:$C$133,'T_Stock_TOTAL_&amp;_City'!D$122:D$133)*(1+N$376)</f>
        <v>0</v>
      </c>
      <c r="O436" s="694">
        <f>LOOKUP($C$430, 'T_Stock_TOTAL_&amp;_City'!$C$122:$C$133,'T_Stock_TOTAL_&amp;_City'!E$122:E$133)*(1+O$376)</f>
        <v>0</v>
      </c>
      <c r="P436" s="694">
        <f>LOOKUP($C$430, 'T_Stock_TOTAL_&amp;_City'!$C$122:$C$133,'T_Stock_TOTAL_&amp;_City'!F$122:F$133)*(1+P$376)</f>
        <v>0</v>
      </c>
      <c r="Q436" s="694">
        <f>LOOKUP($C$430, 'T_Stock_TOTAL_&amp;_City'!$C$122:$C$133,'T_Stock_TOTAL_&amp;_City'!G$122:G$133)*(1+Q$376)</f>
        <v>0</v>
      </c>
      <c r="R436" s="694">
        <f>LOOKUP($C$430, 'T_Stock_TOTAL_&amp;_City'!$C$122:$C$133,'T_Stock_TOTAL_&amp;_City'!H$122:H$133)*(1+R$376)</f>
        <v>0</v>
      </c>
      <c r="S436" s="694">
        <f>LOOKUP($C$430, 'T_Stock_TOTAL_&amp;_City'!$C$122:$C$133,'T_Stock_TOTAL_&amp;_City'!I$122:I$133)*(1+S$376)</f>
        <v>0</v>
      </c>
      <c r="T436" s="694">
        <f>LOOKUP($C$430, 'T_Stock_TOTAL_&amp;_City'!$C$122:$C$133,'T_Stock_TOTAL_&amp;_City'!J$122:J$133)*(1+T$376)</f>
        <v>0</v>
      </c>
      <c r="U436" s="694">
        <f>LOOKUP($C$430, 'T_Stock_TOTAL_&amp;_City'!$C$122:$C$133,'T_Stock_TOTAL_&amp;_City'!K$122:K$133)*(1+U$376)</f>
        <v>0</v>
      </c>
      <c r="V436" s="694">
        <f>LOOKUP($C$430, 'T_Stock_TOTAL_&amp;_City'!$C$122:$C$133,'T_Stock_TOTAL_&amp;_City'!L$122:L$133)*(1+V$376)</f>
        <v>0</v>
      </c>
      <c r="W436" s="694">
        <f>LOOKUP($C$430, 'T_Stock_TOTAL_&amp;_City'!$C$122:$C$133,'T_Stock_TOTAL_&amp;_City'!M$122:M$133)*(1+W$376)</f>
        <v>0</v>
      </c>
      <c r="X436" s="694">
        <f>LOOKUP($C$430, 'T_Stock_TOTAL_&amp;_City'!$C$122:$C$133,'T_Stock_TOTAL_&amp;_City'!N$122:N$133)*(1+X$376)</f>
        <v>0</v>
      </c>
      <c r="Y436" s="694">
        <f>LOOKUP($C$430, 'T_Stock_TOTAL_&amp;_City'!$C$122:$C$133,'T_Stock_TOTAL_&amp;_City'!O$122:O$133)*(1+Y$376)</f>
        <v>0</v>
      </c>
      <c r="Z436" s="694">
        <f>LOOKUP($C$430, 'T_Stock_TOTAL_&amp;_City'!$C$122:$C$133,'T_Stock_TOTAL_&amp;_City'!P$122:P$133)*(1+Z$376)</f>
        <v>0</v>
      </c>
      <c r="AA436" s="694">
        <f>LOOKUP($C$430, 'T_Stock_TOTAL_&amp;_City'!$C$122:$C$133,'T_Stock_TOTAL_&amp;_City'!Q$122:Q$133)*(1+AA$376)</f>
        <v>0</v>
      </c>
      <c r="AB436" s="694">
        <f>LOOKUP($C$430, 'T_Stock_TOTAL_&amp;_City'!$C$122:$C$133,'T_Stock_TOTAL_&amp;_City'!R$122:R$133)*(1+AB$376)</f>
        <v>0</v>
      </c>
    </row>
    <row r="437" spans="1:52" x14ac:dyDescent="0.25">
      <c r="A437" s="22"/>
      <c r="B437" s="186" t="str">
        <f t="shared" si="351"/>
        <v>TFREGAS900</v>
      </c>
      <c r="C437" s="186"/>
      <c r="D437" s="187"/>
      <c r="E437" s="186"/>
      <c r="F437" s="170"/>
      <c r="G437" s="189"/>
      <c r="H437" s="170"/>
      <c r="I437" s="183">
        <f>AF$5</f>
        <v>2016</v>
      </c>
      <c r="J437" s="191"/>
      <c r="K437" s="191"/>
      <c r="L437" s="211" t="s">
        <v>1065</v>
      </c>
      <c r="M437" s="191" t="s">
        <v>748</v>
      </c>
      <c r="N437" s="694">
        <f t="shared" ref="N437:AB437" si="354">N436*LOOKUP($AD430,$AH$4:$AQ$4,$AH$5:$AQ$5)</f>
        <v>0</v>
      </c>
      <c r="O437" s="694">
        <f t="shared" si="354"/>
        <v>0</v>
      </c>
      <c r="P437" s="694">
        <f t="shared" si="354"/>
        <v>0</v>
      </c>
      <c r="Q437" s="694">
        <f t="shared" si="354"/>
        <v>0</v>
      </c>
      <c r="R437" s="694">
        <f t="shared" si="354"/>
        <v>0</v>
      </c>
      <c r="S437" s="694">
        <f t="shared" si="354"/>
        <v>0</v>
      </c>
      <c r="T437" s="694">
        <f t="shared" si="354"/>
        <v>0</v>
      </c>
      <c r="U437" s="694">
        <f t="shared" si="354"/>
        <v>0</v>
      </c>
      <c r="V437" s="694">
        <f t="shared" si="354"/>
        <v>0</v>
      </c>
      <c r="W437" s="694">
        <f t="shared" si="354"/>
        <v>0</v>
      </c>
      <c r="X437" s="694">
        <f t="shared" si="354"/>
        <v>0</v>
      </c>
      <c r="Y437" s="694">
        <f t="shared" si="354"/>
        <v>0</v>
      </c>
      <c r="Z437" s="694">
        <f t="shared" si="354"/>
        <v>0</v>
      </c>
      <c r="AA437" s="694">
        <f t="shared" si="354"/>
        <v>0</v>
      </c>
      <c r="AB437" s="694">
        <f t="shared" si="354"/>
        <v>0</v>
      </c>
    </row>
    <row r="438" spans="1:52" x14ac:dyDescent="0.25">
      <c r="A438" s="22"/>
      <c r="B438" s="186" t="str">
        <f t="shared" si="351"/>
        <v>TFREGAS900</v>
      </c>
      <c r="C438" s="186"/>
      <c r="D438" s="186"/>
      <c r="E438" s="186"/>
      <c r="F438" s="170"/>
      <c r="G438" s="189"/>
      <c r="H438" s="170"/>
      <c r="I438" s="183">
        <f>AF$6</f>
        <v>2020</v>
      </c>
      <c r="J438" s="191"/>
      <c r="K438" s="191"/>
      <c r="L438" s="211" t="s">
        <v>1065</v>
      </c>
      <c r="M438" s="191" t="s">
        <v>748</v>
      </c>
      <c r="N438" s="694">
        <f t="shared" ref="N438:AB438" si="355">N436*LOOKUP($AD430,$AH$4:$AQ$4,$AH$6:$AQ$6)</f>
        <v>0</v>
      </c>
      <c r="O438" s="694">
        <f t="shared" si="355"/>
        <v>0</v>
      </c>
      <c r="P438" s="694">
        <f t="shared" si="355"/>
        <v>0</v>
      </c>
      <c r="Q438" s="694">
        <f t="shared" si="355"/>
        <v>0</v>
      </c>
      <c r="R438" s="694">
        <f t="shared" si="355"/>
        <v>0</v>
      </c>
      <c r="S438" s="694">
        <f t="shared" si="355"/>
        <v>0</v>
      </c>
      <c r="T438" s="694">
        <f t="shared" si="355"/>
        <v>0</v>
      </c>
      <c r="U438" s="694">
        <f t="shared" si="355"/>
        <v>0</v>
      </c>
      <c r="V438" s="694">
        <f t="shared" si="355"/>
        <v>0</v>
      </c>
      <c r="W438" s="694">
        <f t="shared" si="355"/>
        <v>0</v>
      </c>
      <c r="X438" s="694">
        <f t="shared" si="355"/>
        <v>0</v>
      </c>
      <c r="Y438" s="694">
        <f t="shared" si="355"/>
        <v>0</v>
      </c>
      <c r="Z438" s="694">
        <f t="shared" si="355"/>
        <v>0</v>
      </c>
      <c r="AA438" s="694">
        <f t="shared" si="355"/>
        <v>0</v>
      </c>
      <c r="AB438" s="694">
        <f t="shared" si="355"/>
        <v>0</v>
      </c>
    </row>
    <row r="439" spans="1:52" x14ac:dyDescent="0.25">
      <c r="A439" s="22"/>
      <c r="B439" s="186" t="str">
        <f t="shared" si="351"/>
        <v>TFREGAS900</v>
      </c>
      <c r="C439" s="186"/>
      <c r="D439" s="186"/>
      <c r="E439" s="186"/>
      <c r="F439" s="170"/>
      <c r="G439" s="189"/>
      <c r="H439" s="170"/>
      <c r="I439" s="183">
        <f>AF$7</f>
        <v>2025</v>
      </c>
      <c r="J439" s="191"/>
      <c r="K439" s="191"/>
      <c r="L439" s="211" t="s">
        <v>1065</v>
      </c>
      <c r="M439" s="191" t="s">
        <v>748</v>
      </c>
      <c r="N439" s="694">
        <f t="shared" ref="N439:AB439" si="356">N436*LOOKUP($AD430,$AH$4:$AQ$4,$AH$7:$AQ$7)</f>
        <v>0</v>
      </c>
      <c r="O439" s="694">
        <f t="shared" si="356"/>
        <v>0</v>
      </c>
      <c r="P439" s="694">
        <f t="shared" si="356"/>
        <v>0</v>
      </c>
      <c r="Q439" s="694">
        <f t="shared" si="356"/>
        <v>0</v>
      </c>
      <c r="R439" s="694">
        <f t="shared" si="356"/>
        <v>0</v>
      </c>
      <c r="S439" s="694">
        <f t="shared" si="356"/>
        <v>0</v>
      </c>
      <c r="T439" s="694">
        <f t="shared" si="356"/>
        <v>0</v>
      </c>
      <c r="U439" s="694">
        <f t="shared" si="356"/>
        <v>0</v>
      </c>
      <c r="V439" s="694">
        <f t="shared" si="356"/>
        <v>0</v>
      </c>
      <c r="W439" s="694">
        <f t="shared" si="356"/>
        <v>0</v>
      </c>
      <c r="X439" s="694">
        <f t="shared" si="356"/>
        <v>0</v>
      </c>
      <c r="Y439" s="694">
        <f t="shared" si="356"/>
        <v>0</v>
      </c>
      <c r="Z439" s="694">
        <f t="shared" si="356"/>
        <v>0</v>
      </c>
      <c r="AA439" s="694">
        <f t="shared" si="356"/>
        <v>0</v>
      </c>
      <c r="AB439" s="694">
        <f t="shared" si="356"/>
        <v>0</v>
      </c>
    </row>
    <row r="440" spans="1:52" x14ac:dyDescent="0.25">
      <c r="A440" s="22"/>
      <c r="B440" s="186" t="str">
        <f t="shared" si="351"/>
        <v>TFREGAS900</v>
      </c>
      <c r="C440" s="186"/>
      <c r="D440" s="186"/>
      <c r="E440" s="186"/>
      <c r="F440" s="170"/>
      <c r="G440" s="189"/>
      <c r="H440" s="170"/>
      <c r="I440" s="183">
        <f>AF$8</f>
        <v>2030</v>
      </c>
      <c r="J440" s="191"/>
      <c r="K440" s="191"/>
      <c r="L440" s="211" t="s">
        <v>1065</v>
      </c>
      <c r="M440" s="191" t="s">
        <v>748</v>
      </c>
      <c r="N440" s="694">
        <f t="shared" ref="N440:AB440" si="357">N436*LOOKUP($AD430,$AH$4:$AQ$4,$AH$8:$AQ$8)</f>
        <v>0</v>
      </c>
      <c r="O440" s="694">
        <f t="shared" si="357"/>
        <v>0</v>
      </c>
      <c r="P440" s="694">
        <f t="shared" si="357"/>
        <v>0</v>
      </c>
      <c r="Q440" s="694">
        <f t="shared" si="357"/>
        <v>0</v>
      </c>
      <c r="R440" s="694">
        <f t="shared" si="357"/>
        <v>0</v>
      </c>
      <c r="S440" s="694">
        <f t="shared" si="357"/>
        <v>0</v>
      </c>
      <c r="T440" s="694">
        <f t="shared" si="357"/>
        <v>0</v>
      </c>
      <c r="U440" s="694">
        <f t="shared" si="357"/>
        <v>0</v>
      </c>
      <c r="V440" s="694">
        <f t="shared" si="357"/>
        <v>0</v>
      </c>
      <c r="W440" s="694">
        <f t="shared" si="357"/>
        <v>0</v>
      </c>
      <c r="X440" s="694">
        <f t="shared" si="357"/>
        <v>0</v>
      </c>
      <c r="Y440" s="694">
        <f t="shared" si="357"/>
        <v>0</v>
      </c>
      <c r="Z440" s="694">
        <f t="shared" si="357"/>
        <v>0</v>
      </c>
      <c r="AA440" s="694">
        <f t="shared" si="357"/>
        <v>0</v>
      </c>
      <c r="AB440" s="694">
        <f t="shared" si="357"/>
        <v>0</v>
      </c>
    </row>
    <row r="441" spans="1:52" x14ac:dyDescent="0.25">
      <c r="A441" s="22"/>
      <c r="B441" s="186" t="str">
        <f t="shared" si="351"/>
        <v>TFREGAS900</v>
      </c>
      <c r="C441" s="186"/>
      <c r="D441" s="186"/>
      <c r="E441" s="186"/>
      <c r="F441" s="170"/>
      <c r="G441" s="189"/>
      <c r="H441" s="170"/>
      <c r="I441" s="183">
        <f>AF$9</f>
        <v>2040</v>
      </c>
      <c r="J441" s="191"/>
      <c r="K441" s="191"/>
      <c r="L441" s="211" t="s">
        <v>1065</v>
      </c>
      <c r="M441" s="191" t="s">
        <v>748</v>
      </c>
      <c r="N441" s="694">
        <f t="shared" ref="N441:AB441" si="358">N436*LOOKUP($AD430,$AH$4:$AQ$4,$AH$9:$AQ$9)</f>
        <v>0</v>
      </c>
      <c r="O441" s="694">
        <f t="shared" si="358"/>
        <v>0</v>
      </c>
      <c r="P441" s="694">
        <f t="shared" si="358"/>
        <v>0</v>
      </c>
      <c r="Q441" s="694">
        <f t="shared" si="358"/>
        <v>0</v>
      </c>
      <c r="R441" s="694">
        <f t="shared" si="358"/>
        <v>0</v>
      </c>
      <c r="S441" s="694">
        <f t="shared" si="358"/>
        <v>0</v>
      </c>
      <c r="T441" s="694">
        <f t="shared" si="358"/>
        <v>0</v>
      </c>
      <c r="U441" s="694">
        <f t="shared" si="358"/>
        <v>0</v>
      </c>
      <c r="V441" s="694">
        <f t="shared" si="358"/>
        <v>0</v>
      </c>
      <c r="W441" s="694">
        <f t="shared" si="358"/>
        <v>0</v>
      </c>
      <c r="X441" s="694">
        <f t="shared" si="358"/>
        <v>0</v>
      </c>
      <c r="Y441" s="694">
        <f t="shared" si="358"/>
        <v>0</v>
      </c>
      <c r="Z441" s="694">
        <f t="shared" si="358"/>
        <v>0</v>
      </c>
      <c r="AA441" s="694">
        <f t="shared" si="358"/>
        <v>0</v>
      </c>
      <c r="AB441" s="694">
        <f t="shared" si="358"/>
        <v>0</v>
      </c>
    </row>
    <row r="442" spans="1:52" x14ac:dyDescent="0.25">
      <c r="A442" s="22"/>
      <c r="B442" s="193" t="str">
        <f t="shared" si="351"/>
        <v>TFREGAS900</v>
      </c>
      <c r="C442" s="193"/>
      <c r="D442" s="193"/>
      <c r="E442" s="193"/>
      <c r="F442" s="196"/>
      <c r="G442" s="195"/>
      <c r="H442" s="196"/>
      <c r="I442" s="208">
        <f>AF$10</f>
        <v>2050</v>
      </c>
      <c r="J442" s="198"/>
      <c r="K442" s="198"/>
      <c r="L442" s="212" t="s">
        <v>1065</v>
      </c>
      <c r="M442" s="198" t="s">
        <v>748</v>
      </c>
      <c r="N442" s="695">
        <f t="shared" ref="N442:AB442" si="359">N436*LOOKUP($AD430,$AH$4:$AQ$4,$AH$10:$AQ$10)</f>
        <v>0</v>
      </c>
      <c r="O442" s="695">
        <f t="shared" si="359"/>
        <v>0</v>
      </c>
      <c r="P442" s="695">
        <f t="shared" si="359"/>
        <v>0</v>
      </c>
      <c r="Q442" s="695">
        <f t="shared" si="359"/>
        <v>0</v>
      </c>
      <c r="R442" s="695">
        <f t="shared" si="359"/>
        <v>0</v>
      </c>
      <c r="S442" s="695">
        <f t="shared" si="359"/>
        <v>0</v>
      </c>
      <c r="T442" s="695">
        <f t="shared" si="359"/>
        <v>0</v>
      </c>
      <c r="U442" s="695">
        <f t="shared" si="359"/>
        <v>0</v>
      </c>
      <c r="V442" s="695">
        <f t="shared" si="359"/>
        <v>0</v>
      </c>
      <c r="W442" s="695">
        <f t="shared" si="359"/>
        <v>0</v>
      </c>
      <c r="X442" s="695">
        <f t="shared" si="359"/>
        <v>0</v>
      </c>
      <c r="Y442" s="695">
        <f t="shared" si="359"/>
        <v>0</v>
      </c>
      <c r="Z442" s="695">
        <f t="shared" si="359"/>
        <v>0</v>
      </c>
      <c r="AA442" s="695">
        <f t="shared" si="359"/>
        <v>0</v>
      </c>
      <c r="AB442" s="695">
        <f t="shared" si="359"/>
        <v>0</v>
      </c>
    </row>
    <row r="443" spans="1:52" x14ac:dyDescent="0.25">
      <c r="A443" s="82"/>
      <c r="B443" s="178" t="str">
        <f>C443</f>
        <v>TFREGSL900</v>
      </c>
      <c r="C443" s="178" t="s">
        <v>156</v>
      </c>
      <c r="D443" s="179" t="s">
        <v>859</v>
      </c>
      <c r="E443" s="407" t="s">
        <v>1014</v>
      </c>
      <c r="F443" s="182"/>
      <c r="G443" s="181"/>
      <c r="H443" s="182"/>
      <c r="I443" s="183"/>
      <c r="J443" s="184"/>
      <c r="K443" s="184"/>
      <c r="L443" s="203" t="s">
        <v>1107</v>
      </c>
      <c r="M443" s="184" t="s">
        <v>1125</v>
      </c>
      <c r="N443" s="378">
        <v>1E-3</v>
      </c>
      <c r="O443" s="378">
        <f t="shared" ref="O443:AB443" si="360">$N443</f>
        <v>1E-3</v>
      </c>
      <c r="P443" s="378">
        <f t="shared" si="360"/>
        <v>1E-3</v>
      </c>
      <c r="Q443" s="378">
        <f t="shared" si="360"/>
        <v>1E-3</v>
      </c>
      <c r="R443" s="378">
        <f t="shared" si="360"/>
        <v>1E-3</v>
      </c>
      <c r="S443" s="378">
        <f t="shared" si="360"/>
        <v>1E-3</v>
      </c>
      <c r="T443" s="378">
        <f t="shared" si="360"/>
        <v>1E-3</v>
      </c>
      <c r="U443" s="378">
        <f t="shared" si="360"/>
        <v>1E-3</v>
      </c>
      <c r="V443" s="378">
        <f t="shared" si="360"/>
        <v>1E-3</v>
      </c>
      <c r="W443" s="378">
        <f t="shared" si="360"/>
        <v>1E-3</v>
      </c>
      <c r="X443" s="378">
        <f t="shared" si="360"/>
        <v>1E-3</v>
      </c>
      <c r="Y443" s="378">
        <f t="shared" si="360"/>
        <v>1E-3</v>
      </c>
      <c r="Z443" s="378">
        <f t="shared" si="360"/>
        <v>1E-3</v>
      </c>
      <c r="AA443" s="378">
        <f t="shared" si="360"/>
        <v>1E-3</v>
      </c>
      <c r="AB443" s="378">
        <f t="shared" si="360"/>
        <v>1E-3</v>
      </c>
      <c r="AC443" s="83"/>
      <c r="AD443" s="402" t="str">
        <f>MID(D443,13,3)</f>
        <v>GSL</v>
      </c>
      <c r="AU443" s="83"/>
      <c r="AV443" s="83"/>
      <c r="AW443" s="83"/>
      <c r="AX443" s="83"/>
      <c r="AY443" s="83"/>
      <c r="AZ443" s="83"/>
    </row>
    <row r="444" spans="1:52" s="83" customFormat="1" x14ac:dyDescent="0.25">
      <c r="A444" s="22"/>
      <c r="B444" s="186" t="str">
        <f>B443</f>
        <v>TFREGSL900</v>
      </c>
      <c r="C444" s="186"/>
      <c r="D444" s="187"/>
      <c r="E444" s="258" t="s">
        <v>1012</v>
      </c>
      <c r="F444" s="170"/>
      <c r="G444" s="189"/>
      <c r="H444" s="170"/>
      <c r="I444" s="190"/>
      <c r="J444" s="191" t="s">
        <v>1157</v>
      </c>
      <c r="K444" s="191"/>
      <c r="L444" s="211" t="s">
        <v>101</v>
      </c>
      <c r="M444" s="191"/>
      <c r="N444" s="377">
        <f>N$29</f>
        <v>0.03</v>
      </c>
      <c r="O444" s="377">
        <f t="shared" ref="O444:AB444" si="361">O$29</f>
        <v>0.03</v>
      </c>
      <c r="P444" s="377">
        <f t="shared" si="361"/>
        <v>0.03</v>
      </c>
      <c r="Q444" s="377">
        <f t="shared" si="361"/>
        <v>0.03</v>
      </c>
      <c r="R444" s="377">
        <f t="shared" si="361"/>
        <v>0.03</v>
      </c>
      <c r="S444" s="377">
        <f t="shared" si="361"/>
        <v>0.03</v>
      </c>
      <c r="T444" s="377">
        <f t="shared" si="361"/>
        <v>0.03</v>
      </c>
      <c r="U444" s="377">
        <f t="shared" si="361"/>
        <v>0.03</v>
      </c>
      <c r="V444" s="377">
        <f t="shared" si="361"/>
        <v>0.03</v>
      </c>
      <c r="W444" s="377">
        <f t="shared" si="361"/>
        <v>0.03</v>
      </c>
      <c r="X444" s="377">
        <f t="shared" si="361"/>
        <v>0.03</v>
      </c>
      <c r="Y444" s="377">
        <f t="shared" si="361"/>
        <v>0.03</v>
      </c>
      <c r="Z444" s="377">
        <f t="shared" si="361"/>
        <v>0.03</v>
      </c>
      <c r="AA444" s="377">
        <f t="shared" si="361"/>
        <v>0.03</v>
      </c>
      <c r="AB444" s="377">
        <f t="shared" si="361"/>
        <v>0.03</v>
      </c>
      <c r="AC444" s="35"/>
      <c r="AD444" s="66" t="str">
        <f>IF(COUNTIF($AH$4:$AQ$4,AD443)=1,"ok","MISSING")</f>
        <v>ok</v>
      </c>
      <c r="AU444" s="35"/>
      <c r="AV444" s="35"/>
      <c r="AW444" s="35"/>
      <c r="AX444" s="35"/>
      <c r="AY444" s="35"/>
      <c r="AZ444" s="35"/>
    </row>
    <row r="445" spans="1:52" x14ac:dyDescent="0.25">
      <c r="A445" s="22"/>
      <c r="B445" s="186" t="str">
        <f>B444</f>
        <v>TFREGSL900</v>
      </c>
      <c r="C445" s="186"/>
      <c r="D445" s="187"/>
      <c r="E445" s="186"/>
      <c r="F445" s="170"/>
      <c r="G445" s="173" t="s">
        <v>649</v>
      </c>
      <c r="H445" s="170"/>
      <c r="I445" s="190"/>
      <c r="J445" s="191"/>
      <c r="K445" s="191"/>
      <c r="L445" s="191" t="s">
        <v>1126</v>
      </c>
      <c r="M445" s="191" t="s">
        <v>678</v>
      </c>
      <c r="N445" s="377">
        <f>T_CEFF!H218</f>
        <v>6.7229999999999998E-2</v>
      </c>
      <c r="O445" s="377">
        <f>T_CEFF!I218</f>
        <v>6.7229999999999998E-2</v>
      </c>
      <c r="P445" s="377">
        <f>T_CEFF!J218</f>
        <v>6.7229999999999998E-2</v>
      </c>
      <c r="Q445" s="377">
        <f>T_CEFF!K218</f>
        <v>6.7229999999999998E-2</v>
      </c>
      <c r="R445" s="377">
        <f>T_CEFF!L218</f>
        <v>6.7229999999999998E-2</v>
      </c>
      <c r="S445" s="377">
        <f>T_CEFF!M218</f>
        <v>6.7229999999999998E-2</v>
      </c>
      <c r="T445" s="377">
        <f>T_CEFF!N218</f>
        <v>6.7229999999999998E-2</v>
      </c>
      <c r="U445" s="377">
        <f>T_CEFF!O218</f>
        <v>6.7229999999999998E-2</v>
      </c>
      <c r="V445" s="377">
        <f>T_CEFF!P218</f>
        <v>6.7229999999999998E-2</v>
      </c>
      <c r="W445" s="377">
        <f>T_CEFF!Q218</f>
        <v>6.7229999999999998E-2</v>
      </c>
      <c r="X445" s="377">
        <f>T_CEFF!R218</f>
        <v>6.7229999999999998E-2</v>
      </c>
      <c r="Y445" s="377">
        <f>T_CEFF!S218</f>
        <v>6.7229999999999998E-2</v>
      </c>
      <c r="Z445" s="377">
        <f>T_CEFF!T218</f>
        <v>6.7229999999999998E-2</v>
      </c>
      <c r="AA445" s="377">
        <f>T_CEFF!U218</f>
        <v>6.7229999999999998E-2</v>
      </c>
      <c r="AB445" s="377">
        <f>T_CEFF!V218</f>
        <v>6.7229999999999998E-2</v>
      </c>
    </row>
    <row r="446" spans="1:52" x14ac:dyDescent="0.25">
      <c r="A446" s="22"/>
      <c r="B446" s="186" t="str">
        <f>B445</f>
        <v>TFREGSL900</v>
      </c>
      <c r="C446" s="186"/>
      <c r="D446" s="187"/>
      <c r="E446" s="186"/>
      <c r="F446" s="170"/>
      <c r="G446" s="173" t="s">
        <v>652</v>
      </c>
      <c r="H446" s="170"/>
      <c r="I446" s="190"/>
      <c r="J446" s="191"/>
      <c r="K446" s="191"/>
      <c r="L446" s="191" t="s">
        <v>1126</v>
      </c>
      <c r="M446" s="191" t="s">
        <v>678</v>
      </c>
      <c r="N446" s="377">
        <f>T_CEFF!H219</f>
        <v>5.3780000000000001E-2</v>
      </c>
      <c r="O446" s="377">
        <f>T_CEFF!I219</f>
        <v>5.3780000000000001E-2</v>
      </c>
      <c r="P446" s="377">
        <f>T_CEFF!J219</f>
        <v>5.3780000000000001E-2</v>
      </c>
      <c r="Q446" s="377">
        <f>T_CEFF!K219</f>
        <v>5.3780000000000001E-2</v>
      </c>
      <c r="R446" s="377">
        <f>T_CEFF!L219</f>
        <v>5.3780000000000001E-2</v>
      </c>
      <c r="S446" s="377">
        <f>T_CEFF!M219</f>
        <v>5.3780000000000001E-2</v>
      </c>
      <c r="T446" s="377">
        <f>T_CEFF!N219</f>
        <v>5.3780000000000001E-2</v>
      </c>
      <c r="U446" s="377">
        <f>T_CEFF!O219</f>
        <v>5.3780000000000001E-2</v>
      </c>
      <c r="V446" s="377">
        <f>T_CEFF!P219</f>
        <v>5.3780000000000001E-2</v>
      </c>
      <c r="W446" s="377">
        <f>T_CEFF!Q219</f>
        <v>5.3780000000000001E-2</v>
      </c>
      <c r="X446" s="377">
        <f>T_CEFF!R219</f>
        <v>5.3780000000000001E-2</v>
      </c>
      <c r="Y446" s="377">
        <f>T_CEFF!S219</f>
        <v>5.3780000000000001E-2</v>
      </c>
      <c r="Z446" s="377">
        <f>T_CEFF!T219</f>
        <v>5.3780000000000001E-2</v>
      </c>
      <c r="AA446" s="377">
        <f>T_CEFF!U219</f>
        <v>5.3780000000000001E-2</v>
      </c>
      <c r="AB446" s="377">
        <f>T_CEFF!V219</f>
        <v>5.3780000000000001E-2</v>
      </c>
    </row>
    <row r="447" spans="1:52" x14ac:dyDescent="0.25">
      <c r="A447" s="22"/>
      <c r="B447" s="186" t="str">
        <f t="shared" ref="B447:B455" si="362">B446</f>
        <v>TFREGSL900</v>
      </c>
      <c r="C447" s="186"/>
      <c r="D447" s="187"/>
      <c r="E447" s="186"/>
      <c r="F447" s="170"/>
      <c r="G447" s="189"/>
      <c r="H447" s="170"/>
      <c r="I447" s="190"/>
      <c r="J447" s="191"/>
      <c r="K447" s="191" t="s">
        <v>749</v>
      </c>
      <c r="L447" s="191" t="s">
        <v>1128</v>
      </c>
      <c r="M447" s="191" t="s">
        <v>1175</v>
      </c>
      <c r="N447" s="368">
        <f t="shared" ref="N447:AB447" si="363">N$25</f>
        <v>0</v>
      </c>
      <c r="O447" s="368">
        <f t="shared" si="363"/>
        <v>0</v>
      </c>
      <c r="P447" s="368">
        <f t="shared" si="363"/>
        <v>0</v>
      </c>
      <c r="Q447" s="368">
        <f t="shared" si="363"/>
        <v>0</v>
      </c>
      <c r="R447" s="368">
        <f t="shared" si="363"/>
        <v>0</v>
      </c>
      <c r="S447" s="368">
        <f t="shared" si="363"/>
        <v>0</v>
      </c>
      <c r="T447" s="368">
        <f t="shared" si="363"/>
        <v>0</v>
      </c>
      <c r="U447" s="368">
        <f t="shared" si="363"/>
        <v>0</v>
      </c>
      <c r="V447" s="368">
        <f t="shared" si="363"/>
        <v>0</v>
      </c>
      <c r="W447" s="368">
        <f t="shared" si="363"/>
        <v>0</v>
      </c>
      <c r="X447" s="368">
        <f t="shared" si="363"/>
        <v>0</v>
      </c>
      <c r="Y447" s="368">
        <f t="shared" si="363"/>
        <v>0</v>
      </c>
      <c r="Z447" s="368">
        <f t="shared" si="363"/>
        <v>0</v>
      </c>
      <c r="AA447" s="368">
        <f t="shared" si="363"/>
        <v>0</v>
      </c>
      <c r="AB447" s="368">
        <f t="shared" si="363"/>
        <v>0</v>
      </c>
    </row>
    <row r="448" spans="1:52" x14ac:dyDescent="0.25">
      <c r="A448" s="22"/>
      <c r="B448" s="186" t="str">
        <f t="shared" si="362"/>
        <v>TFREGSL900</v>
      </c>
      <c r="C448" s="186"/>
      <c r="D448" s="187"/>
      <c r="E448" s="186"/>
      <c r="F448" s="170"/>
      <c r="G448" s="189"/>
      <c r="H448" s="170"/>
      <c r="I448" s="190"/>
      <c r="J448" s="191"/>
      <c r="K448" s="191"/>
      <c r="L448" s="211" t="s">
        <v>1130</v>
      </c>
      <c r="M448" s="191" t="s">
        <v>1131</v>
      </c>
      <c r="N448" s="369">
        <f>LOOKUP($C$443, T_NCAP_AF!$C$185:$C$195, T_NCAP_AF!D$185:D$195)*(1+N375)</f>
        <v>22.84</v>
      </c>
      <c r="O448" s="369">
        <f>LOOKUP($C$443, T_NCAP_AF!$C$185:$C$195, T_NCAP_AF!E$185:E$195)*(1+O375)</f>
        <v>0</v>
      </c>
      <c r="P448" s="369">
        <f>LOOKUP($C$443, T_NCAP_AF!$C$185:$C$195, T_NCAP_AF!F$185:F$195)*(1+P375)</f>
        <v>0</v>
      </c>
      <c r="Q448" s="369">
        <f>LOOKUP($C$443, T_NCAP_AF!$C$185:$C$195, T_NCAP_AF!G$185:G$195)*(1+Q375)</f>
        <v>0</v>
      </c>
      <c r="R448" s="369">
        <f>LOOKUP($C$443, T_NCAP_AF!$C$185:$C$195, T_NCAP_AF!H$185:H$195)*(1+R375)</f>
        <v>0</v>
      </c>
      <c r="S448" s="369">
        <f>LOOKUP($C$443, T_NCAP_AF!$C$185:$C$195, T_NCAP_AF!I$185:I$195)*(1+S375)</f>
        <v>0</v>
      </c>
      <c r="T448" s="369">
        <f>LOOKUP($C$443, T_NCAP_AF!$C$185:$C$195, T_NCAP_AF!J$185:J$195)*(1+T375)</f>
        <v>0</v>
      </c>
      <c r="U448" s="369">
        <f>LOOKUP($C$443, T_NCAP_AF!$C$185:$C$195, T_NCAP_AF!K$185:K$195)*(1+U375)</f>
        <v>0</v>
      </c>
      <c r="V448" s="369">
        <f>LOOKUP($C$443, T_NCAP_AF!$C$185:$C$195, T_NCAP_AF!L$185:L$195)*(1+V375)</f>
        <v>0</v>
      </c>
      <c r="W448" s="369">
        <f>LOOKUP($C$443, T_NCAP_AF!$C$185:$C$195, T_NCAP_AF!M$185:M$195)*(1+W375)</f>
        <v>0</v>
      </c>
      <c r="X448" s="369">
        <f>LOOKUP($C$443, T_NCAP_AF!$C$185:$C$195, T_NCAP_AF!N$185:N$195)*(1+X375)</f>
        <v>0</v>
      </c>
      <c r="Y448" s="369">
        <f>LOOKUP($C$443, T_NCAP_AF!$C$185:$C$195, T_NCAP_AF!O$185:O$195)*(1+Y375)</f>
        <v>0</v>
      </c>
      <c r="Z448" s="369">
        <f>LOOKUP($C$443, T_NCAP_AF!$C$185:$C$195, T_NCAP_AF!P$185:P$195)*(1+Z375)</f>
        <v>0</v>
      </c>
      <c r="AA448" s="369">
        <f>LOOKUP($C$443, T_NCAP_AF!$C$185:$C$195, T_NCAP_AF!Q$185:Q$195)*(1+AA375)</f>
        <v>0</v>
      </c>
      <c r="AB448" s="369">
        <f>LOOKUP($C$443, T_NCAP_AF!$C$185:$C$195, T_NCAP_AF!R$185:R$195)*(1+AB375)</f>
        <v>0</v>
      </c>
      <c r="AE448" s="572">
        <f>SUM(AF448:AT448)</f>
        <v>0</v>
      </c>
      <c r="AF448" s="85">
        <f t="shared" ref="AF448:AT448" si="364">N447*N448*N449/1000</f>
        <v>0</v>
      </c>
      <c r="AG448" s="85">
        <f t="shared" si="364"/>
        <v>0</v>
      </c>
      <c r="AH448" s="85">
        <f t="shared" si="364"/>
        <v>0</v>
      </c>
      <c r="AI448" s="85">
        <f t="shared" si="364"/>
        <v>0</v>
      </c>
      <c r="AJ448" s="85">
        <f t="shared" si="364"/>
        <v>0</v>
      </c>
      <c r="AK448" s="85">
        <f t="shared" si="364"/>
        <v>0</v>
      </c>
      <c r="AL448" s="85">
        <f t="shared" si="364"/>
        <v>0</v>
      </c>
      <c r="AM448" s="85">
        <f t="shared" si="364"/>
        <v>0</v>
      </c>
      <c r="AN448" s="85">
        <f t="shared" si="364"/>
        <v>0</v>
      </c>
      <c r="AO448" s="85">
        <f t="shared" si="364"/>
        <v>0</v>
      </c>
      <c r="AP448" s="85">
        <f t="shared" si="364"/>
        <v>0</v>
      </c>
      <c r="AQ448" s="85">
        <f t="shared" si="364"/>
        <v>0</v>
      </c>
      <c r="AR448" s="85">
        <f t="shared" si="364"/>
        <v>0</v>
      </c>
      <c r="AS448" s="85">
        <f t="shared" si="364"/>
        <v>0</v>
      </c>
      <c r="AT448" s="85">
        <f t="shared" si="364"/>
        <v>0</v>
      </c>
    </row>
    <row r="449" spans="1:52" x14ac:dyDescent="0.25">
      <c r="A449" s="22"/>
      <c r="B449" s="186" t="str">
        <f t="shared" si="362"/>
        <v>TFREGSL900</v>
      </c>
      <c r="C449" s="186"/>
      <c r="D449" s="187"/>
      <c r="E449" s="186"/>
      <c r="F449" s="170"/>
      <c r="G449" s="189"/>
      <c r="H449" s="170"/>
      <c r="I449" s="190">
        <f>$M$3</f>
        <v>2019</v>
      </c>
      <c r="J449" s="191"/>
      <c r="K449" s="191"/>
      <c r="L449" s="211" t="s">
        <v>1065</v>
      </c>
      <c r="M449" s="191" t="s">
        <v>748</v>
      </c>
      <c r="N449" s="694">
        <f>LOOKUP($C$443, 'T_Stock_TOTAL_&amp;_City'!$C$122:$C$133,'T_Stock_TOTAL_&amp;_City'!D$122:D$133)*(1+N$376)</f>
        <v>0</v>
      </c>
      <c r="O449" s="694">
        <f>LOOKUP($C$443, 'T_Stock_TOTAL_&amp;_City'!$C$122:$C$133,'T_Stock_TOTAL_&amp;_City'!E$122:E$133)*(1+O$376)</f>
        <v>0</v>
      </c>
      <c r="P449" s="694">
        <f>LOOKUP($C$443, 'T_Stock_TOTAL_&amp;_City'!$C$122:$C$133,'T_Stock_TOTAL_&amp;_City'!F$122:F$133)*(1+P$376)</f>
        <v>0</v>
      </c>
      <c r="Q449" s="694">
        <f>LOOKUP($C$443, 'T_Stock_TOTAL_&amp;_City'!$C$122:$C$133,'T_Stock_TOTAL_&amp;_City'!G$122:G$133)*(1+Q$376)</f>
        <v>0</v>
      </c>
      <c r="R449" s="694">
        <f>LOOKUP($C$443, 'T_Stock_TOTAL_&amp;_City'!$C$122:$C$133,'T_Stock_TOTAL_&amp;_City'!H$122:H$133)*(1+R$376)</f>
        <v>0</v>
      </c>
      <c r="S449" s="694">
        <f>LOOKUP($C$443, 'T_Stock_TOTAL_&amp;_City'!$C$122:$C$133,'T_Stock_TOTAL_&amp;_City'!I$122:I$133)*(1+S$376)</f>
        <v>0</v>
      </c>
      <c r="T449" s="694">
        <f>LOOKUP($C$443, 'T_Stock_TOTAL_&amp;_City'!$C$122:$C$133,'T_Stock_TOTAL_&amp;_City'!J$122:J$133)*(1+T$376)</f>
        <v>0</v>
      </c>
      <c r="U449" s="694">
        <f>LOOKUP($C$443, 'T_Stock_TOTAL_&amp;_City'!$C$122:$C$133,'T_Stock_TOTAL_&amp;_City'!K$122:K$133)*(1+U$376)</f>
        <v>0</v>
      </c>
      <c r="V449" s="694">
        <f>LOOKUP($C$443, 'T_Stock_TOTAL_&amp;_City'!$C$122:$C$133,'T_Stock_TOTAL_&amp;_City'!L$122:L$133)*(1+V$376)</f>
        <v>0</v>
      </c>
      <c r="W449" s="694">
        <f>LOOKUP($C$443, 'T_Stock_TOTAL_&amp;_City'!$C$122:$C$133,'T_Stock_TOTAL_&amp;_City'!M$122:M$133)*(1+W$376)</f>
        <v>0</v>
      </c>
      <c r="X449" s="694">
        <f>LOOKUP($C$443, 'T_Stock_TOTAL_&amp;_City'!$C$122:$C$133,'T_Stock_TOTAL_&amp;_City'!N$122:N$133)*(1+X$376)</f>
        <v>0</v>
      </c>
      <c r="Y449" s="694">
        <f>LOOKUP($C$443, 'T_Stock_TOTAL_&amp;_City'!$C$122:$C$133,'T_Stock_TOTAL_&amp;_City'!O$122:O$133)*(1+Y$376)</f>
        <v>0</v>
      </c>
      <c r="Z449" s="694">
        <f>LOOKUP($C$443, 'T_Stock_TOTAL_&amp;_City'!$C$122:$C$133,'T_Stock_TOTAL_&amp;_City'!P$122:P$133)*(1+Z$376)</f>
        <v>0</v>
      </c>
      <c r="AA449" s="694">
        <f>LOOKUP($C$443, 'T_Stock_TOTAL_&amp;_City'!$C$122:$C$133,'T_Stock_TOTAL_&amp;_City'!Q$122:Q$133)*(1+AA$376)</f>
        <v>0</v>
      </c>
      <c r="AB449" s="694">
        <f>LOOKUP($C$443, 'T_Stock_TOTAL_&amp;_City'!$C$122:$C$133,'T_Stock_TOTAL_&amp;_City'!R$122:R$133)*(1+AB$376)</f>
        <v>0</v>
      </c>
    </row>
    <row r="450" spans="1:52" x14ac:dyDescent="0.25">
      <c r="A450" s="22"/>
      <c r="B450" s="186" t="str">
        <f t="shared" si="362"/>
        <v>TFREGSL900</v>
      </c>
      <c r="C450" s="186"/>
      <c r="D450" s="186"/>
      <c r="E450" s="186"/>
      <c r="F450" s="170"/>
      <c r="G450" s="189"/>
      <c r="H450" s="170"/>
      <c r="I450" s="183">
        <f>AF$5</f>
        <v>2016</v>
      </c>
      <c r="J450" s="191"/>
      <c r="K450" s="191"/>
      <c r="L450" s="211" t="s">
        <v>1065</v>
      </c>
      <c r="M450" s="191" t="s">
        <v>748</v>
      </c>
      <c r="N450" s="694">
        <f t="shared" ref="N450:AB450" si="365">N449*LOOKUP($AD443,$AH$4:$AQ$4,$AH$5:$AQ$5)</f>
        <v>0</v>
      </c>
      <c r="O450" s="694">
        <f t="shared" si="365"/>
        <v>0</v>
      </c>
      <c r="P450" s="694">
        <f t="shared" si="365"/>
        <v>0</v>
      </c>
      <c r="Q450" s="694">
        <f t="shared" si="365"/>
        <v>0</v>
      </c>
      <c r="R450" s="694">
        <f t="shared" si="365"/>
        <v>0</v>
      </c>
      <c r="S450" s="694">
        <f t="shared" si="365"/>
        <v>0</v>
      </c>
      <c r="T450" s="694">
        <f t="shared" si="365"/>
        <v>0</v>
      </c>
      <c r="U450" s="694">
        <f t="shared" si="365"/>
        <v>0</v>
      </c>
      <c r="V450" s="694">
        <f t="shared" si="365"/>
        <v>0</v>
      </c>
      <c r="W450" s="694">
        <f t="shared" si="365"/>
        <v>0</v>
      </c>
      <c r="X450" s="694">
        <f t="shared" si="365"/>
        <v>0</v>
      </c>
      <c r="Y450" s="694">
        <f t="shared" si="365"/>
        <v>0</v>
      </c>
      <c r="Z450" s="694">
        <f t="shared" si="365"/>
        <v>0</v>
      </c>
      <c r="AA450" s="694">
        <f t="shared" si="365"/>
        <v>0</v>
      </c>
      <c r="AB450" s="694">
        <f t="shared" si="365"/>
        <v>0</v>
      </c>
    </row>
    <row r="451" spans="1:52" x14ac:dyDescent="0.25">
      <c r="A451" s="22"/>
      <c r="B451" s="186" t="str">
        <f t="shared" si="362"/>
        <v>TFREGSL900</v>
      </c>
      <c r="C451" s="186"/>
      <c r="D451" s="186"/>
      <c r="E451" s="186"/>
      <c r="F451" s="170"/>
      <c r="G451" s="189"/>
      <c r="H451" s="170"/>
      <c r="I451" s="183">
        <f>AF$6</f>
        <v>2020</v>
      </c>
      <c r="J451" s="191"/>
      <c r="K451" s="191"/>
      <c r="L451" s="211" t="s">
        <v>1065</v>
      </c>
      <c r="M451" s="191" t="s">
        <v>748</v>
      </c>
      <c r="N451" s="694">
        <f t="shared" ref="N451:AB451" si="366">N449*LOOKUP($AD443,$AH$4:$AQ$4,$AH$6:$AQ$6)</f>
        <v>0</v>
      </c>
      <c r="O451" s="694">
        <f t="shared" si="366"/>
        <v>0</v>
      </c>
      <c r="P451" s="694">
        <f t="shared" si="366"/>
        <v>0</v>
      </c>
      <c r="Q451" s="694">
        <f t="shared" si="366"/>
        <v>0</v>
      </c>
      <c r="R451" s="694">
        <f t="shared" si="366"/>
        <v>0</v>
      </c>
      <c r="S451" s="694">
        <f t="shared" si="366"/>
        <v>0</v>
      </c>
      <c r="T451" s="694">
        <f t="shared" si="366"/>
        <v>0</v>
      </c>
      <c r="U451" s="694">
        <f t="shared" si="366"/>
        <v>0</v>
      </c>
      <c r="V451" s="694">
        <f t="shared" si="366"/>
        <v>0</v>
      </c>
      <c r="W451" s="694">
        <f t="shared" si="366"/>
        <v>0</v>
      </c>
      <c r="X451" s="694">
        <f t="shared" si="366"/>
        <v>0</v>
      </c>
      <c r="Y451" s="694">
        <f t="shared" si="366"/>
        <v>0</v>
      </c>
      <c r="Z451" s="694">
        <f t="shared" si="366"/>
        <v>0</v>
      </c>
      <c r="AA451" s="694">
        <f t="shared" si="366"/>
        <v>0</v>
      </c>
      <c r="AB451" s="694">
        <f t="shared" si="366"/>
        <v>0</v>
      </c>
    </row>
    <row r="452" spans="1:52" x14ac:dyDescent="0.25">
      <c r="A452" s="22"/>
      <c r="B452" s="186" t="str">
        <f t="shared" si="362"/>
        <v>TFREGSL900</v>
      </c>
      <c r="C452" s="186"/>
      <c r="D452" s="186"/>
      <c r="E452" s="186"/>
      <c r="F452" s="170"/>
      <c r="G452" s="189"/>
      <c r="H452" s="170"/>
      <c r="I452" s="183">
        <f>AF$7</f>
        <v>2025</v>
      </c>
      <c r="J452" s="191"/>
      <c r="K452" s="191"/>
      <c r="L452" s="211" t="s">
        <v>1065</v>
      </c>
      <c r="M452" s="191" t="s">
        <v>748</v>
      </c>
      <c r="N452" s="694">
        <f t="shared" ref="N452:AB452" si="367">N449*LOOKUP($AD443,$AH$4:$AQ$4,$AH$7:$AQ$7)</f>
        <v>0</v>
      </c>
      <c r="O452" s="694">
        <f t="shared" si="367"/>
        <v>0</v>
      </c>
      <c r="P452" s="694">
        <f t="shared" si="367"/>
        <v>0</v>
      </c>
      <c r="Q452" s="694">
        <f t="shared" si="367"/>
        <v>0</v>
      </c>
      <c r="R452" s="694">
        <f t="shared" si="367"/>
        <v>0</v>
      </c>
      <c r="S452" s="694">
        <f t="shared" si="367"/>
        <v>0</v>
      </c>
      <c r="T452" s="694">
        <f t="shared" si="367"/>
        <v>0</v>
      </c>
      <c r="U452" s="694">
        <f t="shared" si="367"/>
        <v>0</v>
      </c>
      <c r="V452" s="694">
        <f t="shared" si="367"/>
        <v>0</v>
      </c>
      <c r="W452" s="694">
        <f t="shared" si="367"/>
        <v>0</v>
      </c>
      <c r="X452" s="694">
        <f t="shared" si="367"/>
        <v>0</v>
      </c>
      <c r="Y452" s="694">
        <f t="shared" si="367"/>
        <v>0</v>
      </c>
      <c r="Z452" s="694">
        <f t="shared" si="367"/>
        <v>0</v>
      </c>
      <c r="AA452" s="694">
        <f t="shared" si="367"/>
        <v>0</v>
      </c>
      <c r="AB452" s="694">
        <f t="shared" si="367"/>
        <v>0</v>
      </c>
    </row>
    <row r="453" spans="1:52" x14ac:dyDescent="0.25">
      <c r="A453" s="22"/>
      <c r="B453" s="186" t="str">
        <f t="shared" si="362"/>
        <v>TFREGSL900</v>
      </c>
      <c r="C453" s="186"/>
      <c r="D453" s="186"/>
      <c r="E453" s="186"/>
      <c r="F453" s="170"/>
      <c r="G453" s="189"/>
      <c r="H453" s="170"/>
      <c r="I453" s="183">
        <f>AF$8</f>
        <v>2030</v>
      </c>
      <c r="J453" s="191"/>
      <c r="K453" s="191"/>
      <c r="L453" s="211" t="s">
        <v>1065</v>
      </c>
      <c r="M453" s="191" t="s">
        <v>748</v>
      </c>
      <c r="N453" s="694">
        <f t="shared" ref="N453:AB453" si="368">N449*LOOKUP($AD443,$AH$4:$AQ$4,$AH$8:$AQ$8)</f>
        <v>0</v>
      </c>
      <c r="O453" s="694">
        <f t="shared" si="368"/>
        <v>0</v>
      </c>
      <c r="P453" s="694">
        <f t="shared" si="368"/>
        <v>0</v>
      </c>
      <c r="Q453" s="694">
        <f t="shared" si="368"/>
        <v>0</v>
      </c>
      <c r="R453" s="694">
        <f t="shared" si="368"/>
        <v>0</v>
      </c>
      <c r="S453" s="694">
        <f t="shared" si="368"/>
        <v>0</v>
      </c>
      <c r="T453" s="694">
        <f t="shared" si="368"/>
        <v>0</v>
      </c>
      <c r="U453" s="694">
        <f t="shared" si="368"/>
        <v>0</v>
      </c>
      <c r="V453" s="694">
        <f t="shared" si="368"/>
        <v>0</v>
      </c>
      <c r="W453" s="694">
        <f t="shared" si="368"/>
        <v>0</v>
      </c>
      <c r="X453" s="694">
        <f t="shared" si="368"/>
        <v>0</v>
      </c>
      <c r="Y453" s="694">
        <f t="shared" si="368"/>
        <v>0</v>
      </c>
      <c r="Z453" s="694">
        <f t="shared" si="368"/>
        <v>0</v>
      </c>
      <c r="AA453" s="694">
        <f t="shared" si="368"/>
        <v>0</v>
      </c>
      <c r="AB453" s="694">
        <f t="shared" si="368"/>
        <v>0</v>
      </c>
    </row>
    <row r="454" spans="1:52" x14ac:dyDescent="0.25">
      <c r="A454" s="22"/>
      <c r="B454" s="186" t="str">
        <f t="shared" si="362"/>
        <v>TFREGSL900</v>
      </c>
      <c r="C454" s="186"/>
      <c r="D454" s="186"/>
      <c r="E454" s="186"/>
      <c r="F454" s="170"/>
      <c r="G454" s="189"/>
      <c r="H454" s="170"/>
      <c r="I454" s="183">
        <f>AF$9</f>
        <v>2040</v>
      </c>
      <c r="J454" s="191"/>
      <c r="K454" s="191"/>
      <c r="L454" s="211" t="s">
        <v>1065</v>
      </c>
      <c r="M454" s="191" t="s">
        <v>748</v>
      </c>
      <c r="N454" s="694">
        <f t="shared" ref="N454:AB454" si="369">N449*LOOKUP($AD443,$AH$4:$AQ$4,$AH$9:$AQ$9)</f>
        <v>0</v>
      </c>
      <c r="O454" s="694">
        <f t="shared" si="369"/>
        <v>0</v>
      </c>
      <c r="P454" s="694">
        <f t="shared" si="369"/>
        <v>0</v>
      </c>
      <c r="Q454" s="694">
        <f t="shared" si="369"/>
        <v>0</v>
      </c>
      <c r="R454" s="694">
        <f t="shared" si="369"/>
        <v>0</v>
      </c>
      <c r="S454" s="694">
        <f t="shared" si="369"/>
        <v>0</v>
      </c>
      <c r="T454" s="694">
        <f t="shared" si="369"/>
        <v>0</v>
      </c>
      <c r="U454" s="694">
        <f t="shared" si="369"/>
        <v>0</v>
      </c>
      <c r="V454" s="694">
        <f t="shared" si="369"/>
        <v>0</v>
      </c>
      <c r="W454" s="694">
        <f t="shared" si="369"/>
        <v>0</v>
      </c>
      <c r="X454" s="694">
        <f t="shared" si="369"/>
        <v>0</v>
      </c>
      <c r="Y454" s="694">
        <f t="shared" si="369"/>
        <v>0</v>
      </c>
      <c r="Z454" s="694">
        <f t="shared" si="369"/>
        <v>0</v>
      </c>
      <c r="AA454" s="694">
        <f t="shared" si="369"/>
        <v>0</v>
      </c>
      <c r="AB454" s="694">
        <f t="shared" si="369"/>
        <v>0</v>
      </c>
    </row>
    <row r="455" spans="1:52" x14ac:dyDescent="0.25">
      <c r="A455" s="22"/>
      <c r="B455" s="193" t="str">
        <f t="shared" si="362"/>
        <v>TFREGSL900</v>
      </c>
      <c r="C455" s="193"/>
      <c r="D455" s="193"/>
      <c r="E455" s="193"/>
      <c r="F455" s="196"/>
      <c r="G455" s="195"/>
      <c r="H455" s="196"/>
      <c r="I455" s="208">
        <f>AF$10</f>
        <v>2050</v>
      </c>
      <c r="J455" s="198"/>
      <c r="K455" s="198"/>
      <c r="L455" s="212" t="s">
        <v>1065</v>
      </c>
      <c r="M455" s="198" t="s">
        <v>748</v>
      </c>
      <c r="N455" s="695">
        <f t="shared" ref="N455:AB455" si="370">N449*LOOKUP($AD443,$AH$4:$AQ$4,$AH$10:$AQ$10)</f>
        <v>0</v>
      </c>
      <c r="O455" s="695">
        <f t="shared" si="370"/>
        <v>0</v>
      </c>
      <c r="P455" s="695">
        <f t="shared" si="370"/>
        <v>0</v>
      </c>
      <c r="Q455" s="695">
        <f t="shared" si="370"/>
        <v>0</v>
      </c>
      <c r="R455" s="695">
        <f t="shared" si="370"/>
        <v>0</v>
      </c>
      <c r="S455" s="695">
        <f t="shared" si="370"/>
        <v>0</v>
      </c>
      <c r="T455" s="695">
        <f t="shared" si="370"/>
        <v>0</v>
      </c>
      <c r="U455" s="695">
        <f t="shared" si="370"/>
        <v>0</v>
      </c>
      <c r="V455" s="695">
        <f t="shared" si="370"/>
        <v>0</v>
      </c>
      <c r="W455" s="695">
        <f t="shared" si="370"/>
        <v>0</v>
      </c>
      <c r="X455" s="695">
        <f t="shared" si="370"/>
        <v>0</v>
      </c>
      <c r="Y455" s="695">
        <f t="shared" si="370"/>
        <v>0</v>
      </c>
      <c r="Z455" s="695">
        <f t="shared" si="370"/>
        <v>0</v>
      </c>
      <c r="AA455" s="695">
        <f t="shared" si="370"/>
        <v>0</v>
      </c>
      <c r="AB455" s="695">
        <f t="shared" si="370"/>
        <v>0</v>
      </c>
    </row>
    <row r="456" spans="1:52" x14ac:dyDescent="0.25">
      <c r="A456" s="82"/>
      <c r="B456" s="178" t="str">
        <f>C456</f>
        <v>TFREHYD900</v>
      </c>
      <c r="C456" s="178" t="s">
        <v>157</v>
      </c>
      <c r="D456" s="179" t="s">
        <v>861</v>
      </c>
      <c r="E456" s="180" t="s">
        <v>185</v>
      </c>
      <c r="F456" s="182"/>
      <c r="G456" s="181"/>
      <c r="H456" s="182"/>
      <c r="I456" s="183"/>
      <c r="J456" s="184"/>
      <c r="K456" s="184"/>
      <c r="L456" s="203" t="s">
        <v>1107</v>
      </c>
      <c r="M456" s="184" t="s">
        <v>1125</v>
      </c>
      <c r="N456" s="378">
        <v>1E-3</v>
      </c>
      <c r="O456" s="378">
        <f t="shared" ref="O456:AB456" si="371">$N456</f>
        <v>1E-3</v>
      </c>
      <c r="P456" s="378">
        <f t="shared" si="371"/>
        <v>1E-3</v>
      </c>
      <c r="Q456" s="378">
        <f t="shared" si="371"/>
        <v>1E-3</v>
      </c>
      <c r="R456" s="378">
        <f t="shared" si="371"/>
        <v>1E-3</v>
      </c>
      <c r="S456" s="378">
        <f t="shared" si="371"/>
        <v>1E-3</v>
      </c>
      <c r="T456" s="378">
        <f t="shared" si="371"/>
        <v>1E-3</v>
      </c>
      <c r="U456" s="378">
        <f t="shared" si="371"/>
        <v>1E-3</v>
      </c>
      <c r="V456" s="378">
        <f t="shared" si="371"/>
        <v>1E-3</v>
      </c>
      <c r="W456" s="378">
        <f t="shared" si="371"/>
        <v>1E-3</v>
      </c>
      <c r="X456" s="378">
        <f t="shared" si="371"/>
        <v>1E-3</v>
      </c>
      <c r="Y456" s="378">
        <f t="shared" si="371"/>
        <v>1E-3</v>
      </c>
      <c r="Z456" s="378">
        <f t="shared" si="371"/>
        <v>1E-3</v>
      </c>
      <c r="AA456" s="378">
        <f t="shared" si="371"/>
        <v>1E-3</v>
      </c>
      <c r="AB456" s="378">
        <f t="shared" si="371"/>
        <v>1E-3</v>
      </c>
      <c r="AC456" s="83"/>
      <c r="AD456" s="402" t="str">
        <f>MID(D456,13,3)</f>
        <v>Hyb</v>
      </c>
      <c r="AU456" s="83"/>
      <c r="AV456" s="83"/>
      <c r="AW456" s="83"/>
      <c r="AX456" s="83"/>
      <c r="AY456" s="83"/>
      <c r="AZ456" s="83"/>
    </row>
    <row r="457" spans="1:52" s="83" customFormat="1" x14ac:dyDescent="0.25">
      <c r="A457" s="22"/>
      <c r="B457" s="186" t="str">
        <f>B456</f>
        <v>TFREHYD900</v>
      </c>
      <c r="C457" s="186"/>
      <c r="D457" s="187"/>
      <c r="E457" s="258" t="s">
        <v>988</v>
      </c>
      <c r="F457" s="170"/>
      <c r="G457" s="189"/>
      <c r="H457" s="170"/>
      <c r="I457" s="190"/>
      <c r="J457" s="191" t="s">
        <v>1223</v>
      </c>
      <c r="K457" s="191"/>
      <c r="L457" s="211" t="s">
        <v>101</v>
      </c>
      <c r="M457" s="191"/>
      <c r="N457" s="377">
        <f>N$28</f>
        <v>0.15</v>
      </c>
      <c r="O457" s="377">
        <f t="shared" ref="O457:AB457" si="372">O$28</f>
        <v>0.15</v>
      </c>
      <c r="P457" s="377">
        <f t="shared" si="372"/>
        <v>0.15</v>
      </c>
      <c r="Q457" s="377">
        <f t="shared" si="372"/>
        <v>0.15</v>
      </c>
      <c r="R457" s="377">
        <f t="shared" si="372"/>
        <v>0.15</v>
      </c>
      <c r="S457" s="377">
        <f t="shared" si="372"/>
        <v>0.15</v>
      </c>
      <c r="T457" s="377">
        <f t="shared" si="372"/>
        <v>0.15</v>
      </c>
      <c r="U457" s="377">
        <f t="shared" si="372"/>
        <v>0.15</v>
      </c>
      <c r="V457" s="377">
        <f t="shared" si="372"/>
        <v>0.15</v>
      </c>
      <c r="W457" s="377">
        <f t="shared" si="372"/>
        <v>0.15</v>
      </c>
      <c r="X457" s="377">
        <f t="shared" si="372"/>
        <v>0.15</v>
      </c>
      <c r="Y457" s="377">
        <f t="shared" si="372"/>
        <v>0.15</v>
      </c>
      <c r="Z457" s="377">
        <f t="shared" si="372"/>
        <v>0.15</v>
      </c>
      <c r="AA457" s="377">
        <f t="shared" si="372"/>
        <v>0.15</v>
      </c>
      <c r="AB457" s="377">
        <f t="shared" si="372"/>
        <v>0.15</v>
      </c>
      <c r="AC457" s="35"/>
      <c r="AD457" s="66" t="str">
        <f>IF(COUNTIF($AH$4:$AQ$4,AD456)=1,"ok","MISSING")</f>
        <v>ok</v>
      </c>
      <c r="AF457" s="89"/>
      <c r="AU457" s="35"/>
      <c r="AV457" s="35"/>
      <c r="AW457" s="35"/>
      <c r="AX457" s="35"/>
      <c r="AY457" s="35"/>
      <c r="AZ457" s="35"/>
    </row>
    <row r="458" spans="1:52" x14ac:dyDescent="0.25">
      <c r="B458" s="186" t="str">
        <f>B457</f>
        <v>TFREHYD900</v>
      </c>
      <c r="C458" s="186"/>
      <c r="D458" s="187"/>
      <c r="E458" s="186"/>
      <c r="F458" s="170"/>
      <c r="G458" s="173" t="s">
        <v>649</v>
      </c>
      <c r="H458" s="170"/>
      <c r="I458" s="190"/>
      <c r="J458" s="191"/>
      <c r="K458" s="191"/>
      <c r="L458" s="191" t="s">
        <v>1126</v>
      </c>
      <c r="M458" s="191" t="s">
        <v>678</v>
      </c>
      <c r="N458" s="377">
        <f>T_CEFF!H220</f>
        <v>7.485E-2</v>
      </c>
      <c r="O458" s="377">
        <f>T_CEFF!I220</f>
        <v>7.485E-2</v>
      </c>
      <c r="P458" s="377">
        <f>T_CEFF!J220</f>
        <v>7.485E-2</v>
      </c>
      <c r="Q458" s="377">
        <f>T_CEFF!K220</f>
        <v>7.485E-2</v>
      </c>
      <c r="R458" s="377">
        <f>T_CEFF!L220</f>
        <v>7.485E-2</v>
      </c>
      <c r="S458" s="377">
        <f>T_CEFF!M220</f>
        <v>7.485E-2</v>
      </c>
      <c r="T458" s="377">
        <f>T_CEFF!N220</f>
        <v>7.485E-2</v>
      </c>
      <c r="U458" s="377">
        <f>T_CEFF!O220</f>
        <v>7.485E-2</v>
      </c>
      <c r="V458" s="377">
        <f>T_CEFF!P220</f>
        <v>7.485E-2</v>
      </c>
      <c r="W458" s="377">
        <f>T_CEFF!Q220</f>
        <v>7.485E-2</v>
      </c>
      <c r="X458" s="377">
        <f>T_CEFF!R220</f>
        <v>7.485E-2</v>
      </c>
      <c r="Y458" s="377">
        <f>T_CEFF!S220</f>
        <v>7.485E-2</v>
      </c>
      <c r="Z458" s="377">
        <f>T_CEFF!T220</f>
        <v>7.485E-2</v>
      </c>
      <c r="AA458" s="377">
        <f>T_CEFF!U220</f>
        <v>7.485E-2</v>
      </c>
      <c r="AB458" s="377">
        <f>T_CEFF!V220</f>
        <v>7.485E-2</v>
      </c>
    </row>
    <row r="459" spans="1:52" x14ac:dyDescent="0.25">
      <c r="B459" s="186" t="str">
        <f t="shared" ref="B459:B468" si="373">B458</f>
        <v>TFREHYD900</v>
      </c>
      <c r="C459" s="186"/>
      <c r="D459" s="187"/>
      <c r="E459" s="186"/>
      <c r="F459" s="170"/>
      <c r="G459" s="173" t="s">
        <v>652</v>
      </c>
      <c r="H459" s="170"/>
      <c r="I459" s="190"/>
      <c r="J459" s="191"/>
      <c r="K459" s="191"/>
      <c r="L459" s="191" t="s">
        <v>1126</v>
      </c>
      <c r="M459" s="191" t="s">
        <v>678</v>
      </c>
      <c r="N459" s="377">
        <f>T_CEFF!H221</f>
        <v>5.9880000000000003E-2</v>
      </c>
      <c r="O459" s="377">
        <f>T_CEFF!I221</f>
        <v>5.9880000000000003E-2</v>
      </c>
      <c r="P459" s="377">
        <f>T_CEFF!J221</f>
        <v>5.9880000000000003E-2</v>
      </c>
      <c r="Q459" s="377">
        <f>T_CEFF!K221</f>
        <v>5.9880000000000003E-2</v>
      </c>
      <c r="R459" s="377">
        <f>T_CEFF!L221</f>
        <v>5.9880000000000003E-2</v>
      </c>
      <c r="S459" s="377">
        <f>T_CEFF!M221</f>
        <v>5.9880000000000003E-2</v>
      </c>
      <c r="T459" s="377">
        <f>T_CEFF!N221</f>
        <v>5.9880000000000003E-2</v>
      </c>
      <c r="U459" s="377">
        <f>T_CEFF!O221</f>
        <v>5.9880000000000003E-2</v>
      </c>
      <c r="V459" s="377">
        <f>T_CEFF!P221</f>
        <v>5.9880000000000003E-2</v>
      </c>
      <c r="W459" s="377">
        <f>T_CEFF!Q221</f>
        <v>5.9880000000000003E-2</v>
      </c>
      <c r="X459" s="377">
        <f>T_CEFF!R221</f>
        <v>5.9880000000000003E-2</v>
      </c>
      <c r="Y459" s="377">
        <f>T_CEFF!S221</f>
        <v>5.9880000000000003E-2</v>
      </c>
      <c r="Z459" s="377">
        <f>T_CEFF!T221</f>
        <v>5.9880000000000003E-2</v>
      </c>
      <c r="AA459" s="377">
        <f>T_CEFF!U221</f>
        <v>5.9880000000000003E-2</v>
      </c>
      <c r="AB459" s="377">
        <f>T_CEFF!V221</f>
        <v>5.9880000000000003E-2</v>
      </c>
    </row>
    <row r="460" spans="1:52" x14ac:dyDescent="0.25">
      <c r="B460" s="186" t="str">
        <f t="shared" si="373"/>
        <v>TFREHYD900</v>
      </c>
      <c r="C460" s="186"/>
      <c r="D460" s="187"/>
      <c r="E460" s="186"/>
      <c r="F460" s="170"/>
      <c r="G460" s="189"/>
      <c r="H460" s="170"/>
      <c r="I460" s="190"/>
      <c r="J460" s="191"/>
      <c r="K460" s="191" t="s">
        <v>749</v>
      </c>
      <c r="L460" s="191" t="s">
        <v>1128</v>
      </c>
      <c r="M460" s="191" t="s">
        <v>1175</v>
      </c>
      <c r="N460" s="368">
        <f t="shared" ref="N460:AB460" si="374">N$25</f>
        <v>0</v>
      </c>
      <c r="O460" s="368">
        <f t="shared" si="374"/>
        <v>0</v>
      </c>
      <c r="P460" s="368">
        <f t="shared" si="374"/>
        <v>0</v>
      </c>
      <c r="Q460" s="368">
        <f t="shared" si="374"/>
        <v>0</v>
      </c>
      <c r="R460" s="368">
        <f t="shared" si="374"/>
        <v>0</v>
      </c>
      <c r="S460" s="368">
        <f t="shared" si="374"/>
        <v>0</v>
      </c>
      <c r="T460" s="368">
        <f t="shared" si="374"/>
        <v>0</v>
      </c>
      <c r="U460" s="368">
        <f t="shared" si="374"/>
        <v>0</v>
      </c>
      <c r="V460" s="368">
        <f t="shared" si="374"/>
        <v>0</v>
      </c>
      <c r="W460" s="368">
        <f t="shared" si="374"/>
        <v>0</v>
      </c>
      <c r="X460" s="368">
        <f t="shared" si="374"/>
        <v>0</v>
      </c>
      <c r="Y460" s="368">
        <f t="shared" si="374"/>
        <v>0</v>
      </c>
      <c r="Z460" s="368">
        <f t="shared" si="374"/>
        <v>0</v>
      </c>
      <c r="AA460" s="368">
        <f t="shared" si="374"/>
        <v>0</v>
      </c>
      <c r="AB460" s="368">
        <f t="shared" si="374"/>
        <v>0</v>
      </c>
    </row>
    <row r="461" spans="1:52" x14ac:dyDescent="0.25">
      <c r="B461" s="186" t="str">
        <f t="shared" si="373"/>
        <v>TFREHYD900</v>
      </c>
      <c r="C461" s="186"/>
      <c r="D461" s="187"/>
      <c r="E461" s="186"/>
      <c r="F461" s="170"/>
      <c r="G461" s="189"/>
      <c r="H461" s="170"/>
      <c r="I461" s="190"/>
      <c r="J461" s="191"/>
      <c r="K461" s="191"/>
      <c r="L461" s="211" t="s">
        <v>1130</v>
      </c>
      <c r="M461" s="191" t="s">
        <v>1131</v>
      </c>
      <c r="N461" s="369">
        <f>LOOKUP($C$456, T_NCAP_AF!$C$185:$C$195, T_NCAP_AF!D$185:D$195)*(1+N375)</f>
        <v>22.84</v>
      </c>
      <c r="O461" s="369">
        <f>LOOKUP($C$456, T_NCAP_AF!$C$185:$C$195, T_NCAP_AF!E$185:E$195)*(1+O375)</f>
        <v>0</v>
      </c>
      <c r="P461" s="369">
        <f>LOOKUP($C$456, T_NCAP_AF!$C$185:$C$195, T_NCAP_AF!F$185:F$195)*(1+P375)</f>
        <v>0</v>
      </c>
      <c r="Q461" s="369">
        <f>LOOKUP($C$456, T_NCAP_AF!$C$185:$C$195, T_NCAP_AF!G$185:G$195)*(1+Q375)</f>
        <v>0</v>
      </c>
      <c r="R461" s="369">
        <f>LOOKUP($C$456, T_NCAP_AF!$C$185:$C$195, T_NCAP_AF!H$185:H$195)*(1+R375)</f>
        <v>0</v>
      </c>
      <c r="S461" s="369">
        <f>LOOKUP($C$456, T_NCAP_AF!$C$185:$C$195, T_NCAP_AF!I$185:I$195)*(1+S375)</f>
        <v>0</v>
      </c>
      <c r="T461" s="369">
        <f>LOOKUP($C$456, T_NCAP_AF!$C$185:$C$195, T_NCAP_AF!J$185:J$195)*(1+T375)</f>
        <v>0</v>
      </c>
      <c r="U461" s="369">
        <f>LOOKUP($C$456, T_NCAP_AF!$C$185:$C$195, T_NCAP_AF!K$185:K$195)*(1+U375)</f>
        <v>0</v>
      </c>
      <c r="V461" s="369">
        <f>LOOKUP($C$456, T_NCAP_AF!$C$185:$C$195, T_NCAP_AF!L$185:L$195)*(1+V375)</f>
        <v>0</v>
      </c>
      <c r="W461" s="369">
        <f>LOOKUP($C$456, T_NCAP_AF!$C$185:$C$195, T_NCAP_AF!M$185:M$195)*(1+W375)</f>
        <v>0</v>
      </c>
      <c r="X461" s="369">
        <f>LOOKUP($C$456, T_NCAP_AF!$C$185:$C$195, T_NCAP_AF!N$185:N$195)*(1+X375)</f>
        <v>0</v>
      </c>
      <c r="Y461" s="369">
        <f>LOOKUP($C$456, T_NCAP_AF!$C$185:$C$195, T_NCAP_AF!O$185:O$195)*(1+Y375)</f>
        <v>0</v>
      </c>
      <c r="Z461" s="369">
        <f>LOOKUP($C$456, T_NCAP_AF!$C$185:$C$195, T_NCAP_AF!P$185:P$195)*(1+Z375)</f>
        <v>0</v>
      </c>
      <c r="AA461" s="369">
        <f>LOOKUP($C$456, T_NCAP_AF!$C$185:$C$195, T_NCAP_AF!Q$185:Q$195)*(1+AA375)</f>
        <v>0</v>
      </c>
      <c r="AB461" s="369">
        <f>LOOKUP($C$456, T_NCAP_AF!$C$185:$C$195, T_NCAP_AF!R$185:R$195)*(1+AB375)</f>
        <v>0</v>
      </c>
      <c r="AE461" s="572">
        <f>SUM(AF461:AT461)</f>
        <v>0</v>
      </c>
      <c r="AF461" s="85">
        <f t="shared" ref="AF461:AT461" si="375">N460*N461*N462/1000</f>
        <v>0</v>
      </c>
      <c r="AG461" s="85">
        <f t="shared" si="375"/>
        <v>0</v>
      </c>
      <c r="AH461" s="85">
        <f t="shared" si="375"/>
        <v>0</v>
      </c>
      <c r="AI461" s="85">
        <f t="shared" si="375"/>
        <v>0</v>
      </c>
      <c r="AJ461" s="85">
        <f t="shared" si="375"/>
        <v>0</v>
      </c>
      <c r="AK461" s="85">
        <f t="shared" si="375"/>
        <v>0</v>
      </c>
      <c r="AL461" s="85">
        <f t="shared" si="375"/>
        <v>0</v>
      </c>
      <c r="AM461" s="85">
        <f t="shared" si="375"/>
        <v>0</v>
      </c>
      <c r="AN461" s="85">
        <f t="shared" si="375"/>
        <v>0</v>
      </c>
      <c r="AO461" s="85">
        <f t="shared" si="375"/>
        <v>0</v>
      </c>
      <c r="AP461" s="85">
        <f t="shared" si="375"/>
        <v>0</v>
      </c>
      <c r="AQ461" s="85">
        <f t="shared" si="375"/>
        <v>0</v>
      </c>
      <c r="AR461" s="85">
        <f t="shared" si="375"/>
        <v>0</v>
      </c>
      <c r="AS461" s="85">
        <f t="shared" si="375"/>
        <v>0</v>
      </c>
      <c r="AT461" s="85">
        <f t="shared" si="375"/>
        <v>0</v>
      </c>
    </row>
    <row r="462" spans="1:52" x14ac:dyDescent="0.25">
      <c r="B462" s="186" t="str">
        <f t="shared" si="373"/>
        <v>TFREHYD900</v>
      </c>
      <c r="C462" s="186"/>
      <c r="D462" s="187"/>
      <c r="E462" s="186"/>
      <c r="F462" s="170"/>
      <c r="G462" s="189"/>
      <c r="H462" s="170"/>
      <c r="I462" s="190">
        <f>$M$3</f>
        <v>2019</v>
      </c>
      <c r="J462" s="191"/>
      <c r="K462" s="191"/>
      <c r="L462" s="211" t="s">
        <v>1065</v>
      </c>
      <c r="M462" s="191" t="s">
        <v>748</v>
      </c>
      <c r="N462" s="694">
        <f>LOOKUP($C$456, 'T_Stock_TOTAL_&amp;_City'!$C$122:$C$133,'T_Stock_TOTAL_&amp;_City'!D$122:D$133)*(1+N$376)</f>
        <v>0</v>
      </c>
      <c r="O462" s="694">
        <f>LOOKUP($C$456, 'T_Stock_TOTAL_&amp;_City'!$C$122:$C$133,'T_Stock_TOTAL_&amp;_City'!E$122:E$133)*(1+O$376)</f>
        <v>0</v>
      </c>
      <c r="P462" s="694">
        <f>LOOKUP($C$456, 'T_Stock_TOTAL_&amp;_City'!$C$122:$C$133,'T_Stock_TOTAL_&amp;_City'!F$122:F$133)*(1+P$376)</f>
        <v>0</v>
      </c>
      <c r="Q462" s="694">
        <f>LOOKUP($C$456, 'T_Stock_TOTAL_&amp;_City'!$C$122:$C$133,'T_Stock_TOTAL_&amp;_City'!G$122:G$133)*(1+Q$376)</f>
        <v>0</v>
      </c>
      <c r="R462" s="694">
        <f>LOOKUP($C$456, 'T_Stock_TOTAL_&amp;_City'!$C$122:$C$133,'T_Stock_TOTAL_&amp;_City'!H$122:H$133)*(1+R$376)</f>
        <v>0</v>
      </c>
      <c r="S462" s="694">
        <f>LOOKUP($C$456, 'T_Stock_TOTAL_&amp;_City'!$C$122:$C$133,'T_Stock_TOTAL_&amp;_City'!I$122:I$133)*(1+S$376)</f>
        <v>0</v>
      </c>
      <c r="T462" s="694">
        <f>LOOKUP($C$456, 'T_Stock_TOTAL_&amp;_City'!$C$122:$C$133,'T_Stock_TOTAL_&amp;_City'!J$122:J$133)*(1+T$376)</f>
        <v>0</v>
      </c>
      <c r="U462" s="694">
        <f>LOOKUP($C$456, 'T_Stock_TOTAL_&amp;_City'!$C$122:$C$133,'T_Stock_TOTAL_&amp;_City'!K$122:K$133)*(1+U$376)</f>
        <v>0</v>
      </c>
      <c r="V462" s="694">
        <f>LOOKUP($C$456, 'T_Stock_TOTAL_&amp;_City'!$C$122:$C$133,'T_Stock_TOTAL_&amp;_City'!L$122:L$133)*(1+V$376)</f>
        <v>0</v>
      </c>
      <c r="W462" s="694">
        <f>LOOKUP($C$456, 'T_Stock_TOTAL_&amp;_City'!$C$122:$C$133,'T_Stock_TOTAL_&amp;_City'!M$122:M$133)*(1+W$376)</f>
        <v>0</v>
      </c>
      <c r="X462" s="694">
        <f>LOOKUP($C$456, 'T_Stock_TOTAL_&amp;_City'!$C$122:$C$133,'T_Stock_TOTAL_&amp;_City'!N$122:N$133)*(1+X$376)</f>
        <v>0</v>
      </c>
      <c r="Y462" s="694">
        <f>LOOKUP($C$456, 'T_Stock_TOTAL_&amp;_City'!$C$122:$C$133,'T_Stock_TOTAL_&amp;_City'!O$122:O$133)*(1+Y$376)</f>
        <v>0</v>
      </c>
      <c r="Z462" s="694">
        <f>LOOKUP($C$456, 'T_Stock_TOTAL_&amp;_City'!$C$122:$C$133,'T_Stock_TOTAL_&amp;_City'!P$122:P$133)*(1+Z$376)</f>
        <v>0</v>
      </c>
      <c r="AA462" s="694">
        <f>LOOKUP($C$456, 'T_Stock_TOTAL_&amp;_City'!$C$122:$C$133,'T_Stock_TOTAL_&amp;_City'!Q$122:Q$133)*(1+AA$376)</f>
        <v>0</v>
      </c>
      <c r="AB462" s="694">
        <f>LOOKUP($C$456, 'T_Stock_TOTAL_&amp;_City'!$C$122:$C$133,'T_Stock_TOTAL_&amp;_City'!R$122:R$133)*(1+AB$376)</f>
        <v>0</v>
      </c>
    </row>
    <row r="463" spans="1:52" x14ac:dyDescent="0.25">
      <c r="B463" s="186" t="str">
        <f t="shared" si="373"/>
        <v>TFREHYD900</v>
      </c>
      <c r="C463" s="186"/>
      <c r="D463" s="187"/>
      <c r="E463" s="186"/>
      <c r="F463" s="170"/>
      <c r="G463" s="189"/>
      <c r="H463" s="170"/>
      <c r="I463" s="183">
        <f>AF$5</f>
        <v>2016</v>
      </c>
      <c r="J463" s="191"/>
      <c r="K463" s="191"/>
      <c r="L463" s="211" t="s">
        <v>1065</v>
      </c>
      <c r="M463" s="191" t="s">
        <v>748</v>
      </c>
      <c r="N463" s="694">
        <f t="shared" ref="N463:AB463" si="376">N462*LOOKUP($AD456,$AH$4:$AQ$4,$AH$5:$AQ$5)</f>
        <v>0</v>
      </c>
      <c r="O463" s="694">
        <f t="shared" si="376"/>
        <v>0</v>
      </c>
      <c r="P463" s="694">
        <f t="shared" si="376"/>
        <v>0</v>
      </c>
      <c r="Q463" s="694">
        <f t="shared" si="376"/>
        <v>0</v>
      </c>
      <c r="R463" s="694">
        <f t="shared" si="376"/>
        <v>0</v>
      </c>
      <c r="S463" s="694">
        <f t="shared" si="376"/>
        <v>0</v>
      </c>
      <c r="T463" s="694">
        <f t="shared" si="376"/>
        <v>0</v>
      </c>
      <c r="U463" s="694">
        <f t="shared" si="376"/>
        <v>0</v>
      </c>
      <c r="V463" s="694">
        <f t="shared" si="376"/>
        <v>0</v>
      </c>
      <c r="W463" s="694">
        <f t="shared" si="376"/>
        <v>0</v>
      </c>
      <c r="X463" s="694">
        <f t="shared" si="376"/>
        <v>0</v>
      </c>
      <c r="Y463" s="694">
        <f t="shared" si="376"/>
        <v>0</v>
      </c>
      <c r="Z463" s="694">
        <f t="shared" si="376"/>
        <v>0</v>
      </c>
      <c r="AA463" s="694">
        <f t="shared" si="376"/>
        <v>0</v>
      </c>
      <c r="AB463" s="694">
        <f t="shared" si="376"/>
        <v>0</v>
      </c>
    </row>
    <row r="464" spans="1:52" x14ac:dyDescent="0.25">
      <c r="B464" s="186" t="str">
        <f t="shared" si="373"/>
        <v>TFREHYD900</v>
      </c>
      <c r="C464" s="186"/>
      <c r="D464" s="187"/>
      <c r="E464" s="186"/>
      <c r="F464" s="170"/>
      <c r="G464" s="189"/>
      <c r="H464" s="170"/>
      <c r="I464" s="183">
        <f>AF$6</f>
        <v>2020</v>
      </c>
      <c r="J464" s="191"/>
      <c r="K464" s="191"/>
      <c r="L464" s="211" t="s">
        <v>1065</v>
      </c>
      <c r="M464" s="191" t="s">
        <v>748</v>
      </c>
      <c r="N464" s="694">
        <f t="shared" ref="N464:AB464" si="377">N462*LOOKUP($AD456,$AH$4:$AQ$4,$AH$6:$AQ$6)</f>
        <v>0</v>
      </c>
      <c r="O464" s="694">
        <f t="shared" si="377"/>
        <v>0</v>
      </c>
      <c r="P464" s="694">
        <f t="shared" si="377"/>
        <v>0</v>
      </c>
      <c r="Q464" s="694">
        <f t="shared" si="377"/>
        <v>0</v>
      </c>
      <c r="R464" s="694">
        <f t="shared" si="377"/>
        <v>0</v>
      </c>
      <c r="S464" s="694">
        <f t="shared" si="377"/>
        <v>0</v>
      </c>
      <c r="T464" s="694">
        <f t="shared" si="377"/>
        <v>0</v>
      </c>
      <c r="U464" s="694">
        <f t="shared" si="377"/>
        <v>0</v>
      </c>
      <c r="V464" s="694">
        <f t="shared" si="377"/>
        <v>0</v>
      </c>
      <c r="W464" s="694">
        <f t="shared" si="377"/>
        <v>0</v>
      </c>
      <c r="X464" s="694">
        <f t="shared" si="377"/>
        <v>0</v>
      </c>
      <c r="Y464" s="694">
        <f t="shared" si="377"/>
        <v>0</v>
      </c>
      <c r="Z464" s="694">
        <f t="shared" si="377"/>
        <v>0</v>
      </c>
      <c r="AA464" s="694">
        <f t="shared" si="377"/>
        <v>0</v>
      </c>
      <c r="AB464" s="694">
        <f t="shared" si="377"/>
        <v>0</v>
      </c>
    </row>
    <row r="465" spans="1:52" x14ac:dyDescent="0.25">
      <c r="B465" s="186" t="str">
        <f t="shared" si="373"/>
        <v>TFREHYD900</v>
      </c>
      <c r="C465" s="186"/>
      <c r="D465" s="187"/>
      <c r="E465" s="186"/>
      <c r="F465" s="170"/>
      <c r="G465" s="189"/>
      <c r="H465" s="170"/>
      <c r="I465" s="183">
        <f>AF$7</f>
        <v>2025</v>
      </c>
      <c r="J465" s="191"/>
      <c r="K465" s="191"/>
      <c r="L465" s="211" t="s">
        <v>1065</v>
      </c>
      <c r="M465" s="191" t="s">
        <v>748</v>
      </c>
      <c r="N465" s="694">
        <f t="shared" ref="N465:AB465" si="378">N462*LOOKUP($AD456,$AH$4:$AQ$4,$AH$7:$AQ$7)</f>
        <v>0</v>
      </c>
      <c r="O465" s="694">
        <f t="shared" si="378"/>
        <v>0</v>
      </c>
      <c r="P465" s="694">
        <f t="shared" si="378"/>
        <v>0</v>
      </c>
      <c r="Q465" s="694">
        <f t="shared" si="378"/>
        <v>0</v>
      </c>
      <c r="R465" s="694">
        <f t="shared" si="378"/>
        <v>0</v>
      </c>
      <c r="S465" s="694">
        <f t="shared" si="378"/>
        <v>0</v>
      </c>
      <c r="T465" s="694">
        <f t="shared" si="378"/>
        <v>0</v>
      </c>
      <c r="U465" s="694">
        <f t="shared" si="378"/>
        <v>0</v>
      </c>
      <c r="V465" s="694">
        <f t="shared" si="378"/>
        <v>0</v>
      </c>
      <c r="W465" s="694">
        <f t="shared" si="378"/>
        <v>0</v>
      </c>
      <c r="X465" s="694">
        <f t="shared" si="378"/>
        <v>0</v>
      </c>
      <c r="Y465" s="694">
        <f t="shared" si="378"/>
        <v>0</v>
      </c>
      <c r="Z465" s="694">
        <f t="shared" si="378"/>
        <v>0</v>
      </c>
      <c r="AA465" s="694">
        <f t="shared" si="378"/>
        <v>0</v>
      </c>
      <c r="AB465" s="694">
        <f t="shared" si="378"/>
        <v>0</v>
      </c>
    </row>
    <row r="466" spans="1:52" x14ac:dyDescent="0.25">
      <c r="B466" s="186" t="str">
        <f t="shared" si="373"/>
        <v>TFREHYD900</v>
      </c>
      <c r="C466" s="186"/>
      <c r="D466" s="187"/>
      <c r="E466" s="186"/>
      <c r="F466" s="170"/>
      <c r="G466" s="189"/>
      <c r="H466" s="170"/>
      <c r="I466" s="183">
        <f>AF$8</f>
        <v>2030</v>
      </c>
      <c r="J466" s="191"/>
      <c r="K466" s="191"/>
      <c r="L466" s="211" t="s">
        <v>1065</v>
      </c>
      <c r="M466" s="191" t="s">
        <v>748</v>
      </c>
      <c r="N466" s="694">
        <f t="shared" ref="N466:AB466" si="379">N462*LOOKUP($AD456,$AH$4:$AQ$4,$AH$8:$AQ$8)</f>
        <v>0</v>
      </c>
      <c r="O466" s="694">
        <f t="shared" si="379"/>
        <v>0</v>
      </c>
      <c r="P466" s="694">
        <f t="shared" si="379"/>
        <v>0</v>
      </c>
      <c r="Q466" s="694">
        <f t="shared" si="379"/>
        <v>0</v>
      </c>
      <c r="R466" s="694">
        <f t="shared" si="379"/>
        <v>0</v>
      </c>
      <c r="S466" s="694">
        <f t="shared" si="379"/>
        <v>0</v>
      </c>
      <c r="T466" s="694">
        <f t="shared" si="379"/>
        <v>0</v>
      </c>
      <c r="U466" s="694">
        <f t="shared" si="379"/>
        <v>0</v>
      </c>
      <c r="V466" s="694">
        <f t="shared" si="379"/>
        <v>0</v>
      </c>
      <c r="W466" s="694">
        <f t="shared" si="379"/>
        <v>0</v>
      </c>
      <c r="X466" s="694">
        <f t="shared" si="379"/>
        <v>0</v>
      </c>
      <c r="Y466" s="694">
        <f t="shared" si="379"/>
        <v>0</v>
      </c>
      <c r="Z466" s="694">
        <f t="shared" si="379"/>
        <v>0</v>
      </c>
      <c r="AA466" s="694">
        <f t="shared" si="379"/>
        <v>0</v>
      </c>
      <c r="AB466" s="694">
        <f t="shared" si="379"/>
        <v>0</v>
      </c>
    </row>
    <row r="467" spans="1:52" x14ac:dyDescent="0.25">
      <c r="B467" s="186" t="str">
        <f t="shared" si="373"/>
        <v>TFREHYD900</v>
      </c>
      <c r="C467" s="186"/>
      <c r="D467" s="187"/>
      <c r="E467" s="186"/>
      <c r="F467" s="170"/>
      <c r="G467" s="189"/>
      <c r="H467" s="170"/>
      <c r="I467" s="183">
        <f>AF$9</f>
        <v>2040</v>
      </c>
      <c r="J467" s="191"/>
      <c r="K467" s="191"/>
      <c r="L467" s="211" t="s">
        <v>1065</v>
      </c>
      <c r="M467" s="191" t="s">
        <v>748</v>
      </c>
      <c r="N467" s="694">
        <f t="shared" ref="N467:AB467" si="380">N462*LOOKUP($AD456,$AH$4:$AQ$4,$AH$9:$AQ$9)</f>
        <v>0</v>
      </c>
      <c r="O467" s="694">
        <f t="shared" si="380"/>
        <v>0</v>
      </c>
      <c r="P467" s="694">
        <f t="shared" si="380"/>
        <v>0</v>
      </c>
      <c r="Q467" s="694">
        <f t="shared" si="380"/>
        <v>0</v>
      </c>
      <c r="R467" s="694">
        <f t="shared" si="380"/>
        <v>0</v>
      </c>
      <c r="S467" s="694">
        <f t="shared" si="380"/>
        <v>0</v>
      </c>
      <c r="T467" s="694">
        <f t="shared" si="380"/>
        <v>0</v>
      </c>
      <c r="U467" s="694">
        <f t="shared" si="380"/>
        <v>0</v>
      </c>
      <c r="V467" s="694">
        <f t="shared" si="380"/>
        <v>0</v>
      </c>
      <c r="W467" s="694">
        <f t="shared" si="380"/>
        <v>0</v>
      </c>
      <c r="X467" s="694">
        <f t="shared" si="380"/>
        <v>0</v>
      </c>
      <c r="Y467" s="694">
        <f t="shared" si="380"/>
        <v>0</v>
      </c>
      <c r="Z467" s="694">
        <f t="shared" si="380"/>
        <v>0</v>
      </c>
      <c r="AA467" s="694">
        <f t="shared" si="380"/>
        <v>0</v>
      </c>
      <c r="AB467" s="694">
        <f t="shared" si="380"/>
        <v>0</v>
      </c>
    </row>
    <row r="468" spans="1:52" x14ac:dyDescent="0.25">
      <c r="B468" s="193" t="str">
        <f t="shared" si="373"/>
        <v>TFREHYD900</v>
      </c>
      <c r="C468" s="193"/>
      <c r="D468" s="194"/>
      <c r="E468" s="193"/>
      <c r="F468" s="196"/>
      <c r="G468" s="195"/>
      <c r="H468" s="196"/>
      <c r="I468" s="208">
        <f>AF$10</f>
        <v>2050</v>
      </c>
      <c r="J468" s="198"/>
      <c r="K468" s="198"/>
      <c r="L468" s="212" t="s">
        <v>1065</v>
      </c>
      <c r="M468" s="198" t="s">
        <v>748</v>
      </c>
      <c r="N468" s="695">
        <f t="shared" ref="N468:AB468" si="381">N462*LOOKUP($AD456,$AH$4:$AQ$4,$AH$10:$AQ$10)</f>
        <v>0</v>
      </c>
      <c r="O468" s="695">
        <f t="shared" si="381"/>
        <v>0</v>
      </c>
      <c r="P468" s="695">
        <f t="shared" si="381"/>
        <v>0</v>
      </c>
      <c r="Q468" s="695">
        <f t="shared" si="381"/>
        <v>0</v>
      </c>
      <c r="R468" s="695">
        <f t="shared" si="381"/>
        <v>0</v>
      </c>
      <c r="S468" s="695">
        <f t="shared" si="381"/>
        <v>0</v>
      </c>
      <c r="T468" s="695">
        <f t="shared" si="381"/>
        <v>0</v>
      </c>
      <c r="U468" s="695">
        <f t="shared" si="381"/>
        <v>0</v>
      </c>
      <c r="V468" s="695">
        <f t="shared" si="381"/>
        <v>0</v>
      </c>
      <c r="W468" s="695">
        <f t="shared" si="381"/>
        <v>0</v>
      </c>
      <c r="X468" s="695">
        <f t="shared" si="381"/>
        <v>0</v>
      </c>
      <c r="Y468" s="695">
        <f t="shared" si="381"/>
        <v>0</v>
      </c>
      <c r="Z468" s="695">
        <f t="shared" si="381"/>
        <v>0</v>
      </c>
      <c r="AA468" s="695">
        <f t="shared" si="381"/>
        <v>0</v>
      </c>
      <c r="AB468" s="695">
        <f t="shared" si="381"/>
        <v>0</v>
      </c>
    </row>
    <row r="469" spans="1:52" x14ac:dyDescent="0.25">
      <c r="A469" s="82"/>
      <c r="B469" s="178" t="str">
        <f>C469</f>
        <v>TFREHYG900</v>
      </c>
      <c r="C469" s="178" t="s">
        <v>158</v>
      </c>
      <c r="D469" s="179" t="s">
        <v>863</v>
      </c>
      <c r="E469" s="407" t="s">
        <v>1014</v>
      </c>
      <c r="F469" s="182"/>
      <c r="G469" s="181"/>
      <c r="H469" s="182"/>
      <c r="I469" s="183"/>
      <c r="J469" s="184"/>
      <c r="K469" s="184"/>
      <c r="L469" s="203" t="s">
        <v>1107</v>
      </c>
      <c r="M469" s="184" t="s">
        <v>1125</v>
      </c>
      <c r="N469" s="378">
        <v>1E-3</v>
      </c>
      <c r="O469" s="378">
        <f t="shared" ref="O469:AB469" si="382">$N469</f>
        <v>1E-3</v>
      </c>
      <c r="P469" s="378">
        <f t="shared" si="382"/>
        <v>1E-3</v>
      </c>
      <c r="Q469" s="378">
        <f t="shared" si="382"/>
        <v>1E-3</v>
      </c>
      <c r="R469" s="378">
        <f t="shared" si="382"/>
        <v>1E-3</v>
      </c>
      <c r="S469" s="378">
        <f t="shared" si="382"/>
        <v>1E-3</v>
      </c>
      <c r="T469" s="378">
        <f t="shared" si="382"/>
        <v>1E-3</v>
      </c>
      <c r="U469" s="378">
        <f t="shared" si="382"/>
        <v>1E-3</v>
      </c>
      <c r="V469" s="378">
        <f t="shared" si="382"/>
        <v>1E-3</v>
      </c>
      <c r="W469" s="378">
        <f t="shared" si="382"/>
        <v>1E-3</v>
      </c>
      <c r="X469" s="378">
        <f t="shared" si="382"/>
        <v>1E-3</v>
      </c>
      <c r="Y469" s="378">
        <f t="shared" si="382"/>
        <v>1E-3</v>
      </c>
      <c r="Z469" s="378">
        <f t="shared" si="382"/>
        <v>1E-3</v>
      </c>
      <c r="AA469" s="378">
        <f t="shared" si="382"/>
        <v>1E-3</v>
      </c>
      <c r="AB469" s="378">
        <f t="shared" si="382"/>
        <v>1E-3</v>
      </c>
      <c r="AC469" s="83"/>
      <c r="AD469" s="402" t="str">
        <f>MID(D469,13,3)</f>
        <v>Hyb</v>
      </c>
      <c r="AU469" s="83"/>
      <c r="AV469" s="83"/>
      <c r="AW469" s="83"/>
      <c r="AX469" s="83"/>
      <c r="AY469" s="83"/>
      <c r="AZ469" s="83"/>
    </row>
    <row r="470" spans="1:52" s="83" customFormat="1" x14ac:dyDescent="0.25">
      <c r="A470" s="82"/>
      <c r="B470" s="178" t="str">
        <f>B469</f>
        <v>TFREHYG900</v>
      </c>
      <c r="C470" s="178"/>
      <c r="D470" s="179"/>
      <c r="E470" s="407" t="s">
        <v>1012</v>
      </c>
      <c r="F470" s="182"/>
      <c r="G470" s="181"/>
      <c r="H470" s="182"/>
      <c r="I470" s="183"/>
      <c r="J470" s="184" t="s">
        <v>1157</v>
      </c>
      <c r="K470" s="184"/>
      <c r="L470" s="203" t="s">
        <v>101</v>
      </c>
      <c r="M470" s="184"/>
      <c r="N470" s="390">
        <f>N$29</f>
        <v>0.03</v>
      </c>
      <c r="O470" s="390">
        <f t="shared" ref="O470:AB470" si="383">O$29</f>
        <v>0.03</v>
      </c>
      <c r="P470" s="390">
        <f t="shared" si="383"/>
        <v>0.03</v>
      </c>
      <c r="Q470" s="390">
        <f t="shared" si="383"/>
        <v>0.03</v>
      </c>
      <c r="R470" s="390">
        <f t="shared" si="383"/>
        <v>0.03</v>
      </c>
      <c r="S470" s="390">
        <f t="shared" si="383"/>
        <v>0.03</v>
      </c>
      <c r="T470" s="390">
        <f t="shared" si="383"/>
        <v>0.03</v>
      </c>
      <c r="U470" s="390">
        <f t="shared" si="383"/>
        <v>0.03</v>
      </c>
      <c r="V470" s="390">
        <f t="shared" si="383"/>
        <v>0.03</v>
      </c>
      <c r="W470" s="390">
        <f t="shared" si="383"/>
        <v>0.03</v>
      </c>
      <c r="X470" s="390">
        <f t="shared" si="383"/>
        <v>0.03</v>
      </c>
      <c r="Y470" s="390">
        <f t="shared" si="383"/>
        <v>0.03</v>
      </c>
      <c r="Z470" s="390">
        <f t="shared" si="383"/>
        <v>0.03</v>
      </c>
      <c r="AA470" s="390">
        <f t="shared" si="383"/>
        <v>0.03</v>
      </c>
      <c r="AB470" s="390">
        <f t="shared" si="383"/>
        <v>0.03</v>
      </c>
      <c r="AD470" s="66" t="str">
        <f>IF(COUNTIF($AH$4:$AQ$4,AD469)=1,"ok","MISSING")</f>
        <v>ok</v>
      </c>
      <c r="AF470" s="333"/>
    </row>
    <row r="471" spans="1:52" s="83" customFormat="1" x14ac:dyDescent="0.25">
      <c r="B471" s="178" t="str">
        <f t="shared" ref="B471:B481" si="384">B470</f>
        <v>TFREHYG900</v>
      </c>
      <c r="C471" s="178"/>
      <c r="D471" s="179"/>
      <c r="E471" s="178"/>
      <c r="F471" s="182"/>
      <c r="G471" s="173" t="s">
        <v>649</v>
      </c>
      <c r="H471" s="182"/>
      <c r="I471" s="183"/>
      <c r="J471" s="184"/>
      <c r="K471" s="184"/>
      <c r="L471" s="184" t="s">
        <v>1126</v>
      </c>
      <c r="M471" s="184" t="s">
        <v>678</v>
      </c>
      <c r="N471" s="377">
        <f>T_CEFF!H222</f>
        <v>72.727270000000004</v>
      </c>
      <c r="O471" s="377">
        <f>T_CEFF!I222</f>
        <v>72.727270000000004</v>
      </c>
      <c r="P471" s="377">
        <f>T_CEFF!J222</f>
        <v>72.727270000000004</v>
      </c>
      <c r="Q471" s="377">
        <f>T_CEFF!K222</f>
        <v>72.727270000000004</v>
      </c>
      <c r="R471" s="377">
        <f>T_CEFF!L222</f>
        <v>72.727270000000004</v>
      </c>
      <c r="S471" s="377">
        <f>T_CEFF!M222</f>
        <v>72.727270000000004</v>
      </c>
      <c r="T471" s="377">
        <f>T_CEFF!N222</f>
        <v>72.727270000000004</v>
      </c>
      <c r="U471" s="377">
        <f>T_CEFF!O222</f>
        <v>72.727270000000004</v>
      </c>
      <c r="V471" s="377">
        <f>T_CEFF!P222</f>
        <v>72.727270000000004</v>
      </c>
      <c r="W471" s="377">
        <f>T_CEFF!Q222</f>
        <v>72.727270000000004</v>
      </c>
      <c r="X471" s="377">
        <f>T_CEFF!R222</f>
        <v>72.727270000000004</v>
      </c>
      <c r="Y471" s="377">
        <f>T_CEFF!S222</f>
        <v>72.727270000000004</v>
      </c>
      <c r="Z471" s="377">
        <f>T_CEFF!T222</f>
        <v>72.727270000000004</v>
      </c>
      <c r="AA471" s="377">
        <f>T_CEFF!U222</f>
        <v>72.727270000000004</v>
      </c>
      <c r="AB471" s="377">
        <f>T_CEFF!V222</f>
        <v>72.727270000000004</v>
      </c>
    </row>
    <row r="472" spans="1:52" s="83" customFormat="1" x14ac:dyDescent="0.25">
      <c r="B472" s="178" t="str">
        <f t="shared" si="384"/>
        <v>TFREHYG900</v>
      </c>
      <c r="C472" s="178"/>
      <c r="D472" s="179"/>
      <c r="E472" s="178"/>
      <c r="F472" s="182"/>
      <c r="G472" s="173" t="s">
        <v>652</v>
      </c>
      <c r="H472" s="182"/>
      <c r="I472" s="183"/>
      <c r="J472" s="184"/>
      <c r="K472" s="184"/>
      <c r="L472" s="184" t="s">
        <v>1126</v>
      </c>
      <c r="M472" s="184" t="s">
        <v>678</v>
      </c>
      <c r="N472" s="377">
        <f>T_CEFF!H223</f>
        <v>72.727270000000004</v>
      </c>
      <c r="O472" s="377">
        <f>T_CEFF!I223</f>
        <v>72.727270000000004</v>
      </c>
      <c r="P472" s="377">
        <f>T_CEFF!J223</f>
        <v>72.727270000000004</v>
      </c>
      <c r="Q472" s="377">
        <f>T_CEFF!K223</f>
        <v>72.727270000000004</v>
      </c>
      <c r="R472" s="377">
        <f>T_CEFF!L223</f>
        <v>72.727270000000004</v>
      </c>
      <c r="S472" s="377">
        <f>T_CEFF!M223</f>
        <v>72.727270000000004</v>
      </c>
      <c r="T472" s="377">
        <f>T_CEFF!N223</f>
        <v>72.727270000000004</v>
      </c>
      <c r="U472" s="377">
        <f>T_CEFF!O223</f>
        <v>72.727270000000004</v>
      </c>
      <c r="V472" s="377">
        <f>T_CEFF!P223</f>
        <v>72.727270000000004</v>
      </c>
      <c r="W472" s="377">
        <f>T_CEFF!Q223</f>
        <v>72.727270000000004</v>
      </c>
      <c r="X472" s="377">
        <f>T_CEFF!R223</f>
        <v>72.727270000000004</v>
      </c>
      <c r="Y472" s="377">
        <f>T_CEFF!S223</f>
        <v>72.727270000000004</v>
      </c>
      <c r="Z472" s="377">
        <f>T_CEFF!T223</f>
        <v>72.727270000000004</v>
      </c>
      <c r="AA472" s="377">
        <f>T_CEFF!U223</f>
        <v>72.727270000000004</v>
      </c>
      <c r="AB472" s="377">
        <f>T_CEFF!V223</f>
        <v>72.727270000000004</v>
      </c>
    </row>
    <row r="473" spans="1:52" s="83" customFormat="1" x14ac:dyDescent="0.25">
      <c r="B473" s="178" t="str">
        <f>B472</f>
        <v>TFREHYG900</v>
      </c>
      <c r="C473" s="178"/>
      <c r="D473" s="179"/>
      <c r="E473" s="178"/>
      <c r="F473" s="182"/>
      <c r="G473" s="181"/>
      <c r="H473" s="182"/>
      <c r="I473" s="183"/>
      <c r="J473" s="184"/>
      <c r="K473" s="184" t="s">
        <v>749</v>
      </c>
      <c r="L473" s="184" t="s">
        <v>1128</v>
      </c>
      <c r="M473" s="184" t="s">
        <v>1175</v>
      </c>
      <c r="N473" s="368">
        <f t="shared" ref="N473:AB473" si="385">N$25</f>
        <v>0</v>
      </c>
      <c r="O473" s="368">
        <f t="shared" si="385"/>
        <v>0</v>
      </c>
      <c r="P473" s="368">
        <f t="shared" si="385"/>
        <v>0</v>
      </c>
      <c r="Q473" s="368">
        <f t="shared" si="385"/>
        <v>0</v>
      </c>
      <c r="R473" s="368">
        <f t="shared" si="385"/>
        <v>0</v>
      </c>
      <c r="S473" s="368">
        <f t="shared" si="385"/>
        <v>0</v>
      </c>
      <c r="T473" s="368">
        <f t="shared" si="385"/>
        <v>0</v>
      </c>
      <c r="U473" s="368">
        <f t="shared" si="385"/>
        <v>0</v>
      </c>
      <c r="V473" s="368">
        <f t="shared" si="385"/>
        <v>0</v>
      </c>
      <c r="W473" s="368">
        <f t="shared" si="385"/>
        <v>0</v>
      </c>
      <c r="X473" s="368">
        <f t="shared" si="385"/>
        <v>0</v>
      </c>
      <c r="Y473" s="368">
        <f t="shared" si="385"/>
        <v>0</v>
      </c>
      <c r="Z473" s="368">
        <f t="shared" si="385"/>
        <v>0</v>
      </c>
      <c r="AA473" s="368">
        <f t="shared" si="385"/>
        <v>0</v>
      </c>
      <c r="AB473" s="368">
        <f t="shared" si="385"/>
        <v>0</v>
      </c>
    </row>
    <row r="474" spans="1:52" s="83" customFormat="1" x14ac:dyDescent="0.25">
      <c r="B474" s="178" t="str">
        <f t="shared" si="384"/>
        <v>TFREHYG900</v>
      </c>
      <c r="C474" s="178"/>
      <c r="D474" s="179"/>
      <c r="E474" s="178"/>
      <c r="F474" s="182"/>
      <c r="G474" s="181"/>
      <c r="H474" s="182"/>
      <c r="I474" s="183"/>
      <c r="J474" s="184"/>
      <c r="K474" s="184"/>
      <c r="L474" s="203" t="s">
        <v>1130</v>
      </c>
      <c r="M474" s="184" t="s">
        <v>1131</v>
      </c>
      <c r="N474" s="369">
        <f>LOOKUP($C$469, T_NCAP_AF!$C$185:$C$195, T_NCAP_AF!D$185:D$195)*(1+N375)</f>
        <v>22.84</v>
      </c>
      <c r="O474" s="369">
        <f>LOOKUP($C$469, T_NCAP_AF!$C$185:$C$195, T_NCAP_AF!E$185:E$195)*(1+O375)</f>
        <v>0</v>
      </c>
      <c r="P474" s="369">
        <f>LOOKUP($C$469, T_NCAP_AF!$C$185:$C$195, T_NCAP_AF!F$185:F$195)*(1+P375)</f>
        <v>0</v>
      </c>
      <c r="Q474" s="369">
        <f>LOOKUP($C$469, T_NCAP_AF!$C$185:$C$195, T_NCAP_AF!G$185:G$195)*(1+Q375)</f>
        <v>0</v>
      </c>
      <c r="R474" s="369">
        <f>LOOKUP($C$469, T_NCAP_AF!$C$185:$C$195, T_NCAP_AF!H$185:H$195)*(1+R375)</f>
        <v>0</v>
      </c>
      <c r="S474" s="369">
        <f>LOOKUP($C$469, T_NCAP_AF!$C$185:$C$195, T_NCAP_AF!I$185:I$195)*(1+S375)</f>
        <v>0</v>
      </c>
      <c r="T474" s="369">
        <f>LOOKUP($C$469, T_NCAP_AF!$C$185:$C$195, T_NCAP_AF!J$185:J$195)*(1+T375)</f>
        <v>0</v>
      </c>
      <c r="U474" s="369">
        <f>LOOKUP($C$469, T_NCAP_AF!$C$185:$C$195, T_NCAP_AF!K$185:K$195)*(1+U375)</f>
        <v>0</v>
      </c>
      <c r="V474" s="369">
        <f>LOOKUP($C$469, T_NCAP_AF!$C$185:$C$195, T_NCAP_AF!L$185:L$195)*(1+V375)</f>
        <v>0</v>
      </c>
      <c r="W474" s="369">
        <f>LOOKUP($C$469, T_NCAP_AF!$C$185:$C$195, T_NCAP_AF!M$185:M$195)*(1+W375)</f>
        <v>0</v>
      </c>
      <c r="X474" s="369">
        <f>LOOKUP($C$469, T_NCAP_AF!$C$185:$C$195, T_NCAP_AF!N$185:N$195)*(1+X375)</f>
        <v>0</v>
      </c>
      <c r="Y474" s="369">
        <f>LOOKUP($C$469, T_NCAP_AF!$C$185:$C$195, T_NCAP_AF!O$185:O$195)*(1+Y375)</f>
        <v>0</v>
      </c>
      <c r="Z474" s="369">
        <f>LOOKUP($C$469, T_NCAP_AF!$C$185:$C$195, T_NCAP_AF!P$185:P$195)*(1+Z375)</f>
        <v>0</v>
      </c>
      <c r="AA474" s="369">
        <f>LOOKUP($C$469, T_NCAP_AF!$C$185:$C$195, T_NCAP_AF!Q$185:Q$195)*(1+AA375)</f>
        <v>0</v>
      </c>
      <c r="AB474" s="369">
        <f>LOOKUP($C$469, T_NCAP_AF!$C$185:$C$195, T_NCAP_AF!R$185:R$195)*(1+AB375)</f>
        <v>0</v>
      </c>
      <c r="AE474" s="572">
        <f>SUM(AF474:AT474)</f>
        <v>0</v>
      </c>
      <c r="AF474" s="85">
        <f t="shared" ref="AF474:AT474" si="386">N473*N474*N475/1000</f>
        <v>0</v>
      </c>
      <c r="AG474" s="85">
        <f t="shared" si="386"/>
        <v>0</v>
      </c>
      <c r="AH474" s="85">
        <f t="shared" si="386"/>
        <v>0</v>
      </c>
      <c r="AI474" s="85">
        <f t="shared" si="386"/>
        <v>0</v>
      </c>
      <c r="AJ474" s="85">
        <f t="shared" si="386"/>
        <v>0</v>
      </c>
      <c r="AK474" s="85">
        <f t="shared" si="386"/>
        <v>0</v>
      </c>
      <c r="AL474" s="85">
        <f t="shared" si="386"/>
        <v>0</v>
      </c>
      <c r="AM474" s="85">
        <f t="shared" si="386"/>
        <v>0</v>
      </c>
      <c r="AN474" s="85">
        <f t="shared" si="386"/>
        <v>0</v>
      </c>
      <c r="AO474" s="85">
        <f t="shared" si="386"/>
        <v>0</v>
      </c>
      <c r="AP474" s="85">
        <f t="shared" si="386"/>
        <v>0</v>
      </c>
      <c r="AQ474" s="85">
        <f t="shared" si="386"/>
        <v>0</v>
      </c>
      <c r="AR474" s="85">
        <f t="shared" si="386"/>
        <v>0</v>
      </c>
      <c r="AS474" s="85">
        <f t="shared" si="386"/>
        <v>0</v>
      </c>
      <c r="AT474" s="85">
        <f t="shared" si="386"/>
        <v>0</v>
      </c>
    </row>
    <row r="475" spans="1:52" s="83" customFormat="1" x14ac:dyDescent="0.25">
      <c r="B475" s="178" t="str">
        <f>B474</f>
        <v>TFREHYG900</v>
      </c>
      <c r="C475" s="178"/>
      <c r="D475" s="179"/>
      <c r="E475" s="178"/>
      <c r="F475" s="182"/>
      <c r="G475" s="181"/>
      <c r="H475" s="182"/>
      <c r="I475" s="183">
        <f>$M$3</f>
        <v>2019</v>
      </c>
      <c r="J475" s="184"/>
      <c r="K475" s="184"/>
      <c r="L475" s="203" t="s">
        <v>1065</v>
      </c>
      <c r="M475" s="184" t="s">
        <v>748</v>
      </c>
      <c r="N475" s="694">
        <f>LOOKUP($C$469, 'T_Stock_TOTAL_&amp;_City'!$C$122:$C$133,'T_Stock_TOTAL_&amp;_City'!D$122:D$133)*(1+N$376)</f>
        <v>0</v>
      </c>
      <c r="O475" s="694">
        <f>LOOKUP($C$469, 'T_Stock_TOTAL_&amp;_City'!$C$122:$C$133,'T_Stock_TOTAL_&amp;_City'!E$122:E$133)*(1+O$376)</f>
        <v>0</v>
      </c>
      <c r="P475" s="694">
        <f>LOOKUP($C$469, 'T_Stock_TOTAL_&amp;_City'!$C$122:$C$133,'T_Stock_TOTAL_&amp;_City'!F$122:F$133)*(1+P$376)</f>
        <v>0</v>
      </c>
      <c r="Q475" s="694">
        <f>LOOKUP($C$469, 'T_Stock_TOTAL_&amp;_City'!$C$122:$C$133,'T_Stock_TOTAL_&amp;_City'!G$122:G$133)*(1+Q$376)</f>
        <v>0</v>
      </c>
      <c r="R475" s="694">
        <f>LOOKUP($C$469, 'T_Stock_TOTAL_&amp;_City'!$C$122:$C$133,'T_Stock_TOTAL_&amp;_City'!H$122:H$133)*(1+R$376)</f>
        <v>0</v>
      </c>
      <c r="S475" s="694">
        <f>LOOKUP($C$469, 'T_Stock_TOTAL_&amp;_City'!$C$122:$C$133,'T_Stock_TOTAL_&amp;_City'!I$122:I$133)*(1+S$376)</f>
        <v>0</v>
      </c>
      <c r="T475" s="694">
        <f>LOOKUP($C$469, 'T_Stock_TOTAL_&amp;_City'!$C$122:$C$133,'T_Stock_TOTAL_&amp;_City'!J$122:J$133)*(1+T$376)</f>
        <v>0</v>
      </c>
      <c r="U475" s="694">
        <f>LOOKUP($C$469, 'T_Stock_TOTAL_&amp;_City'!$C$122:$C$133,'T_Stock_TOTAL_&amp;_City'!K$122:K$133)*(1+U$376)</f>
        <v>0</v>
      </c>
      <c r="V475" s="694">
        <f>LOOKUP($C$469, 'T_Stock_TOTAL_&amp;_City'!$C$122:$C$133,'T_Stock_TOTAL_&amp;_City'!L$122:L$133)*(1+V$376)</f>
        <v>0</v>
      </c>
      <c r="W475" s="694">
        <f>LOOKUP($C$469, 'T_Stock_TOTAL_&amp;_City'!$C$122:$C$133,'T_Stock_TOTAL_&amp;_City'!M$122:M$133)*(1+W$376)</f>
        <v>0</v>
      </c>
      <c r="X475" s="694">
        <f>LOOKUP($C$469, 'T_Stock_TOTAL_&amp;_City'!$C$122:$C$133,'T_Stock_TOTAL_&amp;_City'!N$122:N$133)*(1+X$376)</f>
        <v>0</v>
      </c>
      <c r="Y475" s="694">
        <f>LOOKUP($C$469, 'T_Stock_TOTAL_&amp;_City'!$C$122:$C$133,'T_Stock_TOTAL_&amp;_City'!O$122:O$133)*(1+Y$376)</f>
        <v>0</v>
      </c>
      <c r="Z475" s="694">
        <f>LOOKUP($C$469, 'T_Stock_TOTAL_&amp;_City'!$C$122:$C$133,'T_Stock_TOTAL_&amp;_City'!P$122:P$133)*(1+Z$376)</f>
        <v>0</v>
      </c>
      <c r="AA475" s="694">
        <f>LOOKUP($C$469, 'T_Stock_TOTAL_&amp;_City'!$C$122:$C$133,'T_Stock_TOTAL_&amp;_City'!Q$122:Q$133)*(1+AA$376)</f>
        <v>0</v>
      </c>
      <c r="AB475" s="694">
        <f>LOOKUP($C$469, 'T_Stock_TOTAL_&amp;_City'!$C$122:$C$133,'T_Stock_TOTAL_&amp;_City'!R$122:R$133)*(1+AB$376)</f>
        <v>0</v>
      </c>
    </row>
    <row r="476" spans="1:52" s="83" customFormat="1" x14ac:dyDescent="0.25">
      <c r="B476" s="178" t="str">
        <f t="shared" si="384"/>
        <v>TFREHYG900</v>
      </c>
      <c r="C476" s="178"/>
      <c r="D476" s="179"/>
      <c r="E476" s="178"/>
      <c r="F476" s="182"/>
      <c r="G476" s="181"/>
      <c r="H476" s="182"/>
      <c r="I476" s="183">
        <f>AF$5</f>
        <v>2016</v>
      </c>
      <c r="J476" s="184"/>
      <c r="K476" s="184"/>
      <c r="L476" s="203" t="s">
        <v>1065</v>
      </c>
      <c r="M476" s="184" t="s">
        <v>748</v>
      </c>
      <c r="N476" s="694">
        <f t="shared" ref="N476:AB476" si="387">N475*LOOKUP($AD469,$AH$4:$AQ$4,$AH$5:$AQ$5)</f>
        <v>0</v>
      </c>
      <c r="O476" s="694">
        <f t="shared" si="387"/>
        <v>0</v>
      </c>
      <c r="P476" s="694">
        <f t="shared" si="387"/>
        <v>0</v>
      </c>
      <c r="Q476" s="694">
        <f t="shared" si="387"/>
        <v>0</v>
      </c>
      <c r="R476" s="694">
        <f t="shared" si="387"/>
        <v>0</v>
      </c>
      <c r="S476" s="694">
        <f t="shared" si="387"/>
        <v>0</v>
      </c>
      <c r="T476" s="694">
        <f t="shared" si="387"/>
        <v>0</v>
      </c>
      <c r="U476" s="694">
        <f t="shared" si="387"/>
        <v>0</v>
      </c>
      <c r="V476" s="694">
        <f t="shared" si="387"/>
        <v>0</v>
      </c>
      <c r="W476" s="694">
        <f t="shared" si="387"/>
        <v>0</v>
      </c>
      <c r="X476" s="694">
        <f t="shared" si="387"/>
        <v>0</v>
      </c>
      <c r="Y476" s="694">
        <f t="shared" si="387"/>
        <v>0</v>
      </c>
      <c r="Z476" s="694">
        <f t="shared" si="387"/>
        <v>0</v>
      </c>
      <c r="AA476" s="694">
        <f t="shared" si="387"/>
        <v>0</v>
      </c>
      <c r="AB476" s="694">
        <f t="shared" si="387"/>
        <v>0</v>
      </c>
    </row>
    <row r="477" spans="1:52" s="83" customFormat="1" x14ac:dyDescent="0.25">
      <c r="B477" s="178" t="str">
        <f t="shared" si="384"/>
        <v>TFREHYG900</v>
      </c>
      <c r="C477" s="178"/>
      <c r="D477" s="179"/>
      <c r="E477" s="178"/>
      <c r="F477" s="182"/>
      <c r="G477" s="181"/>
      <c r="H477" s="182"/>
      <c r="I477" s="183">
        <f>AF$6</f>
        <v>2020</v>
      </c>
      <c r="J477" s="184"/>
      <c r="K477" s="184"/>
      <c r="L477" s="203" t="s">
        <v>1065</v>
      </c>
      <c r="M477" s="184" t="s">
        <v>748</v>
      </c>
      <c r="N477" s="694">
        <f t="shared" ref="N477:AB477" si="388">N475*LOOKUP($AD469,$AH$4:$AQ$4,$AH$6:$AQ$6)</f>
        <v>0</v>
      </c>
      <c r="O477" s="694">
        <f t="shared" si="388"/>
        <v>0</v>
      </c>
      <c r="P477" s="694">
        <f t="shared" si="388"/>
        <v>0</v>
      </c>
      <c r="Q477" s="694">
        <f t="shared" si="388"/>
        <v>0</v>
      </c>
      <c r="R477" s="694">
        <f t="shared" si="388"/>
        <v>0</v>
      </c>
      <c r="S477" s="694">
        <f t="shared" si="388"/>
        <v>0</v>
      </c>
      <c r="T477" s="694">
        <f t="shared" si="388"/>
        <v>0</v>
      </c>
      <c r="U477" s="694">
        <f t="shared" si="388"/>
        <v>0</v>
      </c>
      <c r="V477" s="694">
        <f t="shared" si="388"/>
        <v>0</v>
      </c>
      <c r="W477" s="694">
        <f t="shared" si="388"/>
        <v>0</v>
      </c>
      <c r="X477" s="694">
        <f t="shared" si="388"/>
        <v>0</v>
      </c>
      <c r="Y477" s="694">
        <f t="shared" si="388"/>
        <v>0</v>
      </c>
      <c r="Z477" s="694">
        <f t="shared" si="388"/>
        <v>0</v>
      </c>
      <c r="AA477" s="694">
        <f t="shared" si="388"/>
        <v>0</v>
      </c>
      <c r="AB477" s="694">
        <f t="shared" si="388"/>
        <v>0</v>
      </c>
    </row>
    <row r="478" spans="1:52" s="83" customFormat="1" x14ac:dyDescent="0.25">
      <c r="B478" s="178" t="str">
        <f t="shared" si="384"/>
        <v>TFREHYG900</v>
      </c>
      <c r="C478" s="178"/>
      <c r="D478" s="179"/>
      <c r="E478" s="178"/>
      <c r="F478" s="182"/>
      <c r="G478" s="181"/>
      <c r="H478" s="182"/>
      <c r="I478" s="183">
        <f>AF$7</f>
        <v>2025</v>
      </c>
      <c r="J478" s="184"/>
      <c r="K478" s="184"/>
      <c r="L478" s="203" t="s">
        <v>1065</v>
      </c>
      <c r="M478" s="184" t="s">
        <v>748</v>
      </c>
      <c r="N478" s="694">
        <f t="shared" ref="N478:AB478" si="389">N475*LOOKUP($AD469,$AH$4:$AQ$4,$AH$7:$AQ$7)</f>
        <v>0</v>
      </c>
      <c r="O478" s="694">
        <f t="shared" si="389"/>
        <v>0</v>
      </c>
      <c r="P478" s="694">
        <f t="shared" si="389"/>
        <v>0</v>
      </c>
      <c r="Q478" s="694">
        <f t="shared" si="389"/>
        <v>0</v>
      </c>
      <c r="R478" s="694">
        <f t="shared" si="389"/>
        <v>0</v>
      </c>
      <c r="S478" s="694">
        <f t="shared" si="389"/>
        <v>0</v>
      </c>
      <c r="T478" s="694">
        <f t="shared" si="389"/>
        <v>0</v>
      </c>
      <c r="U478" s="694">
        <f t="shared" si="389"/>
        <v>0</v>
      </c>
      <c r="V478" s="694">
        <f t="shared" si="389"/>
        <v>0</v>
      </c>
      <c r="W478" s="694">
        <f t="shared" si="389"/>
        <v>0</v>
      </c>
      <c r="X478" s="694">
        <f t="shared" si="389"/>
        <v>0</v>
      </c>
      <c r="Y478" s="694">
        <f t="shared" si="389"/>
        <v>0</v>
      </c>
      <c r="Z478" s="694">
        <f t="shared" si="389"/>
        <v>0</v>
      </c>
      <c r="AA478" s="694">
        <f t="shared" si="389"/>
        <v>0</v>
      </c>
      <c r="AB478" s="694">
        <f t="shared" si="389"/>
        <v>0</v>
      </c>
    </row>
    <row r="479" spans="1:52" s="83" customFormat="1" x14ac:dyDescent="0.25">
      <c r="B479" s="178" t="str">
        <f t="shared" si="384"/>
        <v>TFREHYG900</v>
      </c>
      <c r="C479" s="178"/>
      <c r="D479" s="179"/>
      <c r="E479" s="178"/>
      <c r="F479" s="182"/>
      <c r="G479" s="181"/>
      <c r="H479" s="182"/>
      <c r="I479" s="183">
        <f>AF$8</f>
        <v>2030</v>
      </c>
      <c r="J479" s="184"/>
      <c r="K479" s="184"/>
      <c r="L479" s="203" t="s">
        <v>1065</v>
      </c>
      <c r="M479" s="184" t="s">
        <v>748</v>
      </c>
      <c r="N479" s="694">
        <f t="shared" ref="N479:AB479" si="390">N475*LOOKUP($AD469,$AH$4:$AQ$4,$AH$8:$AQ$8)</f>
        <v>0</v>
      </c>
      <c r="O479" s="694">
        <f t="shared" si="390"/>
        <v>0</v>
      </c>
      <c r="P479" s="694">
        <f t="shared" si="390"/>
        <v>0</v>
      </c>
      <c r="Q479" s="694">
        <f t="shared" si="390"/>
        <v>0</v>
      </c>
      <c r="R479" s="694">
        <f t="shared" si="390"/>
        <v>0</v>
      </c>
      <c r="S479" s="694">
        <f t="shared" si="390"/>
        <v>0</v>
      </c>
      <c r="T479" s="694">
        <f t="shared" si="390"/>
        <v>0</v>
      </c>
      <c r="U479" s="694">
        <f t="shared" si="390"/>
        <v>0</v>
      </c>
      <c r="V479" s="694">
        <f t="shared" si="390"/>
        <v>0</v>
      </c>
      <c r="W479" s="694">
        <f t="shared" si="390"/>
        <v>0</v>
      </c>
      <c r="X479" s="694">
        <f t="shared" si="390"/>
        <v>0</v>
      </c>
      <c r="Y479" s="694">
        <f t="shared" si="390"/>
        <v>0</v>
      </c>
      <c r="Z479" s="694">
        <f t="shared" si="390"/>
        <v>0</v>
      </c>
      <c r="AA479" s="694">
        <f t="shared" si="390"/>
        <v>0</v>
      </c>
      <c r="AB479" s="694">
        <f t="shared" si="390"/>
        <v>0</v>
      </c>
    </row>
    <row r="480" spans="1:52" s="83" customFormat="1" x14ac:dyDescent="0.25">
      <c r="B480" s="178" t="str">
        <f t="shared" si="384"/>
        <v>TFREHYG900</v>
      </c>
      <c r="C480" s="178"/>
      <c r="D480" s="179"/>
      <c r="E480" s="178"/>
      <c r="F480" s="182"/>
      <c r="G480" s="181"/>
      <c r="H480" s="182"/>
      <c r="I480" s="183">
        <f>AF$9</f>
        <v>2040</v>
      </c>
      <c r="J480" s="184"/>
      <c r="K480" s="184"/>
      <c r="L480" s="203" t="s">
        <v>1065</v>
      </c>
      <c r="M480" s="184" t="s">
        <v>748</v>
      </c>
      <c r="N480" s="694">
        <f t="shared" ref="N480:AB480" si="391">N475*LOOKUP($AD469,$AH$4:$AQ$4,$AH$9:$AQ$9)</f>
        <v>0</v>
      </c>
      <c r="O480" s="694">
        <f t="shared" si="391"/>
        <v>0</v>
      </c>
      <c r="P480" s="694">
        <f t="shared" si="391"/>
        <v>0</v>
      </c>
      <c r="Q480" s="694">
        <f t="shared" si="391"/>
        <v>0</v>
      </c>
      <c r="R480" s="694">
        <f t="shared" si="391"/>
        <v>0</v>
      </c>
      <c r="S480" s="694">
        <f t="shared" si="391"/>
        <v>0</v>
      </c>
      <c r="T480" s="694">
        <f t="shared" si="391"/>
        <v>0</v>
      </c>
      <c r="U480" s="694">
        <f t="shared" si="391"/>
        <v>0</v>
      </c>
      <c r="V480" s="694">
        <f t="shared" si="391"/>
        <v>0</v>
      </c>
      <c r="W480" s="694">
        <f t="shared" si="391"/>
        <v>0</v>
      </c>
      <c r="X480" s="694">
        <f t="shared" si="391"/>
        <v>0</v>
      </c>
      <c r="Y480" s="694">
        <f t="shared" si="391"/>
        <v>0</v>
      </c>
      <c r="Z480" s="694">
        <f t="shared" si="391"/>
        <v>0</v>
      </c>
      <c r="AA480" s="694">
        <f t="shared" si="391"/>
        <v>0</v>
      </c>
      <c r="AB480" s="694">
        <f t="shared" si="391"/>
        <v>0</v>
      </c>
    </row>
    <row r="481" spans="1:52" s="83" customFormat="1" x14ac:dyDescent="0.25">
      <c r="B481" s="204" t="str">
        <f t="shared" si="384"/>
        <v>TFREHYG900</v>
      </c>
      <c r="C481" s="204"/>
      <c r="D481" s="205"/>
      <c r="E481" s="204"/>
      <c r="F481" s="206"/>
      <c r="G481" s="207"/>
      <c r="H481" s="206"/>
      <c r="I481" s="208">
        <f>AF$10</f>
        <v>2050</v>
      </c>
      <c r="J481" s="209"/>
      <c r="K481" s="209"/>
      <c r="L481" s="210" t="s">
        <v>1065</v>
      </c>
      <c r="M481" s="209" t="s">
        <v>748</v>
      </c>
      <c r="N481" s="695">
        <f t="shared" ref="N481:AB481" si="392">N475*LOOKUP($AD469,$AH$4:$AQ$4,$AH$10:$AQ$10)</f>
        <v>0</v>
      </c>
      <c r="O481" s="695">
        <f t="shared" si="392"/>
        <v>0</v>
      </c>
      <c r="P481" s="695">
        <f t="shared" si="392"/>
        <v>0</v>
      </c>
      <c r="Q481" s="695">
        <f t="shared" si="392"/>
        <v>0</v>
      </c>
      <c r="R481" s="695">
        <f t="shared" si="392"/>
        <v>0</v>
      </c>
      <c r="S481" s="695">
        <f t="shared" si="392"/>
        <v>0</v>
      </c>
      <c r="T481" s="695">
        <f t="shared" si="392"/>
        <v>0</v>
      </c>
      <c r="U481" s="695">
        <f t="shared" si="392"/>
        <v>0</v>
      </c>
      <c r="V481" s="695">
        <f t="shared" si="392"/>
        <v>0</v>
      </c>
      <c r="W481" s="695">
        <f t="shared" si="392"/>
        <v>0</v>
      </c>
      <c r="X481" s="695">
        <f t="shared" si="392"/>
        <v>0</v>
      </c>
      <c r="Y481" s="695">
        <f t="shared" si="392"/>
        <v>0</v>
      </c>
      <c r="Z481" s="695">
        <f t="shared" si="392"/>
        <v>0</v>
      </c>
      <c r="AA481" s="695">
        <f t="shared" si="392"/>
        <v>0</v>
      </c>
      <c r="AB481" s="695">
        <f t="shared" si="392"/>
        <v>0</v>
      </c>
    </row>
    <row r="482" spans="1:52" s="83" customFormat="1" x14ac:dyDescent="0.25">
      <c r="A482" s="82"/>
      <c r="B482" s="178" t="str">
        <f>C482</f>
        <v>TFRELPG900</v>
      </c>
      <c r="C482" s="178" t="s">
        <v>159</v>
      </c>
      <c r="D482" s="179" t="s">
        <v>865</v>
      </c>
      <c r="E482" s="180" t="s">
        <v>1033</v>
      </c>
      <c r="F482" s="182"/>
      <c r="G482" s="181"/>
      <c r="H482" s="182"/>
      <c r="I482" s="183"/>
      <c r="J482" s="184"/>
      <c r="K482" s="184"/>
      <c r="L482" s="203" t="s">
        <v>1107</v>
      </c>
      <c r="M482" s="184" t="s">
        <v>1125</v>
      </c>
      <c r="N482" s="378">
        <v>1E-3</v>
      </c>
      <c r="O482" s="378">
        <f t="shared" ref="O482:AB482" si="393">$N482</f>
        <v>1E-3</v>
      </c>
      <c r="P482" s="378">
        <f t="shared" si="393"/>
        <v>1E-3</v>
      </c>
      <c r="Q482" s="378">
        <f t="shared" si="393"/>
        <v>1E-3</v>
      </c>
      <c r="R482" s="378">
        <f t="shared" si="393"/>
        <v>1E-3</v>
      </c>
      <c r="S482" s="378">
        <f t="shared" si="393"/>
        <v>1E-3</v>
      </c>
      <c r="T482" s="378">
        <f t="shared" si="393"/>
        <v>1E-3</v>
      </c>
      <c r="U482" s="378">
        <f t="shared" si="393"/>
        <v>1E-3</v>
      </c>
      <c r="V482" s="378">
        <f t="shared" si="393"/>
        <v>1E-3</v>
      </c>
      <c r="W482" s="378">
        <f t="shared" si="393"/>
        <v>1E-3</v>
      </c>
      <c r="X482" s="378">
        <f t="shared" si="393"/>
        <v>1E-3</v>
      </c>
      <c r="Y482" s="378">
        <f t="shared" si="393"/>
        <v>1E-3</v>
      </c>
      <c r="Z482" s="378">
        <f t="shared" si="393"/>
        <v>1E-3</v>
      </c>
      <c r="AA482" s="378">
        <f t="shared" si="393"/>
        <v>1E-3</v>
      </c>
      <c r="AB482" s="378">
        <f t="shared" si="393"/>
        <v>1E-3</v>
      </c>
      <c r="AD482" s="402" t="str">
        <f>MID(D482,13,3)</f>
        <v>LPG</v>
      </c>
    </row>
    <row r="483" spans="1:52" s="83" customFormat="1" x14ac:dyDescent="0.25">
      <c r="A483" s="22"/>
      <c r="B483" s="186" t="str">
        <f t="shared" ref="B483:B493" si="394">B482</f>
        <v>TFRELPG900</v>
      </c>
      <c r="C483" s="186"/>
      <c r="D483" s="187"/>
      <c r="E483" s="186"/>
      <c r="F483" s="170"/>
      <c r="G483" s="173" t="s">
        <v>649</v>
      </c>
      <c r="H483" s="170"/>
      <c r="I483" s="190"/>
      <c r="J483" s="191"/>
      <c r="K483" s="191"/>
      <c r="L483" s="191" t="s">
        <v>1126</v>
      </c>
      <c r="M483" s="191" t="s">
        <v>678</v>
      </c>
      <c r="N483" s="377">
        <f>T_CEFF!H229</f>
        <v>0.53476000000000001</v>
      </c>
      <c r="O483" s="377">
        <f>T_CEFF!I229</f>
        <v>0.53476000000000001</v>
      </c>
      <c r="P483" s="377">
        <f>T_CEFF!J229</f>
        <v>0.53476000000000001</v>
      </c>
      <c r="Q483" s="377">
        <f>T_CEFF!K229</f>
        <v>0.53476000000000001</v>
      </c>
      <c r="R483" s="377">
        <f>T_CEFF!L229</f>
        <v>0.53476000000000001</v>
      </c>
      <c r="S483" s="377">
        <f>T_CEFF!M229</f>
        <v>0.53476000000000001</v>
      </c>
      <c r="T483" s="377">
        <f>T_CEFF!N229</f>
        <v>0.53476000000000001</v>
      </c>
      <c r="U483" s="377">
        <f>T_CEFF!O229</f>
        <v>0.53476000000000001</v>
      </c>
      <c r="V483" s="377">
        <f>T_CEFF!P229</f>
        <v>0.53476000000000001</v>
      </c>
      <c r="W483" s="377">
        <f>T_CEFF!Q229</f>
        <v>0.53476000000000001</v>
      </c>
      <c r="X483" s="377">
        <f>T_CEFF!R229</f>
        <v>0.53476000000000001</v>
      </c>
      <c r="Y483" s="377">
        <f>T_CEFF!S229</f>
        <v>0.53476000000000001</v>
      </c>
      <c r="Z483" s="377">
        <f>T_CEFF!T229</f>
        <v>0.53476000000000001</v>
      </c>
      <c r="AA483" s="377">
        <f>T_CEFF!U229</f>
        <v>0.53476000000000001</v>
      </c>
      <c r="AB483" s="377">
        <f>T_CEFF!V229</f>
        <v>0.53476000000000001</v>
      </c>
      <c r="AC483" s="35"/>
      <c r="AD483" s="66" t="str">
        <f>IF(COUNTIF($AH$4:$AQ$4,AD482)=1,"ok","MISSING")</f>
        <v>ok</v>
      </c>
      <c r="AU483" s="35"/>
      <c r="AV483" s="35"/>
      <c r="AW483" s="35"/>
      <c r="AX483" s="35"/>
      <c r="AY483" s="35"/>
      <c r="AZ483" s="35"/>
    </row>
    <row r="484" spans="1:52" x14ac:dyDescent="0.25">
      <c r="A484" s="22"/>
      <c r="B484" s="186" t="str">
        <f t="shared" si="394"/>
        <v>TFRELPG900</v>
      </c>
      <c r="C484" s="186"/>
      <c r="D484" s="187"/>
      <c r="E484" s="186"/>
      <c r="F484" s="170"/>
      <c r="G484" s="173" t="s">
        <v>652</v>
      </c>
      <c r="H484" s="170"/>
      <c r="I484" s="190"/>
      <c r="J484" s="191"/>
      <c r="K484" s="191"/>
      <c r="L484" s="191" t="s">
        <v>1126</v>
      </c>
      <c r="M484" s="191" t="s">
        <v>678</v>
      </c>
      <c r="N484" s="377">
        <f>T_CEFF!H230</f>
        <v>0.46948000000000001</v>
      </c>
      <c r="O484" s="377">
        <f>T_CEFF!I230</f>
        <v>0.46948000000000001</v>
      </c>
      <c r="P484" s="377">
        <f>T_CEFF!J230</f>
        <v>0.46948000000000001</v>
      </c>
      <c r="Q484" s="377">
        <f>T_CEFF!K230</f>
        <v>0.46948000000000001</v>
      </c>
      <c r="R484" s="377">
        <f>T_CEFF!L230</f>
        <v>0.46948000000000001</v>
      </c>
      <c r="S484" s="377">
        <f>T_CEFF!M230</f>
        <v>0.46948000000000001</v>
      </c>
      <c r="T484" s="377">
        <f>T_CEFF!N230</f>
        <v>0.46948000000000001</v>
      </c>
      <c r="U484" s="377">
        <f>T_CEFF!O230</f>
        <v>0.46948000000000001</v>
      </c>
      <c r="V484" s="377">
        <f>T_CEFF!P230</f>
        <v>0.46948000000000001</v>
      </c>
      <c r="W484" s="377">
        <f>T_CEFF!Q230</f>
        <v>0.46948000000000001</v>
      </c>
      <c r="X484" s="377">
        <f>T_CEFF!R230</f>
        <v>0.46948000000000001</v>
      </c>
      <c r="Y484" s="377">
        <f>T_CEFF!S230</f>
        <v>0.46948000000000001</v>
      </c>
      <c r="Z484" s="377">
        <f>T_CEFF!T230</f>
        <v>0.46948000000000001</v>
      </c>
      <c r="AA484" s="377">
        <f>T_CEFF!U230</f>
        <v>0.46948000000000001</v>
      </c>
      <c r="AB484" s="377">
        <f>T_CEFF!V230</f>
        <v>0.46948000000000001</v>
      </c>
    </row>
    <row r="485" spans="1:52" x14ac:dyDescent="0.25">
      <c r="A485" s="22"/>
      <c r="B485" s="186" t="str">
        <f t="shared" si="394"/>
        <v>TFRELPG900</v>
      </c>
      <c r="C485" s="186"/>
      <c r="D485" s="187"/>
      <c r="E485" s="186"/>
      <c r="F485" s="170"/>
      <c r="G485" s="189"/>
      <c r="H485" s="170"/>
      <c r="I485" s="190"/>
      <c r="J485" s="191"/>
      <c r="K485" s="191" t="s">
        <v>749</v>
      </c>
      <c r="L485" s="191" t="s">
        <v>1128</v>
      </c>
      <c r="M485" s="191" t="s">
        <v>1175</v>
      </c>
      <c r="N485" s="368">
        <f t="shared" ref="N485:AB485" si="395">N$25</f>
        <v>0</v>
      </c>
      <c r="O485" s="368">
        <f t="shared" si="395"/>
        <v>0</v>
      </c>
      <c r="P485" s="368">
        <f t="shared" si="395"/>
        <v>0</v>
      </c>
      <c r="Q485" s="368">
        <f t="shared" si="395"/>
        <v>0</v>
      </c>
      <c r="R485" s="368">
        <f t="shared" si="395"/>
        <v>0</v>
      </c>
      <c r="S485" s="368">
        <f t="shared" si="395"/>
        <v>0</v>
      </c>
      <c r="T485" s="368">
        <f t="shared" si="395"/>
        <v>0</v>
      </c>
      <c r="U485" s="368">
        <f t="shared" si="395"/>
        <v>0</v>
      </c>
      <c r="V485" s="368">
        <f t="shared" si="395"/>
        <v>0</v>
      </c>
      <c r="W485" s="368">
        <f t="shared" si="395"/>
        <v>0</v>
      </c>
      <c r="X485" s="368">
        <f t="shared" si="395"/>
        <v>0</v>
      </c>
      <c r="Y485" s="368">
        <f t="shared" si="395"/>
        <v>0</v>
      </c>
      <c r="Z485" s="368">
        <f t="shared" si="395"/>
        <v>0</v>
      </c>
      <c r="AA485" s="368">
        <f t="shared" si="395"/>
        <v>0</v>
      </c>
      <c r="AB485" s="368">
        <f t="shared" si="395"/>
        <v>0</v>
      </c>
    </row>
    <row r="486" spans="1:52" x14ac:dyDescent="0.25">
      <c r="A486" s="22"/>
      <c r="B486" s="186" t="str">
        <f t="shared" si="394"/>
        <v>TFRELPG900</v>
      </c>
      <c r="C486" s="186"/>
      <c r="D486" s="187"/>
      <c r="E486" s="186"/>
      <c r="F486" s="170"/>
      <c r="G486" s="189"/>
      <c r="H486" s="170"/>
      <c r="I486" s="190"/>
      <c r="J486" s="191"/>
      <c r="K486" s="191"/>
      <c r="L486" s="211" t="s">
        <v>1130</v>
      </c>
      <c r="M486" s="191" t="s">
        <v>1131</v>
      </c>
      <c r="N486" s="369">
        <f>LOOKUP($C$482, T_NCAP_AF!$C$185:$C$195, T_NCAP_AF!D$185:D$195)*(1+N375)</f>
        <v>22.84</v>
      </c>
      <c r="O486" s="369">
        <f>LOOKUP($C$482, T_NCAP_AF!$C$185:$C$195, T_NCAP_AF!E$185:E$195)*(1+O375)</f>
        <v>0</v>
      </c>
      <c r="P486" s="369">
        <f>LOOKUP($C$482, T_NCAP_AF!$C$185:$C$195, T_NCAP_AF!F$185:F$195)*(1+P375)</f>
        <v>0</v>
      </c>
      <c r="Q486" s="369">
        <f>LOOKUP($C$482, T_NCAP_AF!$C$185:$C$195, T_NCAP_AF!G$185:G$195)*(1+Q375)</f>
        <v>0</v>
      </c>
      <c r="R486" s="369">
        <f>LOOKUP($C$482, T_NCAP_AF!$C$185:$C$195, T_NCAP_AF!H$185:H$195)*(1+R375)</f>
        <v>0</v>
      </c>
      <c r="S486" s="369">
        <f>LOOKUP($C$482, T_NCAP_AF!$C$185:$C$195, T_NCAP_AF!I$185:I$195)*(1+S375)</f>
        <v>0</v>
      </c>
      <c r="T486" s="369">
        <f>LOOKUP($C$482, T_NCAP_AF!$C$185:$C$195, T_NCAP_AF!J$185:J$195)*(1+T375)</f>
        <v>0</v>
      </c>
      <c r="U486" s="369">
        <f>LOOKUP($C$482, T_NCAP_AF!$C$185:$C$195, T_NCAP_AF!K$185:K$195)*(1+U375)</f>
        <v>0</v>
      </c>
      <c r="V486" s="369">
        <f>LOOKUP($C$482, T_NCAP_AF!$C$185:$C$195, T_NCAP_AF!L$185:L$195)*(1+V375)</f>
        <v>0</v>
      </c>
      <c r="W486" s="369">
        <f>LOOKUP($C$482, T_NCAP_AF!$C$185:$C$195, T_NCAP_AF!M$185:M$195)*(1+W375)</f>
        <v>0</v>
      </c>
      <c r="X486" s="369">
        <f>LOOKUP($C$482, T_NCAP_AF!$C$185:$C$195, T_NCAP_AF!N$185:N$195)*(1+X375)</f>
        <v>0</v>
      </c>
      <c r="Y486" s="369">
        <f>LOOKUP($C$482, T_NCAP_AF!$C$185:$C$195, T_NCAP_AF!O$185:O$195)*(1+Y375)</f>
        <v>0</v>
      </c>
      <c r="Z486" s="369">
        <f>LOOKUP($C$482, T_NCAP_AF!$C$185:$C$195, T_NCAP_AF!P$185:P$195)*(1+Z375)</f>
        <v>0</v>
      </c>
      <c r="AA486" s="369">
        <f>LOOKUP($C$482, T_NCAP_AF!$C$185:$C$195, T_NCAP_AF!Q$185:Q$195)*(1+AA375)</f>
        <v>0</v>
      </c>
      <c r="AB486" s="369">
        <f>LOOKUP($C$482, T_NCAP_AF!$C$185:$C$195, T_NCAP_AF!R$185:R$195)*(1+AB375)</f>
        <v>0</v>
      </c>
      <c r="AE486" s="572">
        <f>SUM(AF486:AT486)</f>
        <v>0</v>
      </c>
      <c r="AF486" s="85">
        <f t="shared" ref="AF486:AT486" si="396">N485*N486*N487/1000</f>
        <v>0</v>
      </c>
      <c r="AG486" s="85">
        <f t="shared" si="396"/>
        <v>0</v>
      </c>
      <c r="AH486" s="85">
        <f t="shared" si="396"/>
        <v>0</v>
      </c>
      <c r="AI486" s="85">
        <f t="shared" si="396"/>
        <v>0</v>
      </c>
      <c r="AJ486" s="85">
        <f t="shared" si="396"/>
        <v>0</v>
      </c>
      <c r="AK486" s="85">
        <f t="shared" si="396"/>
        <v>0</v>
      </c>
      <c r="AL486" s="85">
        <f t="shared" si="396"/>
        <v>0</v>
      </c>
      <c r="AM486" s="85">
        <f t="shared" si="396"/>
        <v>0</v>
      </c>
      <c r="AN486" s="85">
        <f t="shared" si="396"/>
        <v>0</v>
      </c>
      <c r="AO486" s="85">
        <f t="shared" si="396"/>
        <v>0</v>
      </c>
      <c r="AP486" s="85">
        <f t="shared" si="396"/>
        <v>0</v>
      </c>
      <c r="AQ486" s="85">
        <f t="shared" si="396"/>
        <v>0</v>
      </c>
      <c r="AR486" s="85">
        <f t="shared" si="396"/>
        <v>0</v>
      </c>
      <c r="AS486" s="85">
        <f t="shared" si="396"/>
        <v>0</v>
      </c>
      <c r="AT486" s="85">
        <f t="shared" si="396"/>
        <v>0</v>
      </c>
    </row>
    <row r="487" spans="1:52" x14ac:dyDescent="0.25">
      <c r="A487" s="22"/>
      <c r="B487" s="186" t="str">
        <f t="shared" si="394"/>
        <v>TFRELPG900</v>
      </c>
      <c r="C487" s="186"/>
      <c r="D487" s="187"/>
      <c r="E487" s="186"/>
      <c r="F487" s="170"/>
      <c r="G487" s="189"/>
      <c r="H487" s="170"/>
      <c r="I487" s="190">
        <f>$M$3</f>
        <v>2019</v>
      </c>
      <c r="J487" s="191"/>
      <c r="K487" s="191"/>
      <c r="L487" s="211" t="s">
        <v>1065</v>
      </c>
      <c r="M487" s="191" t="s">
        <v>748</v>
      </c>
      <c r="N487" s="694">
        <f>LOOKUP($C$482, 'T_Stock_TOTAL_&amp;_City'!$C$122:$C$133,'T_Stock_TOTAL_&amp;_City'!D$122:D$133)*(1+N$376)</f>
        <v>0</v>
      </c>
      <c r="O487" s="694">
        <f>LOOKUP($C$482, 'T_Stock_TOTAL_&amp;_City'!$C$122:$C$133,'T_Stock_TOTAL_&amp;_City'!E$122:E$133)*(1+O$376)</f>
        <v>0</v>
      </c>
      <c r="P487" s="694">
        <f>LOOKUP($C$482, 'T_Stock_TOTAL_&amp;_City'!$C$122:$C$133,'T_Stock_TOTAL_&amp;_City'!F$122:F$133)*(1+P$376)</f>
        <v>0</v>
      </c>
      <c r="Q487" s="694">
        <f>LOOKUP($C$482, 'T_Stock_TOTAL_&amp;_City'!$C$122:$C$133,'T_Stock_TOTAL_&amp;_City'!G$122:G$133)*(1+Q$376)</f>
        <v>0</v>
      </c>
      <c r="R487" s="694">
        <f>LOOKUP($C$482, 'T_Stock_TOTAL_&amp;_City'!$C$122:$C$133,'T_Stock_TOTAL_&amp;_City'!H$122:H$133)*(1+R$376)</f>
        <v>0</v>
      </c>
      <c r="S487" s="694">
        <f>LOOKUP($C$482, 'T_Stock_TOTAL_&amp;_City'!$C$122:$C$133,'T_Stock_TOTAL_&amp;_City'!I$122:I$133)*(1+S$376)</f>
        <v>0</v>
      </c>
      <c r="T487" s="694">
        <f>LOOKUP($C$482, 'T_Stock_TOTAL_&amp;_City'!$C$122:$C$133,'T_Stock_TOTAL_&amp;_City'!J$122:J$133)*(1+T$376)</f>
        <v>0</v>
      </c>
      <c r="U487" s="694">
        <f>LOOKUP($C$482, 'T_Stock_TOTAL_&amp;_City'!$C$122:$C$133,'T_Stock_TOTAL_&amp;_City'!K$122:K$133)*(1+U$376)</f>
        <v>0</v>
      </c>
      <c r="V487" s="694">
        <f>LOOKUP($C$482, 'T_Stock_TOTAL_&amp;_City'!$C$122:$C$133,'T_Stock_TOTAL_&amp;_City'!L$122:L$133)*(1+V$376)</f>
        <v>0</v>
      </c>
      <c r="W487" s="694">
        <f>LOOKUP($C$482, 'T_Stock_TOTAL_&amp;_City'!$C$122:$C$133,'T_Stock_TOTAL_&amp;_City'!M$122:M$133)*(1+W$376)</f>
        <v>0</v>
      </c>
      <c r="X487" s="694">
        <f>LOOKUP($C$482, 'T_Stock_TOTAL_&amp;_City'!$C$122:$C$133,'T_Stock_TOTAL_&amp;_City'!N$122:N$133)*(1+X$376)</f>
        <v>0</v>
      </c>
      <c r="Y487" s="694">
        <f>LOOKUP($C$482, 'T_Stock_TOTAL_&amp;_City'!$C$122:$C$133,'T_Stock_TOTAL_&amp;_City'!O$122:O$133)*(1+Y$376)</f>
        <v>0</v>
      </c>
      <c r="Z487" s="694">
        <f>LOOKUP($C$482, 'T_Stock_TOTAL_&amp;_City'!$C$122:$C$133,'T_Stock_TOTAL_&amp;_City'!P$122:P$133)*(1+Z$376)</f>
        <v>0</v>
      </c>
      <c r="AA487" s="694">
        <f>LOOKUP($C$482, 'T_Stock_TOTAL_&amp;_City'!$C$122:$C$133,'T_Stock_TOTAL_&amp;_City'!Q$122:Q$133)*(1+AA$376)</f>
        <v>0</v>
      </c>
      <c r="AB487" s="694">
        <f>LOOKUP($C$482, 'T_Stock_TOTAL_&amp;_City'!$C$122:$C$133,'T_Stock_TOTAL_&amp;_City'!R$122:R$133)*(1+AB$376)</f>
        <v>0</v>
      </c>
    </row>
    <row r="488" spans="1:52" x14ac:dyDescent="0.25">
      <c r="A488" s="22"/>
      <c r="B488" s="186" t="str">
        <f t="shared" si="394"/>
        <v>TFRELPG900</v>
      </c>
      <c r="C488" s="186"/>
      <c r="D488" s="187"/>
      <c r="E488" s="186"/>
      <c r="F488" s="170"/>
      <c r="G488" s="189"/>
      <c r="H488" s="170"/>
      <c r="I488" s="183">
        <f>AF$5</f>
        <v>2016</v>
      </c>
      <c r="J488" s="191"/>
      <c r="K488" s="191"/>
      <c r="L488" s="211" t="s">
        <v>1065</v>
      </c>
      <c r="M488" s="191" t="s">
        <v>748</v>
      </c>
      <c r="N488" s="694">
        <f t="shared" ref="N488:AB488" si="397">N487*LOOKUP($AD482,$AH$4:$AQ$4,$AH$5:$AQ$5)</f>
        <v>0</v>
      </c>
      <c r="O488" s="694">
        <f t="shared" si="397"/>
        <v>0</v>
      </c>
      <c r="P488" s="694">
        <f t="shared" si="397"/>
        <v>0</v>
      </c>
      <c r="Q488" s="694">
        <f t="shared" si="397"/>
        <v>0</v>
      </c>
      <c r="R488" s="694">
        <f t="shared" si="397"/>
        <v>0</v>
      </c>
      <c r="S488" s="694">
        <f t="shared" si="397"/>
        <v>0</v>
      </c>
      <c r="T488" s="694">
        <f t="shared" si="397"/>
        <v>0</v>
      </c>
      <c r="U488" s="694">
        <f t="shared" si="397"/>
        <v>0</v>
      </c>
      <c r="V488" s="694">
        <f t="shared" si="397"/>
        <v>0</v>
      </c>
      <c r="W488" s="694">
        <f t="shared" si="397"/>
        <v>0</v>
      </c>
      <c r="X488" s="694">
        <f t="shared" si="397"/>
        <v>0</v>
      </c>
      <c r="Y488" s="694">
        <f t="shared" si="397"/>
        <v>0</v>
      </c>
      <c r="Z488" s="694">
        <f t="shared" si="397"/>
        <v>0</v>
      </c>
      <c r="AA488" s="694">
        <f t="shared" si="397"/>
        <v>0</v>
      </c>
      <c r="AB488" s="694">
        <f t="shared" si="397"/>
        <v>0</v>
      </c>
    </row>
    <row r="489" spans="1:52" x14ac:dyDescent="0.25">
      <c r="A489" s="22"/>
      <c r="B489" s="186" t="str">
        <f t="shared" si="394"/>
        <v>TFRELPG900</v>
      </c>
      <c r="C489" s="186"/>
      <c r="D489" s="187"/>
      <c r="E489" s="186"/>
      <c r="F489" s="170"/>
      <c r="G489" s="189"/>
      <c r="H489" s="170"/>
      <c r="I489" s="183">
        <f>AF$6</f>
        <v>2020</v>
      </c>
      <c r="J489" s="191"/>
      <c r="K489" s="191"/>
      <c r="L489" s="211" t="s">
        <v>1065</v>
      </c>
      <c r="M489" s="191" t="s">
        <v>748</v>
      </c>
      <c r="N489" s="694">
        <f t="shared" ref="N489:AB489" si="398">N487*LOOKUP($AD482,$AH$4:$AQ$4,$AH$6:$AQ$6)</f>
        <v>0</v>
      </c>
      <c r="O489" s="694">
        <f t="shared" si="398"/>
        <v>0</v>
      </c>
      <c r="P489" s="694">
        <f t="shared" si="398"/>
        <v>0</v>
      </c>
      <c r="Q489" s="694">
        <f t="shared" si="398"/>
        <v>0</v>
      </c>
      <c r="R489" s="694">
        <f t="shared" si="398"/>
        <v>0</v>
      </c>
      <c r="S489" s="694">
        <f t="shared" si="398"/>
        <v>0</v>
      </c>
      <c r="T489" s="694">
        <f t="shared" si="398"/>
        <v>0</v>
      </c>
      <c r="U489" s="694">
        <f t="shared" si="398"/>
        <v>0</v>
      </c>
      <c r="V489" s="694">
        <f t="shared" si="398"/>
        <v>0</v>
      </c>
      <c r="W489" s="694">
        <f t="shared" si="398"/>
        <v>0</v>
      </c>
      <c r="X489" s="694">
        <f t="shared" si="398"/>
        <v>0</v>
      </c>
      <c r="Y489" s="694">
        <f t="shared" si="398"/>
        <v>0</v>
      </c>
      <c r="Z489" s="694">
        <f t="shared" si="398"/>
        <v>0</v>
      </c>
      <c r="AA489" s="694">
        <f t="shared" si="398"/>
        <v>0</v>
      </c>
      <c r="AB489" s="694">
        <f t="shared" si="398"/>
        <v>0</v>
      </c>
    </row>
    <row r="490" spans="1:52" x14ac:dyDescent="0.25">
      <c r="A490" s="22"/>
      <c r="B490" s="186" t="str">
        <f t="shared" si="394"/>
        <v>TFRELPG900</v>
      </c>
      <c r="C490" s="186"/>
      <c r="D490" s="187"/>
      <c r="E490" s="186"/>
      <c r="F490" s="170"/>
      <c r="G490" s="189"/>
      <c r="H490" s="170"/>
      <c r="I490" s="183">
        <f>AF$7</f>
        <v>2025</v>
      </c>
      <c r="J490" s="191"/>
      <c r="K490" s="191"/>
      <c r="L490" s="211" t="s">
        <v>1065</v>
      </c>
      <c r="M490" s="191" t="s">
        <v>748</v>
      </c>
      <c r="N490" s="694">
        <f t="shared" ref="N490:AB490" si="399">N487*LOOKUP($AD482,$AH$4:$AQ$4,$AH$7:$AQ$7)</f>
        <v>0</v>
      </c>
      <c r="O490" s="694">
        <f t="shared" si="399"/>
        <v>0</v>
      </c>
      <c r="P490" s="694">
        <f t="shared" si="399"/>
        <v>0</v>
      </c>
      <c r="Q490" s="694">
        <f t="shared" si="399"/>
        <v>0</v>
      </c>
      <c r="R490" s="694">
        <f t="shared" si="399"/>
        <v>0</v>
      </c>
      <c r="S490" s="694">
        <f t="shared" si="399"/>
        <v>0</v>
      </c>
      <c r="T490" s="694">
        <f t="shared" si="399"/>
        <v>0</v>
      </c>
      <c r="U490" s="694">
        <f t="shared" si="399"/>
        <v>0</v>
      </c>
      <c r="V490" s="694">
        <f t="shared" si="399"/>
        <v>0</v>
      </c>
      <c r="W490" s="694">
        <f t="shared" si="399"/>
        <v>0</v>
      </c>
      <c r="X490" s="694">
        <f t="shared" si="399"/>
        <v>0</v>
      </c>
      <c r="Y490" s="694">
        <f t="shared" si="399"/>
        <v>0</v>
      </c>
      <c r="Z490" s="694">
        <f t="shared" si="399"/>
        <v>0</v>
      </c>
      <c r="AA490" s="694">
        <f t="shared" si="399"/>
        <v>0</v>
      </c>
      <c r="AB490" s="694">
        <f t="shared" si="399"/>
        <v>0</v>
      </c>
    </row>
    <row r="491" spans="1:52" x14ac:dyDescent="0.25">
      <c r="A491" s="22"/>
      <c r="B491" s="186" t="str">
        <f t="shared" si="394"/>
        <v>TFRELPG900</v>
      </c>
      <c r="C491" s="186"/>
      <c r="D491" s="187"/>
      <c r="E491" s="186"/>
      <c r="F491" s="170"/>
      <c r="G491" s="189"/>
      <c r="H491" s="170"/>
      <c r="I491" s="183">
        <f>AF$8</f>
        <v>2030</v>
      </c>
      <c r="J491" s="191"/>
      <c r="K491" s="191"/>
      <c r="L491" s="211" t="s">
        <v>1065</v>
      </c>
      <c r="M491" s="191" t="s">
        <v>748</v>
      </c>
      <c r="N491" s="694">
        <f t="shared" ref="N491:AB491" si="400">N487*LOOKUP($AD482,$AH$4:$AQ$4,$AH$8:$AQ$8)</f>
        <v>0</v>
      </c>
      <c r="O491" s="694">
        <f t="shared" si="400"/>
        <v>0</v>
      </c>
      <c r="P491" s="694">
        <f t="shared" si="400"/>
        <v>0</v>
      </c>
      <c r="Q491" s="694">
        <f t="shared" si="400"/>
        <v>0</v>
      </c>
      <c r="R491" s="694">
        <f t="shared" si="400"/>
        <v>0</v>
      </c>
      <c r="S491" s="694">
        <f t="shared" si="400"/>
        <v>0</v>
      </c>
      <c r="T491" s="694">
        <f t="shared" si="400"/>
        <v>0</v>
      </c>
      <c r="U491" s="694">
        <f t="shared" si="400"/>
        <v>0</v>
      </c>
      <c r="V491" s="694">
        <f t="shared" si="400"/>
        <v>0</v>
      </c>
      <c r="W491" s="694">
        <f t="shared" si="400"/>
        <v>0</v>
      </c>
      <c r="X491" s="694">
        <f t="shared" si="400"/>
        <v>0</v>
      </c>
      <c r="Y491" s="694">
        <f t="shared" si="400"/>
        <v>0</v>
      </c>
      <c r="Z491" s="694">
        <f t="shared" si="400"/>
        <v>0</v>
      </c>
      <c r="AA491" s="694">
        <f t="shared" si="400"/>
        <v>0</v>
      </c>
      <c r="AB491" s="694">
        <f t="shared" si="400"/>
        <v>0</v>
      </c>
    </row>
    <row r="492" spans="1:52" x14ac:dyDescent="0.25">
      <c r="A492" s="22"/>
      <c r="B492" s="186" t="str">
        <f t="shared" si="394"/>
        <v>TFRELPG900</v>
      </c>
      <c r="C492" s="186"/>
      <c r="D492" s="187"/>
      <c r="E492" s="186"/>
      <c r="F492" s="170"/>
      <c r="G492" s="189"/>
      <c r="H492" s="170"/>
      <c r="I492" s="183">
        <f>AF$9</f>
        <v>2040</v>
      </c>
      <c r="J492" s="191"/>
      <c r="K492" s="191"/>
      <c r="L492" s="211" t="s">
        <v>1065</v>
      </c>
      <c r="M492" s="191" t="s">
        <v>748</v>
      </c>
      <c r="N492" s="694">
        <f t="shared" ref="N492:AB492" si="401">N487*LOOKUP($AD482,$AH$4:$AQ$4,$AH$9:$AQ$9)</f>
        <v>0</v>
      </c>
      <c r="O492" s="694">
        <f t="shared" si="401"/>
        <v>0</v>
      </c>
      <c r="P492" s="694">
        <f t="shared" si="401"/>
        <v>0</v>
      </c>
      <c r="Q492" s="694">
        <f t="shared" si="401"/>
        <v>0</v>
      </c>
      <c r="R492" s="694">
        <f t="shared" si="401"/>
        <v>0</v>
      </c>
      <c r="S492" s="694">
        <f t="shared" si="401"/>
        <v>0</v>
      </c>
      <c r="T492" s="694">
        <f t="shared" si="401"/>
        <v>0</v>
      </c>
      <c r="U492" s="694">
        <f t="shared" si="401"/>
        <v>0</v>
      </c>
      <c r="V492" s="694">
        <f t="shared" si="401"/>
        <v>0</v>
      </c>
      <c r="W492" s="694">
        <f t="shared" si="401"/>
        <v>0</v>
      </c>
      <c r="X492" s="694">
        <f t="shared" si="401"/>
        <v>0</v>
      </c>
      <c r="Y492" s="694">
        <f t="shared" si="401"/>
        <v>0</v>
      </c>
      <c r="Z492" s="694">
        <f t="shared" si="401"/>
        <v>0</v>
      </c>
      <c r="AA492" s="694">
        <f t="shared" si="401"/>
        <v>0</v>
      </c>
      <c r="AB492" s="694">
        <f t="shared" si="401"/>
        <v>0</v>
      </c>
    </row>
    <row r="493" spans="1:52" x14ac:dyDescent="0.25">
      <c r="A493" s="22"/>
      <c r="B493" s="193" t="str">
        <f t="shared" si="394"/>
        <v>TFRELPG900</v>
      </c>
      <c r="C493" s="193"/>
      <c r="D493" s="194"/>
      <c r="E493" s="193"/>
      <c r="F493" s="196"/>
      <c r="G493" s="195"/>
      <c r="H493" s="196"/>
      <c r="I493" s="208">
        <f>AF$10</f>
        <v>2050</v>
      </c>
      <c r="J493" s="198"/>
      <c r="K493" s="198"/>
      <c r="L493" s="212" t="s">
        <v>1065</v>
      </c>
      <c r="M493" s="198" t="s">
        <v>748</v>
      </c>
      <c r="N493" s="695">
        <f t="shared" ref="N493:AB493" si="402">N487*LOOKUP($AD482,$AH$4:$AQ$4,$AH$10:$AQ$10)</f>
        <v>0</v>
      </c>
      <c r="O493" s="695">
        <f t="shared" si="402"/>
        <v>0</v>
      </c>
      <c r="P493" s="695">
        <f t="shared" si="402"/>
        <v>0</v>
      </c>
      <c r="Q493" s="695">
        <f t="shared" si="402"/>
        <v>0</v>
      </c>
      <c r="R493" s="695">
        <f t="shared" si="402"/>
        <v>0</v>
      </c>
      <c r="S493" s="695">
        <f t="shared" si="402"/>
        <v>0</v>
      </c>
      <c r="T493" s="695">
        <f t="shared" si="402"/>
        <v>0</v>
      </c>
      <c r="U493" s="695">
        <f t="shared" si="402"/>
        <v>0</v>
      </c>
      <c r="V493" s="695">
        <f t="shared" si="402"/>
        <v>0</v>
      </c>
      <c r="W493" s="695">
        <f t="shared" si="402"/>
        <v>0</v>
      </c>
      <c r="X493" s="695">
        <f t="shared" si="402"/>
        <v>0</v>
      </c>
      <c r="Y493" s="695">
        <f t="shared" si="402"/>
        <v>0</v>
      </c>
      <c r="Z493" s="695">
        <f t="shared" si="402"/>
        <v>0</v>
      </c>
      <c r="AA493" s="695">
        <f t="shared" si="402"/>
        <v>0</v>
      </c>
      <c r="AB493" s="695">
        <f t="shared" si="402"/>
        <v>0</v>
      </c>
    </row>
    <row r="494" spans="1:52" x14ac:dyDescent="0.25">
      <c r="A494" s="82"/>
      <c r="B494" s="178" t="str">
        <f>C494</f>
        <v>TFREPYD900</v>
      </c>
      <c r="C494" s="178" t="s">
        <v>160</v>
      </c>
      <c r="D494" s="179" t="s">
        <v>867</v>
      </c>
      <c r="E494" s="180" t="s">
        <v>185</v>
      </c>
      <c r="F494" s="182"/>
      <c r="G494" s="181"/>
      <c r="H494" s="182"/>
      <c r="I494" s="183"/>
      <c r="J494" s="184"/>
      <c r="K494" s="184"/>
      <c r="L494" s="203" t="s">
        <v>1107</v>
      </c>
      <c r="M494" s="184" t="s">
        <v>1125</v>
      </c>
      <c r="N494" s="378">
        <v>1E-3</v>
      </c>
      <c r="O494" s="378">
        <f t="shared" ref="O494:AB494" si="403">$N494</f>
        <v>1E-3</v>
      </c>
      <c r="P494" s="378">
        <f t="shared" si="403"/>
        <v>1E-3</v>
      </c>
      <c r="Q494" s="378">
        <f t="shared" si="403"/>
        <v>1E-3</v>
      </c>
      <c r="R494" s="378">
        <f t="shared" si="403"/>
        <v>1E-3</v>
      </c>
      <c r="S494" s="378">
        <f t="shared" si="403"/>
        <v>1E-3</v>
      </c>
      <c r="T494" s="378">
        <f t="shared" si="403"/>
        <v>1E-3</v>
      </c>
      <c r="U494" s="378">
        <f t="shared" si="403"/>
        <v>1E-3</v>
      </c>
      <c r="V494" s="378">
        <f t="shared" si="403"/>
        <v>1E-3</v>
      </c>
      <c r="W494" s="378">
        <f t="shared" si="403"/>
        <v>1E-3</v>
      </c>
      <c r="X494" s="378">
        <f t="shared" si="403"/>
        <v>1E-3</v>
      </c>
      <c r="Y494" s="378">
        <f t="shared" si="403"/>
        <v>1E-3</v>
      </c>
      <c r="Z494" s="378">
        <f t="shared" si="403"/>
        <v>1E-3</v>
      </c>
      <c r="AA494" s="378">
        <f t="shared" si="403"/>
        <v>1E-3</v>
      </c>
      <c r="AB494" s="378">
        <f t="shared" si="403"/>
        <v>1E-3</v>
      </c>
      <c r="AC494" s="83"/>
      <c r="AD494" s="402" t="str">
        <f>MID(D494,13,3)</f>
        <v>Plu</v>
      </c>
      <c r="AU494" s="83"/>
      <c r="AV494" s="83"/>
      <c r="AW494" s="83"/>
      <c r="AX494" s="83"/>
      <c r="AY494" s="83"/>
      <c r="AZ494" s="83"/>
    </row>
    <row r="495" spans="1:52" s="83" customFormat="1" x14ac:dyDescent="0.25">
      <c r="A495" s="82"/>
      <c r="B495" s="178" t="str">
        <f>B494</f>
        <v>TFREPYD900</v>
      </c>
      <c r="C495" s="178"/>
      <c r="D495" s="179"/>
      <c r="E495" s="407" t="s">
        <v>988</v>
      </c>
      <c r="F495" s="182"/>
      <c r="G495" s="181"/>
      <c r="H495" s="182"/>
      <c r="I495" s="183"/>
      <c r="J495" s="184" t="s">
        <v>1223</v>
      </c>
      <c r="K495" s="184"/>
      <c r="L495" s="203" t="s">
        <v>101</v>
      </c>
      <c r="M495" s="184"/>
      <c r="N495" s="390">
        <f>N$28</f>
        <v>0.15</v>
      </c>
      <c r="O495" s="390">
        <f t="shared" ref="O495:AB495" si="404">O$28</f>
        <v>0.15</v>
      </c>
      <c r="P495" s="390">
        <f t="shared" si="404"/>
        <v>0.15</v>
      </c>
      <c r="Q495" s="390">
        <f t="shared" si="404"/>
        <v>0.15</v>
      </c>
      <c r="R495" s="390">
        <f t="shared" si="404"/>
        <v>0.15</v>
      </c>
      <c r="S495" s="390">
        <f t="shared" si="404"/>
        <v>0.15</v>
      </c>
      <c r="T495" s="390">
        <f t="shared" si="404"/>
        <v>0.15</v>
      </c>
      <c r="U495" s="390">
        <f t="shared" si="404"/>
        <v>0.15</v>
      </c>
      <c r="V495" s="390">
        <f t="shared" si="404"/>
        <v>0.15</v>
      </c>
      <c r="W495" s="390">
        <f t="shared" si="404"/>
        <v>0.15</v>
      </c>
      <c r="X495" s="390">
        <f t="shared" si="404"/>
        <v>0.15</v>
      </c>
      <c r="Y495" s="390">
        <f t="shared" si="404"/>
        <v>0.15</v>
      </c>
      <c r="Z495" s="390">
        <f t="shared" si="404"/>
        <v>0.15</v>
      </c>
      <c r="AA495" s="390">
        <f t="shared" si="404"/>
        <v>0.15</v>
      </c>
      <c r="AB495" s="390">
        <f t="shared" si="404"/>
        <v>0.15</v>
      </c>
      <c r="AD495" s="66" t="str">
        <f>IF(COUNTIF($AH$4:$AQ$4,AD494)=1,"ok","MISSING")</f>
        <v>ok</v>
      </c>
      <c r="AF495" s="333"/>
    </row>
    <row r="496" spans="1:52" s="83" customFormat="1" x14ac:dyDescent="0.25">
      <c r="B496" s="178" t="str">
        <f t="shared" ref="B496:B506" si="405">B495</f>
        <v>TFREPYD900</v>
      </c>
      <c r="C496" s="178"/>
      <c r="D496" s="179"/>
      <c r="E496" s="178"/>
      <c r="F496" s="182"/>
      <c r="G496" s="173" t="s">
        <v>649</v>
      </c>
      <c r="H496" s="182"/>
      <c r="I496" s="183"/>
      <c r="J496" s="184"/>
      <c r="K496" s="184"/>
      <c r="L496" s="184" t="s">
        <v>1126</v>
      </c>
      <c r="M496" s="184" t="s">
        <v>678</v>
      </c>
      <c r="N496" s="377">
        <f>T_CEFF!H231</f>
        <v>1.2987</v>
      </c>
      <c r="O496" s="377">
        <f>T_CEFF!I231</f>
        <v>1.2987</v>
      </c>
      <c r="P496" s="377">
        <f>T_CEFF!J231</f>
        <v>1.2987</v>
      </c>
      <c r="Q496" s="377">
        <f>T_CEFF!K231</f>
        <v>1.2987</v>
      </c>
      <c r="R496" s="377">
        <f>T_CEFF!L231</f>
        <v>1.2987</v>
      </c>
      <c r="S496" s="377">
        <f>T_CEFF!M231</f>
        <v>1.2987</v>
      </c>
      <c r="T496" s="377">
        <f>T_CEFF!N231</f>
        <v>1.2987</v>
      </c>
      <c r="U496" s="377">
        <f>T_CEFF!O231</f>
        <v>1.2987</v>
      </c>
      <c r="V496" s="377">
        <f>T_CEFF!P231</f>
        <v>1.2987</v>
      </c>
      <c r="W496" s="377">
        <f>T_CEFF!Q231</f>
        <v>1.2987</v>
      </c>
      <c r="X496" s="377">
        <f>T_CEFF!R231</f>
        <v>1.2987</v>
      </c>
      <c r="Y496" s="377">
        <f>T_CEFF!S231</f>
        <v>1.2987</v>
      </c>
      <c r="Z496" s="377">
        <f>T_CEFF!T231</f>
        <v>1.2987</v>
      </c>
      <c r="AA496" s="377">
        <f>T_CEFF!U231</f>
        <v>1.2987</v>
      </c>
      <c r="AB496" s="377">
        <f>T_CEFF!V231</f>
        <v>1.2987</v>
      </c>
    </row>
    <row r="497" spans="1:46" s="83" customFormat="1" x14ac:dyDescent="0.25">
      <c r="B497" s="178" t="str">
        <f t="shared" si="405"/>
        <v>TFREPYD900</v>
      </c>
      <c r="C497" s="178"/>
      <c r="D497" s="179"/>
      <c r="E497" s="178"/>
      <c r="F497" s="182"/>
      <c r="G497" s="173" t="s">
        <v>652</v>
      </c>
      <c r="H497" s="182"/>
      <c r="I497" s="183"/>
      <c r="J497" s="184"/>
      <c r="K497" s="184"/>
      <c r="L497" s="184" t="s">
        <v>1126</v>
      </c>
      <c r="M497" s="184" t="s">
        <v>678</v>
      </c>
      <c r="N497" s="377">
        <f>T_CEFF!H232</f>
        <v>1.6129</v>
      </c>
      <c r="O497" s="377">
        <f>T_CEFF!I232</f>
        <v>1.6129</v>
      </c>
      <c r="P497" s="377">
        <f>T_CEFF!J232</f>
        <v>1.6129</v>
      </c>
      <c r="Q497" s="377">
        <f>T_CEFF!K232</f>
        <v>1.6129</v>
      </c>
      <c r="R497" s="377">
        <f>T_CEFF!L232</f>
        <v>1.6129</v>
      </c>
      <c r="S497" s="377">
        <f>T_CEFF!M232</f>
        <v>1.6129</v>
      </c>
      <c r="T497" s="377">
        <f>T_CEFF!N232</f>
        <v>1.6129</v>
      </c>
      <c r="U497" s="377">
        <f>T_CEFF!O232</f>
        <v>1.6129</v>
      </c>
      <c r="V497" s="377">
        <f>T_CEFF!P232</f>
        <v>1.6129</v>
      </c>
      <c r="W497" s="377">
        <f>T_CEFF!Q232</f>
        <v>1.6129</v>
      </c>
      <c r="X497" s="377">
        <f>T_CEFF!R232</f>
        <v>1.6129</v>
      </c>
      <c r="Y497" s="377">
        <f>T_CEFF!S232</f>
        <v>1.6129</v>
      </c>
      <c r="Z497" s="377">
        <f>T_CEFF!T232</f>
        <v>1.6129</v>
      </c>
      <c r="AA497" s="377">
        <f>T_CEFF!U232</f>
        <v>1.6129</v>
      </c>
      <c r="AB497" s="377">
        <f>T_CEFF!V232</f>
        <v>1.6129</v>
      </c>
    </row>
    <row r="498" spans="1:46" s="83" customFormat="1" x14ac:dyDescent="0.25">
      <c r="B498" s="178" t="str">
        <f>B497</f>
        <v>TFREPYD900</v>
      </c>
      <c r="C498" s="178"/>
      <c r="D498" s="179"/>
      <c r="E498" s="178"/>
      <c r="F498" s="182"/>
      <c r="G498" s="181"/>
      <c r="H498" s="182"/>
      <c r="I498" s="183"/>
      <c r="J498" s="184"/>
      <c r="K498" s="184" t="s">
        <v>749</v>
      </c>
      <c r="L498" s="184" t="s">
        <v>1128</v>
      </c>
      <c r="M498" s="184" t="s">
        <v>1175</v>
      </c>
      <c r="N498" s="368">
        <f t="shared" ref="N498:AB498" si="406">N$25</f>
        <v>0</v>
      </c>
      <c r="O498" s="368">
        <f t="shared" si="406"/>
        <v>0</v>
      </c>
      <c r="P498" s="368">
        <f t="shared" si="406"/>
        <v>0</v>
      </c>
      <c r="Q498" s="368">
        <f t="shared" si="406"/>
        <v>0</v>
      </c>
      <c r="R498" s="368">
        <f t="shared" si="406"/>
        <v>0</v>
      </c>
      <c r="S498" s="368">
        <f t="shared" si="406"/>
        <v>0</v>
      </c>
      <c r="T498" s="368">
        <f t="shared" si="406"/>
        <v>0</v>
      </c>
      <c r="U498" s="368">
        <f t="shared" si="406"/>
        <v>0</v>
      </c>
      <c r="V498" s="368">
        <f t="shared" si="406"/>
        <v>0</v>
      </c>
      <c r="W498" s="368">
        <f t="shared" si="406"/>
        <v>0</v>
      </c>
      <c r="X498" s="368">
        <f t="shared" si="406"/>
        <v>0</v>
      </c>
      <c r="Y498" s="368">
        <f t="shared" si="406"/>
        <v>0</v>
      </c>
      <c r="Z498" s="368">
        <f t="shared" si="406"/>
        <v>0</v>
      </c>
      <c r="AA498" s="368">
        <f t="shared" si="406"/>
        <v>0</v>
      </c>
      <c r="AB498" s="368">
        <f t="shared" si="406"/>
        <v>0</v>
      </c>
    </row>
    <row r="499" spans="1:46" s="83" customFormat="1" x14ac:dyDescent="0.25">
      <c r="B499" s="178" t="str">
        <f t="shared" si="405"/>
        <v>TFREPYD900</v>
      </c>
      <c r="C499" s="178"/>
      <c r="D499" s="179"/>
      <c r="E499" s="178"/>
      <c r="F499" s="182"/>
      <c r="G499" s="181"/>
      <c r="H499" s="182"/>
      <c r="I499" s="183"/>
      <c r="J499" s="184"/>
      <c r="K499" s="184"/>
      <c r="L499" s="203" t="s">
        <v>1130</v>
      </c>
      <c r="M499" s="184" t="s">
        <v>1131</v>
      </c>
      <c r="N499" s="369">
        <f>LOOKUP($C$494, T_NCAP_AF!$C$185:$C$195, T_NCAP_AF!D$185:D$195)*(1+N375)</f>
        <v>22.84</v>
      </c>
      <c r="O499" s="369">
        <f>LOOKUP($C$494, T_NCAP_AF!$C$185:$C$195, T_NCAP_AF!E$185:E$195)*(1+O375)</f>
        <v>0</v>
      </c>
      <c r="P499" s="369">
        <f>LOOKUP($C$494, T_NCAP_AF!$C$185:$C$195, T_NCAP_AF!F$185:F$195)*(1+P375)</f>
        <v>0</v>
      </c>
      <c r="Q499" s="369">
        <f>LOOKUP($C$494, T_NCAP_AF!$C$185:$C$195, T_NCAP_AF!G$185:G$195)*(1+Q375)</f>
        <v>0</v>
      </c>
      <c r="R499" s="369">
        <f>LOOKUP($C$494, T_NCAP_AF!$C$185:$C$195, T_NCAP_AF!H$185:H$195)*(1+R375)</f>
        <v>0</v>
      </c>
      <c r="S499" s="369">
        <f>LOOKUP($C$494, T_NCAP_AF!$C$185:$C$195, T_NCAP_AF!I$185:I$195)*(1+S375)</f>
        <v>0</v>
      </c>
      <c r="T499" s="369">
        <f>LOOKUP($C$494, T_NCAP_AF!$C$185:$C$195, T_NCAP_AF!J$185:J$195)*(1+T375)</f>
        <v>0</v>
      </c>
      <c r="U499" s="369">
        <f>LOOKUP($C$494, T_NCAP_AF!$C$185:$C$195, T_NCAP_AF!K$185:K$195)*(1+U375)</f>
        <v>0</v>
      </c>
      <c r="V499" s="369">
        <f>LOOKUP($C$494, T_NCAP_AF!$C$185:$C$195, T_NCAP_AF!L$185:L$195)*(1+V375)</f>
        <v>0</v>
      </c>
      <c r="W499" s="369">
        <f>LOOKUP($C$494, T_NCAP_AF!$C$185:$C$195, T_NCAP_AF!M$185:M$195)*(1+W375)</f>
        <v>0</v>
      </c>
      <c r="X499" s="369">
        <f>LOOKUP($C$494, T_NCAP_AF!$C$185:$C$195, T_NCAP_AF!N$185:N$195)*(1+X375)</f>
        <v>0</v>
      </c>
      <c r="Y499" s="369">
        <f>LOOKUP($C$494, T_NCAP_AF!$C$185:$C$195, T_NCAP_AF!O$185:O$195)*(1+Y375)</f>
        <v>0</v>
      </c>
      <c r="Z499" s="369">
        <f>LOOKUP($C$494, T_NCAP_AF!$C$185:$C$195, T_NCAP_AF!P$185:P$195)*(1+Z375)</f>
        <v>0</v>
      </c>
      <c r="AA499" s="369">
        <f>LOOKUP($C$494, T_NCAP_AF!$C$185:$C$195, T_NCAP_AF!Q$185:Q$195)*(1+AA375)</f>
        <v>0</v>
      </c>
      <c r="AB499" s="369">
        <f>LOOKUP($C$494, T_NCAP_AF!$C$185:$C$195, T_NCAP_AF!R$185:R$195)*(1+AB375)</f>
        <v>0</v>
      </c>
      <c r="AE499" s="572">
        <f>SUM(AF499:AT499)</f>
        <v>0</v>
      </c>
      <c r="AF499" s="85">
        <f t="shared" ref="AF499:AT499" si="407">N498*N499*N500/1000</f>
        <v>0</v>
      </c>
      <c r="AG499" s="85">
        <f t="shared" si="407"/>
        <v>0</v>
      </c>
      <c r="AH499" s="85">
        <f t="shared" si="407"/>
        <v>0</v>
      </c>
      <c r="AI499" s="85">
        <f t="shared" si="407"/>
        <v>0</v>
      </c>
      <c r="AJ499" s="85">
        <f t="shared" si="407"/>
        <v>0</v>
      </c>
      <c r="AK499" s="85">
        <f t="shared" si="407"/>
        <v>0</v>
      </c>
      <c r="AL499" s="85">
        <f t="shared" si="407"/>
        <v>0</v>
      </c>
      <c r="AM499" s="85">
        <f t="shared" si="407"/>
        <v>0</v>
      </c>
      <c r="AN499" s="85">
        <f t="shared" si="407"/>
        <v>0</v>
      </c>
      <c r="AO499" s="85">
        <f t="shared" si="407"/>
        <v>0</v>
      </c>
      <c r="AP499" s="85">
        <f t="shared" si="407"/>
        <v>0</v>
      </c>
      <c r="AQ499" s="85">
        <f t="shared" si="407"/>
        <v>0</v>
      </c>
      <c r="AR499" s="85">
        <f t="shared" si="407"/>
        <v>0</v>
      </c>
      <c r="AS499" s="85">
        <f t="shared" si="407"/>
        <v>0</v>
      </c>
      <c r="AT499" s="85">
        <f t="shared" si="407"/>
        <v>0</v>
      </c>
    </row>
    <row r="500" spans="1:46" s="83" customFormat="1" x14ac:dyDescent="0.25">
      <c r="B500" s="178" t="str">
        <f>B499</f>
        <v>TFREPYD900</v>
      </c>
      <c r="C500" s="178"/>
      <c r="D500" s="179"/>
      <c r="E500" s="178"/>
      <c r="F500" s="182"/>
      <c r="G500" s="181"/>
      <c r="H500" s="182"/>
      <c r="I500" s="183">
        <f>$M$3</f>
        <v>2019</v>
      </c>
      <c r="J500" s="184"/>
      <c r="K500" s="184"/>
      <c r="L500" s="203" t="s">
        <v>1065</v>
      </c>
      <c r="M500" s="184" t="s">
        <v>748</v>
      </c>
      <c r="N500" s="694">
        <f>LOOKUP($C$494, 'T_Stock_TOTAL_&amp;_City'!$C$122:$C$133,'T_Stock_TOTAL_&amp;_City'!D$122:D$133)*(1+N$376)</f>
        <v>0</v>
      </c>
      <c r="O500" s="694">
        <f>LOOKUP($C$494, 'T_Stock_TOTAL_&amp;_City'!$C$122:$C$133,'T_Stock_TOTAL_&amp;_City'!E$122:E$133)*(1+O$376)</f>
        <v>0</v>
      </c>
      <c r="P500" s="694">
        <f>LOOKUP($C$494, 'T_Stock_TOTAL_&amp;_City'!$C$122:$C$133,'T_Stock_TOTAL_&amp;_City'!F$122:F$133)*(1+P$376)</f>
        <v>0</v>
      </c>
      <c r="Q500" s="694">
        <f>LOOKUP($C$494, 'T_Stock_TOTAL_&amp;_City'!$C$122:$C$133,'T_Stock_TOTAL_&amp;_City'!G$122:G$133)*(1+Q$376)</f>
        <v>0</v>
      </c>
      <c r="R500" s="694">
        <f>LOOKUP($C$494, 'T_Stock_TOTAL_&amp;_City'!$C$122:$C$133,'T_Stock_TOTAL_&amp;_City'!H$122:H$133)*(1+R$376)</f>
        <v>0</v>
      </c>
      <c r="S500" s="694">
        <f>LOOKUP($C$494, 'T_Stock_TOTAL_&amp;_City'!$C$122:$C$133,'T_Stock_TOTAL_&amp;_City'!I$122:I$133)*(1+S$376)</f>
        <v>0</v>
      </c>
      <c r="T500" s="694">
        <f>LOOKUP($C$494, 'T_Stock_TOTAL_&amp;_City'!$C$122:$C$133,'T_Stock_TOTAL_&amp;_City'!J$122:J$133)*(1+T$376)</f>
        <v>0</v>
      </c>
      <c r="U500" s="694">
        <f>LOOKUP($C$494, 'T_Stock_TOTAL_&amp;_City'!$C$122:$C$133,'T_Stock_TOTAL_&amp;_City'!K$122:K$133)*(1+U$376)</f>
        <v>0</v>
      </c>
      <c r="V500" s="694">
        <f>LOOKUP($C$494, 'T_Stock_TOTAL_&amp;_City'!$C$122:$C$133,'T_Stock_TOTAL_&amp;_City'!L$122:L$133)*(1+V$376)</f>
        <v>0</v>
      </c>
      <c r="W500" s="694">
        <f>LOOKUP($C$494, 'T_Stock_TOTAL_&amp;_City'!$C$122:$C$133,'T_Stock_TOTAL_&amp;_City'!M$122:M$133)*(1+W$376)</f>
        <v>0</v>
      </c>
      <c r="X500" s="694">
        <f>LOOKUP($C$494, 'T_Stock_TOTAL_&amp;_City'!$C$122:$C$133,'T_Stock_TOTAL_&amp;_City'!N$122:N$133)*(1+X$376)</f>
        <v>0</v>
      </c>
      <c r="Y500" s="694">
        <f>LOOKUP($C$494, 'T_Stock_TOTAL_&amp;_City'!$C$122:$C$133,'T_Stock_TOTAL_&amp;_City'!O$122:O$133)*(1+Y$376)</f>
        <v>0</v>
      </c>
      <c r="Z500" s="694">
        <f>LOOKUP($C$494, 'T_Stock_TOTAL_&amp;_City'!$C$122:$C$133,'T_Stock_TOTAL_&amp;_City'!P$122:P$133)*(1+Z$376)</f>
        <v>0</v>
      </c>
      <c r="AA500" s="694">
        <f>LOOKUP($C$494, 'T_Stock_TOTAL_&amp;_City'!$C$122:$C$133,'T_Stock_TOTAL_&amp;_City'!Q$122:Q$133)*(1+AA$376)</f>
        <v>0</v>
      </c>
      <c r="AB500" s="694">
        <f>LOOKUP($C$494, 'T_Stock_TOTAL_&amp;_City'!$C$122:$C$133,'T_Stock_TOTAL_&amp;_City'!R$122:R$133)*(1+AB$376)</f>
        <v>0</v>
      </c>
    </row>
    <row r="501" spans="1:46" s="83" customFormat="1" x14ac:dyDescent="0.25">
      <c r="B501" s="178" t="str">
        <f t="shared" si="405"/>
        <v>TFREPYD900</v>
      </c>
      <c r="C501" s="178"/>
      <c r="D501" s="179"/>
      <c r="E501" s="178"/>
      <c r="F501" s="182"/>
      <c r="G501" s="181"/>
      <c r="H501" s="182"/>
      <c r="I501" s="183">
        <f>AF$5</f>
        <v>2016</v>
      </c>
      <c r="J501" s="184"/>
      <c r="K501" s="184"/>
      <c r="L501" s="203" t="s">
        <v>1065</v>
      </c>
      <c r="M501" s="184" t="s">
        <v>748</v>
      </c>
      <c r="N501" s="694">
        <f t="shared" ref="N501:AB501" si="408">N500*LOOKUP($AD494,$AH$4:$AQ$4,$AH$5:$AQ$5)</f>
        <v>0</v>
      </c>
      <c r="O501" s="694">
        <f t="shared" si="408"/>
        <v>0</v>
      </c>
      <c r="P501" s="694">
        <f t="shared" si="408"/>
        <v>0</v>
      </c>
      <c r="Q501" s="694">
        <f t="shared" si="408"/>
        <v>0</v>
      </c>
      <c r="R501" s="694">
        <f t="shared" si="408"/>
        <v>0</v>
      </c>
      <c r="S501" s="694">
        <f t="shared" si="408"/>
        <v>0</v>
      </c>
      <c r="T501" s="694">
        <f t="shared" si="408"/>
        <v>0</v>
      </c>
      <c r="U501" s="694">
        <f t="shared" si="408"/>
        <v>0</v>
      </c>
      <c r="V501" s="694">
        <f t="shared" si="408"/>
        <v>0</v>
      </c>
      <c r="W501" s="694">
        <f t="shared" si="408"/>
        <v>0</v>
      </c>
      <c r="X501" s="694">
        <f t="shared" si="408"/>
        <v>0</v>
      </c>
      <c r="Y501" s="694">
        <f t="shared" si="408"/>
        <v>0</v>
      </c>
      <c r="Z501" s="694">
        <f t="shared" si="408"/>
        <v>0</v>
      </c>
      <c r="AA501" s="694">
        <f t="shared" si="408"/>
        <v>0</v>
      </c>
      <c r="AB501" s="694">
        <f t="shared" si="408"/>
        <v>0</v>
      </c>
    </row>
    <row r="502" spans="1:46" s="83" customFormat="1" x14ac:dyDescent="0.25">
      <c r="B502" s="178" t="str">
        <f t="shared" si="405"/>
        <v>TFREPYD900</v>
      </c>
      <c r="C502" s="178"/>
      <c r="D502" s="179"/>
      <c r="E502" s="178"/>
      <c r="F502" s="182"/>
      <c r="G502" s="181"/>
      <c r="H502" s="182"/>
      <c r="I502" s="183">
        <f>AF$6</f>
        <v>2020</v>
      </c>
      <c r="J502" s="184"/>
      <c r="K502" s="184"/>
      <c r="L502" s="203" t="s">
        <v>1065</v>
      </c>
      <c r="M502" s="184" t="s">
        <v>748</v>
      </c>
      <c r="N502" s="694">
        <f t="shared" ref="N502:AB502" si="409">N500*LOOKUP($AD494,$AH$4:$AQ$4,$AH$6:$AQ$6)</f>
        <v>0</v>
      </c>
      <c r="O502" s="694">
        <f t="shared" si="409"/>
        <v>0</v>
      </c>
      <c r="P502" s="694">
        <f t="shared" si="409"/>
        <v>0</v>
      </c>
      <c r="Q502" s="694">
        <f t="shared" si="409"/>
        <v>0</v>
      </c>
      <c r="R502" s="694">
        <f t="shared" si="409"/>
        <v>0</v>
      </c>
      <c r="S502" s="694">
        <f t="shared" si="409"/>
        <v>0</v>
      </c>
      <c r="T502" s="694">
        <f t="shared" si="409"/>
        <v>0</v>
      </c>
      <c r="U502" s="694">
        <f t="shared" si="409"/>
        <v>0</v>
      </c>
      <c r="V502" s="694">
        <f t="shared" si="409"/>
        <v>0</v>
      </c>
      <c r="W502" s="694">
        <f t="shared" si="409"/>
        <v>0</v>
      </c>
      <c r="X502" s="694">
        <f t="shared" si="409"/>
        <v>0</v>
      </c>
      <c r="Y502" s="694">
        <f t="shared" si="409"/>
        <v>0</v>
      </c>
      <c r="Z502" s="694">
        <f t="shared" si="409"/>
        <v>0</v>
      </c>
      <c r="AA502" s="694">
        <f t="shared" si="409"/>
        <v>0</v>
      </c>
      <c r="AB502" s="694">
        <f t="shared" si="409"/>
        <v>0</v>
      </c>
    </row>
    <row r="503" spans="1:46" s="83" customFormat="1" x14ac:dyDescent="0.25">
      <c r="B503" s="178" t="str">
        <f t="shared" si="405"/>
        <v>TFREPYD900</v>
      </c>
      <c r="C503" s="178"/>
      <c r="D503" s="179"/>
      <c r="E503" s="178"/>
      <c r="F503" s="182"/>
      <c r="G503" s="181"/>
      <c r="H503" s="182"/>
      <c r="I503" s="183">
        <f>AF$7</f>
        <v>2025</v>
      </c>
      <c r="J503" s="184"/>
      <c r="K503" s="184"/>
      <c r="L503" s="203" t="s">
        <v>1065</v>
      </c>
      <c r="M503" s="184" t="s">
        <v>748</v>
      </c>
      <c r="N503" s="694">
        <f t="shared" ref="N503:AB503" si="410">N500*LOOKUP($AD494,$AH$4:$AQ$4,$AH$7:$AQ$7)</f>
        <v>0</v>
      </c>
      <c r="O503" s="694">
        <f t="shared" si="410"/>
        <v>0</v>
      </c>
      <c r="P503" s="694">
        <f t="shared" si="410"/>
        <v>0</v>
      </c>
      <c r="Q503" s="694">
        <f t="shared" si="410"/>
        <v>0</v>
      </c>
      <c r="R503" s="694">
        <f t="shared" si="410"/>
        <v>0</v>
      </c>
      <c r="S503" s="694">
        <f t="shared" si="410"/>
        <v>0</v>
      </c>
      <c r="T503" s="694">
        <f t="shared" si="410"/>
        <v>0</v>
      </c>
      <c r="U503" s="694">
        <f t="shared" si="410"/>
        <v>0</v>
      </c>
      <c r="V503" s="694">
        <f t="shared" si="410"/>
        <v>0</v>
      </c>
      <c r="W503" s="694">
        <f t="shared" si="410"/>
        <v>0</v>
      </c>
      <c r="X503" s="694">
        <f t="shared" si="410"/>
        <v>0</v>
      </c>
      <c r="Y503" s="694">
        <f t="shared" si="410"/>
        <v>0</v>
      </c>
      <c r="Z503" s="694">
        <f t="shared" si="410"/>
        <v>0</v>
      </c>
      <c r="AA503" s="694">
        <f t="shared" si="410"/>
        <v>0</v>
      </c>
      <c r="AB503" s="694">
        <f t="shared" si="410"/>
        <v>0</v>
      </c>
    </row>
    <row r="504" spans="1:46" s="83" customFormat="1" x14ac:dyDescent="0.25">
      <c r="B504" s="178" t="str">
        <f t="shared" si="405"/>
        <v>TFREPYD900</v>
      </c>
      <c r="C504" s="178"/>
      <c r="D504" s="179"/>
      <c r="E504" s="178"/>
      <c r="F504" s="182"/>
      <c r="G504" s="181"/>
      <c r="H504" s="182"/>
      <c r="I504" s="183">
        <f>AF$8</f>
        <v>2030</v>
      </c>
      <c r="J504" s="184"/>
      <c r="K504" s="184"/>
      <c r="L504" s="203" t="s">
        <v>1065</v>
      </c>
      <c r="M504" s="184" t="s">
        <v>748</v>
      </c>
      <c r="N504" s="694">
        <f t="shared" ref="N504:AB504" si="411">N500*LOOKUP($AD494,$AH$4:$AQ$4,$AH$8:$AQ$8)</f>
        <v>0</v>
      </c>
      <c r="O504" s="694">
        <f t="shared" si="411"/>
        <v>0</v>
      </c>
      <c r="P504" s="694">
        <f t="shared" si="411"/>
        <v>0</v>
      </c>
      <c r="Q504" s="694">
        <f t="shared" si="411"/>
        <v>0</v>
      </c>
      <c r="R504" s="694">
        <f t="shared" si="411"/>
        <v>0</v>
      </c>
      <c r="S504" s="694">
        <f t="shared" si="411"/>
        <v>0</v>
      </c>
      <c r="T504" s="694">
        <f t="shared" si="411"/>
        <v>0</v>
      </c>
      <c r="U504" s="694">
        <f t="shared" si="411"/>
        <v>0</v>
      </c>
      <c r="V504" s="694">
        <f t="shared" si="411"/>
        <v>0</v>
      </c>
      <c r="W504" s="694">
        <f t="shared" si="411"/>
        <v>0</v>
      </c>
      <c r="X504" s="694">
        <f t="shared" si="411"/>
        <v>0</v>
      </c>
      <c r="Y504" s="694">
        <f t="shared" si="411"/>
        <v>0</v>
      </c>
      <c r="Z504" s="694">
        <f t="shared" si="411"/>
        <v>0</v>
      </c>
      <c r="AA504" s="694">
        <f t="shared" si="411"/>
        <v>0</v>
      </c>
      <c r="AB504" s="694">
        <f t="shared" si="411"/>
        <v>0</v>
      </c>
    </row>
    <row r="505" spans="1:46" s="83" customFormat="1" x14ac:dyDescent="0.25">
      <c r="B505" s="178" t="str">
        <f t="shared" si="405"/>
        <v>TFREPYD900</v>
      </c>
      <c r="C505" s="178"/>
      <c r="D505" s="179"/>
      <c r="E505" s="178"/>
      <c r="F505" s="182"/>
      <c r="G505" s="181"/>
      <c r="H505" s="182"/>
      <c r="I505" s="183">
        <f>AF$9</f>
        <v>2040</v>
      </c>
      <c r="J505" s="184"/>
      <c r="K505" s="184"/>
      <c r="L505" s="203" t="s">
        <v>1065</v>
      </c>
      <c r="M505" s="184" t="s">
        <v>748</v>
      </c>
      <c r="N505" s="694">
        <f t="shared" ref="N505:AB505" si="412">N500*LOOKUP($AD494,$AH$4:$AQ$4,$AH$9:$AQ$9)</f>
        <v>0</v>
      </c>
      <c r="O505" s="694">
        <f t="shared" si="412"/>
        <v>0</v>
      </c>
      <c r="P505" s="694">
        <f t="shared" si="412"/>
        <v>0</v>
      </c>
      <c r="Q505" s="694">
        <f t="shared" si="412"/>
        <v>0</v>
      </c>
      <c r="R505" s="694">
        <f t="shared" si="412"/>
        <v>0</v>
      </c>
      <c r="S505" s="694">
        <f t="shared" si="412"/>
        <v>0</v>
      </c>
      <c r="T505" s="694">
        <f t="shared" si="412"/>
        <v>0</v>
      </c>
      <c r="U505" s="694">
        <f t="shared" si="412"/>
        <v>0</v>
      </c>
      <c r="V505" s="694">
        <f t="shared" si="412"/>
        <v>0</v>
      </c>
      <c r="W505" s="694">
        <f t="shared" si="412"/>
        <v>0</v>
      </c>
      <c r="X505" s="694">
        <f t="shared" si="412"/>
        <v>0</v>
      </c>
      <c r="Y505" s="694">
        <f t="shared" si="412"/>
        <v>0</v>
      </c>
      <c r="Z505" s="694">
        <f t="shared" si="412"/>
        <v>0</v>
      </c>
      <c r="AA505" s="694">
        <f t="shared" si="412"/>
        <v>0</v>
      </c>
      <c r="AB505" s="694">
        <f t="shared" si="412"/>
        <v>0</v>
      </c>
    </row>
    <row r="506" spans="1:46" s="83" customFormat="1" x14ac:dyDescent="0.25">
      <c r="B506" s="204" t="str">
        <f t="shared" si="405"/>
        <v>TFREPYD900</v>
      </c>
      <c r="C506" s="204"/>
      <c r="D506" s="205"/>
      <c r="E506" s="204"/>
      <c r="F506" s="206"/>
      <c r="G506" s="207"/>
      <c r="H506" s="206"/>
      <c r="I506" s="208">
        <f>AF$10</f>
        <v>2050</v>
      </c>
      <c r="J506" s="209"/>
      <c r="K506" s="209"/>
      <c r="L506" s="210" t="s">
        <v>1065</v>
      </c>
      <c r="M506" s="209" t="s">
        <v>748</v>
      </c>
      <c r="N506" s="695">
        <f t="shared" ref="N506:AB506" si="413">N500*LOOKUP($AD494,$AH$4:$AQ$4,$AH$10:$AQ$10)</f>
        <v>0</v>
      </c>
      <c r="O506" s="695">
        <f t="shared" si="413"/>
        <v>0</v>
      </c>
      <c r="P506" s="695">
        <f t="shared" si="413"/>
        <v>0</v>
      </c>
      <c r="Q506" s="695">
        <f t="shared" si="413"/>
        <v>0</v>
      </c>
      <c r="R506" s="695">
        <f t="shared" si="413"/>
        <v>0</v>
      </c>
      <c r="S506" s="695">
        <f t="shared" si="413"/>
        <v>0</v>
      </c>
      <c r="T506" s="695">
        <f t="shared" si="413"/>
        <v>0</v>
      </c>
      <c r="U506" s="695">
        <f t="shared" si="413"/>
        <v>0</v>
      </c>
      <c r="V506" s="695">
        <f t="shared" si="413"/>
        <v>0</v>
      </c>
      <c r="W506" s="695">
        <f t="shared" si="413"/>
        <v>0</v>
      </c>
      <c r="X506" s="695">
        <f t="shared" si="413"/>
        <v>0</v>
      </c>
      <c r="Y506" s="695">
        <f t="shared" si="413"/>
        <v>0</v>
      </c>
      <c r="Z506" s="695">
        <f t="shared" si="413"/>
        <v>0</v>
      </c>
      <c r="AA506" s="695">
        <f t="shared" si="413"/>
        <v>0</v>
      </c>
      <c r="AB506" s="695">
        <f t="shared" si="413"/>
        <v>0</v>
      </c>
    </row>
    <row r="507" spans="1:46" s="83" customFormat="1" x14ac:dyDescent="0.25">
      <c r="A507" s="82"/>
      <c r="B507" s="178" t="str">
        <f>C507</f>
        <v>TFREPYG900</v>
      </c>
      <c r="C507" s="178" t="s">
        <v>161</v>
      </c>
      <c r="D507" s="179" t="s">
        <v>869</v>
      </c>
      <c r="E507" s="407" t="s">
        <v>1014</v>
      </c>
      <c r="F507" s="182"/>
      <c r="G507" s="181"/>
      <c r="H507" s="182"/>
      <c r="I507" s="183"/>
      <c r="J507" s="184"/>
      <c r="K507" s="184"/>
      <c r="L507" s="203" t="s">
        <v>1107</v>
      </c>
      <c r="M507" s="184" t="s">
        <v>1125</v>
      </c>
      <c r="N507" s="378">
        <v>1E-3</v>
      </c>
      <c r="O507" s="378">
        <f t="shared" ref="O507:AB507" si="414">$N507</f>
        <v>1E-3</v>
      </c>
      <c r="P507" s="378">
        <f t="shared" si="414"/>
        <v>1E-3</v>
      </c>
      <c r="Q507" s="378">
        <f t="shared" si="414"/>
        <v>1E-3</v>
      </c>
      <c r="R507" s="378">
        <f t="shared" si="414"/>
        <v>1E-3</v>
      </c>
      <c r="S507" s="378">
        <f t="shared" si="414"/>
        <v>1E-3</v>
      </c>
      <c r="T507" s="378">
        <f t="shared" si="414"/>
        <v>1E-3</v>
      </c>
      <c r="U507" s="378">
        <f t="shared" si="414"/>
        <v>1E-3</v>
      </c>
      <c r="V507" s="378">
        <f t="shared" si="414"/>
        <v>1E-3</v>
      </c>
      <c r="W507" s="378">
        <f t="shared" si="414"/>
        <v>1E-3</v>
      </c>
      <c r="X507" s="378">
        <f t="shared" si="414"/>
        <v>1E-3</v>
      </c>
      <c r="Y507" s="378">
        <f t="shared" si="414"/>
        <v>1E-3</v>
      </c>
      <c r="Z507" s="378">
        <f t="shared" si="414"/>
        <v>1E-3</v>
      </c>
      <c r="AA507" s="378">
        <f t="shared" si="414"/>
        <v>1E-3</v>
      </c>
      <c r="AB507" s="378">
        <f t="shared" si="414"/>
        <v>1E-3</v>
      </c>
      <c r="AD507" s="402" t="str">
        <f>MID(D507,13,3)</f>
        <v>Plu</v>
      </c>
    </row>
    <row r="508" spans="1:46" s="83" customFormat="1" x14ac:dyDescent="0.25">
      <c r="A508" s="82"/>
      <c r="B508" s="178" t="str">
        <f>B507</f>
        <v>TFREPYG900</v>
      </c>
      <c r="C508" s="178"/>
      <c r="D508" s="179"/>
      <c r="E508" s="407" t="s">
        <v>1012</v>
      </c>
      <c r="F508" s="182"/>
      <c r="G508" s="181"/>
      <c r="H508" s="182"/>
      <c r="I508" s="183"/>
      <c r="J508" s="184" t="s">
        <v>1157</v>
      </c>
      <c r="K508" s="184"/>
      <c r="L508" s="203" t="s">
        <v>101</v>
      </c>
      <c r="M508" s="184"/>
      <c r="N508" s="390">
        <f>N$29</f>
        <v>0.03</v>
      </c>
      <c r="O508" s="390">
        <f t="shared" ref="O508:AB508" si="415">O$29</f>
        <v>0.03</v>
      </c>
      <c r="P508" s="390">
        <f t="shared" si="415"/>
        <v>0.03</v>
      </c>
      <c r="Q508" s="390">
        <f t="shared" si="415"/>
        <v>0.03</v>
      </c>
      <c r="R508" s="390">
        <f t="shared" si="415"/>
        <v>0.03</v>
      </c>
      <c r="S508" s="390">
        <f t="shared" si="415"/>
        <v>0.03</v>
      </c>
      <c r="T508" s="390">
        <f t="shared" si="415"/>
        <v>0.03</v>
      </c>
      <c r="U508" s="390">
        <f t="shared" si="415"/>
        <v>0.03</v>
      </c>
      <c r="V508" s="390">
        <f t="shared" si="415"/>
        <v>0.03</v>
      </c>
      <c r="W508" s="390">
        <f t="shared" si="415"/>
        <v>0.03</v>
      </c>
      <c r="X508" s="390">
        <f t="shared" si="415"/>
        <v>0.03</v>
      </c>
      <c r="Y508" s="390">
        <f t="shared" si="415"/>
        <v>0.03</v>
      </c>
      <c r="Z508" s="390">
        <f t="shared" si="415"/>
        <v>0.03</v>
      </c>
      <c r="AA508" s="390">
        <f t="shared" si="415"/>
        <v>0.03</v>
      </c>
      <c r="AB508" s="390">
        <f t="shared" si="415"/>
        <v>0.03</v>
      </c>
      <c r="AD508" s="66" t="str">
        <f>IF(COUNTIF($AH$4:$AQ$4,AD507)=1,"ok","MISSING")</f>
        <v>ok</v>
      </c>
      <c r="AF508" s="333"/>
    </row>
    <row r="509" spans="1:46" s="83" customFormat="1" x14ac:dyDescent="0.25">
      <c r="B509" s="178" t="str">
        <f t="shared" ref="B509:B519" si="416">B508</f>
        <v>TFREPYG900</v>
      </c>
      <c r="C509" s="178"/>
      <c r="D509" s="179"/>
      <c r="E509" s="178"/>
      <c r="F509" s="182"/>
      <c r="G509" s="173" t="s">
        <v>649</v>
      </c>
      <c r="H509" s="182"/>
      <c r="I509" s="183"/>
      <c r="J509" s="184"/>
      <c r="K509" s="184"/>
      <c r="L509" s="184" t="s">
        <v>1126</v>
      </c>
      <c r="M509" s="184" t="s">
        <v>678</v>
      </c>
      <c r="N509" s="377">
        <f>T_CEFF!H233</f>
        <v>0.48309000000000002</v>
      </c>
      <c r="O509" s="377">
        <f>T_CEFF!I233</f>
        <v>0.48309000000000002</v>
      </c>
      <c r="P509" s="377">
        <f>T_CEFF!J233</f>
        <v>0.48309000000000002</v>
      </c>
      <c r="Q509" s="377">
        <f>T_CEFF!K233</f>
        <v>0.48309000000000002</v>
      </c>
      <c r="R509" s="377">
        <f>T_CEFF!L233</f>
        <v>0.48309000000000002</v>
      </c>
      <c r="S509" s="377">
        <f>T_CEFF!M233</f>
        <v>0.48309000000000002</v>
      </c>
      <c r="T509" s="377">
        <f>T_CEFF!N233</f>
        <v>0.48309000000000002</v>
      </c>
      <c r="U509" s="377">
        <f>T_CEFF!O233</f>
        <v>0.48309000000000002</v>
      </c>
      <c r="V509" s="377">
        <f>T_CEFF!P233</f>
        <v>0.48309000000000002</v>
      </c>
      <c r="W509" s="377">
        <f>T_CEFF!Q233</f>
        <v>0.48309000000000002</v>
      </c>
      <c r="X509" s="377">
        <f>T_CEFF!R233</f>
        <v>0.48309000000000002</v>
      </c>
      <c r="Y509" s="377">
        <f>T_CEFF!S233</f>
        <v>0.48309000000000002</v>
      </c>
      <c r="Z509" s="377">
        <f>T_CEFF!T233</f>
        <v>0.48309000000000002</v>
      </c>
      <c r="AA509" s="377">
        <f>T_CEFF!U233</f>
        <v>0.48309000000000002</v>
      </c>
      <c r="AB509" s="377">
        <f>T_CEFF!V233</f>
        <v>0.48309000000000002</v>
      </c>
    </row>
    <row r="510" spans="1:46" s="83" customFormat="1" x14ac:dyDescent="0.25">
      <c r="B510" s="178" t="str">
        <f t="shared" si="416"/>
        <v>TFREPYG900</v>
      </c>
      <c r="C510" s="178"/>
      <c r="D510" s="179"/>
      <c r="E510" s="178"/>
      <c r="F510" s="182"/>
      <c r="G510" s="173" t="s">
        <v>652</v>
      </c>
      <c r="H510" s="182"/>
      <c r="I510" s="183"/>
      <c r="J510" s="184"/>
      <c r="K510" s="184"/>
      <c r="L510" s="184" t="s">
        <v>1126</v>
      </c>
      <c r="M510" s="184" t="s">
        <v>678</v>
      </c>
      <c r="N510" s="377">
        <f>T_CEFF!H234</f>
        <v>0.39840999999999999</v>
      </c>
      <c r="O510" s="377">
        <f>T_CEFF!I234</f>
        <v>0.39840999999999999</v>
      </c>
      <c r="P510" s="377">
        <f>T_CEFF!J234</f>
        <v>0.39840999999999999</v>
      </c>
      <c r="Q510" s="377">
        <f>T_CEFF!K234</f>
        <v>0.39840999999999999</v>
      </c>
      <c r="R510" s="377">
        <f>T_CEFF!L234</f>
        <v>0.39840999999999999</v>
      </c>
      <c r="S510" s="377">
        <f>T_CEFF!M234</f>
        <v>0.39840999999999999</v>
      </c>
      <c r="T510" s="377">
        <f>T_CEFF!N234</f>
        <v>0.39840999999999999</v>
      </c>
      <c r="U510" s="377">
        <f>T_CEFF!O234</f>
        <v>0.39840999999999999</v>
      </c>
      <c r="V510" s="377">
        <f>T_CEFF!P234</f>
        <v>0.39840999999999999</v>
      </c>
      <c r="W510" s="377">
        <f>T_CEFF!Q234</f>
        <v>0.39840999999999999</v>
      </c>
      <c r="X510" s="377">
        <f>T_CEFF!R234</f>
        <v>0.39840999999999999</v>
      </c>
      <c r="Y510" s="377">
        <f>T_CEFF!S234</f>
        <v>0.39840999999999999</v>
      </c>
      <c r="Z510" s="377">
        <f>T_CEFF!T234</f>
        <v>0.39840999999999999</v>
      </c>
      <c r="AA510" s="377">
        <f>T_CEFF!U234</f>
        <v>0.39840999999999999</v>
      </c>
      <c r="AB510" s="377">
        <f>T_CEFF!V234</f>
        <v>0.39840999999999999</v>
      </c>
    </row>
    <row r="511" spans="1:46" s="83" customFormat="1" x14ac:dyDescent="0.25">
      <c r="B511" s="178" t="str">
        <f>B510</f>
        <v>TFREPYG900</v>
      </c>
      <c r="C511" s="178"/>
      <c r="D511" s="179"/>
      <c r="E511" s="178"/>
      <c r="F511" s="182"/>
      <c r="G511" s="181"/>
      <c r="H511" s="182"/>
      <c r="I511" s="183"/>
      <c r="J511" s="184"/>
      <c r="K511" s="184" t="s">
        <v>749</v>
      </c>
      <c r="L511" s="184" t="s">
        <v>1128</v>
      </c>
      <c r="M511" s="184" t="s">
        <v>1175</v>
      </c>
      <c r="N511" s="368">
        <f t="shared" ref="N511:AB511" si="417">N$25</f>
        <v>0</v>
      </c>
      <c r="O511" s="368">
        <f t="shared" si="417"/>
        <v>0</v>
      </c>
      <c r="P511" s="368">
        <f t="shared" si="417"/>
        <v>0</v>
      </c>
      <c r="Q511" s="368">
        <f t="shared" si="417"/>
        <v>0</v>
      </c>
      <c r="R511" s="368">
        <f t="shared" si="417"/>
        <v>0</v>
      </c>
      <c r="S511" s="368">
        <f t="shared" si="417"/>
        <v>0</v>
      </c>
      <c r="T511" s="368">
        <f t="shared" si="417"/>
        <v>0</v>
      </c>
      <c r="U511" s="368">
        <f t="shared" si="417"/>
        <v>0</v>
      </c>
      <c r="V511" s="368">
        <f t="shared" si="417"/>
        <v>0</v>
      </c>
      <c r="W511" s="368">
        <f t="shared" si="417"/>
        <v>0</v>
      </c>
      <c r="X511" s="368">
        <f t="shared" si="417"/>
        <v>0</v>
      </c>
      <c r="Y511" s="368">
        <f t="shared" si="417"/>
        <v>0</v>
      </c>
      <c r="Z511" s="368">
        <f t="shared" si="417"/>
        <v>0</v>
      </c>
      <c r="AA511" s="368">
        <f t="shared" si="417"/>
        <v>0</v>
      </c>
      <c r="AB511" s="368">
        <f t="shared" si="417"/>
        <v>0</v>
      </c>
    </row>
    <row r="512" spans="1:46" s="83" customFormat="1" x14ac:dyDescent="0.25">
      <c r="B512" s="178" t="str">
        <f t="shared" si="416"/>
        <v>TFREPYG900</v>
      </c>
      <c r="C512" s="178"/>
      <c r="D512" s="179"/>
      <c r="E512" s="178"/>
      <c r="F512" s="182"/>
      <c r="G512" s="181"/>
      <c r="H512" s="182"/>
      <c r="I512" s="183"/>
      <c r="J512" s="184"/>
      <c r="K512" s="184"/>
      <c r="L512" s="203" t="s">
        <v>1130</v>
      </c>
      <c r="M512" s="184" t="s">
        <v>1131</v>
      </c>
      <c r="N512" s="369">
        <f>LOOKUP($C$507, T_NCAP_AF!$C$185:$C$195, T_NCAP_AF!D$185:D$195)*(1+N375)</f>
        <v>22.84</v>
      </c>
      <c r="O512" s="369">
        <f>LOOKUP($C$507, T_NCAP_AF!$C$185:$C$195, T_NCAP_AF!E$185:E$195)*(1+O375)</f>
        <v>0</v>
      </c>
      <c r="P512" s="369">
        <f>LOOKUP($C$507, T_NCAP_AF!$C$185:$C$195, T_NCAP_AF!F$185:F$195)*(1+P375)</f>
        <v>0</v>
      </c>
      <c r="Q512" s="369">
        <f>LOOKUP($C$507, T_NCAP_AF!$C$185:$C$195, T_NCAP_AF!G$185:G$195)*(1+Q375)</f>
        <v>0</v>
      </c>
      <c r="R512" s="369">
        <f>LOOKUP($C$507, T_NCAP_AF!$C$185:$C$195, T_NCAP_AF!H$185:H$195)*(1+R375)</f>
        <v>0</v>
      </c>
      <c r="S512" s="369">
        <f>LOOKUP($C$507, T_NCAP_AF!$C$185:$C$195, T_NCAP_AF!I$185:I$195)*(1+S375)</f>
        <v>0</v>
      </c>
      <c r="T512" s="369">
        <f>LOOKUP($C$507, T_NCAP_AF!$C$185:$C$195, T_NCAP_AF!J$185:J$195)*(1+T375)</f>
        <v>0</v>
      </c>
      <c r="U512" s="369">
        <f>LOOKUP($C$507, T_NCAP_AF!$C$185:$C$195, T_NCAP_AF!K$185:K$195)*(1+U375)</f>
        <v>0</v>
      </c>
      <c r="V512" s="369">
        <f>LOOKUP($C$507, T_NCAP_AF!$C$185:$C$195, T_NCAP_AF!L$185:L$195)*(1+V375)</f>
        <v>0</v>
      </c>
      <c r="W512" s="369">
        <f>LOOKUP($C$507, T_NCAP_AF!$C$185:$C$195, T_NCAP_AF!M$185:M$195)*(1+W375)</f>
        <v>0</v>
      </c>
      <c r="X512" s="369">
        <f>LOOKUP($C$507, T_NCAP_AF!$C$185:$C$195, T_NCAP_AF!N$185:N$195)*(1+X375)</f>
        <v>0</v>
      </c>
      <c r="Y512" s="369">
        <f>LOOKUP($C$507, T_NCAP_AF!$C$185:$C$195, T_NCAP_AF!O$185:O$195)*(1+Y375)</f>
        <v>0</v>
      </c>
      <c r="Z512" s="369">
        <f>LOOKUP($C$507, T_NCAP_AF!$C$185:$C$195, T_NCAP_AF!P$185:P$195)*(1+Z375)</f>
        <v>0</v>
      </c>
      <c r="AA512" s="369">
        <f>LOOKUP($C$507, T_NCAP_AF!$C$185:$C$195, T_NCAP_AF!Q$185:Q$195)*(1+AA375)</f>
        <v>0</v>
      </c>
      <c r="AB512" s="369">
        <f>LOOKUP($C$507, T_NCAP_AF!$C$185:$C$195, T_NCAP_AF!R$185:R$195)*(1+AB375)</f>
        <v>0</v>
      </c>
      <c r="AE512" s="572">
        <f>SUM(AF512:AT512)</f>
        <v>0</v>
      </c>
      <c r="AF512" s="85">
        <f t="shared" ref="AF512:AT512" si="418">N511*N512*N513/1000</f>
        <v>0</v>
      </c>
      <c r="AG512" s="85">
        <f t="shared" si="418"/>
        <v>0</v>
      </c>
      <c r="AH512" s="85">
        <f t="shared" si="418"/>
        <v>0</v>
      </c>
      <c r="AI512" s="85">
        <f t="shared" si="418"/>
        <v>0</v>
      </c>
      <c r="AJ512" s="85">
        <f t="shared" si="418"/>
        <v>0</v>
      </c>
      <c r="AK512" s="85">
        <f t="shared" si="418"/>
        <v>0</v>
      </c>
      <c r="AL512" s="85">
        <f t="shared" si="418"/>
        <v>0</v>
      </c>
      <c r="AM512" s="85">
        <f t="shared" si="418"/>
        <v>0</v>
      </c>
      <c r="AN512" s="85">
        <f t="shared" si="418"/>
        <v>0</v>
      </c>
      <c r="AO512" s="85">
        <f t="shared" si="418"/>
        <v>0</v>
      </c>
      <c r="AP512" s="85">
        <f t="shared" si="418"/>
        <v>0</v>
      </c>
      <c r="AQ512" s="85">
        <f t="shared" si="418"/>
        <v>0</v>
      </c>
      <c r="AR512" s="85">
        <f t="shared" si="418"/>
        <v>0</v>
      </c>
      <c r="AS512" s="85">
        <f t="shared" si="418"/>
        <v>0</v>
      </c>
      <c r="AT512" s="85">
        <f t="shared" si="418"/>
        <v>0</v>
      </c>
    </row>
    <row r="513" spans="1:52" s="83" customFormat="1" x14ac:dyDescent="0.25">
      <c r="B513" s="178" t="str">
        <f>B512</f>
        <v>TFREPYG900</v>
      </c>
      <c r="C513" s="178"/>
      <c r="D513" s="179"/>
      <c r="E513" s="178"/>
      <c r="F513" s="182"/>
      <c r="G513" s="181"/>
      <c r="H513" s="182"/>
      <c r="I513" s="183">
        <f>$M$3</f>
        <v>2019</v>
      </c>
      <c r="J513" s="184"/>
      <c r="K513" s="184"/>
      <c r="L513" s="203" t="s">
        <v>1065</v>
      </c>
      <c r="M513" s="184" t="s">
        <v>748</v>
      </c>
      <c r="N513" s="694">
        <f>LOOKUP($C$507, 'T_Stock_TOTAL_&amp;_City'!$C$122:$C$133,'T_Stock_TOTAL_&amp;_City'!D$122:D$133)*(1+N$376)</f>
        <v>0</v>
      </c>
      <c r="O513" s="694">
        <f>LOOKUP($C$507, 'T_Stock_TOTAL_&amp;_City'!$C$122:$C$133,'T_Stock_TOTAL_&amp;_City'!E$122:E$133)*(1+O$376)</f>
        <v>0</v>
      </c>
      <c r="P513" s="694">
        <f>LOOKUP($C$507, 'T_Stock_TOTAL_&amp;_City'!$C$122:$C$133,'T_Stock_TOTAL_&amp;_City'!F$122:F$133)*(1+P$376)</f>
        <v>0</v>
      </c>
      <c r="Q513" s="694">
        <f>LOOKUP($C$507, 'T_Stock_TOTAL_&amp;_City'!$C$122:$C$133,'T_Stock_TOTAL_&amp;_City'!G$122:G$133)*(1+Q$376)</f>
        <v>0</v>
      </c>
      <c r="R513" s="694">
        <f>LOOKUP($C$507, 'T_Stock_TOTAL_&amp;_City'!$C$122:$C$133,'T_Stock_TOTAL_&amp;_City'!H$122:H$133)*(1+R$376)</f>
        <v>0</v>
      </c>
      <c r="S513" s="694">
        <f>LOOKUP($C$507, 'T_Stock_TOTAL_&amp;_City'!$C$122:$C$133,'T_Stock_TOTAL_&amp;_City'!I$122:I$133)*(1+S$376)</f>
        <v>0</v>
      </c>
      <c r="T513" s="694">
        <f>LOOKUP($C$507, 'T_Stock_TOTAL_&amp;_City'!$C$122:$C$133,'T_Stock_TOTAL_&amp;_City'!J$122:J$133)*(1+T$376)</f>
        <v>0</v>
      </c>
      <c r="U513" s="694">
        <f>LOOKUP($C$507, 'T_Stock_TOTAL_&amp;_City'!$C$122:$C$133,'T_Stock_TOTAL_&amp;_City'!K$122:K$133)*(1+U$376)</f>
        <v>0</v>
      </c>
      <c r="V513" s="694">
        <f>LOOKUP($C$507, 'T_Stock_TOTAL_&amp;_City'!$C$122:$C$133,'T_Stock_TOTAL_&amp;_City'!L$122:L$133)*(1+V$376)</f>
        <v>0</v>
      </c>
      <c r="W513" s="694">
        <f>LOOKUP($C$507, 'T_Stock_TOTAL_&amp;_City'!$C$122:$C$133,'T_Stock_TOTAL_&amp;_City'!M$122:M$133)*(1+W$376)</f>
        <v>0</v>
      </c>
      <c r="X513" s="694">
        <f>LOOKUP($C$507, 'T_Stock_TOTAL_&amp;_City'!$C$122:$C$133,'T_Stock_TOTAL_&amp;_City'!N$122:N$133)*(1+X$376)</f>
        <v>0</v>
      </c>
      <c r="Y513" s="694">
        <f>LOOKUP($C$507, 'T_Stock_TOTAL_&amp;_City'!$C$122:$C$133,'T_Stock_TOTAL_&amp;_City'!O$122:O$133)*(1+Y$376)</f>
        <v>0</v>
      </c>
      <c r="Z513" s="694">
        <f>LOOKUP($C$507, 'T_Stock_TOTAL_&amp;_City'!$C$122:$C$133,'T_Stock_TOTAL_&amp;_City'!P$122:P$133)*(1+Z$376)</f>
        <v>0</v>
      </c>
      <c r="AA513" s="694">
        <f>LOOKUP($C$507, 'T_Stock_TOTAL_&amp;_City'!$C$122:$C$133,'T_Stock_TOTAL_&amp;_City'!Q$122:Q$133)*(1+AA$376)</f>
        <v>0</v>
      </c>
      <c r="AB513" s="694">
        <f>LOOKUP($C$507, 'T_Stock_TOTAL_&amp;_City'!$C$122:$C$133,'T_Stock_TOTAL_&amp;_City'!R$122:R$133)*(1+AB$376)</f>
        <v>0</v>
      </c>
    </row>
    <row r="514" spans="1:52" s="83" customFormat="1" x14ac:dyDescent="0.25">
      <c r="B514" s="178" t="str">
        <f t="shared" si="416"/>
        <v>TFREPYG900</v>
      </c>
      <c r="C514" s="178"/>
      <c r="D514" s="179"/>
      <c r="E514" s="178"/>
      <c r="F514" s="182"/>
      <c r="G514" s="181"/>
      <c r="H514" s="182"/>
      <c r="I514" s="183">
        <f>AF$5</f>
        <v>2016</v>
      </c>
      <c r="J514" s="184"/>
      <c r="K514" s="184"/>
      <c r="L514" s="203" t="s">
        <v>1065</v>
      </c>
      <c r="M514" s="184" t="s">
        <v>748</v>
      </c>
      <c r="N514" s="694">
        <f t="shared" ref="N514:AB514" si="419">N513*LOOKUP($AD507,$AH$4:$AQ$4,$AH$5:$AQ$5)</f>
        <v>0</v>
      </c>
      <c r="O514" s="694">
        <f t="shared" si="419"/>
        <v>0</v>
      </c>
      <c r="P514" s="694">
        <f t="shared" si="419"/>
        <v>0</v>
      </c>
      <c r="Q514" s="694">
        <f t="shared" si="419"/>
        <v>0</v>
      </c>
      <c r="R514" s="694">
        <f t="shared" si="419"/>
        <v>0</v>
      </c>
      <c r="S514" s="694">
        <f t="shared" si="419"/>
        <v>0</v>
      </c>
      <c r="T514" s="694">
        <f t="shared" si="419"/>
        <v>0</v>
      </c>
      <c r="U514" s="694">
        <f t="shared" si="419"/>
        <v>0</v>
      </c>
      <c r="V514" s="694">
        <f t="shared" si="419"/>
        <v>0</v>
      </c>
      <c r="W514" s="694">
        <f t="shared" si="419"/>
        <v>0</v>
      </c>
      <c r="X514" s="694">
        <f t="shared" si="419"/>
        <v>0</v>
      </c>
      <c r="Y514" s="694">
        <f t="shared" si="419"/>
        <v>0</v>
      </c>
      <c r="Z514" s="694">
        <f t="shared" si="419"/>
        <v>0</v>
      </c>
      <c r="AA514" s="694">
        <f t="shared" si="419"/>
        <v>0</v>
      </c>
      <c r="AB514" s="694">
        <f t="shared" si="419"/>
        <v>0</v>
      </c>
    </row>
    <row r="515" spans="1:52" s="83" customFormat="1" x14ac:dyDescent="0.25">
      <c r="B515" s="178" t="str">
        <f t="shared" si="416"/>
        <v>TFREPYG900</v>
      </c>
      <c r="C515" s="178"/>
      <c r="D515" s="179"/>
      <c r="E515" s="178"/>
      <c r="F515" s="182"/>
      <c r="G515" s="181"/>
      <c r="H515" s="182"/>
      <c r="I515" s="183">
        <f>AF$6</f>
        <v>2020</v>
      </c>
      <c r="J515" s="184"/>
      <c r="K515" s="184"/>
      <c r="L515" s="203" t="s">
        <v>1065</v>
      </c>
      <c r="M515" s="184" t="s">
        <v>748</v>
      </c>
      <c r="N515" s="694">
        <f t="shared" ref="N515:AB515" si="420">N513*LOOKUP($AD507,$AH$4:$AQ$4,$AH$6:$AQ$6)</f>
        <v>0</v>
      </c>
      <c r="O515" s="694">
        <f t="shared" si="420"/>
        <v>0</v>
      </c>
      <c r="P515" s="694">
        <f t="shared" si="420"/>
        <v>0</v>
      </c>
      <c r="Q515" s="694">
        <f t="shared" si="420"/>
        <v>0</v>
      </c>
      <c r="R515" s="694">
        <f t="shared" si="420"/>
        <v>0</v>
      </c>
      <c r="S515" s="694">
        <f t="shared" si="420"/>
        <v>0</v>
      </c>
      <c r="T515" s="694">
        <f t="shared" si="420"/>
        <v>0</v>
      </c>
      <c r="U515" s="694">
        <f t="shared" si="420"/>
        <v>0</v>
      </c>
      <c r="V515" s="694">
        <f t="shared" si="420"/>
        <v>0</v>
      </c>
      <c r="W515" s="694">
        <f t="shared" si="420"/>
        <v>0</v>
      </c>
      <c r="X515" s="694">
        <f t="shared" si="420"/>
        <v>0</v>
      </c>
      <c r="Y515" s="694">
        <f t="shared" si="420"/>
        <v>0</v>
      </c>
      <c r="Z515" s="694">
        <f t="shared" si="420"/>
        <v>0</v>
      </c>
      <c r="AA515" s="694">
        <f t="shared" si="420"/>
        <v>0</v>
      </c>
      <c r="AB515" s="694">
        <f t="shared" si="420"/>
        <v>0</v>
      </c>
    </row>
    <row r="516" spans="1:52" s="83" customFormat="1" x14ac:dyDescent="0.25">
      <c r="B516" s="178" t="str">
        <f t="shared" si="416"/>
        <v>TFREPYG900</v>
      </c>
      <c r="C516" s="178"/>
      <c r="D516" s="179"/>
      <c r="E516" s="178"/>
      <c r="F516" s="182"/>
      <c r="G516" s="181"/>
      <c r="H516" s="182"/>
      <c r="I516" s="183">
        <f>AF$7</f>
        <v>2025</v>
      </c>
      <c r="J516" s="184"/>
      <c r="K516" s="184"/>
      <c r="L516" s="203" t="s">
        <v>1065</v>
      </c>
      <c r="M516" s="184" t="s">
        <v>748</v>
      </c>
      <c r="N516" s="694">
        <f t="shared" ref="N516:AB516" si="421">N513*LOOKUP($AD507,$AH$4:$AQ$4,$AH$7:$AQ$7)</f>
        <v>0</v>
      </c>
      <c r="O516" s="694">
        <f t="shared" si="421"/>
        <v>0</v>
      </c>
      <c r="P516" s="694">
        <f t="shared" si="421"/>
        <v>0</v>
      </c>
      <c r="Q516" s="694">
        <f t="shared" si="421"/>
        <v>0</v>
      </c>
      <c r="R516" s="694">
        <f t="shared" si="421"/>
        <v>0</v>
      </c>
      <c r="S516" s="694">
        <f t="shared" si="421"/>
        <v>0</v>
      </c>
      <c r="T516" s="694">
        <f t="shared" si="421"/>
        <v>0</v>
      </c>
      <c r="U516" s="694">
        <f t="shared" si="421"/>
        <v>0</v>
      </c>
      <c r="V516" s="694">
        <f t="shared" si="421"/>
        <v>0</v>
      </c>
      <c r="W516" s="694">
        <f t="shared" si="421"/>
        <v>0</v>
      </c>
      <c r="X516" s="694">
        <f t="shared" si="421"/>
        <v>0</v>
      </c>
      <c r="Y516" s="694">
        <f t="shared" si="421"/>
        <v>0</v>
      </c>
      <c r="Z516" s="694">
        <f t="shared" si="421"/>
        <v>0</v>
      </c>
      <c r="AA516" s="694">
        <f t="shared" si="421"/>
        <v>0</v>
      </c>
      <c r="AB516" s="694">
        <f t="shared" si="421"/>
        <v>0</v>
      </c>
    </row>
    <row r="517" spans="1:52" s="83" customFormat="1" x14ac:dyDescent="0.25">
      <c r="B517" s="178" t="str">
        <f t="shared" si="416"/>
        <v>TFREPYG900</v>
      </c>
      <c r="C517" s="178"/>
      <c r="D517" s="179"/>
      <c r="E517" s="178"/>
      <c r="F517" s="182"/>
      <c r="G517" s="181"/>
      <c r="H517" s="182"/>
      <c r="I517" s="183">
        <f>AF$8</f>
        <v>2030</v>
      </c>
      <c r="J517" s="184"/>
      <c r="K517" s="184"/>
      <c r="L517" s="203" t="s">
        <v>1065</v>
      </c>
      <c r="M517" s="184" t="s">
        <v>748</v>
      </c>
      <c r="N517" s="694">
        <f t="shared" ref="N517:AB517" si="422">N513*LOOKUP($AD507,$AH$4:$AQ$4,$AH$8:$AQ$8)</f>
        <v>0</v>
      </c>
      <c r="O517" s="694">
        <f t="shared" si="422"/>
        <v>0</v>
      </c>
      <c r="P517" s="694">
        <f t="shared" si="422"/>
        <v>0</v>
      </c>
      <c r="Q517" s="694">
        <f t="shared" si="422"/>
        <v>0</v>
      </c>
      <c r="R517" s="694">
        <f t="shared" si="422"/>
        <v>0</v>
      </c>
      <c r="S517" s="694">
        <f t="shared" si="422"/>
        <v>0</v>
      </c>
      <c r="T517" s="694">
        <f t="shared" si="422"/>
        <v>0</v>
      </c>
      <c r="U517" s="694">
        <f t="shared" si="422"/>
        <v>0</v>
      </c>
      <c r="V517" s="694">
        <f t="shared" si="422"/>
        <v>0</v>
      </c>
      <c r="W517" s="694">
        <f t="shared" si="422"/>
        <v>0</v>
      </c>
      <c r="X517" s="694">
        <f t="shared" si="422"/>
        <v>0</v>
      </c>
      <c r="Y517" s="694">
        <f t="shared" si="422"/>
        <v>0</v>
      </c>
      <c r="Z517" s="694">
        <f t="shared" si="422"/>
        <v>0</v>
      </c>
      <c r="AA517" s="694">
        <f t="shared" si="422"/>
        <v>0</v>
      </c>
      <c r="AB517" s="694">
        <f t="shared" si="422"/>
        <v>0</v>
      </c>
    </row>
    <row r="518" spans="1:52" s="83" customFormat="1" x14ac:dyDescent="0.25">
      <c r="B518" s="178" t="str">
        <f t="shared" si="416"/>
        <v>TFREPYG900</v>
      </c>
      <c r="C518" s="178"/>
      <c r="D518" s="179"/>
      <c r="E518" s="178"/>
      <c r="F518" s="182"/>
      <c r="G518" s="181"/>
      <c r="H518" s="182"/>
      <c r="I518" s="183">
        <f>AF$9</f>
        <v>2040</v>
      </c>
      <c r="J518" s="184"/>
      <c r="K518" s="184"/>
      <c r="L518" s="203" t="s">
        <v>1065</v>
      </c>
      <c r="M518" s="184" t="s">
        <v>748</v>
      </c>
      <c r="N518" s="694">
        <f t="shared" ref="N518:AB518" si="423">N513*LOOKUP($AD507,$AH$4:$AQ$4,$AH$9:$AQ$9)</f>
        <v>0</v>
      </c>
      <c r="O518" s="694">
        <f t="shared" si="423"/>
        <v>0</v>
      </c>
      <c r="P518" s="694">
        <f t="shared" si="423"/>
        <v>0</v>
      </c>
      <c r="Q518" s="694">
        <f t="shared" si="423"/>
        <v>0</v>
      </c>
      <c r="R518" s="694">
        <f t="shared" si="423"/>
        <v>0</v>
      </c>
      <c r="S518" s="694">
        <f t="shared" si="423"/>
        <v>0</v>
      </c>
      <c r="T518" s="694">
        <f t="shared" si="423"/>
        <v>0</v>
      </c>
      <c r="U518" s="694">
        <f t="shared" si="423"/>
        <v>0</v>
      </c>
      <c r="V518" s="694">
        <f t="shared" si="423"/>
        <v>0</v>
      </c>
      <c r="W518" s="694">
        <f t="shared" si="423"/>
        <v>0</v>
      </c>
      <c r="X518" s="694">
        <f t="shared" si="423"/>
        <v>0</v>
      </c>
      <c r="Y518" s="694">
        <f t="shared" si="423"/>
        <v>0</v>
      </c>
      <c r="Z518" s="694">
        <f t="shared" si="423"/>
        <v>0</v>
      </c>
      <c r="AA518" s="694">
        <f t="shared" si="423"/>
        <v>0</v>
      </c>
      <c r="AB518" s="694">
        <f t="shared" si="423"/>
        <v>0</v>
      </c>
    </row>
    <row r="519" spans="1:52" s="83" customFormat="1" x14ac:dyDescent="0.25">
      <c r="B519" s="204" t="str">
        <f t="shared" si="416"/>
        <v>TFREPYG900</v>
      </c>
      <c r="C519" s="204"/>
      <c r="D519" s="205"/>
      <c r="E519" s="204"/>
      <c r="F519" s="206"/>
      <c r="G519" s="207"/>
      <c r="H519" s="206"/>
      <c r="I519" s="208">
        <f>AF$10</f>
        <v>2050</v>
      </c>
      <c r="J519" s="209"/>
      <c r="K519" s="209"/>
      <c r="L519" s="210" t="s">
        <v>1065</v>
      </c>
      <c r="M519" s="209" t="s">
        <v>748</v>
      </c>
      <c r="N519" s="695">
        <f t="shared" ref="N519:AB519" si="424">N513*LOOKUP($AD507,$AH$4:$AQ$4,$AH$10:$AQ$10)</f>
        <v>0</v>
      </c>
      <c r="O519" s="695">
        <f t="shared" si="424"/>
        <v>0</v>
      </c>
      <c r="P519" s="695">
        <f t="shared" si="424"/>
        <v>0</v>
      </c>
      <c r="Q519" s="695">
        <f t="shared" si="424"/>
        <v>0</v>
      </c>
      <c r="R519" s="695">
        <f t="shared" si="424"/>
        <v>0</v>
      </c>
      <c r="S519" s="695">
        <f t="shared" si="424"/>
        <v>0</v>
      </c>
      <c r="T519" s="695">
        <f t="shared" si="424"/>
        <v>0</v>
      </c>
      <c r="U519" s="695">
        <f t="shared" si="424"/>
        <v>0</v>
      </c>
      <c r="V519" s="695">
        <f t="shared" si="424"/>
        <v>0</v>
      </c>
      <c r="W519" s="695">
        <f t="shared" si="424"/>
        <v>0</v>
      </c>
      <c r="X519" s="695">
        <f t="shared" si="424"/>
        <v>0</v>
      </c>
      <c r="Y519" s="695">
        <f t="shared" si="424"/>
        <v>0</v>
      </c>
      <c r="Z519" s="695">
        <f t="shared" si="424"/>
        <v>0</v>
      </c>
      <c r="AA519" s="695">
        <f t="shared" si="424"/>
        <v>0</v>
      </c>
      <c r="AB519" s="695">
        <f t="shared" si="424"/>
        <v>0</v>
      </c>
    </row>
    <row r="520" spans="1:52" s="83" customFormat="1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70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</sheetData>
  <sortState xmlns:xlrd2="http://schemas.microsoft.com/office/spreadsheetml/2017/richdata2" ref="G203:G204">
    <sortCondition ref="G203"/>
  </sortState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5">
    <tabColor theme="5" tint="0.59999389629810485"/>
  </sheetPr>
  <dimension ref="A1:BL59"/>
  <sheetViews>
    <sheetView topLeftCell="L2" zoomScale="75" zoomScaleNormal="75" workbookViewId="0">
      <selection activeCell="M30" sqref="M30:AA36"/>
    </sheetView>
  </sheetViews>
  <sheetFormatPr defaultColWidth="9.28515625" defaultRowHeight="15" x14ac:dyDescent="0.25"/>
  <cols>
    <col min="1" max="1" width="3.28515625" style="33" customWidth="1"/>
    <col min="2" max="2" width="21.5703125" style="33" customWidth="1"/>
    <col min="3" max="3" width="12.7109375" style="33" bestFit="1" customWidth="1"/>
    <col min="4" max="4" width="32.7109375" style="33" customWidth="1"/>
    <col min="5" max="6" width="13.28515625" style="33" customWidth="1"/>
    <col min="7" max="7" width="14.7109375" style="33" customWidth="1"/>
    <col min="8" max="8" width="16.42578125" style="33" customWidth="1"/>
    <col min="9" max="9" width="17.28515625" style="33" customWidth="1"/>
    <col min="10" max="10" width="20.28515625" style="33" customWidth="1"/>
    <col min="11" max="11" width="12" style="33" bestFit="1" customWidth="1"/>
    <col min="12" max="12" width="20.7109375" style="33" customWidth="1"/>
    <col min="13" max="13" width="12.7109375" style="33" customWidth="1"/>
    <col min="14" max="15" width="13.5703125" style="33" customWidth="1"/>
    <col min="16" max="16" width="15.42578125" style="33" customWidth="1"/>
    <col min="17" max="28" width="13.5703125" style="33" customWidth="1"/>
    <col min="29" max="29" width="14.85546875" style="33" customWidth="1"/>
    <col min="30" max="45" width="2.7109375" style="33" customWidth="1"/>
    <col min="46" max="16384" width="9.28515625" style="33"/>
  </cols>
  <sheetData>
    <row r="1" spans="1:64" x14ac:dyDescent="0.25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25">
      <c r="A2" s="22"/>
      <c r="B2" s="148" t="s">
        <v>1226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E2" s="37" t="s">
        <v>1112</v>
      </c>
      <c r="AF2" s="38"/>
      <c r="AG2" s="38"/>
      <c r="AH2" s="33"/>
      <c r="AI2" s="33"/>
      <c r="AJ2" s="33"/>
      <c r="AK2" s="33"/>
      <c r="AL2" s="33"/>
      <c r="AM2" s="33"/>
      <c r="AN2" s="33"/>
    </row>
    <row r="3" spans="1:64" s="35" customFormat="1" x14ac:dyDescent="0.25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E3" s="38"/>
      <c r="AF3" s="38" t="str">
        <f>C25</f>
        <v>TAV100</v>
      </c>
      <c r="AG3" s="406" t="s">
        <v>236</v>
      </c>
      <c r="AH3" s="33"/>
      <c r="AI3" s="33"/>
      <c r="AJ3" s="33"/>
      <c r="AK3" s="33"/>
      <c r="AL3" s="33"/>
      <c r="AM3" s="33"/>
      <c r="AN3" s="33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s="35" customFormat="1" x14ac:dyDescent="0.25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E4" s="38">
        <v>2016</v>
      </c>
      <c r="AF4" s="67">
        <v>1</v>
      </c>
      <c r="AG4" s="67">
        <f>AF4</f>
        <v>1</v>
      </c>
      <c r="AH4" s="439"/>
      <c r="AI4" s="439"/>
      <c r="AJ4" s="439"/>
      <c r="AK4" s="439"/>
      <c r="AL4" s="439"/>
      <c r="AM4" s="439"/>
      <c r="AN4" s="439"/>
      <c r="AV4" s="701" t="s">
        <v>85</v>
      </c>
      <c r="AW4" s="701" t="s">
        <v>421</v>
      </c>
      <c r="AX4" s="701" t="str">
        <f t="shared" ref="AX4:BL4" si="2">M$2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s="35" customFormat="1" x14ac:dyDescent="0.25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E5" s="38">
        <v>2020</v>
      </c>
      <c r="AF5" s="67">
        <v>0.95</v>
      </c>
      <c r="AG5" s="67">
        <f t="shared" ref="AG5:AG9" si="3">AF5</f>
        <v>0.95</v>
      </c>
      <c r="AH5" s="439"/>
      <c r="AI5" s="439"/>
      <c r="AJ5" s="439"/>
      <c r="AK5" s="439"/>
      <c r="AL5" s="439"/>
      <c r="AM5" s="439"/>
      <c r="AN5" s="439"/>
      <c r="AV5" s="398" t="s">
        <v>103</v>
      </c>
      <c r="AW5" s="710" t="e">
        <f>SUM(AX5:BL5)</f>
        <v>#DIV/0!</v>
      </c>
      <c r="AX5" s="709" t="e">
        <f>SUM(AX6:AX23)</f>
        <v>#DIV/0!</v>
      </c>
      <c r="AY5" s="709" t="e">
        <f t="shared" ref="AY5:BL5" si="4">SUM(AY6:AY23)</f>
        <v>#DIV/0!</v>
      </c>
      <c r="AZ5" s="709" t="e">
        <f t="shared" si="4"/>
        <v>#DIV/0!</v>
      </c>
      <c r="BA5" s="709" t="e">
        <f t="shared" si="4"/>
        <v>#DIV/0!</v>
      </c>
      <c r="BB5" s="709" t="e">
        <f t="shared" si="4"/>
        <v>#DIV/0!</v>
      </c>
      <c r="BC5" s="709" t="e">
        <f t="shared" si="4"/>
        <v>#DIV/0!</v>
      </c>
      <c r="BD5" s="709" t="e">
        <f t="shared" si="4"/>
        <v>#DIV/0!</v>
      </c>
      <c r="BE5" s="709" t="e">
        <f t="shared" si="4"/>
        <v>#DIV/0!</v>
      </c>
      <c r="BF5" s="709" t="e">
        <f t="shared" si="4"/>
        <v>#DIV/0!</v>
      </c>
      <c r="BG5" s="709" t="e">
        <f t="shared" si="4"/>
        <v>#DIV/0!</v>
      </c>
      <c r="BH5" s="709" t="e">
        <f t="shared" si="4"/>
        <v>#DIV/0!</v>
      </c>
      <c r="BI5" s="709" t="e">
        <f t="shared" si="4"/>
        <v>#DIV/0!</v>
      </c>
      <c r="BJ5" s="709" t="e">
        <f t="shared" si="4"/>
        <v>#DIV/0!</v>
      </c>
      <c r="BK5" s="709" t="e">
        <f t="shared" si="4"/>
        <v>#DIV/0!</v>
      </c>
      <c r="BL5" s="709" t="e">
        <f t="shared" si="4"/>
        <v>#DIV/0!</v>
      </c>
    </row>
    <row r="6" spans="1:64" s="35" customFormat="1" x14ac:dyDescent="0.25">
      <c r="H6" s="36"/>
      <c r="AE6" s="38">
        <f>AE5+5</f>
        <v>2025</v>
      </c>
      <c r="AF6" s="67">
        <v>0.9</v>
      </c>
      <c r="AG6" s="67">
        <f t="shared" si="3"/>
        <v>0.9</v>
      </c>
      <c r="AH6" s="439"/>
      <c r="AI6" s="439"/>
      <c r="AJ6" s="439"/>
      <c r="AK6" s="439"/>
      <c r="AL6" s="439"/>
      <c r="AM6" s="439"/>
      <c r="AN6" s="439"/>
      <c r="AV6" s="725" t="s">
        <v>988</v>
      </c>
      <c r="AW6" s="730">
        <f t="shared" ref="AW6:AW23" si="5">SUM(AX6:BL6)</f>
        <v>0</v>
      </c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</row>
    <row r="7" spans="1:64" x14ac:dyDescent="0.25">
      <c r="B7" s="34"/>
      <c r="G7" s="19"/>
      <c r="H7" s="19"/>
      <c r="K7" s="40" t="s">
        <v>1051</v>
      </c>
      <c r="L7" s="40"/>
      <c r="Q7" s="41"/>
      <c r="AE7" s="38">
        <f>AE6+5</f>
        <v>2030</v>
      </c>
      <c r="AF7" s="67">
        <v>0.8</v>
      </c>
      <c r="AG7" s="67">
        <f t="shared" si="3"/>
        <v>0.8</v>
      </c>
      <c r="AH7" s="439"/>
      <c r="AI7" s="439"/>
      <c r="AJ7" s="439"/>
      <c r="AK7" s="439"/>
      <c r="AL7" s="439"/>
      <c r="AM7" s="439"/>
      <c r="AN7" s="439"/>
      <c r="AO7" s="35"/>
      <c r="AP7" s="35"/>
      <c r="AQ7" s="35"/>
      <c r="AR7" s="35"/>
      <c r="AS7" s="35"/>
      <c r="AV7" s="725" t="s">
        <v>994</v>
      </c>
      <c r="AW7" s="730">
        <f t="shared" si="5"/>
        <v>0</v>
      </c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</row>
    <row r="8" spans="1:64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6">M$2</f>
        <v>Z01</v>
      </c>
      <c r="N8" s="43" t="str">
        <f t="shared" si="6"/>
        <v>Z02</v>
      </c>
      <c r="O8" s="43" t="str">
        <f t="shared" si="6"/>
        <v>Z03</v>
      </c>
      <c r="P8" s="43" t="str">
        <f t="shared" si="6"/>
        <v>Z04</v>
      </c>
      <c r="Q8" s="43" t="str">
        <f t="shared" si="6"/>
        <v>Z05</v>
      </c>
      <c r="R8" s="43" t="str">
        <f t="shared" si="6"/>
        <v>Z06</v>
      </c>
      <c r="S8" s="43" t="str">
        <f t="shared" si="6"/>
        <v>Z07</v>
      </c>
      <c r="T8" s="43" t="str">
        <f t="shared" si="6"/>
        <v>Z08</v>
      </c>
      <c r="U8" s="43" t="str">
        <f t="shared" si="6"/>
        <v>Z09</v>
      </c>
      <c r="V8" s="43" t="str">
        <f t="shared" si="6"/>
        <v>Z10</v>
      </c>
      <c r="W8" s="43" t="str">
        <f t="shared" si="6"/>
        <v>Z11</v>
      </c>
      <c r="X8" s="43" t="str">
        <f t="shared" si="6"/>
        <v>Z12</v>
      </c>
      <c r="Y8" s="43" t="str">
        <f t="shared" si="6"/>
        <v>Z13</v>
      </c>
      <c r="Z8" s="43" t="str">
        <f t="shared" si="6"/>
        <v>Z14</v>
      </c>
      <c r="AA8" s="43" t="str">
        <f t="shared" si="6"/>
        <v>Z15</v>
      </c>
      <c r="AC8" s="163" t="s">
        <v>421</v>
      </c>
      <c r="AE8" s="38">
        <f>AE7+10</f>
        <v>2040</v>
      </c>
      <c r="AF8" s="67">
        <v>0.65</v>
      </c>
      <c r="AG8" s="67">
        <f t="shared" si="3"/>
        <v>0.65</v>
      </c>
      <c r="AH8" s="439"/>
      <c r="AI8" s="439"/>
      <c r="AJ8" s="439"/>
      <c r="AK8" s="439"/>
      <c r="AL8" s="439"/>
      <c r="AM8" s="439"/>
      <c r="AN8" s="439"/>
      <c r="AO8" s="35"/>
      <c r="AP8" s="35"/>
      <c r="AQ8" s="35"/>
      <c r="AR8" s="35"/>
      <c r="AS8" s="35"/>
      <c r="AV8" s="725" t="s">
        <v>998</v>
      </c>
      <c r="AW8" s="730">
        <f t="shared" si="5"/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0.5</v>
      </c>
      <c r="AG9" s="67">
        <f t="shared" si="3"/>
        <v>0.5</v>
      </c>
      <c r="AH9" s="439"/>
      <c r="AI9" s="439"/>
      <c r="AJ9" s="439"/>
      <c r="AK9" s="439"/>
      <c r="AL9" s="439"/>
      <c r="AM9" s="439"/>
      <c r="AN9" s="439"/>
      <c r="AO9" s="35"/>
      <c r="AP9" s="35"/>
      <c r="AQ9" s="35"/>
      <c r="AR9" s="35"/>
      <c r="AS9" s="35"/>
      <c r="AV9" s="727" t="s">
        <v>1000</v>
      </c>
      <c r="AW9" s="730">
        <f t="shared" si="5"/>
        <v>0</v>
      </c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</row>
    <row r="10" spans="1:64" x14ac:dyDescent="0.25">
      <c r="A10" s="44"/>
      <c r="B10" s="44"/>
      <c r="C10" s="44"/>
      <c r="D10" s="35"/>
      <c r="E10" s="35"/>
      <c r="F10" s="44"/>
      <c r="G10" s="35"/>
      <c r="H10" s="172" t="s">
        <v>82</v>
      </c>
      <c r="I10" s="173" t="str">
        <f>LOOKUP(H10,TRA_Comm!$C$29:$C$90,TRA_Comm!$D$29:$D$90)</f>
        <v>Aviation.Domestic.</v>
      </c>
      <c r="J10" s="173"/>
      <c r="K10" s="173" t="s">
        <v>1118</v>
      </c>
      <c r="L10" s="191" t="s">
        <v>583</v>
      </c>
      <c r="M10" s="165">
        <f>SUMIF(DEMAND_Pkm_Tkm!$C$6:$C$43, $H10, DEMAND_Pkm_Tkm!G$6:G$43)</f>
        <v>0</v>
      </c>
      <c r="N10" s="165">
        <f>SUMIF(DEMAND_Pkm_Tkm!$C$6:$C$43, $H10, DEMAND_Pkm_Tkm!H$6:H$43)</f>
        <v>0</v>
      </c>
      <c r="O10" s="165">
        <f>SUMIF(DEMAND_Pkm_Tkm!$C$6:$C$43, $H10, DEMAND_Pkm_Tkm!I$6:I$43)</f>
        <v>0</v>
      </c>
      <c r="P10" s="165">
        <f>SUMIF(DEMAND_Pkm_Tkm!$C$6:$C$43, $H10, DEMAND_Pkm_Tkm!J$6:J$43)</f>
        <v>0</v>
      </c>
      <c r="Q10" s="165">
        <f>SUMIF(DEMAND_Pkm_Tkm!$C$6:$C$43, $H10, DEMAND_Pkm_Tkm!K$6:K$43)</f>
        <v>0</v>
      </c>
      <c r="R10" s="165">
        <f>SUMIF(DEMAND_Pkm_Tkm!$C$6:$C$43, $H10, DEMAND_Pkm_Tkm!L$6:L$43)</f>
        <v>0</v>
      </c>
      <c r="S10" s="165">
        <f>SUMIF(DEMAND_Pkm_Tkm!$C$6:$C$43, $H10, DEMAND_Pkm_Tkm!M$6:M$43)</f>
        <v>0</v>
      </c>
      <c r="T10" s="165">
        <f>SUMIF(DEMAND_Pkm_Tkm!$C$6:$C$43, $H10, DEMAND_Pkm_Tkm!N$6:N$43)</f>
        <v>0</v>
      </c>
      <c r="U10" s="165">
        <f>SUMIF(DEMAND_Pkm_Tkm!$C$6:$C$43, $H10, DEMAND_Pkm_Tkm!O$6:O$43)</f>
        <v>0</v>
      </c>
      <c r="V10" s="165">
        <f>SUMIF(DEMAND_Pkm_Tkm!$C$6:$C$43, $H10, DEMAND_Pkm_Tkm!P$6:P$43)</f>
        <v>0</v>
      </c>
      <c r="W10" s="165">
        <f>SUMIF(DEMAND_Pkm_Tkm!$C$6:$C$43, $H10, DEMAND_Pkm_Tkm!Q$6:Q$43)</f>
        <v>0</v>
      </c>
      <c r="X10" s="165">
        <f>SUMIF(DEMAND_Pkm_Tkm!$C$6:$C$43, $H10, DEMAND_Pkm_Tkm!R$6:R$43)</f>
        <v>0</v>
      </c>
      <c r="Y10" s="165">
        <f>SUMIF(DEMAND_Pkm_Tkm!$C$6:$C$43, $H10, DEMAND_Pkm_Tkm!S$6:S$43)</f>
        <v>0</v>
      </c>
      <c r="Z10" s="165">
        <f>SUMIF(DEMAND_Pkm_Tkm!$C$6:$C$43, $H10, DEMAND_Pkm_Tkm!T$6:T$43)</f>
        <v>0</v>
      </c>
      <c r="AA10" s="165">
        <f>SUMIF(DEMAND_Pkm_Tkm!$C$6:$C$43, $H10, DEMAND_Pkm_Tkm!U$6:U$43)</f>
        <v>0</v>
      </c>
      <c r="AC10" s="592">
        <f>SUM(M10:AA10)</f>
        <v>0</v>
      </c>
      <c r="AN10" s="35"/>
      <c r="AO10" s="35"/>
      <c r="AP10" s="35"/>
      <c r="AQ10" s="35"/>
      <c r="AR10" s="35"/>
      <c r="AV10" s="728" t="s">
        <v>185</v>
      </c>
      <c r="AW10" s="730">
        <f t="shared" si="5"/>
        <v>0</v>
      </c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</row>
    <row r="11" spans="1:64" x14ac:dyDescent="0.25">
      <c r="A11" s="44"/>
      <c r="B11" s="44"/>
      <c r="C11" s="44"/>
      <c r="D11" s="35"/>
      <c r="E11" s="35"/>
      <c r="F11" s="44"/>
      <c r="G11" s="35"/>
      <c r="H11" s="172" t="s">
        <v>587</v>
      </c>
      <c r="I11" s="173" t="str">
        <f>LOOKUP(H11,TRA_Comm!$C$29:$C$90,TRA_Comm!$D$29:$D$90)</f>
        <v>Aviation.Domestic.City.</v>
      </c>
      <c r="J11" s="173"/>
      <c r="K11" s="173" t="s">
        <v>1118</v>
      </c>
      <c r="L11" s="191" t="s">
        <v>583</v>
      </c>
      <c r="M11" s="165">
        <f>SUMIF(DEMAND_Pkm_Tkm!$C$6:$C$43, $H11, DEMAND_Pkm_Tkm!G$6:G$43)</f>
        <v>0</v>
      </c>
      <c r="N11" s="165">
        <f>SUMIF(DEMAND_Pkm_Tkm!$C$6:$C$43, $H11, DEMAND_Pkm_Tkm!H$6:H$43)</f>
        <v>0</v>
      </c>
      <c r="O11" s="165">
        <f>SUMIF(DEMAND_Pkm_Tkm!$C$6:$C$43, $H11, DEMAND_Pkm_Tkm!I$6:I$43)</f>
        <v>0</v>
      </c>
      <c r="P11" s="165">
        <f>SUMIF(DEMAND_Pkm_Tkm!$C$6:$C$43, $H11, DEMAND_Pkm_Tkm!J$6:J$43)</f>
        <v>0</v>
      </c>
      <c r="Q11" s="165">
        <f>SUMIF(DEMAND_Pkm_Tkm!$C$6:$C$43, $H11, DEMAND_Pkm_Tkm!K$6:K$43)</f>
        <v>0</v>
      </c>
      <c r="R11" s="165">
        <f>SUMIF(DEMAND_Pkm_Tkm!$C$6:$C$43, $H11, DEMAND_Pkm_Tkm!L$6:L$43)</f>
        <v>0</v>
      </c>
      <c r="S11" s="165">
        <f>SUMIF(DEMAND_Pkm_Tkm!$C$6:$C$43, $H11, DEMAND_Pkm_Tkm!M$6:M$43)</f>
        <v>0</v>
      </c>
      <c r="T11" s="165">
        <f>SUMIF(DEMAND_Pkm_Tkm!$C$6:$C$43, $H11, DEMAND_Pkm_Tkm!N$6:N$43)</f>
        <v>0</v>
      </c>
      <c r="U11" s="165">
        <f>SUMIF(DEMAND_Pkm_Tkm!$C$6:$C$43, $H11, DEMAND_Pkm_Tkm!O$6:O$43)</f>
        <v>0</v>
      </c>
      <c r="V11" s="165">
        <f>SUMIF(DEMAND_Pkm_Tkm!$C$6:$C$43, $H11, DEMAND_Pkm_Tkm!P$6:P$43)</f>
        <v>0</v>
      </c>
      <c r="W11" s="165">
        <f>SUMIF(DEMAND_Pkm_Tkm!$C$6:$C$43, $H11, DEMAND_Pkm_Tkm!Q$6:Q$43)</f>
        <v>0</v>
      </c>
      <c r="X11" s="165">
        <f>SUMIF(DEMAND_Pkm_Tkm!$C$6:$C$43, $H11, DEMAND_Pkm_Tkm!R$6:R$43)</f>
        <v>0</v>
      </c>
      <c r="Y11" s="165">
        <f>SUMIF(DEMAND_Pkm_Tkm!$C$6:$C$43, $H11, DEMAND_Pkm_Tkm!S$6:S$43)</f>
        <v>0</v>
      </c>
      <c r="Z11" s="165">
        <f>SUMIF(DEMAND_Pkm_Tkm!$C$6:$C$43, $H11, DEMAND_Pkm_Tkm!T$6:T$43)</f>
        <v>0</v>
      </c>
      <c r="AA11" s="165">
        <f>SUMIF(DEMAND_Pkm_Tkm!$C$6:$C$43, $H11, DEMAND_Pkm_Tkm!U$6:U$43)</f>
        <v>0</v>
      </c>
      <c r="AC11" s="592">
        <f>SUM(M11:AA11)</f>
        <v>0</v>
      </c>
      <c r="AO11" s="35"/>
      <c r="AP11" s="35"/>
      <c r="AQ11" s="35"/>
      <c r="AR11" s="35"/>
      <c r="AV11" s="728" t="s">
        <v>683</v>
      </c>
      <c r="AW11" s="730">
        <f t="shared" si="5"/>
        <v>0</v>
      </c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</row>
    <row r="12" spans="1:64" x14ac:dyDescent="0.25">
      <c r="A12" s="44"/>
      <c r="B12" s="34"/>
      <c r="C12" s="44"/>
      <c r="D12" s="35"/>
      <c r="E12" s="35"/>
      <c r="F12" s="44"/>
      <c r="G12" s="35"/>
      <c r="H12" s="172" t="s">
        <v>523</v>
      </c>
      <c r="I12" s="173" t="str">
        <f>LOOKUP(H12,TRA_Comm!$C$29:$C$90,TRA_Comm!$D$29:$D$90)</f>
        <v>Aviation.International.</v>
      </c>
      <c r="J12" s="173"/>
      <c r="K12" s="173" t="s">
        <v>1118</v>
      </c>
      <c r="L12" s="191" t="s">
        <v>583</v>
      </c>
      <c r="M12" s="165">
        <f>SUMIF(DEMAND_Pkm_Tkm!$C$6:$C$43, $H12, DEMAND_Pkm_Tkm!G$6:G$43)</f>
        <v>0</v>
      </c>
      <c r="N12" s="165">
        <f>SUMIF(DEMAND_Pkm_Tkm!$C$6:$C$43, $H12, DEMAND_Pkm_Tkm!H$6:H$43)</f>
        <v>0</v>
      </c>
      <c r="O12" s="165">
        <f>SUMIF(DEMAND_Pkm_Tkm!$C$6:$C$43, $H12, DEMAND_Pkm_Tkm!I$6:I$43)</f>
        <v>0</v>
      </c>
      <c r="P12" s="165">
        <f>SUMIF(DEMAND_Pkm_Tkm!$C$6:$C$43, $H12, DEMAND_Pkm_Tkm!J$6:J$43)</f>
        <v>0</v>
      </c>
      <c r="Q12" s="165">
        <f>SUMIF(DEMAND_Pkm_Tkm!$C$6:$C$43, $H12, DEMAND_Pkm_Tkm!K$6:K$43)</f>
        <v>0</v>
      </c>
      <c r="R12" s="165">
        <f>SUMIF(DEMAND_Pkm_Tkm!$C$6:$C$43, $H12, DEMAND_Pkm_Tkm!L$6:L$43)</f>
        <v>0</v>
      </c>
      <c r="S12" s="165">
        <f>SUMIF(DEMAND_Pkm_Tkm!$C$6:$C$43, $H12, DEMAND_Pkm_Tkm!M$6:M$43)</f>
        <v>0</v>
      </c>
      <c r="T12" s="165">
        <f>SUMIF(DEMAND_Pkm_Tkm!$C$6:$C$43, $H12, DEMAND_Pkm_Tkm!N$6:N$43)</f>
        <v>0</v>
      </c>
      <c r="U12" s="165">
        <f>SUMIF(DEMAND_Pkm_Tkm!$C$6:$C$43, $H12, DEMAND_Pkm_Tkm!O$6:O$43)</f>
        <v>0</v>
      </c>
      <c r="V12" s="165">
        <f>SUMIF(DEMAND_Pkm_Tkm!$C$6:$C$43, $H12, DEMAND_Pkm_Tkm!P$6:P$43)</f>
        <v>0</v>
      </c>
      <c r="W12" s="165">
        <f>SUMIF(DEMAND_Pkm_Tkm!$C$6:$C$43, $H12, DEMAND_Pkm_Tkm!Q$6:Q$43)</f>
        <v>0</v>
      </c>
      <c r="X12" s="165">
        <f>SUMIF(DEMAND_Pkm_Tkm!$C$6:$C$43, $H12, DEMAND_Pkm_Tkm!R$6:R$43)</f>
        <v>0</v>
      </c>
      <c r="Y12" s="165">
        <f>SUMIF(DEMAND_Pkm_Tkm!$C$6:$C$43, $H12, DEMAND_Pkm_Tkm!S$6:S$43)</f>
        <v>0</v>
      </c>
      <c r="Z12" s="165">
        <f>SUMIF(DEMAND_Pkm_Tkm!$C$6:$C$43, $H12, DEMAND_Pkm_Tkm!T$6:T$43)</f>
        <v>0</v>
      </c>
      <c r="AA12" s="165">
        <f>SUMIF(DEMAND_Pkm_Tkm!$C$6:$C$43, $H12, DEMAND_Pkm_Tkm!U$6:U$43)</f>
        <v>0</v>
      </c>
      <c r="AC12" s="592">
        <f>SUM(M12:AA12)</f>
        <v>0</v>
      </c>
      <c r="AE12" s="35"/>
      <c r="AF12" s="35"/>
      <c r="AG12" s="35"/>
      <c r="AH12" s="35"/>
      <c r="AI12" s="35"/>
      <c r="AJ12" s="35"/>
      <c r="AK12" s="35"/>
      <c r="AL12" s="35"/>
      <c r="AM12" s="35"/>
      <c r="AO12" s="35"/>
      <c r="AP12" s="35"/>
      <c r="AQ12" s="35"/>
      <c r="AR12" s="35"/>
      <c r="AV12" s="728" t="s">
        <v>1010</v>
      </c>
      <c r="AW12" s="730">
        <f t="shared" si="5"/>
        <v>0</v>
      </c>
      <c r="AX12" s="723"/>
      <c r="AY12" s="723"/>
      <c r="AZ12" s="723"/>
      <c r="BA12" s="723"/>
      <c r="BB12" s="723"/>
      <c r="BC12" s="723"/>
      <c r="BD12" s="723"/>
      <c r="BE12" s="723"/>
      <c r="BF12" s="723"/>
      <c r="BG12" s="723"/>
      <c r="BH12" s="723"/>
      <c r="BI12" s="723"/>
      <c r="BJ12" s="723"/>
      <c r="BK12" s="723"/>
      <c r="BL12" s="723"/>
    </row>
    <row r="13" spans="1:64" x14ac:dyDescent="0.25">
      <c r="A13" s="44"/>
      <c r="B13" s="45"/>
      <c r="C13" s="44"/>
      <c r="D13" s="35"/>
      <c r="E13" s="35"/>
      <c r="F13" s="44"/>
      <c r="G13" s="35"/>
      <c r="H13" s="172" t="s">
        <v>584</v>
      </c>
      <c r="I13" s="173" t="str">
        <f>LOOKUP(H13,TRA_Comm!$C$29:$C$90,TRA_Comm!$D$29:$D$90)</f>
        <v>Aviation.International.City.</v>
      </c>
      <c r="J13" s="173"/>
      <c r="K13" s="173" t="s">
        <v>1118</v>
      </c>
      <c r="L13" s="191" t="s">
        <v>583</v>
      </c>
      <c r="M13" s="165">
        <f>SUMIF(DEMAND_Pkm_Tkm!$C$6:$C$43, $H13, DEMAND_Pkm_Tkm!G$6:G$43)</f>
        <v>0</v>
      </c>
      <c r="N13" s="165">
        <f>SUMIF(DEMAND_Pkm_Tkm!$C$6:$C$43, $H13, DEMAND_Pkm_Tkm!H$6:H$43)</f>
        <v>0</v>
      </c>
      <c r="O13" s="165">
        <f>SUMIF(DEMAND_Pkm_Tkm!$C$6:$C$43, $H13, DEMAND_Pkm_Tkm!I$6:I$43)</f>
        <v>0</v>
      </c>
      <c r="P13" s="165">
        <f>SUMIF(DEMAND_Pkm_Tkm!$C$6:$C$43, $H13, DEMAND_Pkm_Tkm!J$6:J$43)</f>
        <v>0</v>
      </c>
      <c r="Q13" s="165">
        <f>SUMIF(DEMAND_Pkm_Tkm!$C$6:$C$43, $H13, DEMAND_Pkm_Tkm!K$6:K$43)</f>
        <v>0</v>
      </c>
      <c r="R13" s="165">
        <f>SUMIF(DEMAND_Pkm_Tkm!$C$6:$C$43, $H13, DEMAND_Pkm_Tkm!L$6:L$43)</f>
        <v>0</v>
      </c>
      <c r="S13" s="165">
        <f>SUMIF(DEMAND_Pkm_Tkm!$C$6:$C$43, $H13, DEMAND_Pkm_Tkm!M$6:M$43)</f>
        <v>0</v>
      </c>
      <c r="T13" s="165">
        <f>SUMIF(DEMAND_Pkm_Tkm!$C$6:$C$43, $H13, DEMAND_Pkm_Tkm!N$6:N$43)</f>
        <v>0</v>
      </c>
      <c r="U13" s="165">
        <f>SUMIF(DEMAND_Pkm_Tkm!$C$6:$C$43, $H13, DEMAND_Pkm_Tkm!O$6:O$43)</f>
        <v>0</v>
      </c>
      <c r="V13" s="165">
        <f>SUMIF(DEMAND_Pkm_Tkm!$C$6:$C$43, $H13, DEMAND_Pkm_Tkm!P$6:P$43)</f>
        <v>0</v>
      </c>
      <c r="W13" s="165">
        <f>SUMIF(DEMAND_Pkm_Tkm!$C$6:$C$43, $H13, DEMAND_Pkm_Tkm!Q$6:Q$43)</f>
        <v>0</v>
      </c>
      <c r="X13" s="165">
        <f>SUMIF(DEMAND_Pkm_Tkm!$C$6:$C$43, $H13, DEMAND_Pkm_Tkm!R$6:R$43)</f>
        <v>0</v>
      </c>
      <c r="Y13" s="165">
        <f>SUMIF(DEMAND_Pkm_Tkm!$C$6:$C$43, $H13, DEMAND_Pkm_Tkm!S$6:S$43)</f>
        <v>0</v>
      </c>
      <c r="Z13" s="165">
        <f>SUMIF(DEMAND_Pkm_Tkm!$C$6:$C$43, $H13, DEMAND_Pkm_Tkm!T$6:T$43)</f>
        <v>0</v>
      </c>
      <c r="AA13" s="165">
        <f>SUMIF(DEMAND_Pkm_Tkm!$C$6:$C$43, $H13, DEMAND_Pkm_Tkm!U$6:U$43)</f>
        <v>0</v>
      </c>
      <c r="AC13" s="592">
        <f>SUM(M13:AA13)</f>
        <v>0</v>
      </c>
      <c r="AE13" s="35"/>
      <c r="AF13" s="35"/>
      <c r="AG13" s="35"/>
      <c r="AH13" s="35"/>
      <c r="AI13" s="35"/>
      <c r="AJ13" s="35"/>
      <c r="AK13" s="35"/>
      <c r="AL13" s="35"/>
      <c r="AO13" s="35"/>
      <c r="AP13" s="35"/>
      <c r="AQ13" s="35"/>
      <c r="AR13" s="35"/>
      <c r="AV13" s="728" t="s">
        <v>1012</v>
      </c>
      <c r="AW13" s="730">
        <f t="shared" si="5"/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ht="15.75" thickBot="1" x14ac:dyDescent="0.3">
      <c r="A14" s="44"/>
      <c r="B14" s="78" t="s">
        <v>1059</v>
      </c>
      <c r="C14" s="44"/>
      <c r="D14" s="35"/>
      <c r="E14" s="35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D14" s="35"/>
      <c r="AE14" s="35"/>
      <c r="AF14" s="35"/>
      <c r="AG14" s="35"/>
      <c r="AH14" s="35"/>
      <c r="AI14" s="35"/>
      <c r="AJ14" s="35"/>
      <c r="AO14" s="35"/>
      <c r="AP14" s="35"/>
      <c r="AQ14" s="35"/>
      <c r="AR14" s="35"/>
      <c r="AV14" s="728" t="s">
        <v>1014</v>
      </c>
      <c r="AW14" s="730">
        <f t="shared" si="5"/>
        <v>0</v>
      </c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</row>
    <row r="15" spans="1:64" ht="15.75" thickBot="1" x14ac:dyDescent="0.3">
      <c r="A15" s="44"/>
      <c r="B15" s="79" t="str">
        <f>IF((COUNTIF(AE24:AL24,"ok")+COUNTIF(AE44:AL44,"ok"))=(COUNTIF(AE24:AL24,"ok")+COUNTIF(AE44:AL44,"ok")),"ok","FALSE")</f>
        <v>ok</v>
      </c>
      <c r="C15" s="44"/>
      <c r="D15" s="35"/>
      <c r="E15" s="35"/>
      <c r="F15" s="44"/>
      <c r="G15" s="44"/>
      <c r="H15" s="44"/>
      <c r="I15" s="44"/>
      <c r="J15" s="44"/>
      <c r="K15" s="43" t="s">
        <v>1227</v>
      </c>
      <c r="L15" s="43" t="s">
        <v>1119</v>
      </c>
      <c r="M15" s="43" t="str">
        <f t="shared" ref="M15:AA15" si="7">M$2</f>
        <v>Z01</v>
      </c>
      <c r="N15" s="43" t="str">
        <f t="shared" si="7"/>
        <v>Z02</v>
      </c>
      <c r="O15" s="43" t="str">
        <f t="shared" si="7"/>
        <v>Z03</v>
      </c>
      <c r="P15" s="43" t="str">
        <f t="shared" si="7"/>
        <v>Z04</v>
      </c>
      <c r="Q15" s="43" t="str">
        <f t="shared" si="7"/>
        <v>Z05</v>
      </c>
      <c r="R15" s="43" t="str">
        <f t="shared" si="7"/>
        <v>Z06</v>
      </c>
      <c r="S15" s="43" t="str">
        <f t="shared" si="7"/>
        <v>Z07</v>
      </c>
      <c r="T15" s="43" t="str">
        <f t="shared" si="7"/>
        <v>Z08</v>
      </c>
      <c r="U15" s="43" t="str">
        <f t="shared" si="7"/>
        <v>Z09</v>
      </c>
      <c r="V15" s="43" t="str">
        <f t="shared" si="7"/>
        <v>Z10</v>
      </c>
      <c r="W15" s="43" t="str">
        <f t="shared" si="7"/>
        <v>Z11</v>
      </c>
      <c r="X15" s="43" t="str">
        <f t="shared" si="7"/>
        <v>Z12</v>
      </c>
      <c r="Y15" s="43" t="str">
        <f t="shared" si="7"/>
        <v>Z13</v>
      </c>
      <c r="Z15" s="43" t="str">
        <f t="shared" si="7"/>
        <v>Z14</v>
      </c>
      <c r="AA15" s="43" t="str">
        <f t="shared" si="7"/>
        <v>Z15</v>
      </c>
      <c r="AB15" s="44"/>
      <c r="AD15" s="35"/>
      <c r="AE15" s="35"/>
      <c r="AF15" s="35"/>
      <c r="AG15" s="35"/>
      <c r="AH15" s="35"/>
      <c r="AI15" s="35"/>
      <c r="AJ15" s="35"/>
      <c r="AO15" s="35"/>
      <c r="AP15" s="35"/>
      <c r="AQ15" s="35"/>
      <c r="AR15" s="35"/>
      <c r="AV15" s="728" t="s">
        <v>1016</v>
      </c>
      <c r="AW15" s="730">
        <f t="shared" si="5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25">
      <c r="A16" s="44"/>
      <c r="B16" s="44"/>
      <c r="C16" s="44"/>
      <c r="D16" s="35"/>
      <c r="E16" s="35"/>
      <c r="F16" s="44"/>
      <c r="G16" s="35"/>
      <c r="H16" s="35"/>
      <c r="I16" s="35"/>
      <c r="J16" s="35"/>
      <c r="K16" s="436"/>
      <c r="L16" s="173" t="s">
        <v>523</v>
      </c>
      <c r="M16" s="165">
        <f>T_ACTFLO!E46</f>
        <v>0</v>
      </c>
      <c r="N16" s="165">
        <f>T_ACTFLO!F46</f>
        <v>0</v>
      </c>
      <c r="O16" s="165">
        <f>T_ACTFLO!G46</f>
        <v>0</v>
      </c>
      <c r="P16" s="165">
        <f>T_ACTFLO!H46</f>
        <v>0</v>
      </c>
      <c r="Q16" s="165">
        <f>T_ACTFLO!I46</f>
        <v>0</v>
      </c>
      <c r="R16" s="165">
        <f>T_ACTFLO!J46</f>
        <v>0</v>
      </c>
      <c r="S16" s="165">
        <f>T_ACTFLO!K46</f>
        <v>0</v>
      </c>
      <c r="T16" s="165">
        <f>T_ACTFLO!L46</f>
        <v>0</v>
      </c>
      <c r="U16" s="165">
        <f>T_ACTFLO!M46</f>
        <v>0</v>
      </c>
      <c r="V16" s="165">
        <f>T_ACTFLO!N46</f>
        <v>0</v>
      </c>
      <c r="W16" s="165">
        <f>T_ACTFLO!O46</f>
        <v>0</v>
      </c>
      <c r="X16" s="165">
        <f>T_ACTFLO!P46</f>
        <v>0</v>
      </c>
      <c r="Y16" s="165">
        <f>T_ACTFLO!Q46</f>
        <v>0</v>
      </c>
      <c r="Z16" s="165">
        <f>T_ACTFLO!R46</f>
        <v>0</v>
      </c>
      <c r="AA16" s="165">
        <f>T_ACTFLO!S46</f>
        <v>0</v>
      </c>
      <c r="AD16" s="35"/>
      <c r="AE16" s="35"/>
      <c r="AF16" s="35"/>
      <c r="AG16" s="35"/>
      <c r="AH16" s="35"/>
      <c r="AI16" s="35"/>
      <c r="AJ16" s="35"/>
      <c r="AO16" s="35"/>
      <c r="AP16" s="35"/>
      <c r="AQ16" s="35"/>
      <c r="AR16" s="35"/>
      <c r="AV16" s="728" t="s">
        <v>1023</v>
      </c>
      <c r="AW16" s="730">
        <f t="shared" si="5"/>
        <v>0</v>
      </c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</row>
    <row r="17" spans="1:64" x14ac:dyDescent="0.25">
      <c r="A17" s="44"/>
      <c r="B17" s="44"/>
      <c r="C17" s="44"/>
      <c r="D17" s="35"/>
      <c r="E17" s="35"/>
      <c r="F17" s="44"/>
      <c r="G17" s="35"/>
      <c r="H17" s="35"/>
      <c r="I17" s="35"/>
      <c r="J17" s="35"/>
      <c r="K17" s="436"/>
      <c r="L17" s="173" t="s">
        <v>82</v>
      </c>
      <c r="M17" s="165">
        <f>T_ACTFLO!E47</f>
        <v>0</v>
      </c>
      <c r="N17" s="165">
        <f>T_ACTFLO!F47</f>
        <v>0</v>
      </c>
      <c r="O17" s="165">
        <f>T_ACTFLO!G47</f>
        <v>0</v>
      </c>
      <c r="P17" s="165">
        <f>T_ACTFLO!H47</f>
        <v>0</v>
      </c>
      <c r="Q17" s="165">
        <f>T_ACTFLO!I47</f>
        <v>0</v>
      </c>
      <c r="R17" s="165">
        <f>T_ACTFLO!J47</f>
        <v>0</v>
      </c>
      <c r="S17" s="165">
        <f>T_ACTFLO!K47</f>
        <v>0</v>
      </c>
      <c r="T17" s="165">
        <f>T_ACTFLO!L47</f>
        <v>0</v>
      </c>
      <c r="U17" s="165">
        <f>T_ACTFLO!M47</f>
        <v>0</v>
      </c>
      <c r="V17" s="165">
        <f>T_ACTFLO!N47</f>
        <v>0</v>
      </c>
      <c r="W17" s="165">
        <f>T_ACTFLO!O47</f>
        <v>0</v>
      </c>
      <c r="X17" s="165">
        <f>T_ACTFLO!P47</f>
        <v>0</v>
      </c>
      <c r="Y17" s="165">
        <f>T_ACTFLO!Q47</f>
        <v>0</v>
      </c>
      <c r="Z17" s="165">
        <f>T_ACTFLO!R47</f>
        <v>0</v>
      </c>
      <c r="AA17" s="165">
        <f>T_ACTFLO!S47</f>
        <v>0</v>
      </c>
      <c r="AD17" s="35"/>
      <c r="AE17" s="35"/>
      <c r="AF17" s="35"/>
      <c r="AG17" s="35"/>
      <c r="AH17" s="35"/>
      <c r="AI17" s="35"/>
      <c r="AJ17" s="35"/>
      <c r="AO17" s="35"/>
      <c r="AP17" s="35"/>
      <c r="AQ17" s="35"/>
      <c r="AR17" s="35"/>
      <c r="AV17" s="725" t="s">
        <v>681</v>
      </c>
      <c r="AW17" s="730">
        <f t="shared" si="5"/>
        <v>0</v>
      </c>
      <c r="AX17" s="723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25">
      <c r="A18" s="44"/>
      <c r="B18" s="9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C18" s="48"/>
      <c r="AD18" s="35"/>
      <c r="AE18" s="35"/>
      <c r="AF18" s="35"/>
      <c r="AG18" s="35"/>
      <c r="AH18" s="35"/>
      <c r="AI18" s="35"/>
      <c r="AJ18" s="35"/>
      <c r="AV18" s="725" t="s">
        <v>1029</v>
      </c>
      <c r="AW18" s="730" t="e">
        <f t="shared" si="5"/>
        <v>#DIV/0!</v>
      </c>
      <c r="AX18" s="723" t="e">
        <f>AX28+AX48</f>
        <v>#DIV/0!</v>
      </c>
      <c r="AY18" s="723" t="e">
        <f t="shared" ref="AY18:BL18" si="8">AY28+AY48</f>
        <v>#DIV/0!</v>
      </c>
      <c r="AZ18" s="723" t="e">
        <f t="shared" si="8"/>
        <v>#DIV/0!</v>
      </c>
      <c r="BA18" s="723" t="e">
        <f t="shared" si="8"/>
        <v>#DIV/0!</v>
      </c>
      <c r="BB18" s="723" t="e">
        <f t="shared" si="8"/>
        <v>#DIV/0!</v>
      </c>
      <c r="BC18" s="723" t="e">
        <f t="shared" si="8"/>
        <v>#DIV/0!</v>
      </c>
      <c r="BD18" s="723" t="e">
        <f t="shared" si="8"/>
        <v>#DIV/0!</v>
      </c>
      <c r="BE18" s="723" t="e">
        <f t="shared" si="8"/>
        <v>#DIV/0!</v>
      </c>
      <c r="BF18" s="723" t="e">
        <f t="shared" si="8"/>
        <v>#DIV/0!</v>
      </c>
      <c r="BG18" s="723" t="e">
        <f t="shared" si="8"/>
        <v>#DIV/0!</v>
      </c>
      <c r="BH18" s="723" t="e">
        <f t="shared" si="8"/>
        <v>#DIV/0!</v>
      </c>
      <c r="BI18" s="723" t="e">
        <f t="shared" si="8"/>
        <v>#DIV/0!</v>
      </c>
      <c r="BJ18" s="723" t="e">
        <f t="shared" si="8"/>
        <v>#DIV/0!</v>
      </c>
      <c r="BK18" s="723" t="e">
        <f t="shared" si="8"/>
        <v>#DIV/0!</v>
      </c>
      <c r="BL18" s="723" t="e">
        <f t="shared" si="8"/>
        <v>#DIV/0!</v>
      </c>
    </row>
    <row r="19" spans="1:64" x14ac:dyDescent="0.25">
      <c r="A19" s="44"/>
      <c r="B19" s="66"/>
      <c r="C19" s="44"/>
      <c r="D19" s="44"/>
      <c r="E19" s="44"/>
      <c r="F19" s="44"/>
      <c r="L19" s="473"/>
      <c r="M19" s="613"/>
      <c r="N19" s="613"/>
      <c r="O19" s="613"/>
      <c r="P19" s="613"/>
      <c r="Q19" s="613"/>
      <c r="R19" s="613"/>
      <c r="S19" s="613"/>
      <c r="T19" s="613"/>
      <c r="U19" s="613"/>
      <c r="V19" s="613"/>
      <c r="W19" s="613"/>
      <c r="X19" s="613"/>
      <c r="Y19" s="613"/>
      <c r="Z19" s="613"/>
      <c r="AA19" s="613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V19" s="725" t="s">
        <v>1031</v>
      </c>
      <c r="AW19" s="730">
        <f t="shared" si="5"/>
        <v>0</v>
      </c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</row>
    <row r="20" spans="1:64" x14ac:dyDescent="0.25">
      <c r="A20" s="35"/>
      <c r="B20" s="32" t="s">
        <v>1228</v>
      </c>
      <c r="C20" s="26"/>
      <c r="D20" s="35"/>
      <c r="E20" s="35"/>
      <c r="F20" s="35"/>
      <c r="G20" s="35"/>
      <c r="H20" s="36"/>
      <c r="I20" s="35"/>
      <c r="J20" s="35"/>
      <c r="K20" s="35"/>
      <c r="L20" s="473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V20" s="725" t="s">
        <v>1033</v>
      </c>
      <c r="AW20" s="730">
        <f t="shared" si="5"/>
        <v>0</v>
      </c>
      <c r="AX20" s="723"/>
      <c r="AY20" s="723"/>
      <c r="AZ20" s="723"/>
      <c r="BA20" s="723"/>
      <c r="BB20" s="723"/>
      <c r="BC20" s="723"/>
      <c r="BD20" s="723"/>
      <c r="BE20" s="723"/>
      <c r="BF20" s="723"/>
      <c r="BG20" s="723"/>
      <c r="BH20" s="723"/>
      <c r="BI20" s="723"/>
      <c r="BJ20" s="723"/>
      <c r="BK20" s="723"/>
      <c r="BL20" s="723"/>
    </row>
    <row r="21" spans="1:64" x14ac:dyDescent="0.25">
      <c r="A21" s="35"/>
      <c r="B21" s="35"/>
      <c r="C21" s="35"/>
      <c r="D21" s="35"/>
      <c r="E21" s="35"/>
      <c r="F21" s="35"/>
      <c r="G21" s="35"/>
      <c r="H21" s="36"/>
      <c r="I21" s="35"/>
      <c r="J21" s="35"/>
      <c r="K21" s="35"/>
      <c r="L21" s="473"/>
      <c r="M21" s="614"/>
      <c r="N21" s="614"/>
      <c r="O21" s="614"/>
      <c r="P21" s="614"/>
      <c r="Q21" s="614"/>
      <c r="R21" s="614"/>
      <c r="S21" s="614"/>
      <c r="T21" s="614"/>
      <c r="U21" s="614"/>
      <c r="V21" s="614"/>
      <c r="W21" s="614"/>
      <c r="X21" s="614"/>
      <c r="Y21" s="614"/>
      <c r="Z21" s="614"/>
      <c r="AA21" s="614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V21" s="725"/>
      <c r="AW21" s="730"/>
      <c r="AX21" s="723"/>
      <c r="AY21" s="723"/>
      <c r="AZ21" s="723"/>
      <c r="BA21" s="723"/>
      <c r="BB21" s="723"/>
      <c r="BC21" s="723"/>
      <c r="BD21" s="723"/>
      <c r="BE21" s="723"/>
      <c r="BF21" s="723"/>
      <c r="BG21" s="723"/>
      <c r="BH21" s="723"/>
      <c r="BI21" s="723"/>
      <c r="BJ21" s="723"/>
      <c r="BK21" s="723"/>
      <c r="BL21" s="723"/>
    </row>
    <row r="22" spans="1:64" x14ac:dyDescent="0.25">
      <c r="A22" s="35"/>
      <c r="B22" s="35"/>
      <c r="C22" s="50"/>
      <c r="D22" s="50"/>
      <c r="E22" s="35"/>
      <c r="F22" s="35"/>
      <c r="G22" s="41"/>
      <c r="H22" s="51"/>
      <c r="I22" s="41"/>
      <c r="J22" s="41"/>
      <c r="K22" s="40" t="str">
        <f>IF(SUM(M10:AA11)&gt;0,"~FI_T","not in use")</f>
        <v>not in use</v>
      </c>
      <c r="L22" s="40"/>
      <c r="M22" s="35"/>
      <c r="N22" s="35"/>
      <c r="O22" s="35"/>
      <c r="P22" s="35"/>
      <c r="Q22" s="41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41"/>
      <c r="AC22" s="49" t="str">
        <f>CONCATENATE("TEST: ",B20)</f>
        <v>TEST: Base-year: Aviation (Domestic)</v>
      </c>
      <c r="AD22" s="49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V22" s="725" t="s">
        <v>1035</v>
      </c>
      <c r="AW22" s="730">
        <f t="shared" si="5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25">
      <c r="A23" s="35"/>
      <c r="B23" s="52" t="s">
        <v>1053</v>
      </c>
      <c r="C23" s="26" t="s">
        <v>104</v>
      </c>
      <c r="D23" s="26" t="s">
        <v>1054</v>
      </c>
      <c r="E23" s="26" t="s">
        <v>673</v>
      </c>
      <c r="F23" s="26" t="s">
        <v>674</v>
      </c>
      <c r="G23" s="26" t="s">
        <v>1055</v>
      </c>
      <c r="H23" s="53" t="s">
        <v>1056</v>
      </c>
      <c r="I23" s="26" t="s">
        <v>982</v>
      </c>
      <c r="J23" s="42" t="s">
        <v>1123</v>
      </c>
      <c r="K23" s="26" t="s">
        <v>1057</v>
      </c>
      <c r="L23" s="26" t="s">
        <v>1058</v>
      </c>
      <c r="M23" s="26" t="str">
        <f t="shared" ref="M23:AA23" si="9">M$2</f>
        <v>Z01</v>
      </c>
      <c r="N23" s="26" t="str">
        <f t="shared" si="9"/>
        <v>Z02</v>
      </c>
      <c r="O23" s="26" t="str">
        <f t="shared" si="9"/>
        <v>Z03</v>
      </c>
      <c r="P23" s="26" t="str">
        <f t="shared" si="9"/>
        <v>Z04</v>
      </c>
      <c r="Q23" s="26" t="str">
        <f t="shared" si="9"/>
        <v>Z05</v>
      </c>
      <c r="R23" s="26" t="str">
        <f t="shared" si="9"/>
        <v>Z06</v>
      </c>
      <c r="S23" s="26" t="str">
        <f t="shared" si="9"/>
        <v>Z07</v>
      </c>
      <c r="T23" s="26" t="str">
        <f t="shared" si="9"/>
        <v>Z08</v>
      </c>
      <c r="U23" s="26" t="str">
        <f t="shared" si="9"/>
        <v>Z09</v>
      </c>
      <c r="V23" s="26" t="str">
        <f t="shared" si="9"/>
        <v>Z10</v>
      </c>
      <c r="W23" s="26" t="str">
        <f t="shared" si="9"/>
        <v>Z11</v>
      </c>
      <c r="X23" s="26" t="str">
        <f t="shared" si="9"/>
        <v>Z12</v>
      </c>
      <c r="Y23" s="26" t="str">
        <f t="shared" si="9"/>
        <v>Z13</v>
      </c>
      <c r="Z23" s="26" t="str">
        <f t="shared" si="9"/>
        <v>Z14</v>
      </c>
      <c r="AA23" s="26" t="str">
        <f t="shared" si="9"/>
        <v>Z15</v>
      </c>
      <c r="AB23" s="48"/>
      <c r="AC23" s="42"/>
      <c r="AD23" s="42" t="s">
        <v>421</v>
      </c>
      <c r="AE23" s="42" t="str">
        <f t="shared" ref="AE23:AS23" si="10">M2</f>
        <v>Z01</v>
      </c>
      <c r="AF23" s="42" t="str">
        <f t="shared" si="10"/>
        <v>Z02</v>
      </c>
      <c r="AG23" s="42" t="str">
        <f t="shared" si="10"/>
        <v>Z03</v>
      </c>
      <c r="AH23" s="42" t="str">
        <f t="shared" si="10"/>
        <v>Z04</v>
      </c>
      <c r="AI23" s="42" t="str">
        <f t="shared" si="10"/>
        <v>Z05</v>
      </c>
      <c r="AJ23" s="42" t="str">
        <f t="shared" si="10"/>
        <v>Z06</v>
      </c>
      <c r="AK23" s="42" t="str">
        <f t="shared" si="10"/>
        <v>Z07</v>
      </c>
      <c r="AL23" s="42" t="str">
        <f t="shared" si="10"/>
        <v>Z08</v>
      </c>
      <c r="AM23" s="42" t="str">
        <f t="shared" si="10"/>
        <v>Z09</v>
      </c>
      <c r="AN23" s="42" t="str">
        <f t="shared" si="10"/>
        <v>Z10</v>
      </c>
      <c r="AO23" s="42" t="str">
        <f t="shared" si="10"/>
        <v>Z11</v>
      </c>
      <c r="AP23" s="42" t="str">
        <f t="shared" si="10"/>
        <v>Z12</v>
      </c>
      <c r="AQ23" s="42" t="str">
        <f t="shared" si="10"/>
        <v>Z13</v>
      </c>
      <c r="AR23" s="42" t="str">
        <f t="shared" si="10"/>
        <v>Z14</v>
      </c>
      <c r="AS23" s="42" t="str">
        <f t="shared" si="10"/>
        <v>Z15</v>
      </c>
      <c r="AT23" s="35"/>
      <c r="AV23" s="725" t="s">
        <v>1039</v>
      </c>
      <c r="AW23" s="730">
        <f t="shared" si="5"/>
        <v>0</v>
      </c>
      <c r="AX23" s="723"/>
      <c r="AY23" s="723"/>
      <c r="AZ23" s="723"/>
      <c r="BA23" s="723"/>
      <c r="BB23" s="723"/>
      <c r="BC23" s="723"/>
      <c r="BD23" s="723"/>
      <c r="BE23" s="723"/>
      <c r="BF23" s="723"/>
      <c r="BG23" s="723"/>
      <c r="BH23" s="723"/>
      <c r="BI23" s="723"/>
      <c r="BJ23" s="723"/>
      <c r="BK23" s="723"/>
      <c r="BL23" s="723"/>
    </row>
    <row r="24" spans="1:64" s="35" customFormat="1" ht="16.5" customHeight="1" x14ac:dyDescent="0.25">
      <c r="B24" s="176"/>
      <c r="C24" s="176"/>
      <c r="D24" s="176" t="s">
        <v>1062</v>
      </c>
      <c r="E24" s="176"/>
      <c r="F24" s="176"/>
      <c r="G24" s="176"/>
      <c r="H24" s="177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C24" s="176" t="s">
        <v>1124</v>
      </c>
      <c r="AD24" s="625" t="str">
        <f>IF(AD25-(AC10+AC11)&lt;0,"too small",IF(AD25-(AC10+AC11)&gt;0.001,"Too big","ok"))</f>
        <v>ok</v>
      </c>
      <c r="AE24" s="619" t="str">
        <f t="shared" ref="AE24:AS24" si="11">IF(AE25-SUM(M10:M11)&lt;0,"too small",IF(AE25-SUM(M10:M11)&gt;0.001,"Too big","ok"))</f>
        <v>ok</v>
      </c>
      <c r="AF24" s="619" t="str">
        <f t="shared" si="11"/>
        <v>ok</v>
      </c>
      <c r="AG24" s="619" t="str">
        <f t="shared" si="11"/>
        <v>ok</v>
      </c>
      <c r="AH24" s="619" t="str">
        <f t="shared" si="11"/>
        <v>ok</v>
      </c>
      <c r="AI24" s="619" t="str">
        <f t="shared" si="11"/>
        <v>ok</v>
      </c>
      <c r="AJ24" s="619" t="str">
        <f t="shared" si="11"/>
        <v>ok</v>
      </c>
      <c r="AK24" s="619" t="str">
        <f t="shared" si="11"/>
        <v>ok</v>
      </c>
      <c r="AL24" s="619" t="str">
        <f t="shared" si="11"/>
        <v>ok</v>
      </c>
      <c r="AM24" s="619" t="str">
        <f t="shared" si="11"/>
        <v>ok</v>
      </c>
      <c r="AN24" s="619" t="str">
        <f t="shared" si="11"/>
        <v>ok</v>
      </c>
      <c r="AO24" s="619" t="str">
        <f t="shared" si="11"/>
        <v>ok</v>
      </c>
      <c r="AP24" s="619" t="str">
        <f t="shared" si="11"/>
        <v>ok</v>
      </c>
      <c r="AQ24" s="619" t="str">
        <f t="shared" si="11"/>
        <v>ok</v>
      </c>
      <c r="AR24" s="619" t="str">
        <f t="shared" si="11"/>
        <v>ok</v>
      </c>
      <c r="AS24" s="619" t="str">
        <f t="shared" si="11"/>
        <v>ok</v>
      </c>
      <c r="AT24" s="22"/>
    </row>
    <row r="25" spans="1:64" s="22" customFormat="1" x14ac:dyDescent="0.25">
      <c r="A25" s="82"/>
      <c r="B25" s="178" t="str">
        <f>C25</f>
        <v>TAV100</v>
      </c>
      <c r="C25" s="178" t="s">
        <v>234</v>
      </c>
      <c r="D25" s="179" t="s">
        <v>751</v>
      </c>
      <c r="E25" s="407" t="s">
        <v>1089</v>
      </c>
      <c r="F25" s="181"/>
      <c r="G25" s="182"/>
      <c r="H25" s="183"/>
      <c r="I25" s="184"/>
      <c r="J25" s="184"/>
      <c r="K25" s="185" t="s">
        <v>1107</v>
      </c>
      <c r="L25" s="191" t="s">
        <v>1156</v>
      </c>
      <c r="M25" s="378">
        <f>10^-3</f>
        <v>1E-3</v>
      </c>
      <c r="N25" s="378">
        <f t="shared" ref="N25:AA25" si="12">$M25</f>
        <v>1E-3</v>
      </c>
      <c r="O25" s="378">
        <f t="shared" si="12"/>
        <v>1E-3</v>
      </c>
      <c r="P25" s="378">
        <f t="shared" si="12"/>
        <v>1E-3</v>
      </c>
      <c r="Q25" s="378">
        <f t="shared" si="12"/>
        <v>1E-3</v>
      </c>
      <c r="R25" s="378">
        <f t="shared" si="12"/>
        <v>1E-3</v>
      </c>
      <c r="S25" s="378">
        <f t="shared" si="12"/>
        <v>1E-3</v>
      </c>
      <c r="T25" s="378">
        <f t="shared" si="12"/>
        <v>1E-3</v>
      </c>
      <c r="U25" s="378">
        <f t="shared" si="12"/>
        <v>1E-3</v>
      </c>
      <c r="V25" s="378">
        <f t="shared" si="12"/>
        <v>1E-3</v>
      </c>
      <c r="W25" s="378">
        <f t="shared" si="12"/>
        <v>1E-3</v>
      </c>
      <c r="X25" s="378">
        <f t="shared" si="12"/>
        <v>1E-3</v>
      </c>
      <c r="Y25" s="378">
        <f t="shared" si="12"/>
        <v>1E-3</v>
      </c>
      <c r="Z25" s="378">
        <f t="shared" si="12"/>
        <v>1E-3</v>
      </c>
      <c r="AA25" s="378">
        <f t="shared" si="12"/>
        <v>1E-3</v>
      </c>
      <c r="AB25" s="83"/>
      <c r="AC25" s="56" t="str">
        <f>C25</f>
        <v>TAV100</v>
      </c>
      <c r="AD25" s="598">
        <f>SUM(AE25:AS25)</f>
        <v>0</v>
      </c>
      <c r="AE25" s="620">
        <f t="shared" ref="AE25:AS25" si="13">SUM(AE27:AE37)</f>
        <v>0</v>
      </c>
      <c r="AF25" s="620">
        <f t="shared" si="13"/>
        <v>0</v>
      </c>
      <c r="AG25" s="620">
        <f t="shared" si="13"/>
        <v>0</v>
      </c>
      <c r="AH25" s="620">
        <f t="shared" si="13"/>
        <v>0</v>
      </c>
      <c r="AI25" s="620">
        <f t="shared" si="13"/>
        <v>0</v>
      </c>
      <c r="AJ25" s="620">
        <f t="shared" si="13"/>
        <v>0</v>
      </c>
      <c r="AK25" s="620">
        <f t="shared" si="13"/>
        <v>0</v>
      </c>
      <c r="AL25" s="620">
        <f t="shared" si="13"/>
        <v>0</v>
      </c>
      <c r="AM25" s="620">
        <f t="shared" si="13"/>
        <v>0</v>
      </c>
      <c r="AN25" s="620">
        <f t="shared" si="13"/>
        <v>0</v>
      </c>
      <c r="AO25" s="620">
        <f t="shared" si="13"/>
        <v>0</v>
      </c>
      <c r="AP25" s="620">
        <f t="shared" si="13"/>
        <v>0</v>
      </c>
      <c r="AQ25" s="620">
        <f t="shared" si="13"/>
        <v>0</v>
      </c>
      <c r="AR25" s="620">
        <f t="shared" si="13"/>
        <v>0</v>
      </c>
      <c r="AS25" s="620">
        <f t="shared" si="13"/>
        <v>0</v>
      </c>
      <c r="AV25" s="471" t="s">
        <v>1052</v>
      </c>
    </row>
    <row r="26" spans="1:64" s="22" customFormat="1" x14ac:dyDescent="0.25">
      <c r="A26" s="82"/>
      <c r="B26" s="178" t="str">
        <f>B25</f>
        <v>TAV100</v>
      </c>
      <c r="C26" s="178"/>
      <c r="D26" s="179"/>
      <c r="E26" s="407"/>
      <c r="F26" s="540" t="s">
        <v>82</v>
      </c>
      <c r="G26" s="182"/>
      <c r="H26" s="183"/>
      <c r="I26" s="184"/>
      <c r="J26" s="184"/>
      <c r="K26" s="186" t="s">
        <v>1126</v>
      </c>
      <c r="L26" s="186" t="s">
        <v>678</v>
      </c>
      <c r="M26" s="366">
        <f>T_CEFF!H320</f>
        <v>5.0000000000000001E-3</v>
      </c>
      <c r="N26" s="366">
        <f>T_CEFF!I320</f>
        <v>5.0000000000000001E-3</v>
      </c>
      <c r="O26" s="366">
        <f>T_CEFF!J320</f>
        <v>5.0000000000000001E-3</v>
      </c>
      <c r="P26" s="366">
        <f>T_CEFF!K320</f>
        <v>5.0000000000000001E-3</v>
      </c>
      <c r="Q26" s="366">
        <f>T_CEFF!L320</f>
        <v>5.0000000000000001E-3</v>
      </c>
      <c r="R26" s="366">
        <f>T_CEFF!M320</f>
        <v>5.0000000000000001E-3</v>
      </c>
      <c r="S26" s="366">
        <f>T_CEFF!N320</f>
        <v>5.0000000000000001E-3</v>
      </c>
      <c r="T26" s="366">
        <f>T_CEFF!O320</f>
        <v>5.0000000000000001E-3</v>
      </c>
      <c r="U26" s="366">
        <f>T_CEFF!P320</f>
        <v>5.0000000000000001E-3</v>
      </c>
      <c r="V26" s="366">
        <f>T_CEFF!Q320</f>
        <v>5.0000000000000001E-3</v>
      </c>
      <c r="W26" s="366">
        <f>T_CEFF!R320</f>
        <v>5.0000000000000001E-3</v>
      </c>
      <c r="X26" s="366">
        <f>T_CEFF!S320</f>
        <v>5.0000000000000001E-3</v>
      </c>
      <c r="Y26" s="366">
        <f>T_CEFF!T320</f>
        <v>5.0000000000000001E-3</v>
      </c>
      <c r="Z26" s="366">
        <f>T_CEFF!U320</f>
        <v>5.0000000000000001E-3</v>
      </c>
      <c r="AA26" s="366">
        <f>T_CEFF!V320</f>
        <v>5.0000000000000001E-3</v>
      </c>
      <c r="AB26" s="83"/>
      <c r="AC26" s="56"/>
      <c r="AD26" s="598"/>
      <c r="AE26" s="620"/>
      <c r="AF26" s="620"/>
      <c r="AG26" s="620"/>
      <c r="AH26" s="620"/>
      <c r="AI26" s="620"/>
      <c r="AJ26" s="620"/>
      <c r="AK26" s="620"/>
      <c r="AL26" s="620"/>
      <c r="AM26" s="620"/>
      <c r="AN26" s="620"/>
      <c r="AO26" s="620"/>
      <c r="AP26" s="620"/>
      <c r="AQ26" s="620"/>
      <c r="AR26" s="620"/>
      <c r="AS26" s="620"/>
      <c r="AV26" s="701" t="s">
        <v>85</v>
      </c>
      <c r="AW26" s="701" t="s">
        <v>421</v>
      </c>
      <c r="AX26" s="701" t="str">
        <f t="shared" ref="AX26:BL26" si="14">M$2</f>
        <v>Z01</v>
      </c>
      <c r="AY26" s="701" t="str">
        <f t="shared" si="14"/>
        <v>Z02</v>
      </c>
      <c r="AZ26" s="701" t="str">
        <f t="shared" si="14"/>
        <v>Z03</v>
      </c>
      <c r="BA26" s="701" t="str">
        <f t="shared" si="14"/>
        <v>Z04</v>
      </c>
      <c r="BB26" s="701" t="str">
        <f t="shared" si="14"/>
        <v>Z05</v>
      </c>
      <c r="BC26" s="701" t="str">
        <f t="shared" si="14"/>
        <v>Z06</v>
      </c>
      <c r="BD26" s="701" t="str">
        <f t="shared" si="14"/>
        <v>Z07</v>
      </c>
      <c r="BE26" s="701" t="str">
        <f t="shared" si="14"/>
        <v>Z08</v>
      </c>
      <c r="BF26" s="701" t="str">
        <f t="shared" si="14"/>
        <v>Z09</v>
      </c>
      <c r="BG26" s="701" t="str">
        <f t="shared" si="14"/>
        <v>Z10</v>
      </c>
      <c r="BH26" s="701" t="str">
        <f t="shared" si="14"/>
        <v>Z11</v>
      </c>
      <c r="BI26" s="701" t="str">
        <f t="shared" si="14"/>
        <v>Z12</v>
      </c>
      <c r="BJ26" s="701" t="str">
        <f t="shared" si="14"/>
        <v>Z13</v>
      </c>
      <c r="BK26" s="701" t="str">
        <f t="shared" si="14"/>
        <v>Z14</v>
      </c>
      <c r="BL26" s="701" t="str">
        <f t="shared" si="14"/>
        <v>Z15</v>
      </c>
    </row>
    <row r="27" spans="1:64" s="22" customFormat="1" x14ac:dyDescent="0.25">
      <c r="B27" s="178" t="str">
        <f t="shared" ref="B27:B36" si="15">B26</f>
        <v>TAV100</v>
      </c>
      <c r="C27" s="186"/>
      <c r="D27" s="187"/>
      <c r="E27" s="258"/>
      <c r="F27" s="189" t="s">
        <v>587</v>
      </c>
      <c r="G27" s="170"/>
      <c r="H27" s="190"/>
      <c r="I27" s="191"/>
      <c r="J27" s="191"/>
      <c r="K27" s="186" t="s">
        <v>1126</v>
      </c>
      <c r="L27" s="186" t="s">
        <v>678</v>
      </c>
      <c r="M27" s="366">
        <f>T_CEFF!H320</f>
        <v>5.0000000000000001E-3</v>
      </c>
      <c r="N27" s="366">
        <f>T_CEFF!I320</f>
        <v>5.0000000000000001E-3</v>
      </c>
      <c r="O27" s="366">
        <f>T_CEFF!J320</f>
        <v>5.0000000000000001E-3</v>
      </c>
      <c r="P27" s="366">
        <f>T_CEFF!K320</f>
        <v>5.0000000000000001E-3</v>
      </c>
      <c r="Q27" s="366">
        <f>T_CEFF!L320</f>
        <v>5.0000000000000001E-3</v>
      </c>
      <c r="R27" s="366">
        <f>T_CEFF!M320</f>
        <v>5.0000000000000001E-3</v>
      </c>
      <c r="S27" s="366">
        <f>T_CEFF!N320</f>
        <v>5.0000000000000001E-3</v>
      </c>
      <c r="T27" s="366">
        <f>T_CEFF!O320</f>
        <v>5.0000000000000001E-3</v>
      </c>
      <c r="U27" s="366">
        <f>T_CEFF!P320</f>
        <v>5.0000000000000001E-3</v>
      </c>
      <c r="V27" s="366">
        <f>T_CEFF!Q320</f>
        <v>5.0000000000000001E-3</v>
      </c>
      <c r="W27" s="366">
        <f>T_CEFF!R320</f>
        <v>5.0000000000000001E-3</v>
      </c>
      <c r="X27" s="366">
        <f>T_CEFF!S320</f>
        <v>5.0000000000000001E-3</v>
      </c>
      <c r="Y27" s="366">
        <f>T_CEFF!T320</f>
        <v>5.0000000000000001E-3</v>
      </c>
      <c r="Z27" s="366">
        <f>T_CEFF!U320</f>
        <v>5.0000000000000001E-3</v>
      </c>
      <c r="AA27" s="366">
        <f>T_CEFF!V320</f>
        <v>5.0000000000000001E-3</v>
      </c>
      <c r="AB27" s="35"/>
      <c r="AC27" s="66" t="str">
        <f>IF(COUNTIF($AF$3:$AN$3,AC25)=1,"ok","MISSING")</f>
        <v>ok</v>
      </c>
      <c r="AD27" s="615"/>
      <c r="AE27" s="568"/>
      <c r="AF27" s="568"/>
      <c r="AG27" s="568"/>
      <c r="AH27" s="568"/>
      <c r="AI27" s="568"/>
      <c r="AJ27" s="568"/>
      <c r="AK27" s="568"/>
      <c r="AL27" s="568"/>
      <c r="AM27" s="568"/>
      <c r="AN27" s="568"/>
      <c r="AO27" s="568"/>
      <c r="AP27" s="568"/>
      <c r="AQ27" s="568"/>
      <c r="AR27" s="568"/>
      <c r="AS27" s="568"/>
      <c r="AT27" s="83"/>
      <c r="AV27" s="398" t="s">
        <v>103</v>
      </c>
      <c r="AW27" s="717" t="e">
        <f>SUM(AX27:BL27)</f>
        <v>#DIV/0!</v>
      </c>
      <c r="AX27" s="718" t="e">
        <f>SUM(AX28:AX157)</f>
        <v>#DIV/0!</v>
      </c>
      <c r="AY27" s="718" t="e">
        <f t="shared" ref="AY27:BL27" si="16">SUM(AY28:AY157)</f>
        <v>#DIV/0!</v>
      </c>
      <c r="AZ27" s="718" t="e">
        <f t="shared" si="16"/>
        <v>#DIV/0!</v>
      </c>
      <c r="BA27" s="718" t="e">
        <f t="shared" si="16"/>
        <v>#DIV/0!</v>
      </c>
      <c r="BB27" s="718" t="e">
        <f t="shared" si="16"/>
        <v>#DIV/0!</v>
      </c>
      <c r="BC27" s="718" t="e">
        <f t="shared" si="16"/>
        <v>#DIV/0!</v>
      </c>
      <c r="BD27" s="718" t="e">
        <f t="shared" si="16"/>
        <v>#DIV/0!</v>
      </c>
      <c r="BE27" s="718" t="e">
        <f t="shared" si="16"/>
        <v>#DIV/0!</v>
      </c>
      <c r="BF27" s="718" t="e">
        <f t="shared" si="16"/>
        <v>#DIV/0!</v>
      </c>
      <c r="BG27" s="718" t="e">
        <f t="shared" si="16"/>
        <v>#DIV/0!</v>
      </c>
      <c r="BH27" s="718" t="e">
        <f t="shared" si="16"/>
        <v>#DIV/0!</v>
      </c>
      <c r="BI27" s="718" t="e">
        <f t="shared" si="16"/>
        <v>#DIV/0!</v>
      </c>
      <c r="BJ27" s="718" t="e">
        <f t="shared" si="16"/>
        <v>#DIV/0!</v>
      </c>
      <c r="BK27" s="718" t="e">
        <f t="shared" si="16"/>
        <v>#DIV/0!</v>
      </c>
      <c r="BL27" s="718" t="e">
        <f t="shared" si="16"/>
        <v>#DIV/0!</v>
      </c>
    </row>
    <row r="28" spans="1:64" s="83" customFormat="1" x14ac:dyDescent="0.25">
      <c r="A28" s="22"/>
      <c r="B28" s="178" t="str">
        <f t="shared" si="15"/>
        <v>TAV100</v>
      </c>
      <c r="C28" s="186"/>
      <c r="D28" s="187"/>
      <c r="E28" s="188"/>
      <c r="F28" s="189"/>
      <c r="G28" s="170"/>
      <c r="H28" s="190"/>
      <c r="I28" s="191"/>
      <c r="J28" s="191" t="s">
        <v>749</v>
      </c>
      <c r="K28" s="186" t="s">
        <v>1128</v>
      </c>
      <c r="L28" s="191" t="s">
        <v>1229</v>
      </c>
      <c r="M28" s="369">
        <f>T_ACTFLO!E47</f>
        <v>0</v>
      </c>
      <c r="N28" s="369">
        <f>T_ACTFLO!F47</f>
        <v>0</v>
      </c>
      <c r="O28" s="369">
        <f>T_ACTFLO!G47</f>
        <v>0</v>
      </c>
      <c r="P28" s="369">
        <f>T_ACTFLO!H47</f>
        <v>0</v>
      </c>
      <c r="Q28" s="369">
        <f>T_ACTFLO!I47</f>
        <v>0</v>
      </c>
      <c r="R28" s="369">
        <f>T_ACTFLO!J47</f>
        <v>0</v>
      </c>
      <c r="S28" s="369">
        <f>T_ACTFLO!K47</f>
        <v>0</v>
      </c>
      <c r="T28" s="369">
        <f>T_ACTFLO!L47</f>
        <v>0</v>
      </c>
      <c r="U28" s="369">
        <f>T_ACTFLO!M47</f>
        <v>0</v>
      </c>
      <c r="V28" s="369">
        <f>T_ACTFLO!N47</f>
        <v>0</v>
      </c>
      <c r="W28" s="369">
        <f>T_ACTFLO!O47</f>
        <v>0</v>
      </c>
      <c r="X28" s="369">
        <f>T_ACTFLO!P47</f>
        <v>0</v>
      </c>
      <c r="Y28" s="369">
        <f>T_ACTFLO!Q47</f>
        <v>0</v>
      </c>
      <c r="Z28" s="369">
        <f>T_ACTFLO!R47</f>
        <v>0</v>
      </c>
      <c r="AA28" s="369">
        <f>T_ACTFLO!S47</f>
        <v>0</v>
      </c>
      <c r="AB28" s="35"/>
      <c r="AC28" s="35"/>
      <c r="AD28" s="568"/>
      <c r="AE28" s="568"/>
      <c r="AF28" s="568"/>
      <c r="AG28" s="568"/>
      <c r="AH28" s="568"/>
      <c r="AI28" s="568"/>
      <c r="AJ28" s="568"/>
      <c r="AK28" s="568"/>
      <c r="AL28" s="568"/>
      <c r="AM28" s="568"/>
      <c r="AN28" s="568"/>
      <c r="AO28" s="568"/>
      <c r="AP28" s="568"/>
      <c r="AQ28" s="568"/>
      <c r="AR28" s="568"/>
      <c r="AS28" s="568"/>
      <c r="AV28" s="700" t="str">
        <f>MID(E25,1,7)</f>
        <v>OILKER</v>
      </c>
      <c r="AW28" s="568">
        <f>SUM(AX28:BL28)</f>
        <v>0</v>
      </c>
      <c r="AX28" s="568">
        <f t="shared" ref="AX28:BL28" si="17">M$29*M$30/M26/1000</f>
        <v>0</v>
      </c>
      <c r="AY28" s="568">
        <f t="shared" si="17"/>
        <v>0</v>
      </c>
      <c r="AZ28" s="568">
        <f t="shared" si="17"/>
        <v>0</v>
      </c>
      <c r="BA28" s="568">
        <f t="shared" si="17"/>
        <v>0</v>
      </c>
      <c r="BB28" s="568">
        <f t="shared" si="17"/>
        <v>0</v>
      </c>
      <c r="BC28" s="568">
        <f t="shared" si="17"/>
        <v>0</v>
      </c>
      <c r="BD28" s="568">
        <f t="shared" si="17"/>
        <v>0</v>
      </c>
      <c r="BE28" s="568">
        <f t="shared" si="17"/>
        <v>0</v>
      </c>
      <c r="BF28" s="568">
        <f t="shared" si="17"/>
        <v>0</v>
      </c>
      <c r="BG28" s="568">
        <f t="shared" si="17"/>
        <v>0</v>
      </c>
      <c r="BH28" s="568">
        <f t="shared" si="17"/>
        <v>0</v>
      </c>
      <c r="BI28" s="568">
        <f t="shared" si="17"/>
        <v>0</v>
      </c>
      <c r="BJ28" s="568">
        <f t="shared" si="17"/>
        <v>0</v>
      </c>
      <c r="BK28" s="568">
        <f t="shared" si="17"/>
        <v>0</v>
      </c>
      <c r="BL28" s="568">
        <f t="shared" si="17"/>
        <v>0</v>
      </c>
    </row>
    <row r="29" spans="1:64" s="83" customFormat="1" x14ac:dyDescent="0.25">
      <c r="A29" s="35"/>
      <c r="B29" s="178" t="str">
        <f t="shared" si="15"/>
        <v>TAV100</v>
      </c>
      <c r="C29" s="186"/>
      <c r="D29" s="187"/>
      <c r="E29" s="186"/>
      <c r="F29" s="189"/>
      <c r="G29" s="170"/>
      <c r="H29" s="190"/>
      <c r="I29" s="191"/>
      <c r="J29" s="191"/>
      <c r="K29" s="192" t="s">
        <v>1130</v>
      </c>
      <c r="L29" s="186" t="s">
        <v>1131</v>
      </c>
      <c r="M29" s="376">
        <f>T_NCAP_AF!D367</f>
        <v>0</v>
      </c>
      <c r="N29" s="376">
        <f>T_NCAP_AF!E367</f>
        <v>0</v>
      </c>
      <c r="O29" s="376">
        <f>T_NCAP_AF!F367</f>
        <v>0</v>
      </c>
      <c r="P29" s="376">
        <f>T_NCAP_AF!G367</f>
        <v>0</v>
      </c>
      <c r="Q29" s="376">
        <f>T_NCAP_AF!H367</f>
        <v>0</v>
      </c>
      <c r="R29" s="376">
        <f>T_NCAP_AF!I367</f>
        <v>0</v>
      </c>
      <c r="S29" s="376">
        <f>T_NCAP_AF!J367</f>
        <v>0</v>
      </c>
      <c r="T29" s="376">
        <f>T_NCAP_AF!K367</f>
        <v>0</v>
      </c>
      <c r="U29" s="376">
        <f>T_NCAP_AF!L367</f>
        <v>0</v>
      </c>
      <c r="V29" s="376">
        <f>T_NCAP_AF!M367</f>
        <v>0</v>
      </c>
      <c r="W29" s="376">
        <f>T_NCAP_AF!N367</f>
        <v>0</v>
      </c>
      <c r="X29" s="376">
        <f>T_NCAP_AF!O367</f>
        <v>0</v>
      </c>
      <c r="Y29" s="376">
        <f>T_NCAP_AF!P367</f>
        <v>0</v>
      </c>
      <c r="Z29" s="376">
        <f>T_NCAP_AF!Q367</f>
        <v>0</v>
      </c>
      <c r="AA29" s="376">
        <f>T_NCAP_AF!R367</f>
        <v>0</v>
      </c>
      <c r="AB29" s="35"/>
      <c r="AC29" s="413" t="s">
        <v>1132</v>
      </c>
      <c r="AD29" s="598">
        <f>SUM(AE29:AS29)</f>
        <v>0</v>
      </c>
      <c r="AE29" s="81">
        <f>M28*M29*M30/1000</f>
        <v>0</v>
      </c>
      <c r="AF29" s="81">
        <f t="shared" ref="AF29:AS29" si="18">N28*N29*N30/1000</f>
        <v>0</v>
      </c>
      <c r="AG29" s="81">
        <f t="shared" si="18"/>
        <v>0</v>
      </c>
      <c r="AH29" s="81">
        <f t="shared" si="18"/>
        <v>0</v>
      </c>
      <c r="AI29" s="81">
        <f t="shared" si="18"/>
        <v>0</v>
      </c>
      <c r="AJ29" s="81">
        <f t="shared" si="18"/>
        <v>0</v>
      </c>
      <c r="AK29" s="81">
        <f t="shared" si="18"/>
        <v>0</v>
      </c>
      <c r="AL29" s="81">
        <f t="shared" si="18"/>
        <v>0</v>
      </c>
      <c r="AM29" s="81">
        <f t="shared" si="18"/>
        <v>0</v>
      </c>
      <c r="AN29" s="81">
        <f t="shared" si="18"/>
        <v>0</v>
      </c>
      <c r="AO29" s="81">
        <f t="shared" si="18"/>
        <v>0</v>
      </c>
      <c r="AP29" s="81">
        <f t="shared" si="18"/>
        <v>0</v>
      </c>
      <c r="AQ29" s="81">
        <f t="shared" si="18"/>
        <v>0</v>
      </c>
      <c r="AR29" s="81">
        <f t="shared" si="18"/>
        <v>0</v>
      </c>
      <c r="AS29" s="81">
        <f t="shared" si="18"/>
        <v>0</v>
      </c>
      <c r="AT29" s="35"/>
      <c r="AV29" s="700" t="str">
        <f>MID(E26,1,7)</f>
        <v/>
      </c>
      <c r="AW29" s="568"/>
      <c r="AX29" s="568"/>
      <c r="AY29" s="568"/>
      <c r="AZ29" s="568"/>
      <c r="BA29" s="568"/>
      <c r="BB29" s="568"/>
      <c r="BC29" s="568"/>
      <c r="BD29" s="568"/>
      <c r="BE29" s="568"/>
      <c r="BF29" s="568"/>
      <c r="BG29" s="568"/>
      <c r="BH29" s="568"/>
      <c r="BI29" s="568"/>
      <c r="BJ29" s="568"/>
      <c r="BK29" s="568"/>
      <c r="BL29" s="568"/>
    </row>
    <row r="30" spans="1:64" s="35" customFormat="1" x14ac:dyDescent="0.25">
      <c r="B30" s="178" t="str">
        <f t="shared" si="15"/>
        <v>TAV100</v>
      </c>
      <c r="C30" s="186"/>
      <c r="D30" s="187"/>
      <c r="E30" s="186"/>
      <c r="F30" s="189"/>
      <c r="G30" s="170"/>
      <c r="H30" s="190">
        <f>$L$3</f>
        <v>2019</v>
      </c>
      <c r="I30" s="191"/>
      <c r="J30" s="191"/>
      <c r="K30" s="192" t="s">
        <v>1065</v>
      </c>
      <c r="L30" s="217" t="s">
        <v>748</v>
      </c>
      <c r="M30" s="381"/>
      <c r="N30" s="381"/>
      <c r="O30" s="381"/>
      <c r="P30" s="381"/>
      <c r="Q30" s="38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</row>
    <row r="31" spans="1:64" s="35" customFormat="1" x14ac:dyDescent="0.25">
      <c r="B31" s="178" t="str">
        <f t="shared" si="15"/>
        <v>TAV100</v>
      </c>
      <c r="C31" s="186"/>
      <c r="D31" s="187"/>
      <c r="E31" s="186"/>
      <c r="F31" s="189"/>
      <c r="G31" s="170"/>
      <c r="H31" s="190">
        <f>AE$4</f>
        <v>2016</v>
      </c>
      <c r="I31" s="191"/>
      <c r="J31" s="191"/>
      <c r="K31" s="192" t="s">
        <v>1065</v>
      </c>
      <c r="L31" s="217" t="s">
        <v>748</v>
      </c>
      <c r="M31" s="391"/>
      <c r="N31" s="391"/>
      <c r="O31" s="391"/>
      <c r="P31" s="391"/>
      <c r="Q31" s="391"/>
      <c r="R31" s="391"/>
      <c r="S31" s="391"/>
      <c r="T31" s="391"/>
      <c r="U31" s="391"/>
      <c r="V31" s="391"/>
      <c r="W31" s="391"/>
      <c r="X31" s="391"/>
      <c r="Y31" s="391"/>
      <c r="Z31" s="391"/>
      <c r="AA31" s="391"/>
    </row>
    <row r="32" spans="1:64" s="35" customFormat="1" x14ac:dyDescent="0.25">
      <c r="B32" s="178" t="str">
        <f t="shared" si="15"/>
        <v>TAV100</v>
      </c>
      <c r="C32" s="186"/>
      <c r="D32" s="187"/>
      <c r="E32" s="186"/>
      <c r="F32" s="189"/>
      <c r="G32" s="170"/>
      <c r="H32" s="190">
        <f>AE$5</f>
        <v>2020</v>
      </c>
      <c r="I32" s="191"/>
      <c r="J32" s="191"/>
      <c r="K32" s="192" t="s">
        <v>1065</v>
      </c>
      <c r="L32" s="217" t="s">
        <v>748</v>
      </c>
      <c r="M32" s="391"/>
      <c r="N32" s="391"/>
      <c r="O32" s="391"/>
      <c r="P32" s="391"/>
      <c r="Q32" s="391"/>
      <c r="R32" s="391"/>
      <c r="S32" s="391"/>
      <c r="T32" s="391"/>
      <c r="U32" s="391"/>
      <c r="V32" s="391"/>
      <c r="W32" s="391"/>
      <c r="X32" s="391"/>
      <c r="Y32" s="391"/>
      <c r="Z32" s="391"/>
      <c r="AA32" s="391"/>
    </row>
    <row r="33" spans="1:64" s="35" customFormat="1" x14ac:dyDescent="0.25">
      <c r="B33" s="178" t="str">
        <f t="shared" si="15"/>
        <v>TAV100</v>
      </c>
      <c r="C33" s="186"/>
      <c r="D33" s="187"/>
      <c r="E33" s="186"/>
      <c r="F33" s="189"/>
      <c r="G33" s="170"/>
      <c r="H33" s="190">
        <f>AE$6</f>
        <v>2025</v>
      </c>
      <c r="I33" s="191"/>
      <c r="J33" s="191"/>
      <c r="K33" s="192" t="s">
        <v>1065</v>
      </c>
      <c r="L33" s="217" t="s">
        <v>748</v>
      </c>
      <c r="M33" s="391"/>
      <c r="N33" s="391"/>
      <c r="O33" s="391"/>
      <c r="P33" s="391"/>
      <c r="Q33" s="391"/>
      <c r="R33" s="391"/>
      <c r="S33" s="391"/>
      <c r="T33" s="391"/>
      <c r="U33" s="391"/>
      <c r="V33" s="391"/>
      <c r="W33" s="391"/>
      <c r="X33" s="391"/>
      <c r="Y33" s="391"/>
      <c r="Z33" s="391"/>
      <c r="AA33" s="391"/>
    </row>
    <row r="34" spans="1:64" s="35" customFormat="1" x14ac:dyDescent="0.25">
      <c r="B34" s="178" t="str">
        <f t="shared" si="15"/>
        <v>TAV100</v>
      </c>
      <c r="C34" s="186"/>
      <c r="D34" s="187"/>
      <c r="E34" s="186"/>
      <c r="F34" s="189"/>
      <c r="G34" s="170"/>
      <c r="H34" s="190">
        <f>AE$7</f>
        <v>2030</v>
      </c>
      <c r="I34" s="191"/>
      <c r="J34" s="191"/>
      <c r="K34" s="192" t="s">
        <v>1065</v>
      </c>
      <c r="L34" s="217" t="s">
        <v>748</v>
      </c>
      <c r="M34" s="391"/>
      <c r="N34" s="391"/>
      <c r="O34" s="391"/>
      <c r="P34" s="391"/>
      <c r="Q34" s="391"/>
      <c r="R34" s="391"/>
      <c r="S34" s="391"/>
      <c r="T34" s="391"/>
      <c r="U34" s="391"/>
      <c r="V34" s="391"/>
      <c r="W34" s="391"/>
      <c r="X34" s="391"/>
      <c r="Y34" s="391"/>
      <c r="Z34" s="391"/>
      <c r="AA34" s="391"/>
    </row>
    <row r="35" spans="1:64" s="35" customFormat="1" x14ac:dyDescent="0.25">
      <c r="B35" s="178" t="str">
        <f t="shared" si="15"/>
        <v>TAV100</v>
      </c>
      <c r="C35" s="186"/>
      <c r="D35" s="187"/>
      <c r="E35" s="186"/>
      <c r="F35" s="189"/>
      <c r="G35" s="170"/>
      <c r="H35" s="190">
        <f>AE$8</f>
        <v>2040</v>
      </c>
      <c r="I35" s="191"/>
      <c r="J35" s="191"/>
      <c r="K35" s="192" t="s">
        <v>1065</v>
      </c>
      <c r="L35" s="217" t="s">
        <v>748</v>
      </c>
      <c r="M35" s="391"/>
      <c r="N35" s="391"/>
      <c r="O35" s="391"/>
      <c r="P35" s="391"/>
      <c r="Q35" s="391"/>
      <c r="R35" s="391"/>
      <c r="S35" s="391"/>
      <c r="T35" s="391"/>
      <c r="U35" s="391"/>
      <c r="V35" s="391"/>
      <c r="W35" s="391"/>
      <c r="X35" s="391"/>
      <c r="Y35" s="391"/>
      <c r="Z35" s="391"/>
      <c r="AA35" s="391"/>
    </row>
    <row r="36" spans="1:64" s="35" customFormat="1" x14ac:dyDescent="0.25">
      <c r="B36" s="204" t="str">
        <f t="shared" si="15"/>
        <v>TAV100</v>
      </c>
      <c r="C36" s="193"/>
      <c r="D36" s="194"/>
      <c r="E36" s="193"/>
      <c r="F36" s="195"/>
      <c r="G36" s="196"/>
      <c r="H36" s="197">
        <f>AE$9</f>
        <v>2050</v>
      </c>
      <c r="I36" s="198"/>
      <c r="J36" s="198"/>
      <c r="K36" s="199" t="s">
        <v>1065</v>
      </c>
      <c r="L36" s="437" t="s">
        <v>748</v>
      </c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392"/>
    </row>
    <row r="37" spans="1:64" s="35" customFormat="1" x14ac:dyDescent="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</row>
    <row r="38" spans="1:64" s="35" customFormat="1" x14ac:dyDescent="0.25">
      <c r="A38" s="44"/>
      <c r="B38" s="9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33"/>
      <c r="AC38" s="48"/>
      <c r="AK38" s="33"/>
      <c r="AL38" s="33"/>
      <c r="AM38" s="33"/>
      <c r="AN38" s="33"/>
      <c r="AO38" s="33"/>
      <c r="AP38" s="33"/>
      <c r="AQ38" s="33"/>
      <c r="AR38" s="33"/>
      <c r="AS38" s="33"/>
    </row>
    <row r="39" spans="1:64" s="35" customFormat="1" x14ac:dyDescent="0.25">
      <c r="A39" s="33"/>
      <c r="B39" s="66"/>
      <c r="C39" s="33"/>
      <c r="D39" s="33"/>
      <c r="E39" s="33"/>
      <c r="F39" s="33"/>
      <c r="G39" s="33"/>
      <c r="H39" s="33"/>
      <c r="I39" s="33"/>
      <c r="J39" s="33"/>
      <c r="K39" s="33"/>
      <c r="L39" s="47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</row>
    <row r="40" spans="1:64" x14ac:dyDescent="0.25">
      <c r="A40" s="35"/>
      <c r="B40" s="32" t="s">
        <v>1230</v>
      </c>
      <c r="C40" s="26"/>
      <c r="D40" s="35"/>
      <c r="E40" s="35"/>
      <c r="F40" s="35"/>
      <c r="G40" s="35"/>
      <c r="H40" s="36"/>
      <c r="I40" s="35"/>
      <c r="J40" s="35"/>
      <c r="K40" s="35"/>
      <c r="L40" s="473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35"/>
      <c r="AC40" s="35"/>
      <c r="AD40" s="35"/>
      <c r="AE40" s="49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64" x14ac:dyDescent="0.25">
      <c r="A41" s="35"/>
      <c r="B41" s="35"/>
      <c r="C41" s="35"/>
      <c r="D41" s="35"/>
      <c r="E41" s="35"/>
      <c r="F41" s="35"/>
      <c r="G41" s="35"/>
      <c r="H41" s="36"/>
      <c r="I41" s="35"/>
      <c r="J41" s="35"/>
      <c r="K41" s="35"/>
      <c r="L41" s="473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35"/>
      <c r="AC41" s="35"/>
      <c r="AD41" s="35"/>
      <c r="AE41" s="49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64" x14ac:dyDescent="0.25">
      <c r="A42" s="35"/>
      <c r="B42" s="22"/>
      <c r="C42" s="50"/>
      <c r="D42" s="50"/>
      <c r="E42" s="35"/>
      <c r="F42" s="35"/>
      <c r="G42" s="41"/>
      <c r="H42" s="51"/>
      <c r="I42" s="41"/>
      <c r="J42" s="41"/>
      <c r="K42" s="40" t="str">
        <f>IF(SUM(M12:AA13)&gt;0,"~FI_T","not in use")</f>
        <v>not in use</v>
      </c>
      <c r="L42" s="40"/>
      <c r="M42" s="35"/>
      <c r="N42" s="35"/>
      <c r="O42" s="35"/>
      <c r="P42" s="35"/>
      <c r="Q42" s="41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41"/>
      <c r="AC42" s="49" t="str">
        <f>CONCATENATE("TEST: ",B40)</f>
        <v>TEST: Base-year: Aviation (International)</v>
      </c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</row>
    <row r="43" spans="1:64" x14ac:dyDescent="0.25">
      <c r="A43" s="35"/>
      <c r="B43" s="52" t="s">
        <v>1053</v>
      </c>
      <c r="C43" s="26" t="s">
        <v>104</v>
      </c>
      <c r="D43" s="26" t="s">
        <v>1054</v>
      </c>
      <c r="E43" s="26" t="s">
        <v>673</v>
      </c>
      <c r="F43" s="26" t="s">
        <v>674</v>
      </c>
      <c r="G43" s="26" t="s">
        <v>1055</v>
      </c>
      <c r="H43" s="53" t="s">
        <v>1056</v>
      </c>
      <c r="I43" s="26" t="s">
        <v>982</v>
      </c>
      <c r="J43" s="42" t="s">
        <v>1123</v>
      </c>
      <c r="K43" s="26" t="s">
        <v>1057</v>
      </c>
      <c r="L43" s="26" t="s">
        <v>1058</v>
      </c>
      <c r="M43" s="26" t="str">
        <f t="shared" ref="M43:AA43" si="19">M$2</f>
        <v>Z01</v>
      </c>
      <c r="N43" s="26" t="str">
        <f t="shared" si="19"/>
        <v>Z02</v>
      </c>
      <c r="O43" s="26" t="str">
        <f t="shared" si="19"/>
        <v>Z03</v>
      </c>
      <c r="P43" s="26" t="str">
        <f t="shared" si="19"/>
        <v>Z04</v>
      </c>
      <c r="Q43" s="26" t="str">
        <f t="shared" si="19"/>
        <v>Z05</v>
      </c>
      <c r="R43" s="26" t="str">
        <f t="shared" si="19"/>
        <v>Z06</v>
      </c>
      <c r="S43" s="26" t="str">
        <f t="shared" si="19"/>
        <v>Z07</v>
      </c>
      <c r="T43" s="26" t="str">
        <f t="shared" si="19"/>
        <v>Z08</v>
      </c>
      <c r="U43" s="26" t="str">
        <f t="shared" si="19"/>
        <v>Z09</v>
      </c>
      <c r="V43" s="26" t="str">
        <f t="shared" si="19"/>
        <v>Z10</v>
      </c>
      <c r="W43" s="26" t="str">
        <f t="shared" si="19"/>
        <v>Z11</v>
      </c>
      <c r="X43" s="26" t="str">
        <f t="shared" si="19"/>
        <v>Z12</v>
      </c>
      <c r="Y43" s="26" t="str">
        <f t="shared" si="19"/>
        <v>Z13</v>
      </c>
      <c r="Z43" s="26" t="str">
        <f t="shared" si="19"/>
        <v>Z14</v>
      </c>
      <c r="AA43" s="26" t="str">
        <f t="shared" si="19"/>
        <v>Z15</v>
      </c>
      <c r="AB43" s="48"/>
      <c r="AC43" s="42"/>
      <c r="AD43" s="42" t="s">
        <v>421</v>
      </c>
      <c r="AE43" s="42" t="str">
        <f t="shared" ref="AE43:AS43" si="20">AE$23</f>
        <v>Z01</v>
      </c>
      <c r="AF43" s="42" t="str">
        <f t="shared" si="20"/>
        <v>Z02</v>
      </c>
      <c r="AG43" s="42" t="str">
        <f t="shared" si="20"/>
        <v>Z03</v>
      </c>
      <c r="AH43" s="42" t="str">
        <f t="shared" si="20"/>
        <v>Z04</v>
      </c>
      <c r="AI43" s="42" t="str">
        <f t="shared" si="20"/>
        <v>Z05</v>
      </c>
      <c r="AJ43" s="42" t="str">
        <f t="shared" si="20"/>
        <v>Z06</v>
      </c>
      <c r="AK43" s="42" t="str">
        <f t="shared" si="20"/>
        <v>Z07</v>
      </c>
      <c r="AL43" s="42" t="str">
        <f t="shared" si="20"/>
        <v>Z08</v>
      </c>
      <c r="AM43" s="42" t="str">
        <f t="shared" si="20"/>
        <v>Z09</v>
      </c>
      <c r="AN43" s="42" t="str">
        <f t="shared" si="20"/>
        <v>Z10</v>
      </c>
      <c r="AO43" s="42" t="str">
        <f t="shared" si="20"/>
        <v>Z11</v>
      </c>
      <c r="AP43" s="42" t="str">
        <f t="shared" si="20"/>
        <v>Z12</v>
      </c>
      <c r="AQ43" s="42" t="str">
        <f t="shared" si="20"/>
        <v>Z13</v>
      </c>
      <c r="AR43" s="42" t="str">
        <f t="shared" si="20"/>
        <v>Z14</v>
      </c>
      <c r="AS43" s="42" t="str">
        <f t="shared" si="20"/>
        <v>Z15</v>
      </c>
      <c r="AT43" s="35"/>
    </row>
    <row r="44" spans="1:64" s="35" customFormat="1" ht="16.5" customHeight="1" x14ac:dyDescent="0.25">
      <c r="B44" s="176"/>
      <c r="C44" s="176"/>
      <c r="D44" s="176" t="s">
        <v>1062</v>
      </c>
      <c r="E44" s="176"/>
      <c r="F44" s="176"/>
      <c r="G44" s="176"/>
      <c r="H44" s="177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C44" s="176" t="s">
        <v>1124</v>
      </c>
      <c r="AD44" s="625" t="e">
        <f>IF(AD45-SUM(AC12:AC13)&lt;0,"too small",IF(AD45-SUM(AC12:AC13)&gt;0.001,"Too big","ok"))</f>
        <v>#DIV/0!</v>
      </c>
      <c r="AE44" s="619" t="e">
        <f t="shared" ref="AE44:AS44" si="21">IF(AE45-SUM(M12:M13)&lt;0,"too small",IF(AE45-SUM(M12:M13)&gt;0.001,"Too big","ok"))</f>
        <v>#DIV/0!</v>
      </c>
      <c r="AF44" s="619" t="e">
        <f t="shared" si="21"/>
        <v>#DIV/0!</v>
      </c>
      <c r="AG44" s="619" t="e">
        <f t="shared" si="21"/>
        <v>#DIV/0!</v>
      </c>
      <c r="AH44" s="619" t="e">
        <f t="shared" si="21"/>
        <v>#DIV/0!</v>
      </c>
      <c r="AI44" s="619" t="e">
        <f t="shared" si="21"/>
        <v>#DIV/0!</v>
      </c>
      <c r="AJ44" s="619" t="e">
        <f t="shared" si="21"/>
        <v>#DIV/0!</v>
      </c>
      <c r="AK44" s="619" t="e">
        <f t="shared" si="21"/>
        <v>#DIV/0!</v>
      </c>
      <c r="AL44" s="619" t="e">
        <f t="shared" si="21"/>
        <v>#DIV/0!</v>
      </c>
      <c r="AM44" s="619" t="e">
        <f t="shared" si="21"/>
        <v>#DIV/0!</v>
      </c>
      <c r="AN44" s="619" t="e">
        <f t="shared" si="21"/>
        <v>#DIV/0!</v>
      </c>
      <c r="AO44" s="619" t="e">
        <f t="shared" si="21"/>
        <v>#DIV/0!</v>
      </c>
      <c r="AP44" s="619" t="e">
        <f t="shared" si="21"/>
        <v>#DIV/0!</v>
      </c>
      <c r="AQ44" s="619" t="e">
        <f t="shared" si="21"/>
        <v>#DIV/0!</v>
      </c>
      <c r="AR44" s="619" t="e">
        <f t="shared" si="21"/>
        <v>#DIV/0!</v>
      </c>
      <c r="AS44" s="619" t="e">
        <f t="shared" si="21"/>
        <v>#DIV/0!</v>
      </c>
      <c r="AT44" s="22"/>
    </row>
    <row r="45" spans="1:64" s="22" customFormat="1" x14ac:dyDescent="0.25">
      <c r="A45" s="82"/>
      <c r="B45" s="178" t="str">
        <f>C45</f>
        <v>TAI100</v>
      </c>
      <c r="C45" s="178" t="s">
        <v>236</v>
      </c>
      <c r="D45" s="179" t="s">
        <v>1231</v>
      </c>
      <c r="E45" s="407" t="s">
        <v>1089</v>
      </c>
      <c r="F45" s="181"/>
      <c r="G45" s="182"/>
      <c r="H45" s="183"/>
      <c r="I45" s="184"/>
      <c r="J45" s="184"/>
      <c r="K45" s="185" t="s">
        <v>1107</v>
      </c>
      <c r="L45" s="191" t="s">
        <v>1156</v>
      </c>
      <c r="M45" s="378">
        <f>10^-3</f>
        <v>1E-3</v>
      </c>
      <c r="N45" s="378">
        <f t="shared" ref="N45:AA45" si="22">$M45</f>
        <v>1E-3</v>
      </c>
      <c r="O45" s="378">
        <f t="shared" si="22"/>
        <v>1E-3</v>
      </c>
      <c r="P45" s="378">
        <f t="shared" si="22"/>
        <v>1E-3</v>
      </c>
      <c r="Q45" s="378">
        <f t="shared" si="22"/>
        <v>1E-3</v>
      </c>
      <c r="R45" s="378">
        <f t="shared" si="22"/>
        <v>1E-3</v>
      </c>
      <c r="S45" s="378">
        <f t="shared" si="22"/>
        <v>1E-3</v>
      </c>
      <c r="T45" s="378">
        <f t="shared" si="22"/>
        <v>1E-3</v>
      </c>
      <c r="U45" s="378">
        <f t="shared" si="22"/>
        <v>1E-3</v>
      </c>
      <c r="V45" s="378">
        <f t="shared" si="22"/>
        <v>1E-3</v>
      </c>
      <c r="W45" s="378">
        <f t="shared" si="22"/>
        <v>1E-3</v>
      </c>
      <c r="X45" s="378">
        <f t="shared" si="22"/>
        <v>1E-3</v>
      </c>
      <c r="Y45" s="378">
        <f t="shared" si="22"/>
        <v>1E-3</v>
      </c>
      <c r="Z45" s="378">
        <f t="shared" si="22"/>
        <v>1E-3</v>
      </c>
      <c r="AA45" s="378">
        <f t="shared" si="22"/>
        <v>1E-3</v>
      </c>
      <c r="AB45" s="83"/>
      <c r="AC45" s="86" t="str">
        <f>C45</f>
        <v>TAI100</v>
      </c>
      <c r="AD45" s="598" t="e">
        <f>SUM(AE45:AS45)</f>
        <v>#DIV/0!</v>
      </c>
      <c r="AE45" s="620" t="e">
        <f t="shared" ref="AE45:AS45" si="23">AE49</f>
        <v>#DIV/0!</v>
      </c>
      <c r="AF45" s="620" t="e">
        <f t="shared" si="23"/>
        <v>#DIV/0!</v>
      </c>
      <c r="AG45" s="620" t="e">
        <f t="shared" si="23"/>
        <v>#DIV/0!</v>
      </c>
      <c r="AH45" s="620" t="e">
        <f t="shared" si="23"/>
        <v>#DIV/0!</v>
      </c>
      <c r="AI45" s="620" t="e">
        <f t="shared" si="23"/>
        <v>#DIV/0!</v>
      </c>
      <c r="AJ45" s="620" t="e">
        <f t="shared" si="23"/>
        <v>#DIV/0!</v>
      </c>
      <c r="AK45" s="620" t="e">
        <f t="shared" si="23"/>
        <v>#DIV/0!</v>
      </c>
      <c r="AL45" s="620" t="e">
        <f t="shared" si="23"/>
        <v>#DIV/0!</v>
      </c>
      <c r="AM45" s="620" t="e">
        <f t="shared" si="23"/>
        <v>#DIV/0!</v>
      </c>
      <c r="AN45" s="620" t="e">
        <f t="shared" si="23"/>
        <v>#DIV/0!</v>
      </c>
      <c r="AO45" s="620" t="e">
        <f t="shared" si="23"/>
        <v>#DIV/0!</v>
      </c>
      <c r="AP45" s="620" t="e">
        <f t="shared" si="23"/>
        <v>#DIV/0!</v>
      </c>
      <c r="AQ45" s="620" t="e">
        <f t="shared" si="23"/>
        <v>#DIV/0!</v>
      </c>
      <c r="AR45" s="620" t="e">
        <f t="shared" si="23"/>
        <v>#DIV/0!</v>
      </c>
      <c r="AS45" s="620" t="e">
        <f t="shared" si="23"/>
        <v>#DIV/0!</v>
      </c>
      <c r="AV45" s="471" t="s">
        <v>1052</v>
      </c>
    </row>
    <row r="46" spans="1:64" s="22" customFormat="1" x14ac:dyDescent="0.25">
      <c r="B46" s="186" t="str">
        <f>B45</f>
        <v>TAI100</v>
      </c>
      <c r="C46" s="186"/>
      <c r="D46" s="187"/>
      <c r="E46" s="258"/>
      <c r="F46" s="181" t="s">
        <v>523</v>
      </c>
      <c r="G46" s="170"/>
      <c r="H46" s="190"/>
      <c r="I46" s="191"/>
      <c r="J46" s="191"/>
      <c r="K46" s="186" t="s">
        <v>1126</v>
      </c>
      <c r="L46" s="186" t="s">
        <v>678</v>
      </c>
      <c r="M46" s="366">
        <f>T_CEFF!H321</f>
        <v>8.0000000000000002E-3</v>
      </c>
      <c r="N46" s="366">
        <f>T_CEFF!I321</f>
        <v>8.0000000000000002E-3</v>
      </c>
      <c r="O46" s="366">
        <f>T_CEFF!J321</f>
        <v>8.0000000000000002E-3</v>
      </c>
      <c r="P46" s="366">
        <f>T_CEFF!K321</f>
        <v>8.0000000000000002E-3</v>
      </c>
      <c r="Q46" s="366">
        <f>T_CEFF!L321</f>
        <v>8.0000000000000002E-3</v>
      </c>
      <c r="R46" s="366">
        <f>T_CEFF!M321</f>
        <v>8.0000000000000002E-3</v>
      </c>
      <c r="S46" s="366">
        <f>T_CEFF!N321</f>
        <v>8.0000000000000002E-3</v>
      </c>
      <c r="T46" s="366">
        <f>T_CEFF!O321</f>
        <v>8.0000000000000002E-3</v>
      </c>
      <c r="U46" s="366">
        <f>T_CEFF!P321</f>
        <v>8.0000000000000002E-3</v>
      </c>
      <c r="V46" s="366">
        <f>T_CEFF!Q321</f>
        <v>8.0000000000000002E-3</v>
      </c>
      <c r="W46" s="366">
        <f>T_CEFF!R321</f>
        <v>8.0000000000000002E-3</v>
      </c>
      <c r="X46" s="366">
        <f>T_CEFF!S321</f>
        <v>8.0000000000000002E-3</v>
      </c>
      <c r="Y46" s="366">
        <f>T_CEFF!T321</f>
        <v>8.0000000000000002E-3</v>
      </c>
      <c r="Z46" s="366">
        <f>T_CEFF!U321</f>
        <v>8.0000000000000002E-3</v>
      </c>
      <c r="AA46" s="366">
        <f>T_CEFF!V321</f>
        <v>8.0000000000000002E-3</v>
      </c>
      <c r="AB46" s="35"/>
      <c r="AC46" s="66" t="str">
        <f>IF(COUNTIF($AF$3:$AN$3,AC45)=1,"ok","MISSING")</f>
        <v>ok</v>
      </c>
      <c r="AD46" s="66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V46" s="701" t="s">
        <v>85</v>
      </c>
      <c r="AW46" s="701" t="s">
        <v>421</v>
      </c>
      <c r="AX46" s="701" t="str">
        <f t="shared" ref="AX46:BL46" si="24">M$2</f>
        <v>Z01</v>
      </c>
      <c r="AY46" s="701" t="str">
        <f t="shared" si="24"/>
        <v>Z02</v>
      </c>
      <c r="AZ46" s="701" t="str">
        <f t="shared" si="24"/>
        <v>Z03</v>
      </c>
      <c r="BA46" s="701" t="str">
        <f t="shared" si="24"/>
        <v>Z04</v>
      </c>
      <c r="BB46" s="701" t="str">
        <f t="shared" si="24"/>
        <v>Z05</v>
      </c>
      <c r="BC46" s="701" t="str">
        <f t="shared" si="24"/>
        <v>Z06</v>
      </c>
      <c r="BD46" s="701" t="str">
        <f t="shared" si="24"/>
        <v>Z07</v>
      </c>
      <c r="BE46" s="701" t="str">
        <f t="shared" si="24"/>
        <v>Z08</v>
      </c>
      <c r="BF46" s="701" t="str">
        <f t="shared" si="24"/>
        <v>Z09</v>
      </c>
      <c r="BG46" s="701" t="str">
        <f t="shared" si="24"/>
        <v>Z10</v>
      </c>
      <c r="BH46" s="701" t="str">
        <f t="shared" si="24"/>
        <v>Z11</v>
      </c>
      <c r="BI46" s="701" t="str">
        <f t="shared" si="24"/>
        <v>Z12</v>
      </c>
      <c r="BJ46" s="701" t="str">
        <f t="shared" si="24"/>
        <v>Z13</v>
      </c>
      <c r="BK46" s="701" t="str">
        <f t="shared" si="24"/>
        <v>Z14</v>
      </c>
      <c r="BL46" s="701" t="str">
        <f t="shared" si="24"/>
        <v>Z15</v>
      </c>
    </row>
    <row r="47" spans="1:64" s="22" customFormat="1" x14ac:dyDescent="0.25">
      <c r="B47" s="186" t="str">
        <f t="shared" ref="B47:B55" si="25">B46</f>
        <v>TAI100</v>
      </c>
      <c r="C47" s="186"/>
      <c r="D47" s="187"/>
      <c r="E47" s="258"/>
      <c r="F47" s="189" t="s">
        <v>584</v>
      </c>
      <c r="G47" s="170"/>
      <c r="H47" s="190"/>
      <c r="I47" s="191"/>
      <c r="J47" s="191"/>
      <c r="K47" s="186" t="s">
        <v>1126</v>
      </c>
      <c r="L47" s="186" t="s">
        <v>678</v>
      </c>
      <c r="M47" s="366">
        <f>T_CEFF!H321</f>
        <v>8.0000000000000002E-3</v>
      </c>
      <c r="N47" s="366">
        <f>T_CEFF!I321</f>
        <v>8.0000000000000002E-3</v>
      </c>
      <c r="O47" s="366">
        <f>T_CEFF!J321</f>
        <v>8.0000000000000002E-3</v>
      </c>
      <c r="P47" s="366">
        <f>T_CEFF!K321</f>
        <v>8.0000000000000002E-3</v>
      </c>
      <c r="Q47" s="366">
        <f>T_CEFF!L321</f>
        <v>8.0000000000000002E-3</v>
      </c>
      <c r="R47" s="366">
        <f>T_CEFF!M321</f>
        <v>8.0000000000000002E-3</v>
      </c>
      <c r="S47" s="366">
        <f>T_CEFF!N321</f>
        <v>8.0000000000000002E-3</v>
      </c>
      <c r="T47" s="366">
        <f>T_CEFF!O321</f>
        <v>8.0000000000000002E-3</v>
      </c>
      <c r="U47" s="366">
        <f>T_CEFF!P321</f>
        <v>8.0000000000000002E-3</v>
      </c>
      <c r="V47" s="366">
        <f>T_CEFF!Q321</f>
        <v>8.0000000000000002E-3</v>
      </c>
      <c r="W47" s="366">
        <f>T_CEFF!R321</f>
        <v>8.0000000000000002E-3</v>
      </c>
      <c r="X47" s="366">
        <f>T_CEFF!S321</f>
        <v>8.0000000000000002E-3</v>
      </c>
      <c r="Y47" s="366">
        <f>T_CEFF!T321</f>
        <v>8.0000000000000002E-3</v>
      </c>
      <c r="Z47" s="366">
        <f>T_CEFF!U321</f>
        <v>8.0000000000000002E-3</v>
      </c>
      <c r="AA47" s="366">
        <f>T_CEFF!V321</f>
        <v>8.0000000000000002E-3</v>
      </c>
      <c r="AB47" s="35"/>
      <c r="AC47" s="66"/>
      <c r="AD47" s="66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83"/>
      <c r="AV47" s="398" t="s">
        <v>103</v>
      </c>
      <c r="AW47" s="717" t="e">
        <f>SUM(AX47:BL47)</f>
        <v>#DIV/0!</v>
      </c>
      <c r="AX47" s="718" t="e">
        <f>SUM(AX48:AX176)</f>
        <v>#DIV/0!</v>
      </c>
      <c r="AY47" s="718" t="e">
        <f t="shared" ref="AY47" si="26">SUM(AY48:AY176)</f>
        <v>#DIV/0!</v>
      </c>
      <c r="AZ47" s="718" t="e">
        <f t="shared" ref="AZ47" si="27">SUM(AZ48:AZ176)</f>
        <v>#DIV/0!</v>
      </c>
      <c r="BA47" s="718" t="e">
        <f t="shared" ref="BA47" si="28">SUM(BA48:BA176)</f>
        <v>#DIV/0!</v>
      </c>
      <c r="BB47" s="718" t="e">
        <f t="shared" ref="BB47" si="29">SUM(BB48:BB176)</f>
        <v>#DIV/0!</v>
      </c>
      <c r="BC47" s="718" t="e">
        <f t="shared" ref="BC47" si="30">SUM(BC48:BC176)</f>
        <v>#DIV/0!</v>
      </c>
      <c r="BD47" s="718" t="e">
        <f t="shared" ref="BD47" si="31">SUM(BD48:BD176)</f>
        <v>#DIV/0!</v>
      </c>
      <c r="BE47" s="718" t="e">
        <f t="shared" ref="BE47" si="32">SUM(BE48:BE176)</f>
        <v>#DIV/0!</v>
      </c>
      <c r="BF47" s="718" t="e">
        <f t="shared" ref="BF47" si="33">SUM(BF48:BF176)</f>
        <v>#DIV/0!</v>
      </c>
      <c r="BG47" s="718" t="e">
        <f t="shared" ref="BG47" si="34">SUM(BG48:BG176)</f>
        <v>#DIV/0!</v>
      </c>
      <c r="BH47" s="718" t="e">
        <f t="shared" ref="BH47" si="35">SUM(BH48:BH176)</f>
        <v>#DIV/0!</v>
      </c>
      <c r="BI47" s="718" t="e">
        <f t="shared" ref="BI47" si="36">SUM(BI48:BI176)</f>
        <v>#DIV/0!</v>
      </c>
      <c r="BJ47" s="718" t="e">
        <f t="shared" ref="BJ47" si="37">SUM(BJ48:BJ176)</f>
        <v>#DIV/0!</v>
      </c>
      <c r="BK47" s="718" t="e">
        <f t="shared" ref="BK47" si="38">SUM(BK48:BK176)</f>
        <v>#DIV/0!</v>
      </c>
      <c r="BL47" s="718" t="e">
        <f t="shared" ref="BL47" si="39">SUM(BL48:BL176)</f>
        <v>#DIV/0!</v>
      </c>
    </row>
    <row r="48" spans="1:64" s="83" customFormat="1" x14ac:dyDescent="0.25">
      <c r="A48" s="22"/>
      <c r="B48" s="186" t="str">
        <f t="shared" si="25"/>
        <v>TAI100</v>
      </c>
      <c r="C48" s="186"/>
      <c r="D48" s="187"/>
      <c r="E48" s="188"/>
      <c r="F48" s="189"/>
      <c r="G48" s="170"/>
      <c r="H48" s="190"/>
      <c r="I48" s="191"/>
      <c r="J48" s="191" t="s">
        <v>749</v>
      </c>
      <c r="K48" s="186" t="s">
        <v>1128</v>
      </c>
      <c r="L48" s="191" t="s">
        <v>1229</v>
      </c>
      <c r="M48" s="369">
        <f>T_ACTFLO!E46</f>
        <v>0</v>
      </c>
      <c r="N48" s="369">
        <f>T_ACTFLO!F46</f>
        <v>0</v>
      </c>
      <c r="O48" s="369">
        <f>T_ACTFLO!G46</f>
        <v>0</v>
      </c>
      <c r="P48" s="369">
        <f>T_ACTFLO!H46</f>
        <v>0</v>
      </c>
      <c r="Q48" s="369">
        <f>T_ACTFLO!I46</f>
        <v>0</v>
      </c>
      <c r="R48" s="369">
        <f>T_ACTFLO!J46</f>
        <v>0</v>
      </c>
      <c r="S48" s="369">
        <f>T_ACTFLO!K46</f>
        <v>0</v>
      </c>
      <c r="T48" s="369">
        <f>T_ACTFLO!L46</f>
        <v>0</v>
      </c>
      <c r="U48" s="369">
        <f>T_ACTFLO!M46</f>
        <v>0</v>
      </c>
      <c r="V48" s="369">
        <f>T_ACTFLO!N46</f>
        <v>0</v>
      </c>
      <c r="W48" s="369">
        <f>T_ACTFLO!O46</f>
        <v>0</v>
      </c>
      <c r="X48" s="369">
        <f>T_ACTFLO!P46</f>
        <v>0</v>
      </c>
      <c r="Y48" s="369">
        <f>T_ACTFLO!Q46</f>
        <v>0</v>
      </c>
      <c r="Z48" s="369">
        <f>T_ACTFLO!R46</f>
        <v>0</v>
      </c>
      <c r="AA48" s="369">
        <f>T_ACTFLO!S46</f>
        <v>0</v>
      </c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V48" s="700" t="str">
        <f>MID(E45,1,7)</f>
        <v>OILKER</v>
      </c>
      <c r="AW48" s="568" t="e">
        <f>SUM(AX48:BL48)</f>
        <v>#DIV/0!</v>
      </c>
      <c r="AX48" s="568" t="e">
        <f>M$49*M$50/M46/1000</f>
        <v>#DIV/0!</v>
      </c>
      <c r="AY48" s="568" t="e">
        <f t="shared" ref="AY48:BL48" si="40">N$49*N$50/N46/1000</f>
        <v>#DIV/0!</v>
      </c>
      <c r="AZ48" s="568" t="e">
        <f t="shared" si="40"/>
        <v>#DIV/0!</v>
      </c>
      <c r="BA48" s="568" t="e">
        <f t="shared" si="40"/>
        <v>#DIV/0!</v>
      </c>
      <c r="BB48" s="568" t="e">
        <f t="shared" si="40"/>
        <v>#DIV/0!</v>
      </c>
      <c r="BC48" s="568" t="e">
        <f t="shared" si="40"/>
        <v>#DIV/0!</v>
      </c>
      <c r="BD48" s="568" t="e">
        <f t="shared" si="40"/>
        <v>#DIV/0!</v>
      </c>
      <c r="BE48" s="568" t="e">
        <f t="shared" si="40"/>
        <v>#DIV/0!</v>
      </c>
      <c r="BF48" s="568" t="e">
        <f t="shared" si="40"/>
        <v>#DIV/0!</v>
      </c>
      <c r="BG48" s="568" t="e">
        <f t="shared" si="40"/>
        <v>#DIV/0!</v>
      </c>
      <c r="BH48" s="568" t="e">
        <f t="shared" si="40"/>
        <v>#DIV/0!</v>
      </c>
      <c r="BI48" s="568" t="e">
        <f t="shared" si="40"/>
        <v>#DIV/0!</v>
      </c>
      <c r="BJ48" s="568" t="e">
        <f t="shared" si="40"/>
        <v>#DIV/0!</v>
      </c>
      <c r="BK48" s="568" t="e">
        <f t="shared" si="40"/>
        <v>#DIV/0!</v>
      </c>
      <c r="BL48" s="568" t="e">
        <f t="shared" si="40"/>
        <v>#DIV/0!</v>
      </c>
    </row>
    <row r="49" spans="1:46" s="35" customFormat="1" x14ac:dyDescent="0.25">
      <c r="B49" s="186" t="str">
        <f t="shared" si="25"/>
        <v>TAI100</v>
      </c>
      <c r="C49" s="186"/>
      <c r="D49" s="187"/>
      <c r="E49" s="188"/>
      <c r="F49" s="189"/>
      <c r="G49" s="170"/>
      <c r="H49" s="190"/>
      <c r="I49" s="191"/>
      <c r="J49" s="191"/>
      <c r="K49" s="192" t="s">
        <v>1130</v>
      </c>
      <c r="L49" s="186" t="s">
        <v>1131</v>
      </c>
      <c r="M49" s="376">
        <f>T_NCAP_AF!D368</f>
        <v>0</v>
      </c>
      <c r="N49" s="376">
        <f>T_NCAP_AF!E368</f>
        <v>0</v>
      </c>
      <c r="O49" s="376">
        <f>T_NCAP_AF!F368</f>
        <v>0</v>
      </c>
      <c r="P49" s="376">
        <f>T_NCAP_AF!G368</f>
        <v>0</v>
      </c>
      <c r="Q49" s="376">
        <f>T_NCAP_AF!H368</f>
        <v>0</v>
      </c>
      <c r="R49" s="376">
        <f>T_NCAP_AF!I368</f>
        <v>0</v>
      </c>
      <c r="S49" s="376">
        <f>T_NCAP_AF!J368</f>
        <v>0</v>
      </c>
      <c r="T49" s="376">
        <f>T_NCAP_AF!K368</f>
        <v>0</v>
      </c>
      <c r="U49" s="376">
        <f>T_NCAP_AF!L368</f>
        <v>0</v>
      </c>
      <c r="V49" s="376">
        <f>T_NCAP_AF!M368</f>
        <v>0</v>
      </c>
      <c r="W49" s="376">
        <f>T_NCAP_AF!N368</f>
        <v>0</v>
      </c>
      <c r="X49" s="376">
        <f>T_NCAP_AF!O368</f>
        <v>0</v>
      </c>
      <c r="Y49" s="376">
        <f>T_NCAP_AF!P368</f>
        <v>0</v>
      </c>
      <c r="Z49" s="376">
        <f>T_NCAP_AF!Q368</f>
        <v>0</v>
      </c>
      <c r="AA49" s="376">
        <f>T_NCAP_AF!R368</f>
        <v>0</v>
      </c>
      <c r="AC49" s="413" t="s">
        <v>1132</v>
      </c>
      <c r="AD49" s="598" t="e">
        <f>SUM(AE49:AS49)</f>
        <v>#DIV/0!</v>
      </c>
      <c r="AE49" s="81" t="e">
        <f>M49*M50*M48/1000</f>
        <v>#DIV/0!</v>
      </c>
      <c r="AF49" s="81" t="e">
        <f t="shared" ref="AF49:AS49" si="41">N49*N50*N48/1000</f>
        <v>#DIV/0!</v>
      </c>
      <c r="AG49" s="81" t="e">
        <f t="shared" si="41"/>
        <v>#DIV/0!</v>
      </c>
      <c r="AH49" s="81" t="e">
        <f t="shared" si="41"/>
        <v>#DIV/0!</v>
      </c>
      <c r="AI49" s="81" t="e">
        <f t="shared" si="41"/>
        <v>#DIV/0!</v>
      </c>
      <c r="AJ49" s="81" t="e">
        <f t="shared" si="41"/>
        <v>#DIV/0!</v>
      </c>
      <c r="AK49" s="81" t="e">
        <f t="shared" si="41"/>
        <v>#DIV/0!</v>
      </c>
      <c r="AL49" s="81" t="e">
        <f t="shared" si="41"/>
        <v>#DIV/0!</v>
      </c>
      <c r="AM49" s="81" t="e">
        <f t="shared" si="41"/>
        <v>#DIV/0!</v>
      </c>
      <c r="AN49" s="81" t="e">
        <f t="shared" si="41"/>
        <v>#DIV/0!</v>
      </c>
      <c r="AO49" s="81" t="e">
        <f t="shared" si="41"/>
        <v>#DIV/0!</v>
      </c>
      <c r="AP49" s="81" t="e">
        <f t="shared" si="41"/>
        <v>#DIV/0!</v>
      </c>
      <c r="AQ49" s="81" t="e">
        <f t="shared" si="41"/>
        <v>#DIV/0!</v>
      </c>
      <c r="AR49" s="81" t="e">
        <f t="shared" si="41"/>
        <v>#DIV/0!</v>
      </c>
      <c r="AS49" s="81" t="e">
        <f t="shared" si="41"/>
        <v>#DIV/0!</v>
      </c>
    </row>
    <row r="50" spans="1:46" s="35" customFormat="1" x14ac:dyDescent="0.25">
      <c r="B50" s="186" t="str">
        <f t="shared" si="25"/>
        <v>TAI100</v>
      </c>
      <c r="C50" s="186"/>
      <c r="D50" s="187"/>
      <c r="E50" s="188"/>
      <c r="F50" s="189"/>
      <c r="G50" s="170"/>
      <c r="H50" s="190">
        <f>$L$3</f>
        <v>2019</v>
      </c>
      <c r="I50" s="191"/>
      <c r="J50" s="191"/>
      <c r="K50" s="192" t="s">
        <v>1065</v>
      </c>
      <c r="L50" s="217" t="s">
        <v>748</v>
      </c>
      <c r="M50" s="381" t="e">
        <f>ROUNDUP((M12+M13)/M48/M49*1000, 9)</f>
        <v>#DIV/0!</v>
      </c>
      <c r="N50" s="381" t="e">
        <f t="shared" ref="N50:AA50" si="42">ROUNDUP((N12+N13)/N48/N49*1000, 8)</f>
        <v>#DIV/0!</v>
      </c>
      <c r="O50" s="381" t="e">
        <f t="shared" si="42"/>
        <v>#DIV/0!</v>
      </c>
      <c r="P50" s="381" t="e">
        <f t="shared" si="42"/>
        <v>#DIV/0!</v>
      </c>
      <c r="Q50" s="381" t="e">
        <f t="shared" si="42"/>
        <v>#DIV/0!</v>
      </c>
      <c r="R50" s="381" t="e">
        <f t="shared" si="42"/>
        <v>#DIV/0!</v>
      </c>
      <c r="S50" s="381" t="e">
        <f t="shared" si="42"/>
        <v>#DIV/0!</v>
      </c>
      <c r="T50" s="381" t="e">
        <f t="shared" si="42"/>
        <v>#DIV/0!</v>
      </c>
      <c r="U50" s="381" t="e">
        <f t="shared" si="42"/>
        <v>#DIV/0!</v>
      </c>
      <c r="V50" s="381" t="e">
        <f t="shared" si="42"/>
        <v>#DIV/0!</v>
      </c>
      <c r="W50" s="381" t="e">
        <f t="shared" si="42"/>
        <v>#DIV/0!</v>
      </c>
      <c r="X50" s="381" t="e">
        <f t="shared" si="42"/>
        <v>#DIV/0!</v>
      </c>
      <c r="Y50" s="381" t="e">
        <f t="shared" si="42"/>
        <v>#DIV/0!</v>
      </c>
      <c r="Z50" s="381" t="e">
        <f t="shared" si="42"/>
        <v>#DIV/0!</v>
      </c>
      <c r="AA50" s="381" t="e">
        <f t="shared" si="42"/>
        <v>#DIV/0!</v>
      </c>
    </row>
    <row r="51" spans="1:46" s="35" customFormat="1" x14ac:dyDescent="0.25">
      <c r="B51" s="186" t="str">
        <f t="shared" si="25"/>
        <v>TAI100</v>
      </c>
      <c r="C51" s="186"/>
      <c r="D51" s="187"/>
      <c r="E51" s="188"/>
      <c r="F51" s="189"/>
      <c r="G51" s="170"/>
      <c r="H51" s="190">
        <f>AE$4</f>
        <v>2016</v>
      </c>
      <c r="I51" s="191"/>
      <c r="J51" s="191"/>
      <c r="K51" s="192" t="s">
        <v>1065</v>
      </c>
      <c r="L51" s="217" t="s">
        <v>748</v>
      </c>
      <c r="M51" s="379" t="e">
        <f t="shared" ref="M51:AA51" si="43">M$50*$AG4</f>
        <v>#DIV/0!</v>
      </c>
      <c r="N51" s="379" t="e">
        <f t="shared" si="43"/>
        <v>#DIV/0!</v>
      </c>
      <c r="O51" s="379" t="e">
        <f t="shared" si="43"/>
        <v>#DIV/0!</v>
      </c>
      <c r="P51" s="379" t="e">
        <f t="shared" si="43"/>
        <v>#DIV/0!</v>
      </c>
      <c r="Q51" s="379" t="e">
        <f t="shared" si="43"/>
        <v>#DIV/0!</v>
      </c>
      <c r="R51" s="379" t="e">
        <f t="shared" si="43"/>
        <v>#DIV/0!</v>
      </c>
      <c r="S51" s="379" t="e">
        <f t="shared" si="43"/>
        <v>#DIV/0!</v>
      </c>
      <c r="T51" s="379" t="e">
        <f t="shared" si="43"/>
        <v>#DIV/0!</v>
      </c>
      <c r="U51" s="379" t="e">
        <f t="shared" si="43"/>
        <v>#DIV/0!</v>
      </c>
      <c r="V51" s="379" t="e">
        <f t="shared" si="43"/>
        <v>#DIV/0!</v>
      </c>
      <c r="W51" s="379" t="e">
        <f t="shared" si="43"/>
        <v>#DIV/0!</v>
      </c>
      <c r="X51" s="379" t="e">
        <f t="shared" si="43"/>
        <v>#DIV/0!</v>
      </c>
      <c r="Y51" s="379" t="e">
        <f t="shared" si="43"/>
        <v>#DIV/0!</v>
      </c>
      <c r="Z51" s="379" t="e">
        <f t="shared" si="43"/>
        <v>#DIV/0!</v>
      </c>
      <c r="AA51" s="379" t="e">
        <f t="shared" si="43"/>
        <v>#DIV/0!</v>
      </c>
    </row>
    <row r="52" spans="1:46" s="35" customFormat="1" x14ac:dyDescent="0.25">
      <c r="B52" s="186" t="str">
        <f t="shared" si="25"/>
        <v>TAI100</v>
      </c>
      <c r="C52" s="186"/>
      <c r="D52" s="187"/>
      <c r="E52" s="186"/>
      <c r="F52" s="189"/>
      <c r="G52" s="170"/>
      <c r="H52" s="190">
        <f>AE$5</f>
        <v>2020</v>
      </c>
      <c r="I52" s="191"/>
      <c r="J52" s="191"/>
      <c r="K52" s="192" t="s">
        <v>1065</v>
      </c>
      <c r="L52" s="217" t="s">
        <v>748</v>
      </c>
      <c r="M52" s="379" t="e">
        <f t="shared" ref="M52:AA52" si="44">M$50*$AG5</f>
        <v>#DIV/0!</v>
      </c>
      <c r="N52" s="379" t="e">
        <f t="shared" si="44"/>
        <v>#DIV/0!</v>
      </c>
      <c r="O52" s="379" t="e">
        <f t="shared" si="44"/>
        <v>#DIV/0!</v>
      </c>
      <c r="P52" s="379" t="e">
        <f t="shared" si="44"/>
        <v>#DIV/0!</v>
      </c>
      <c r="Q52" s="379" t="e">
        <f t="shared" si="44"/>
        <v>#DIV/0!</v>
      </c>
      <c r="R52" s="379" t="e">
        <f t="shared" si="44"/>
        <v>#DIV/0!</v>
      </c>
      <c r="S52" s="379" t="e">
        <f t="shared" si="44"/>
        <v>#DIV/0!</v>
      </c>
      <c r="T52" s="379" t="e">
        <f t="shared" si="44"/>
        <v>#DIV/0!</v>
      </c>
      <c r="U52" s="379" t="e">
        <f t="shared" si="44"/>
        <v>#DIV/0!</v>
      </c>
      <c r="V52" s="379" t="e">
        <f t="shared" si="44"/>
        <v>#DIV/0!</v>
      </c>
      <c r="W52" s="379" t="e">
        <f t="shared" si="44"/>
        <v>#DIV/0!</v>
      </c>
      <c r="X52" s="379" t="e">
        <f t="shared" si="44"/>
        <v>#DIV/0!</v>
      </c>
      <c r="Y52" s="379" t="e">
        <f t="shared" si="44"/>
        <v>#DIV/0!</v>
      </c>
      <c r="Z52" s="379" t="e">
        <f t="shared" si="44"/>
        <v>#DIV/0!</v>
      </c>
      <c r="AA52" s="379" t="e">
        <f t="shared" si="44"/>
        <v>#DIV/0!</v>
      </c>
    </row>
    <row r="53" spans="1:46" s="35" customFormat="1" x14ac:dyDescent="0.25">
      <c r="B53" s="186" t="str">
        <f t="shared" si="25"/>
        <v>TAI100</v>
      </c>
      <c r="C53" s="186"/>
      <c r="D53" s="187"/>
      <c r="E53" s="186"/>
      <c r="F53" s="189"/>
      <c r="G53" s="170"/>
      <c r="H53" s="190">
        <f>AE$6</f>
        <v>2025</v>
      </c>
      <c r="I53" s="191"/>
      <c r="J53" s="191"/>
      <c r="K53" s="192" t="s">
        <v>1065</v>
      </c>
      <c r="L53" s="217" t="s">
        <v>748</v>
      </c>
      <c r="M53" s="379" t="e">
        <f t="shared" ref="M53:AA53" si="45">M$50*$AG6</f>
        <v>#DIV/0!</v>
      </c>
      <c r="N53" s="379" t="e">
        <f t="shared" si="45"/>
        <v>#DIV/0!</v>
      </c>
      <c r="O53" s="379" t="e">
        <f t="shared" si="45"/>
        <v>#DIV/0!</v>
      </c>
      <c r="P53" s="379" t="e">
        <f t="shared" si="45"/>
        <v>#DIV/0!</v>
      </c>
      <c r="Q53" s="379" t="e">
        <f t="shared" si="45"/>
        <v>#DIV/0!</v>
      </c>
      <c r="R53" s="379" t="e">
        <f t="shared" si="45"/>
        <v>#DIV/0!</v>
      </c>
      <c r="S53" s="379" t="e">
        <f t="shared" si="45"/>
        <v>#DIV/0!</v>
      </c>
      <c r="T53" s="379" t="e">
        <f t="shared" si="45"/>
        <v>#DIV/0!</v>
      </c>
      <c r="U53" s="379" t="e">
        <f t="shared" si="45"/>
        <v>#DIV/0!</v>
      </c>
      <c r="V53" s="379" t="e">
        <f t="shared" si="45"/>
        <v>#DIV/0!</v>
      </c>
      <c r="W53" s="379" t="e">
        <f t="shared" si="45"/>
        <v>#DIV/0!</v>
      </c>
      <c r="X53" s="379" t="e">
        <f t="shared" si="45"/>
        <v>#DIV/0!</v>
      </c>
      <c r="Y53" s="379" t="e">
        <f t="shared" si="45"/>
        <v>#DIV/0!</v>
      </c>
      <c r="Z53" s="379" t="e">
        <f t="shared" si="45"/>
        <v>#DIV/0!</v>
      </c>
      <c r="AA53" s="379" t="e">
        <f t="shared" si="45"/>
        <v>#DIV/0!</v>
      </c>
    </row>
    <row r="54" spans="1:46" s="35" customFormat="1" x14ac:dyDescent="0.25">
      <c r="B54" s="186" t="str">
        <f t="shared" si="25"/>
        <v>TAI100</v>
      </c>
      <c r="C54" s="186"/>
      <c r="D54" s="187"/>
      <c r="E54" s="186"/>
      <c r="F54" s="189"/>
      <c r="G54" s="170"/>
      <c r="H54" s="190">
        <f>AE$7</f>
        <v>2030</v>
      </c>
      <c r="I54" s="191"/>
      <c r="J54" s="191"/>
      <c r="K54" s="192" t="s">
        <v>1065</v>
      </c>
      <c r="L54" s="217" t="s">
        <v>748</v>
      </c>
      <c r="M54" s="379" t="e">
        <f t="shared" ref="M54:AA54" si="46">M$50*$AG7</f>
        <v>#DIV/0!</v>
      </c>
      <c r="N54" s="379" t="e">
        <f t="shared" si="46"/>
        <v>#DIV/0!</v>
      </c>
      <c r="O54" s="379" t="e">
        <f t="shared" si="46"/>
        <v>#DIV/0!</v>
      </c>
      <c r="P54" s="379" t="e">
        <f t="shared" si="46"/>
        <v>#DIV/0!</v>
      </c>
      <c r="Q54" s="379" t="e">
        <f t="shared" si="46"/>
        <v>#DIV/0!</v>
      </c>
      <c r="R54" s="379" t="e">
        <f t="shared" si="46"/>
        <v>#DIV/0!</v>
      </c>
      <c r="S54" s="379" t="e">
        <f t="shared" si="46"/>
        <v>#DIV/0!</v>
      </c>
      <c r="T54" s="379" t="e">
        <f t="shared" si="46"/>
        <v>#DIV/0!</v>
      </c>
      <c r="U54" s="379" t="e">
        <f t="shared" si="46"/>
        <v>#DIV/0!</v>
      </c>
      <c r="V54" s="379" t="e">
        <f t="shared" si="46"/>
        <v>#DIV/0!</v>
      </c>
      <c r="W54" s="379" t="e">
        <f t="shared" si="46"/>
        <v>#DIV/0!</v>
      </c>
      <c r="X54" s="379" t="e">
        <f t="shared" si="46"/>
        <v>#DIV/0!</v>
      </c>
      <c r="Y54" s="379" t="e">
        <f t="shared" si="46"/>
        <v>#DIV/0!</v>
      </c>
      <c r="Z54" s="379" t="e">
        <f t="shared" si="46"/>
        <v>#DIV/0!</v>
      </c>
      <c r="AA54" s="379" t="e">
        <f t="shared" si="46"/>
        <v>#DIV/0!</v>
      </c>
    </row>
    <row r="55" spans="1:46" s="35" customFormat="1" x14ac:dyDescent="0.25">
      <c r="B55" s="186" t="str">
        <f t="shared" si="25"/>
        <v>TAI100</v>
      </c>
      <c r="C55" s="186"/>
      <c r="D55" s="187"/>
      <c r="E55" s="186"/>
      <c r="F55" s="189"/>
      <c r="G55" s="170"/>
      <c r="H55" s="190">
        <f>AE$8</f>
        <v>2040</v>
      </c>
      <c r="I55" s="191"/>
      <c r="J55" s="191"/>
      <c r="K55" s="192" t="s">
        <v>1065</v>
      </c>
      <c r="L55" s="217" t="s">
        <v>748</v>
      </c>
      <c r="M55" s="379" t="e">
        <f t="shared" ref="M55:AA55" si="47">M$50*$AG8</f>
        <v>#DIV/0!</v>
      </c>
      <c r="N55" s="379" t="e">
        <f t="shared" si="47"/>
        <v>#DIV/0!</v>
      </c>
      <c r="O55" s="379" t="e">
        <f t="shared" si="47"/>
        <v>#DIV/0!</v>
      </c>
      <c r="P55" s="379" t="e">
        <f t="shared" si="47"/>
        <v>#DIV/0!</v>
      </c>
      <c r="Q55" s="379" t="e">
        <f t="shared" si="47"/>
        <v>#DIV/0!</v>
      </c>
      <c r="R55" s="379" t="e">
        <f t="shared" si="47"/>
        <v>#DIV/0!</v>
      </c>
      <c r="S55" s="379" t="e">
        <f t="shared" si="47"/>
        <v>#DIV/0!</v>
      </c>
      <c r="T55" s="379" t="e">
        <f t="shared" si="47"/>
        <v>#DIV/0!</v>
      </c>
      <c r="U55" s="379" t="e">
        <f t="shared" si="47"/>
        <v>#DIV/0!</v>
      </c>
      <c r="V55" s="379" t="e">
        <f t="shared" si="47"/>
        <v>#DIV/0!</v>
      </c>
      <c r="W55" s="379" t="e">
        <f t="shared" si="47"/>
        <v>#DIV/0!</v>
      </c>
      <c r="X55" s="379" t="e">
        <f t="shared" si="47"/>
        <v>#DIV/0!</v>
      </c>
      <c r="Y55" s="379" t="e">
        <f t="shared" si="47"/>
        <v>#DIV/0!</v>
      </c>
      <c r="Z55" s="379" t="e">
        <f t="shared" si="47"/>
        <v>#DIV/0!</v>
      </c>
      <c r="AA55" s="379" t="e">
        <f t="shared" si="47"/>
        <v>#DIV/0!</v>
      </c>
    </row>
    <row r="56" spans="1:46" s="35" customFormat="1" x14ac:dyDescent="0.25">
      <c r="B56" s="193" t="str">
        <f t="shared" ref="B56" si="48">B55</f>
        <v>TAI100</v>
      </c>
      <c r="C56" s="193"/>
      <c r="D56" s="194"/>
      <c r="E56" s="193"/>
      <c r="F56" s="195"/>
      <c r="G56" s="196"/>
      <c r="H56" s="197">
        <f>AE$9</f>
        <v>2050</v>
      </c>
      <c r="I56" s="198"/>
      <c r="J56" s="198"/>
      <c r="K56" s="199" t="s">
        <v>1065</v>
      </c>
      <c r="L56" s="437" t="s">
        <v>748</v>
      </c>
      <c r="M56" s="380" t="e">
        <f t="shared" ref="M56:AA56" si="49">M$50*$AG9</f>
        <v>#DIV/0!</v>
      </c>
      <c r="N56" s="380" t="e">
        <f t="shared" si="49"/>
        <v>#DIV/0!</v>
      </c>
      <c r="O56" s="380" t="e">
        <f t="shared" si="49"/>
        <v>#DIV/0!</v>
      </c>
      <c r="P56" s="380" t="e">
        <f t="shared" si="49"/>
        <v>#DIV/0!</v>
      </c>
      <c r="Q56" s="380" t="e">
        <f t="shared" si="49"/>
        <v>#DIV/0!</v>
      </c>
      <c r="R56" s="380" t="e">
        <f t="shared" si="49"/>
        <v>#DIV/0!</v>
      </c>
      <c r="S56" s="380" t="e">
        <f t="shared" si="49"/>
        <v>#DIV/0!</v>
      </c>
      <c r="T56" s="380" t="e">
        <f t="shared" si="49"/>
        <v>#DIV/0!</v>
      </c>
      <c r="U56" s="380" t="e">
        <f t="shared" si="49"/>
        <v>#DIV/0!</v>
      </c>
      <c r="V56" s="380" t="e">
        <f t="shared" si="49"/>
        <v>#DIV/0!</v>
      </c>
      <c r="W56" s="380" t="e">
        <f t="shared" si="49"/>
        <v>#DIV/0!</v>
      </c>
      <c r="X56" s="380" t="e">
        <f t="shared" si="49"/>
        <v>#DIV/0!</v>
      </c>
      <c r="Y56" s="380" t="e">
        <f t="shared" si="49"/>
        <v>#DIV/0!</v>
      </c>
      <c r="Z56" s="380" t="e">
        <f t="shared" si="49"/>
        <v>#DIV/0!</v>
      </c>
      <c r="AA56" s="380" t="e">
        <f t="shared" si="49"/>
        <v>#DIV/0!</v>
      </c>
    </row>
    <row r="57" spans="1:46" s="35" customFormat="1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</row>
    <row r="58" spans="1:46" s="35" customFormat="1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</row>
    <row r="59" spans="1:46" s="35" customFormat="1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92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59999389629810485"/>
  </sheetPr>
  <dimension ref="A1:BJ35"/>
  <sheetViews>
    <sheetView topLeftCell="M3" zoomScale="75" zoomScaleNormal="75" workbookViewId="0">
      <selection activeCell="AB3" sqref="AB1:AB1048576"/>
    </sheetView>
  </sheetViews>
  <sheetFormatPr defaultRowHeight="15" x14ac:dyDescent="0.25"/>
  <cols>
    <col min="2" max="2" width="17.42578125" customWidth="1"/>
    <col min="3" max="3" width="10.5703125" bestFit="1" customWidth="1"/>
    <col min="4" max="4" width="31" customWidth="1"/>
    <col min="5" max="5" width="9.42578125" bestFit="1" customWidth="1"/>
    <col min="6" max="6" width="11.28515625" bestFit="1" customWidth="1"/>
    <col min="7" max="7" width="9.7109375" bestFit="1" customWidth="1"/>
    <col min="8" max="8" width="15.5703125" bestFit="1" customWidth="1"/>
    <col min="9" max="9" width="20" bestFit="1" customWidth="1"/>
    <col min="10" max="10" width="14.28515625" bestFit="1" customWidth="1"/>
    <col min="12" max="12" width="17.42578125" customWidth="1"/>
  </cols>
  <sheetData>
    <row r="1" spans="1:49" x14ac:dyDescent="0.25">
      <c r="L1" s="113" t="s">
        <v>1111</v>
      </c>
      <c r="M1" s="119"/>
      <c r="N1" s="119"/>
      <c r="O1" s="119"/>
      <c r="P1" s="119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49" s="35" customFormat="1" ht="19.5" customHeight="1" x14ac:dyDescent="0.25">
      <c r="A2" s="22"/>
      <c r="B2" s="148" t="s">
        <v>1232</v>
      </c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E2" s="37" t="s">
        <v>1112</v>
      </c>
      <c r="AF2" s="38"/>
      <c r="AG2" s="38"/>
      <c r="AH2" s="33"/>
      <c r="AI2" s="33"/>
      <c r="AJ2" s="33"/>
      <c r="AK2" s="33"/>
    </row>
    <row r="3" spans="1:49" s="35" customFormat="1" ht="18.75" x14ac:dyDescent="0.3">
      <c r="A3" s="22"/>
      <c r="B3" s="320"/>
      <c r="C3" s="22"/>
      <c r="D3" s="22"/>
      <c r="H3" s="36"/>
      <c r="L3" s="170">
        <f>INFO!$C$5</f>
        <v>2019</v>
      </c>
      <c r="M3" s="562">
        <v>1</v>
      </c>
      <c r="N3" s="562">
        <f>M3</f>
        <v>1</v>
      </c>
      <c r="O3" s="562">
        <f t="shared" ref="O3:AA5" si="0">N3</f>
        <v>1</v>
      </c>
      <c r="P3" s="562">
        <f t="shared" si="0"/>
        <v>1</v>
      </c>
      <c r="Q3" s="562">
        <f t="shared" si="0"/>
        <v>1</v>
      </c>
      <c r="R3" s="562">
        <f t="shared" si="0"/>
        <v>1</v>
      </c>
      <c r="S3" s="562">
        <f t="shared" si="0"/>
        <v>1</v>
      </c>
      <c r="T3" s="562">
        <f t="shared" si="0"/>
        <v>1</v>
      </c>
      <c r="U3" s="562">
        <f t="shared" si="0"/>
        <v>1</v>
      </c>
      <c r="V3" s="562">
        <f t="shared" si="0"/>
        <v>1</v>
      </c>
      <c r="W3" s="562">
        <f t="shared" si="0"/>
        <v>1</v>
      </c>
      <c r="X3" s="562">
        <f t="shared" si="0"/>
        <v>1</v>
      </c>
      <c r="Y3" s="562">
        <f t="shared" si="0"/>
        <v>1</v>
      </c>
      <c r="Z3" s="562">
        <f t="shared" si="0"/>
        <v>1</v>
      </c>
      <c r="AA3" s="562">
        <f t="shared" si="0"/>
        <v>1</v>
      </c>
      <c r="AC3" s="295"/>
      <c r="AE3" s="38"/>
      <c r="AF3" s="38" t="str">
        <f>C21</f>
        <v>TOV100</v>
      </c>
      <c r="AG3" s="406" t="str">
        <f>C32</f>
        <v>TOV900</v>
      </c>
      <c r="AH3" s="33"/>
      <c r="AI3" s="33"/>
      <c r="AJ3" s="33"/>
      <c r="AK3" s="33"/>
    </row>
    <row r="4" spans="1:49" s="35" customFormat="1" x14ac:dyDescent="0.25">
      <c r="H4" s="36"/>
      <c r="L4" s="170">
        <f>L3+1</f>
        <v>2020</v>
      </c>
      <c r="M4" s="562">
        <v>2</v>
      </c>
      <c r="N4" s="562">
        <f>M4</f>
        <v>2</v>
      </c>
      <c r="O4" s="562">
        <f t="shared" si="0"/>
        <v>2</v>
      </c>
      <c r="P4" s="562">
        <f t="shared" si="0"/>
        <v>2</v>
      </c>
      <c r="Q4" s="562">
        <f t="shared" si="0"/>
        <v>2</v>
      </c>
      <c r="R4" s="562">
        <f t="shared" si="0"/>
        <v>2</v>
      </c>
      <c r="S4" s="562">
        <f t="shared" si="0"/>
        <v>2</v>
      </c>
      <c r="T4" s="562">
        <f t="shared" si="0"/>
        <v>2</v>
      </c>
      <c r="U4" s="562">
        <f t="shared" si="0"/>
        <v>2</v>
      </c>
      <c r="V4" s="562">
        <f t="shared" si="0"/>
        <v>2</v>
      </c>
      <c r="W4" s="562">
        <f t="shared" si="0"/>
        <v>2</v>
      </c>
      <c r="X4" s="562">
        <f t="shared" si="0"/>
        <v>2</v>
      </c>
      <c r="Y4" s="562">
        <f t="shared" si="0"/>
        <v>2</v>
      </c>
      <c r="Z4" s="562">
        <f t="shared" si="0"/>
        <v>2</v>
      </c>
      <c r="AA4" s="562">
        <f t="shared" si="0"/>
        <v>2</v>
      </c>
      <c r="AC4" s="370"/>
      <c r="AE4" s="38">
        <v>2016</v>
      </c>
      <c r="AF4" s="67">
        <v>1</v>
      </c>
      <c r="AG4" s="67">
        <f>AF4</f>
        <v>1</v>
      </c>
      <c r="AH4" s="439"/>
      <c r="AI4" s="439"/>
      <c r="AJ4" s="439"/>
      <c r="AK4" s="439"/>
    </row>
    <row r="5" spans="1:49" s="35" customFormat="1" x14ac:dyDescent="0.25">
      <c r="H5" s="36"/>
      <c r="L5" s="170">
        <v>2050</v>
      </c>
      <c r="M5" s="562">
        <v>10</v>
      </c>
      <c r="N5" s="562">
        <f>M5</f>
        <v>10</v>
      </c>
      <c r="O5" s="562">
        <f t="shared" si="0"/>
        <v>10</v>
      </c>
      <c r="P5" s="562">
        <f t="shared" si="0"/>
        <v>10</v>
      </c>
      <c r="Q5" s="562">
        <f t="shared" si="0"/>
        <v>10</v>
      </c>
      <c r="R5" s="562">
        <f t="shared" si="0"/>
        <v>10</v>
      </c>
      <c r="S5" s="562">
        <f t="shared" si="0"/>
        <v>10</v>
      </c>
      <c r="T5" s="562">
        <f t="shared" si="0"/>
        <v>10</v>
      </c>
      <c r="U5" s="562">
        <f t="shared" si="0"/>
        <v>10</v>
      </c>
      <c r="V5" s="562">
        <f t="shared" si="0"/>
        <v>10</v>
      </c>
      <c r="W5" s="562">
        <f t="shared" si="0"/>
        <v>10</v>
      </c>
      <c r="X5" s="562">
        <f t="shared" si="0"/>
        <v>10</v>
      </c>
      <c r="Y5" s="562">
        <f t="shared" si="0"/>
        <v>10</v>
      </c>
      <c r="Z5" s="562">
        <f t="shared" si="0"/>
        <v>10</v>
      </c>
      <c r="AA5" s="562">
        <f t="shared" si="0"/>
        <v>10</v>
      </c>
      <c r="AC5" s="370"/>
      <c r="AE5" s="38">
        <v>2020</v>
      </c>
      <c r="AF5" s="67">
        <v>0.95</v>
      </c>
      <c r="AG5" s="67">
        <f t="shared" ref="AG5:AG9" si="1">AF5</f>
        <v>0.95</v>
      </c>
      <c r="AH5" s="439"/>
      <c r="AI5" s="439"/>
      <c r="AJ5" s="439"/>
      <c r="AK5" s="439"/>
    </row>
    <row r="6" spans="1:49" s="35" customFormat="1" x14ac:dyDescent="0.25">
      <c r="H6" s="36"/>
      <c r="AC6" s="370"/>
      <c r="AE6" s="38">
        <f>AE5+5</f>
        <v>2025</v>
      </c>
      <c r="AF6" s="67">
        <v>0.9</v>
      </c>
      <c r="AG6" s="67">
        <f t="shared" si="1"/>
        <v>0.9</v>
      </c>
      <c r="AH6" s="439"/>
      <c r="AI6" s="439"/>
      <c r="AJ6" s="439"/>
      <c r="AK6" s="439"/>
    </row>
    <row r="7" spans="1:49" s="33" customFormat="1" x14ac:dyDescent="0.25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D7" s="161"/>
      <c r="AE7" s="38">
        <f>AE6+5</f>
        <v>2030</v>
      </c>
      <c r="AF7" s="67">
        <v>0.75</v>
      </c>
      <c r="AG7" s="67">
        <f t="shared" si="1"/>
        <v>0.75</v>
      </c>
      <c r="AH7" s="439"/>
      <c r="AI7" s="439"/>
      <c r="AJ7" s="439"/>
      <c r="AK7" s="439"/>
      <c r="AL7" s="35"/>
      <c r="AM7" s="35"/>
      <c r="AN7" s="35"/>
      <c r="AO7" s="35"/>
      <c r="AP7" s="35"/>
      <c r="AQ7" s="35"/>
      <c r="AR7" s="35"/>
      <c r="AS7" s="35"/>
      <c r="AT7" s="35"/>
      <c r="AU7" s="35"/>
    </row>
    <row r="8" spans="1:49" s="33" customFormat="1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 t="shared" ref="M8:AA8" si="2">M$2</f>
        <v>Z01</v>
      </c>
      <c r="N8" s="163" t="str">
        <f t="shared" si="2"/>
        <v>Z02</v>
      </c>
      <c r="O8" s="163" t="str">
        <f t="shared" si="2"/>
        <v>Z03</v>
      </c>
      <c r="P8" s="163" t="str">
        <f t="shared" si="2"/>
        <v>Z04</v>
      </c>
      <c r="Q8" s="163" t="str">
        <f t="shared" si="2"/>
        <v>Z05</v>
      </c>
      <c r="R8" s="163" t="str">
        <f t="shared" si="2"/>
        <v>Z06</v>
      </c>
      <c r="S8" s="163" t="str">
        <f t="shared" si="2"/>
        <v>Z07</v>
      </c>
      <c r="T8" s="163" t="str">
        <f t="shared" si="2"/>
        <v>Z08</v>
      </c>
      <c r="U8" s="163" t="str">
        <f t="shared" si="2"/>
        <v>Z09</v>
      </c>
      <c r="V8" s="163" t="str">
        <f t="shared" si="2"/>
        <v>Z10</v>
      </c>
      <c r="W8" s="163" t="str">
        <f t="shared" si="2"/>
        <v>Z11</v>
      </c>
      <c r="X8" s="163" t="str">
        <f t="shared" si="2"/>
        <v>Z12</v>
      </c>
      <c r="Y8" s="163" t="str">
        <f t="shared" si="2"/>
        <v>Z13</v>
      </c>
      <c r="Z8" s="163" t="str">
        <f t="shared" si="2"/>
        <v>Z14</v>
      </c>
      <c r="AA8" s="163" t="str">
        <f t="shared" si="2"/>
        <v>Z15</v>
      </c>
      <c r="AC8" s="163" t="s">
        <v>421</v>
      </c>
      <c r="AE8" s="38">
        <f>AE7+10</f>
        <v>2040</v>
      </c>
      <c r="AF8" s="67">
        <v>0.5</v>
      </c>
      <c r="AG8" s="67">
        <f t="shared" si="1"/>
        <v>0.5</v>
      </c>
      <c r="AH8" s="439"/>
      <c r="AI8" s="439"/>
      <c r="AJ8" s="439"/>
      <c r="AK8" s="439"/>
      <c r="AL8" s="35"/>
      <c r="AM8" s="35"/>
      <c r="AN8" s="35"/>
      <c r="AO8" s="35"/>
      <c r="AP8" s="35"/>
      <c r="AQ8" s="35"/>
      <c r="AR8" s="35"/>
      <c r="AS8" s="35"/>
      <c r="AT8" s="35"/>
      <c r="AU8" s="35"/>
    </row>
    <row r="9" spans="1:49" s="33" customFormat="1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0.3</v>
      </c>
      <c r="AG9" s="67">
        <f t="shared" si="1"/>
        <v>0.3</v>
      </c>
      <c r="AH9" s="439"/>
      <c r="AI9" s="439"/>
      <c r="AJ9" s="439"/>
      <c r="AK9" s="439"/>
      <c r="AL9" s="35"/>
      <c r="AM9" s="35"/>
      <c r="AN9" s="35"/>
      <c r="AO9" s="35"/>
      <c r="AP9" s="35"/>
      <c r="AQ9" s="35"/>
      <c r="AR9" s="35"/>
      <c r="AS9" s="35"/>
      <c r="AT9" s="35"/>
      <c r="AU9" s="35"/>
    </row>
    <row r="10" spans="1:49" s="33" customFormat="1" x14ac:dyDescent="0.25">
      <c r="A10" s="44"/>
      <c r="B10" s="44"/>
      <c r="C10" s="44"/>
      <c r="D10" s="35"/>
      <c r="E10" s="35"/>
      <c r="F10" s="44"/>
      <c r="G10" s="35"/>
      <c r="H10" s="169" t="s">
        <v>657</v>
      </c>
      <c r="I10" s="173" t="str">
        <f>LOOKUP(H10,TRA_Comm!$C$29:$C$90,TRA_Comm!$D$29:$D$90)</f>
        <v>Other.Vehicles.</v>
      </c>
      <c r="J10" s="173"/>
      <c r="K10" s="173" t="s">
        <v>1118</v>
      </c>
      <c r="L10" s="173"/>
      <c r="M10" s="551">
        <f>SUMIF(DEMAND_Pkm_Tkm!$C$48:$C$71, $H10, DEMAND_Pkm_Tkm!G$48:G$71)</f>
        <v>0</v>
      </c>
      <c r="N10" s="551">
        <f>SUMIF(DEMAND_Pkm_Tkm!$C$48:$C$71, $H10, DEMAND_Pkm_Tkm!H$48:H$71)</f>
        <v>0</v>
      </c>
      <c r="O10" s="551">
        <f>SUMIF(DEMAND_Pkm_Tkm!$C$48:$C$71, $H10, DEMAND_Pkm_Tkm!I$48:I$71)</f>
        <v>0</v>
      </c>
      <c r="P10" s="551">
        <f>SUMIF(DEMAND_Pkm_Tkm!$C$48:$C$71, $H10, DEMAND_Pkm_Tkm!J$48:J$71)</f>
        <v>0</v>
      </c>
      <c r="Q10" s="551">
        <f>SUMIF(DEMAND_Pkm_Tkm!$C$48:$C$71, $H10, DEMAND_Pkm_Tkm!K$48:K$71)</f>
        <v>0</v>
      </c>
      <c r="R10" s="551">
        <f>SUMIF(DEMAND_Pkm_Tkm!$C$48:$C$71, $H10, DEMAND_Pkm_Tkm!L$48:L$71)</f>
        <v>0</v>
      </c>
      <c r="S10" s="551">
        <f>SUMIF(DEMAND_Pkm_Tkm!$C$48:$C$71, $H10, DEMAND_Pkm_Tkm!M$48:M$71)</f>
        <v>0</v>
      </c>
      <c r="T10" s="551">
        <f>SUMIF(DEMAND_Pkm_Tkm!$C$48:$C$71, $H10, DEMAND_Pkm_Tkm!N$48:N$71)</f>
        <v>0</v>
      </c>
      <c r="U10" s="551">
        <f>SUMIF(DEMAND_Pkm_Tkm!$C$48:$C$71, $H10, DEMAND_Pkm_Tkm!O$48:O$71)</f>
        <v>0</v>
      </c>
      <c r="V10" s="551">
        <f>SUMIF(DEMAND_Pkm_Tkm!$C$48:$C$71, $H10, DEMAND_Pkm_Tkm!P$48:P$71)</f>
        <v>0</v>
      </c>
      <c r="W10" s="551">
        <f>SUMIF(DEMAND_Pkm_Tkm!$C$48:$C$71, $H10, DEMAND_Pkm_Tkm!Q$48:Q$71)</f>
        <v>0</v>
      </c>
      <c r="X10" s="551">
        <f>SUMIF(DEMAND_Pkm_Tkm!$C$48:$C$71, $H10, DEMAND_Pkm_Tkm!R$48:R$71)</f>
        <v>0</v>
      </c>
      <c r="Y10" s="551">
        <f>SUMIF(DEMAND_Pkm_Tkm!$C$48:$C$71, $H10, DEMAND_Pkm_Tkm!S$48:S$71)</f>
        <v>0</v>
      </c>
      <c r="Z10" s="551">
        <f>SUMIF(DEMAND_Pkm_Tkm!$C$48:$C$71, $H10, DEMAND_Pkm_Tkm!T$48:T$71)</f>
        <v>0</v>
      </c>
      <c r="AA10" s="551">
        <f>SUMIF(DEMAND_Pkm_Tkm!$C$48:$C$71, $H10, DEMAND_Pkm_Tkm!U$48:U$71)</f>
        <v>0</v>
      </c>
      <c r="AC10" s="550">
        <f>SUM(M10:AA10)</f>
        <v>0</v>
      </c>
      <c r="AV10" s="35"/>
      <c r="AW10" s="35"/>
    </row>
    <row r="11" spans="1:49" s="33" customFormat="1" x14ac:dyDescent="0.25">
      <c r="A11" s="44"/>
      <c r="B11" s="44"/>
      <c r="C11" s="44"/>
      <c r="D11" s="35"/>
      <c r="E11" s="35"/>
      <c r="F11" s="44"/>
      <c r="G11" s="35"/>
      <c r="H11" s="169" t="s">
        <v>659</v>
      </c>
      <c r="I11" s="173" t="str">
        <f>LOOKUP(H11,TRA_Comm!$C$29:$C$90,TRA_Comm!$D$29:$D$90)</f>
        <v>Other.Vehicles.City.</v>
      </c>
      <c r="J11" s="173"/>
      <c r="K11" s="173" t="s">
        <v>1118</v>
      </c>
      <c r="L11" s="173"/>
      <c r="M11" s="551">
        <f>SUMIF(DEMAND_Pkm_Tkm!$C$48:$C$71, $H11, DEMAND_Pkm_Tkm!G$48:G$71)</f>
        <v>0</v>
      </c>
      <c r="N11" s="551">
        <f>SUMIF(DEMAND_Pkm_Tkm!$C$48:$C$71, $H11, DEMAND_Pkm_Tkm!H$48:H$71)</f>
        <v>0</v>
      </c>
      <c r="O11" s="551">
        <f>SUMIF(DEMAND_Pkm_Tkm!$C$48:$C$71, $H11, DEMAND_Pkm_Tkm!I$48:I$71)</f>
        <v>0</v>
      </c>
      <c r="P11" s="551">
        <f>SUMIF(DEMAND_Pkm_Tkm!$C$48:$C$71, $H11, DEMAND_Pkm_Tkm!J$48:J$71)</f>
        <v>0</v>
      </c>
      <c r="Q11" s="551">
        <f>SUMIF(DEMAND_Pkm_Tkm!$C$48:$C$71, $H11, DEMAND_Pkm_Tkm!K$48:K$71)</f>
        <v>0</v>
      </c>
      <c r="R11" s="551">
        <f>SUMIF(DEMAND_Pkm_Tkm!$C$48:$C$71, $H11, DEMAND_Pkm_Tkm!L$48:L$71)</f>
        <v>0</v>
      </c>
      <c r="S11" s="551">
        <f>SUMIF(DEMAND_Pkm_Tkm!$C$48:$C$71, $H11, DEMAND_Pkm_Tkm!M$48:M$71)</f>
        <v>0</v>
      </c>
      <c r="T11" s="551">
        <f>SUMIF(DEMAND_Pkm_Tkm!$C$48:$C$71, $H11, DEMAND_Pkm_Tkm!N$48:N$71)</f>
        <v>0</v>
      </c>
      <c r="U11" s="551">
        <f>SUMIF(DEMAND_Pkm_Tkm!$C$48:$C$71, $H11, DEMAND_Pkm_Tkm!O$48:O$71)</f>
        <v>0</v>
      </c>
      <c r="V11" s="551">
        <f>SUMIF(DEMAND_Pkm_Tkm!$C$48:$C$71, $H11, DEMAND_Pkm_Tkm!P$48:P$71)</f>
        <v>0</v>
      </c>
      <c r="W11" s="551">
        <f>SUMIF(DEMAND_Pkm_Tkm!$C$48:$C$71, $H11, DEMAND_Pkm_Tkm!Q$48:Q$71)</f>
        <v>0</v>
      </c>
      <c r="X11" s="551">
        <f>SUMIF(DEMAND_Pkm_Tkm!$C$48:$C$71, $H11, DEMAND_Pkm_Tkm!R$48:R$71)</f>
        <v>0</v>
      </c>
      <c r="Y11" s="551">
        <f>SUMIF(DEMAND_Pkm_Tkm!$C$48:$C$71, $H11, DEMAND_Pkm_Tkm!S$48:S$71)</f>
        <v>0</v>
      </c>
      <c r="Z11" s="551">
        <f>SUMIF(DEMAND_Pkm_Tkm!$C$48:$C$71, $H11, DEMAND_Pkm_Tkm!T$48:T$71)</f>
        <v>0</v>
      </c>
      <c r="AA11" s="551">
        <f>SUMIF(DEMAND_Pkm_Tkm!$C$48:$C$71, $H11, DEMAND_Pkm_Tkm!U$48:U$71)</f>
        <v>0</v>
      </c>
      <c r="AC11" s="550">
        <f>SUM(M11:AA11)</f>
        <v>0</v>
      </c>
      <c r="AV11" s="35"/>
      <c r="AW11" s="35"/>
    </row>
    <row r="12" spans="1:49" s="33" customFormat="1" x14ac:dyDescent="0.25">
      <c r="A12" s="44"/>
      <c r="C12" s="44"/>
      <c r="D12" s="35"/>
      <c r="E12" s="35"/>
      <c r="F12" s="44"/>
      <c r="G12" s="35"/>
      <c r="H12" s="14"/>
      <c r="I12" s="14"/>
      <c r="J12" s="46"/>
      <c r="K12" s="46"/>
      <c r="L12" s="46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V12" s="35"/>
      <c r="AW12" s="35"/>
    </row>
    <row r="13" spans="1:49" s="33" customFormat="1" x14ac:dyDescent="0.25">
      <c r="A13" s="44"/>
      <c r="B13" s="35"/>
      <c r="C13" s="44"/>
      <c r="D13" s="35"/>
      <c r="E13" s="35"/>
      <c r="F13" s="44"/>
      <c r="G13" s="44"/>
      <c r="H13" s="44"/>
      <c r="I13" s="174"/>
      <c r="J13" s="174"/>
      <c r="K13" s="174"/>
      <c r="L13" s="174" t="s">
        <v>1233</v>
      </c>
      <c r="M13" s="608">
        <v>0.95</v>
      </c>
      <c r="N13" s="608">
        <f>M13</f>
        <v>0.95</v>
      </c>
      <c r="O13" s="608">
        <f t="shared" ref="O13:AA13" si="3">N13</f>
        <v>0.95</v>
      </c>
      <c r="P13" s="608">
        <f t="shared" si="3"/>
        <v>0.95</v>
      </c>
      <c r="Q13" s="608">
        <f t="shared" si="3"/>
        <v>0.95</v>
      </c>
      <c r="R13" s="608">
        <f t="shared" si="3"/>
        <v>0.95</v>
      </c>
      <c r="S13" s="608">
        <f t="shared" si="3"/>
        <v>0.95</v>
      </c>
      <c r="T13" s="608">
        <f t="shared" si="3"/>
        <v>0.95</v>
      </c>
      <c r="U13" s="608">
        <f t="shared" si="3"/>
        <v>0.95</v>
      </c>
      <c r="V13" s="608">
        <f t="shared" si="3"/>
        <v>0.95</v>
      </c>
      <c r="W13" s="608">
        <f t="shared" si="3"/>
        <v>0.95</v>
      </c>
      <c r="X13" s="608">
        <f t="shared" si="3"/>
        <v>0.95</v>
      </c>
      <c r="Y13" s="608">
        <f t="shared" si="3"/>
        <v>0.95</v>
      </c>
      <c r="Z13" s="608">
        <f t="shared" si="3"/>
        <v>0.95</v>
      </c>
      <c r="AA13" s="608">
        <f t="shared" si="3"/>
        <v>0.95</v>
      </c>
      <c r="AB13" s="164"/>
      <c r="AC13" s="44"/>
      <c r="AV13" s="35"/>
      <c r="AW13" s="35"/>
    </row>
    <row r="14" spans="1:49" x14ac:dyDescent="0.25">
      <c r="I14" s="174"/>
      <c r="J14" s="174"/>
      <c r="K14" s="174"/>
      <c r="L14" s="174" t="s">
        <v>1234</v>
      </c>
      <c r="M14" s="608">
        <f>1-M13</f>
        <v>5.0000000000000044E-2</v>
      </c>
      <c r="N14" s="608">
        <f t="shared" ref="N14:AA14" si="4">1-N13</f>
        <v>5.0000000000000044E-2</v>
      </c>
      <c r="O14" s="608">
        <f t="shared" si="4"/>
        <v>5.0000000000000044E-2</v>
      </c>
      <c r="P14" s="608">
        <f t="shared" si="4"/>
        <v>5.0000000000000044E-2</v>
      </c>
      <c r="Q14" s="608">
        <f t="shared" si="4"/>
        <v>5.0000000000000044E-2</v>
      </c>
      <c r="R14" s="608">
        <f t="shared" si="4"/>
        <v>5.0000000000000044E-2</v>
      </c>
      <c r="S14" s="608">
        <f t="shared" si="4"/>
        <v>5.0000000000000044E-2</v>
      </c>
      <c r="T14" s="608">
        <f t="shared" si="4"/>
        <v>5.0000000000000044E-2</v>
      </c>
      <c r="U14" s="608">
        <f t="shared" si="4"/>
        <v>5.0000000000000044E-2</v>
      </c>
      <c r="V14" s="608">
        <f t="shared" si="4"/>
        <v>5.0000000000000044E-2</v>
      </c>
      <c r="W14" s="608">
        <f t="shared" si="4"/>
        <v>5.0000000000000044E-2</v>
      </c>
      <c r="X14" s="608">
        <f t="shared" si="4"/>
        <v>5.0000000000000044E-2</v>
      </c>
      <c r="Y14" s="608">
        <f t="shared" si="4"/>
        <v>5.0000000000000044E-2</v>
      </c>
      <c r="Z14" s="608">
        <f t="shared" si="4"/>
        <v>5.0000000000000044E-2</v>
      </c>
      <c r="AA14" s="608">
        <f t="shared" si="4"/>
        <v>5.0000000000000044E-2</v>
      </c>
    </row>
    <row r="15" spans="1:49" s="33" customFormat="1" x14ac:dyDescent="0.25">
      <c r="A15" s="44"/>
      <c r="B15" s="66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C15" s="48"/>
      <c r="AD15" s="35"/>
      <c r="AE15" s="35"/>
      <c r="AF15" s="35"/>
      <c r="AG15" s="35"/>
      <c r="AH15" s="35"/>
      <c r="AI15" s="35"/>
      <c r="AJ15" s="35"/>
    </row>
    <row r="16" spans="1:49" s="35" customFormat="1" ht="16.5" customHeight="1" x14ac:dyDescent="0.25">
      <c r="B16" s="32" t="s">
        <v>1235</v>
      </c>
      <c r="C16" s="26"/>
      <c r="D16" s="26"/>
      <c r="E16" s="607"/>
      <c r="F16" s="607"/>
      <c r="H16" s="36"/>
      <c r="AE16" s="49"/>
    </row>
    <row r="17" spans="1:62" s="35" customFormat="1" ht="16.5" customHeight="1" x14ac:dyDescent="0.25">
      <c r="F17" s="607"/>
      <c r="H17" s="36"/>
      <c r="AE17" s="49"/>
    </row>
    <row r="18" spans="1:62" s="22" customFormat="1" x14ac:dyDescent="0.25">
      <c r="A18" s="35"/>
      <c r="B18" s="35"/>
      <c r="C18" s="50"/>
      <c r="D18" s="50"/>
      <c r="E18" s="35"/>
      <c r="F18" s="35"/>
      <c r="G18" s="41"/>
      <c r="H18" s="51"/>
      <c r="I18" s="41"/>
      <c r="J18" s="41"/>
      <c r="K18" s="40" t="str">
        <f>IF(SUM(M10:AA10)&gt;0,"~FI_T","not in use")</f>
        <v>not in use</v>
      </c>
      <c r="L18" s="40"/>
      <c r="M18" s="35"/>
      <c r="N18" s="35"/>
      <c r="O18" s="35"/>
      <c r="P18" s="35"/>
      <c r="Q18" s="41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41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</row>
    <row r="19" spans="1:62" s="22" customFormat="1" ht="30" x14ac:dyDescent="0.25">
      <c r="A19" s="35"/>
      <c r="B19" s="52" t="s">
        <v>1053</v>
      </c>
      <c r="C19" s="26" t="s">
        <v>104</v>
      </c>
      <c r="D19" s="26" t="s">
        <v>1054</v>
      </c>
      <c r="E19" s="26" t="s">
        <v>673</v>
      </c>
      <c r="F19" s="26" t="s">
        <v>674</v>
      </c>
      <c r="G19" s="26" t="s">
        <v>1055</v>
      </c>
      <c r="H19" s="53" t="s">
        <v>1056</v>
      </c>
      <c r="I19" s="26" t="s">
        <v>982</v>
      </c>
      <c r="J19" s="42" t="s">
        <v>1123</v>
      </c>
      <c r="K19" s="26" t="s">
        <v>1057</v>
      </c>
      <c r="L19" s="26" t="s">
        <v>1058</v>
      </c>
      <c r="M19" s="26" t="str">
        <f t="shared" ref="M19:AA19" si="5">M$2</f>
        <v>Z01</v>
      </c>
      <c r="N19" s="26" t="str">
        <f t="shared" si="5"/>
        <v>Z02</v>
      </c>
      <c r="O19" s="26" t="str">
        <f t="shared" si="5"/>
        <v>Z03</v>
      </c>
      <c r="P19" s="26" t="str">
        <f t="shared" si="5"/>
        <v>Z04</v>
      </c>
      <c r="Q19" s="26" t="str">
        <f t="shared" si="5"/>
        <v>Z05</v>
      </c>
      <c r="R19" s="26" t="str">
        <f t="shared" si="5"/>
        <v>Z06</v>
      </c>
      <c r="S19" s="26" t="str">
        <f t="shared" si="5"/>
        <v>Z07</v>
      </c>
      <c r="T19" s="26" t="str">
        <f t="shared" si="5"/>
        <v>Z08</v>
      </c>
      <c r="U19" s="26" t="str">
        <f t="shared" si="5"/>
        <v>Z09</v>
      </c>
      <c r="V19" s="26" t="str">
        <f t="shared" si="5"/>
        <v>Z10</v>
      </c>
      <c r="W19" s="26" t="str">
        <f t="shared" si="5"/>
        <v>Z11</v>
      </c>
      <c r="X19" s="26" t="str">
        <f t="shared" si="5"/>
        <v>Z12</v>
      </c>
      <c r="Y19" s="26" t="str">
        <f t="shared" si="5"/>
        <v>Z13</v>
      </c>
      <c r="Z19" s="26" t="str">
        <f t="shared" si="5"/>
        <v>Z14</v>
      </c>
      <c r="AA19" s="26" t="str">
        <f t="shared" si="5"/>
        <v>Z15</v>
      </c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54"/>
      <c r="AV19" s="43" t="str">
        <f t="shared" ref="AV19:BJ19" si="6">M$2</f>
        <v>Z01</v>
      </c>
      <c r="AW19" s="43" t="str">
        <f t="shared" si="6"/>
        <v>Z02</v>
      </c>
      <c r="AX19" s="43" t="str">
        <f t="shared" si="6"/>
        <v>Z03</v>
      </c>
      <c r="AY19" s="43" t="str">
        <f t="shared" si="6"/>
        <v>Z04</v>
      </c>
      <c r="AZ19" s="43" t="str">
        <f t="shared" si="6"/>
        <v>Z05</v>
      </c>
      <c r="BA19" s="43" t="str">
        <f t="shared" si="6"/>
        <v>Z06</v>
      </c>
      <c r="BB19" s="43" t="str">
        <f t="shared" si="6"/>
        <v>Z07</v>
      </c>
      <c r="BC19" s="43" t="str">
        <f t="shared" si="6"/>
        <v>Z08</v>
      </c>
      <c r="BD19" s="43" t="str">
        <f t="shared" si="6"/>
        <v>Z09</v>
      </c>
      <c r="BE19" s="43" t="str">
        <f t="shared" si="6"/>
        <v>Z10</v>
      </c>
      <c r="BF19" s="43" t="str">
        <f t="shared" si="6"/>
        <v>Z11</v>
      </c>
      <c r="BG19" s="43" t="str">
        <f t="shared" si="6"/>
        <v>Z12</v>
      </c>
      <c r="BH19" s="43" t="str">
        <f t="shared" si="6"/>
        <v>Z13</v>
      </c>
      <c r="BI19" s="43" t="str">
        <f t="shared" si="6"/>
        <v>Z14</v>
      </c>
      <c r="BJ19" s="43" t="str">
        <f t="shared" si="6"/>
        <v>Z15</v>
      </c>
    </row>
    <row r="20" spans="1:62" s="22" customFormat="1" x14ac:dyDescent="0.25">
      <c r="A20" s="35"/>
      <c r="B20" s="176"/>
      <c r="C20" s="176"/>
      <c r="D20" s="176" t="s">
        <v>1062</v>
      </c>
      <c r="E20" s="176"/>
      <c r="F20" s="176"/>
      <c r="G20" s="176"/>
      <c r="H20" s="177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173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</row>
    <row r="21" spans="1:62" s="35" customFormat="1" x14ac:dyDescent="0.25">
      <c r="B21" s="186" t="str">
        <f>C21</f>
        <v>TOV100</v>
      </c>
      <c r="C21" s="186" t="s">
        <v>389</v>
      </c>
      <c r="D21" s="609" t="s">
        <v>884</v>
      </c>
      <c r="E21" s="258" t="s">
        <v>185</v>
      </c>
      <c r="F21" s="213"/>
      <c r="G21" s="170"/>
      <c r="H21" s="190"/>
      <c r="I21" s="191"/>
      <c r="J21" s="191"/>
      <c r="K21" s="192" t="s">
        <v>1137</v>
      </c>
      <c r="L21" s="191" t="s">
        <v>447</v>
      </c>
      <c r="M21" s="652">
        <v>0.85</v>
      </c>
      <c r="N21" s="652">
        <v>0.85</v>
      </c>
      <c r="O21" s="652">
        <v>0.85</v>
      </c>
      <c r="P21" s="652">
        <v>0.85</v>
      </c>
      <c r="Q21" s="652">
        <v>0.85</v>
      </c>
      <c r="R21" s="652">
        <v>0.85</v>
      </c>
      <c r="S21" s="652">
        <v>0.85</v>
      </c>
      <c r="T21" s="652">
        <v>0.85</v>
      </c>
      <c r="U21" s="652">
        <v>0.85</v>
      </c>
      <c r="V21" s="652">
        <v>0.85</v>
      </c>
      <c r="W21" s="652">
        <v>0.85</v>
      </c>
      <c r="X21" s="652">
        <v>0.85</v>
      </c>
      <c r="Y21" s="652">
        <v>0.85</v>
      </c>
      <c r="Z21" s="652">
        <v>0.85</v>
      </c>
      <c r="AA21" s="652">
        <v>0.85</v>
      </c>
      <c r="AU21" s="173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</row>
    <row r="22" spans="1:62" s="35" customFormat="1" x14ac:dyDescent="0.25">
      <c r="B22" s="186" t="str">
        <f>B21</f>
        <v>TOV100</v>
      </c>
      <c r="C22" s="186"/>
      <c r="D22" s="609"/>
      <c r="E22" s="258" t="s">
        <v>988</v>
      </c>
      <c r="F22" s="213"/>
      <c r="G22" s="170"/>
      <c r="H22" s="190"/>
      <c r="I22" s="191"/>
      <c r="J22" s="191"/>
      <c r="K22" s="192" t="s">
        <v>1137</v>
      </c>
      <c r="L22" s="191" t="s">
        <v>447</v>
      </c>
      <c r="M22" s="652">
        <v>0.1</v>
      </c>
      <c r="N22" s="652">
        <v>0.1</v>
      </c>
      <c r="O22" s="652">
        <v>0.1</v>
      </c>
      <c r="P22" s="652">
        <v>0.1</v>
      </c>
      <c r="Q22" s="652">
        <v>0.1</v>
      </c>
      <c r="R22" s="652">
        <v>0.1</v>
      </c>
      <c r="S22" s="652">
        <v>0.1</v>
      </c>
      <c r="T22" s="652">
        <v>0.1</v>
      </c>
      <c r="U22" s="652">
        <v>0.1</v>
      </c>
      <c r="V22" s="652">
        <v>0.1</v>
      </c>
      <c r="W22" s="652">
        <v>0.1</v>
      </c>
      <c r="X22" s="652">
        <v>0.1</v>
      </c>
      <c r="Y22" s="652">
        <v>0.1</v>
      </c>
      <c r="Z22" s="652">
        <v>0.1</v>
      </c>
      <c r="AA22" s="652">
        <v>0.1</v>
      </c>
      <c r="AU22" s="173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</row>
    <row r="23" spans="1:62" s="35" customFormat="1" x14ac:dyDescent="0.25">
      <c r="B23" s="186" t="str">
        <f t="shared" ref="B23:B24" si="7">B22</f>
        <v>TOV100</v>
      </c>
      <c r="C23" s="186"/>
      <c r="D23" s="484"/>
      <c r="E23" s="258" t="s">
        <v>1014</v>
      </c>
      <c r="F23" s="213"/>
      <c r="G23" s="170"/>
      <c r="H23" s="190"/>
      <c r="I23" s="191"/>
      <c r="J23" s="191"/>
      <c r="K23" s="192" t="s">
        <v>1137</v>
      </c>
      <c r="L23" s="191" t="s">
        <v>447</v>
      </c>
      <c r="M23" s="652">
        <f>M14</f>
        <v>5.0000000000000044E-2</v>
      </c>
      <c r="N23" s="652">
        <f t="shared" ref="N23:AA23" si="8">N14</f>
        <v>5.0000000000000044E-2</v>
      </c>
      <c r="O23" s="652">
        <f t="shared" si="8"/>
        <v>5.0000000000000044E-2</v>
      </c>
      <c r="P23" s="652">
        <f t="shared" si="8"/>
        <v>5.0000000000000044E-2</v>
      </c>
      <c r="Q23" s="652">
        <f t="shared" si="8"/>
        <v>5.0000000000000044E-2</v>
      </c>
      <c r="R23" s="652">
        <f t="shared" si="8"/>
        <v>5.0000000000000044E-2</v>
      </c>
      <c r="S23" s="652">
        <f t="shared" si="8"/>
        <v>5.0000000000000044E-2</v>
      </c>
      <c r="T23" s="652">
        <f t="shared" si="8"/>
        <v>5.0000000000000044E-2</v>
      </c>
      <c r="U23" s="652">
        <f t="shared" si="8"/>
        <v>5.0000000000000044E-2</v>
      </c>
      <c r="V23" s="652">
        <f t="shared" si="8"/>
        <v>5.0000000000000044E-2</v>
      </c>
      <c r="W23" s="652">
        <f t="shared" si="8"/>
        <v>5.0000000000000044E-2</v>
      </c>
      <c r="X23" s="652">
        <f t="shared" si="8"/>
        <v>5.0000000000000044E-2</v>
      </c>
      <c r="Y23" s="652">
        <f t="shared" si="8"/>
        <v>5.0000000000000044E-2</v>
      </c>
      <c r="Z23" s="652">
        <f t="shared" si="8"/>
        <v>5.0000000000000044E-2</v>
      </c>
      <c r="AA23" s="652">
        <f t="shared" si="8"/>
        <v>5.0000000000000044E-2</v>
      </c>
      <c r="AU23" s="173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</row>
    <row r="24" spans="1:62" s="35" customFormat="1" x14ac:dyDescent="0.25">
      <c r="B24" s="193" t="str">
        <f t="shared" si="7"/>
        <v>TOV100</v>
      </c>
      <c r="C24" s="193"/>
      <c r="D24" s="193"/>
      <c r="E24" s="650"/>
      <c r="F24" s="651" t="s">
        <v>657</v>
      </c>
      <c r="G24" s="196"/>
      <c r="H24" s="197"/>
      <c r="I24" s="198"/>
      <c r="J24" s="198"/>
      <c r="K24" s="193" t="s">
        <v>1138</v>
      </c>
      <c r="L24" s="198"/>
      <c r="M24" s="653">
        <v>1</v>
      </c>
      <c r="N24" s="653">
        <f t="shared" ref="N24:AA24" si="9">$M24</f>
        <v>1</v>
      </c>
      <c r="O24" s="653">
        <f t="shared" si="9"/>
        <v>1</v>
      </c>
      <c r="P24" s="653">
        <f t="shared" si="9"/>
        <v>1</v>
      </c>
      <c r="Q24" s="653">
        <f t="shared" si="9"/>
        <v>1</v>
      </c>
      <c r="R24" s="653">
        <f t="shared" si="9"/>
        <v>1</v>
      </c>
      <c r="S24" s="653">
        <f t="shared" si="9"/>
        <v>1</v>
      </c>
      <c r="T24" s="653">
        <f t="shared" si="9"/>
        <v>1</v>
      </c>
      <c r="U24" s="653">
        <f t="shared" si="9"/>
        <v>1</v>
      </c>
      <c r="V24" s="653">
        <f t="shared" si="9"/>
        <v>1</v>
      </c>
      <c r="W24" s="653">
        <f t="shared" si="9"/>
        <v>1</v>
      </c>
      <c r="X24" s="653">
        <f t="shared" si="9"/>
        <v>1</v>
      </c>
      <c r="Y24" s="653">
        <f t="shared" si="9"/>
        <v>1</v>
      </c>
      <c r="Z24" s="653">
        <f t="shared" si="9"/>
        <v>1</v>
      </c>
      <c r="AA24" s="653">
        <f t="shared" si="9"/>
        <v>1</v>
      </c>
      <c r="AU24" s="173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</row>
    <row r="25" spans="1:62" s="35" customFormat="1" x14ac:dyDescent="0.25">
      <c r="B25" s="22"/>
      <c r="C25" s="22"/>
      <c r="D25" s="60"/>
      <c r="E25" s="22"/>
      <c r="F25" s="61"/>
      <c r="H25" s="62"/>
      <c r="I25" s="63"/>
      <c r="J25" s="63"/>
      <c r="K25" s="64"/>
      <c r="L25" s="63"/>
      <c r="M25" s="642"/>
      <c r="N25" s="642"/>
      <c r="O25" s="642"/>
      <c r="P25" s="642"/>
      <c r="Q25" s="642"/>
      <c r="R25" s="642"/>
      <c r="S25" s="642"/>
      <c r="T25" s="642"/>
      <c r="U25" s="642"/>
      <c r="V25" s="642"/>
      <c r="W25" s="642"/>
      <c r="X25" s="642"/>
      <c r="Y25" s="642"/>
      <c r="Z25" s="642"/>
      <c r="AA25" s="642"/>
      <c r="AU25" s="46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</row>
    <row r="26" spans="1:62" s="35" customFormat="1" x14ac:dyDescent="0.25">
      <c r="B26" s="22"/>
      <c r="C26" s="22"/>
      <c r="D26" s="60"/>
      <c r="E26" s="22"/>
      <c r="F26" s="61"/>
      <c r="H26" s="62"/>
      <c r="I26" s="63"/>
      <c r="J26" s="63"/>
      <c r="K26" s="64"/>
      <c r="L26" s="63"/>
      <c r="M26" s="642"/>
      <c r="N26" s="642"/>
      <c r="O26" s="642"/>
      <c r="P26" s="642"/>
      <c r="Q26" s="642"/>
      <c r="R26" s="642"/>
      <c r="S26" s="642"/>
      <c r="T26" s="642"/>
      <c r="U26" s="642"/>
      <c r="V26" s="642"/>
      <c r="W26" s="642"/>
      <c r="X26" s="642"/>
      <c r="Y26" s="642"/>
      <c r="Z26" s="642"/>
      <c r="AA26" s="642"/>
      <c r="AU26" s="46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</row>
    <row r="27" spans="1:62" s="35" customFormat="1" ht="16.5" customHeight="1" x14ac:dyDescent="0.25">
      <c r="B27" s="32" t="s">
        <v>1235</v>
      </c>
      <c r="C27" s="26"/>
      <c r="D27" s="26"/>
      <c r="E27" s="607"/>
      <c r="F27" s="607"/>
      <c r="H27" s="36"/>
      <c r="AE27" s="49"/>
    </row>
    <row r="28" spans="1:62" s="35" customFormat="1" ht="16.5" customHeight="1" x14ac:dyDescent="0.25">
      <c r="E28" s="607"/>
      <c r="F28" s="607"/>
      <c r="H28" s="36"/>
      <c r="AE28" s="49"/>
    </row>
    <row r="29" spans="1:62" s="22" customFormat="1" x14ac:dyDescent="0.25">
      <c r="A29" s="35"/>
      <c r="B29" s="35"/>
      <c r="C29" s="50"/>
      <c r="D29" s="50"/>
      <c r="E29" s="35"/>
      <c r="F29" s="35"/>
      <c r="G29" s="41"/>
      <c r="H29" s="51"/>
      <c r="I29" s="41"/>
      <c r="J29" s="41"/>
      <c r="K29" s="40" t="str">
        <f>IF(SUM(M11:AA11)&gt;0,"~FI_T","not in use")</f>
        <v>not in use</v>
      </c>
      <c r="L29" s="40"/>
      <c r="M29" s="35"/>
      <c r="N29" s="35"/>
      <c r="O29" s="35"/>
      <c r="P29" s="35"/>
      <c r="Q29" s="41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41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</row>
    <row r="30" spans="1:62" s="22" customFormat="1" ht="30" x14ac:dyDescent="0.25">
      <c r="A30" s="35"/>
      <c r="B30" s="52" t="s">
        <v>1053</v>
      </c>
      <c r="C30" s="26" t="s">
        <v>104</v>
      </c>
      <c r="D30" s="26" t="s">
        <v>1054</v>
      </c>
      <c r="E30" s="26" t="s">
        <v>673</v>
      </c>
      <c r="F30" s="26" t="s">
        <v>674</v>
      </c>
      <c r="G30" s="26" t="s">
        <v>1055</v>
      </c>
      <c r="H30" s="53" t="s">
        <v>1056</v>
      </c>
      <c r="I30" s="26" t="s">
        <v>982</v>
      </c>
      <c r="J30" s="42" t="s">
        <v>1123</v>
      </c>
      <c r="K30" s="26" t="s">
        <v>1057</v>
      </c>
      <c r="L30" s="26" t="s">
        <v>1058</v>
      </c>
      <c r="M30" s="26" t="str">
        <f t="shared" ref="M30:AA30" si="10">M$2</f>
        <v>Z01</v>
      </c>
      <c r="N30" s="26" t="str">
        <f t="shared" si="10"/>
        <v>Z02</v>
      </c>
      <c r="O30" s="26" t="str">
        <f t="shared" si="10"/>
        <v>Z03</v>
      </c>
      <c r="P30" s="26" t="str">
        <f t="shared" si="10"/>
        <v>Z04</v>
      </c>
      <c r="Q30" s="26" t="str">
        <f t="shared" si="10"/>
        <v>Z05</v>
      </c>
      <c r="R30" s="26" t="str">
        <f t="shared" si="10"/>
        <v>Z06</v>
      </c>
      <c r="S30" s="26" t="str">
        <f t="shared" si="10"/>
        <v>Z07</v>
      </c>
      <c r="T30" s="26" t="str">
        <f t="shared" si="10"/>
        <v>Z08</v>
      </c>
      <c r="U30" s="26" t="str">
        <f t="shared" si="10"/>
        <v>Z09</v>
      </c>
      <c r="V30" s="26" t="str">
        <f t="shared" si="10"/>
        <v>Z10</v>
      </c>
      <c r="W30" s="26" t="str">
        <f t="shared" si="10"/>
        <v>Z11</v>
      </c>
      <c r="X30" s="26" t="str">
        <f t="shared" si="10"/>
        <v>Z12</v>
      </c>
      <c r="Y30" s="26" t="str">
        <f t="shared" si="10"/>
        <v>Z13</v>
      </c>
      <c r="Z30" s="26" t="str">
        <f t="shared" si="10"/>
        <v>Z14</v>
      </c>
      <c r="AA30" s="26" t="str">
        <f t="shared" si="10"/>
        <v>Z15</v>
      </c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54"/>
      <c r="AV30" s="43" t="str">
        <f t="shared" ref="AV30:BJ30" si="11">M$2</f>
        <v>Z01</v>
      </c>
      <c r="AW30" s="43" t="str">
        <f t="shared" si="11"/>
        <v>Z02</v>
      </c>
      <c r="AX30" s="43" t="str">
        <f t="shared" si="11"/>
        <v>Z03</v>
      </c>
      <c r="AY30" s="43" t="str">
        <f t="shared" si="11"/>
        <v>Z04</v>
      </c>
      <c r="AZ30" s="43" t="str">
        <f t="shared" si="11"/>
        <v>Z05</v>
      </c>
      <c r="BA30" s="43" t="str">
        <f t="shared" si="11"/>
        <v>Z06</v>
      </c>
      <c r="BB30" s="43" t="str">
        <f t="shared" si="11"/>
        <v>Z07</v>
      </c>
      <c r="BC30" s="43" t="str">
        <f t="shared" si="11"/>
        <v>Z08</v>
      </c>
      <c r="BD30" s="43" t="str">
        <f t="shared" si="11"/>
        <v>Z09</v>
      </c>
      <c r="BE30" s="43" t="str">
        <f t="shared" si="11"/>
        <v>Z10</v>
      </c>
      <c r="BF30" s="43" t="str">
        <f t="shared" si="11"/>
        <v>Z11</v>
      </c>
      <c r="BG30" s="43" t="str">
        <f t="shared" si="11"/>
        <v>Z12</v>
      </c>
      <c r="BH30" s="43" t="str">
        <f t="shared" si="11"/>
        <v>Z13</v>
      </c>
      <c r="BI30" s="43" t="str">
        <f t="shared" si="11"/>
        <v>Z14</v>
      </c>
      <c r="BJ30" s="43" t="str">
        <f t="shared" si="11"/>
        <v>Z15</v>
      </c>
    </row>
    <row r="31" spans="1:62" s="22" customFormat="1" x14ac:dyDescent="0.25">
      <c r="A31" s="35"/>
      <c r="B31" s="176"/>
      <c r="C31" s="176"/>
      <c r="D31" s="176" t="s">
        <v>1062</v>
      </c>
      <c r="E31" s="176"/>
      <c r="F31" s="176"/>
      <c r="G31" s="176"/>
      <c r="H31" s="177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173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</row>
    <row r="32" spans="1:62" s="35" customFormat="1" x14ac:dyDescent="0.25">
      <c r="B32" s="186" t="str">
        <f>C32</f>
        <v>TOV900</v>
      </c>
      <c r="C32" s="186" t="s">
        <v>885</v>
      </c>
      <c r="D32" s="609" t="s">
        <v>1236</v>
      </c>
      <c r="E32" s="258" t="s">
        <v>185</v>
      </c>
      <c r="F32" s="213"/>
      <c r="G32" s="170"/>
      <c r="H32" s="190"/>
      <c r="I32" s="191"/>
      <c r="J32" s="191"/>
      <c r="K32" s="192" t="s">
        <v>1137</v>
      </c>
      <c r="L32" s="191" t="s">
        <v>447</v>
      </c>
      <c r="M32" s="652">
        <v>0.85</v>
      </c>
      <c r="N32" s="652">
        <v>0.85</v>
      </c>
      <c r="O32" s="652">
        <v>0.85</v>
      </c>
      <c r="P32" s="652">
        <v>0.85</v>
      </c>
      <c r="Q32" s="652">
        <v>0.85</v>
      </c>
      <c r="R32" s="652">
        <v>0.85</v>
      </c>
      <c r="S32" s="652">
        <v>0.85</v>
      </c>
      <c r="T32" s="652">
        <v>0.85</v>
      </c>
      <c r="U32" s="652">
        <v>0.85</v>
      </c>
      <c r="V32" s="652">
        <v>0.85</v>
      </c>
      <c r="W32" s="652">
        <v>0.85</v>
      </c>
      <c r="X32" s="652">
        <v>0.85</v>
      </c>
      <c r="Y32" s="652">
        <v>0.85</v>
      </c>
      <c r="Z32" s="652">
        <v>0.85</v>
      </c>
      <c r="AA32" s="652">
        <v>0.85</v>
      </c>
      <c r="AU32" s="173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</row>
    <row r="33" spans="2:62" s="35" customFormat="1" x14ac:dyDescent="0.25">
      <c r="B33" s="186" t="str">
        <f>B32</f>
        <v>TOV900</v>
      </c>
      <c r="C33" s="186"/>
      <c r="D33" s="609"/>
      <c r="E33" s="258" t="s">
        <v>988</v>
      </c>
      <c r="F33" s="213"/>
      <c r="G33" s="170"/>
      <c r="H33" s="190"/>
      <c r="I33" s="191"/>
      <c r="J33" s="191"/>
      <c r="K33" s="192" t="s">
        <v>1137</v>
      </c>
      <c r="L33" s="191" t="s">
        <v>447</v>
      </c>
      <c r="M33" s="652">
        <v>0.1</v>
      </c>
      <c r="N33" s="652">
        <v>0.1</v>
      </c>
      <c r="O33" s="652">
        <v>0.1</v>
      </c>
      <c r="P33" s="652">
        <v>0.1</v>
      </c>
      <c r="Q33" s="652">
        <v>0.1</v>
      </c>
      <c r="R33" s="652">
        <v>0.1</v>
      </c>
      <c r="S33" s="652">
        <v>0.1</v>
      </c>
      <c r="T33" s="652">
        <v>0.1</v>
      </c>
      <c r="U33" s="652">
        <v>0.1</v>
      </c>
      <c r="V33" s="652">
        <v>0.1</v>
      </c>
      <c r="W33" s="652">
        <v>0.1</v>
      </c>
      <c r="X33" s="652">
        <v>0.1</v>
      </c>
      <c r="Y33" s="652">
        <v>0.1</v>
      </c>
      <c r="Z33" s="652">
        <v>0.1</v>
      </c>
      <c r="AA33" s="652">
        <v>0.1</v>
      </c>
      <c r="AU33" s="173"/>
      <c r="AV33" s="150"/>
      <c r="AW33" s="150"/>
      <c r="AX33" s="150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</row>
    <row r="34" spans="2:62" s="35" customFormat="1" x14ac:dyDescent="0.25">
      <c r="B34" s="186" t="str">
        <f t="shared" ref="B34:B35" si="12">B33</f>
        <v>TOV900</v>
      </c>
      <c r="C34" s="186"/>
      <c r="D34" s="484"/>
      <c r="E34" s="258" t="s">
        <v>1014</v>
      </c>
      <c r="F34" s="213"/>
      <c r="G34" s="170"/>
      <c r="H34" s="190"/>
      <c r="I34" s="191"/>
      <c r="J34" s="191"/>
      <c r="K34" s="192" t="s">
        <v>1137</v>
      </c>
      <c r="L34" s="191" t="s">
        <v>447</v>
      </c>
      <c r="M34" s="652">
        <v>0.05</v>
      </c>
      <c r="N34" s="652">
        <v>0.05</v>
      </c>
      <c r="O34" s="652">
        <v>0.05</v>
      </c>
      <c r="P34" s="652">
        <v>0.05</v>
      </c>
      <c r="Q34" s="652">
        <v>0.05</v>
      </c>
      <c r="R34" s="652">
        <v>0.05</v>
      </c>
      <c r="S34" s="652">
        <v>0.05</v>
      </c>
      <c r="T34" s="652">
        <v>0.05</v>
      </c>
      <c r="U34" s="652">
        <v>0.05</v>
      </c>
      <c r="V34" s="652">
        <v>0.05</v>
      </c>
      <c r="W34" s="652">
        <v>0.05</v>
      </c>
      <c r="X34" s="652">
        <v>0.05</v>
      </c>
      <c r="Y34" s="652">
        <v>0.05</v>
      </c>
      <c r="Z34" s="652">
        <v>0.05</v>
      </c>
      <c r="AA34" s="652">
        <v>0.05</v>
      </c>
      <c r="AU34" s="173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</row>
    <row r="35" spans="2:62" s="35" customFormat="1" x14ac:dyDescent="0.25">
      <c r="B35" s="193" t="str">
        <f t="shared" si="12"/>
        <v>TOV900</v>
      </c>
      <c r="C35" s="193"/>
      <c r="D35" s="193"/>
      <c r="E35" s="650"/>
      <c r="F35" s="651" t="s">
        <v>659</v>
      </c>
      <c r="G35" s="196"/>
      <c r="H35" s="197"/>
      <c r="I35" s="198"/>
      <c r="J35" s="198"/>
      <c r="K35" s="193" t="s">
        <v>1138</v>
      </c>
      <c r="L35" s="198"/>
      <c r="M35" s="653">
        <v>1</v>
      </c>
      <c r="N35" s="653">
        <f t="shared" ref="N35:AA35" si="13">$M35</f>
        <v>1</v>
      </c>
      <c r="O35" s="653">
        <f t="shared" si="13"/>
        <v>1</v>
      </c>
      <c r="P35" s="653">
        <f t="shared" si="13"/>
        <v>1</v>
      </c>
      <c r="Q35" s="653">
        <f t="shared" si="13"/>
        <v>1</v>
      </c>
      <c r="R35" s="653">
        <f t="shared" si="13"/>
        <v>1</v>
      </c>
      <c r="S35" s="653">
        <f t="shared" si="13"/>
        <v>1</v>
      </c>
      <c r="T35" s="653">
        <f t="shared" si="13"/>
        <v>1</v>
      </c>
      <c r="U35" s="653">
        <f t="shared" si="13"/>
        <v>1</v>
      </c>
      <c r="V35" s="653">
        <f t="shared" si="13"/>
        <v>1</v>
      </c>
      <c r="W35" s="653">
        <f t="shared" si="13"/>
        <v>1</v>
      </c>
      <c r="X35" s="653">
        <f t="shared" si="13"/>
        <v>1</v>
      </c>
      <c r="Y35" s="653">
        <f t="shared" si="13"/>
        <v>1</v>
      </c>
      <c r="Z35" s="653">
        <f t="shared" si="13"/>
        <v>1</v>
      </c>
      <c r="AA35" s="653">
        <f t="shared" si="13"/>
        <v>1</v>
      </c>
      <c r="AU35" s="173"/>
      <c r="AV35" s="150"/>
      <c r="AW35" s="150"/>
      <c r="AX35" s="150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31</vt:i4>
      </vt:variant>
    </vt:vector>
  </HeadingPairs>
  <TitlesOfParts>
    <vt:vector size="31" baseType="lpstr">
      <vt:lpstr>INFO</vt:lpstr>
      <vt:lpstr>Short-Cuts</vt:lpstr>
      <vt:lpstr>References</vt:lpstr>
      <vt:lpstr>T_Stock_TOTAL_&amp;_City</vt:lpstr>
      <vt:lpstr>STAT_TRA_Mileage</vt:lpstr>
      <vt:lpstr>Pkm_Age_Gender</vt:lpstr>
      <vt:lpstr>T_Stock_Private</vt:lpstr>
      <vt:lpstr>STAT_TRA_Survey_Pkm</vt:lpstr>
      <vt:lpstr>STAT_TRA_Survey_Tkm</vt:lpstr>
      <vt:lpstr>STAT_TRA_Shares</vt:lpstr>
      <vt:lpstr>T_ACTFLO</vt:lpstr>
      <vt:lpstr>T_NCAP_AF</vt:lpstr>
      <vt:lpstr>DEMAND_Pkm_Tkm</vt:lpstr>
      <vt:lpstr>T_CEFF</vt:lpstr>
      <vt:lpstr>~Processes</vt:lpstr>
      <vt:lpstr>TRA_Comm</vt:lpstr>
      <vt:lpstr>TRA_Fuel</vt:lpstr>
      <vt:lpstr>TC_Private</vt:lpstr>
      <vt:lpstr>TB</vt:lpstr>
      <vt:lpstr>TF_Private</vt:lpstr>
      <vt:lpstr>BALANCE</vt:lpstr>
      <vt:lpstr>TYW</vt:lpstr>
      <vt:lpstr>TNO</vt:lpstr>
      <vt:lpstr>TC_City</vt:lpstr>
      <vt:lpstr>TC_Pool</vt:lpstr>
      <vt:lpstr>TMO</vt:lpstr>
      <vt:lpstr>TT</vt:lpstr>
      <vt:lpstr>TNA</vt:lpstr>
      <vt:lpstr>TF_City</vt:lpstr>
      <vt:lpstr>TAV</vt:lpstr>
      <vt:lpstr>TOV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Forsberg;Anna Krook Riekkola</dc:creator>
  <cp:keywords/>
  <dc:description/>
  <cp:lastModifiedBy>Gabriella Grenander</cp:lastModifiedBy>
  <cp:revision/>
  <dcterms:created xsi:type="dcterms:W3CDTF">2017-03-20T14:08:06Z</dcterms:created>
  <dcterms:modified xsi:type="dcterms:W3CDTF">2022-11-29T10:02:06Z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19130885601043</vt:r8>
  </property>
</Properties>
</file>